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comments3.xml" ContentType="application/vnd.openxmlformats-officedocument.spreadsheetml.comments+xml"/>
  <Override PartName="/xl/media/image1482.gif" ContentType="image/gif"/>
  <Override PartName="/xl/media/image72.gif" ContentType="image/gif"/>
  <Override PartName="/xl/media/image592.gif" ContentType="image/gif"/>
  <Override PartName="/xl/media/image301.gif" ContentType="image/gif"/>
  <Override PartName="/xl/media/image6.gif" ContentType="image/gif"/>
  <Override PartName="/xl/media/image121.gif" ContentType="image/gif"/>
  <Override PartName="/xl/media/image1011.gif" ContentType="image/gif"/>
  <Override PartName="/xl/media/image1459.gif" ContentType="image/gif"/>
  <Override PartName="/xl/media/image49.gif" ContentType="image/gif"/>
  <Override PartName="/xl/media/image569.gif" ContentType="image/gif"/>
  <Override PartName="/xl/media/image1347.gif" ContentType="image/gif"/>
  <Override PartName="/xl/media/image457.gif" ContentType="image/gif"/>
  <Override PartName="/xl/media/image1.jpeg" ContentType="image/jpeg"/>
  <Override PartName="/xl/media/image903.gif" ContentType="image/gif"/>
  <Override PartName="/xl/media/image130.gif" ContentType="image/gif"/>
  <Override PartName="/xl/media/image1020.gif" ContentType="image/gif"/>
  <Override PartName="/xl/media/image1468.gif" ContentType="image/gif"/>
  <Override PartName="/xl/media/image58.gif" ContentType="image/gif"/>
  <Override PartName="/xl/media/image578.gif" ContentType="image/gif"/>
  <Override PartName="/xl/media/image2.gif" ContentType="image/gif"/>
  <Override PartName="/xl/media/image1189.gif" ContentType="image/gif"/>
  <Override PartName="/xl/media/image299.gif" ContentType="image/gif"/>
  <Override PartName="/xl/media/image131.gif" ContentType="image/gif"/>
  <Override PartName="/xl/media/image1021.gif" ContentType="image/gif"/>
  <Override PartName="/xl/media/image1469.gif" ContentType="image/gif"/>
  <Override PartName="/xl/media/image59.gif" ContentType="image/gif"/>
  <Override PartName="/xl/media/image579.gif" ContentType="image/gif"/>
  <Override PartName="/xl/media/image3.gif" ContentType="image/gif"/>
  <Override PartName="/xl/media/image1480.gif" ContentType="image/gif"/>
  <Override PartName="/xl/media/image70.gif" ContentType="image/gif"/>
  <Override PartName="/xl/media/image590.gif" ContentType="image/gif"/>
  <Override PartName="/xl/media/image4.gif" ContentType="image/gif"/>
  <Override PartName="/xl/media/image1481.gif" ContentType="image/gif"/>
  <Override PartName="/xl/media/image71.gif" ContentType="image/gif"/>
  <Override PartName="/xl/media/image591.gif" ContentType="image/gif"/>
  <Override PartName="/xl/media/image300.gif" ContentType="image/gif"/>
  <Override PartName="/xl/media/image5.gif" ContentType="image/gif"/>
  <Override PartName="/xl/media/image1483.gif" ContentType="image/gif"/>
  <Override PartName="/xl/media/image73.gif" ContentType="image/gif"/>
  <Override PartName="/xl/media/image593.gif" ContentType="image/gif"/>
  <Override PartName="/xl/media/image302.gif" ContentType="image/gif"/>
  <Override PartName="/xl/media/image7.gif" ContentType="image/gif"/>
  <Override PartName="/xl/media/image1484.gif" ContentType="image/gif"/>
  <Override PartName="/xl/media/image74.gif" ContentType="image/gif"/>
  <Override PartName="/xl/media/image594.gif" ContentType="image/gif"/>
  <Override PartName="/xl/media/image303.gif" ContentType="image/gif"/>
  <Override PartName="/xl/media/image8.gif" ContentType="image/gif"/>
  <Override PartName="/xl/media/image1485.gif" ContentType="image/gif"/>
  <Override PartName="/xl/media/image75.gif" ContentType="image/gif"/>
  <Override PartName="/xl/media/image595.gif" ContentType="image/gif"/>
  <Override PartName="/xl/media/image304.gif" ContentType="image/gif"/>
  <Override PartName="/xl/media/image9.gif" ContentType="image/gif"/>
  <Override PartName="/xl/media/image1420.gif" ContentType="image/gif"/>
  <Override PartName="/xl/media/image10.gif" ContentType="image/gif"/>
  <Override PartName="/xl/media/image530.gif" ContentType="image/gif"/>
  <Override PartName="/xl/media/image1421.gif" ContentType="image/gif"/>
  <Override PartName="/xl/media/image11.gif" ContentType="image/gif"/>
  <Override PartName="/xl/media/image531.gif" ContentType="image/gif"/>
  <Override PartName="/xl/media/image1422.gif" ContentType="image/gif"/>
  <Override PartName="/xl/media/image12.gif" ContentType="image/gif"/>
  <Override PartName="/xl/media/image532.gif" ContentType="image/gif"/>
  <Override PartName="/xl/media/image1423.gif" ContentType="image/gif"/>
  <Override PartName="/xl/media/image13.gif" ContentType="image/gif"/>
  <Override PartName="/xl/media/image533.gif" ContentType="image/gif"/>
  <Override PartName="/xl/media/image1424.gif" ContentType="image/gif"/>
  <Override PartName="/xl/media/image14.gif" ContentType="image/gif"/>
  <Override PartName="/xl/media/image534.gif" ContentType="image/gif"/>
  <Override PartName="/xl/media/image1425.gif" ContentType="image/gif"/>
  <Override PartName="/xl/media/image15.gif" ContentType="image/gif"/>
  <Override PartName="/xl/media/image535.gif" ContentType="image/gif"/>
  <Override PartName="/xl/media/image1426.gif" ContentType="image/gif"/>
  <Override PartName="/xl/media/image16.gif" ContentType="image/gif"/>
  <Override PartName="/xl/media/image536.gif" ContentType="image/gif"/>
  <Override PartName="/xl/media/image1270.gif" ContentType="image/gif"/>
  <Override PartName="/xl/media/image380.gif" ContentType="image/gif"/>
  <Override PartName="/xl/media/image1427.gif" ContentType="image/gif"/>
  <Override PartName="/xl/media/image17.gif" ContentType="image/gif"/>
  <Override PartName="/xl/media/image537.gif" ContentType="image/gif"/>
  <Override PartName="/xl/media/image1271.gif" ContentType="image/gif"/>
  <Override PartName="/xl/media/image381.gif" ContentType="image/gif"/>
  <Override PartName="/xl/media/image1428.gif" ContentType="image/gif"/>
  <Override PartName="/xl/media/image18.gif" ContentType="image/gif"/>
  <Override PartName="/xl/media/image538.gif" ContentType="image/gif"/>
  <Override PartName="/xl/media/image1272.gif" ContentType="image/gif"/>
  <Override PartName="/xl/media/image382.gif" ContentType="image/gif"/>
  <Override PartName="/xl/media/image1429.gif" ContentType="image/gif"/>
  <Override PartName="/xl/media/image19.gif" ContentType="image/gif"/>
  <Override PartName="/xl/media/image539.gif" ContentType="image/gif"/>
  <Override PartName="/xl/media/image1430.gif" ContentType="image/gif"/>
  <Override PartName="/xl/media/image20.gif" ContentType="image/gif"/>
  <Override PartName="/xl/media/image540.gif" ContentType="image/gif"/>
  <Override PartName="/xl/media/image1431.gif" ContentType="image/gif"/>
  <Override PartName="/xl/media/image21.gif" ContentType="image/gif"/>
  <Override PartName="/xl/media/image541.gif" ContentType="image/gif"/>
  <Override PartName="/xl/media/image1432.gif" ContentType="image/gif"/>
  <Override PartName="/xl/media/image22.gif" ContentType="image/gif"/>
  <Override PartName="/xl/media/image542.gif" ContentType="image/gif"/>
  <Override PartName="/xl/media/image1433.gif" ContentType="image/gif"/>
  <Override PartName="/xl/media/image23.gif" ContentType="image/gif"/>
  <Override PartName="/xl/media/image543.gif" ContentType="image/gif"/>
  <Override PartName="/xl/media/image1434.gif" ContentType="image/gif"/>
  <Override PartName="/xl/media/image24.gif" ContentType="image/gif"/>
  <Override PartName="/xl/media/image544.gif" ContentType="image/gif"/>
  <Override PartName="/xl/media/image1435.gif" ContentType="image/gif"/>
  <Override PartName="/xl/media/image25.gif" ContentType="image/gif"/>
  <Override PartName="/xl/media/image545.gif" ContentType="image/gif"/>
  <Override PartName="/xl/media/image1436.gif" ContentType="image/gif"/>
  <Override PartName="/xl/media/image26.gif" ContentType="image/gif"/>
  <Override PartName="/xl/media/image546.gif" ContentType="image/gif"/>
  <Override PartName="/xl/media/image1280.gif" ContentType="image/gif"/>
  <Override PartName="/xl/media/image390.gif" ContentType="image/gif"/>
  <Override PartName="/xl/media/image1437.gif" ContentType="image/gif"/>
  <Override PartName="/xl/media/image27.gif" ContentType="image/gif"/>
  <Override PartName="/xl/media/image547.gif" ContentType="image/gif"/>
  <Override PartName="/xl/media/image100.gif" ContentType="image/gif"/>
  <Override PartName="/xl/media/image1281.gif" ContentType="image/gif"/>
  <Override PartName="/xl/media/image391.gif" ContentType="image/gif"/>
  <Override PartName="/xl/media/image1438.gif" ContentType="image/gif"/>
  <Override PartName="/xl/media/image28.gif" ContentType="image/gif"/>
  <Override PartName="/xl/media/image548.gif" ContentType="image/gif"/>
  <Override PartName="/xl/media/image101.gif" ContentType="image/gif"/>
  <Override PartName="/xl/media/image1282.gif" ContentType="image/gif"/>
  <Override PartName="/xl/media/image392.gif" ContentType="image/gif"/>
  <Override PartName="/xl/media/image1439.gif" ContentType="image/gif"/>
  <Override PartName="/xl/media/image29.gif" ContentType="image/gif"/>
  <Override PartName="/xl/media/image549.gif" ContentType="image/gif"/>
  <Override PartName="/xl/media/image1440.gif" ContentType="image/gif"/>
  <Override PartName="/xl/media/image30.gif" ContentType="image/gif"/>
  <Override PartName="/xl/media/image550.gif" ContentType="image/gif"/>
  <Override PartName="/xl/media/image1441.gif" ContentType="image/gif"/>
  <Override PartName="/xl/media/image31.gif" ContentType="image/gif"/>
  <Override PartName="/xl/media/image551.gif" ContentType="image/gif"/>
  <Override PartName="/xl/media/image1442.gif" ContentType="image/gif"/>
  <Override PartName="/xl/media/image32.gif" ContentType="image/gif"/>
  <Override PartName="/xl/media/image552.gif" ContentType="image/gif"/>
  <Override PartName="/xl/media/image1443.gif" ContentType="image/gif"/>
  <Override PartName="/xl/media/image33.gif" ContentType="image/gif"/>
  <Override PartName="/xl/media/image553.gif" ContentType="image/gif"/>
  <Override PartName="/xl/media/image1444.gif" ContentType="image/gif"/>
  <Override PartName="/xl/media/image34.gif" ContentType="image/gif"/>
  <Override PartName="/xl/media/image554.gif" ContentType="image/gif"/>
  <Override PartName="/xl/media/image1445.gif" ContentType="image/gif"/>
  <Override PartName="/xl/media/image35.gif" ContentType="image/gif"/>
  <Override PartName="/xl/media/image555.gif" ContentType="image/gif"/>
  <Override PartName="/xl/media/image1446.gif" ContentType="image/gif"/>
  <Override PartName="/xl/media/image36.gif" ContentType="image/gif"/>
  <Override PartName="/xl/media/image556.gif" ContentType="image/gif"/>
  <Override PartName="/xl/media/image1447.gif" ContentType="image/gif"/>
  <Override PartName="/xl/media/image37.gif" ContentType="image/gif"/>
  <Override PartName="/xl/media/image557.gif" ContentType="image/gif"/>
  <Override PartName="/xl/media/image110.gif" ContentType="image/gif"/>
  <Override PartName="/xl/media/image1000.gif" ContentType="image/gif"/>
  <Override PartName="/xl/media/image1448.gif" ContentType="image/gif"/>
  <Override PartName="/xl/media/image38.gif" ContentType="image/gif"/>
  <Override PartName="/xl/media/image558.gif" ContentType="image/gif"/>
  <Override PartName="/xl/media/image111.gif" ContentType="image/gif"/>
  <Override PartName="/xl/media/image1001.gif" ContentType="image/gif"/>
  <Override PartName="/xl/media/image1449.gif" ContentType="image/gif"/>
  <Override PartName="/xl/media/image39.gif" ContentType="image/gif"/>
  <Override PartName="/xl/media/image559.gif" ContentType="image/gif"/>
  <Override PartName="/xl/media/image1450.gif" ContentType="image/gif"/>
  <Override PartName="/xl/media/image40.gif" ContentType="image/gif"/>
  <Override PartName="/xl/media/image560.gif" ContentType="image/gif"/>
  <Override PartName="/xl/media/image1451.gif" ContentType="image/gif"/>
  <Override PartName="/xl/media/image41.gif" ContentType="image/gif"/>
  <Override PartName="/xl/media/image561.gif" ContentType="image/gif"/>
  <Override PartName="/xl/media/image1452.gif" ContentType="image/gif"/>
  <Override PartName="/xl/media/image42.gif" ContentType="image/gif"/>
  <Override PartName="/xl/media/image562.gif" ContentType="image/gif"/>
  <Override PartName="/xl/media/image1453.gif" ContentType="image/gif"/>
  <Override PartName="/xl/media/image43.gif" ContentType="image/gif"/>
  <Override PartName="/xl/media/image563.gif" ContentType="image/gif"/>
  <Override PartName="/xl/media/image1454.gif" ContentType="image/gif"/>
  <Override PartName="/xl/media/image44.gif" ContentType="image/gif"/>
  <Override PartName="/xl/media/image564.gif" ContentType="image/gif"/>
  <Override PartName="/xl/media/image1455.gif" ContentType="image/gif"/>
  <Override PartName="/xl/media/image45.gif" ContentType="image/gif"/>
  <Override PartName="/xl/media/image565.gif" ContentType="image/gif"/>
  <Override PartName="/xl/media/image1456.gif" ContentType="image/gif"/>
  <Override PartName="/xl/media/image46.gif" ContentType="image/gif"/>
  <Override PartName="/xl/media/image566.gif" ContentType="image/gif"/>
  <Override PartName="/xl/media/image1457.gif" ContentType="image/gif"/>
  <Override PartName="/xl/media/image47.gif" ContentType="image/gif"/>
  <Override PartName="/xl/media/image567.gif" ContentType="image/gif"/>
  <Override PartName="/xl/media/image120.gif" ContentType="image/gif"/>
  <Override PartName="/xl/media/image1010.gif" ContentType="image/gif"/>
  <Override PartName="/xl/media/image1458.gif" ContentType="image/gif"/>
  <Override PartName="/xl/media/image48.gif" ContentType="image/gif"/>
  <Override PartName="/xl/media/image568.gif" ContentType="image/gif"/>
  <Override PartName="/xl/media/image1460.gif" ContentType="image/gif"/>
  <Override PartName="/xl/media/image50.gif" ContentType="image/gif"/>
  <Override PartName="/xl/media/image570.gif" ContentType="image/gif"/>
  <Override PartName="/xl/media/image1461.gif" ContentType="image/gif"/>
  <Override PartName="/xl/media/image51.gif" ContentType="image/gif"/>
  <Override PartName="/xl/media/image571.gif" ContentType="image/gif"/>
  <Override PartName="/xl/media/image1462.gif" ContentType="image/gif"/>
  <Override PartName="/xl/media/image52.gif" ContentType="image/gif"/>
  <Override PartName="/xl/media/image572.gif" ContentType="image/gif"/>
  <Override PartName="/xl/media/image1463.gif" ContentType="image/gif"/>
  <Override PartName="/xl/media/image53.gif" ContentType="image/gif"/>
  <Override PartName="/xl/media/image573.gif" ContentType="image/gif"/>
  <Override PartName="/xl/media/image1464.gif" ContentType="image/gif"/>
  <Override PartName="/xl/media/image54.gif" ContentType="image/gif"/>
  <Override PartName="/xl/media/image574.gif" ContentType="image/gif"/>
  <Override PartName="/xl/media/image1465.gif" ContentType="image/gif"/>
  <Override PartName="/xl/media/image55.gif" ContentType="image/gif"/>
  <Override PartName="/xl/media/image575.gif" ContentType="image/gif"/>
  <Override PartName="/xl/media/image1466.gif" ContentType="image/gif"/>
  <Override PartName="/xl/media/image56.gif" ContentType="image/gif"/>
  <Override PartName="/xl/media/image576.gif" ContentType="image/gif"/>
  <Override PartName="/xl/media/image1467.gif" ContentType="image/gif"/>
  <Override PartName="/xl/media/image57.gif" ContentType="image/gif"/>
  <Override PartName="/xl/media/image577.gif" ContentType="image/gif"/>
  <Override PartName="/xl/media/image1470.gif" ContentType="image/gif"/>
  <Override PartName="/xl/media/image60.gif" ContentType="image/gif"/>
  <Override PartName="/xl/media/image580.gif" ContentType="image/gif"/>
  <Override PartName="/xl/media/image1471.gif" ContentType="image/gif"/>
  <Override PartName="/xl/media/image61.gif" ContentType="image/gif"/>
  <Override PartName="/xl/media/image581.gif" ContentType="image/gif"/>
  <Override PartName="/xl/media/image1472.gif" ContentType="image/gif"/>
  <Override PartName="/xl/media/image62.gif" ContentType="image/gif"/>
  <Override PartName="/xl/media/image582.gif" ContentType="image/gif"/>
  <Override PartName="/xl/media/image1473.gif" ContentType="image/gif"/>
  <Override PartName="/xl/media/image63.gif" ContentType="image/gif"/>
  <Override PartName="/xl/media/image583.gif" ContentType="image/gif"/>
  <Override PartName="/xl/media/image1474.gif" ContentType="image/gif"/>
  <Override PartName="/xl/media/image64.gif" ContentType="image/gif"/>
  <Override PartName="/xl/media/image584.gif" ContentType="image/gif"/>
  <Override PartName="/xl/media/image1475.gif" ContentType="image/gif"/>
  <Override PartName="/xl/media/image65.gif" ContentType="image/gif"/>
  <Override PartName="/xl/media/image585.gif" ContentType="image/gif"/>
  <Override PartName="/xl/media/image1476.gif" ContentType="image/gif"/>
  <Override PartName="/xl/media/image66.gif" ContentType="image/gif"/>
  <Override PartName="/xl/media/image586.gif" ContentType="image/gif"/>
  <Override PartName="/xl/media/image1477.gif" ContentType="image/gif"/>
  <Override PartName="/xl/media/image67.gif" ContentType="image/gif"/>
  <Override PartName="/xl/media/image587.gif" ContentType="image/gif"/>
  <Override PartName="/xl/media/image1030.gif" ContentType="image/gif"/>
  <Override PartName="/xl/media/image140.gif" ContentType="image/gif"/>
  <Override PartName="/xl/media/image1478.gif" ContentType="image/gif"/>
  <Override PartName="/xl/media/image68.gif" ContentType="image/gif"/>
  <Override PartName="/xl/media/image588.gif" ContentType="image/gif"/>
  <Override PartName="/xl/media/image1031.gif" ContentType="image/gif"/>
  <Override PartName="/xl/media/image141.gif" ContentType="image/gif"/>
  <Override PartName="/xl/media/image1479.gif" ContentType="image/gif"/>
  <Override PartName="/xl/media/image69.gif" ContentType="image/gif"/>
  <Override PartName="/xl/media/image589.gif" ContentType="image/gif"/>
  <Override PartName="/xl/media/image1486.gif" ContentType="image/gif"/>
  <Override PartName="/xl/media/image76.gif" ContentType="image/gif"/>
  <Override PartName="/xl/media/image596.gif" ContentType="image/gif"/>
  <Override PartName="/xl/media/image305.gif" ContentType="image/gif"/>
  <Override PartName="/xl/media/image1487.gif" ContentType="image/gif"/>
  <Override PartName="/xl/media/image77.gif" ContentType="image/gif"/>
  <Override PartName="/xl/media/image597.gif" ContentType="image/gif"/>
  <Override PartName="/xl/media/image306.gif" ContentType="image/gif"/>
  <Override PartName="/xl/media/image1488.gif" ContentType="image/gif"/>
  <Override PartName="/xl/media/image78.gif" ContentType="image/gif"/>
  <Override PartName="/xl/media/image598.gif" ContentType="image/gif"/>
  <Override PartName="/xl/media/image307.gif" ContentType="image/gif"/>
  <Override PartName="/xl/media/image1040.gif" ContentType="image/gif"/>
  <Override PartName="/xl/media/image150.gif" ContentType="image/gif"/>
  <Override PartName="/xl/media/image1489.gif" ContentType="image/gif"/>
  <Override PartName="/xl/media/image79.gif" ContentType="image/gif"/>
  <Override PartName="/xl/media/image599.gif" ContentType="image/gif"/>
  <Override PartName="/xl/media/image308.gif" ContentType="image/gif"/>
  <Override PartName="/xl/media/image1041.gif" ContentType="image/gif"/>
  <Override PartName="/xl/media/image151.gif" ContentType="image/gif"/>
  <Override PartName="/xl/media/image1490.gif" ContentType="image/gif"/>
  <Override PartName="/xl/media/image80.gif" ContentType="image/gif"/>
  <Override PartName="/xl/media/image1491.gif" ContentType="image/gif"/>
  <Override PartName="/xl/media/image81.gif" ContentType="image/gif"/>
  <Override PartName="/xl/media/image1200.gif" ContentType="image/gif"/>
  <Override PartName="/xl/media/image310.gif" ContentType="image/gif"/>
  <Override PartName="/xl/media/image1492.gif" ContentType="image/gif"/>
  <Override PartName="/xl/media/image82.gif" ContentType="image/gif"/>
  <Override PartName="/xl/media/image1201.gif" ContentType="image/gif"/>
  <Override PartName="/xl/media/image311.gif" ContentType="image/gif"/>
  <Override PartName="/xl/media/image1493.gif" ContentType="image/gif"/>
  <Override PartName="/xl/media/image83.gif" ContentType="image/gif"/>
  <Override PartName="/xl/media/image1202.gif" ContentType="image/gif"/>
  <Override PartName="/xl/media/image312.gif" ContentType="image/gif"/>
  <Override PartName="/xl/media/image1494.gif" ContentType="image/gif"/>
  <Override PartName="/xl/media/image84.gif" ContentType="image/gif"/>
  <Override PartName="/xl/media/image1203.gif" ContentType="image/gif"/>
  <Override PartName="/xl/media/image313.gif" ContentType="image/gif"/>
  <Override PartName="/xl/media/image1495.gif" ContentType="image/gif"/>
  <Override PartName="/xl/media/image85.gif" ContentType="image/gif"/>
  <Override PartName="/xl/media/image1204.gif" ContentType="image/gif"/>
  <Override PartName="/xl/media/image314.gif" ContentType="image/gif"/>
  <Override PartName="/xl/media/image1496.gif" ContentType="image/gif"/>
  <Override PartName="/xl/media/image86.gif" ContentType="image/gif"/>
  <Override PartName="/xl/media/image1205.gif" ContentType="image/gif"/>
  <Override PartName="/xl/media/image315.gif" ContentType="image/gif"/>
  <Override PartName="/xl/media/image1497.gif" ContentType="image/gif"/>
  <Override PartName="/xl/media/image87.gif" ContentType="image/gif"/>
  <Override PartName="/xl/media/image1206.gif" ContentType="image/gif"/>
  <Override PartName="/xl/media/image316.gif" ContentType="image/gif"/>
  <Override PartName="/xl/media/image1498.gif" ContentType="image/gif"/>
  <Override PartName="/xl/media/image88.gif" ContentType="image/gif"/>
  <Override PartName="/xl/media/image1207.gif" ContentType="image/gif"/>
  <Override PartName="/xl/media/image317.gif" ContentType="image/gif"/>
  <Override PartName="/xl/media/image1050.gif" ContentType="image/gif"/>
  <Override PartName="/xl/media/image160.gif" ContentType="image/gif"/>
  <Override PartName="/xl/media/image1499.gif" ContentType="image/gif"/>
  <Override PartName="/xl/media/image89.gif" ContentType="image/gif"/>
  <Override PartName="/xl/media/image1208.gif" ContentType="image/gif"/>
  <Override PartName="/xl/media/image318.gif" ContentType="image/gif"/>
  <Override PartName="/xl/media/image1051.gif" ContentType="image/gif"/>
  <Override PartName="/xl/media/image161.gif" ContentType="image/gif"/>
  <Override PartName="/xl/media/image90.gif" ContentType="image/gif"/>
  <Override PartName="/xl/media/image91.gif" ContentType="image/gif"/>
  <Override PartName="/xl/media/image1210.gif" ContentType="image/gif"/>
  <Override PartName="/xl/media/image320.gif" ContentType="image/gif"/>
  <Override PartName="/xl/media/image92.gif" ContentType="image/gif"/>
  <Override PartName="/xl/media/image1211.gif" ContentType="image/gif"/>
  <Override PartName="/xl/media/image321.gif" ContentType="image/gif"/>
  <Override PartName="/xl/media/image93.gif" ContentType="image/gif"/>
  <Override PartName="/xl/media/image1212.gif" ContentType="image/gif"/>
  <Override PartName="/xl/media/image322.gif" ContentType="image/gif"/>
  <Override PartName="/xl/media/image94.gif" ContentType="image/gif"/>
  <Override PartName="/xl/media/image1213.gif" ContentType="image/gif"/>
  <Override PartName="/xl/media/image323.gif" ContentType="image/gif"/>
  <Override PartName="/xl/media/image95.gif" ContentType="image/gif"/>
  <Override PartName="/xl/media/image1214.gif" ContentType="image/gif"/>
  <Override PartName="/xl/media/image324.gif" ContentType="image/gif"/>
  <Override PartName="/xl/media/image96.gif" ContentType="image/gif"/>
  <Override PartName="/xl/media/image1215.gif" ContentType="image/gif"/>
  <Override PartName="/xl/media/image325.gif" ContentType="image/gif"/>
  <Override PartName="/xl/media/image97.gif" ContentType="image/gif"/>
  <Override PartName="/xl/media/image1216.gif" ContentType="image/gif"/>
  <Override PartName="/xl/media/image326.gif" ContentType="image/gif"/>
  <Override PartName="/xl/media/image98.gif" ContentType="image/gif"/>
  <Override PartName="/xl/media/image1217.gif" ContentType="image/gif"/>
  <Override PartName="/xl/media/image327.gif" ContentType="image/gif"/>
  <Override PartName="/xl/media/image1060.gif" ContentType="image/gif"/>
  <Override PartName="/xl/media/image170.gif" ContentType="image/gif"/>
  <Override PartName="/xl/media/image99.gif" ContentType="image/gif"/>
  <Override PartName="/xl/media/image1218.gif" ContentType="image/gif"/>
  <Override PartName="/xl/media/image328.gif" ContentType="image/gif"/>
  <Override PartName="/xl/media/image1061.gif" ContentType="image/gif"/>
  <Override PartName="/xl/media/image171.gif" ContentType="image/gif"/>
  <Override PartName="/xl/media/image102.gif" ContentType="image/gif"/>
  <Override PartName="/xl/media/image1283.gif" ContentType="image/gif"/>
  <Override PartName="/xl/media/image393.gif" ContentType="image/gif"/>
  <Override PartName="/xl/media/image103.gif" ContentType="image/gif"/>
  <Override PartName="/xl/media/image1284.gif" ContentType="image/gif"/>
  <Override PartName="/xl/media/image394.gif" ContentType="image/gif"/>
  <Override PartName="/xl/media/image104.gif" ContentType="image/gif"/>
  <Override PartName="/xl/media/image1285.gif" ContentType="image/gif"/>
  <Override PartName="/xl/media/image395.gif" ContentType="image/gif"/>
  <Override PartName="/xl/media/image105.gif" ContentType="image/gif"/>
  <Override PartName="/xl/media/image1286.gif" ContentType="image/gif"/>
  <Override PartName="/xl/media/image396.gif" ContentType="image/gif"/>
  <Override PartName="/xl/media/image106.gif" ContentType="image/gif"/>
  <Override PartName="/xl/media/image1287.gif" ContentType="image/gif"/>
  <Override PartName="/xl/media/image397.gif" ContentType="image/gif"/>
  <Override PartName="/xl/media/image107.gif" ContentType="image/gif"/>
  <Override PartName="/xl/media/image1288.gif" ContentType="image/gif"/>
  <Override PartName="/xl/media/image398.gif" ContentType="image/gif"/>
  <Override PartName="/xl/media/image108.gif" ContentType="image/gif"/>
  <Override PartName="/xl/media/image1289.gif" ContentType="image/gif"/>
  <Override PartName="/xl/media/image399.gif" ContentType="image/gif"/>
  <Override PartName="/xl/media/image109.gif" ContentType="image/gif"/>
  <Override PartName="/xl/media/image112.gif" ContentType="image/gif"/>
  <Override PartName="/xl/media/image1002.gif" ContentType="image/gif"/>
  <Override PartName="/xl/media/image113.gif" ContentType="image/gif"/>
  <Override PartName="/xl/media/image1003.gif" ContentType="image/gif"/>
  <Override PartName="/xl/media/image114.gif" ContentType="image/gif"/>
  <Override PartName="/xl/media/image1004.gif" ContentType="image/gif"/>
  <Override PartName="/xl/media/image115.gif" ContentType="image/gif"/>
  <Override PartName="/xl/media/image1005.gif" ContentType="image/gif"/>
  <Override PartName="/xl/media/image116.gif" ContentType="image/gif"/>
  <Override PartName="/xl/media/image1006.gif" ContentType="image/gif"/>
  <Override PartName="/xl/media/image117.gif" ContentType="image/gif"/>
  <Override PartName="/xl/media/image1007.gif" ContentType="image/gif"/>
  <Override PartName="/xl/media/image118.gif" ContentType="image/gif"/>
  <Override PartName="/xl/media/image1008.gif" ContentType="image/gif"/>
  <Override PartName="/xl/media/image119.gif" ContentType="image/gif"/>
  <Override PartName="/xl/media/image1009.gif" ContentType="image/gif"/>
  <Override PartName="/xl/media/image122.gif" ContentType="image/gif"/>
  <Override PartName="/xl/media/image1012.gif" ContentType="image/gif"/>
  <Override PartName="/xl/media/image123.gif" ContentType="image/gif"/>
  <Override PartName="/xl/media/image1013.gif" ContentType="image/gif"/>
  <Override PartName="/xl/media/image124.gif" ContentType="image/gif"/>
  <Override PartName="/xl/media/image1014.gif" ContentType="image/gif"/>
  <Override PartName="/xl/media/image125.gif" ContentType="image/gif"/>
  <Override PartName="/xl/media/image1015.gif" ContentType="image/gif"/>
  <Override PartName="/xl/media/image126.gif" ContentType="image/gif"/>
  <Override PartName="/xl/media/image1016.gif" ContentType="image/gif"/>
  <Override PartName="/xl/media/image127.gif" ContentType="image/gif"/>
  <Override PartName="/xl/media/image1017.gif" ContentType="image/gif"/>
  <Override PartName="/xl/media/image128.gif" ContentType="image/gif"/>
  <Override PartName="/xl/media/image1018.gif" ContentType="image/gif"/>
  <Override PartName="/xl/media/image129.gif" ContentType="image/gif"/>
  <Override PartName="/xl/media/image1019.gif" ContentType="image/gif"/>
  <Override PartName="/xl/media/image132.gif" ContentType="image/gif"/>
  <Override PartName="/xl/media/image1022.gif" ContentType="image/gif"/>
  <Override PartName="/xl/media/image133.gif" ContentType="image/gif"/>
  <Override PartName="/xl/media/image1023.gif" ContentType="image/gif"/>
  <Override PartName="/xl/media/image134.gif" ContentType="image/gif"/>
  <Override PartName="/xl/media/image1024.gif" ContentType="image/gif"/>
  <Override PartName="/xl/media/image135.gif" ContentType="image/gif"/>
  <Override PartName="/xl/media/image1025.gif" ContentType="image/gif"/>
  <Override PartName="/xl/media/image1026.gif" ContentType="image/gif"/>
  <Override PartName="/xl/media/image136.gif" ContentType="image/gif"/>
  <Override PartName="/xl/media/image1027.gif" ContentType="image/gif"/>
  <Override PartName="/xl/media/image137.gif" ContentType="image/gif"/>
  <Override PartName="/xl/media/image1028.gif" ContentType="image/gif"/>
  <Override PartName="/xl/media/image138.gif" ContentType="image/gif"/>
  <Override PartName="/xl/media/image1029.gif" ContentType="image/gif"/>
  <Override PartName="/xl/media/image139.gif" ContentType="image/gif"/>
  <Override PartName="/xl/media/image1032.gif" ContentType="image/gif"/>
  <Override PartName="/xl/media/image142.gif" ContentType="image/gif"/>
  <Override PartName="/xl/media/image1033.gif" ContentType="image/gif"/>
  <Override PartName="/xl/media/image143.gif" ContentType="image/gif"/>
  <Override PartName="/xl/media/image1034.gif" ContentType="image/gif"/>
  <Override PartName="/xl/media/image144.gif" ContentType="image/gif"/>
  <Override PartName="/xl/media/image1035.gif" ContentType="image/gif"/>
  <Override PartName="/xl/media/image145.gif" ContentType="image/gif"/>
  <Override PartName="/xl/media/image1036.gif" ContentType="image/gif"/>
  <Override PartName="/xl/media/image146.gif" ContentType="image/gif"/>
  <Override PartName="/xl/media/image1037.gif" ContentType="image/gif"/>
  <Override PartName="/xl/media/image147.gif" ContentType="image/gif"/>
  <Override PartName="/xl/media/image1038.gif" ContentType="image/gif"/>
  <Override PartName="/xl/media/image148.gif" ContentType="image/gif"/>
  <Override PartName="/xl/media/image1039.gif" ContentType="image/gif"/>
  <Override PartName="/xl/media/image149.gif" ContentType="image/gif"/>
  <Override PartName="/xl/media/image309.gif" ContentType="image/gif"/>
  <Override PartName="/xl/media/image1042.gif" ContentType="image/gif"/>
  <Override PartName="/xl/media/image152.gif" ContentType="image/gif"/>
  <Override PartName="/xl/media/image1043.gif" ContentType="image/gif"/>
  <Override PartName="/xl/media/image153.gif" ContentType="image/gif"/>
  <Override PartName="/xl/media/image1044.gif" ContentType="image/gif"/>
  <Override PartName="/xl/media/image154.gif" ContentType="image/gif"/>
  <Override PartName="/xl/media/image1045.gif" ContentType="image/gif"/>
  <Override PartName="/xl/media/image155.gif" ContentType="image/gif"/>
  <Override PartName="/xl/media/image1046.gif" ContentType="image/gif"/>
  <Override PartName="/xl/media/image156.gif" ContentType="image/gif"/>
  <Override PartName="/xl/media/image1047.gif" ContentType="image/gif"/>
  <Override PartName="/xl/media/image157.gif" ContentType="image/gif"/>
  <Override PartName="/xl/media/image1048.gif" ContentType="image/gif"/>
  <Override PartName="/xl/media/image158.gif" ContentType="image/gif"/>
  <Override PartName="/xl/media/image1049.gif" ContentType="image/gif"/>
  <Override PartName="/xl/media/image159.gif" ContentType="image/gif"/>
  <Override PartName="/xl/media/image1209.gif" ContentType="image/gif"/>
  <Override PartName="/xl/media/image319.gif" ContentType="image/gif"/>
  <Override PartName="/xl/media/image1052.gif" ContentType="image/gif"/>
  <Override PartName="/xl/media/image162.gif" ContentType="image/gif"/>
  <Override PartName="/xl/media/image1053.gif" ContentType="image/gif"/>
  <Override PartName="/xl/media/image163.gif" ContentType="image/gif"/>
  <Override PartName="/xl/media/image1054.gif" ContentType="image/gif"/>
  <Override PartName="/xl/media/image164.gif" ContentType="image/gif"/>
  <Override PartName="/xl/media/image1055.gif" ContentType="image/gif"/>
  <Override PartName="/xl/media/image165.gif" ContentType="image/gif"/>
  <Override PartName="/xl/media/image1056.gif" ContentType="image/gif"/>
  <Override PartName="/xl/media/image166.gif" ContentType="image/gif"/>
  <Override PartName="/xl/media/image1057.gif" ContentType="image/gif"/>
  <Override PartName="/xl/media/image167.gif" ContentType="image/gif"/>
  <Override PartName="/xl/media/image1058.gif" ContentType="image/gif"/>
  <Override PartName="/xl/media/image168.gif" ContentType="image/gif"/>
  <Override PartName="/xl/media/image1059.gif" ContentType="image/gif"/>
  <Override PartName="/xl/media/image169.gif" ContentType="image/gif"/>
  <Override PartName="/xl/media/image1219.gif" ContentType="image/gif"/>
  <Override PartName="/xl/media/image329.gif" ContentType="image/gif"/>
  <Override PartName="/xl/media/image1062.gif" ContentType="image/gif"/>
  <Override PartName="/xl/media/image172.gif" ContentType="image/gif"/>
  <Override PartName="/xl/media/image1063.gif" ContentType="image/gif"/>
  <Override PartName="/xl/media/image173.gif" ContentType="image/gif"/>
  <Override PartName="/xl/media/image1064.gif" ContentType="image/gif"/>
  <Override PartName="/xl/media/image174.gif" ContentType="image/gif"/>
  <Override PartName="/xl/media/image1065.gif" ContentType="image/gif"/>
  <Override PartName="/xl/media/image175.gif" ContentType="image/gif"/>
  <Override PartName="/xl/media/image1066.gif" ContentType="image/gif"/>
  <Override PartName="/xl/media/image176.gif" ContentType="image/gif"/>
  <Override PartName="/xl/media/image1067.gif" ContentType="image/gif"/>
  <Override PartName="/xl/media/image177.gif" ContentType="image/gif"/>
  <Override PartName="/xl/media/image1068.gif" ContentType="image/gif"/>
  <Override PartName="/xl/media/image178.gif" ContentType="image/gif"/>
  <Override PartName="/xl/media/image1069.gif" ContentType="image/gif"/>
  <Override PartName="/xl/media/image179.gif" ContentType="image/gif"/>
  <Override PartName="/xl/media/image1227.gif" ContentType="image/gif"/>
  <Override PartName="/xl/media/image337.gif" ContentType="image/gif"/>
  <Override PartName="/xl/media/image1070.gif" ContentType="image/gif"/>
  <Override PartName="/xl/media/image180.gif" ContentType="image/gif"/>
  <Override PartName="/xl/media/image1228.gif" ContentType="image/gif"/>
  <Override PartName="/xl/media/image338.gif" ContentType="image/gif"/>
  <Override PartName="/xl/media/image1071.gif" ContentType="image/gif"/>
  <Override PartName="/xl/media/image181.gif" ContentType="image/gif"/>
  <Override PartName="/xl/media/image1229.gif" ContentType="image/gif"/>
  <Override PartName="/xl/media/image339.gif" ContentType="image/gif"/>
  <Override PartName="/xl/media/image1072.gif" ContentType="image/gif"/>
  <Override PartName="/xl/media/image182.gif" ContentType="image/gif"/>
  <Override PartName="/xl/media/image1073.gif" ContentType="image/gif"/>
  <Override PartName="/xl/media/image183.gif" ContentType="image/gif"/>
  <Override PartName="/xl/media/image1074.gif" ContentType="image/gif"/>
  <Override PartName="/xl/media/image184.gif" ContentType="image/gif"/>
  <Override PartName="/xl/media/image1075.gif" ContentType="image/gif"/>
  <Override PartName="/xl/media/image185.gif" ContentType="image/gif"/>
  <Override PartName="/xl/media/image1076.gif" ContentType="image/gif"/>
  <Override PartName="/xl/media/image186.gif" ContentType="image/gif"/>
  <Override PartName="/xl/media/image1077.gif" ContentType="image/gif"/>
  <Override PartName="/xl/media/image187.gif" ContentType="image/gif"/>
  <Override PartName="/xl/media/image1078.gif" ContentType="image/gif"/>
  <Override PartName="/xl/media/image188.gif" ContentType="image/gif"/>
  <Override PartName="/xl/media/image1079.gif" ContentType="image/gif"/>
  <Override PartName="/xl/media/image189.gif" ContentType="image/gif"/>
  <Override PartName="/xl/media/image1237.gif" ContentType="image/gif"/>
  <Override PartName="/xl/media/image347.gif" ContentType="image/gif"/>
  <Override PartName="/xl/media/image1080.gif" ContentType="image/gif"/>
  <Override PartName="/xl/media/image190.gif" ContentType="image/gif"/>
  <Override PartName="/xl/media/image1238.gif" ContentType="image/gif"/>
  <Override PartName="/xl/media/image348.gif" ContentType="image/gif"/>
  <Override PartName="/xl/media/image1081.gif" ContentType="image/gif"/>
  <Override PartName="/xl/media/image191.gif" ContentType="image/gif"/>
  <Override PartName="/xl/media/image1239.gif" ContentType="image/gif"/>
  <Override PartName="/xl/media/image349.gif" ContentType="image/gif"/>
  <Override PartName="/xl/media/image1082.gif" ContentType="image/gif"/>
  <Override PartName="/xl/media/image192.gif" ContentType="image/gif"/>
  <Override PartName="/xl/media/image1083.gif" ContentType="image/gif"/>
  <Override PartName="/xl/media/image193.gif" ContentType="image/gif"/>
  <Override PartName="/xl/media/image1084.gif" ContentType="image/gif"/>
  <Override PartName="/xl/media/image194.gif" ContentType="image/gif"/>
  <Override PartName="/xl/media/image1085.gif" ContentType="image/gif"/>
  <Override PartName="/xl/media/image195.gif" ContentType="image/gif"/>
  <Override PartName="/xl/media/image1086.gif" ContentType="image/gif"/>
  <Override PartName="/xl/media/image196.gif" ContentType="image/gif"/>
  <Override PartName="/xl/media/image1087.gif" ContentType="image/gif"/>
  <Override PartName="/xl/media/image197.gif" ContentType="image/gif"/>
  <Override PartName="/xl/media/image1088.gif" ContentType="image/gif"/>
  <Override PartName="/xl/media/image198.gif" ContentType="image/gif"/>
  <Override PartName="/xl/media/image1089.gif" ContentType="image/gif"/>
  <Override PartName="/xl/media/image199.gif" ContentType="image/gif"/>
  <Override PartName="/xl/media/image200.gif" ContentType="image/gif"/>
  <Override PartName="/xl/media/image1381.gif" ContentType="image/gif"/>
  <Override PartName="/xl/media/image491.gif" ContentType="image/gif"/>
  <Override PartName="/xl/media/image201.gif" ContentType="image/gif"/>
  <Override PartName="/xl/media/image1382.gif" ContentType="image/gif"/>
  <Override PartName="/xl/media/image492.gif" ContentType="image/gif"/>
  <Override PartName="/xl/media/image202.gif" ContentType="image/gif"/>
  <Override PartName="/xl/media/image1383.gif" ContentType="image/gif"/>
  <Override PartName="/xl/media/image493.gif" ContentType="image/gif"/>
  <Override PartName="/xl/media/image203.gif" ContentType="image/gif"/>
  <Override PartName="/xl/media/image1384.gif" ContentType="image/gif"/>
  <Override PartName="/xl/media/image494.gif" ContentType="image/gif"/>
  <Override PartName="/xl/media/image204.gif" ContentType="image/gif"/>
  <Override PartName="/xl/media/image1385.gif" ContentType="image/gif"/>
  <Override PartName="/xl/media/image495.gif" ContentType="image/gif"/>
  <Override PartName="/xl/media/image205.gif" ContentType="image/gif"/>
  <Override PartName="/xl/media/image1386.gif" ContentType="image/gif"/>
  <Override PartName="/xl/media/image496.gif" ContentType="image/gif"/>
  <Override PartName="/xl/media/image206.gif" ContentType="image/gif"/>
  <Override PartName="/xl/media/image1387.gif" ContentType="image/gif"/>
  <Override PartName="/xl/media/image497.gif" ContentType="image/gif"/>
  <Override PartName="/xl/media/image207.gif" ContentType="image/gif"/>
  <Override PartName="/xl/media/image1388.gif" ContentType="image/gif"/>
  <Override PartName="/xl/media/image498.gif" ContentType="image/gif"/>
  <Override PartName="/xl/media/image208.gif" ContentType="image/gif"/>
  <Override PartName="/xl/media/image1389.gif" ContentType="image/gif"/>
  <Override PartName="/xl/media/image499.gif" ContentType="image/gif"/>
  <Override PartName="/xl/media/image209.gif" ContentType="image/gif"/>
  <Override PartName="/xl/media/image1100.gif" ContentType="image/gif"/>
  <Override PartName="/xl/media/image210.gif" ContentType="image/gif"/>
  <Override PartName="/xl/media/image1101.gif" ContentType="image/gif"/>
  <Override PartName="/xl/media/image211.gif" ContentType="image/gif"/>
  <Override PartName="/xl/media/image1102.gif" ContentType="image/gif"/>
  <Override PartName="/xl/media/image212.gif" ContentType="image/gif"/>
  <Override PartName="/xl/media/image1103.gif" ContentType="image/gif"/>
  <Override PartName="/xl/media/image213.gif" ContentType="image/gif"/>
  <Override PartName="/xl/media/image1104.gif" ContentType="image/gif"/>
  <Override PartName="/xl/media/image214.gif" ContentType="image/gif"/>
  <Override PartName="/xl/media/image1105.gif" ContentType="image/gif"/>
  <Override PartName="/xl/media/image215.gif" ContentType="image/gif"/>
  <Override PartName="/xl/media/image1106.gif" ContentType="image/gif"/>
  <Override PartName="/xl/media/image216.gif" ContentType="image/gif"/>
  <Override PartName="/xl/media/image1107.gif" ContentType="image/gif"/>
  <Override PartName="/xl/media/image217.gif" ContentType="image/gif"/>
  <Override PartName="/xl/media/image1108.gif" ContentType="image/gif"/>
  <Override PartName="/xl/media/image218.gif" ContentType="image/gif"/>
  <Override PartName="/xl/media/image1109.gif" ContentType="image/gif"/>
  <Override PartName="/xl/media/image219.gif" ContentType="image/gif"/>
  <Override PartName="/xl/media/image1110.gif" ContentType="image/gif"/>
  <Override PartName="/xl/media/image220.gif" ContentType="image/gif"/>
  <Override PartName="/xl/media/image1111.gif" ContentType="image/gif"/>
  <Override PartName="/xl/media/image221.gif" ContentType="image/gif"/>
  <Override PartName="/xl/media/image1112.gif" ContentType="image/gif"/>
  <Override PartName="/xl/media/image222.gif" ContentType="image/gif"/>
  <Override PartName="/xl/media/image1113.gif" ContentType="image/gif"/>
  <Override PartName="/xl/media/image223.gif" ContentType="image/gif"/>
  <Override PartName="/xl/media/image1114.gif" ContentType="image/gif"/>
  <Override PartName="/xl/media/image224.gif" ContentType="image/gif"/>
  <Override PartName="/xl/media/image1115.gif" ContentType="image/gif"/>
  <Override PartName="/xl/media/image225.gif" ContentType="image/gif"/>
  <Override PartName="/xl/media/image1116.gif" ContentType="image/gif"/>
  <Override PartName="/xl/media/image226.gif" ContentType="image/gif"/>
  <Override PartName="/xl/media/image1117.gif" ContentType="image/gif"/>
  <Override PartName="/xl/media/image227.gif" ContentType="image/gif"/>
  <Override PartName="/xl/media/image1118.gif" ContentType="image/gif"/>
  <Override PartName="/xl/media/image228.gif" ContentType="image/gif"/>
  <Override PartName="/xl/media/image1119.gif" ContentType="image/gif"/>
  <Override PartName="/xl/media/image229.gif" ContentType="image/gif"/>
  <Override PartName="/xl/media/image1120.gif" ContentType="image/gif"/>
  <Override PartName="/xl/media/image230.gif" ContentType="image/gif"/>
  <Override PartName="/xl/media/image1121.gif" ContentType="image/gif"/>
  <Override PartName="/xl/media/image231.gif" ContentType="image/gif"/>
  <Override PartName="/xl/media/image1122.gif" ContentType="image/gif"/>
  <Override PartName="/xl/media/image232.gif" ContentType="image/gif"/>
  <Override PartName="/xl/media/image1123.gif" ContentType="image/gif"/>
  <Override PartName="/xl/media/image233.gif" ContentType="image/gif"/>
  <Override PartName="/xl/media/image1124.gif" ContentType="image/gif"/>
  <Override PartName="/xl/media/image234.gif" ContentType="image/gif"/>
  <Override PartName="/xl/media/image1125.gif" ContentType="image/gif"/>
  <Override PartName="/xl/media/image235.gif" ContentType="image/gif"/>
  <Override PartName="/xl/media/image1126.gif" ContentType="image/gif"/>
  <Override PartName="/xl/media/image236.gif" ContentType="image/gif"/>
  <Override PartName="/xl/media/image1127.gif" ContentType="image/gif"/>
  <Override PartName="/xl/media/image237.gif" ContentType="image/gif"/>
  <Override PartName="/xl/media/image1128.gif" ContentType="image/gif"/>
  <Override PartName="/xl/media/image238.gif" ContentType="image/gif"/>
  <Override PartName="/xl/media/image1129.gif" ContentType="image/gif"/>
  <Override PartName="/xl/media/image239.gif" ContentType="image/gif"/>
  <Override PartName="/xl/media/image1130.gif" ContentType="image/gif"/>
  <Override PartName="/xl/media/image240.gif" ContentType="image/gif"/>
  <Override PartName="/xl/media/image1131.gif" ContentType="image/gif"/>
  <Override PartName="/xl/media/image241.gif" ContentType="image/gif"/>
  <Override PartName="/xl/media/image1132.gif" ContentType="image/gif"/>
  <Override PartName="/xl/media/image242.gif" ContentType="image/gif"/>
  <Override PartName="/xl/media/image1133.gif" ContentType="image/gif"/>
  <Override PartName="/xl/media/image243.gif" ContentType="image/gif"/>
  <Override PartName="/xl/media/image1134.gif" ContentType="image/gif"/>
  <Override PartName="/xl/media/image244.gif" ContentType="image/gif"/>
  <Override PartName="/xl/media/image1135.gif" ContentType="image/gif"/>
  <Override PartName="/xl/media/image245.gif" ContentType="image/gif"/>
  <Override PartName="/xl/media/image1136.gif" ContentType="image/gif"/>
  <Override PartName="/xl/media/image246.gif" ContentType="image/gif"/>
  <Override PartName="/xl/media/image1137.gif" ContentType="image/gif"/>
  <Override PartName="/xl/media/image247.gif" ContentType="image/gif"/>
  <Override PartName="/xl/media/image1138.gif" ContentType="image/gif"/>
  <Override PartName="/xl/media/image248.gif" ContentType="image/gif"/>
  <Override PartName="/xl/media/image1139.gif" ContentType="image/gif"/>
  <Override PartName="/xl/media/image249.gif" ContentType="image/gif"/>
  <Override PartName="/xl/media/image1588.gif" ContentType="image/gif"/>
  <Override PartName="/xl/media/image698.gif" ContentType="image/gif"/>
  <Override PartName="/xl/media/image407.gif" ContentType="image/gif"/>
  <Override PartName="/xl/media/image1140.gif" ContentType="image/gif"/>
  <Override PartName="/xl/media/image250.gif" ContentType="image/gif"/>
  <Override PartName="/xl/media/image1589.gif" ContentType="image/gif"/>
  <Override PartName="/xl/media/image699.gif" ContentType="image/gif"/>
  <Override PartName="/xl/media/image408.gif" ContentType="image/gif"/>
  <Override PartName="/xl/media/image1141.gif" ContentType="image/gif"/>
  <Override PartName="/xl/media/image251.gif" ContentType="image/gif"/>
  <Override PartName="/xl/media/image409.gif" ContentType="image/gif"/>
  <Override PartName="/xl/media/image1142.gif" ContentType="image/gif"/>
  <Override PartName="/xl/media/image252.gif" ContentType="image/gif"/>
  <Override PartName="/xl/media/image1143.gif" ContentType="image/gif"/>
  <Override PartName="/xl/media/image253.gif" ContentType="image/gif"/>
  <Override PartName="/xl/media/image1144.gif" ContentType="image/gif"/>
  <Override PartName="/xl/media/image254.gif" ContentType="image/gif"/>
  <Override PartName="/xl/media/image1145.gif" ContentType="image/gif"/>
  <Override PartName="/xl/media/image255.gif" ContentType="image/gif"/>
  <Override PartName="/xl/media/image1146.gif" ContentType="image/gif"/>
  <Override PartName="/xl/media/image256.gif" ContentType="image/gif"/>
  <Override PartName="/xl/media/image1147.gif" ContentType="image/gif"/>
  <Override PartName="/xl/media/image257.gif" ContentType="image/gif"/>
  <Override PartName="/xl/media/image1148.gif" ContentType="image/gif"/>
  <Override PartName="/xl/media/image258.gif" ContentType="image/gif"/>
  <Override PartName="/xl/media/image1149.gif" ContentType="image/gif"/>
  <Override PartName="/xl/media/image259.gif" ContentType="image/gif"/>
  <Override PartName="/xl/media/image1307.gif" ContentType="image/gif"/>
  <Override PartName="/xl/media/image417.gif" ContentType="image/gif"/>
  <Override PartName="/xl/media/image1150.gif" ContentType="image/gif"/>
  <Override PartName="/xl/media/image260.gif" ContentType="image/gif"/>
  <Override PartName="/xl/media/image1308.gif" ContentType="image/gif"/>
  <Override PartName="/xl/media/image418.gif" ContentType="image/gif"/>
  <Override PartName="/xl/media/image1151.gif" ContentType="image/gif"/>
  <Override PartName="/xl/media/image261.gif" ContentType="image/gif"/>
  <Override PartName="/xl/media/image1309.gif" ContentType="image/gif"/>
  <Override PartName="/xl/media/image419.gif" ContentType="image/gif"/>
  <Override PartName="/xl/media/image1152.gif" ContentType="image/gif"/>
  <Override PartName="/xl/media/image262.gif" ContentType="image/gif"/>
  <Override PartName="/xl/media/image1153.gif" ContentType="image/gif"/>
  <Override PartName="/xl/media/image263.gif" ContentType="image/gif"/>
  <Override PartName="/xl/media/image1154.gif" ContentType="image/gif"/>
  <Override PartName="/xl/media/image264.gif" ContentType="image/gif"/>
  <Override PartName="/xl/media/image1155.gif" ContentType="image/gif"/>
  <Override PartName="/xl/media/image265.gif" ContentType="image/gif"/>
  <Override PartName="/xl/media/image1156.gif" ContentType="image/gif"/>
  <Override PartName="/xl/media/image266.gif" ContentType="image/gif"/>
  <Override PartName="/xl/media/image1157.gif" ContentType="image/gif"/>
  <Override PartName="/xl/media/image267.gif" ContentType="image/gif"/>
  <Override PartName="/xl/media/image1158.gif" ContentType="image/gif"/>
  <Override PartName="/xl/media/image268.gif" ContentType="image/gif"/>
  <Override PartName="/xl/media/image1159.gif" ContentType="image/gif"/>
  <Override PartName="/xl/media/image269.gif" ContentType="image/gif"/>
  <Override PartName="/xl/media/image1317.gif" ContentType="image/gif"/>
  <Override PartName="/xl/media/image427.gif" ContentType="image/gif"/>
  <Override PartName="/xl/media/image1160.gif" ContentType="image/gif"/>
  <Override PartName="/xl/media/image270.gif" ContentType="image/gif"/>
  <Override PartName="/xl/media/image1318.gif" ContentType="image/gif"/>
  <Override PartName="/xl/media/image428.gif" ContentType="image/gif"/>
  <Override PartName="/xl/media/image1161.gif" ContentType="image/gif"/>
  <Override PartName="/xl/media/image271.gif" ContentType="image/gif"/>
  <Override PartName="/xl/media/image1319.gif" ContentType="image/gif"/>
  <Override PartName="/xl/media/image429.gif" ContentType="image/gif"/>
  <Override PartName="/xl/media/image1162.gif" ContentType="image/gif"/>
  <Override PartName="/xl/media/image272.gif" ContentType="image/gif"/>
  <Override PartName="/xl/media/image1163.gif" ContentType="image/gif"/>
  <Override PartName="/xl/media/image273.gif" ContentType="image/gif"/>
  <Override PartName="/xl/media/image1164.gif" ContentType="image/gif"/>
  <Override PartName="/xl/media/image274.gif" ContentType="image/gif"/>
  <Override PartName="/xl/media/image1165.gif" ContentType="image/gif"/>
  <Override PartName="/xl/media/image275.gif" ContentType="image/gif"/>
  <Override PartName="/xl/media/image1166.gif" ContentType="image/gif"/>
  <Override PartName="/xl/media/image276.gif" ContentType="image/gif"/>
  <Override PartName="/xl/media/image1167.gif" ContentType="image/gif"/>
  <Override PartName="/xl/media/image277.gif" ContentType="image/gif"/>
  <Override PartName="/xl/media/image1168.gif" ContentType="image/gif"/>
  <Override PartName="/xl/media/image278.gif" ContentType="image/gif"/>
  <Override PartName="/xl/media/image1169.gif" ContentType="image/gif"/>
  <Override PartName="/xl/media/image279.gif" ContentType="image/gif"/>
  <Override PartName="/xl/media/image1327.gif" ContentType="image/gif"/>
  <Override PartName="/xl/media/image437.gif" ContentType="image/gif"/>
  <Override PartName="/xl/media/image1170.gif" ContentType="image/gif"/>
  <Override PartName="/xl/media/image280.gif" ContentType="image/gif"/>
  <Override PartName="/xl/media/image1328.gif" ContentType="image/gif"/>
  <Override PartName="/xl/media/image438.gif" ContentType="image/gif"/>
  <Override PartName="/xl/media/image1171.gif" ContentType="image/gif"/>
  <Override PartName="/xl/media/image281.gif" ContentType="image/gif"/>
  <Override PartName="/xl/media/image1329.gif" ContentType="image/gif"/>
  <Override PartName="/xl/media/image439.gif" ContentType="image/gif"/>
  <Override PartName="/xl/media/image1172.gif" ContentType="image/gif"/>
  <Override PartName="/xl/media/image282.gif" ContentType="image/gif"/>
  <Override PartName="/xl/media/image1173.gif" ContentType="image/gif"/>
  <Override PartName="/xl/media/image283.gif" ContentType="image/gif"/>
  <Override PartName="/xl/media/image1174.gif" ContentType="image/gif"/>
  <Override PartName="/xl/media/image284.gif" ContentType="image/gif"/>
  <Override PartName="/xl/media/image1175.gif" ContentType="image/gif"/>
  <Override PartName="/xl/media/image285.gif" ContentType="image/gif"/>
  <Override PartName="/xl/media/image1176.gif" ContentType="image/gif"/>
  <Override PartName="/xl/media/image286.gif" ContentType="image/gif"/>
  <Override PartName="/xl/media/image1177.gif" ContentType="image/gif"/>
  <Override PartName="/xl/media/image287.gif" ContentType="image/gif"/>
  <Override PartName="/xl/media/image1178.gif" ContentType="image/gif"/>
  <Override PartName="/xl/media/image288.gif" ContentType="image/gif"/>
  <Override PartName="/xl/media/image1179.gif" ContentType="image/gif"/>
  <Override PartName="/xl/media/image289.gif" ContentType="image/gif"/>
  <Override PartName="/xl/media/image1337.gif" ContentType="image/gif"/>
  <Override PartName="/xl/media/image447.gif" ContentType="image/gif"/>
  <Override PartName="/xl/media/image1180.gif" ContentType="image/gif"/>
  <Override PartName="/xl/media/image290.gif" ContentType="image/gif"/>
  <Override PartName="/xl/media/image1338.gif" ContentType="image/gif"/>
  <Override PartName="/xl/media/image448.gif" ContentType="image/gif"/>
  <Override PartName="/xl/media/image1181.gif" ContentType="image/gif"/>
  <Override PartName="/xl/media/image291.gif" ContentType="image/gif"/>
  <Override PartName="/xl/media/image1339.gif" ContentType="image/gif"/>
  <Override PartName="/xl/media/image449.gif" ContentType="image/gif"/>
  <Override PartName="/xl/media/image1182.gif" ContentType="image/gif"/>
  <Override PartName="/xl/media/image292.gif" ContentType="image/gif"/>
  <Override PartName="/xl/media/image1183.gif" ContentType="image/gif"/>
  <Override PartName="/xl/media/image293.gif" ContentType="image/gif"/>
  <Override PartName="/xl/media/image1184.gif" ContentType="image/gif"/>
  <Override PartName="/xl/media/image294.gif" ContentType="image/gif"/>
  <Override PartName="/xl/media/image1185.gif" ContentType="image/gif"/>
  <Override PartName="/xl/media/image295.gif" ContentType="image/gif"/>
  <Override PartName="/xl/media/image1186.gif" ContentType="image/gif"/>
  <Override PartName="/xl/media/image296.gif" ContentType="image/gif"/>
  <Override PartName="/xl/media/image1187.gif" ContentType="image/gif"/>
  <Override PartName="/xl/media/image297.gif" ContentType="image/gif"/>
  <Override PartName="/xl/media/image1188.gif" ContentType="image/gif"/>
  <Override PartName="/xl/media/image298.gif" ContentType="image/gif"/>
  <Override PartName="/xl/media/image1220.gif" ContentType="image/gif"/>
  <Override PartName="/xl/media/image330.gif" ContentType="image/gif"/>
  <Override PartName="/xl/media/image1221.gif" ContentType="image/gif"/>
  <Override PartName="/xl/media/image331.gif" ContentType="image/gif"/>
  <Override PartName="/xl/media/image1222.gif" ContentType="image/gif"/>
  <Override PartName="/xl/media/image332.gif" ContentType="image/gif"/>
  <Override PartName="/xl/media/image1223.gif" ContentType="image/gif"/>
  <Override PartName="/xl/media/image333.gif" ContentType="image/gif"/>
  <Override PartName="/xl/media/image1224.gif" ContentType="image/gif"/>
  <Override PartName="/xl/media/image334.gif" ContentType="image/gif"/>
  <Override PartName="/xl/media/image1225.gif" ContentType="image/gif"/>
  <Override PartName="/xl/media/image335.gif" ContentType="image/gif"/>
  <Override PartName="/xl/media/image1226.gif" ContentType="image/gif"/>
  <Override PartName="/xl/media/image336.gif" ContentType="image/gif"/>
  <Override PartName="/xl/media/image1230.gif" ContentType="image/gif"/>
  <Override PartName="/xl/media/image340.gif" ContentType="image/gif"/>
  <Override PartName="/xl/media/image1231.gif" ContentType="image/gif"/>
  <Override PartName="/xl/media/image341.gif" ContentType="image/gif"/>
  <Override PartName="/xl/media/image1232.gif" ContentType="image/gif"/>
  <Override PartName="/xl/media/image342.gif" ContentType="image/gif"/>
  <Override PartName="/xl/media/image1233.gif" ContentType="image/gif"/>
  <Override PartName="/xl/media/image343.gif" ContentType="image/gif"/>
  <Override PartName="/xl/media/image1234.gif" ContentType="image/gif"/>
  <Override PartName="/xl/media/image344.gif" ContentType="image/gif"/>
  <Override PartName="/xl/media/image1235.gif" ContentType="image/gif"/>
  <Override PartName="/xl/media/image345.gif" ContentType="image/gif"/>
  <Override PartName="/xl/media/image1236.gif" ContentType="image/gif"/>
  <Override PartName="/xl/media/image346.gif" ContentType="image/gif"/>
  <Override PartName="/xl/media/image1688.gif" ContentType="image/gif"/>
  <Override PartName="/xl/media/image798.gif" ContentType="image/gif"/>
  <Override PartName="/xl/media/image507.gif" ContentType="image/gif"/>
  <Override PartName="/xl/media/image1240.gif" ContentType="image/gif"/>
  <Override PartName="/xl/media/image350.gif" ContentType="image/gif"/>
  <Override PartName="/xl/media/image1689.gif" ContentType="image/gif"/>
  <Override PartName="/xl/media/image799.gif" ContentType="image/gif"/>
  <Override PartName="/xl/media/image508.gif" ContentType="image/gif"/>
  <Override PartName="/xl/media/image1241.gif" ContentType="image/gif"/>
  <Override PartName="/xl/media/image351.gif" ContentType="image/gif"/>
  <Override PartName="/xl/media/image509.gif" ContentType="image/gif"/>
  <Override PartName="/xl/media/image1242.gif" ContentType="image/gif"/>
  <Override PartName="/xl/media/image352.gif" ContentType="image/gif"/>
  <Override PartName="/xl/media/image1243.gif" ContentType="image/gif"/>
  <Override PartName="/xl/media/image353.gif" ContentType="image/gif"/>
  <Override PartName="/xl/media/image1244.gif" ContentType="image/gif"/>
  <Override PartName="/xl/media/image354.gif" ContentType="image/gif"/>
  <Override PartName="/xl/media/image1245.gif" ContentType="image/gif"/>
  <Override PartName="/xl/media/image355.gif" ContentType="image/gif"/>
  <Override PartName="/xl/media/image1246.gif" ContentType="image/gif"/>
  <Override PartName="/xl/media/image356.gif" ContentType="image/gif"/>
  <Override PartName="/xl/media/image1247.gif" ContentType="image/gif"/>
  <Override PartName="/xl/media/image357.gif" ContentType="image/gif"/>
  <Override PartName="/xl/media/image1248.gif" ContentType="image/gif"/>
  <Override PartName="/xl/media/image358.gif" ContentType="image/gif"/>
  <Override PartName="/xl/media/image1249.gif" ContentType="image/gif"/>
  <Override PartName="/xl/media/image359.gif" ContentType="image/gif"/>
  <Override PartName="/xl/media/image1250.gif" ContentType="image/gif"/>
  <Override PartName="/xl/media/image360.gif" ContentType="image/gif"/>
  <Override PartName="/xl/media/image1251.gif" ContentType="image/gif"/>
  <Override PartName="/xl/media/image361.gif" ContentType="image/gif"/>
  <Override PartName="/xl/media/image1252.gif" ContentType="image/gif"/>
  <Override PartName="/xl/media/image362.gif" ContentType="image/gif"/>
  <Override PartName="/xl/media/image1253.gif" ContentType="image/gif"/>
  <Override PartName="/xl/media/image363.gif" ContentType="image/gif"/>
  <Override PartName="/xl/media/image1254.gif" ContentType="image/gif"/>
  <Override PartName="/xl/media/image364.gif" ContentType="image/gif"/>
  <Override PartName="/xl/media/image1255.gif" ContentType="image/gif"/>
  <Override PartName="/xl/media/image365.gif" ContentType="image/gif"/>
  <Override PartName="/xl/media/image1256.gif" ContentType="image/gif"/>
  <Override PartName="/xl/media/image366.gif" ContentType="image/gif"/>
  <Override PartName="/xl/media/image1257.gif" ContentType="image/gif"/>
  <Override PartName="/xl/media/image367.gif" ContentType="image/gif"/>
  <Override PartName="/xl/media/image1258.gif" ContentType="image/gif"/>
  <Override PartName="/xl/media/image368.gif" ContentType="image/gif"/>
  <Override PartName="/xl/media/image1259.gif" ContentType="image/gif"/>
  <Override PartName="/xl/media/image369.gif" ContentType="image/gif"/>
  <Override PartName="/xl/media/image1260.gif" ContentType="image/gif"/>
  <Override PartName="/xl/media/image370.gif" ContentType="image/gif"/>
  <Override PartName="/xl/media/image1261.gif" ContentType="image/gif"/>
  <Override PartName="/xl/media/image371.gif" ContentType="image/gif"/>
  <Override PartName="/xl/media/image1262.gif" ContentType="image/gif"/>
  <Override PartName="/xl/media/image372.gif" ContentType="image/gif"/>
  <Override PartName="/xl/media/image1263.gif" ContentType="image/gif"/>
  <Override PartName="/xl/media/image373.gif" ContentType="image/gif"/>
  <Override PartName="/xl/media/image1264.gif" ContentType="image/gif"/>
  <Override PartName="/xl/media/image374.gif" ContentType="image/gif"/>
  <Override PartName="/xl/media/image1265.gif" ContentType="image/gif"/>
  <Override PartName="/xl/media/image375.gif" ContentType="image/gif"/>
  <Override PartName="/xl/media/image1266.gif" ContentType="image/gif"/>
  <Override PartName="/xl/media/image376.gif" ContentType="image/gif"/>
  <Override PartName="/xl/media/image1267.gif" ContentType="image/gif"/>
  <Override PartName="/xl/media/image377.gif" ContentType="image/gif"/>
  <Override PartName="/xl/media/image1268.gif" ContentType="image/gif"/>
  <Override PartName="/xl/media/image378.gif" ContentType="image/gif"/>
  <Override PartName="/xl/media/image1269.gif" ContentType="image/gif"/>
  <Override PartName="/xl/media/image379.gif" ContentType="image/gif"/>
  <Override PartName="/xl/media/image1273.gif" ContentType="image/gif"/>
  <Override PartName="/xl/media/image383.gif" ContentType="image/gif"/>
  <Override PartName="/xl/media/image1274.gif" ContentType="image/gif"/>
  <Override PartName="/xl/media/image384.gif" ContentType="image/gif"/>
  <Override PartName="/xl/media/image1275.gif" ContentType="image/gif"/>
  <Override PartName="/xl/media/image385.gif" ContentType="image/gif"/>
  <Override PartName="/xl/media/image1276.gif" ContentType="image/gif"/>
  <Override PartName="/xl/media/image386.gif" ContentType="image/gif"/>
  <Override PartName="/xl/media/image1277.gif" ContentType="image/gif"/>
  <Override PartName="/xl/media/image387.gif" ContentType="image/gif"/>
  <Override PartName="/xl/media/image1278.gif" ContentType="image/gif"/>
  <Override PartName="/xl/media/image388.gif" ContentType="image/gif"/>
  <Override PartName="/xl/media/image1279.gif" ContentType="image/gif"/>
  <Override PartName="/xl/media/image389.gif" ContentType="image/gif"/>
  <Override PartName="/xl/media/image1581.gif" ContentType="image/gif"/>
  <Override PartName="/xl/media/image691.gif" ContentType="image/gif"/>
  <Override PartName="/xl/media/image400.gif" ContentType="image/gif"/>
  <Override PartName="/xl/media/image1582.gif" ContentType="image/gif"/>
  <Override PartName="/xl/media/image692.gif" ContentType="image/gif"/>
  <Override PartName="/xl/media/image401.gif" ContentType="image/gif"/>
  <Override PartName="/xl/media/image1583.gif" ContentType="image/gif"/>
  <Override PartName="/xl/media/image693.gif" ContentType="image/gif"/>
  <Override PartName="/xl/media/image402.gif" ContentType="image/gif"/>
  <Override PartName="/xl/media/image1584.gif" ContentType="image/gif"/>
  <Override PartName="/xl/media/image694.gif" ContentType="image/gif"/>
  <Override PartName="/xl/media/image403.gif" ContentType="image/gif"/>
  <Override PartName="/xl/media/image1585.gif" ContentType="image/gif"/>
  <Override PartName="/xl/media/image695.gif" ContentType="image/gif"/>
  <Override PartName="/xl/media/image404.gif" ContentType="image/gif"/>
  <Override PartName="/xl/media/image1586.gif" ContentType="image/gif"/>
  <Override PartName="/xl/media/image696.gif" ContentType="image/gif"/>
  <Override PartName="/xl/media/image405.gif" ContentType="image/gif"/>
  <Override PartName="/xl/media/image1587.gif" ContentType="image/gif"/>
  <Override PartName="/xl/media/image697.gif" ContentType="image/gif"/>
  <Override PartName="/xl/media/image406.gif" ContentType="image/gif"/>
  <Override PartName="/xl/media/image1300.gif" ContentType="image/gif"/>
  <Override PartName="/xl/media/image410.gif" ContentType="image/gif"/>
  <Override PartName="/xl/media/image1301.gif" ContentType="image/gif"/>
  <Override PartName="/xl/media/image411.gif" ContentType="image/gif"/>
  <Override PartName="/xl/media/image1302.gif" ContentType="image/gif"/>
  <Override PartName="/xl/media/image412.gif" ContentType="image/gif"/>
  <Override PartName="/xl/media/image1303.gif" ContentType="image/gif"/>
  <Override PartName="/xl/media/image413.gif" ContentType="image/gif"/>
  <Override PartName="/xl/media/image1304.gif" ContentType="image/gif"/>
  <Override PartName="/xl/media/image414.gif" ContentType="image/gif"/>
  <Override PartName="/xl/media/image1305.gif" ContentType="image/gif"/>
  <Override PartName="/xl/media/image415.gif" ContentType="image/gif"/>
  <Override PartName="/xl/media/image1306.gif" ContentType="image/gif"/>
  <Override PartName="/xl/media/image416.gif" ContentType="image/gif"/>
  <Override PartName="/xl/media/image1310.gif" ContentType="image/gif"/>
  <Override PartName="/xl/media/image420.gif" ContentType="image/gif"/>
  <Override PartName="/xl/media/image1311.gif" ContentType="image/gif"/>
  <Override PartName="/xl/media/image421.gif" ContentType="image/gif"/>
  <Override PartName="/xl/media/image1312.gif" ContentType="image/gif"/>
  <Override PartName="/xl/media/image422.gif" ContentType="image/gif"/>
  <Override PartName="/xl/media/image1313.gif" ContentType="image/gif"/>
  <Override PartName="/xl/media/image423.gif" ContentType="image/gif"/>
  <Override PartName="/xl/media/image1314.gif" ContentType="image/gif"/>
  <Override PartName="/xl/media/image424.gif" ContentType="image/gif"/>
  <Override PartName="/xl/media/image1315.gif" ContentType="image/gif"/>
  <Override PartName="/xl/media/image425.gif" ContentType="image/gif"/>
  <Override PartName="/xl/media/image1316.gif" ContentType="image/gif"/>
  <Override PartName="/xl/media/image426.gif" ContentType="image/gif"/>
  <Override PartName="/xl/media/image1320.gif" ContentType="image/gif"/>
  <Override PartName="/xl/media/image430.gif" ContentType="image/gif"/>
  <Override PartName="/xl/media/image1321.gif" ContentType="image/gif"/>
  <Override PartName="/xl/media/image431.gif" ContentType="image/gif"/>
  <Override PartName="/xl/media/image1322.gif" ContentType="image/gif"/>
  <Override PartName="/xl/media/image432.gif" ContentType="image/gif"/>
  <Override PartName="/xl/media/image1323.gif" ContentType="image/gif"/>
  <Override PartName="/xl/media/image433.gif" ContentType="image/gif"/>
  <Override PartName="/xl/media/image1324.gif" ContentType="image/gif"/>
  <Override PartName="/xl/media/image434.gif" ContentType="image/gif"/>
  <Override PartName="/xl/media/image1325.gif" ContentType="image/gif"/>
  <Override PartName="/xl/media/image435.gif" ContentType="image/gif"/>
  <Override PartName="/xl/media/image1326.gif" ContentType="image/gif"/>
  <Override PartName="/xl/media/image436.gif" ContentType="image/gif"/>
  <Override PartName="/xl/media/image1330.gif" ContentType="image/gif"/>
  <Override PartName="/xl/media/image440.gif" ContentType="image/gif"/>
  <Override PartName="/xl/media/image1331.gif" ContentType="image/gif"/>
  <Override PartName="/xl/media/image441.gif" ContentType="image/gif"/>
  <Override PartName="/xl/media/image1332.gif" ContentType="image/gif"/>
  <Override PartName="/xl/media/image442.gif" ContentType="image/gif"/>
  <Override PartName="/xl/media/image1333.gif" ContentType="image/gif"/>
  <Override PartName="/xl/media/image443.gif" ContentType="image/gif"/>
  <Override PartName="/xl/media/image1334.gif" ContentType="image/gif"/>
  <Override PartName="/xl/media/image444.gif" ContentType="image/gif"/>
  <Override PartName="/xl/media/image1335.gif" ContentType="image/gif"/>
  <Override PartName="/xl/media/image445.gif" ContentType="image/gif"/>
  <Override PartName="/xl/media/image1336.gif" ContentType="image/gif"/>
  <Override PartName="/xl/media/image446.gif" ContentType="image/gif"/>
  <Override PartName="/xl/media/image1340.gif" ContentType="image/gif"/>
  <Override PartName="/xl/media/image450.gif" ContentType="image/gif"/>
  <Override PartName="/xl/media/image1341.gif" ContentType="image/gif"/>
  <Override PartName="/xl/media/image451.gif" ContentType="image/gif"/>
  <Override PartName="/xl/media/image1342.gif" ContentType="image/gif"/>
  <Override PartName="/xl/media/image452.gif" ContentType="image/gif"/>
  <Override PartName="/xl/media/image1343.gif" ContentType="image/gif"/>
  <Override PartName="/xl/media/image453.gif" ContentType="image/gif"/>
  <Override PartName="/xl/media/image1344.gif" ContentType="image/gif"/>
  <Override PartName="/xl/media/image454.gif" ContentType="image/gif"/>
  <Override PartName="/xl/media/image1345.gif" ContentType="image/gif"/>
  <Override PartName="/xl/media/image455.gif" ContentType="image/gif"/>
  <Override PartName="/xl/media/image1346.gif" ContentType="image/gif"/>
  <Override PartName="/xl/media/image456.gif" ContentType="image/gif"/>
  <Override PartName="/xl/media/image1348.gif" ContentType="image/gif"/>
  <Override PartName="/xl/media/image458.gif" ContentType="image/gif"/>
  <Override PartName="/xl/media/image1349.gif" ContentType="image/gif"/>
  <Override PartName="/xl/media/image459.gif" ContentType="image/gif"/>
  <Override PartName="/xl/media/image1350.gif" ContentType="image/gif"/>
  <Override PartName="/xl/media/image460.gif" ContentType="image/gif"/>
  <Override PartName="/xl/media/image1351.gif" ContentType="image/gif"/>
  <Override PartName="/xl/media/image461.gif" ContentType="image/gif"/>
  <Override PartName="/xl/media/image1352.gif" ContentType="image/gif"/>
  <Override PartName="/xl/media/image462.gif" ContentType="image/gif"/>
  <Override PartName="/xl/media/image1353.gif" ContentType="image/gif"/>
  <Override PartName="/xl/media/image463.gif" ContentType="image/gif"/>
  <Override PartName="/xl/media/image1354.gif" ContentType="image/gif"/>
  <Override PartName="/xl/media/image464.gif" ContentType="image/gif"/>
  <Override PartName="/xl/media/image1355.gif" ContentType="image/gif"/>
  <Override PartName="/xl/media/image465.gif" ContentType="image/gif"/>
  <Override PartName="/xl/media/image1356.gif" ContentType="image/gif"/>
  <Override PartName="/xl/media/image466.gif" ContentType="image/gif"/>
  <Override PartName="/xl/media/image1357.gif" ContentType="image/gif"/>
  <Override PartName="/xl/media/image467.gif" ContentType="image/gif"/>
  <Override PartName="/xl/media/image1358.gif" ContentType="image/gif"/>
  <Override PartName="/xl/media/image468.gif" ContentType="image/gif"/>
  <Override PartName="/xl/media/image1359.gif" ContentType="image/gif"/>
  <Override PartName="/xl/media/image469.gif" ContentType="image/gif"/>
  <Override PartName="/xl/media/image1360.gif" ContentType="image/gif"/>
  <Override PartName="/xl/media/image470.gif" ContentType="image/gif"/>
  <Override PartName="/xl/media/image1361.gif" ContentType="image/gif"/>
  <Override PartName="/xl/media/image471.gif" ContentType="image/gif"/>
  <Override PartName="/xl/media/image1362.gif" ContentType="image/gif"/>
  <Override PartName="/xl/media/image472.gif" ContentType="image/gif"/>
  <Override PartName="/xl/media/image1363.gif" ContentType="image/gif"/>
  <Override PartName="/xl/media/image473.gif" ContentType="image/gif"/>
  <Override PartName="/xl/media/image1364.gif" ContentType="image/gif"/>
  <Override PartName="/xl/media/image474.gif" ContentType="image/gif"/>
  <Override PartName="/xl/media/image1365.gif" ContentType="image/gif"/>
  <Override PartName="/xl/media/image475.gif" ContentType="image/gif"/>
  <Override PartName="/xl/media/image1366.gif" ContentType="image/gif"/>
  <Override PartName="/xl/media/image476.gif" ContentType="image/gif"/>
  <Override PartName="/xl/media/image1367.gif" ContentType="image/gif"/>
  <Override PartName="/xl/media/image477.gif" ContentType="image/gif"/>
  <Override PartName="/xl/media/image1368.gif" ContentType="image/gif"/>
  <Override PartName="/xl/media/image478.gif" ContentType="image/gif"/>
  <Override PartName="/xl/media/image1369.gif" ContentType="image/gif"/>
  <Override PartName="/xl/media/image479.gif" ContentType="image/gif"/>
  <Override PartName="/xl/media/image1370.gif" ContentType="image/gif"/>
  <Override PartName="/xl/media/image480.gif" ContentType="image/gif"/>
  <Override PartName="/xl/media/image1371.gif" ContentType="image/gif"/>
  <Override PartName="/xl/media/image481.gif" ContentType="image/gif"/>
  <Override PartName="/xl/media/image1372.gif" ContentType="image/gif"/>
  <Override PartName="/xl/media/image482.gif" ContentType="image/gif"/>
  <Override PartName="/xl/media/image1373.gif" ContentType="image/gif"/>
  <Override PartName="/xl/media/image483.gif" ContentType="image/gif"/>
  <Override PartName="/xl/media/image1374.gif" ContentType="image/gif"/>
  <Override PartName="/xl/media/image484.gif" ContentType="image/gif"/>
  <Override PartName="/xl/media/image1375.gif" ContentType="image/gif"/>
  <Override PartName="/xl/media/image485.gif" ContentType="image/gif"/>
  <Override PartName="/xl/media/image1376.gif" ContentType="image/gif"/>
  <Override PartName="/xl/media/image486.gif" ContentType="image/gif"/>
  <Override PartName="/xl/media/image1377.gif" ContentType="image/gif"/>
  <Override PartName="/xl/media/image487.gif" ContentType="image/gif"/>
  <Override PartName="/xl/media/image1378.gif" ContentType="image/gif"/>
  <Override PartName="/xl/media/image488.gif" ContentType="image/gif"/>
  <Override PartName="/xl/media/image1379.gif" ContentType="image/gif"/>
  <Override PartName="/xl/media/image489.gif" ContentType="image/gif"/>
  <Override PartName="/xl/media/image1380.gif" ContentType="image/gif"/>
  <Override PartName="/xl/media/image490.gif" ContentType="image/gif"/>
  <Override PartName="/xl/media/image1681.gif" ContentType="image/gif"/>
  <Override PartName="/xl/media/image791.gif" ContentType="image/gif"/>
  <Override PartName="/xl/media/image500.gif" ContentType="image/gif"/>
  <Override PartName="/xl/media/image1682.gif" ContentType="image/gif"/>
  <Override PartName="/xl/media/image792.gif" ContentType="image/gif"/>
  <Override PartName="/xl/media/image501.gif" ContentType="image/gif"/>
  <Override PartName="/xl/media/image1683.gif" ContentType="image/gif"/>
  <Override PartName="/xl/media/image793.gif" ContentType="image/gif"/>
  <Override PartName="/xl/media/image502.gif" ContentType="image/gif"/>
  <Override PartName="/xl/media/image1684.gif" ContentType="image/gif"/>
  <Override PartName="/xl/media/image794.gif" ContentType="image/gif"/>
  <Override PartName="/xl/media/image503.gif" ContentType="image/gif"/>
  <Override PartName="/xl/media/image1685.gif" ContentType="image/gif"/>
  <Override PartName="/xl/media/image795.gif" ContentType="image/gif"/>
  <Override PartName="/xl/media/image504.gif" ContentType="image/gif"/>
  <Override PartName="/xl/media/image1686.gif" ContentType="image/gif"/>
  <Override PartName="/xl/media/image796.gif" ContentType="image/gif"/>
  <Override PartName="/xl/media/image505.gif" ContentType="image/gif"/>
  <Override PartName="/xl/media/image1687.gif" ContentType="image/gif"/>
  <Override PartName="/xl/media/image797.gif" ContentType="image/gif"/>
  <Override PartName="/xl/media/image506.gif" ContentType="image/gif"/>
  <Override PartName="/xl/media/image1400.gif" ContentType="image/gif"/>
  <Override PartName="/xl/media/image510.gif" ContentType="image/gif"/>
  <Override PartName="/xl/media/image1401.gif" ContentType="image/gif"/>
  <Override PartName="/xl/media/image511.gif" ContentType="image/gif"/>
  <Override PartName="/xl/media/image1402.gif" ContentType="image/gif"/>
  <Override PartName="/xl/media/image512.gif" ContentType="image/gif"/>
  <Override PartName="/xl/media/image1403.gif" ContentType="image/gif"/>
  <Override PartName="/xl/media/image513.gif" ContentType="image/gif"/>
  <Override PartName="/xl/media/image1404.gif" ContentType="image/gif"/>
  <Override PartName="/xl/media/image514.gif" ContentType="image/gif"/>
  <Override PartName="/xl/media/image1405.gif" ContentType="image/gif"/>
  <Override PartName="/xl/media/image515.gif" ContentType="image/gif"/>
  <Override PartName="/xl/media/image1406.gif" ContentType="image/gif"/>
  <Override PartName="/xl/media/image516.gif" ContentType="image/gif"/>
  <Override PartName="/xl/media/image1407.gif" ContentType="image/gif"/>
  <Override PartName="/xl/media/image517.gif" ContentType="image/gif"/>
  <Override PartName="/xl/media/image1408.gif" ContentType="image/gif"/>
  <Override PartName="/xl/media/image518.gif" ContentType="image/gif"/>
  <Override PartName="/xl/media/image1409.gif" ContentType="image/gif"/>
  <Override PartName="/xl/media/image519.gif" ContentType="image/gif"/>
  <Override PartName="/xl/media/image1410.gif" ContentType="image/gif"/>
  <Override PartName="/xl/media/image520.gif" ContentType="image/gif"/>
  <Override PartName="/xl/media/image1411.gif" ContentType="image/gif"/>
  <Override PartName="/xl/media/image521.gif" ContentType="image/gif"/>
  <Override PartName="/xl/media/image1412.gif" ContentType="image/gif"/>
  <Override PartName="/xl/media/image522.gif" ContentType="image/gif"/>
  <Override PartName="/xl/media/image1413.gif" ContentType="image/gif"/>
  <Override PartName="/xl/media/image523.gif" ContentType="image/gif"/>
  <Override PartName="/xl/media/image1414.gif" ContentType="image/gif"/>
  <Override PartName="/xl/media/image524.gif" ContentType="image/gif"/>
  <Override PartName="/xl/media/image1415.gif" ContentType="image/gif"/>
  <Override PartName="/xl/media/image525.gif" ContentType="image/gif"/>
  <Override PartName="/xl/media/image1416.gif" ContentType="image/gif"/>
  <Override PartName="/xl/media/image526.gif" ContentType="image/gif"/>
  <Override PartName="/xl/media/image1417.gif" ContentType="image/gif"/>
  <Override PartName="/xl/media/image527.gif" ContentType="image/gif"/>
  <Override PartName="/xl/media/image1418.gif" ContentType="image/gif"/>
  <Override PartName="/xl/media/image528.gif" ContentType="image/gif"/>
  <Override PartName="/xl/media/image1419.gif" ContentType="image/gif"/>
  <Override PartName="/xl/media/image529.gif" ContentType="image/gif"/>
  <Override PartName="/xl/media/image891.gif" ContentType="image/gif"/>
  <Override PartName="/xl/media/image600.gif" ContentType="image/gif"/>
  <Override PartName="/xl/media/image892.gif" ContentType="image/gif"/>
  <Override PartName="/xl/media/image601.gif" ContentType="image/gif"/>
  <Override PartName="/xl/media/image893.gif" ContentType="image/gif"/>
  <Override PartName="/xl/media/image602.gif" ContentType="image/gif"/>
  <Override PartName="/xl/media/image894.gif" ContentType="image/gif"/>
  <Override PartName="/xl/media/image603.gif" ContentType="image/gif"/>
  <Override PartName="/xl/media/image895.gif" ContentType="image/gif"/>
  <Override PartName="/xl/media/image604.gif" ContentType="image/gif"/>
  <Override PartName="/xl/media/image896.gif" ContentType="image/gif"/>
  <Override PartName="/xl/media/image605.gif" ContentType="image/gif"/>
  <Override PartName="/xl/media/image897.gif" ContentType="image/gif"/>
  <Override PartName="/xl/media/image606.gif" ContentType="image/gif"/>
  <Override PartName="/xl/media/image898.gif" ContentType="image/gif"/>
  <Override PartName="/xl/media/image607.gif" ContentType="image/gif"/>
  <Override PartName="/xl/media/image899.gif" ContentType="image/gif"/>
  <Override PartName="/xl/media/image608.gif" ContentType="image/gif"/>
  <Override PartName="/xl/media/image609.gif" ContentType="image/gif"/>
  <Override PartName="/xl/media/image1500.gif" ContentType="image/gif"/>
  <Override PartName="/xl/media/image610.gif" ContentType="image/gif"/>
  <Override PartName="/xl/media/image1501.gif" ContentType="image/gif"/>
  <Override PartName="/xl/media/image611.gif" ContentType="image/gif"/>
  <Override PartName="/xl/media/image1502.gif" ContentType="image/gif"/>
  <Override PartName="/xl/media/image612.gif" ContentType="image/gif"/>
  <Override PartName="/xl/media/image1503.gif" ContentType="image/gif"/>
  <Override PartName="/xl/media/image613.gif" ContentType="image/gif"/>
  <Override PartName="/xl/media/image1504.gif" ContentType="image/gif"/>
  <Override PartName="/xl/media/image614.gif" ContentType="image/gif"/>
  <Override PartName="/xl/media/image1505.gif" ContentType="image/gif"/>
  <Override PartName="/xl/media/image615.gif" ContentType="image/gif"/>
  <Override PartName="/xl/media/image1506.gif" ContentType="image/gif"/>
  <Override PartName="/xl/media/image616.gif" ContentType="image/gif"/>
  <Override PartName="/xl/media/image1507.gif" ContentType="image/gif"/>
  <Override PartName="/xl/media/image617.gif" ContentType="image/gif"/>
  <Override PartName="/xl/media/image1508.gif" ContentType="image/gif"/>
  <Override PartName="/xl/media/image618.gif" ContentType="image/gif"/>
  <Override PartName="/xl/media/image1509.gif" ContentType="image/gif"/>
  <Override PartName="/xl/media/image619.gif" ContentType="image/gif"/>
  <Override PartName="/xl/media/image1510.gif" ContentType="image/gif"/>
  <Override PartName="/xl/media/image620.gif" ContentType="image/gif"/>
  <Override PartName="/xl/media/image1511.gif" ContentType="image/gif"/>
  <Override PartName="/xl/media/image621.gif" ContentType="image/gif"/>
  <Override PartName="/xl/media/image1512.gif" ContentType="image/gif"/>
  <Override PartName="/xl/media/image622.gif" ContentType="image/gif"/>
  <Override PartName="/xl/media/image1513.gif" ContentType="image/gif"/>
  <Override PartName="/xl/media/image623.gif" ContentType="image/gif"/>
  <Override PartName="/xl/media/image1514.gif" ContentType="image/gif"/>
  <Override PartName="/xl/media/image624.gif" ContentType="image/gif"/>
  <Override PartName="/xl/media/image1515.gif" ContentType="image/gif"/>
  <Override PartName="/xl/media/image625.gif" ContentType="image/gif"/>
  <Override PartName="/xl/media/image1516.gif" ContentType="image/gif"/>
  <Override PartName="/xl/media/image626.gif" ContentType="image/gif"/>
  <Override PartName="/xl/media/image1517.gif" ContentType="image/gif"/>
  <Override PartName="/xl/media/image627.gif" ContentType="image/gif"/>
  <Override PartName="/xl/media/image1518.gif" ContentType="image/gif"/>
  <Override PartName="/xl/media/image628.gif" ContentType="image/gif"/>
  <Override PartName="/xl/media/image1519.gif" ContentType="image/gif"/>
  <Override PartName="/xl/media/image629.gif" ContentType="image/gif"/>
  <Override PartName="/xl/media/image1520.gif" ContentType="image/gif"/>
  <Override PartName="/xl/media/image630.gif" ContentType="image/gif"/>
  <Override PartName="/xl/media/image1521.gif" ContentType="image/gif"/>
  <Override PartName="/xl/media/image631.gif" ContentType="image/gif"/>
  <Override PartName="/xl/media/image1522.gif" ContentType="image/gif"/>
  <Override PartName="/xl/media/image632.gif" ContentType="image/gif"/>
  <Override PartName="/xl/media/image1523.gif" ContentType="image/gif"/>
  <Override PartName="/xl/media/image633.gif" ContentType="image/gif"/>
  <Override PartName="/xl/media/image1524.gif" ContentType="image/gif"/>
  <Override PartName="/xl/media/image634.gif" ContentType="image/gif"/>
  <Override PartName="/xl/media/image1525.gif" ContentType="image/gif"/>
  <Override PartName="/xl/media/image635.gif" ContentType="image/gif"/>
  <Override PartName="/xl/media/image1526.gif" ContentType="image/gif"/>
  <Override PartName="/xl/media/image636.gif" ContentType="image/gif"/>
  <Override PartName="/xl/media/image1527.gif" ContentType="image/gif"/>
  <Override PartName="/xl/media/image637.gif" ContentType="image/gif"/>
  <Override PartName="/xl/media/image1528.gif" ContentType="image/gif"/>
  <Override PartName="/xl/media/image638.gif" ContentType="image/gif"/>
  <Override PartName="/xl/media/image1529.gif" ContentType="image/gif"/>
  <Override PartName="/xl/media/image639.gif" ContentType="image/gif"/>
  <Override PartName="/xl/media/image1530.gif" ContentType="image/gif"/>
  <Override PartName="/xl/media/image640.gif" ContentType="image/gif"/>
  <Override PartName="/xl/media/image1531.gif" ContentType="image/gif"/>
  <Override PartName="/xl/media/image641.gif" ContentType="image/gif"/>
  <Override PartName="/xl/media/image1532.gif" ContentType="image/gif"/>
  <Override PartName="/xl/media/image642.gif" ContentType="image/gif"/>
  <Override PartName="/xl/media/image1533.gif" ContentType="image/gif"/>
  <Override PartName="/xl/media/image643.gif" ContentType="image/gif"/>
  <Override PartName="/xl/media/image1534.gif" ContentType="image/gif"/>
  <Override PartName="/xl/media/image644.gif" ContentType="image/gif"/>
  <Override PartName="/xl/media/image1535.gif" ContentType="image/gif"/>
  <Override PartName="/xl/media/image645.gif" ContentType="image/gif"/>
  <Override PartName="/xl/media/image1536.gif" ContentType="image/gif"/>
  <Override PartName="/xl/media/image646.gif" ContentType="image/gif"/>
  <Override PartName="/xl/media/image1537.gif" ContentType="image/gif"/>
  <Override PartName="/xl/media/image647.gif" ContentType="image/gif"/>
  <Override PartName="/xl/media/image1538.gif" ContentType="image/gif"/>
  <Override PartName="/xl/media/image648.gif" ContentType="image/gif"/>
  <Override PartName="/xl/media/image1539.gif" ContentType="image/gif"/>
  <Override PartName="/xl/media/image649.gif" ContentType="image/gif"/>
  <Override PartName="/xl/media/image1540.gif" ContentType="image/gif"/>
  <Override PartName="/xl/media/image650.gif" ContentType="image/gif"/>
  <Override PartName="/xl/media/image1541.gif" ContentType="image/gif"/>
  <Override PartName="/xl/media/image651.gif" ContentType="image/gif"/>
  <Override PartName="/xl/media/image1542.gif" ContentType="image/gif"/>
  <Override PartName="/xl/media/image652.gif" ContentType="image/gif"/>
  <Override PartName="/xl/media/image1543.gif" ContentType="image/gif"/>
  <Override PartName="/xl/media/image653.gif" ContentType="image/gif"/>
  <Override PartName="/xl/media/image1544.gif" ContentType="image/gif"/>
  <Override PartName="/xl/media/image654.gif" ContentType="image/gif"/>
  <Override PartName="/xl/media/image1545.gif" ContentType="image/gif"/>
  <Override PartName="/xl/media/image655.gif" ContentType="image/gif"/>
  <Override PartName="/xl/media/image1546.gif" ContentType="image/gif"/>
  <Override PartName="/xl/media/image656.gif" ContentType="image/gif"/>
  <Override PartName="/xl/media/image1547.gif" ContentType="image/gif"/>
  <Override PartName="/xl/media/image657.gif" ContentType="image/gif"/>
  <Override PartName="/xl/media/image1548.gif" ContentType="image/gif"/>
  <Override PartName="/xl/media/image658.gif" ContentType="image/gif"/>
  <Override PartName="/xl/media/image1549.gif" ContentType="image/gif"/>
  <Override PartName="/xl/media/image659.gif" ContentType="image/gif"/>
  <Override PartName="/xl/media/image1550.gif" ContentType="image/gif"/>
  <Override PartName="/xl/media/image660.gif" ContentType="image/gif"/>
  <Override PartName="/xl/media/image1551.gif" ContentType="image/gif"/>
  <Override PartName="/xl/media/image661.gif" ContentType="image/gif"/>
  <Override PartName="/xl/media/image1552.gif" ContentType="image/gif"/>
  <Override PartName="/xl/media/image662.gif" ContentType="image/gif"/>
  <Override PartName="/xl/media/image1553.gif" ContentType="image/gif"/>
  <Override PartName="/xl/media/image663.gif" ContentType="image/gif"/>
  <Override PartName="/xl/media/image1554.gif" ContentType="image/gif"/>
  <Override PartName="/xl/media/image664.gif" ContentType="image/gif"/>
  <Override PartName="/xl/media/image1555.gif" ContentType="image/gif"/>
  <Override PartName="/xl/media/image665.gif" ContentType="image/gif"/>
  <Override PartName="/xl/media/image1556.gif" ContentType="image/gif"/>
  <Override PartName="/xl/media/image666.gif" ContentType="image/gif"/>
  <Override PartName="/xl/media/image1557.gif" ContentType="image/gif"/>
  <Override PartName="/xl/media/image667.gif" ContentType="image/gif"/>
  <Override PartName="/xl/media/image1558.gif" ContentType="image/gif"/>
  <Override PartName="/xl/media/image668.gif" ContentType="image/gif"/>
  <Override PartName="/xl/media/image1559.gif" ContentType="image/gif"/>
  <Override PartName="/xl/media/image669.gif" ContentType="image/gif"/>
  <Override PartName="/xl/media/image1560.gif" ContentType="image/gif"/>
  <Override PartName="/xl/media/image670.gif" ContentType="image/gif"/>
  <Override PartName="/xl/media/image1561.gif" ContentType="image/gif"/>
  <Override PartName="/xl/media/image671.gif" ContentType="image/gif"/>
  <Override PartName="/xl/media/image1562.gif" ContentType="image/gif"/>
  <Override PartName="/xl/media/image672.gif" ContentType="image/gif"/>
  <Override PartName="/xl/media/image1563.gif" ContentType="image/gif"/>
  <Override PartName="/xl/media/image673.gif" ContentType="image/gif"/>
  <Override PartName="/xl/media/image1564.gif" ContentType="image/gif"/>
  <Override PartName="/xl/media/image674.gif" ContentType="image/gif"/>
  <Override PartName="/xl/media/image1565.gif" ContentType="image/gif"/>
  <Override PartName="/xl/media/image675.gif" ContentType="image/gif"/>
  <Override PartName="/xl/media/image1566.gif" ContentType="image/gif"/>
  <Override PartName="/xl/media/image676.gif" ContentType="image/gif"/>
  <Override PartName="/xl/media/image1567.gif" ContentType="image/gif"/>
  <Override PartName="/xl/media/image677.gif" ContentType="image/gif"/>
  <Override PartName="/xl/media/image1568.gif" ContentType="image/gif"/>
  <Override PartName="/xl/media/image678.gif" ContentType="image/gif"/>
  <Override PartName="/xl/media/image1569.gif" ContentType="image/gif"/>
  <Override PartName="/xl/media/image679.gif" ContentType="image/gif"/>
  <Override PartName="/xl/media/image1570.gif" ContentType="image/gif"/>
  <Override PartName="/xl/media/image680.gif" ContentType="image/gif"/>
  <Override PartName="/xl/media/image1571.gif" ContentType="image/gif"/>
  <Override PartName="/xl/media/image681.gif" ContentType="image/gif"/>
  <Override PartName="/xl/media/image1572.gif" ContentType="image/gif"/>
  <Override PartName="/xl/media/image682.gif" ContentType="image/gif"/>
  <Override PartName="/xl/media/image1573.gif" ContentType="image/gif"/>
  <Override PartName="/xl/media/image683.gif" ContentType="image/gif"/>
  <Override PartName="/xl/media/image1574.gif" ContentType="image/gif"/>
  <Override PartName="/xl/media/image684.gif" ContentType="image/gif"/>
  <Override PartName="/xl/media/image1575.gif" ContentType="image/gif"/>
  <Override PartName="/xl/media/image685.gif" ContentType="image/gif"/>
  <Override PartName="/xl/media/image1576.gif" ContentType="image/gif"/>
  <Override PartName="/xl/media/image686.gif" ContentType="image/gif"/>
  <Override PartName="/xl/media/image1577.gif" ContentType="image/gif"/>
  <Override PartName="/xl/media/image687.gif" ContentType="image/gif"/>
  <Override PartName="/xl/media/image1578.gif" ContentType="image/gif"/>
  <Override PartName="/xl/media/image688.gif" ContentType="image/gif"/>
  <Override PartName="/xl/media/image1579.gif" ContentType="image/gif"/>
  <Override PartName="/xl/media/image689.gif" ContentType="image/gif"/>
  <Override PartName="/xl/media/image1580.gif" ContentType="image/gif"/>
  <Override PartName="/xl/media/image690.gif" ContentType="image/gif"/>
  <Override PartName="/xl/media/image991.gif" ContentType="image/gif"/>
  <Override PartName="/xl/media/image700.gif" ContentType="image/gif"/>
  <Override PartName="/xl/media/image992.gif" ContentType="image/gif"/>
  <Override PartName="/xl/media/image701.gif" ContentType="image/gif"/>
  <Override PartName="/xl/media/image993.gif" ContentType="image/gif"/>
  <Override PartName="/xl/media/image702.gif" ContentType="image/gif"/>
  <Override PartName="/xl/media/image994.gif" ContentType="image/gif"/>
  <Override PartName="/xl/media/image703.gif" ContentType="image/gif"/>
  <Override PartName="/xl/media/image995.gif" ContentType="image/gif"/>
  <Override PartName="/xl/media/image704.gif" ContentType="image/gif"/>
  <Override PartName="/xl/media/image996.gif" ContentType="image/gif"/>
  <Override PartName="/xl/media/image705.gif" ContentType="image/gif"/>
  <Override PartName="/xl/media/image997.gif" ContentType="image/gif"/>
  <Override PartName="/xl/media/image706.gif" ContentType="image/gif"/>
  <Override PartName="/xl/media/image998.gif" ContentType="image/gif"/>
  <Override PartName="/xl/media/image707.gif" ContentType="image/gif"/>
  <Override PartName="/xl/media/image999.gif" ContentType="image/gif"/>
  <Override PartName="/xl/media/image708.gif" ContentType="image/gif"/>
  <Override PartName="/xl/media/image709.gif" ContentType="image/gif"/>
  <Override PartName="/xl/media/image1600.gif" ContentType="image/gif"/>
  <Override PartName="/xl/media/image710.gif" ContentType="image/gif"/>
  <Override PartName="/xl/media/image1601.gif" ContentType="image/gif"/>
  <Override PartName="/xl/media/image711.gif" ContentType="image/gif"/>
  <Override PartName="/xl/media/image1602.gif" ContentType="image/gif"/>
  <Override PartName="/xl/media/image712.gif" ContentType="image/gif"/>
  <Override PartName="/xl/media/image1603.gif" ContentType="image/gif"/>
  <Override PartName="/xl/media/image713.gif" ContentType="image/gif"/>
  <Override PartName="/xl/media/image1604.gif" ContentType="image/gif"/>
  <Override PartName="/xl/media/image714.gif" ContentType="image/gif"/>
  <Override PartName="/xl/media/image1605.gif" ContentType="image/gif"/>
  <Override PartName="/xl/media/image715.gif" ContentType="image/gif"/>
  <Override PartName="/xl/media/image1606.gif" ContentType="image/gif"/>
  <Override PartName="/xl/media/image716.gif" ContentType="image/gif"/>
  <Override PartName="/xl/media/image1607.gif" ContentType="image/gif"/>
  <Override PartName="/xl/media/image717.gif" ContentType="image/gif"/>
  <Override PartName="/xl/media/image1608.gif" ContentType="image/gif"/>
  <Override PartName="/xl/media/image718.gif" ContentType="image/gif"/>
  <Override PartName="/xl/media/image1609.gif" ContentType="image/gif"/>
  <Override PartName="/xl/media/image719.gif" ContentType="image/gif"/>
  <Override PartName="/xl/media/image1610.gif" ContentType="image/gif"/>
  <Override PartName="/xl/media/image720.gif" ContentType="image/gif"/>
  <Override PartName="/xl/media/image1611.gif" ContentType="image/gif"/>
  <Override PartName="/xl/media/image721.gif" ContentType="image/gif"/>
  <Override PartName="/xl/media/image1612.gif" ContentType="image/gif"/>
  <Override PartName="/xl/media/image722.gif" ContentType="image/gif"/>
  <Override PartName="/xl/media/image1613.gif" ContentType="image/gif"/>
  <Override PartName="/xl/media/image723.gif" ContentType="image/gif"/>
  <Override PartName="/xl/media/image1614.gif" ContentType="image/gif"/>
  <Override PartName="/xl/media/image724.gif" ContentType="image/gif"/>
  <Override PartName="/xl/media/image1615.gif" ContentType="image/gif"/>
  <Override PartName="/xl/media/image725.gif" ContentType="image/gif"/>
  <Override PartName="/xl/media/image1616.gif" ContentType="image/gif"/>
  <Override PartName="/xl/media/image726.gif" ContentType="image/gif"/>
  <Override PartName="/xl/media/image1617.gif" ContentType="image/gif"/>
  <Override PartName="/xl/media/image727.gif" ContentType="image/gif"/>
  <Override PartName="/xl/media/image1618.gif" ContentType="image/gif"/>
  <Override PartName="/xl/media/image728.gif" ContentType="image/gif"/>
  <Override PartName="/xl/media/image1619.gif" ContentType="image/gif"/>
  <Override PartName="/xl/media/image729.gif" ContentType="image/gif"/>
  <Override PartName="/xl/media/image1620.gif" ContentType="image/gif"/>
  <Override PartName="/xl/media/image730.gif" ContentType="image/gif"/>
  <Override PartName="/xl/media/image1621.gif" ContentType="image/gif"/>
  <Override PartName="/xl/media/image731.gif" ContentType="image/gif"/>
  <Override PartName="/xl/media/image1622.gif" ContentType="image/gif"/>
  <Override PartName="/xl/media/image732.gif" ContentType="image/gif"/>
  <Override PartName="/xl/media/image1623.gif" ContentType="image/gif"/>
  <Override PartName="/xl/media/image733.gif" ContentType="image/gif"/>
  <Override PartName="/xl/media/image1624.gif" ContentType="image/gif"/>
  <Override PartName="/xl/media/image734.gif" ContentType="image/gif"/>
  <Override PartName="/xl/media/image1625.gif" ContentType="image/gif"/>
  <Override PartName="/xl/media/image735.gif" ContentType="image/gif"/>
  <Override PartName="/xl/media/image1626.gif" ContentType="image/gif"/>
  <Override PartName="/xl/media/image736.gif" ContentType="image/gif"/>
  <Override PartName="/xl/media/image1627.gif" ContentType="image/gif"/>
  <Override PartName="/xl/media/image737.gif" ContentType="image/gif"/>
  <Override PartName="/xl/media/image1628.gif" ContentType="image/gif"/>
  <Override PartName="/xl/media/image738.gif" ContentType="image/gif"/>
  <Override PartName="/xl/media/image1629.gif" ContentType="image/gif"/>
  <Override PartName="/xl/media/image739.gif" ContentType="image/gif"/>
  <Override PartName="/xl/media/image1630.gif" ContentType="image/gif"/>
  <Override PartName="/xl/media/image740.gif" ContentType="image/gif"/>
  <Override PartName="/xl/media/image1631.gif" ContentType="image/gif"/>
  <Override PartName="/xl/media/image741.gif" ContentType="image/gif"/>
  <Override PartName="/xl/media/image1632.gif" ContentType="image/gif"/>
  <Override PartName="/xl/media/image742.gif" ContentType="image/gif"/>
  <Override PartName="/xl/media/image1633.gif" ContentType="image/gif"/>
  <Override PartName="/xl/media/image743.gif" ContentType="image/gif"/>
  <Override PartName="/xl/media/image1634.gif" ContentType="image/gif"/>
  <Override PartName="/xl/media/image744.gif" ContentType="image/gif"/>
  <Override PartName="/xl/media/image1635.gif" ContentType="image/gif"/>
  <Override PartName="/xl/media/image745.gif" ContentType="image/gif"/>
  <Override PartName="/xl/media/image1636.gif" ContentType="image/gif"/>
  <Override PartName="/xl/media/image746.gif" ContentType="image/gif"/>
  <Override PartName="/xl/media/image1637.gif" ContentType="image/gif"/>
  <Override PartName="/xl/media/image747.gif" ContentType="image/gif"/>
  <Override PartName="/xl/media/image1638.gif" ContentType="image/gif"/>
  <Override PartName="/xl/media/image748.gif" ContentType="image/gif"/>
  <Override PartName="/xl/media/image1639.gif" ContentType="image/gif"/>
  <Override PartName="/xl/media/image749.gif" ContentType="image/gif"/>
  <Override PartName="/xl/media/image1640.gif" ContentType="image/gif"/>
  <Override PartName="/xl/media/image750.gif" ContentType="image/gif"/>
  <Override PartName="/xl/media/image1641.gif" ContentType="image/gif"/>
  <Override PartName="/xl/media/image751.gif" ContentType="image/gif"/>
  <Override PartName="/xl/media/image1642.gif" ContentType="image/gif"/>
  <Override PartName="/xl/media/image752.gif" ContentType="image/gif"/>
  <Override PartName="/xl/media/image1643.gif" ContentType="image/gif"/>
  <Override PartName="/xl/media/image753.gif" ContentType="image/gif"/>
  <Override PartName="/xl/media/image1644.gif" ContentType="image/gif"/>
  <Override PartName="/xl/media/image754.gif" ContentType="image/gif"/>
  <Override PartName="/xl/media/image1645.gif" ContentType="image/gif"/>
  <Override PartName="/xl/media/image755.gif" ContentType="image/gif"/>
  <Override PartName="/xl/media/image1646.gif" ContentType="image/gif"/>
  <Override PartName="/xl/media/image756.gif" ContentType="image/gif"/>
  <Override PartName="/xl/media/image1647.gif" ContentType="image/gif"/>
  <Override PartName="/xl/media/image757.gif" ContentType="image/gif"/>
  <Override PartName="/xl/media/image1648.gif" ContentType="image/gif"/>
  <Override PartName="/xl/media/image758.gif" ContentType="image/gif"/>
  <Override PartName="/xl/media/image1649.gif" ContentType="image/gif"/>
  <Override PartName="/xl/media/image759.gif" ContentType="image/gif"/>
  <Override PartName="/xl/media/image1650.gif" ContentType="image/gif"/>
  <Override PartName="/xl/media/image760.gif" ContentType="image/gif"/>
  <Override PartName="/xl/media/image1651.gif" ContentType="image/gif"/>
  <Override PartName="/xl/media/image761.gif" ContentType="image/gif"/>
  <Override PartName="/xl/media/image1652.gif" ContentType="image/gif"/>
  <Override PartName="/xl/media/image762.gif" ContentType="image/gif"/>
  <Override PartName="/xl/media/image1653.gif" ContentType="image/gif"/>
  <Override PartName="/xl/media/image763.gif" ContentType="image/gif"/>
  <Override PartName="/xl/media/image1654.gif" ContentType="image/gif"/>
  <Override PartName="/xl/media/image764.gif" ContentType="image/gif"/>
  <Override PartName="/xl/media/image1655.gif" ContentType="image/gif"/>
  <Override PartName="/xl/media/image765.gif" ContentType="image/gif"/>
  <Override PartName="/xl/media/image1656.gif" ContentType="image/gif"/>
  <Override PartName="/xl/media/image766.gif" ContentType="image/gif"/>
  <Override PartName="/xl/media/image1657.gif" ContentType="image/gif"/>
  <Override PartName="/xl/media/image767.gif" ContentType="image/gif"/>
  <Override PartName="/xl/media/image1658.gif" ContentType="image/gif"/>
  <Override PartName="/xl/media/image768.gif" ContentType="image/gif"/>
  <Override PartName="/xl/media/image1659.gif" ContentType="image/gif"/>
  <Override PartName="/xl/media/image769.gif" ContentType="image/gif"/>
  <Override PartName="/xl/media/image1660.gif" ContentType="image/gif"/>
  <Override PartName="/xl/media/image770.gif" ContentType="image/gif"/>
  <Override PartName="/xl/media/image1661.gif" ContentType="image/gif"/>
  <Override PartName="/xl/media/image771.gif" ContentType="image/gif"/>
  <Override PartName="/xl/media/image1662.gif" ContentType="image/gif"/>
  <Override PartName="/xl/media/image772.gif" ContentType="image/gif"/>
  <Override PartName="/xl/media/image1663.gif" ContentType="image/gif"/>
  <Override PartName="/xl/media/image773.gif" ContentType="image/gif"/>
  <Override PartName="/xl/media/image1664.gif" ContentType="image/gif"/>
  <Override PartName="/xl/media/image774.gif" ContentType="image/gif"/>
  <Override PartName="/xl/media/image1665.gif" ContentType="image/gif"/>
  <Override PartName="/xl/media/image775.gif" ContentType="image/gif"/>
  <Override PartName="/xl/media/image1666.gif" ContentType="image/gif"/>
  <Override PartName="/xl/media/image776.gif" ContentType="image/gif"/>
  <Override PartName="/xl/media/image1667.gif" ContentType="image/gif"/>
  <Override PartName="/xl/media/image777.gif" ContentType="image/gif"/>
  <Override PartName="/xl/media/image1668.gif" ContentType="image/gif"/>
  <Override PartName="/xl/media/image778.gif" ContentType="image/gif"/>
  <Override PartName="/xl/media/image1669.gif" ContentType="image/gif"/>
  <Override PartName="/xl/media/image779.gif" ContentType="image/gif"/>
  <Override PartName="/xl/media/image1670.gif" ContentType="image/gif"/>
  <Override PartName="/xl/media/image780.gif" ContentType="image/gif"/>
  <Override PartName="/xl/media/image1671.gif" ContentType="image/gif"/>
  <Override PartName="/xl/media/image781.gif" ContentType="image/gif"/>
  <Override PartName="/xl/media/image1672.gif" ContentType="image/gif"/>
  <Override PartName="/xl/media/image782.gif" ContentType="image/gif"/>
  <Override PartName="/xl/media/image1673.gif" ContentType="image/gif"/>
  <Override PartName="/xl/media/image783.gif" ContentType="image/gif"/>
  <Override PartName="/xl/media/image1674.gif" ContentType="image/gif"/>
  <Override PartName="/xl/media/image784.gif" ContentType="image/gif"/>
  <Override PartName="/xl/media/image1675.gif" ContentType="image/gif"/>
  <Override PartName="/xl/media/image785.gif" ContentType="image/gif"/>
  <Override PartName="/xl/media/image1676.gif" ContentType="image/gif"/>
  <Override PartName="/xl/media/image786.gif" ContentType="image/gif"/>
  <Override PartName="/xl/media/image1677.gif" ContentType="image/gif"/>
  <Override PartName="/xl/media/image787.gif" ContentType="image/gif"/>
  <Override PartName="/xl/media/image1678.gif" ContentType="image/gif"/>
  <Override PartName="/xl/media/image788.gif" ContentType="image/gif"/>
  <Override PartName="/xl/media/image1679.gif" ContentType="image/gif"/>
  <Override PartName="/xl/media/image789.gif" ContentType="image/gif"/>
  <Override PartName="/xl/media/image1680.gif" ContentType="image/gif"/>
  <Override PartName="/xl/media/image790.gif" ContentType="image/gif"/>
  <Override PartName="/xl/media/image800.gif" ContentType="image/gif"/>
  <Override PartName="/xl/media/image801.gif" ContentType="image/gif"/>
  <Override PartName="/xl/media/image802.gif" ContentType="image/gif"/>
  <Override PartName="/xl/media/image803.gif" ContentType="image/gif"/>
  <Override PartName="/xl/media/image804.gif" ContentType="image/gif"/>
  <Override PartName="/xl/media/image805.gif" ContentType="image/gif"/>
  <Override PartName="/xl/media/image806.gif" ContentType="image/gif"/>
  <Override PartName="/xl/media/image807.gif" ContentType="image/gif"/>
  <Override PartName="/xl/media/image808.gif" ContentType="image/gif"/>
  <Override PartName="/xl/media/image809.gif" ContentType="image/gif"/>
  <Override PartName="/xl/media/image1700.gif" ContentType="image/gif"/>
  <Override PartName="/xl/media/image810.gif" ContentType="image/gif"/>
  <Override PartName="/xl/media/image1701.gif" ContentType="image/gif"/>
  <Override PartName="/xl/media/image811.gif" ContentType="image/gif"/>
  <Override PartName="/xl/media/image1702.gif" ContentType="image/gif"/>
  <Override PartName="/xl/media/image812.gif" ContentType="image/gif"/>
  <Override PartName="/xl/media/image1703.gif" ContentType="image/gif"/>
  <Override PartName="/xl/media/image813.gif" ContentType="image/gif"/>
  <Override PartName="/xl/media/image1704.gif" ContentType="image/gif"/>
  <Override PartName="/xl/media/image814.gif" ContentType="image/gif"/>
  <Override PartName="/xl/media/image1705.gif" ContentType="image/gif"/>
  <Override PartName="/xl/media/image815.gif" ContentType="image/gif"/>
  <Override PartName="/xl/media/image1706.gif" ContentType="image/gif"/>
  <Override PartName="/xl/media/image816.gif" ContentType="image/gif"/>
  <Override PartName="/xl/media/image1707.gif" ContentType="image/gif"/>
  <Override PartName="/xl/media/image817.gif" ContentType="image/gif"/>
  <Override PartName="/xl/media/image1708.gif" ContentType="image/gif"/>
  <Override PartName="/xl/media/image818.gif" ContentType="image/gif"/>
  <Override PartName="/xl/media/image1709.gif" ContentType="image/gif"/>
  <Override PartName="/xl/media/image819.gif" ContentType="image/gif"/>
  <Override PartName="/xl/media/image1710.gif" ContentType="image/gif"/>
  <Override PartName="/xl/media/image820.gif" ContentType="image/gif"/>
  <Override PartName="/xl/media/image1711.gif" ContentType="image/gif"/>
  <Override PartName="/xl/media/image821.gif" ContentType="image/gif"/>
  <Override PartName="/xl/media/image1712.gif" ContentType="image/gif"/>
  <Override PartName="/xl/media/image822.gif" ContentType="image/gif"/>
  <Override PartName="/xl/media/image1713.gif" ContentType="image/gif"/>
  <Override PartName="/xl/media/image823.gif" ContentType="image/gif"/>
  <Override PartName="/xl/media/image1714.gif" ContentType="image/gif"/>
  <Override PartName="/xl/media/image824.gif" ContentType="image/gif"/>
  <Override PartName="/xl/media/image1715.gif" ContentType="image/gif"/>
  <Override PartName="/xl/media/image825.gif" ContentType="image/gif"/>
  <Override PartName="/xl/media/image826.gif" ContentType="image/gif"/>
  <Override PartName="/xl/media/image827.gif" ContentType="image/gif"/>
  <Override PartName="/xl/media/image828.gif" ContentType="image/gif"/>
  <Override PartName="/xl/media/image829.gif" ContentType="image/gif"/>
  <Override PartName="/xl/media/image830.gif" ContentType="image/gif"/>
  <Override PartName="/xl/media/image831.gif" ContentType="image/gif"/>
  <Override PartName="/xl/media/image832.gif" ContentType="image/gif"/>
  <Override PartName="/xl/media/image833.gif" ContentType="image/gif"/>
  <Override PartName="/xl/media/image834.gif" ContentType="image/gif"/>
  <Override PartName="/xl/media/image835.gif" ContentType="image/gif"/>
  <Override PartName="/xl/media/image836.gif" ContentType="image/gif"/>
  <Override PartName="/xl/media/image837.gif" ContentType="image/gif"/>
  <Override PartName="/xl/media/image838.gif" ContentType="image/gif"/>
  <Override PartName="/xl/media/image839.gif" ContentType="image/gif"/>
  <Override PartName="/xl/media/image840.gif" ContentType="image/gif"/>
  <Override PartName="/xl/media/image841.gif" ContentType="image/gif"/>
  <Override PartName="/xl/media/image842.gif" ContentType="image/gif"/>
  <Override PartName="/xl/media/image843.gif" ContentType="image/gif"/>
  <Override PartName="/xl/media/image844.gif" ContentType="image/gif"/>
  <Override PartName="/xl/media/image845.gif" ContentType="image/gif"/>
  <Override PartName="/xl/media/image846.gif" ContentType="image/gif"/>
  <Override PartName="/xl/media/image847.gif" ContentType="image/gif"/>
  <Override PartName="/xl/media/image848.gif" ContentType="image/gif"/>
  <Override PartName="/xl/media/image849.gif" ContentType="image/gif"/>
  <Override PartName="/xl/media/image850.gif" ContentType="image/gif"/>
  <Override PartName="/xl/media/image851.gif" ContentType="image/gif"/>
  <Override PartName="/xl/media/image852.gif" ContentType="image/gif"/>
  <Override PartName="/xl/media/image853.gif" ContentType="image/gif"/>
  <Override PartName="/xl/media/image854.gif" ContentType="image/gif"/>
  <Override PartName="/xl/media/image855.gif" ContentType="image/gif"/>
  <Override PartName="/xl/media/image856.gif" ContentType="image/gif"/>
  <Override PartName="/xl/media/image857.gif" ContentType="image/gif"/>
  <Override PartName="/xl/media/image858.gif" ContentType="image/gif"/>
  <Override PartName="/xl/media/image859.gif" ContentType="image/gif"/>
  <Override PartName="/xl/media/image860.gif" ContentType="image/gif"/>
  <Override PartName="/xl/media/image861.gif" ContentType="image/gif"/>
  <Override PartName="/xl/media/image862.gif" ContentType="image/gif"/>
  <Override PartName="/xl/media/image863.gif" ContentType="image/gif"/>
  <Override PartName="/xl/media/image864.gif" ContentType="image/gif"/>
  <Override PartName="/xl/media/image865.gif" ContentType="image/gif"/>
  <Override PartName="/xl/media/image866.gif" ContentType="image/gif"/>
  <Override PartName="/xl/media/image867.gif" ContentType="image/gif"/>
  <Override PartName="/xl/media/image868.gif" ContentType="image/gif"/>
  <Override PartName="/xl/media/image869.gif" ContentType="image/gif"/>
  <Override PartName="/xl/media/image870.gif" ContentType="image/gif"/>
  <Override PartName="/xl/media/image871.gif" ContentType="image/gif"/>
  <Override PartName="/xl/media/image872.gif" ContentType="image/gif"/>
  <Override PartName="/xl/media/image873.gif" ContentType="image/gif"/>
  <Override PartName="/xl/media/image874.gif" ContentType="image/gif"/>
  <Override PartName="/xl/media/image875.gif" ContentType="image/gif"/>
  <Override PartName="/xl/media/image876.gif" ContentType="image/gif"/>
  <Override PartName="/xl/media/image877.gif" ContentType="image/gif"/>
  <Override PartName="/xl/media/image878.gif" ContentType="image/gif"/>
  <Override PartName="/xl/media/image879.gif" ContentType="image/gif"/>
  <Override PartName="/xl/media/image880.gif" ContentType="image/gif"/>
  <Override PartName="/xl/media/image881.gif" ContentType="image/gif"/>
  <Override PartName="/xl/media/image882.gif" ContentType="image/gif"/>
  <Override PartName="/xl/media/image883.gif" ContentType="image/gif"/>
  <Override PartName="/xl/media/image884.gif" ContentType="image/gif"/>
  <Override PartName="/xl/media/image885.gif" ContentType="image/gif"/>
  <Override PartName="/xl/media/image886.gif" ContentType="image/gif"/>
  <Override PartName="/xl/media/image887.gif" ContentType="image/gif"/>
  <Override PartName="/xl/media/image888.gif" ContentType="image/gif"/>
  <Override PartName="/xl/media/image889.gif" ContentType="image/gif"/>
  <Override PartName="/xl/media/image890.gif" ContentType="image/gif"/>
  <Override PartName="/xl/media/image900.gif" ContentType="image/gif"/>
  <Override PartName="/xl/media/image901.gif" ContentType="image/gif"/>
  <Override PartName="/xl/media/image902.gif" ContentType="image/gif"/>
  <Override PartName="/xl/media/image904.gif" ContentType="image/gif"/>
  <Override PartName="/xl/media/image905.gif" ContentType="image/gif"/>
  <Override PartName="/xl/media/image906.gif" ContentType="image/gif"/>
  <Override PartName="/xl/media/image907.gif" ContentType="image/gif"/>
  <Override PartName="/xl/media/image908.gif" ContentType="image/gif"/>
  <Override PartName="/xl/media/image909.gif" ContentType="image/gif"/>
  <Override PartName="/xl/media/image910.gif" ContentType="image/gif"/>
  <Override PartName="/xl/media/image911.gif" ContentType="image/gif"/>
  <Override PartName="/xl/media/image912.gif" ContentType="image/gif"/>
  <Override PartName="/xl/media/image913.gif" ContentType="image/gif"/>
  <Override PartName="/xl/media/image914.gif" ContentType="image/gif"/>
  <Override PartName="/xl/media/image915.gif" ContentType="image/gif"/>
  <Override PartName="/xl/media/image916.gif" ContentType="image/gif"/>
  <Override PartName="/xl/media/image917.gif" ContentType="image/gif"/>
  <Override PartName="/xl/media/image918.gif" ContentType="image/gif"/>
  <Override PartName="/xl/media/image919.gif" ContentType="image/gif"/>
  <Override PartName="/xl/media/image920.gif" ContentType="image/gif"/>
  <Override PartName="/xl/media/image921.gif" ContentType="image/gif"/>
  <Override PartName="/xl/media/image922.gif" ContentType="image/gif"/>
  <Override PartName="/xl/media/image923.gif" ContentType="image/gif"/>
  <Override PartName="/xl/media/image924.gif" ContentType="image/gif"/>
  <Override PartName="/xl/media/image925.gif" ContentType="image/gif"/>
  <Override PartName="/xl/media/image926.gif" ContentType="image/gif"/>
  <Override PartName="/xl/media/image927.gif" ContentType="image/gif"/>
  <Override PartName="/xl/media/image928.gif" ContentType="image/gif"/>
  <Override PartName="/xl/media/image929.gif" ContentType="image/gif"/>
  <Override PartName="/xl/media/image930.gif" ContentType="image/gif"/>
  <Override PartName="/xl/media/image931.gif" ContentType="image/gif"/>
  <Override PartName="/xl/media/image932.gif" ContentType="image/gif"/>
  <Override PartName="/xl/media/image933.gif" ContentType="image/gif"/>
  <Override PartName="/xl/media/image934.gif" ContentType="image/gif"/>
  <Override PartName="/xl/media/image935.gif" ContentType="image/gif"/>
  <Override PartName="/xl/media/image936.gif" ContentType="image/gif"/>
  <Override PartName="/xl/media/image937.gif" ContentType="image/gif"/>
  <Override PartName="/xl/media/image938.gif" ContentType="image/gif"/>
  <Override PartName="/xl/media/image939.gif" ContentType="image/gif"/>
  <Override PartName="/xl/media/image940.gif" ContentType="image/gif"/>
  <Override PartName="/xl/media/image941.gif" ContentType="image/gif"/>
  <Override PartName="/xl/media/image942.gif" ContentType="image/gif"/>
  <Override PartName="/xl/media/image943.gif" ContentType="image/gif"/>
  <Override PartName="/xl/media/image944.gif" ContentType="image/gif"/>
  <Override PartName="/xl/media/image945.gif" ContentType="image/gif"/>
  <Override PartName="/xl/media/image946.gif" ContentType="image/gif"/>
  <Override PartName="/xl/media/image947.gif" ContentType="image/gif"/>
  <Override PartName="/xl/media/image948.gif" ContentType="image/gif"/>
  <Override PartName="/xl/media/image949.gif" ContentType="image/gif"/>
  <Override PartName="/xl/media/image950.gif" ContentType="image/gif"/>
  <Override PartName="/xl/media/image951.gif" ContentType="image/gif"/>
  <Override PartName="/xl/media/image952.gif" ContentType="image/gif"/>
  <Override PartName="/xl/media/image953.gif" ContentType="image/gif"/>
  <Override PartName="/xl/media/image954.gif" ContentType="image/gif"/>
  <Override PartName="/xl/media/image955.gif" ContentType="image/gif"/>
  <Override PartName="/xl/media/image956.gif" ContentType="image/gif"/>
  <Override PartName="/xl/media/image957.gif" ContentType="image/gif"/>
  <Override PartName="/xl/media/image958.gif" ContentType="image/gif"/>
  <Override PartName="/xl/media/image959.gif" ContentType="image/gif"/>
  <Override PartName="/xl/media/image960.gif" ContentType="image/gif"/>
  <Override PartName="/xl/media/image961.gif" ContentType="image/gif"/>
  <Override PartName="/xl/media/image962.gif" ContentType="image/gif"/>
  <Override PartName="/xl/media/image963.gif" ContentType="image/gif"/>
  <Override PartName="/xl/media/image964.gif" ContentType="image/gif"/>
  <Override PartName="/xl/media/image965.gif" ContentType="image/gif"/>
  <Override PartName="/xl/media/image966.gif" ContentType="image/gif"/>
  <Override PartName="/xl/media/image967.gif" ContentType="image/gif"/>
  <Override PartName="/xl/media/image968.gif" ContentType="image/gif"/>
  <Override PartName="/xl/media/image969.gif" ContentType="image/gif"/>
  <Override PartName="/xl/media/image970.gif" ContentType="image/gif"/>
  <Override PartName="/xl/media/image971.gif" ContentType="image/gif"/>
  <Override PartName="/xl/media/image972.gif" ContentType="image/gif"/>
  <Override PartName="/xl/media/image973.gif" ContentType="image/gif"/>
  <Override PartName="/xl/media/image974.gif" ContentType="image/gif"/>
  <Override PartName="/xl/media/image975.gif" ContentType="image/gif"/>
  <Override PartName="/xl/media/image976.gif" ContentType="image/gif"/>
  <Override PartName="/xl/media/image977.gif" ContentType="image/gif"/>
  <Override PartName="/xl/media/image978.gif" ContentType="image/gif"/>
  <Override PartName="/xl/media/image979.gif" ContentType="image/gif"/>
  <Override PartName="/xl/media/image980.gif" ContentType="image/gif"/>
  <Override PartName="/xl/media/image981.gif" ContentType="image/gif"/>
  <Override PartName="/xl/media/image982.gif" ContentType="image/gif"/>
  <Override PartName="/xl/media/image983.gif" ContentType="image/gif"/>
  <Override PartName="/xl/media/image984.gif" ContentType="image/gif"/>
  <Override PartName="/xl/media/image985.gif" ContentType="image/gif"/>
  <Override PartName="/xl/media/image986.gif" ContentType="image/gif"/>
  <Override PartName="/xl/media/image987.gif" ContentType="image/gif"/>
  <Override PartName="/xl/media/image988.gif" ContentType="image/gif"/>
  <Override PartName="/xl/media/image989.gif" ContentType="image/gif"/>
  <Override PartName="/xl/media/image990.gif" ContentType="image/gif"/>
  <Override PartName="/xl/media/image1090.gif" ContentType="image/gif"/>
  <Override PartName="/xl/media/image1091.gif" ContentType="image/gif"/>
  <Override PartName="/xl/media/image1092.gif" ContentType="image/gif"/>
  <Override PartName="/xl/media/image1093.gif" ContentType="image/gif"/>
  <Override PartName="/xl/media/image1094.gif" ContentType="image/gif"/>
  <Override PartName="/xl/media/image1095.gif" ContentType="image/gif"/>
  <Override PartName="/xl/media/image1096.gif" ContentType="image/gif"/>
  <Override PartName="/xl/media/image1097.gif" ContentType="image/gif"/>
  <Override PartName="/xl/media/image1098.gif" ContentType="image/gif"/>
  <Override PartName="/xl/media/image1099.gif" ContentType="image/gif"/>
  <Override PartName="/xl/media/image1190.gif" ContentType="image/gif"/>
  <Override PartName="/xl/media/image1191.gif" ContentType="image/gif"/>
  <Override PartName="/xl/media/image1192.gif" ContentType="image/gif"/>
  <Override PartName="/xl/media/image1193.gif" ContentType="image/gif"/>
  <Override PartName="/xl/media/image1194.gif" ContentType="image/gif"/>
  <Override PartName="/xl/media/image1195.gif" ContentType="image/gif"/>
  <Override PartName="/xl/media/image1196.gif" ContentType="image/gif"/>
  <Override PartName="/xl/media/image1197.gif" ContentType="image/gif"/>
  <Override PartName="/xl/media/image1198.gif" ContentType="image/gif"/>
  <Override PartName="/xl/media/image1199.gif" ContentType="image/gif"/>
  <Override PartName="/xl/media/image1290.gif" ContentType="image/gif"/>
  <Override PartName="/xl/media/image1291.gif" ContentType="image/gif"/>
  <Override PartName="/xl/media/image1292.gif" ContentType="image/gif"/>
  <Override PartName="/xl/media/image1293.gif" ContentType="image/gif"/>
  <Override PartName="/xl/media/image1294.gif" ContentType="image/gif"/>
  <Override PartName="/xl/media/image1295.gif" ContentType="image/gif"/>
  <Override PartName="/xl/media/image1296.gif" ContentType="image/gif"/>
  <Override PartName="/xl/media/image1297.gif" ContentType="image/gif"/>
  <Override PartName="/xl/media/image1298.gif" ContentType="image/gif"/>
  <Override PartName="/xl/media/image1299.gif" ContentType="image/gif"/>
  <Override PartName="/xl/media/image1390.gif" ContentType="image/gif"/>
  <Override PartName="/xl/media/image1391.gif" ContentType="image/gif"/>
  <Override PartName="/xl/media/image1392.gif" ContentType="image/gif"/>
  <Override PartName="/xl/media/image1393.gif" ContentType="image/gif"/>
  <Override PartName="/xl/media/image1394.gif" ContentType="image/gif"/>
  <Override PartName="/xl/media/image1395.gif" ContentType="image/gif"/>
  <Override PartName="/xl/media/image1396.gif" ContentType="image/gif"/>
  <Override PartName="/xl/media/image1397.gif" ContentType="image/gif"/>
  <Override PartName="/xl/media/image1398.gif" ContentType="image/gif"/>
  <Override PartName="/xl/media/image1399.gif" ContentType="image/gif"/>
  <Override PartName="/xl/media/image1590.gif" ContentType="image/gif"/>
  <Override PartName="/xl/media/image1591.gif" ContentType="image/gif"/>
  <Override PartName="/xl/media/image1592.gif" ContentType="image/gif"/>
  <Override PartName="/xl/media/image1593.gif" ContentType="image/gif"/>
  <Override PartName="/xl/media/image1594.gif" ContentType="image/gif"/>
  <Override PartName="/xl/media/image1595.gif" ContentType="image/gif"/>
  <Override PartName="/xl/media/image1596.gif" ContentType="image/gif"/>
  <Override PartName="/xl/media/image1597.gif" ContentType="image/gif"/>
  <Override PartName="/xl/media/image1598.gif" ContentType="image/gif"/>
  <Override PartName="/xl/media/image1599.gif" ContentType="image/gif"/>
  <Override PartName="/xl/media/image1690.gif" ContentType="image/gif"/>
  <Override PartName="/xl/media/image1691.gif" ContentType="image/gif"/>
  <Override PartName="/xl/media/image1692.gif" ContentType="image/gif"/>
  <Override PartName="/xl/media/image1693.gif" ContentType="image/gif"/>
  <Override PartName="/xl/media/image1694.gif" ContentType="image/gif"/>
  <Override PartName="/xl/media/image1695.gif" ContentType="image/gif"/>
  <Override PartName="/xl/media/image1696.gif" ContentType="image/gif"/>
  <Override PartName="/xl/media/image1697.gif" ContentType="image/gif"/>
  <Override PartName="/xl/media/image1698.gif" ContentType="image/gif"/>
  <Override PartName="/xl/media/image1699.gif" ContentType="image/gif"/>
  <Override PartName="/xl/media/image1716.png" ContentType="image/png"/>
  <Override PartName="/xl/sharedStrings.xml" ContentType="application/vnd.openxmlformats-officedocument.spreadsheetml.sharedStrings+xml"/>
  <Override PartName="/xl/drawings/vmlDrawing1.vml" ContentType="application/vnd.openxmlformats-officedocument.vmlDrawi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_rels/drawing1.xml.rels" ContentType="application/vnd.openxmlformats-package.relationships+xml"/>
  <Override PartName="/xl/drawings/_rels/drawing4.xml.rels" ContentType="application/vnd.openxmlformats-package.relationships+xml"/>
  <Override PartName="/xl/drawings/_rels/drawing7.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CAPA-DADOS" sheetId="1" state="visible" r:id="rId2"/>
    <sheet name="01_SINTETICO" sheetId="2" state="visible" r:id="rId3"/>
    <sheet name="02_CRONOGRAMA" sheetId="3" state="visible" r:id="rId4"/>
    <sheet name="03_COMPOSIÇÕES" sheetId="4" state="visible" r:id="rId5"/>
    <sheet name="04_PESQUISAS" sheetId="5" state="visible" r:id="rId6"/>
    <sheet name="05_BDI" sheetId="6" state="visible" r:id="rId7"/>
    <sheet name="06_ENCARGOS" sheetId="7" state="visible" r:id="rId8"/>
    <sheet name="CURVA ABC" sheetId="8" state="visible" r:id="rId9"/>
    <sheet name="CSJT" sheetId="9" state="visible" r:id="rId10"/>
    <sheet name="INSUMOS_AUX" sheetId="10" state="visible" r:id="rId11"/>
    <sheet name="INSUMOS SINAPI" sheetId="11" state="visible" r:id="rId12"/>
  </sheets>
  <definedNames>
    <definedName function="false" hidden="false" localSheetId="1" name="_xlnm.Print_Area" vbProcedure="false">01_SINTETICO!$A$1:$J$972</definedName>
    <definedName function="false" hidden="false" localSheetId="1" name="_xlnm.Print_Titles" vbProcedure="false">01_SINTETICO!$1:$5</definedName>
    <definedName function="false" hidden="true" localSheetId="1" name="_xlnm._FilterDatabase" vbProcedure="false">01_SINTETICO!$A$6:$M$952</definedName>
    <definedName function="false" hidden="false" localSheetId="2" name="_xlnm.Print_Area" vbProcedure="false">02_CRONOGRAMA!$B$2:$V$50</definedName>
    <definedName function="false" hidden="false" localSheetId="3" name="_xlnm.Print_Area" vbProcedure="false">03_COMPOSIÇÕES!$A$1:$H$8062</definedName>
    <definedName function="false" hidden="false" localSheetId="3" name="_xlnm.Print_Titles" vbProcedure="false">03_COMPOSIÇÕES!$1:$3</definedName>
    <definedName function="false" hidden="true" localSheetId="3" name="_xlnm._FilterDatabase" vbProcedure="false">03_COMPOSIÇÕES!$A$4:$G$8062</definedName>
    <definedName function="false" hidden="false" localSheetId="4" name="_xlnm.Print_Area" vbProcedure="false">04_PESQUISAS!$A$1:$G$1014</definedName>
    <definedName function="false" hidden="false" localSheetId="4" name="_xlnm.Print_Titles" vbProcedure="false">04_PESQUISAS!$1:$5</definedName>
    <definedName function="false" hidden="true" localSheetId="4" name="_xlnm._FilterDatabase" vbProcedure="false">04_PESQUISAS!$A$7:$G$15</definedName>
    <definedName function="false" hidden="false" localSheetId="5" name="_xlnm.Print_Area" vbProcedure="false">05_BDI!$A$1:$F$45</definedName>
    <definedName function="false" hidden="false" localSheetId="6" name="_xlnm.Print_Area" vbProcedure="false">06_ENCARGOS!$A:$G</definedName>
    <definedName function="false" hidden="false" localSheetId="0" name="_xlnm.Print_Area" vbProcedure="false">'CAPA-DADOS'!$A$1:$M$33</definedName>
    <definedName function="false" hidden="false" localSheetId="8" name="_xlnm.Print_Area" vbProcedure="false">CSJT!$A:$J</definedName>
    <definedName function="false" hidden="false" localSheetId="7" name="_xlnm.Print_Area" vbProcedure="false">'CURVA ABC'!$B$1:$L$749</definedName>
    <definedName function="false" hidden="false" localSheetId="7" name="_xlnm.Print_Titles" vbProcedure="false">'CURVA ABC'!$1:$5</definedName>
    <definedName function="false" hidden="true" localSheetId="7" name="_xlnm._FilterDatabase" vbProcedure="false">'CURVA ABC'!$B$6:$L$749</definedName>
    <definedName function="false" hidden="false" localSheetId="9" name="_xlnm.Print_Area" vbProcedure="false">INSUMOS_AUX!$A$1:$H$802</definedName>
    <definedName function="false" hidden="true" localSheetId="9" name="_xlnm._FilterDatabase" vbProcedure="false">INSUMOS_AUX!$A$3:$H$802</definedName>
    <definedName function="false" hidden="false" name="BDI_DIF" vbProcedure="false">'CURVA ABC'!$N$3</definedName>
    <definedName function="false" hidden="false" name="BDI_MAT" vbProcedure="false">'CURVA ABC'!$N$1</definedName>
    <definedName function="false" hidden="false" name="BDI_MDO" vbProcedure="false">'CURVA ABC'!$N$2</definedName>
    <definedName function="false" hidden="false" name="MED_DIRETA" vbProcedure="false">02_CRONOGRAMA!$X$3</definedName>
    <definedName function="false" hidden="false" localSheetId="1" name="BDI_DIF" vbProcedure="false">01_SINTETICO!$I$957</definedName>
    <definedName function="false" hidden="false" localSheetId="1" name="BDI_MAT" vbProcedure="false">01_SINTETICO!$I$955</definedName>
    <definedName function="false" hidden="false" localSheetId="1" name="BDI_MDO" vbProcedure="false">01_SINTETICO!$I$956</definedName>
    <definedName function="false" hidden="false" localSheetId="1" name="_xlnm.Print_Titles" vbProcedure="false">01_SINTETICO!$1:$5</definedName>
    <definedName function="false" hidden="false" localSheetId="3" name="_xlnm.Print_Titles" vbProcedure="false">03_COMPOSIÇÕES!$1:$3</definedName>
    <definedName function="false" hidden="false" localSheetId="4" name="_xlnm.Print_Titles" vbProcedure="false">04_PESQUISAS!$1:$5</definedName>
    <definedName function="false" hidden="false" localSheetId="7" name="_xlnm.Print_Titles" vbProcedure="false">'CURVA ABC'!$1:$5</definedName>
  </definedNames>
  <calcPr iterateCount="100" refMode="A1" iterate="false" iterateDelta="0.0001"/>
  <extLst>
    <ext xmlns:loext="http://schemas.libreoffice.org/" uri="{7626C862-2A13-11E5-B345-FEFF819CDC9F}">
      <loext:extCalcPr stringRefSyntax="ExcelA1"/>
    </ext>
  </extLst>
</workbook>
</file>

<file path=xl/comments3.xml><?xml version="1.0" encoding="utf-8"?>
<comments xmlns="http://schemas.openxmlformats.org/spreadsheetml/2006/main" xmlns:xdr="http://schemas.openxmlformats.org/drawingml/2006/spreadsheetDrawing">
  <authors>
    <author>T</author>
  </authors>
  <commentList>
    <comment ref="W3" authorId="0">
      <text>
        <r>
          <rPr>
            <b val="true"/>
            <sz val="9"/>
            <color rgb="FF000000"/>
            <rFont val="Tahoma"/>
            <family val="2"/>
            <charset val="1"/>
          </rPr>
          <t xml:space="preserve">Reinaldo de Sa Moreira e Silva  :
</t>
        </r>
        <r>
          <rPr>
            <sz val="9"/>
            <color rgb="FF000000"/>
            <rFont val="Tahoma"/>
            <family val="2"/>
            <charset val="1"/>
          </rPr>
          <t xml:space="preserve">DEVE SOMAR TODOS QUE NÃO SERÃO MEDIDOS PROPORCIONALMENTE</t>
        </r>
      </text>
    </comment>
  </commentList>
</comments>
</file>

<file path=xl/sharedStrings.xml><?xml version="1.0" encoding="utf-8"?>
<sst xmlns="http://schemas.openxmlformats.org/spreadsheetml/2006/main" count="40646" uniqueCount="7841">
  <si>
    <t xml:space="preserve">TRIBUNAL REGIONAL DO TRABALHO DA 18ª REGIÃO</t>
  </si>
  <si>
    <t xml:space="preserve">SECRETARIA DE MANUTENÇÃO E PROJETOS</t>
  </si>
  <si>
    <t xml:space="preserve">DIVISÃO DE ENGENHARIA</t>
  </si>
  <si>
    <t xml:space="preserve">PLANILHA ORÇAMENTÁRIA DE REFERÊNCIA</t>
  </si>
  <si>
    <t xml:space="preserve">DADOS GERAIS DO ORÇAMENTO</t>
  </si>
  <si>
    <t xml:space="preserve">OBRA/SERVIÇO</t>
  </si>
  <si>
    <t xml:space="preserve">FORUM TRABALHISTA DA 18 REGIAO</t>
  </si>
  <si>
    <t xml:space="preserve">CIDADE DA OBRA</t>
  </si>
  <si>
    <t xml:space="preserve">GOIÂNIA-GO</t>
  </si>
  <si>
    <t xml:space="preserve">DATA DO ORÇAMENTO</t>
  </si>
  <si>
    <t xml:space="preserve">TABELA UTILIZADA</t>
  </si>
  <si>
    <t xml:space="preserve">SINAPI-FEV/2025</t>
  </si>
  <si>
    <t xml:space="preserve">DESONERADO</t>
  </si>
  <si>
    <t xml:space="preserve">(CONFORME DECRETO 7983/13)</t>
  </si>
  <si>
    <t xml:space="preserve">(publicação oficial www.caixa.gov.br/sinapi)</t>
  </si>
  <si>
    <t xml:space="preserve">CONTEÚDO</t>
  </si>
  <si>
    <t xml:space="preserve">ORÇAMENTO SINTÉTICO</t>
  </si>
  <si>
    <t xml:space="preserve">CRONOGRAMA FÍSICO FINANCEIRO</t>
  </si>
  <si>
    <t xml:space="preserve">COMPOSIÇÕES ANALÍTICAS</t>
  </si>
  <si>
    <t xml:space="preserve">RELATÓRIO DE PESQUISAS DE MERCADO</t>
  </si>
  <si>
    <t xml:space="preserve">COMPOSIÇÃO DO BDI PRESUMIDO (BONIFICAÇÕES E DESPESAS INDIRETAS)</t>
  </si>
  <si>
    <t xml:space="preserve">COMPOSIÇÃO DOS ENCARGOS SOCIAIS</t>
  </si>
  <si>
    <t xml:space="preserve">***Cabe destacar que a planilha orçamentária foi elaborada para atender as necessidades específicas do Tribunal de modo a chegar em valor de referência. A partir do momento que o licitante a utiliza para auxílio da formulação de sua proposta, a responsabilidade pelo resultado gerado é inteiramente do licitante. </t>
  </si>
  <si>
    <t xml:space="preserve">Alerta-se que antes de qualquer alteração o licitante possa buscar compreender as fórmulas e seus efeitos. </t>
  </si>
  <si>
    <t xml:space="preserve">Estamos à disposição para esclarecer eventuais dúvidas quanto à manipulação da planilha.</t>
  </si>
  <si>
    <t xml:space="preserve">PODER JUDICIÁRIO DA UNIÃO_x005F_x005F_x000D_
TRIBUNAL REGIONAL DO TRABALHO DA 18ª REGIÃO</t>
  </si>
  <si>
    <t xml:space="preserve">ORÇAMENTO SINTÉTICO DESONERADO</t>
  </si>
  <si>
    <t xml:space="preserve">ITEM</t>
  </si>
  <si>
    <t xml:space="preserve">CÓDIGO</t>
  </si>
  <si>
    <t xml:space="preserve">DISCRIMINAÇÃO</t>
  </si>
  <si>
    <t xml:space="preserve">CLASS</t>
  </si>
  <si>
    <t xml:space="preserve">UN</t>
  </si>
  <si>
    <t xml:space="preserve">QTD</t>
  </si>
  <si>
    <t xml:space="preserve">CUSTO UNITÁRIO</t>
  </si>
  <si>
    <t xml:space="preserve">CUSTO TOTAL (SEM BDI)</t>
  </si>
  <si>
    <t xml:space="preserve">PREÇO TOTAL (COM BDI)</t>
  </si>
  <si>
    <t xml:space="preserve">PREÇO FINAL</t>
  </si>
  <si>
    <t xml:space="preserve">MAT</t>
  </si>
  <si>
    <t xml:space="preserve">MDO</t>
  </si>
  <si>
    <t xml:space="preserve">verificações sinapi</t>
  </si>
  <si>
    <t xml:space="preserve">(01)</t>
  </si>
  <si>
    <t xml:space="preserve">(02)</t>
  </si>
  <si>
    <t xml:space="preserve">(03)</t>
  </si>
  <si>
    <t xml:space="preserve">(04)</t>
  </si>
  <si>
    <t xml:space="preserve">(05)</t>
  </si>
  <si>
    <t xml:space="preserve">(06)</t>
  </si>
  <si>
    <t xml:space="preserve">(07)</t>
  </si>
  <si>
    <t xml:space="preserve">(08)</t>
  </si>
  <si>
    <t xml:space="preserve">(09)</t>
  </si>
  <si>
    <t xml:space="preserve">(10)</t>
  </si>
  <si>
    <t xml:space="preserve">(11)</t>
  </si>
  <si>
    <t xml:space="preserve">(12)</t>
  </si>
  <si>
    <t xml:space="preserve">(13)</t>
  </si>
  <si>
    <t xml:space="preserve">SINTETICO</t>
  </si>
  <si>
    <t xml:space="preserve">SINAPI</t>
  </si>
  <si>
    <t xml:space="preserve">DIF UN</t>
  </si>
  <si>
    <t xml:space="preserve">DIF TOTAL</t>
  </si>
  <si>
    <t xml:space="preserve">ADMINISTRACAO LOCAL DE OBRAS</t>
  </si>
  <si>
    <t xml:space="preserve">1.01</t>
  </si>
  <si>
    <t xml:space="preserve">SER.CG</t>
  </si>
  <si>
    <t xml:space="preserve">1.02</t>
  </si>
  <si>
    <t xml:space="preserve">1.03</t>
  </si>
  <si>
    <t xml:space="preserve">1.04</t>
  </si>
  <si>
    <t xml:space="preserve">1.05</t>
  </si>
  <si>
    <t xml:space="preserve">CP-100289-38202386</t>
  </si>
  <si>
    <t xml:space="preserve">SERVIÇOS PRELIMINARES</t>
  </si>
  <si>
    <t xml:space="preserve">2.1</t>
  </si>
  <si>
    <t xml:space="preserve">DEMOLIÇÕES E RETIRADAS</t>
  </si>
  <si>
    <t xml:space="preserve">2.1.1</t>
  </si>
  <si>
    <t xml:space="preserve">DEMOLIÇÕES</t>
  </si>
  <si>
    <t xml:space="preserve">2.1.1.1</t>
  </si>
  <si>
    <t xml:space="preserve">2.1.1.2</t>
  </si>
  <si>
    <t xml:space="preserve">2.1.1.3</t>
  </si>
  <si>
    <t xml:space="preserve">2.1.1.4</t>
  </si>
  <si>
    <t xml:space="preserve">2.1.1.5</t>
  </si>
  <si>
    <t xml:space="preserve">2.1.2</t>
  </si>
  <si>
    <t xml:space="preserve">REMOÇÕES</t>
  </si>
  <si>
    <t xml:space="preserve">2.1.2.1</t>
  </si>
  <si>
    <t xml:space="preserve">2.1.2.2</t>
  </si>
  <si>
    <t xml:space="preserve">2.1.2.3</t>
  </si>
  <si>
    <t xml:space="preserve">2.1.2.4</t>
  </si>
  <si>
    <t xml:space="preserve">2.1.2.5</t>
  </si>
  <si>
    <t xml:space="preserve">2.1.2.6</t>
  </si>
  <si>
    <t xml:space="preserve">2.1.2.7</t>
  </si>
  <si>
    <t xml:space="preserve">2.2</t>
  </si>
  <si>
    <t xml:space="preserve">TRABALHOS EM TERRA</t>
  </si>
  <si>
    <t xml:space="preserve">2.2.1</t>
  </si>
  <si>
    <t xml:space="preserve">2.2.2</t>
  </si>
  <si>
    <t xml:space="preserve">2.2.3</t>
  </si>
  <si>
    <t xml:space="preserve">2.2.4</t>
  </si>
  <si>
    <t xml:space="preserve">2.2.5</t>
  </si>
  <si>
    <t xml:space="preserve">2.3</t>
  </si>
  <si>
    <t xml:space="preserve">INSTALAÇÕES DO CANTEIRO DE OBRAS</t>
  </si>
  <si>
    <t xml:space="preserve">2.3.1</t>
  </si>
  <si>
    <t xml:space="preserve">2.3.2</t>
  </si>
  <si>
    <t xml:space="preserve">COM-93199352</t>
  </si>
  <si>
    <t xml:space="preserve">2.3.3</t>
  </si>
  <si>
    <t xml:space="preserve">COM-20589403</t>
  </si>
  <si>
    <t xml:space="preserve">2.3.4</t>
  </si>
  <si>
    <t xml:space="preserve">CP-S00062-67051879</t>
  </si>
  <si>
    <t xml:space="preserve">2.3.5</t>
  </si>
  <si>
    <t xml:space="preserve">CP-S11703-79711481</t>
  </si>
  <si>
    <t xml:space="preserve">2.3.6</t>
  </si>
  <si>
    <t xml:space="preserve">ESTRUTURA</t>
  </si>
  <si>
    <t xml:space="preserve">3.1</t>
  </si>
  <si>
    <t xml:space="preserve">FECHAMENTO EXTERNO</t>
  </si>
  <si>
    <t xml:space="preserve">3.1.1</t>
  </si>
  <si>
    <t xml:space="preserve">COM-44585933</t>
  </si>
  <si>
    <t xml:space="preserve">3.1.2</t>
  </si>
  <si>
    <t xml:space="preserve">CP-102364-61565280</t>
  </si>
  <si>
    <t xml:space="preserve">3.2</t>
  </si>
  <si>
    <t xml:space="preserve">EDIFICAÇÃO</t>
  </si>
  <si>
    <t xml:space="preserve">3.2.1</t>
  </si>
  <si>
    <t xml:space="preserve">FUNDAÇÃO</t>
  </si>
  <si>
    <t xml:space="preserve">3.2.1.1</t>
  </si>
  <si>
    <t xml:space="preserve">ESTAQUEAMENTO</t>
  </si>
  <si>
    <t xml:space="preserve">3.2.1.1.1</t>
  </si>
  <si>
    <t xml:space="preserve">CP-10238-91454261</t>
  </si>
  <si>
    <t xml:space="preserve">3.2.1.1.2</t>
  </si>
  <si>
    <t xml:space="preserve">3.2.1.1.3</t>
  </si>
  <si>
    <t xml:space="preserve">CP-100651-77867261</t>
  </si>
  <si>
    <t xml:space="preserve">3.2.1.2</t>
  </si>
  <si>
    <t xml:space="preserve">BLOCOS</t>
  </si>
  <si>
    <t xml:space="preserve">3.2.1.2.1</t>
  </si>
  <si>
    <t xml:space="preserve">3.2.1.2.2</t>
  </si>
  <si>
    <t xml:space="preserve">3.2.1.2.3</t>
  </si>
  <si>
    <t xml:space="preserve">3.2.1.2.4</t>
  </si>
  <si>
    <t xml:space="preserve">3.2.1.2.5</t>
  </si>
  <si>
    <t xml:space="preserve">3.2.1.2.6</t>
  </si>
  <si>
    <t xml:space="preserve">3.2.1.2.7</t>
  </si>
  <si>
    <t xml:space="preserve">3.2.1.2.8</t>
  </si>
  <si>
    <t xml:space="preserve">CP-96557-80035697</t>
  </si>
  <si>
    <t xml:space="preserve">3.2.1.3</t>
  </si>
  <si>
    <t xml:space="preserve">ARRANQUE DOS PILARES</t>
  </si>
  <si>
    <t xml:space="preserve">3.2.1.3.1</t>
  </si>
  <si>
    <t xml:space="preserve">3.2.1.3.2</t>
  </si>
  <si>
    <t xml:space="preserve">CP-103672-24336659</t>
  </si>
  <si>
    <t xml:space="preserve">3.2.1.3.3</t>
  </si>
  <si>
    <t xml:space="preserve">3.2.1.3.4</t>
  </si>
  <si>
    <t xml:space="preserve">3.2.1.3.5</t>
  </si>
  <si>
    <t xml:space="preserve">3.2.1.3.6</t>
  </si>
  <si>
    <t xml:space="preserve">3.2.1.4</t>
  </si>
  <si>
    <t xml:space="preserve">VIGAS BALDRAMES</t>
  </si>
  <si>
    <t xml:space="preserve">3.2.1.4.1</t>
  </si>
  <si>
    <t xml:space="preserve">3.2.1.4.2</t>
  </si>
  <si>
    <t xml:space="preserve">3.2.1.4.3</t>
  </si>
  <si>
    <t xml:space="preserve">3.2.1.4.4</t>
  </si>
  <si>
    <t xml:space="preserve">3.2.1.4.5</t>
  </si>
  <si>
    <t xml:space="preserve">3.2.1.4.6</t>
  </si>
  <si>
    <t xml:space="preserve">3.2.1.4.7</t>
  </si>
  <si>
    <t xml:space="preserve">3.2.1.4.8</t>
  </si>
  <si>
    <t xml:space="preserve">3.2.1.4.9</t>
  </si>
  <si>
    <t xml:space="preserve">3.2.1.4.10</t>
  </si>
  <si>
    <t xml:space="preserve">3.2.1.5</t>
  </si>
  <si>
    <t xml:space="preserve">CONTENÇÕES</t>
  </si>
  <si>
    <t xml:space="preserve">3.2.1.5.1</t>
  </si>
  <si>
    <t xml:space="preserve">CP-100342-36840284</t>
  </si>
  <si>
    <t xml:space="preserve">3.2.1.5.2</t>
  </si>
  <si>
    <t xml:space="preserve">3.2.1.5.3</t>
  </si>
  <si>
    <t xml:space="preserve">3.2.1.5.4</t>
  </si>
  <si>
    <t xml:space="preserve">3.2.1.5.5</t>
  </si>
  <si>
    <t xml:space="preserve">CP-100349-97969748</t>
  </si>
  <si>
    <t xml:space="preserve">3.2.2</t>
  </si>
  <si>
    <t xml:space="preserve">SUPRAESTRUTURA</t>
  </si>
  <si>
    <t xml:space="preserve">3.2.2.1</t>
  </si>
  <si>
    <t xml:space="preserve">PILARES</t>
  </si>
  <si>
    <t xml:space="preserve">3.2.2.1.1</t>
  </si>
  <si>
    <t xml:space="preserve">3.2.2.1.2</t>
  </si>
  <si>
    <t xml:space="preserve">3.2.2.1.3</t>
  </si>
  <si>
    <t xml:space="preserve">3.2.2.1.4</t>
  </si>
  <si>
    <t xml:space="preserve">3.2.2.1.5</t>
  </si>
  <si>
    <t xml:space="preserve">3.2.2.1.6</t>
  </si>
  <si>
    <t xml:space="preserve">3.2.2.2</t>
  </si>
  <si>
    <t xml:space="preserve">VIGAS</t>
  </si>
  <si>
    <t xml:space="preserve">3.2.2.2.1</t>
  </si>
  <si>
    <t xml:space="preserve">3.2.2.2.2</t>
  </si>
  <si>
    <t xml:space="preserve">3.2.2.2.3</t>
  </si>
  <si>
    <t xml:space="preserve">3.2.2.2.4</t>
  </si>
  <si>
    <t xml:space="preserve">3.2.2.2.5</t>
  </si>
  <si>
    <t xml:space="preserve">3.2.2.2.6</t>
  </si>
  <si>
    <t xml:space="preserve">3.2.2.2.7</t>
  </si>
  <si>
    <t xml:space="preserve">3.2.2.2.8</t>
  </si>
  <si>
    <t xml:space="preserve">3.2.2.2.9</t>
  </si>
  <si>
    <t xml:space="preserve">CP-103675-26554200</t>
  </si>
  <si>
    <t xml:space="preserve">3.2.2.2.10</t>
  </si>
  <si>
    <t xml:space="preserve">3.2.2.3</t>
  </si>
  <si>
    <t xml:space="preserve">LAJES</t>
  </si>
  <si>
    <t xml:space="preserve">3.2.2.3.1</t>
  </si>
  <si>
    <t xml:space="preserve">LAJES NERVURADAS</t>
  </si>
  <si>
    <t xml:space="preserve">3.2.2.3.1.1</t>
  </si>
  <si>
    <t xml:space="preserve">CP-101963-24357419</t>
  </si>
  <si>
    <t xml:space="preserve">3.2.2.3.1.2</t>
  </si>
  <si>
    <t xml:space="preserve">CP-101963-27981543</t>
  </si>
  <si>
    <t xml:space="preserve">3.2.2.3.1.3</t>
  </si>
  <si>
    <t xml:space="preserve">CP-101963-12571229</t>
  </si>
  <si>
    <t xml:space="preserve">3.2.2.3.1.4</t>
  </si>
  <si>
    <t xml:space="preserve">CP-101963-80426898</t>
  </si>
  <si>
    <t xml:space="preserve">3.2.2.3.1.5</t>
  </si>
  <si>
    <t xml:space="preserve">CP-S04922-08037603</t>
  </si>
  <si>
    <t xml:space="preserve">3.2.2.3.2</t>
  </si>
  <si>
    <t xml:space="preserve">LAJES MACIÇAS</t>
  </si>
  <si>
    <t xml:space="preserve">3.2.2.3.2.1</t>
  </si>
  <si>
    <t xml:space="preserve">3.2.2.3.2.2</t>
  </si>
  <si>
    <t xml:space="preserve">3.2.2.3.2.3</t>
  </si>
  <si>
    <t xml:space="preserve">3.2.2.3.2.4</t>
  </si>
  <si>
    <t xml:space="preserve">3.2.2.3.2.5</t>
  </si>
  <si>
    <t xml:space="preserve">3.2.2.3.2.6</t>
  </si>
  <si>
    <t xml:space="preserve">3.2.2.3.2.7</t>
  </si>
  <si>
    <t xml:space="preserve">3.2.2.3.2.8</t>
  </si>
  <si>
    <t xml:space="preserve">3.2.2.3.2.9</t>
  </si>
  <si>
    <t xml:space="preserve">3.2.2.4</t>
  </si>
  <si>
    <t xml:space="preserve">ESCADA</t>
  </si>
  <si>
    <t xml:space="preserve">3.2.2.4.1</t>
  </si>
  <si>
    <t xml:space="preserve">3.2.2.4.2</t>
  </si>
  <si>
    <t xml:space="preserve">3.2.2.4.3</t>
  </si>
  <si>
    <t xml:space="preserve">3.2.2.4.4</t>
  </si>
  <si>
    <t xml:space="preserve">3.2.2.4.5</t>
  </si>
  <si>
    <t xml:space="preserve">3.2.2.4.6</t>
  </si>
  <si>
    <t xml:space="preserve">3.2.2.4.7</t>
  </si>
  <si>
    <t xml:space="preserve">CP-103686-78922617</t>
  </si>
  <si>
    <t xml:space="preserve">3.2.2.4.8</t>
  </si>
  <si>
    <t xml:space="preserve">3.2.2.5</t>
  </si>
  <si>
    <t xml:space="preserve">PISO</t>
  </si>
  <si>
    <t xml:space="preserve">3.2.2.5.1</t>
  </si>
  <si>
    <t xml:space="preserve">PISO DA GARAGEM E RAMPA DE ACESSO</t>
  </si>
  <si>
    <t xml:space="preserve">3.2.2.5.1.1</t>
  </si>
  <si>
    <t xml:space="preserve">3.2.2.5.1.2</t>
  </si>
  <si>
    <t xml:space="preserve">3.2.2.5.1.3</t>
  </si>
  <si>
    <t xml:space="preserve">3.2.2.5.1.4</t>
  </si>
  <si>
    <t xml:space="preserve">3.2.2.5.1.5</t>
  </si>
  <si>
    <t xml:space="preserve">3.2.2.5.1.6</t>
  </si>
  <si>
    <t xml:space="preserve">CP-97096-43212107</t>
  </si>
  <si>
    <t xml:space="preserve">3.2.2.5.1.7</t>
  </si>
  <si>
    <t xml:space="preserve">3.2.2.5.1.8</t>
  </si>
  <si>
    <t xml:space="preserve">3.2.2.5.1.9</t>
  </si>
  <si>
    <t xml:space="preserve">3.2.2.5.1.10</t>
  </si>
  <si>
    <t xml:space="preserve">CP-S13193-99545566</t>
  </si>
  <si>
    <t xml:space="preserve">3.2.2.5.2</t>
  </si>
  <si>
    <t xml:space="preserve">PISO DA EDIFICAÇÃO E CALÇADAS EXTERNAS</t>
  </si>
  <si>
    <t xml:space="preserve">3.2.2.5.2.1</t>
  </si>
  <si>
    <t xml:space="preserve">3.2.2.5.2.2</t>
  </si>
  <si>
    <t xml:space="preserve">3.2.2.5.2.3</t>
  </si>
  <si>
    <t xml:space="preserve">3.2.2.5.2.4</t>
  </si>
  <si>
    <t xml:space="preserve">3.2.2.5.2.5</t>
  </si>
  <si>
    <t xml:space="preserve">3.2.2.5.2.6</t>
  </si>
  <si>
    <t xml:space="preserve">3.2.2.5.2.7</t>
  </si>
  <si>
    <t xml:space="preserve">CP-97096-73182686</t>
  </si>
  <si>
    <t xml:space="preserve">3.2.2.5.2.8</t>
  </si>
  <si>
    <t xml:space="preserve">3.2.2.5.3</t>
  </si>
  <si>
    <t xml:space="preserve">FOSSO DO ELEVADOR</t>
  </si>
  <si>
    <t xml:space="preserve">3.2.2.5.3.1</t>
  </si>
  <si>
    <t xml:space="preserve">3.2.2.5.3.2</t>
  </si>
  <si>
    <t xml:space="preserve">3.2.2.5.3.3</t>
  </si>
  <si>
    <t xml:space="preserve">3.2.2.5.3.4</t>
  </si>
  <si>
    <t xml:space="preserve">3.2.2.5.3.5</t>
  </si>
  <si>
    <t xml:space="preserve">3.2.2.5.3.6</t>
  </si>
  <si>
    <t xml:space="preserve">3.2.3</t>
  </si>
  <si>
    <t xml:space="preserve">EDIFICAÇÕES ACESSÓRIAS</t>
  </si>
  <si>
    <t xml:space="preserve">3.2.3.1</t>
  </si>
  <si>
    <t xml:space="preserve">RAMPA E ESCADA DE ACESSO FRONTAL</t>
  </si>
  <si>
    <t xml:space="preserve">3.2.3.1.1</t>
  </si>
  <si>
    <t xml:space="preserve">CP-101174-28179996</t>
  </si>
  <si>
    <t xml:space="preserve">3.2.3.1.2</t>
  </si>
  <si>
    <t xml:space="preserve">3.2.3.1.3</t>
  </si>
  <si>
    <t xml:space="preserve">3.2.3.1.4</t>
  </si>
  <si>
    <t xml:space="preserve">3.2.3.1.5</t>
  </si>
  <si>
    <t xml:space="preserve">3.2.3.1.6</t>
  </si>
  <si>
    <t xml:space="preserve">3.2.3.1.7</t>
  </si>
  <si>
    <t xml:space="preserve">3.2.3.1.8</t>
  </si>
  <si>
    <t xml:space="preserve">3.2.3.1.9</t>
  </si>
  <si>
    <t xml:space="preserve">3.2.3.1.10</t>
  </si>
  <si>
    <t xml:space="preserve">3.2.3.1.11</t>
  </si>
  <si>
    <t xml:space="preserve">3.2.3.1.12</t>
  </si>
  <si>
    <t xml:space="preserve">3.2.3.1.13</t>
  </si>
  <si>
    <t xml:space="preserve">3.2.3.1.14</t>
  </si>
  <si>
    <t xml:space="preserve">3.2.3.2</t>
  </si>
  <si>
    <t xml:space="preserve">ESTRUTURA DA COBERTURA ESTACIONAMENTO PRIVATIVO</t>
  </si>
  <si>
    <t xml:space="preserve">3.2.3.2.1</t>
  </si>
  <si>
    <t xml:space="preserve">3.2.3.2.2</t>
  </si>
  <si>
    <t xml:space="preserve">3.2.3.2.3</t>
  </si>
  <si>
    <t xml:space="preserve">3.2.3.2.4</t>
  </si>
  <si>
    <t xml:space="preserve">3.2.3.2.5</t>
  </si>
  <si>
    <t xml:space="preserve">3.2.3.2.6</t>
  </si>
  <si>
    <t xml:space="preserve">3.2.3.2.7</t>
  </si>
  <si>
    <t xml:space="preserve">3.2.3.2.8</t>
  </si>
  <si>
    <t xml:space="preserve">3.2.3.2.9</t>
  </si>
  <si>
    <t xml:space="preserve">CP-100765-90130272</t>
  </si>
  <si>
    <t xml:space="preserve">3.2.3.3</t>
  </si>
  <si>
    <t xml:space="preserve">PISO DO GERADOR</t>
  </si>
  <si>
    <t xml:space="preserve">3.2.3.3.1</t>
  </si>
  <si>
    <t xml:space="preserve">3.2.3.3.2</t>
  </si>
  <si>
    <t xml:space="preserve">3.2.3.3.3</t>
  </si>
  <si>
    <t xml:space="preserve">3.2.3.3.4</t>
  </si>
  <si>
    <t xml:space="preserve">3.2.3.3.5</t>
  </si>
  <si>
    <t xml:space="preserve">3.2.3.3.6</t>
  </si>
  <si>
    <t xml:space="preserve">3.2.3.3.7</t>
  </si>
  <si>
    <t xml:space="preserve">3.2.3.3.8</t>
  </si>
  <si>
    <t xml:space="preserve">3.2.3.3.9</t>
  </si>
  <si>
    <t xml:space="preserve">3.2.3.3.10</t>
  </si>
  <si>
    <t xml:space="preserve">3.2.3.3.11</t>
  </si>
  <si>
    <t xml:space="preserve">3.2.3.4</t>
  </si>
  <si>
    <t xml:space="preserve">LIXEIRA</t>
  </si>
  <si>
    <t xml:space="preserve">3.2.3.4.1</t>
  </si>
  <si>
    <t xml:space="preserve">3.2.3.4.1.1</t>
  </si>
  <si>
    <t xml:space="preserve">3.2.3.4.1.2</t>
  </si>
  <si>
    <t xml:space="preserve">3.2.3.4.1.3</t>
  </si>
  <si>
    <t xml:space="preserve">3.2.3.4.1.4</t>
  </si>
  <si>
    <t xml:space="preserve">3.2.3.4.1.5</t>
  </si>
  <si>
    <t xml:space="preserve">3.2.3.4.1.6</t>
  </si>
  <si>
    <t xml:space="preserve">3.2.3.4.2</t>
  </si>
  <si>
    <t xml:space="preserve">PAREDE</t>
  </si>
  <si>
    <t xml:space="preserve">3.2.3.4.2.1</t>
  </si>
  <si>
    <t xml:space="preserve">3.2.3.4.2.2</t>
  </si>
  <si>
    <t xml:space="preserve">3.2.3.4.2.3</t>
  </si>
  <si>
    <t xml:space="preserve">COMP-04209538</t>
  </si>
  <si>
    <t xml:space="preserve">3.2.3.4.3</t>
  </si>
  <si>
    <t xml:space="preserve">COBERTURA</t>
  </si>
  <si>
    <t xml:space="preserve">3.2.3.4.3.1</t>
  </si>
  <si>
    <t xml:space="preserve">3.2.3.4.3.2</t>
  </si>
  <si>
    <t xml:space="preserve">3.2.3.4.3.3</t>
  </si>
  <si>
    <t xml:space="preserve">CP-103682-76807933</t>
  </si>
  <si>
    <t xml:space="preserve">3.2.3.4.3.4</t>
  </si>
  <si>
    <t xml:space="preserve">3.2.3.5</t>
  </si>
  <si>
    <t xml:space="preserve">ABRIGO DO GÁS</t>
  </si>
  <si>
    <t xml:space="preserve">3.2.3.5.1</t>
  </si>
  <si>
    <t xml:space="preserve">3.2.3.5.2</t>
  </si>
  <si>
    <t xml:space="preserve">3.2.3.6</t>
  </si>
  <si>
    <t xml:space="preserve">BANDEIRAS</t>
  </si>
  <si>
    <t xml:space="preserve">3.2.3.6.1</t>
  </si>
  <si>
    <t xml:space="preserve">3.2.3.6.2</t>
  </si>
  <si>
    <t xml:space="preserve">3.2.3.6.3</t>
  </si>
  <si>
    <t xml:space="preserve">3.2.3.6.4</t>
  </si>
  <si>
    <t xml:space="preserve">3.2.3.6.5</t>
  </si>
  <si>
    <t xml:space="preserve">3.2.3.6.6</t>
  </si>
  <si>
    <t xml:space="preserve">CP-42864-30754575</t>
  </si>
  <si>
    <t xml:space="preserve">FECHAMENTOS</t>
  </si>
  <si>
    <t xml:space="preserve">4.1</t>
  </si>
  <si>
    <t xml:space="preserve">ALVENARIA</t>
  </si>
  <si>
    <t xml:space="preserve">4.1.1</t>
  </si>
  <si>
    <t xml:space="preserve">TÉRREO</t>
  </si>
  <si>
    <t xml:space="preserve">4.1.1.1</t>
  </si>
  <si>
    <t xml:space="preserve">4.1.1.2</t>
  </si>
  <si>
    <t xml:space="preserve">4.1.2</t>
  </si>
  <si>
    <t xml:space="preserve">1° PAVIMENTO</t>
  </si>
  <si>
    <t xml:space="preserve">4.1.2.1</t>
  </si>
  <si>
    <t xml:space="preserve">4.1.2.2</t>
  </si>
  <si>
    <t xml:space="preserve">4.1.3</t>
  </si>
  <si>
    <t xml:space="preserve">4.1.3.1</t>
  </si>
  <si>
    <t xml:space="preserve">4.1.4</t>
  </si>
  <si>
    <t xml:space="preserve">MURO EXTERNO</t>
  </si>
  <si>
    <t xml:space="preserve">4.1.4.1</t>
  </si>
  <si>
    <t xml:space="preserve">4.2</t>
  </si>
  <si>
    <t xml:space="preserve">DIVISÓRIAS</t>
  </si>
  <si>
    <t xml:space="preserve">4.2.1</t>
  </si>
  <si>
    <t xml:space="preserve">VIDRO</t>
  </si>
  <si>
    <t xml:space="preserve">4.2.1.1</t>
  </si>
  <si>
    <t xml:space="preserve">4.2.1.1.1</t>
  </si>
  <si>
    <t xml:space="preserve">4.2.2</t>
  </si>
  <si>
    <t xml:space="preserve">GRANITO</t>
  </si>
  <si>
    <t xml:space="preserve">4.2.2.1</t>
  </si>
  <si>
    <t xml:space="preserve">4.2.2.1.1</t>
  </si>
  <si>
    <t xml:space="preserve">4.2.3</t>
  </si>
  <si>
    <t xml:space="preserve">PLACA CIMENTÍCIA</t>
  </si>
  <si>
    <t xml:space="preserve">4.2.3.1</t>
  </si>
  <si>
    <t xml:space="preserve">4.2.3.1.1</t>
  </si>
  <si>
    <t xml:space="preserve">COM-13357005</t>
  </si>
  <si>
    <t xml:space="preserve">4.2.3.2</t>
  </si>
  <si>
    <t xml:space="preserve">4.2.3.2.1</t>
  </si>
  <si>
    <t xml:space="preserve">4.3</t>
  </si>
  <si>
    <t xml:space="preserve">PELE DE VIDRO</t>
  </si>
  <si>
    <t xml:space="preserve">4.3.1</t>
  </si>
  <si>
    <t xml:space="preserve">CP-C4501-06474608</t>
  </si>
  <si>
    <t xml:space="preserve">4.3.2</t>
  </si>
  <si>
    <t xml:space="preserve">CP-15.03.61-78774597</t>
  </si>
  <si>
    <t xml:space="preserve">4.4</t>
  </si>
  <si>
    <t xml:space="preserve">DRYWALL</t>
  </si>
  <si>
    <t xml:space="preserve">4.4.1</t>
  </si>
  <si>
    <t xml:space="preserve">4.4.1.1</t>
  </si>
  <si>
    <t xml:space="preserve">CP-96359-48029412</t>
  </si>
  <si>
    <t xml:space="preserve">4.4.2</t>
  </si>
  <si>
    <t xml:space="preserve">4.4.2.1</t>
  </si>
  <si>
    <t xml:space="preserve">4.5</t>
  </si>
  <si>
    <t xml:space="preserve">VERGAS E CONTRA-VERGAS</t>
  </si>
  <si>
    <t xml:space="preserve">4.5.1</t>
  </si>
  <si>
    <t xml:space="preserve">4.5.1.1</t>
  </si>
  <si>
    <t xml:space="preserve">4.5.1.2</t>
  </si>
  <si>
    <t xml:space="preserve">4.5.2</t>
  </si>
  <si>
    <t xml:space="preserve">4.5.2.1</t>
  </si>
  <si>
    <t xml:space="preserve">4.5.2.2</t>
  </si>
  <si>
    <t xml:space="preserve">4.5.3</t>
  </si>
  <si>
    <t xml:space="preserve">4.5.3.1</t>
  </si>
  <si>
    <t xml:space="preserve">4.6</t>
  </si>
  <si>
    <t xml:space="preserve">ALAMBRADO</t>
  </si>
  <si>
    <t xml:space="preserve">4.6.1</t>
  </si>
  <si>
    <t xml:space="preserve">4.7</t>
  </si>
  <si>
    <t xml:space="preserve">GUARDA CORPOS</t>
  </si>
  <si>
    <t xml:space="preserve">4.7.1</t>
  </si>
  <si>
    <t xml:space="preserve">4.7.2</t>
  </si>
  <si>
    <t xml:space="preserve">CP-99858-73569360</t>
  </si>
  <si>
    <t xml:space="preserve">4.7.3</t>
  </si>
  <si>
    <t xml:space="preserve">ESQUADRIAS</t>
  </si>
  <si>
    <t xml:space="preserve">5.1</t>
  </si>
  <si>
    <t xml:space="preserve">SOLEIRAS E PEITORIS</t>
  </si>
  <si>
    <t xml:space="preserve">5.1.1</t>
  </si>
  <si>
    <t xml:space="preserve">5.1.1.1</t>
  </si>
  <si>
    <t xml:space="preserve">5.1.1.2</t>
  </si>
  <si>
    <t xml:space="preserve">5.1.2</t>
  </si>
  <si>
    <t xml:space="preserve">5.1.2.1</t>
  </si>
  <si>
    <t xml:space="preserve">5.1.2.2</t>
  </si>
  <si>
    <t xml:space="preserve">5.2</t>
  </si>
  <si>
    <t xml:space="preserve">JANELAS</t>
  </si>
  <si>
    <t xml:space="preserve">5.2.1</t>
  </si>
  <si>
    <t xml:space="preserve">5.2.1.1</t>
  </si>
  <si>
    <t xml:space="preserve">ALUMINIO</t>
  </si>
  <si>
    <t xml:space="preserve">5.2.1.1.1</t>
  </si>
  <si>
    <t xml:space="preserve">5.2.1.1.2</t>
  </si>
  <si>
    <t xml:space="preserve">CP-94573-93528568</t>
  </si>
  <si>
    <t xml:space="preserve">5.2.1.1.3</t>
  </si>
  <si>
    <t xml:space="preserve">CP-100674-63500421</t>
  </si>
  <si>
    <t xml:space="preserve">5.2.1.1.4</t>
  </si>
  <si>
    <t xml:space="preserve">5.2.2</t>
  </si>
  <si>
    <t xml:space="preserve">5.2.2.1</t>
  </si>
  <si>
    <t xml:space="preserve">5.2.2.1.1</t>
  </si>
  <si>
    <t xml:space="preserve">5.2.2.1.2</t>
  </si>
  <si>
    <t xml:space="preserve">CP-100674-18584938</t>
  </si>
  <si>
    <t xml:space="preserve">5.2.2.1.3</t>
  </si>
  <si>
    <t xml:space="preserve">5.2.2.1.4</t>
  </si>
  <si>
    <t xml:space="preserve">CP-100674-96028797</t>
  </si>
  <si>
    <t xml:space="preserve">5.2.2.1.5</t>
  </si>
  <si>
    <t xml:space="preserve">CP-100674-80967004</t>
  </si>
  <si>
    <t xml:space="preserve">5.2.2.1.6</t>
  </si>
  <si>
    <t xml:space="preserve">CP-100674-29137547</t>
  </si>
  <si>
    <t xml:space="preserve">5.2.2.1.7</t>
  </si>
  <si>
    <t xml:space="preserve">CP-100674-10051162</t>
  </si>
  <si>
    <t xml:space="preserve">5.3</t>
  </si>
  <si>
    <t xml:space="preserve">PORTAS</t>
  </si>
  <si>
    <t xml:space="preserve">5.3.1</t>
  </si>
  <si>
    <t xml:space="preserve">5.3.1.1</t>
  </si>
  <si>
    <t xml:space="preserve">MADEIRA</t>
  </si>
  <si>
    <t xml:space="preserve">5.3.1.1.1</t>
  </si>
  <si>
    <t xml:space="preserve">5.3.1.1.2</t>
  </si>
  <si>
    <t xml:space="preserve">5.3.1.1.3</t>
  </si>
  <si>
    <t xml:space="preserve">CP-S08379-56639499</t>
  </si>
  <si>
    <t xml:space="preserve">5.3.1.2</t>
  </si>
  <si>
    <t xml:space="preserve">5.3.1.2.1</t>
  </si>
  <si>
    <t xml:space="preserve">COMP-16434255</t>
  </si>
  <si>
    <t xml:space="preserve">5.3.1.2.2</t>
  </si>
  <si>
    <t xml:space="preserve">CP-102187-51093481</t>
  </si>
  <si>
    <t xml:space="preserve">5.3.1.2.3</t>
  </si>
  <si>
    <t xml:space="preserve">CP-102187-27350537</t>
  </si>
  <si>
    <t xml:space="preserve">5.3.1.2.4</t>
  </si>
  <si>
    <t xml:space="preserve">5.3.1.3</t>
  </si>
  <si>
    <t xml:space="preserve">5.3.1.3.1</t>
  </si>
  <si>
    <t xml:space="preserve">5.3.2</t>
  </si>
  <si>
    <t xml:space="preserve">5.3.2.1</t>
  </si>
  <si>
    <t xml:space="preserve">5.3.2.1.1</t>
  </si>
  <si>
    <t xml:space="preserve">5.3.2.1.2</t>
  </si>
  <si>
    <t xml:space="preserve">5.3.2.2</t>
  </si>
  <si>
    <t xml:space="preserve">5.3.2.2.1</t>
  </si>
  <si>
    <t xml:space="preserve">5.3.3</t>
  </si>
  <si>
    <t xml:space="preserve">5.3.3.1</t>
  </si>
  <si>
    <t xml:space="preserve">5.3.3.1.1</t>
  </si>
  <si>
    <t xml:space="preserve">5.4</t>
  </si>
  <si>
    <t xml:space="preserve">PORTÕES</t>
  </si>
  <si>
    <t xml:space="preserve">5.4.1</t>
  </si>
  <si>
    <t xml:space="preserve">COM-32829548</t>
  </si>
  <si>
    <t xml:space="preserve">5.4.2</t>
  </si>
  <si>
    <t xml:space="preserve">COM-84195094</t>
  </si>
  <si>
    <t xml:space="preserve">5.4.3</t>
  </si>
  <si>
    <t xml:space="preserve">COM-96923201</t>
  </si>
  <si>
    <t xml:space="preserve">5.5</t>
  </si>
  <si>
    <t xml:space="preserve">PINTURA</t>
  </si>
  <si>
    <t xml:space="preserve">5.5.1</t>
  </si>
  <si>
    <t xml:space="preserve">5.5.1.1</t>
  </si>
  <si>
    <t xml:space="preserve">5.5.1.2</t>
  </si>
  <si>
    <t xml:space="preserve">5.6</t>
  </si>
  <si>
    <t xml:space="preserve">ACESSÓRIOS</t>
  </si>
  <si>
    <t xml:space="preserve">5.6.1</t>
  </si>
  <si>
    <t xml:space="preserve">5.6.2</t>
  </si>
  <si>
    <t xml:space="preserve">CP-100874-05380101</t>
  </si>
  <si>
    <t xml:space="preserve">5.7</t>
  </si>
  <si>
    <t xml:space="preserve">COMPLEMENTOS ARQUITETONICOS DE FACHADA</t>
  </si>
  <si>
    <t xml:space="preserve">5.7.1</t>
  </si>
  <si>
    <t xml:space="preserve">COBERTURAS</t>
  </si>
  <si>
    <t xml:space="preserve">6.1</t>
  </si>
  <si>
    <t xml:space="preserve">6.1.1</t>
  </si>
  <si>
    <t xml:space="preserve">CP-92580-86610275</t>
  </si>
  <si>
    <t xml:space="preserve">6.1.2</t>
  </si>
  <si>
    <t xml:space="preserve">6.2</t>
  </si>
  <si>
    <t xml:space="preserve">TELHAMENTO</t>
  </si>
  <si>
    <t xml:space="preserve">6.2.1</t>
  </si>
  <si>
    <t xml:space="preserve">6.2.2</t>
  </si>
  <si>
    <t xml:space="preserve">6.3</t>
  </si>
  <si>
    <t xml:space="preserve">CALHAS, RUFOS E PINGADEIRAS</t>
  </si>
  <si>
    <t xml:space="preserve">6.3.1</t>
  </si>
  <si>
    <t xml:space="preserve">6.3.2</t>
  </si>
  <si>
    <t xml:space="preserve">6.3.3</t>
  </si>
  <si>
    <t xml:space="preserve">IMPERMEABILIZAÇÕES</t>
  </si>
  <si>
    <t xml:space="preserve">7.1</t>
  </si>
  <si>
    <t xml:space="preserve">7.2</t>
  </si>
  <si>
    <t xml:space="preserve">7.3</t>
  </si>
  <si>
    <t xml:space="preserve">7.4</t>
  </si>
  <si>
    <t xml:space="preserve">REVESTIMENTOS</t>
  </si>
  <si>
    <t xml:space="preserve">8.1</t>
  </si>
  <si>
    <t xml:space="preserve">REVESTIMENTO DE PISOS</t>
  </si>
  <si>
    <t xml:space="preserve">8.1.1</t>
  </si>
  <si>
    <t xml:space="preserve">PISOS INTERNOS</t>
  </si>
  <si>
    <t xml:space="preserve">8.1.1.1</t>
  </si>
  <si>
    <t xml:space="preserve">PREPARO</t>
  </si>
  <si>
    <t xml:space="preserve">8.1.1.1.1</t>
  </si>
  <si>
    <t xml:space="preserve">8.1.1.2</t>
  </si>
  <si>
    <t xml:space="preserve">SINALIZAÇÃO</t>
  </si>
  <si>
    <t xml:space="preserve">8.1.1.2.1</t>
  </si>
  <si>
    <t xml:space="preserve">8.1.1.2.2</t>
  </si>
  <si>
    <t xml:space="preserve">8.1.1.2.3</t>
  </si>
  <si>
    <t xml:space="preserve">CP-100718-48459458</t>
  </si>
  <si>
    <t xml:space="preserve">8.1.1.2.4</t>
  </si>
  <si>
    <t xml:space="preserve">CP-103699-79997944</t>
  </si>
  <si>
    <t xml:space="preserve">8.1.1.2.5</t>
  </si>
  <si>
    <t xml:space="preserve">CP-S11903-06280616</t>
  </si>
  <si>
    <t xml:space="preserve">8.1.1.2.6</t>
  </si>
  <si>
    <t xml:space="preserve">CP-S11903-54564973</t>
  </si>
  <si>
    <t xml:space="preserve">8.1.1.3</t>
  </si>
  <si>
    <t xml:space="preserve">REVESTIMENTO CERÂMICO</t>
  </si>
  <si>
    <t xml:space="preserve">8.1.1.3.1</t>
  </si>
  <si>
    <t xml:space="preserve">8.1.1.3.2</t>
  </si>
  <si>
    <t xml:space="preserve">8.1.1.3.3</t>
  </si>
  <si>
    <t xml:space="preserve">CP-87246-59377373</t>
  </si>
  <si>
    <t xml:space="preserve">8.1.1.3.4</t>
  </si>
  <si>
    <t xml:space="preserve">CP-87248-16299374</t>
  </si>
  <si>
    <t xml:space="preserve">8.1.1.4</t>
  </si>
  <si>
    <t xml:space="preserve">PISO DE CONCRETO LISO</t>
  </si>
  <si>
    <t xml:space="preserve">8.1.1.4.1</t>
  </si>
  <si>
    <t xml:space="preserve">8.1.1.5</t>
  </si>
  <si>
    <t xml:space="preserve">REVESTIMENTO CERÂMICO DOS ELEVADORES</t>
  </si>
  <si>
    <t xml:space="preserve">8.1.1.5.1</t>
  </si>
  <si>
    <t xml:space="preserve">8.1.1.6</t>
  </si>
  <si>
    <t xml:space="preserve">GRANITO NA ESCADA</t>
  </si>
  <si>
    <t xml:space="preserve">8.1.1.6.1</t>
  </si>
  <si>
    <t xml:space="preserve">8.1.2</t>
  </si>
  <si>
    <t xml:space="preserve">PISOS EXTERNOS</t>
  </si>
  <si>
    <t xml:space="preserve">8.1.2.1</t>
  </si>
  <si>
    <t xml:space="preserve">8.1.2.2</t>
  </si>
  <si>
    <t xml:space="preserve">CP-92396-12454918</t>
  </si>
  <si>
    <t xml:space="preserve">8.1.2.3</t>
  </si>
  <si>
    <t xml:space="preserve">8.1.2.4</t>
  </si>
  <si>
    <t xml:space="preserve">8.1.2.5</t>
  </si>
  <si>
    <t xml:space="preserve">8.1.2.6</t>
  </si>
  <si>
    <t xml:space="preserve">8.1.2.7</t>
  </si>
  <si>
    <t xml:space="preserve">8.1.2.8</t>
  </si>
  <si>
    <t xml:space="preserve">8.1.2.9</t>
  </si>
  <si>
    <t xml:space="preserve">8.2</t>
  </si>
  <si>
    <t xml:space="preserve">REVESTIMENTO DE PAREDES</t>
  </si>
  <si>
    <t xml:space="preserve">8.2.1</t>
  </si>
  <si>
    <t xml:space="preserve">8.2.1.1</t>
  </si>
  <si>
    <t xml:space="preserve">8.2.1.2</t>
  </si>
  <si>
    <t xml:space="preserve">8.2.1.3</t>
  </si>
  <si>
    <t xml:space="preserve">8.2.1.4</t>
  </si>
  <si>
    <t xml:space="preserve">CP-88497-08164003</t>
  </si>
  <si>
    <t xml:space="preserve">8.2.2</t>
  </si>
  <si>
    <t xml:space="preserve">8.2.2.1</t>
  </si>
  <si>
    <t xml:space="preserve">CP-104611-92650972</t>
  </si>
  <si>
    <t xml:space="preserve">8.2.2.2</t>
  </si>
  <si>
    <t xml:space="preserve">CP-87269-68170729</t>
  </si>
  <si>
    <t xml:space="preserve">8.2.3</t>
  </si>
  <si>
    <t xml:space="preserve">8.2.3.1</t>
  </si>
  <si>
    <t xml:space="preserve">INTERNA</t>
  </si>
  <si>
    <t xml:space="preserve">8.2.3.1.1</t>
  </si>
  <si>
    <t xml:space="preserve">8.2.3.1.2</t>
  </si>
  <si>
    <t xml:space="preserve">CP-88489-02581929</t>
  </si>
  <si>
    <t xml:space="preserve">8.2.3.2</t>
  </si>
  <si>
    <t xml:space="preserve">EXTERNA</t>
  </si>
  <si>
    <t xml:space="preserve">8.2.3.2.1</t>
  </si>
  <si>
    <t xml:space="preserve">CP-95305-52037497</t>
  </si>
  <si>
    <t xml:space="preserve">8.2.4</t>
  </si>
  <si>
    <t xml:space="preserve">COMPLEMENTOS ARQUITETÔNICOS DE FACHADA</t>
  </si>
  <si>
    <t xml:space="preserve">8.2.4.1</t>
  </si>
  <si>
    <t xml:space="preserve">ELEMENTOS EM ACM</t>
  </si>
  <si>
    <t xml:space="preserve">8.2.4.1.1</t>
  </si>
  <si>
    <t xml:space="preserve">COM-03258709</t>
  </si>
  <si>
    <t xml:space="preserve">8.2.4.1.2</t>
  </si>
  <si>
    <t xml:space="preserve">COM-42484572</t>
  </si>
  <si>
    <t xml:space="preserve">8.2.5</t>
  </si>
  <si>
    <t xml:space="preserve">8.2.5.1</t>
  </si>
  <si>
    <t xml:space="preserve">CP-43700-74836253</t>
  </si>
  <si>
    <t xml:space="preserve">8.2.5.2</t>
  </si>
  <si>
    <t xml:space="preserve">CP-43700-96230851</t>
  </si>
  <si>
    <t xml:space="preserve">8.2.5.3</t>
  </si>
  <si>
    <t xml:space="preserve">CP-43700-78012636</t>
  </si>
  <si>
    <t xml:space="preserve">8.2.5.4</t>
  </si>
  <si>
    <t xml:space="preserve">CP-43700-12320693</t>
  </si>
  <si>
    <t xml:space="preserve">8.2.6</t>
  </si>
  <si>
    <t xml:space="preserve">PINTURA DE CORRIMÃO E GUARDA-CORPO</t>
  </si>
  <si>
    <t xml:space="preserve">8.2.6.1</t>
  </si>
  <si>
    <t xml:space="preserve">8.2.6.2</t>
  </si>
  <si>
    <t xml:space="preserve">8.3</t>
  </si>
  <si>
    <t xml:space="preserve">REVESTIMENTO DE TETOS</t>
  </si>
  <si>
    <t xml:space="preserve">8.3.1</t>
  </si>
  <si>
    <t xml:space="preserve">8.3.1.3</t>
  </si>
  <si>
    <t xml:space="preserve">CP-88496-30741491</t>
  </si>
  <si>
    <t xml:space="preserve">8.3.2</t>
  </si>
  <si>
    <t xml:space="preserve">8.3.2.1</t>
  </si>
  <si>
    <t xml:space="preserve">8.3.2.2</t>
  </si>
  <si>
    <t xml:space="preserve">CP-88488-08660845</t>
  </si>
  <si>
    <t xml:space="preserve">8.3.3</t>
  </si>
  <si>
    <t xml:space="preserve">FORROS</t>
  </si>
  <si>
    <t xml:space="preserve">8.3.3.1</t>
  </si>
  <si>
    <t xml:space="preserve">EQUIPAMENTOS</t>
  </si>
  <si>
    <t xml:space="preserve">*9.1</t>
  </si>
  <si>
    <t xml:space="preserve">COM-55603280</t>
  </si>
  <si>
    <t xml:space="preserve">*9.2</t>
  </si>
  <si>
    <t xml:space="preserve">COM-76144473</t>
  </si>
  <si>
    <t xml:space="preserve">LOUÇAS E METAIS</t>
  </si>
  <si>
    <t xml:space="preserve">10.1</t>
  </si>
  <si>
    <t xml:space="preserve">BANHEIROS</t>
  </si>
  <si>
    <t xml:space="preserve">10.1.1</t>
  </si>
  <si>
    <t xml:space="preserve">CP-86888-36527466</t>
  </si>
  <si>
    <t xml:space="preserve">10.1.2</t>
  </si>
  <si>
    <t xml:space="preserve">CP-95469-90214766</t>
  </si>
  <si>
    <t xml:space="preserve">10.1.3</t>
  </si>
  <si>
    <t xml:space="preserve">10.1.4</t>
  </si>
  <si>
    <t xml:space="preserve">10.1.5</t>
  </si>
  <si>
    <t xml:space="preserve">CP-86895-45135614</t>
  </si>
  <si>
    <t xml:space="preserve">10.1.6</t>
  </si>
  <si>
    <t xml:space="preserve">COMP-46130659</t>
  </si>
  <si>
    <t xml:space="preserve">10.1.7</t>
  </si>
  <si>
    <t xml:space="preserve">10.1.8</t>
  </si>
  <si>
    <t xml:space="preserve">CP-86915-72704017</t>
  </si>
  <si>
    <t xml:space="preserve">10.1.9</t>
  </si>
  <si>
    <t xml:space="preserve">CP-102143-92862617</t>
  </si>
  <si>
    <t xml:space="preserve">10.1.10</t>
  </si>
  <si>
    <t xml:space="preserve">10.1.11</t>
  </si>
  <si>
    <t xml:space="preserve">CP-95544-06057598</t>
  </si>
  <si>
    <t xml:space="preserve">10.1.12</t>
  </si>
  <si>
    <t xml:space="preserve">CP-95544-36171712</t>
  </si>
  <si>
    <t xml:space="preserve">10.2</t>
  </si>
  <si>
    <t xml:space="preserve">BANHEIROS PNE</t>
  </si>
  <si>
    <t xml:space="preserve">10.2.1</t>
  </si>
  <si>
    <t xml:space="preserve">10.2.2</t>
  </si>
  <si>
    <t xml:space="preserve">CP-100850-67359268</t>
  </si>
  <si>
    <t xml:space="preserve">10.2.3</t>
  </si>
  <si>
    <t xml:space="preserve">CP-86942-37809584</t>
  </si>
  <si>
    <t xml:space="preserve">10.2.4</t>
  </si>
  <si>
    <t xml:space="preserve">10.2.5</t>
  </si>
  <si>
    <t xml:space="preserve">10.2.6</t>
  </si>
  <si>
    <t xml:space="preserve">CP-100866-53668410</t>
  </si>
  <si>
    <t xml:space="preserve">10.2.7</t>
  </si>
  <si>
    <t xml:space="preserve">CP-100866-32421441</t>
  </si>
  <si>
    <t xml:space="preserve">10.2.8</t>
  </si>
  <si>
    <t xml:space="preserve">10.2.9</t>
  </si>
  <si>
    <t xml:space="preserve">10.2.10</t>
  </si>
  <si>
    <t xml:space="preserve">10.3</t>
  </si>
  <si>
    <t xml:space="preserve">COPAS</t>
  </si>
  <si>
    <t xml:space="preserve">10.3.1</t>
  </si>
  <si>
    <t xml:space="preserve">COMP-75081288</t>
  </si>
  <si>
    <t xml:space="preserve">10.3.2</t>
  </si>
  <si>
    <t xml:space="preserve">COMP-99160112</t>
  </si>
  <si>
    <t xml:space="preserve">10.3.3</t>
  </si>
  <si>
    <t xml:space="preserve">10.3.4</t>
  </si>
  <si>
    <t xml:space="preserve">10.4</t>
  </si>
  <si>
    <t xml:space="preserve">ÁREAS DE SERVIÇO</t>
  </si>
  <si>
    <t xml:space="preserve">10.4.1</t>
  </si>
  <si>
    <t xml:space="preserve">10.5</t>
  </si>
  <si>
    <t xml:space="preserve">ÁREA EXTERNA</t>
  </si>
  <si>
    <t xml:space="preserve">10.5.1</t>
  </si>
  <si>
    <t xml:space="preserve">INSTALAÇÕES HIDROSSANITÁRIAS</t>
  </si>
  <si>
    <t xml:space="preserve">11.1</t>
  </si>
  <si>
    <t xml:space="preserve">ALIMENTAÇÃO</t>
  </si>
  <si>
    <t xml:space="preserve">11.1.1</t>
  </si>
  <si>
    <t xml:space="preserve">METAIS</t>
  </si>
  <si>
    <t xml:space="preserve">11.1.1.1</t>
  </si>
  <si>
    <t xml:space="preserve">11.1.1.2</t>
  </si>
  <si>
    <t xml:space="preserve">11.1.1.3</t>
  </si>
  <si>
    <t xml:space="preserve">11.1.1.4</t>
  </si>
  <si>
    <t xml:space="preserve">11.1.2</t>
  </si>
  <si>
    <t xml:space="preserve">PVC MISTO SOLDÁVEL</t>
  </si>
  <si>
    <t xml:space="preserve">11.1.2.1</t>
  </si>
  <si>
    <t xml:space="preserve">11.1.3</t>
  </si>
  <si>
    <t xml:space="preserve">PVC RÍGIDO SOLDÁVEL</t>
  </si>
  <si>
    <t xml:space="preserve">11.1.3.1</t>
  </si>
  <si>
    <t xml:space="preserve">11.1.3.2</t>
  </si>
  <si>
    <t xml:space="preserve">11.1.3.3</t>
  </si>
  <si>
    <t xml:space="preserve">11.1.3.4</t>
  </si>
  <si>
    <t xml:space="preserve">11.1.3.5</t>
  </si>
  <si>
    <t xml:space="preserve">11.1.3.6</t>
  </si>
  <si>
    <t xml:space="preserve">11.2</t>
  </si>
  <si>
    <t xml:space="preserve">ESGOTO</t>
  </si>
  <si>
    <t xml:space="preserve">11.2.1</t>
  </si>
  <si>
    <t xml:space="preserve">CAIXAS DE PASSAGEM</t>
  </si>
  <si>
    <t xml:space="preserve">11.2.1.1</t>
  </si>
  <si>
    <t xml:space="preserve">CP-97898-05648511</t>
  </si>
  <si>
    <t xml:space="preserve">11.2.1.2</t>
  </si>
  <si>
    <t xml:space="preserve">11.2.1.3</t>
  </si>
  <si>
    <t xml:space="preserve">11.2.1.4</t>
  </si>
  <si>
    <t xml:space="preserve">11.2.2</t>
  </si>
  <si>
    <t xml:space="preserve">PVC ACESSÓRIOS</t>
  </si>
  <si>
    <t xml:space="preserve">11.2.2.1</t>
  </si>
  <si>
    <t xml:space="preserve">11.2.2.2</t>
  </si>
  <si>
    <t xml:space="preserve">11.2.3</t>
  </si>
  <si>
    <t xml:space="preserve">PVC ESGOTO</t>
  </si>
  <si>
    <t xml:space="preserve">11.2.3.1</t>
  </si>
  <si>
    <t xml:space="preserve">11.2.3.2</t>
  </si>
  <si>
    <t xml:space="preserve">11.2.3.3</t>
  </si>
  <si>
    <t xml:space="preserve">11.2.3.4</t>
  </si>
  <si>
    <t xml:space="preserve">11.2.3.5</t>
  </si>
  <si>
    <t xml:space="preserve">11.2.3.6</t>
  </si>
  <si>
    <t xml:space="preserve">11.2.3.7</t>
  </si>
  <si>
    <t xml:space="preserve">11.2.3.8</t>
  </si>
  <si>
    <t xml:space="preserve">11.2.3.9</t>
  </si>
  <si>
    <t xml:space="preserve">11.2.3.10</t>
  </si>
  <si>
    <t xml:space="preserve">11.2.3.11</t>
  </si>
  <si>
    <t xml:space="preserve">11.2.3.12</t>
  </si>
  <si>
    <t xml:space="preserve">11.2.3.13</t>
  </si>
  <si>
    <t xml:space="preserve">CP-89724-77803914</t>
  </si>
  <si>
    <t xml:space="preserve">11.2.3.14</t>
  </si>
  <si>
    <t xml:space="preserve">CP-89834-27429455</t>
  </si>
  <si>
    <t xml:space="preserve">11.2.3.15</t>
  </si>
  <si>
    <t xml:space="preserve">CP-89834-67091007</t>
  </si>
  <si>
    <t xml:space="preserve">11.2.3.16</t>
  </si>
  <si>
    <t xml:space="preserve">CP-89830-16429808</t>
  </si>
  <si>
    <t xml:space="preserve">11.2.3.17</t>
  </si>
  <si>
    <t xml:space="preserve">11.2.3.18</t>
  </si>
  <si>
    <t xml:space="preserve">11.2.3.19</t>
  </si>
  <si>
    <t xml:space="preserve">11.2.3.20</t>
  </si>
  <si>
    <t xml:space="preserve">11.2.3.21</t>
  </si>
  <si>
    <t xml:space="preserve">11.2.3.22</t>
  </si>
  <si>
    <t xml:space="preserve">11.2.3.23</t>
  </si>
  <si>
    <t xml:space="preserve">CP-89557-77390347</t>
  </si>
  <si>
    <t xml:space="preserve">11.2.3.24</t>
  </si>
  <si>
    <t xml:space="preserve">CP-89557-49667462</t>
  </si>
  <si>
    <t xml:space="preserve">11.2.3.25</t>
  </si>
  <si>
    <t xml:space="preserve">11.2.3.26</t>
  </si>
  <si>
    <t xml:space="preserve">11.2.3.27</t>
  </si>
  <si>
    <t xml:space="preserve">11.2.3.28</t>
  </si>
  <si>
    <t xml:space="preserve">11.2.3.29</t>
  </si>
  <si>
    <t xml:space="preserve">11.2.3.30</t>
  </si>
  <si>
    <t xml:space="preserve">11.2.3.31</t>
  </si>
  <si>
    <t xml:space="preserve">11.2.3.32</t>
  </si>
  <si>
    <t xml:space="preserve">11.2.3.33</t>
  </si>
  <si>
    <t xml:space="preserve">CP-89829-34557810</t>
  </si>
  <si>
    <t xml:space="preserve">11.3</t>
  </si>
  <si>
    <t xml:space="preserve">GORDURA</t>
  </si>
  <si>
    <t xml:space="preserve">11.3.1</t>
  </si>
  <si>
    <t xml:space="preserve">11.3.1.1</t>
  </si>
  <si>
    <t xml:space="preserve">11.3.1.2</t>
  </si>
  <si>
    <t xml:space="preserve">11.3.1.3</t>
  </si>
  <si>
    <t xml:space="preserve">11.3.1.4</t>
  </si>
  <si>
    <t xml:space="preserve">11.3.1.5</t>
  </si>
  <si>
    <t xml:space="preserve">11.3.1.6</t>
  </si>
  <si>
    <t xml:space="preserve">11.3.1.7</t>
  </si>
  <si>
    <t xml:space="preserve">11.3.1.8</t>
  </si>
  <si>
    <t xml:space="preserve">11.3.1.9</t>
  </si>
  <si>
    <t xml:space="preserve">11.3.1.10</t>
  </si>
  <si>
    <t xml:space="preserve">11.3.2</t>
  </si>
  <si>
    <t xml:space="preserve">UNIDADES DE TRATAMENTO</t>
  </si>
  <si>
    <t xml:space="preserve">11.3.2.1</t>
  </si>
  <si>
    <t xml:space="preserve">11.3.2.2</t>
  </si>
  <si>
    <t xml:space="preserve">11.3.2.3</t>
  </si>
  <si>
    <t xml:space="preserve">11.3.2.4</t>
  </si>
  <si>
    <t xml:space="preserve">11.4</t>
  </si>
  <si>
    <t xml:space="preserve">PLUVIAL</t>
  </si>
  <si>
    <t xml:space="preserve">11.4.1</t>
  </si>
  <si>
    <t xml:space="preserve">11.4.1.1</t>
  </si>
  <si>
    <t xml:space="preserve">CP-97898-61187812</t>
  </si>
  <si>
    <t xml:space="preserve">11.4.1.2</t>
  </si>
  <si>
    <t xml:space="preserve">11.4.1.3</t>
  </si>
  <si>
    <t xml:space="preserve">CP-98062-93957491</t>
  </si>
  <si>
    <t xml:space="preserve">11.4.1.4</t>
  </si>
  <si>
    <t xml:space="preserve">11.4.1.5</t>
  </si>
  <si>
    <t xml:space="preserve">11.4.1.6</t>
  </si>
  <si>
    <t xml:space="preserve">11.4.2</t>
  </si>
  <si>
    <t xml:space="preserve">TUBULAÇÕES DE CONCRETO</t>
  </si>
  <si>
    <t xml:space="preserve">11.4.2.1</t>
  </si>
  <si>
    <t xml:space="preserve">CP-95565-97969066</t>
  </si>
  <si>
    <t xml:space="preserve">11.4.2.2</t>
  </si>
  <si>
    <t xml:space="preserve">11.4.3</t>
  </si>
  <si>
    <t xml:space="preserve">11.4.3.1</t>
  </si>
  <si>
    <t xml:space="preserve">CP-S04283-90237589</t>
  </si>
  <si>
    <t xml:space="preserve">11.4.4</t>
  </si>
  <si>
    <t xml:space="preserve">11.4.4.1</t>
  </si>
  <si>
    <t xml:space="preserve">11.4.4.2</t>
  </si>
  <si>
    <t xml:space="preserve">11.4.4.3</t>
  </si>
  <si>
    <t xml:space="preserve">11.4.4.4</t>
  </si>
  <si>
    <t xml:space="preserve">11.4.4.5</t>
  </si>
  <si>
    <t xml:space="preserve">11.4.4.6</t>
  </si>
  <si>
    <t xml:space="preserve">11.4.4.7</t>
  </si>
  <si>
    <t xml:space="preserve">11.4.4.8</t>
  </si>
  <si>
    <t xml:space="preserve">11.4.4.9</t>
  </si>
  <si>
    <t xml:space="preserve">11.4.4.10</t>
  </si>
  <si>
    <t xml:space="preserve">11.4.4.11</t>
  </si>
  <si>
    <t xml:space="preserve">11.4.4.12</t>
  </si>
  <si>
    <t xml:space="preserve">11.4.4.13</t>
  </si>
  <si>
    <t xml:space="preserve">11.4.4.14</t>
  </si>
  <si>
    <t xml:space="preserve">11.4.4.15</t>
  </si>
  <si>
    <t xml:space="preserve">11.4.4.16</t>
  </si>
  <si>
    <t xml:space="preserve">11.4.5</t>
  </si>
  <si>
    <t xml:space="preserve">DRENAGEM SUBSUPERFICIAL</t>
  </si>
  <si>
    <t xml:space="preserve">11.4.5.1</t>
  </si>
  <si>
    <t xml:space="preserve">CP-102664-35312354</t>
  </si>
  <si>
    <t xml:space="preserve">11.5</t>
  </si>
  <si>
    <t xml:space="preserve">VENTILAÇÃO</t>
  </si>
  <si>
    <t xml:space="preserve">11.5.1</t>
  </si>
  <si>
    <t xml:space="preserve">11.5.1.1</t>
  </si>
  <si>
    <t xml:space="preserve">11.5.1.2</t>
  </si>
  <si>
    <t xml:space="preserve">11.5.1.3</t>
  </si>
  <si>
    <t xml:space="preserve">11.5.1.4</t>
  </si>
  <si>
    <t xml:space="preserve">11.5.1.5</t>
  </si>
  <si>
    <t xml:space="preserve">11.5.1.6</t>
  </si>
  <si>
    <t xml:space="preserve">11.5.1.7</t>
  </si>
  <si>
    <t xml:space="preserve">11.5.1.8</t>
  </si>
  <si>
    <t xml:space="preserve">11.5.1.9</t>
  </si>
  <si>
    <t xml:space="preserve">11.5.1.10</t>
  </si>
  <si>
    <t xml:space="preserve">11.5.1.11</t>
  </si>
  <si>
    <t xml:space="preserve">11.5.1.12</t>
  </si>
  <si>
    <t xml:space="preserve">11.5.1.13</t>
  </si>
  <si>
    <t xml:space="preserve">11.5.1.14</t>
  </si>
  <si>
    <t xml:space="preserve">11.5.1.15</t>
  </si>
  <si>
    <t xml:space="preserve">11.5.1.16</t>
  </si>
  <si>
    <t xml:space="preserve">11.6</t>
  </si>
  <si>
    <t xml:space="preserve">ÁGUA FRIA</t>
  </si>
  <si>
    <t xml:space="preserve">11.6.1</t>
  </si>
  <si>
    <t xml:space="preserve">11.6.1.1</t>
  </si>
  <si>
    <t xml:space="preserve">11.6.1.2</t>
  </si>
  <si>
    <t xml:space="preserve">11.6.1.3</t>
  </si>
  <si>
    <t xml:space="preserve">11.6.1.4</t>
  </si>
  <si>
    <t xml:space="preserve">11.6.1.5</t>
  </si>
  <si>
    <t xml:space="preserve">11.6.1.6</t>
  </si>
  <si>
    <t xml:space="preserve">CP-95253-58276337</t>
  </si>
  <si>
    <t xml:space="preserve">11.6.1.7</t>
  </si>
  <si>
    <t xml:space="preserve">11.6.1.8</t>
  </si>
  <si>
    <t xml:space="preserve">11.6.2</t>
  </si>
  <si>
    <t xml:space="preserve">11.6.2.1</t>
  </si>
  <si>
    <t xml:space="preserve">11.6.2.2</t>
  </si>
  <si>
    <t xml:space="preserve">11.6.2.3</t>
  </si>
  <si>
    <t xml:space="preserve">11.6.2.4</t>
  </si>
  <si>
    <t xml:space="preserve">11.6.2.5</t>
  </si>
  <si>
    <t xml:space="preserve">11.6.2.6</t>
  </si>
  <si>
    <t xml:space="preserve">11.6.2.7</t>
  </si>
  <si>
    <t xml:space="preserve">11.6.2.8</t>
  </si>
  <si>
    <t xml:space="preserve">11.6.2.9</t>
  </si>
  <si>
    <t xml:space="preserve">11.6.2.10</t>
  </si>
  <si>
    <t xml:space="preserve">11.6.2.11</t>
  </si>
  <si>
    <t xml:space="preserve">11.6.2.12</t>
  </si>
  <si>
    <t xml:space="preserve">11.6.2.13</t>
  </si>
  <si>
    <t xml:space="preserve">11.6.2.14</t>
  </si>
  <si>
    <t xml:space="preserve">11.6.2.15</t>
  </si>
  <si>
    <t xml:space="preserve">11.6.2.16</t>
  </si>
  <si>
    <t xml:space="preserve">11.6.2.17</t>
  </si>
  <si>
    <t xml:space="preserve">11.6.2.18</t>
  </si>
  <si>
    <t xml:space="preserve">11.6.2.19</t>
  </si>
  <si>
    <t xml:space="preserve">11.6.2.20</t>
  </si>
  <si>
    <t xml:space="preserve">11.6.2.21</t>
  </si>
  <si>
    <t xml:space="preserve">11.6.2.22</t>
  </si>
  <si>
    <t xml:space="preserve">11.6.2.23</t>
  </si>
  <si>
    <t xml:space="preserve">11.6.2.24</t>
  </si>
  <si>
    <t xml:space="preserve">11.6.2.25</t>
  </si>
  <si>
    <t xml:space="preserve">11.6.2.26</t>
  </si>
  <si>
    <t xml:space="preserve">11.6.2.27</t>
  </si>
  <si>
    <t xml:space="preserve">11.6.2.28</t>
  </si>
  <si>
    <t xml:space="preserve">11.6.2.29</t>
  </si>
  <si>
    <t xml:space="preserve">11.6.2.30</t>
  </si>
  <si>
    <t xml:space="preserve">11.6.2.31</t>
  </si>
  <si>
    <t xml:space="preserve">11.6.3</t>
  </si>
  <si>
    <t xml:space="preserve">PVC SOLDÁVEL AZUL COM BUCHA DE LATÃO</t>
  </si>
  <si>
    <t xml:space="preserve">11.6.3.1</t>
  </si>
  <si>
    <t xml:space="preserve">11.6.3.2</t>
  </si>
  <si>
    <t xml:space="preserve">11.6.3.3</t>
  </si>
  <si>
    <t xml:space="preserve">11.6.3.4</t>
  </si>
  <si>
    <t xml:space="preserve">11.6.4</t>
  </si>
  <si>
    <t xml:space="preserve">PRESSURIZADOR</t>
  </si>
  <si>
    <t xml:space="preserve">11.6.4.1</t>
  </si>
  <si>
    <t xml:space="preserve">CP-S12882-53164517</t>
  </si>
  <si>
    <t xml:space="preserve">11.6.5</t>
  </si>
  <si>
    <t xml:space="preserve">RESERVATÓRIO</t>
  </si>
  <si>
    <t xml:space="preserve">11.6.5.1</t>
  </si>
  <si>
    <t xml:space="preserve">11.7</t>
  </si>
  <si>
    <t xml:space="preserve">ESCAVAÇÃO E ATERRO DE VALAS PARA TUBULAÇÕES</t>
  </si>
  <si>
    <t xml:space="preserve">11.7.1</t>
  </si>
  <si>
    <t xml:space="preserve">11.7.2</t>
  </si>
  <si>
    <t xml:space="preserve">INSTALAÇÕES ELÉTRICAS</t>
  </si>
  <si>
    <t xml:space="preserve">12.1</t>
  </si>
  <si>
    <t xml:space="preserve">CABEAMENTO</t>
  </si>
  <si>
    <t xml:space="preserve">12.1.1</t>
  </si>
  <si>
    <t xml:space="preserve">0,6/1,0 KV</t>
  </si>
  <si>
    <t xml:space="preserve">12.1.1.1</t>
  </si>
  <si>
    <t xml:space="preserve">12.1.1.2</t>
  </si>
  <si>
    <t xml:space="preserve">12.1.1.3</t>
  </si>
  <si>
    <t xml:space="preserve">12.1.1.4</t>
  </si>
  <si>
    <t xml:space="preserve">12.1.1.5</t>
  </si>
  <si>
    <t xml:space="preserve">12.1.1.6</t>
  </si>
  <si>
    <t xml:space="preserve">12.1.1.7</t>
  </si>
  <si>
    <t xml:space="preserve">12.1.2</t>
  </si>
  <si>
    <t xml:space="preserve">450/750 V</t>
  </si>
  <si>
    <t xml:space="preserve">12.1.2.1</t>
  </si>
  <si>
    <t xml:space="preserve">12.1.2.2</t>
  </si>
  <si>
    <t xml:space="preserve">12.2</t>
  </si>
  <si>
    <t xml:space="preserve">ELETRODUTOS E ELETROCALHAS</t>
  </si>
  <si>
    <t xml:space="preserve">12.2.1</t>
  </si>
  <si>
    <t xml:space="preserve">ACESSÓRIOS ELETRODUTOS</t>
  </si>
  <si>
    <t xml:space="preserve">12.2.1.1</t>
  </si>
  <si>
    <t xml:space="preserve">12.2.1.2</t>
  </si>
  <si>
    <t xml:space="preserve">12.2.1.3</t>
  </si>
  <si>
    <t xml:space="preserve">12.2.1.4</t>
  </si>
  <si>
    <t xml:space="preserve">12.2.1.5</t>
  </si>
  <si>
    <t xml:space="preserve">CP-95764-31225573</t>
  </si>
  <si>
    <t xml:space="preserve">12.2.1.6</t>
  </si>
  <si>
    <t xml:space="preserve">12.2.2</t>
  </si>
  <si>
    <t xml:space="preserve">ELETRODUTOS</t>
  </si>
  <si>
    <t xml:space="preserve">12.2.2.1</t>
  </si>
  <si>
    <t xml:space="preserve">12.2.2.2</t>
  </si>
  <si>
    <t xml:space="preserve">12.2.2.3</t>
  </si>
  <si>
    <t xml:space="preserve">12.2.2.4</t>
  </si>
  <si>
    <t xml:space="preserve">12.2.2.5</t>
  </si>
  <si>
    <t xml:space="preserve">12.2.2.6</t>
  </si>
  <si>
    <t xml:space="preserve">CP-97668-00337290</t>
  </si>
  <si>
    <t xml:space="preserve">12.2.3</t>
  </si>
  <si>
    <t xml:space="preserve">ELETROCALHAS</t>
  </si>
  <si>
    <t xml:space="preserve">12.2.3.1</t>
  </si>
  <si>
    <t xml:space="preserve">CP-97280-85631727</t>
  </si>
  <si>
    <t xml:space="preserve">12.2.3.2</t>
  </si>
  <si>
    <t xml:space="preserve">CP-97280-41528902</t>
  </si>
  <si>
    <t xml:space="preserve">12.2.3.3</t>
  </si>
  <si>
    <t xml:space="preserve">CP-97278-60708065</t>
  </si>
  <si>
    <t xml:space="preserve">12.2.3.4</t>
  </si>
  <si>
    <t xml:space="preserve">CP-97278-94259526</t>
  </si>
  <si>
    <t xml:space="preserve">12.2.3.5</t>
  </si>
  <si>
    <t xml:space="preserve">CP-97278-65713484</t>
  </si>
  <si>
    <t xml:space="preserve">12.2.3.6</t>
  </si>
  <si>
    <t xml:space="preserve">CP-97315-30672988</t>
  </si>
  <si>
    <t xml:space="preserve">12.2.3.7</t>
  </si>
  <si>
    <t xml:space="preserve">CP-97313-25660418</t>
  </si>
  <si>
    <t xml:space="preserve">12.2.3.8</t>
  </si>
  <si>
    <t xml:space="preserve">CP-97317-78783259</t>
  </si>
  <si>
    <t xml:space="preserve">12.2.3.9</t>
  </si>
  <si>
    <t xml:space="preserve">CP-97240-61003169</t>
  </si>
  <si>
    <t xml:space="preserve">12.2.3.10</t>
  </si>
  <si>
    <t xml:space="preserve">CP-97238-21067212</t>
  </si>
  <si>
    <t xml:space="preserve">12.2.3.11</t>
  </si>
  <si>
    <t xml:space="preserve">CP-97236-96216825</t>
  </si>
  <si>
    <t xml:space="preserve">12.3</t>
  </si>
  <si>
    <t xml:space="preserve">DISPOSITIVOS</t>
  </si>
  <si>
    <t xml:space="preserve">12.3.1</t>
  </si>
  <si>
    <t xml:space="preserve">DISPOSITIVO ELÉTRICO</t>
  </si>
  <si>
    <t xml:space="preserve">12.3.1.1</t>
  </si>
  <si>
    <t xml:space="preserve">EMBUTIR</t>
  </si>
  <si>
    <t xml:space="preserve">12.3.1.1.1</t>
  </si>
  <si>
    <t xml:space="preserve">12.3.1.1.2</t>
  </si>
  <si>
    <t xml:space="preserve">12.3.1.1.3</t>
  </si>
  <si>
    <t xml:space="preserve">12.3.1.1.4</t>
  </si>
  <si>
    <t xml:space="preserve">12.3.1.1.5</t>
  </si>
  <si>
    <t xml:space="preserve">12.3.1.1.6</t>
  </si>
  <si>
    <t xml:space="preserve">12.3.1.1.7</t>
  </si>
  <si>
    <t xml:space="preserve">12.3.1.1.8</t>
  </si>
  <si>
    <t xml:space="preserve">12.3.1.1.9</t>
  </si>
  <si>
    <t xml:space="preserve">12.3.1.1.10</t>
  </si>
  <si>
    <t xml:space="preserve">12.3.1.1.11</t>
  </si>
  <si>
    <t xml:space="preserve">12.3.1.1.12</t>
  </si>
  <si>
    <t xml:space="preserve">12.3.1.1.13</t>
  </si>
  <si>
    <t xml:space="preserve">CP-91994-50770902</t>
  </si>
  <si>
    <t xml:space="preserve">12.3.2</t>
  </si>
  <si>
    <t xml:space="preserve">DISPOSITIVO DE COMANDO</t>
  </si>
  <si>
    <t xml:space="preserve">12.3.2.1</t>
  </si>
  <si>
    <t xml:space="preserve">CP-91952-21243010</t>
  </si>
  <si>
    <t xml:space="preserve">12.3.3</t>
  </si>
  <si>
    <t xml:space="preserve">DISPOSITIVO DE PROTEÇÃO</t>
  </si>
  <si>
    <t xml:space="preserve">12.3.3.1</t>
  </si>
  <si>
    <t xml:space="preserve">12.3.3.2</t>
  </si>
  <si>
    <t xml:space="preserve">12.3.3.3</t>
  </si>
  <si>
    <t xml:space="preserve">12.3.3.4</t>
  </si>
  <si>
    <t xml:space="preserve">12.3.3.5</t>
  </si>
  <si>
    <t xml:space="preserve">12.3.3.6</t>
  </si>
  <si>
    <t xml:space="preserve">CP-93673-14519662</t>
  </si>
  <si>
    <t xml:space="preserve">12.3.3.7</t>
  </si>
  <si>
    <t xml:space="preserve">12.3.3.8</t>
  </si>
  <si>
    <t xml:space="preserve">12.3.3.9</t>
  </si>
  <si>
    <t xml:space="preserve">CP-93670-90665704</t>
  </si>
  <si>
    <t xml:space="preserve">12.3.3.10</t>
  </si>
  <si>
    <t xml:space="preserve">CP-93659-14142811</t>
  </si>
  <si>
    <t xml:space="preserve">12.4</t>
  </si>
  <si>
    <t xml:space="preserve">QUADROS</t>
  </si>
  <si>
    <t xml:space="preserve">12.4.1</t>
  </si>
  <si>
    <t xml:space="preserve">CP-101881-96125956</t>
  </si>
  <si>
    <t xml:space="preserve">12.4.2</t>
  </si>
  <si>
    <t xml:space="preserve">CP-101881-94399068</t>
  </si>
  <si>
    <t xml:space="preserve">12.5</t>
  </si>
  <si>
    <t xml:space="preserve">LUMINÁRIAS</t>
  </si>
  <si>
    <t xml:space="preserve">12.5.1</t>
  </si>
  <si>
    <t xml:space="preserve">CP-100918-97696541</t>
  </si>
  <si>
    <t xml:space="preserve">12.5.2</t>
  </si>
  <si>
    <t xml:space="preserve">CP-100918-90663646</t>
  </si>
  <si>
    <t xml:space="preserve">12.5.3</t>
  </si>
  <si>
    <t xml:space="preserve">CP-103786-70218410</t>
  </si>
  <si>
    <t xml:space="preserve">12.5.4</t>
  </si>
  <si>
    <t xml:space="preserve">CP-103782-24126436</t>
  </si>
  <si>
    <t xml:space="preserve">12.5.5</t>
  </si>
  <si>
    <t xml:space="preserve">CP-100910-77424920</t>
  </si>
  <si>
    <t xml:space="preserve">12.5.6</t>
  </si>
  <si>
    <t xml:space="preserve">CP-97607-91419788</t>
  </si>
  <si>
    <t xml:space="preserve">12.5.7</t>
  </si>
  <si>
    <t xml:space="preserve">CP-97605-28681179</t>
  </si>
  <si>
    <t xml:space="preserve">12.6</t>
  </si>
  <si>
    <t xml:space="preserve">12.6.1</t>
  </si>
  <si>
    <t xml:space="preserve">CP-S13120-83041890</t>
  </si>
  <si>
    <t xml:space="preserve">12.6.2</t>
  </si>
  <si>
    <t xml:space="preserve">COM-01799243</t>
  </si>
  <si>
    <t xml:space="preserve">12.7</t>
  </si>
  <si>
    <t xml:space="preserve">12.7.1</t>
  </si>
  <si>
    <t xml:space="preserve">12.7.2</t>
  </si>
  <si>
    <t xml:space="preserve">12.8</t>
  </si>
  <si>
    <t xml:space="preserve">ESTAÇÕES DE TRABALHO</t>
  </si>
  <si>
    <t xml:space="preserve">12.8.1</t>
  </si>
  <si>
    <t xml:space="preserve">CP-91927-98308078</t>
  </si>
  <si>
    <t xml:space="preserve">12.8.2</t>
  </si>
  <si>
    <t xml:space="preserve">CP-91994-36825422</t>
  </si>
  <si>
    <t xml:space="preserve">12.8.3</t>
  </si>
  <si>
    <t xml:space="preserve">COMUNICAÇÃO E DADOS</t>
  </si>
  <si>
    <t xml:space="preserve">13.1</t>
  </si>
  <si>
    <t xml:space="preserve">ACESSÓRIOS DE CABEAMENTO</t>
  </si>
  <si>
    <t xml:space="preserve">13.1.1</t>
  </si>
  <si>
    <t xml:space="preserve">HÍBRIDO</t>
  </si>
  <si>
    <t xml:space="preserve">13.1.1.1</t>
  </si>
  <si>
    <t xml:space="preserve">CP-98304-54719438</t>
  </si>
  <si>
    <t xml:space="preserve">13.1.2</t>
  </si>
  <si>
    <t xml:space="preserve">METÁLICO</t>
  </si>
  <si>
    <t xml:space="preserve">13.1.2.1</t>
  </si>
  <si>
    <t xml:space="preserve">CP-98307-81311907</t>
  </si>
  <si>
    <t xml:space="preserve">13.1.2.2</t>
  </si>
  <si>
    <t xml:space="preserve">13.1.2.3</t>
  </si>
  <si>
    <t xml:space="preserve">13.1.3</t>
  </si>
  <si>
    <t xml:space="preserve">RACK</t>
  </si>
  <si>
    <t xml:space="preserve">13.1.3.1</t>
  </si>
  <si>
    <t xml:space="preserve">CP-100555-97173299</t>
  </si>
  <si>
    <t xml:space="preserve">13.1.4</t>
  </si>
  <si>
    <t xml:space="preserve">ÓTICO</t>
  </si>
  <si>
    <t xml:space="preserve">13.1.4.1</t>
  </si>
  <si>
    <t xml:space="preserve">CP-C4564-30968348</t>
  </si>
  <si>
    <t xml:space="preserve">13.2</t>
  </si>
  <si>
    <t xml:space="preserve">ACESÓRIOS PARA ELETRODUTOS</t>
  </si>
  <si>
    <t xml:space="preserve">13.2.1</t>
  </si>
  <si>
    <t xml:space="preserve">13.3</t>
  </si>
  <si>
    <t xml:space="preserve">13.3.1</t>
  </si>
  <si>
    <t xml:space="preserve">CP-98299-20793885</t>
  </si>
  <si>
    <t xml:space="preserve">13.4</t>
  </si>
  <si>
    <t xml:space="preserve">13.4.1</t>
  </si>
  <si>
    <t xml:space="preserve">CP-101938-77071809</t>
  </si>
  <si>
    <t xml:space="preserve">13.5</t>
  </si>
  <si>
    <t xml:space="preserve">13.5.1</t>
  </si>
  <si>
    <t xml:space="preserve">CP-98307-96466784</t>
  </si>
  <si>
    <t xml:space="preserve">13.6</t>
  </si>
  <si>
    <t xml:space="preserve">13.6.1</t>
  </si>
  <si>
    <t xml:space="preserve">13.6.2</t>
  </si>
  <si>
    <t xml:space="preserve">13.6.3</t>
  </si>
  <si>
    <t xml:space="preserve">CP-97284-54233669</t>
  </si>
  <si>
    <t xml:space="preserve">13.6.4</t>
  </si>
  <si>
    <t xml:space="preserve">CP-97284-15180499</t>
  </si>
  <si>
    <t xml:space="preserve">13.6.5</t>
  </si>
  <si>
    <t xml:space="preserve">CP-97284-32327800</t>
  </si>
  <si>
    <t xml:space="preserve">13.7</t>
  </si>
  <si>
    <t xml:space="preserve">13.7.1</t>
  </si>
  <si>
    <t xml:space="preserve">13.7.2</t>
  </si>
  <si>
    <t xml:space="preserve">13.7.3</t>
  </si>
  <si>
    <t xml:space="preserve">13.7.4</t>
  </si>
  <si>
    <t xml:space="preserve">13.7.6</t>
  </si>
  <si>
    <t xml:space="preserve">13.8</t>
  </si>
  <si>
    <t xml:space="preserve">13.8.1</t>
  </si>
  <si>
    <t xml:space="preserve">CP-97604-93501744</t>
  </si>
  <si>
    <t xml:space="preserve">13.9</t>
  </si>
  <si>
    <t xml:space="preserve">AUDIO VISUAL</t>
  </si>
  <si>
    <t xml:space="preserve">13.9.1</t>
  </si>
  <si>
    <t xml:space="preserve">CP-S11752-09492221</t>
  </si>
  <si>
    <t xml:space="preserve">13.9.2</t>
  </si>
  <si>
    <t xml:space="preserve">CP-S12397-83001677</t>
  </si>
  <si>
    <t xml:space="preserve">13.9.3</t>
  </si>
  <si>
    <t xml:space="preserve">CP-103786-00149033</t>
  </si>
  <si>
    <t xml:space="preserve">13.9.4</t>
  </si>
  <si>
    <t xml:space="preserve">CP-91926-31283405</t>
  </si>
  <si>
    <t xml:space="preserve">13.9.5</t>
  </si>
  <si>
    <t xml:space="preserve">13.9.6</t>
  </si>
  <si>
    <t xml:space="preserve">CP-97274-04577179</t>
  </si>
  <si>
    <t xml:space="preserve">13.9.7</t>
  </si>
  <si>
    <t xml:space="preserve">13.9.8</t>
  </si>
  <si>
    <t xml:space="preserve">13.10</t>
  </si>
  <si>
    <t xml:space="preserve">CERTIFICAÇÃO</t>
  </si>
  <si>
    <t xml:space="preserve">13.10.1</t>
  </si>
  <si>
    <t xml:space="preserve">CP-S160869-87778290</t>
  </si>
  <si>
    <t xml:space="preserve">SPDA</t>
  </si>
  <si>
    <t xml:space="preserve">14.1</t>
  </si>
  <si>
    <t xml:space="preserve">ESCAVAÇÃO</t>
  </si>
  <si>
    <t xml:space="preserve">14.1.1</t>
  </si>
  <si>
    <t xml:space="preserve">14.1.2</t>
  </si>
  <si>
    <t xml:space="preserve">14.2</t>
  </si>
  <si>
    <t xml:space="preserve">CAPTAÇÃO</t>
  </si>
  <si>
    <t xml:space="preserve">14.2.1</t>
  </si>
  <si>
    <t xml:space="preserve">14.2.2</t>
  </si>
  <si>
    <t xml:space="preserve">CP-96980-45073177</t>
  </si>
  <si>
    <t xml:space="preserve">14.2.3</t>
  </si>
  <si>
    <t xml:space="preserve">CP-96980-04585591</t>
  </si>
  <si>
    <t xml:space="preserve">14.2.4</t>
  </si>
  <si>
    <t xml:space="preserve">14.2.5</t>
  </si>
  <si>
    <t xml:space="preserve">14.2.6</t>
  </si>
  <si>
    <t xml:space="preserve">14.2.7</t>
  </si>
  <si>
    <t xml:space="preserve">14.3</t>
  </si>
  <si>
    <t xml:space="preserve">DESCIDAS</t>
  </si>
  <si>
    <t xml:space="preserve">14.3.1</t>
  </si>
  <si>
    <t xml:space="preserve">CP-100556-06196351</t>
  </si>
  <si>
    <t xml:space="preserve">14.3.2</t>
  </si>
  <si>
    <t xml:space="preserve">CP-92917-75860056</t>
  </si>
  <si>
    <t xml:space="preserve">14.3.3</t>
  </si>
  <si>
    <t xml:space="preserve">CP-104753-67556068</t>
  </si>
  <si>
    <t xml:space="preserve">14.3.4</t>
  </si>
  <si>
    <t xml:space="preserve">CP-92917-76117834</t>
  </si>
  <si>
    <t xml:space="preserve">14.4</t>
  </si>
  <si>
    <t xml:space="preserve">ATERRAMENTO</t>
  </si>
  <si>
    <t xml:space="preserve">14.4.1</t>
  </si>
  <si>
    <t xml:space="preserve">14.4.2</t>
  </si>
  <si>
    <t xml:space="preserve">14.4.3</t>
  </si>
  <si>
    <t xml:space="preserve">14.5</t>
  </si>
  <si>
    <t xml:space="preserve">EQUIPAMENTOS DE PROTEÇÃO</t>
  </si>
  <si>
    <t xml:space="preserve">14.5.1</t>
  </si>
  <si>
    <t xml:space="preserve">CP-93657-51946468</t>
  </si>
  <si>
    <t xml:space="preserve">14.5.2</t>
  </si>
  <si>
    <t xml:space="preserve">CP-93656-59388499</t>
  </si>
  <si>
    <t xml:space="preserve">PREVENTIVO DE INCÊNDIO</t>
  </si>
  <si>
    <t xml:space="preserve">15.1</t>
  </si>
  <si>
    <t xml:space="preserve">ILUMINAÇÃO DE EMERGÊNCIA</t>
  </si>
  <si>
    <t xml:space="preserve">15.1.1</t>
  </si>
  <si>
    <t xml:space="preserve">15.1.2</t>
  </si>
  <si>
    <t xml:space="preserve">CP-97599-92357948</t>
  </si>
  <si>
    <t xml:space="preserve">15.1.3</t>
  </si>
  <si>
    <t xml:space="preserve">CP-97599-81144652</t>
  </si>
  <si>
    <t xml:space="preserve">15.2</t>
  </si>
  <si>
    <t xml:space="preserve">SINALIZAÇÃO E ORIENTAÇÃO</t>
  </si>
  <si>
    <t xml:space="preserve">15.2.1</t>
  </si>
  <si>
    <t xml:space="preserve">CP-43700-76047928</t>
  </si>
  <si>
    <t xml:space="preserve">15.2.2</t>
  </si>
  <si>
    <t xml:space="preserve">CP-43700-28365403</t>
  </si>
  <si>
    <t xml:space="preserve">15.2.3</t>
  </si>
  <si>
    <t xml:space="preserve">CP-43700-41208488</t>
  </si>
  <si>
    <t xml:space="preserve">15.2.4</t>
  </si>
  <si>
    <t xml:space="preserve">CP-43700-22013229</t>
  </si>
  <si>
    <t xml:space="preserve">15.2.5</t>
  </si>
  <si>
    <t xml:space="preserve">CP-43700-52470563</t>
  </si>
  <si>
    <t xml:space="preserve">15.2.6</t>
  </si>
  <si>
    <t xml:space="preserve">CP-43700-09152895</t>
  </si>
  <si>
    <t xml:space="preserve">15.2.7</t>
  </si>
  <si>
    <t xml:space="preserve">CP-43700-22869965</t>
  </si>
  <si>
    <t xml:space="preserve">15.2.8</t>
  </si>
  <si>
    <t xml:space="preserve">CP-43700-90775260</t>
  </si>
  <si>
    <t xml:space="preserve">15.2.9</t>
  </si>
  <si>
    <t xml:space="preserve">CP-43700-83640218</t>
  </si>
  <si>
    <t xml:space="preserve">15.3</t>
  </si>
  <si>
    <t xml:space="preserve">EXTINTORES</t>
  </si>
  <si>
    <t xml:space="preserve">15.3.1</t>
  </si>
  <si>
    <t xml:space="preserve">CP-43607-58907200</t>
  </si>
  <si>
    <t xml:space="preserve">15.4</t>
  </si>
  <si>
    <t xml:space="preserve">REDE DE HIDRANTES</t>
  </si>
  <si>
    <t xml:space="preserve">15.4.1</t>
  </si>
  <si>
    <t xml:space="preserve">EQUIPAMENTOS E ACESSÓRIOS</t>
  </si>
  <si>
    <t xml:space="preserve">15.4.1.1</t>
  </si>
  <si>
    <t xml:space="preserve">CP-101912-75854127</t>
  </si>
  <si>
    <t xml:space="preserve">15.4.1.2</t>
  </si>
  <si>
    <t xml:space="preserve">CP-43614-24537105</t>
  </si>
  <si>
    <t xml:space="preserve">15.4.2</t>
  </si>
  <si>
    <t xml:space="preserve">CONEXÕES HIDRÁULICA</t>
  </si>
  <si>
    <t xml:space="preserve">15.4.2.1</t>
  </si>
  <si>
    <t xml:space="preserve">15.4.2.2</t>
  </si>
  <si>
    <t xml:space="preserve">15.4.2.3</t>
  </si>
  <si>
    <t xml:space="preserve">15.4.2.4</t>
  </si>
  <si>
    <t xml:space="preserve">15.4.2.5</t>
  </si>
  <si>
    <t xml:space="preserve">15.4.2.6</t>
  </si>
  <si>
    <t xml:space="preserve">15.4.2.7</t>
  </si>
  <si>
    <t xml:space="preserve">15.4.2.8</t>
  </si>
  <si>
    <t xml:space="preserve">15.4.2.9</t>
  </si>
  <si>
    <t xml:space="preserve">15.4.2.10</t>
  </si>
  <si>
    <t xml:space="preserve">15.4.2.11</t>
  </si>
  <si>
    <t xml:space="preserve">15.4.2.12</t>
  </si>
  <si>
    <t xml:space="preserve">15.4.2.13</t>
  </si>
  <si>
    <t xml:space="preserve">CP-103529-81966091</t>
  </si>
  <si>
    <t xml:space="preserve">15.4.2.14</t>
  </si>
  <si>
    <t xml:space="preserve">15.4.2.15</t>
  </si>
  <si>
    <t xml:space="preserve">CP-S09670-99819901</t>
  </si>
  <si>
    <t xml:space="preserve">15.4.2.16</t>
  </si>
  <si>
    <t xml:space="preserve">CP-103026-55361582</t>
  </si>
  <si>
    <t xml:space="preserve">15.4.2.17</t>
  </si>
  <si>
    <t xml:space="preserve">CP-92897-43377093</t>
  </si>
  <si>
    <t xml:space="preserve">15.4.3</t>
  </si>
  <si>
    <t xml:space="preserve">TUBULAÇÕES</t>
  </si>
  <si>
    <t xml:space="preserve">15.4.3.1</t>
  </si>
  <si>
    <t xml:space="preserve">15.4.3.2</t>
  </si>
  <si>
    <t xml:space="preserve">15.4.4</t>
  </si>
  <si>
    <t xml:space="preserve">BOMBAS E ACESSÓRIOS</t>
  </si>
  <si>
    <t xml:space="preserve">15.4.4.1</t>
  </si>
  <si>
    <t xml:space="preserve">CP-102122-69950799</t>
  </si>
  <si>
    <t xml:space="preserve">15.4.4.2</t>
  </si>
  <si>
    <t xml:space="preserve">CP-102136-64383623</t>
  </si>
  <si>
    <t xml:space="preserve">15.5</t>
  </si>
  <si>
    <t xml:space="preserve">SISTEMA DE ALARME E DETECÇÃO DE INCÊNDIO</t>
  </si>
  <si>
    <t xml:space="preserve">15.5.1</t>
  </si>
  <si>
    <t xml:space="preserve">15.5.1.1</t>
  </si>
  <si>
    <t xml:space="preserve">CP-43724-66845719</t>
  </si>
  <si>
    <t xml:space="preserve">15.5.1.2</t>
  </si>
  <si>
    <t xml:space="preserve">CP-S11829-56767416</t>
  </si>
  <si>
    <t xml:space="preserve">15.5.1.3</t>
  </si>
  <si>
    <t xml:space="preserve">CP-S11824-33504443</t>
  </si>
  <si>
    <t xml:space="preserve">15.5.1.4</t>
  </si>
  <si>
    <t xml:space="preserve">CP-S12017-82335575</t>
  </si>
  <si>
    <t xml:space="preserve">15.5.2</t>
  </si>
  <si>
    <t xml:space="preserve">REDE DE DISTRIBUIÇÃO</t>
  </si>
  <si>
    <t xml:space="preserve">15.5.2.1</t>
  </si>
  <si>
    <t xml:space="preserve">15.5.2.2</t>
  </si>
  <si>
    <t xml:space="preserve">15.5.2.3</t>
  </si>
  <si>
    <t xml:space="preserve">15.5.2.4</t>
  </si>
  <si>
    <t xml:space="preserve">15.5.2.5</t>
  </si>
  <si>
    <t xml:space="preserve">15.5.2.6</t>
  </si>
  <si>
    <t xml:space="preserve">CP-91924-37894168</t>
  </si>
  <si>
    <t xml:space="preserve">15.6</t>
  </si>
  <si>
    <t xml:space="preserve">15.6.1</t>
  </si>
  <si>
    <t xml:space="preserve">15.7</t>
  </si>
  <si>
    <t xml:space="preserve">15.7.1</t>
  </si>
  <si>
    <t xml:space="preserve">15.7.2</t>
  </si>
  <si>
    <t xml:space="preserve">15.8</t>
  </si>
  <si>
    <t xml:space="preserve">REDE DE GÁS</t>
  </si>
  <si>
    <t xml:space="preserve">15.8.1</t>
  </si>
  <si>
    <t xml:space="preserve">15.8.2</t>
  </si>
  <si>
    <t xml:space="preserve">15.8.3</t>
  </si>
  <si>
    <t xml:space="preserve">15.8.4</t>
  </si>
  <si>
    <t xml:space="preserve">15.8.5</t>
  </si>
  <si>
    <t xml:space="preserve">CLIMATIZAÇÃO E RENOVAÇÃO DE AR</t>
  </si>
  <si>
    <t xml:space="preserve">16.1</t>
  </si>
  <si>
    <t xml:space="preserve">CLIMATIZAÇÃO</t>
  </si>
  <si>
    <t xml:space="preserve">16.1.1</t>
  </si>
  <si>
    <t xml:space="preserve">*16.1.1.1</t>
  </si>
  <si>
    <t xml:space="preserve">*16.1.1.2</t>
  </si>
  <si>
    <t xml:space="preserve">*16.1.1.3</t>
  </si>
  <si>
    <t xml:space="preserve">*16.1.1.4</t>
  </si>
  <si>
    <t xml:space="preserve">*16.1.1.5</t>
  </si>
  <si>
    <t xml:space="preserve">CP-103271-71262605</t>
  </si>
  <si>
    <t xml:space="preserve">*16.1.1.6</t>
  </si>
  <si>
    <t xml:space="preserve">CP-103273-29079693</t>
  </si>
  <si>
    <t xml:space="preserve">*16.1.1.7</t>
  </si>
  <si>
    <t xml:space="preserve">CP-103263-18969051</t>
  </si>
  <si>
    <t xml:space="preserve">*16.1.1.8</t>
  </si>
  <si>
    <t xml:space="preserve">CP-103268-23585991</t>
  </si>
  <si>
    <t xml:space="preserve">*16.1.1.9</t>
  </si>
  <si>
    <t xml:space="preserve">CP-103268-76572366</t>
  </si>
  <si>
    <t xml:space="preserve">*16.1.1.10</t>
  </si>
  <si>
    <t xml:space="preserve">CP-103268-11548752</t>
  </si>
  <si>
    <t xml:space="preserve">*16.1.1.11</t>
  </si>
  <si>
    <t xml:space="preserve">CP-103268-22014559</t>
  </si>
  <si>
    <t xml:space="preserve">*16.1.1.12</t>
  </si>
  <si>
    <t xml:space="preserve">CP-103268-32170662</t>
  </si>
  <si>
    <t xml:space="preserve">*16.1.1.13</t>
  </si>
  <si>
    <t xml:space="preserve">CP-103267-94518122</t>
  </si>
  <si>
    <t xml:space="preserve">*16.1.1.14</t>
  </si>
  <si>
    <t xml:space="preserve">CP-103267-42185273</t>
  </si>
  <si>
    <t xml:space="preserve">*16.1.1.15</t>
  </si>
  <si>
    <t xml:space="preserve">CP-103268-67614720</t>
  </si>
  <si>
    <t xml:space="preserve">*16.1.1.16</t>
  </si>
  <si>
    <t xml:space="preserve">CP-104325-17459847</t>
  </si>
  <si>
    <t xml:space="preserve">16.1.2</t>
  </si>
  <si>
    <t xml:space="preserve">REDE FRIGORÍGENA</t>
  </si>
  <si>
    <t xml:space="preserve">16.1.2.1</t>
  </si>
  <si>
    <t xml:space="preserve">16.1.2.2</t>
  </si>
  <si>
    <t xml:space="preserve">16.1.2.3</t>
  </si>
  <si>
    <t xml:space="preserve">16.1.2.4</t>
  </si>
  <si>
    <t xml:space="preserve">16.1.3</t>
  </si>
  <si>
    <t xml:space="preserve">REDE DE DRENAGEM</t>
  </si>
  <si>
    <t xml:space="preserve">16.1.3.1</t>
  </si>
  <si>
    <t xml:space="preserve">16.1.3.1.1</t>
  </si>
  <si>
    <t xml:space="preserve">16.1.3.1.2</t>
  </si>
  <si>
    <t xml:space="preserve">16.1.3.1.3</t>
  </si>
  <si>
    <t xml:space="preserve">16.1.3.2</t>
  </si>
  <si>
    <t xml:space="preserve">CONEXÕES</t>
  </si>
  <si>
    <t xml:space="preserve">16.1.3.2.1</t>
  </si>
  <si>
    <t xml:space="preserve">16.1.3.2.2</t>
  </si>
  <si>
    <t xml:space="preserve">16.1.3.2.3</t>
  </si>
  <si>
    <t xml:space="preserve">16.1.3.2.4</t>
  </si>
  <si>
    <t xml:space="preserve">16.1.3.2.5</t>
  </si>
  <si>
    <t xml:space="preserve">16.1.3.2.6</t>
  </si>
  <si>
    <t xml:space="preserve">16.1.3.2.7</t>
  </si>
  <si>
    <t xml:space="preserve">16.1.3.2.8</t>
  </si>
  <si>
    <t xml:space="preserve">16.1.3.2.9</t>
  </si>
  <si>
    <t xml:space="preserve">16.1.3.2.10</t>
  </si>
  <si>
    <t xml:space="preserve">16.1.3.2.11</t>
  </si>
  <si>
    <t xml:space="preserve">16.1.3.2.12</t>
  </si>
  <si>
    <t xml:space="preserve">16.1.3.2.13</t>
  </si>
  <si>
    <t xml:space="preserve">16.1.3.2.14</t>
  </si>
  <si>
    <t xml:space="preserve">16.1.3.2.15</t>
  </si>
  <si>
    <t xml:space="preserve">16.1.3.2.16</t>
  </si>
  <si>
    <t xml:space="preserve">16.1.3.2.17</t>
  </si>
  <si>
    <t xml:space="preserve">16.1.3.2.18</t>
  </si>
  <si>
    <t xml:space="preserve">16.1.4</t>
  </si>
  <si>
    <t xml:space="preserve">INTERLIGAÇÃO ELÉTRICA</t>
  </si>
  <si>
    <t xml:space="preserve">16.1.4.1</t>
  </si>
  <si>
    <t xml:space="preserve">CP-91927-16160833</t>
  </si>
  <si>
    <t xml:space="preserve">16.2</t>
  </si>
  <si>
    <t xml:space="preserve">RENOVAÇÃO DE AR</t>
  </si>
  <si>
    <t xml:space="preserve">16.2.1</t>
  </si>
  <si>
    <t xml:space="preserve">TERMINAIS DE AR</t>
  </si>
  <si>
    <t xml:space="preserve">16.2.1.1</t>
  </si>
  <si>
    <t xml:space="preserve">CP-103286-16784163</t>
  </si>
  <si>
    <t xml:space="preserve">16.2.1.2</t>
  </si>
  <si>
    <t xml:space="preserve">CP-103286-94176183</t>
  </si>
  <si>
    <t xml:space="preserve">16.2.1.3</t>
  </si>
  <si>
    <t xml:space="preserve">CP-103287-86928904</t>
  </si>
  <si>
    <t xml:space="preserve">16.2.1.4</t>
  </si>
  <si>
    <t xml:space="preserve">CP-103287-53151183</t>
  </si>
  <si>
    <t xml:space="preserve">16.2.2</t>
  </si>
  <si>
    <t xml:space="preserve">*16.2.2.1</t>
  </si>
  <si>
    <t xml:space="preserve">CP-S11148-71210945</t>
  </si>
  <si>
    <t xml:space="preserve">*16.2.2.2</t>
  </si>
  <si>
    <t xml:space="preserve">CP-S11890-20108969</t>
  </si>
  <si>
    <t xml:space="preserve">*16.2.2.3</t>
  </si>
  <si>
    <t xml:space="preserve">CP-S11890-27993133</t>
  </si>
  <si>
    <t xml:space="preserve">16.2.3</t>
  </si>
  <si>
    <t xml:space="preserve">DUTOS</t>
  </si>
  <si>
    <t xml:space="preserve">16.2.3.1</t>
  </si>
  <si>
    <t xml:space="preserve">CP-98381-40821065</t>
  </si>
  <si>
    <t xml:space="preserve">16.2.3.2</t>
  </si>
  <si>
    <t xml:space="preserve">CP-98383-00912951</t>
  </si>
  <si>
    <t xml:space="preserve">16.2.3.3</t>
  </si>
  <si>
    <t xml:space="preserve">CP-S09841-80516997</t>
  </si>
  <si>
    <t xml:space="preserve">16.2.3.4</t>
  </si>
  <si>
    <t xml:space="preserve">CP-S09841-26237068</t>
  </si>
  <si>
    <t xml:space="preserve">PAISAGISMO</t>
  </si>
  <si>
    <t xml:space="preserve">17.1</t>
  </si>
  <si>
    <t xml:space="preserve">17.1.1</t>
  </si>
  <si>
    <t xml:space="preserve">17.1.2</t>
  </si>
  <si>
    <t xml:space="preserve">COM-20883381</t>
  </si>
  <si>
    <t xml:space="preserve">17.2</t>
  </si>
  <si>
    <t xml:space="preserve">PLANTIO</t>
  </si>
  <si>
    <t xml:space="preserve">17.2.1</t>
  </si>
  <si>
    <t xml:space="preserve">CP-98517-89764398</t>
  </si>
  <si>
    <t xml:space="preserve">17.2.2</t>
  </si>
  <si>
    <t xml:space="preserve">CP-98508-26682443</t>
  </si>
  <si>
    <t xml:space="preserve">17.2.3</t>
  </si>
  <si>
    <t xml:space="preserve">CP-98507-47857709</t>
  </si>
  <si>
    <t xml:space="preserve">17.2.4</t>
  </si>
  <si>
    <t xml:space="preserve">CP-98508-22860204</t>
  </si>
  <si>
    <t xml:space="preserve">17.2.5</t>
  </si>
  <si>
    <t xml:space="preserve">CP-98505-59045774</t>
  </si>
  <si>
    <t xml:space="preserve">17.2.6</t>
  </si>
  <si>
    <t xml:space="preserve">CP-98505-45783750</t>
  </si>
  <si>
    <t xml:space="preserve">17.2.7</t>
  </si>
  <si>
    <t xml:space="preserve">CP-98505-61342578</t>
  </si>
  <si>
    <t xml:space="preserve">17.2.8</t>
  </si>
  <si>
    <t xml:space="preserve">17.3</t>
  </si>
  <si>
    <t xml:space="preserve">17.3.1</t>
  </si>
  <si>
    <t xml:space="preserve">CP-100619-24317416</t>
  </si>
  <si>
    <t xml:space="preserve">17.3.2</t>
  </si>
  <si>
    <t xml:space="preserve">SERVIÇOS FINAIS DE OBRA</t>
  </si>
  <si>
    <t xml:space="preserve">18.1</t>
  </si>
  <si>
    <t xml:space="preserve">LIMPEZA FINAL DE OBRA</t>
  </si>
  <si>
    <t xml:space="preserve">18.1.1</t>
  </si>
  <si>
    <t xml:space="preserve">18.1.2</t>
  </si>
  <si>
    <t xml:space="preserve">18.1.3</t>
  </si>
  <si>
    <t xml:space="preserve">18.1.4</t>
  </si>
  <si>
    <t xml:space="preserve">18.1.5</t>
  </si>
  <si>
    <t xml:space="preserve">18.1.6</t>
  </si>
  <si>
    <t xml:space="preserve">18.2</t>
  </si>
  <si>
    <t xml:space="preserve">DESMOBILIZAÇÃO</t>
  </si>
  <si>
    <t xml:space="preserve">18.2.1</t>
  </si>
  <si>
    <t xml:space="preserve">COM-06420584</t>
  </si>
  <si>
    <t xml:space="preserve">18.3</t>
  </si>
  <si>
    <t xml:space="preserve">PLACA DE INAUGURAÇÃO</t>
  </si>
  <si>
    <t xml:space="preserve">18.3.1</t>
  </si>
  <si>
    <t xml:space="preserve">CP-270804-42607047</t>
  </si>
  <si>
    <t xml:space="preserve">18.4</t>
  </si>
  <si>
    <t xml:space="preserve">ASBUILT E MUOM</t>
  </si>
  <si>
    <t xml:space="preserve">18.4.1</t>
  </si>
  <si>
    <t xml:space="preserve">COM-44073420</t>
  </si>
  <si>
    <t xml:space="preserve">TOTAIS</t>
  </si>
  <si>
    <t xml:space="preserve">TOTAL GERAL SEM BDI E COM BDI</t>
  </si>
  <si>
    <t xml:space="preserve">PERCENTUAIS DE BDI</t>
  </si>
  <si>
    <t xml:space="preserve">MATERIAL</t>
  </si>
  <si>
    <t xml:space="preserve">MÃO DE OBRA</t>
  </si>
  <si>
    <t xml:space="preserve">DIFERENCIADO</t>
  </si>
  <si>
    <t xml:space="preserve">BDI</t>
  </si>
  <si>
    <t xml:space="preserve">TOTAIS COM BDI</t>
  </si>
  <si>
    <t xml:space="preserve">PODER JUDICIÁRIO DA UNIÃO
TRIBUNAL REGIONAL DO TRABALHO DA 18ª REGIÃO</t>
  </si>
  <si>
    <t xml:space="preserve">CRONOGRAMA FÍSICO-FINANCEIRO DESONERADO</t>
  </si>
  <si>
    <t xml:space="preserve">MEDIÇÃO DIRETA</t>
  </si>
  <si>
    <t xml:space="preserve">ITENS INDIRETOS</t>
  </si>
  <si>
    <t xml:space="preserve">ETAPAS
(para descrição completa, ver orçamento sintético)</t>
  </si>
  <si>
    <t xml:space="preserve">MEDIÇÕES / SUBETAPAS</t>
  </si>
  <si>
    <t xml:space="preserve">1ª MED</t>
  </si>
  <si>
    <t xml:space="preserve">2ª MED</t>
  </si>
  <si>
    <t xml:space="preserve">3ª MED</t>
  </si>
  <si>
    <t xml:space="preserve">4ª MED</t>
  </si>
  <si>
    <t xml:space="preserve">5ª MED</t>
  </si>
  <si>
    <t xml:space="preserve">6ª MED</t>
  </si>
  <si>
    <t xml:space="preserve">7ª MED</t>
  </si>
  <si>
    <t xml:space="preserve">8ª MED</t>
  </si>
  <si>
    <t xml:space="preserve">9ª MED</t>
  </si>
  <si>
    <t xml:space="preserve">10ª MED</t>
  </si>
  <si>
    <t xml:space="preserve">11ª MED</t>
  </si>
  <si>
    <t xml:space="preserve">12ª MED</t>
  </si>
  <si>
    <t xml:space="preserve">13ª MED</t>
  </si>
  <si>
    <t xml:space="preserve">14ª MED</t>
  </si>
  <si>
    <t xml:space="preserve">15ª MED</t>
  </si>
  <si>
    <t xml:space="preserve">16ª MED</t>
  </si>
  <si>
    <t xml:space="preserve">VERIFICAÇÕES CONSISTÊNCIA</t>
  </si>
  <si>
    <t xml:space="preserve">%</t>
  </si>
  <si>
    <t xml:space="preserve">*medido proporcionalmente à execução contratual</t>
  </si>
  <si>
    <t xml:space="preserve">R$</t>
  </si>
  <si>
    <t xml:space="preserve">TOTAIS DAS MEDIÇÕES</t>
  </si>
  <si>
    <t xml:space="preserve">TOTAIS ACUMULADOS</t>
  </si>
  <si>
    <t xml:space="preserve">%    </t>
  </si>
  <si>
    <t xml:space="preserve">RELATÓRIO DE COMPOSIÇÕES ANALÍTICAS - ORÇAMENTO DESONERADO</t>
  </si>
  <si>
    <t xml:space="preserve">DESCRIÇÃO</t>
  </si>
  <si>
    <t xml:space="preserve">TIPO</t>
  </si>
  <si>
    <t xml:space="preserve">UNIDADE</t>
  </si>
  <si>
    <t xml:space="preserve">COEFICIENTE</t>
  </si>
  <si>
    <t xml:space="preserve">PREÇO - MATERIAL</t>
  </si>
  <si>
    <t xml:space="preserve">PREÇO - MÃO DE OBRA</t>
  </si>
  <si>
    <t xml:space="preserve">TOPOGRAFO COM ENCARGOS COMPLEMENTARES</t>
  </si>
  <si>
    <t xml:space="preserve">MES</t>
  </si>
  <si>
    <t xml:space="preserve">EPI - FAMILIA TOPOGRAFO - MENSALISTA (ENCARGOS COMPLEMENTARES - COLETADO CAIXA)</t>
  </si>
  <si>
    <t xml:space="preserve">EXAMES - MENSALISTA (COLETADO CAIXA - ENCARGOS COMPLEMENTARES)</t>
  </si>
  <si>
    <t xml:space="preserve">FERRAMENTAS - FAMILIA TOPOGRAFO - MENSALISTA (ENCARGOS COMPLEMENTARES - COLETADO CAIXA)</t>
  </si>
  <si>
    <t xml:space="preserve">SEGURO - MENSALISTA (COLETADO CAIXA - ENCARGOS COMPLEMENTARES)</t>
  </si>
  <si>
    <t xml:space="preserve">TOPOGRAFO (MENSALISTA)</t>
  </si>
  <si>
    <t xml:space="preserve">TÉCNICO EM SEGURANÇA DO TRABALHO COM ENCARGOS COMPLEMENTARES</t>
  </si>
  <si>
    <t xml:space="preserve">EPI - FAMILIA ALMOXARIFE - MENSALISTA (ENCARGOS COMPLEMENTARES - COLETADO CAIXA)</t>
  </si>
  <si>
    <t xml:space="preserve">FERRAMENTAS - FAMILIA ALMOXARIFE - MENSALISTA (ENCARGOS COMPLEMENTARES - COLETADO CAIXA)</t>
  </si>
  <si>
    <t xml:space="preserve">TECNICO EM SEGURANCA DO TRABALHO (MENSALISTA)</t>
  </si>
  <si>
    <t xml:space="preserve">ENGENHEIRO CIVIL DE OBRA JUNIOR COM ENCARGOS COMPLEMENTARES</t>
  </si>
  <si>
    <t xml:space="preserve">EPI - FAMILIA ENGENHEIRO CIVIL - MENSALISTA (ENCARGOS COMPLEMENTARES - COLETADO CAIXA)</t>
  </si>
  <si>
    <t xml:space="preserve">FERRAMENTAS - FAMILIA ENGENHEIRO CIVIL - MENSALISTA (ENCARGOS COMPLEMENTARES - COLETADO CAIXA)</t>
  </si>
  <si>
    <t xml:space="preserve">ENGENHEIRO CIVIL DE OBRA JUNIOR (MENSALISTA)</t>
  </si>
  <si>
    <t xml:space="preserve">MESTRE DE OBRAS COM ENCARGOS COMPLEMENTARES</t>
  </si>
  <si>
    <t xml:space="preserve">EPI - FAMILIA ENCARREGADO GERAL - MENSALISTA (ENCARGOS COMPLEMENTARES - COLETADO CAIXA)</t>
  </si>
  <si>
    <t xml:space="preserve">FERRAMENTAS - FAMILIA ENCARREGADO GERAL - MENSALISTA (ENCARGOS COMPLEMENTARES - COLETADO CAIXA)</t>
  </si>
  <si>
    <t xml:space="preserve">MESTRE DE OBRAS (MENSALISTA)</t>
  </si>
  <si>
    <t xml:space="preserve">VIGIA NOTURNO COM ENCARGOS COMPLEMENTARES</t>
  </si>
  <si>
    <t xml:space="preserve">MÊS</t>
  </si>
  <si>
    <t xml:space="preserve">ALIMENTACAO - MENSALISTA (COLETADO CAIXA - ENCARGOS COMPLEMENTARES)</t>
  </si>
  <si>
    <t xml:space="preserve">EPI - FAMILIA SERVENTE - MENSALISTA (ENCARGOS COMPLEMENTARES - COLETADO CAIXA)</t>
  </si>
  <si>
    <t xml:space="preserve">FERRAMENTAS - FAMILIA SERVENTE - MENSALISTA (ENCARGOS COMPLEMENTARES - COLETADO CAIXA)</t>
  </si>
  <si>
    <t xml:space="preserve">TRANSPORTE - MENSALISTA (COLETADO CAIXA - ENCARGOS COMPLEMENTARES)</t>
  </si>
  <si>
    <t xml:space="preserve">VIGIA DIURNO (MENSALISTA)</t>
  </si>
  <si>
    <t xml:space="preserve">DEMOLIÇÃO DE ALVENARIA PARA QUALQUER TIPO DE BLOCO, DE FORMA MECANIZADA, SEM REAPROVEITAMENTO. AF_09/2023</t>
  </si>
  <si>
    <t xml:space="preserve">M3</t>
  </si>
  <si>
    <t xml:space="preserve">ALIMENTACAO - HORISTA (COLETADO CAIXA - ENCARGOS COMPLEMENTARES)</t>
  </si>
  <si>
    <t xml:space="preserve">H</t>
  </si>
  <si>
    <t xml:space="preserve">EPI - FAMILIA OPERADOR ESCAVADEIRA - HORISTA (ENCARGOS COMPLEMENTARES - COLETADO CAIXA)</t>
  </si>
  <si>
    <t xml:space="preserve">EXAMES - HORISTA (COLETADO CAIXA - ENCARGOS COMPLEMENTARES)</t>
  </si>
  <si>
    <t xml:space="preserve">FERRAMENTAS - FAMILIA OPERADOR ESCAVADEIRA - HORISTA (ENCARGOS COMPLEMENTARES - COLETADO CAIXA)</t>
  </si>
  <si>
    <t xml:space="preserve">SEGURO - HORISTA (COLETADO CAIXA - ENCARGOS COMPLEMENTARES)</t>
  </si>
  <si>
    <t xml:space="preserve">TRANSPORTE - HORISTA (COLETADO CAIXA - ENCARGOS COMPLEMENTARES)</t>
  </si>
  <si>
    <t xml:space="preserve">PA CARREGADEIRA SOBRE RODAS, POTENCIA LIQUIDA 128 HP, CAPACIDADE DA CACAMBA DE 1,7 A 2,8 M3, PESO OPERACIONAL MAXIMO DE 11632 KG</t>
  </si>
  <si>
    <t xml:space="preserve">OLEO DIESEL COMBUSTIVEL COMUM METROPOLITANO S-10 OU S-500</t>
  </si>
  <si>
    <t xml:space="preserve">L</t>
  </si>
  <si>
    <t xml:space="preserve">OPERADOR DE PA CARREGADEIRA (HORISTA)</t>
  </si>
  <si>
    <t xml:space="preserve">DEMOLIÇÃO DE GUIAS, SARJETAS OU SARJETÕES, DE FORMA MECANIZADA, SEM REAPROVEITAMENTO. AF_09/2023</t>
  </si>
  <si>
    <t xml:space="preserve">M</t>
  </si>
  <si>
    <t xml:space="preserve">EPI - FAMILIA PEDREIRO - HORISTA (ENCARGOS COMPLEMENTARES - COLETADO CAIXA)</t>
  </si>
  <si>
    <t xml:space="preserve">EPI - FAMILIA SERVENTE - HORISTA (ENCARGOS COMPLEMENTARES - COLETADO CAIXA)</t>
  </si>
  <si>
    <t xml:space="preserve">FERRAMENTAS - FAMILIA PEDREIRO - HORISTA (ENCARGOS COMPLEMENTARES - COLETADO CAIXA)</t>
  </si>
  <si>
    <t xml:space="preserve">FERRAMENTAS - FAMILIA SERVENTE - HORISTA (ENCARGOS COMPLEMENTARES - COLETADO CAIXA)</t>
  </si>
  <si>
    <t xml:space="preserve">COMPRESSOR DE AR REBOCAVEL, VAZAO 89 PCM, PRESSAO EFETIVA DE TRABALHO *102* PSI, MOTOR DIESEL, POTENCIA *20* CV</t>
  </si>
  <si>
    <t xml:space="preserve">MARTELO DEMOLIDOR PNEUMATICO MANUAL, PESO DE 28 KG, COM SILENCIADOR</t>
  </si>
  <si>
    <t xml:space="preserve">OPERADOR DE MARTELETE OU MARTELETEIRO (HORISTA)</t>
  </si>
  <si>
    <t xml:space="preserve">PEDREIRO (HORISTA)</t>
  </si>
  <si>
    <t xml:space="preserve">SERVENTE DE OBRAS (HORISTA)</t>
  </si>
  <si>
    <t xml:space="preserve">DEMOLIÇÃO DE LAJES, EM CONCRETO ARMADO, DE FORMA MECANIZADA COM MARTELETE, SEM REAPROVEITAMENTO. AF_09/2023</t>
  </si>
  <si>
    <t xml:space="preserve">MARTELO DEMOLIDOR ELETRICO, COM POTENCIA DE 2.000 W, FREQUENCIA DE 1.000 IMPACTOS POR MINUTO, FORCA DE IMPACTO ENTRE 60 E 65 J, PESO DE 30 KG</t>
  </si>
  <si>
    <t xml:space="preserve">ENERGIA ELETRICA ATE 2000 KWH INDUSTRIAL, SEM DEMANDA</t>
  </si>
  <si>
    <t xml:space="preserve">KWH</t>
  </si>
  <si>
    <t xml:space="preserve">DEMOLIÇÃO DE PISO DE CONCRETO SIMPLES, DE FORMA MECANIZADA COM MARTELETE, SEM REAPROVEITAMENTO. AF_09/2023</t>
  </si>
  <si>
    <t xml:space="preserve">CARGA, MANOBRA E DESCARGA DE ENTULHO EM CAMINHÃO BASCULANTE 10 M³ - CARGA COM ESCAVADEIRA HIDRÁULICA (CAÇAMBA DE 0,80 M³ / 111 HP) E DESCARGA LIVRE (UNIDADE: M3). AF_07/2020</t>
  </si>
  <si>
    <t xml:space="preserve">CACAMBA METALICA BASCULANTE COM CAPACIDADE DE 10 M3 (INCLUI MONTAGEM, NAO INCLUI CAMINHAO)</t>
  </si>
  <si>
    <t xml:space="preserve">CAMINHAO TRUCADO, PESO BRUTO TOTAL 23000 KG, CARGA UTIL MAXIMA 15285 KG, DISTANCIA ENTRE EIXOS 4,80 M, POTENCIA 326 CV (INCLUI CABINE E CHASSI, NAO INCLUI CARROCERIA)</t>
  </si>
  <si>
    <t xml:space="preserve">ESCAVADEIRA HIDRAULICA SOBRE ESTEIRAS, CACAMBA 0,80M3, PESO OPERACIONAL 17T, POTENCIA BRUTA 111HP</t>
  </si>
  <si>
    <t xml:space="preserve">MOTORISTA DE CAMINHAO-BASCULANTE (HORISTA)</t>
  </si>
  <si>
    <t xml:space="preserve">OPERADOR DE ESCAVADEIRA (HORISTA)</t>
  </si>
  <si>
    <t xml:space="preserve">REMOÇÃO DE FORRO DE GESSO, DE FORMA MANUAL, SEM REAPROVEITAMENTO. AF_09/2023</t>
  </si>
  <si>
    <t xml:space="preserve">M2</t>
  </si>
  <si>
    <t xml:space="preserve">GESSEIRO (HORISTA)</t>
  </si>
  <si>
    <t xml:space="preserve">REMOÇÃO DE JANELAS, DE FORMA MANUAL, SEM REAPROVEITAMENTO. AF_09/2023</t>
  </si>
  <si>
    <t xml:space="preserve">REMOÇÃO DE LOUÇAS, DE FORMA MANUAL, SEM REAPROVEITAMENTO. AF_09/2023</t>
  </si>
  <si>
    <t xml:space="preserve">EPI - FAMILIA ENCANADOR - HORISTA (ENCARGOS COMPLEMENTARES - COLETADO CAIXA)</t>
  </si>
  <si>
    <t xml:space="preserve">FERRAMENTAS - FAMILIA ENCANADOR - HORISTA (ENCARGOS COMPLEMENTARES - COLETADO CAIXA)</t>
  </si>
  <si>
    <t xml:space="preserve">ENCANADOR OU BOMBEIRO HIDRAULICO (HORISTA)</t>
  </si>
  <si>
    <t xml:space="preserve">REMOÇÃO DE PORTAS, DE FORMA MANUAL, SEM REAPROVEITAMENTO. AF_09/2023</t>
  </si>
  <si>
    <t xml:space="preserve">REMOÇÃO DE TELHAS DE FIBROCIMENTO METÁLICA E CERÂMICA, DE FORMA MANUAL, SEM REAPROVEITAMENTO. AF_09/2023</t>
  </si>
  <si>
    <t xml:space="preserve">EPI - FAMILIA CARPINTEIRO DE FORMAS - HORISTA (ENCARGOS COMPLEMENTARES - COLETADO CAIXA)</t>
  </si>
  <si>
    <t xml:space="preserve">FERRAMENTAS - FAMILIA CARPINTEIRO DE FORMAS - HORISTA (ENCARGOS COMPLEMENTARES - COLETADO CAIXA)</t>
  </si>
  <si>
    <t xml:space="preserve">TELHADOR / TELHADISTA (HORISTA)</t>
  </si>
  <si>
    <t xml:space="preserve">REMOÇÃO DE TRAMA DE MADEIRA PARA COBERTURA, DE FORMA MANUAL, SEM REAPROVEITAMENTO. AF_09/2023</t>
  </si>
  <si>
    <t xml:space="preserve">CORTE RASO E RECORTE DE ÁRVORE COM DIÂMETRO DE TRONCO MAIOR OU IGUAL A 0,40 M E MENOR QUE 0,60 M. AF_03/2024</t>
  </si>
  <si>
    <t xml:space="preserve">JARDINEIRO (HORISTA)</t>
  </si>
  <si>
    <t xml:space="preserve">REMOÇÃO DE RAÍZES REMANESCENTES DE TRONCO DE ÁRVORE COM DIÂMETRO MAIOR OU IGUAL A 0,40 M E MENOR QUE 0,60 M. AF_03/2024</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</si>
  <si>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</si>
  <si>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</si>
  <si>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CAVALO MECANICO TRACAO 4X2, PESO BRUTO TOTAL 16000 KG, CAPACIDADE MAXIMA DE TRACAO *45000* KG, DISTANCIA ENTRE EIXOS *3,56* M, POTENCIA *330* CV (INCLUI CABINE E CHASSI, NAO INCLUI SEMIRREBOQUE)</t>
  </si>
  <si>
    <t xml:space="preserve">ESCAVADEIRA HIDRAULICA SOBRE ESTEIRAS COM CACAMBA DE 1,20 M3, PESO OPERACIONAL 21 T, POTENCIA BRUTA 155 HP</t>
  </si>
  <si>
    <t xml:space="preserve">SEMIRREBOQUE COM TRES EIXOS EM TANDEM TIPO BASCULANTE COM CACAMBA METALICA 18 M3 (INCLUI MONTAGEM, NAO INCLUI CAVALO MECANICO)</t>
  </si>
  <si>
    <t xml:space="preserve">EXECUÇÃO E COMPACTAÇÃO DE CORPO DE ATERRO DE ATERRO (95% DE ENERGIA DO PROCTOR NORMAL) COM SOLO PREDOMINANTEMENTE ARGILOSO ESPESSURA 15 CM - EXCLUSIVE MATERIAL, ESCAVAÇÃO, CARGA E TRANSPORTE. AF_09/2024</t>
  </si>
  <si>
    <t xml:space="preserve">MOTONIVELADORA POTENCIA BASICA LIQUIDA (PRIMEIRA MARCHA) 125 HP, PESO BRUTO 13843 KG, LARGURA DA LAMINA DE 3,7 M</t>
  </si>
  <si>
    <t xml:space="preserve">ROLO COMPACTADOR PE DE CARNEIRO VIBRATORIO, POTENCIA 80 HP, PESO OPERACIONAL SEM/COM LASTRO 7,4/8,8 T, LARGURA DE TRABALHO 1,68 M</t>
  </si>
  <si>
    <t xml:space="preserve">TANQUE DE ACO CARBONO NAO REVESTIDO, PARA TRANSPORTE DE AGUA COM CAPACIDADE DE 10 M3, COM BOMBA CENTRIFUGA POR TOMADA DE FORCA, VAZAO MAXIMA *75* M3/H (INCLUI MONTAGEM, NAO INCLUI CAMINHAO)</t>
  </si>
  <si>
    <t xml:space="preserve">MOTORISTA DE CAMINHAO (HORISTA)</t>
  </si>
  <si>
    <t xml:space="preserve">OPERADOR DE MOTONIVELADORA (HORISTA)</t>
  </si>
  <si>
    <t xml:space="preserve">OPERADOR DE ROLO COMPACTADOR (HORISTA)</t>
  </si>
  <si>
    <t xml:space="preserve">REGULARIZAÇÃO E COMPACTAÇÃO DE SUBLEITO DE SOLO PREDOMINANTEMENTE ARGILOSO, PARA OBRAS DE CONSTRUÇÃO DE PAVIMENTOS. AF_09/2024</t>
  </si>
  <si>
    <t xml:space="preserve">ROLO COMPACTADOR DE PNEUS, ESTATICO, PRESSAO VARIAVEL, POTENCIA 110 HP, PESO SEM/COM LASTRO 10,8/27 T, LARGURA DE ROLAGEM 2,30 M</t>
  </si>
  <si>
    <t xml:space="preserve">FORNECIMENTO E INSTALAÇÃO DE PLACA DE OBRA COM CHAPA GALVANIZADA E ESTRUTURA DE MADEIRA. AF_03/2022_PS</t>
  </si>
  <si>
    <t xml:space="preserve">EPI - FAMILIA PINTOR - HORISTA (ENCARGOS COMPLEMENTARES - COLETADO CAIXA)</t>
  </si>
  <si>
    <t xml:space="preserve">FERRAMENTAS - FAMILIA PINTOR - HORISTA (ENCARGOS COMPLEMENTARES - COLETADO CAIXA)</t>
  </si>
  <si>
    <t xml:space="preserve">IMUNIZANTE PARA MADEIRA, INCOLOR</t>
  </si>
  <si>
    <t xml:space="preserve">PLACA DE OBRA (PARA CONSTRUCAO CIVIL) EM CHAPA GALVANIZADA *N. 22*, ADESIVADA, DE *2,4 X 1,2* M (SEM POSTES PARA FIXACAO)</t>
  </si>
  <si>
    <t xml:space="preserve">PREGO DE ACO POLIDO COM CABECA 10 X 10 (7/8 X 17)</t>
  </si>
  <si>
    <t xml:space="preserve">KG</t>
  </si>
  <si>
    <t xml:space="preserve">PREGO DE ACO POLIDO COM CABECA 17 X 27 (2 1/2 X 11)</t>
  </si>
  <si>
    <t xml:space="preserve">SARRAFO *2,5 X 10* CM EM PINUS, MISTA OU EQUIVALENTE DA REGIAO - BRUTA</t>
  </si>
  <si>
    <t xml:space="preserve">CARPINTEIRO DE FORMAS PARA CONCRETO (HORISTA)</t>
  </si>
  <si>
    <t xml:space="preserve">PINTOR (HORISTA)</t>
  </si>
  <si>
    <t xml:space="preserve">LOCACAO DE CONTAINER 2,30 X 6,00 M, ALT. 2,50 M, COM 1 SANITARIO, PARA ESCRITORIO, COMPLETO, SEM DIVISORIAS INTERNAS.</t>
  </si>
  <si>
    <t xml:space="preserve">LOCACAO DE CONTAINER 2,30 X 6,00 M, ALT. 2,50 M, COM 1 SANITARIO, PARA ESCRITORIO, COMPLETO, SEM DIVISORIAS INTERNAS (NAO INCLUI MOBILIZACAO/DESMOBILIZACAO)</t>
  </si>
  <si>
    <t xml:space="preserve">LOCACAO DE CONTAINER 2,30 X 4,30 M, ALT. 2,50 M, PARA SANITARIO, COM 3 BACIAS, 4 CHUVEIROS, 1 LAVATORIO E 1 MICTORIO</t>
  </si>
  <si>
    <t xml:space="preserve">LOCACAO DE CONTAINER 2,30 X 4,30 M, ALT. 2,50 M, PARA SANITARIO, COM 3 BACIAS, 4 CHUVEIROS, 1 LAVATORIO E 1 MICTORIO (NAO INCLUI MOBILIZACAO/DESMOBILIZACAO)</t>
  </si>
  <si>
    <t xml:space="preserve">BARRACÃO FECHADO PARA ALMOXARIFADO, ÁREA DE 38,72 M2.</t>
  </si>
  <si>
    <t xml:space="preserve">EPI - FAMILIA ELETRICISTA - HORISTA (ENCARGOS COMPLEMENTARES - COLETADO CAIXA)</t>
  </si>
  <si>
    <t xml:space="preserve">FERRAMENTAS - FAMILIA ELETRICISTA - HORISTA (ENCARGOS COMPLEMENTARES - COLETADO CAIXA)</t>
  </si>
  <si>
    <t xml:space="preserve">BETONEIRA CAPACIDADE NOMINAL 400 L, CAPACIDADE DE MISTURA 280 L, MOTOR ELETRICO TRIFASICO 220/380 V POTENCIA 2 CV, SEM CARREGADOR</t>
  </si>
  <si>
    <t xml:space="preserve">GUINCHO ELETRICO DE COLUNA, CAPACIDADE 400 KG, COM MOTO FREIO, MOTOR TRIFASICO DE 1,25 CV</t>
  </si>
  <si>
    <t xml:space="preserve">AREIA MEDIA - POSTO JAZIDA/FORNECEDOR (RETIRADO NA JAZIDA, SEM TRANSPORTE)</t>
  </si>
  <si>
    <t xml:space="preserve">CABO DE COBRE, FLEXIVEL, CLASSE 4 OU 5, ISOLACAO EM PVC/A, ANTICHAMA BWF-B, 1 CONDUTOR, 450/750 V, SECAO NOMINAL 1,5 MM2</t>
  </si>
  <si>
    <t xml:space="preserve">CABO DE COBRE, FLEXIVEL, CLASSE 4 OU 5, ISOLACAO EM PVC/A, ANTICHAMA BWF-B, 1 CONDUTOR, 450/750 V, SECAO NOMINAL 2,5 MM2</t>
  </si>
  <si>
    <t xml:space="preserve">CADEADO SIMPLES, CORPO EM LATAO MACICO, COM LARGURA DE 25 MM E ALTURA DE APROX 25 MM, HASTE CEMENTADA (NAO LONGA), EM ACO TEMPERADO COM DIAMETRO DE APROX 5,0 MM, INCLUINDO 2 CHAVES</t>
  </si>
  <si>
    <t xml:space="preserve">CADEADO SIMPLES, CORPO EM LATAO MACICO, COM LARGURA DE 50 MM E ALTURA DE APROX 40 MM, HASTE CEMENTADA EM ACO TEMPERADO COM DIAMETRO DE APROX 8,0 MM, INCLUINDO 2 CHAVES</t>
  </si>
  <si>
    <t xml:space="preserve">CAIBRO NAO APARELHADO *6 X 6* CM, EM MACARANDUBA/MASSARANDUBA, ANGELIM OU EQUIVALENTE DA REGIAO - BRUTA</t>
  </si>
  <si>
    <t xml:space="preserve">CAIXA DE PASSAGEM, EM PVC, DE 4" X 2", PARA ELETRODUTO FLEXIVEL CORRUGADO</t>
  </si>
  <si>
    <t xml:space="preserve">CAIXA OCTOGONAL DE FUNDO MOVEL, EM PVC, DE 3" X 3", PARA ELETRODUTO FLEXIVEL CORRUGADO</t>
  </si>
  <si>
    <t xml:space="preserve">CIMENTO PORTLAND COMPOSTO CP II-32</t>
  </si>
  <si>
    <t xml:space="preserve">COMPENSADO NAVAL - CHAPA/PAINEL EM MADEIRA COMPENSADA PRENSADA, DE 2200 X 1600 MM, E = 10 MM</t>
  </si>
  <si>
    <t xml:space="preserve">CONJUNTO ARRUELAS DE VEDACAO 5/16" PARA TELHA FIBROCIMENTO (UMA ARRUELA METALICA E UMA ARRUELA PVC - CONICAS)</t>
  </si>
  <si>
    <t xml:space="preserve">CJ</t>
  </si>
  <si>
    <t xml:space="preserve">DOBRADICA TIPO VAI-E-VEM EM ACO/FERRO, TAMANHO 3", GALVANIZADO, COM PARAFUSOS</t>
  </si>
  <si>
    <t xml:space="preserve">ELETRODUTO DE PVC RIGIDO ROSCAVEL DE 3/4 ", SEM LUVA</t>
  </si>
  <si>
    <t xml:space="preserve">ESPELHO / PLACA DE 3 POSTOS 4" X 2", PARA INSTALACAO DE TOMADAS E INTERRUPTORES</t>
  </si>
  <si>
    <t xml:space="preserve">FITA ISOLANTE ADESIVA ANTICHAMA, USO ATE 750 V, EM ROLO DE 19 MM X 5 M</t>
  </si>
  <si>
    <t xml:space="preserve">INTERRUPTOR SIMPLES 10A, 250V (APENAS MODULO)</t>
  </si>
  <si>
    <t xml:space="preserve">JUNTA PLASTICA DE DILATACAO PARA PISOS, COR CINZA, 17 X 3 MM (ALTURA X ESPESSURA)</t>
  </si>
  <si>
    <t xml:space="preserve">PARAFUSO ZINCADO ROSCA SOBERBA, CABECA SEXTAVADA, 5/16" X 250 MM, PARA FIXACAO DE TELHA EM MADEIRA</t>
  </si>
  <si>
    <t xml:space="preserve">PORTA CADEADO EM ACO GALVANIZADO, COMPRIMENTO DE 3 1/2"</t>
  </si>
  <si>
    <t xml:space="preserve">PREGO DE ACO POLIDO COM CABECA 15 X 18 (1 1/2 X 13)</t>
  </si>
  <si>
    <t xml:space="preserve">PREGO DE ACO POLIDO COM CABECA 22 X 48 (4 1/4 X 5)</t>
  </si>
  <si>
    <t xml:space="preserve">SUPORTE DE FIXACAO PARA ESPELHO / PLACA 4" X 2", PARA 3 MODULOS, PARA INSTALACAO DE TOMADAS E INTERRUPTORES (SOMENTE SUPORTE)</t>
  </si>
  <si>
    <t xml:space="preserve">TELHA DE FIBROCIMENTO ONDULADA E = 6 MM, DE 2,44 X 1,10 M (SEM AMIANTO)</t>
  </si>
  <si>
    <t xml:space="preserve">TOMADA 2P+T 10A, 250V (APENAS MODULO)</t>
  </si>
  <si>
    <t xml:space="preserve">TOMADA 2P+T 20A, 250V (APENAS MODULO)</t>
  </si>
  <si>
    <t xml:space="preserve">VIGA NAO APARELHADA *6 X 12* CM, EM MACARANDUBA/MASSARANDUBA, ANGELIM OU EQUIVALENTE DA REGIAO - BRUTA</t>
  </si>
  <si>
    <t xml:space="preserve">AJUDANTE DE ELETRICISTA (HORISTA)</t>
  </si>
  <si>
    <t xml:space="preserve">CARPINTEIRO AUXILIAR (HORISTA)</t>
  </si>
  <si>
    <t xml:space="preserve">CARPINTEIRO DE ESQUADRIAS (HORISTA)</t>
  </si>
  <si>
    <t xml:space="preserve">ELETRICISTA (HORISTA)</t>
  </si>
  <si>
    <t xml:space="preserve">OPERADOR DE BETONEIRA ESTACIONARIA / MISTURADOR (HORISTA)</t>
  </si>
  <si>
    <t xml:space="preserve">OPERADOR DE GUINCHO OU GUINCHEIRO (HORISTA)</t>
  </si>
  <si>
    <t xml:space="preserve">BARRACÃO DE OBRA PARA ARMAÇÃO, FABRICAÇÃO DE FÔRMAS, PRODUÇÃO DE ARGAMASSA OU CONCRETO EM OBRA. COMPOSTO POR MADEIRAMENTO EM MASSARANDUBA, TELHA DE FIBROCIMENTO 6MM E PISO EM CONCRETO.</t>
  </si>
  <si>
    <t xml:space="preserve">COMPACTADOR DE SOLO A PERCUSSAO (SOQUETE), A GASOLINA 4 TEMPOS, PESO 55 A 65 KG, FORCA DE IMPACTO 1.000 A 1.500 KGF, FREQ. 600 A 700 GOLPES P/ MINUTO, VELOCIDADE TRABALHO DE 10 A 15 M/MIN, POT. DE 2,00 A 3,00 HP</t>
  </si>
  <si>
    <t xml:space="preserve">COMPACTADOR DE SOLO TIPO PLACA VIBRATORIA REVERSIVEL, A GASOLINA 4 TEMPOS, PESO 125 A 150 KG, FORCA CENTRIF. 2500 A 2800 KGF, LARG. TRABALHO 400 A 450 MM, FREQ. VIBRACAO 4300 A 4500 RPM, VELOC. TRABALHO 15 A 20 M/MIN, POT. 5,5 A 6,0 HP</t>
  </si>
  <si>
    <t xml:space="preserve">GUINDASTE HIDRAULICO AUTOPROPELIDO, COM LANCA TELESCOPICA 40 M, CAPACIDADE MAXIMA 60 T, POTENCIA 260 KW, TRACAO 6 X 6</t>
  </si>
  <si>
    <t xml:space="preserve">VIBRADOR DE IMERSAO, DIAMETRO DA PONTEIRA DE *45* MM, COM MOTOR ELETRICO TRIFASICO DE 2 HP (2 CV)</t>
  </si>
  <si>
    <t xml:space="preserve">ARAME RECOZIDO 16 BWG, D = 1,65 MM (0,016 KG/M) OU 18 BWG, D = 1,25 MM (0,01 KG/M)</t>
  </si>
  <si>
    <t xml:space="preserve">CAIBRO NAO APARELHADO, *6 X 8* CM, EM MACARANDUBA/MASSARANDUBA, ANGELIM OU EQUIVALENTE DA REGIAO - BRUTA</t>
  </si>
  <si>
    <t xml:space="preserve">CHAPA PARA EMENDA DE VIGA, EM ACO GROSSO, QUALIDADE ESTRUTURAL, BITOLA 3/16 ", E= 4,75 MM, 4 FUROS, LARGURA 45 MM, COMPRIMENTO 500 MM</t>
  </si>
  <si>
    <t xml:space="preserve">PAR</t>
  </si>
  <si>
    <t xml:space="preserve">CONCRETO USINADO BOMBEAVEL, CLASSE DE RESISTENCIA C30, BRITA 0 E 1, SLUMP = 100 +/- 20 MM, COM BOMBEAMENTO (DISPONIBILIZACAO DE BOMBA), SEM O LANCAMENTO (NBR 8953)</t>
  </si>
  <si>
    <t xml:space="preserve">DESMOLDANTE PROTETOR PARA FORMAS DE MADEIRA, DE BASE OLEOSA EMULSIONADA EM AGUA</t>
  </si>
  <si>
    <t xml:space="preserve">ESTRIBO COM PARAFUSO EM CHAPA DE FERRO FUNDIDO DE 2" X 3/16" X 35 CM, SECAO "U", PARA MADEIRAMENTO DE TELHADO</t>
  </si>
  <si>
    <t xml:space="preserve">GASOLINA COMUM</t>
  </si>
  <si>
    <t xml:space="preserve">LONA PLASTICA EXTRA FORTE PRETA, E = 200 MICRA</t>
  </si>
  <si>
    <t xml:space="preserve">PARAFUSO FRANCES METRICO ZINCADO, DIAMETRO 12 MM, COMPRIMENTO 150 MM, COM PORCA SEXTAVADA E ARRUELA DE PRESSAO MEDIA</t>
  </si>
  <si>
    <t xml:space="preserve">PARAFUSO, AUTOATARRAXANTE, CABECA CHATA, FENDA SIMPLES, EM ACO ZINCADO, 1/4" (6,35 MM) X 25 MM</t>
  </si>
  <si>
    <t xml:space="preserve">CENTO</t>
  </si>
  <si>
    <t xml:space="preserve">PEDRA BRITADA N. 2 (19 A 38 MM) POSTO PEDREIRA/FORNECEDOR, SEM FRETE</t>
  </si>
  <si>
    <t xml:space="preserve">PONTALETE *7,5 X 7,5* CM EM PINUS, MISTA OU EQUIVALENTE DA REGIAO - BRUTA</t>
  </si>
  <si>
    <t xml:space="preserve">PREGO DE ACO POLIDO COM CABECA 17 X 21 (2 X 11)</t>
  </si>
  <si>
    <t xml:space="preserve">PREGO DE ACO POLIDO COM CABECA 18 X 30 (2 3/4 X 10)</t>
  </si>
  <si>
    <t xml:space="preserve">PREGO DE ACO POLIDO COM CABECA 19 X 36 (3 1/4 X 9)</t>
  </si>
  <si>
    <t xml:space="preserve">SARRAFO *2,5 X 7,5* CM EM PINUS, MISTA OU EQUIVALENTE DA REGIAO - BRUTA</t>
  </si>
  <si>
    <t xml:space="preserve">SARRAFO NAO APARELHADO *2,5 X 5* CM, EM MACARANDUBA/MASSARANDUBA, ANGELIM, PEROBA-ROSA OU EQUIVALENTE DA REGIAO - BRUTA</t>
  </si>
  <si>
    <t xml:space="preserve">TABUA NAO APARELHADA *2,5 X 20* CM, EM MACARANDUBA/MASSARANDUBA, ANGELIM OU EQUIVALENTE DA REGIAO - BRUTA</t>
  </si>
  <si>
    <t xml:space="preserve">TELA DE ACO SOLDADA NERVURADA, CA-60, Q-196, (3,11 KG/M2), DIAMETRO DO FIO = 5,0 MM, LARGURA = 2,45 M, ESPACAMENTO DA MALHA = 10 X 10 CM</t>
  </si>
  <si>
    <t xml:space="preserve">TRELICA NERVURADA (ESPACADOR), ALTURA = 120,0 MM, DIAMETRO DOS BANZOS INFERIORES E SUPERIOR = 6,0 MM, DIAMETRO DA DIAGONAL = 4,2 MM</t>
  </si>
  <si>
    <t xml:space="preserve">VIGA NAO APARELHADA *6 X 16* CM, EM MACARANDUBA/MASSARANDUBA, ANGELIM OU EQUIVALENTE DA REGIAO - BRUTA</t>
  </si>
  <si>
    <t xml:space="preserve">AJUDANTE DE ARMADOR (HORISTA)</t>
  </si>
  <si>
    <t xml:space="preserve">ARMADOR (HORISTA)</t>
  </si>
  <si>
    <t xml:space="preserve">OPERADOR DE GUINDASTE (HORISTA)</t>
  </si>
  <si>
    <t xml:space="preserve">LOCAÇÃO CONVENCIONAL DE OBRA, UTILIZANDO GABARITO DE TÁBUAS CORRIDAS PONTALETADAS A CADA 2,00M - 2 UTILIZAÇÕES. AF_03/2024</t>
  </si>
  <si>
    <t xml:space="preserve">SERRA CIRCULAR DE BANCADA COM MOTOR ELETRICO, POTENCIA DE *1600* W, PARA DISCO DE DIAMETRO DE 10" (250 MM)</t>
  </si>
  <si>
    <t xml:space="preserve">PEDRA BRITADA N. 1 (9,5 A 19 MM) POSTO PEDREIRA/FORNECEDOR, SEM FRETE</t>
  </si>
  <si>
    <t xml:space="preserve">SARRAFO NAO APARELHADO *2,5 X 7* CM, EM MACARANDUBA/MASSARANDUBA, ANGELIM, PEROBA-ROSA OU EQUIVALENTE DA REGIAO - BRUTA</t>
  </si>
  <si>
    <t xml:space="preserve">TABUA *2,5 X 23* CM EM PINUS, MISTA OU EQUIVALENTE DA REGIAO - BRUTA</t>
  </si>
  <si>
    <t xml:space="preserve">TINTA LATEX ACRILICA PREMIUM, COR BRANCO FOSCO</t>
  </si>
  <si>
    <t xml:space="preserve">OPERADOR DE MAQUINAS E TRATORES DIVERSOS - TERRAPLANAGEM (HORISTA)</t>
  </si>
  <si>
    <t xml:space="preserve">PORTAO DE ABRIR/CORRER EM GRADIL DE METALON QUADRADO DE 3/4'' VERTICAL, COM REQUADRO, ACABAMENTO NATURAL - COMPLETO</t>
  </si>
  <si>
    <t xml:space="preserve">PORTAO DE ABRIR / GIRO, EM GRADIL DE METALON REDONDO DE 3/4" VERTICAL, COM REQUADRO, ACABAMENTO NATURAL - COMPLETO</t>
  </si>
  <si>
    <t xml:space="preserve">AJUDANTE DE SERRALHEIRO (HORISTA)</t>
  </si>
  <si>
    <t xml:space="preserve">SERRALHEIRO (HORISTA)</t>
  </si>
  <si>
    <t xml:space="preserve">GRADIL METÁLICO H=2,03M COM FIO DE AÇO GALVANIZADO ø4.3MMM, COM PINTURA ELETROSTÁTICA, ABERTURA DA MALHA: 200MM(A) X 50MM(L), COM POSTES METÁLICOSA CADA 2,50M. INCLUSO FIXADORES METÁLICOS (6UN POR POSTE) E TAMPA DE PVC PARA POSTE.</t>
  </si>
  <si>
    <t xml:space="preserve">ARAME GALVANIZADO 12 BWG, D = 2,76 MM (0,048 KG/M) OU 14 BWG, D = 2,11 MM (0,026 KG/M)</t>
  </si>
  <si>
    <t xml:space="preserve">ELETRODO REVESTIDO AWS - E6013, DIAMETRO IGUAL A 2,50 MM</t>
  </si>
  <si>
    <t xml:space="preserve">TELA DE ARAME GALVANIZADA QUADRANGULAR / LOSANGULAR, FIO 4,19 MM (8 BWG), MALHA 5 X 5 CM, H = 2 M</t>
  </si>
  <si>
    <t xml:space="preserve">TUBO ACO GALVANIZADO COM COSTURA, CLASSE MEDIA, DN 2", E = *3,65* MM, PESO *5,10* KG/M (NBR 5580)</t>
  </si>
  <si>
    <t xml:space="preserve">MOBILIZAÇÃO E DESMOBILIZAÇÃO DE EQUIPAMENTO PARA ESTACAS</t>
  </si>
  <si>
    <t xml:space="preserve">INS-64138861</t>
  </si>
  <si>
    <t xml:space="preserve">ARRASAMENTO MECANICO DE ESTACA DE CONCRETO ARMADO, DIAMETROS DE ATÉ 40 CM. AF_05/2021</t>
  </si>
  <si>
    <t xml:space="preserve">ESTACA HÉLICE CONTÍNUA, DIÂMETRO DE 30 CM, INCLUSO CONCRETO FCK=35MPA, ARMADURA LONGITUDIONAL Ø16 MM E TRANSVERSAL Ø6,3 MM.</t>
  </si>
  <si>
    <t xml:space="preserve">EPI - FAMILIA ENCARREGADO GERAL - HORISTA (ENCARGOS COMPLEMENTARES - COLETADO CAIXA)</t>
  </si>
  <si>
    <t xml:space="preserve">EPI - FAMILIA ENGENHEIRO CIVIL - HORISTA (ENCARGOS COMPLEMENTARES - COLETADO CAIXA)</t>
  </si>
  <si>
    <t xml:space="preserve">FERRAMENTAS - FAMILIA ENCARREGADO GERAL - HORISTA (ENCARGOS COMPLEMENTARES - COLETADO CAIXA)</t>
  </si>
  <si>
    <t xml:space="preserve">FERRAMENTAS - FAMILIA ENGENHEIRO CIVIL - HORISTA (ENCARGOS COMPLEMENTARES - COLETADO CAIXA)</t>
  </si>
  <si>
    <t xml:space="preserve">CACAMBA METALICA BASCULANTE COM CAPACIDADE DE 6 M3 (INCLUI MONTAGEM, NAO INCLUI CAMINHAO)</t>
  </si>
  <si>
    <t xml:space="preserve">CAMINHAO TOCO, PESO BRUTO TOTAL 16000 KG, CARGA UTIL MAXIMA 11030 KG, DISTANCIA ENTRE EIXOS 5,41 M, POTENCIA 185 CV (INCLUI CABINE E CHASSI, NAO INCLUI CARROCERIA)</t>
  </si>
  <si>
    <t xml:space="preserve">PERFURATRIZ COM TORRE METALICA PARA EXECUCAO DE ESTACA HELICE CONTINUA, PROFUNDIDADE MAXIMA DE 30 M, DIAMETRO MAXIMO DE 800 MM, POTENCIA INSTALADA DE 268 HP, MESA ROTATIVA COM TORQUE MAXIMO DE 170 KNM</t>
  </si>
  <si>
    <t xml:space="preserve">ACO CA-50, 12,5 MM OU 16,0 MM, VERGALHAO</t>
  </si>
  <si>
    <t xml:space="preserve">ACO CA-50, 6,3 MM, VERGALHAO</t>
  </si>
  <si>
    <t xml:space="preserve">CONCRETO USINADO BOMBEAVEL, CLASSE DE RESISTENCIA C35, BRITA 0 E 1, SLUMP = 100 +/- 20 MM, COM BOMBEAMENTO (DISPONIBILIZACAO DE BOMBA), SEM O LANCAMENTO (NBR 8953)</t>
  </si>
  <si>
    <t xml:space="preserve">ESPACADOR / DISTANCIADOR CIRCULAR COM ENTRADA LATERAL, EM PLASTICO, PARA VERGALHAO *4,2 A 12,5* MM, COBRIMENTO 20 MM</t>
  </si>
  <si>
    <t xml:space="preserve">ENCARREGADO GERAL DE OBRAS (HORISTA)</t>
  </si>
  <si>
    <t xml:space="preserve">ENGENHEIRO CIVIL DE OBRA PLENO (HORISTA)</t>
  </si>
  <si>
    <t xml:space="preserve">ESCAVAÇÃO MECANIZADA PARA BLOCO DE COROAMENTO OU SAPATA COM RETROESCAVADEIRA (INCLUINDO ESCAVAÇÃO PARA COLOCAÇÃO DE FÔRMAS). AF_01/2024</t>
  </si>
  <si>
    <t xml:space="preserve">FABRICAÇÃO, MONTAGEM E DESMONTAGEM DE FÔRMA PARA BLOCO DE COROAMENTO, EM MADEIRA SERRADA, E=25 MM, 2 UTILIZAÇÕES. AF_01/2024</t>
  </si>
  <si>
    <t xml:space="preserve">PREGO DE ACO POLIDO COM CABECA DUPLA 17 X 27 (2 1/2 X 11)</t>
  </si>
  <si>
    <t xml:space="preserve">TABUA *2,5 X 30 CM EM PINUS, MISTA OU EQUIVALENTE DA REGIAO - BRUTA</t>
  </si>
  <si>
    <t xml:space="preserve">LASTRO COM MATERIAL GRANULAR, APLICAÇÃO EM BLOCOS DE COROAMENTO, ESPESSURA DE *5 CM*. AF_01/2024</t>
  </si>
  <si>
    <t xml:space="preserve">ARMAÇÃO DE BLOCO UTILIZANDO AÇO CA-60 DE 5 MM - MONTAGEM. AF_01/2024</t>
  </si>
  <si>
    <t xml:space="preserve">ACO CA-60, 4,2 MM, OU 5,0 MM, OU 6,0 MM, OU 7,0 MM, VERGALHAO</t>
  </si>
  <si>
    <t xml:space="preserve">ARMAÇÃO DE BLOCO UTILIZANDO AÇO CA-50 DE 6,3 MM - MONTAGEM. AF_01/2024</t>
  </si>
  <si>
    <t xml:space="preserve">ARMAÇÃO DE BLOCO UTILIZANDO AÇO CA-50 DE 8 MM - MONTAGEM. AF_01/2024</t>
  </si>
  <si>
    <t xml:space="preserve">ACO CA-50, 8,0 MM, VERGALHAO</t>
  </si>
  <si>
    <t xml:space="preserve">ARMAÇÃO DE BLOCO, SAPATA ISOLADA, VIGA BALDRAME E SAPATA CORRIDA UTILIZANDO AÇO CA-50 DE 16 MM - MONTAGEM. AF_01/2024</t>
  </si>
  <si>
    <t xml:space="preserve">CONCRETAGEM DE BLOCO DE COROAMENTO OU VIGA BALDRAME, FCK 35 MPA, COM USO DE BOMBA - LANÇAMENTO, ADENSAMENTO E ACABAMENTO.</t>
  </si>
  <si>
    <t xml:space="preserve">MONTAGEM E DESMONTAGEM DE FÔRMA DE PILARES RETANGULARES E ESTRUTURAS SIMILARES, PÉ-DIREITO SIMPLES, EM CHAPA DE MADEIRA COMPENSADA RESINADA, 2 UTILIZAÇÕES. AF_09/2020</t>
  </si>
  <si>
    <t xml:space="preserve">LOCACAO DE APRUMADOR METALICO DE PILAR, COM ALTURA E ANGULO REGULAVEIS, EXTENSAO DE *1,50* A *2,80* M</t>
  </si>
  <si>
    <t xml:space="preserve">UNXME</t>
  </si>
  <si>
    <t xml:space="preserve">LOCACAO DE BARRA DE ANCORAGEM DE 0,80 A 1,20 M DE EXTENSAO, COM ROSCA DE 5/8", INCLUINDO PORCA E FLANGE</t>
  </si>
  <si>
    <t xml:space="preserve">LOCACAO DE VIGA SANDUICHE METALICA VAZADA PARA TRAVAMENTO DE PILARES, ALTURA DE *8* CM, LARGURA DE *6* CM E EXTENSAO DE 2 M</t>
  </si>
  <si>
    <t xml:space="preserve">CHAPA/PAINEL DE MADEIRA COMPENSADA RESINADA (MADEIRITE RESINADO ROSA) PARA FORMA DE CONCRETO, DE 2200 X 1100 MM, E = 17 MM</t>
  </si>
  <si>
    <t xml:space="preserve">CONCRETAGEM DE PILARES, FCK = 35 MPA, COM USO DE BOMBA - LANÇAMENTO, ADENSAMENTO E ACABAMENTO.</t>
  </si>
  <si>
    <t xml:space="preserve">ARMAÇÃO DE PILAR OU VIGA DE ESTRUTURA CONVENCIONAL DE CONCRETO ARMADO UTILIZANDO AÇO CA-60 DE 5,0 MM - MONTAGEM. AF_06/2022</t>
  </si>
  <si>
    <t xml:space="preserve">ARMAÇÃO DE PILAR OU VIGA DE ESTRUTURA CONVENCIONAL DE CONCRETO ARMADO UTILIZANDO AÇO CA-50 DE 10,0 MM - MONTAGEM. AF_06/2022</t>
  </si>
  <si>
    <t xml:space="preserve">ACO CA-50, 10,0 MM, VERGALHAO</t>
  </si>
  <si>
    <t xml:space="preserve">ARMAÇÃO DE PILAR OU VIGA DE ESTRUTURA CONVENCIONAL DE CONCRETO ARMADO UTILIZANDO AÇO CA-50 DE 12,5 MM - MONTAGEM. AF_06/2022</t>
  </si>
  <si>
    <t xml:space="preserve">ARMAÇÃO DE PILAR OU VIGA DE ESTRUTURA CONVENCIONAL DE CONCRETO ARMADO UTILIZANDO AÇO CA-50 DE 16,0 MM - MONTAGEM. AF_06/2022</t>
  </si>
  <si>
    <t xml:space="preserve">ESCAVAÇÃO MECANIZADA PARA VIGA BALDRAME OU SAPATA CORRIDA COM MINI-ESCAVADEIRA (INCLUINDO ESCAVAÇÃO PARA COLOCAÇÃO DE FÔRMAS). AF_01/2024</t>
  </si>
  <si>
    <t xml:space="preserve">MINIESCAVADEIRA SOBRE ESTEIRAS, POTENCIA LIQUIDA DE *30* HP, PESO OPERACIONAL DE *3.500* KG</t>
  </si>
  <si>
    <t xml:space="preserve">FABRICAÇÃO, MONTAGEM E DESMONTAGEM DE FÔRMA PARA VIGA BALDRAME, EM MADEIRA SERRADA, E=25 MM, 2 UTILIZAÇÕES. AF_01/2024</t>
  </si>
  <si>
    <t xml:space="preserve">PREGO DE ACO POLIDO COM CABECA 17 X 24 (2 1/4 X 11)</t>
  </si>
  <si>
    <t xml:space="preserve">LASTRO COM MATERIAL GRANULAR, APLICADO EM PISOS OU LAJES SOBRE SOLO, ESPESSURA DE *5 CM*. AF_01/2024</t>
  </si>
  <si>
    <t xml:space="preserve">ARMAÇÃO DE SAPATA ISOLADA, VIGA BALDRAME E SAPATA CORRIDA UTILIZANDO AÇO CA-60 DE 5 MM - MONTAGEM. AF_01/2024</t>
  </si>
  <si>
    <t xml:space="preserve">ARMAÇÃO DE SAPATA ISOLADA, VIGA BALDRAME E SAPATA CORRIDA UTILIZANDO AÇO CA-50 DE 6,3 MM - MONTAGEM. AF_01/2024</t>
  </si>
  <si>
    <t xml:space="preserve">ARMAÇÃO DE SAPATA ISOLADA, VIGA BALDRAME E SAPATA CORRIDA UTILIZANDO AÇO CA-50 DE 8 MM - MONTAGEM. AF_01/2024</t>
  </si>
  <si>
    <t xml:space="preserve">ARMAÇÃO DE SAPATA ISOLADA, VIGA BALDRAME E SAPATA CORRIDA UTILIZANDO AÇO CA-50 DE 10 MM - MONTAGEM. AF_01/2024</t>
  </si>
  <si>
    <t xml:space="preserve">ARMAÇÃO DE BLOCO, SAPATA ISOLADA, VIGA BALDRAME E SAPATA CORRIDA UTILIZANDO AÇO CA-50 DE 12,5 MM - MONTAGEM. AF_01/2024</t>
  </si>
  <si>
    <t xml:space="preserve">IMPERMEABILIZAÇÃO DE SUPERFÍCIE COM EMULSÃO ASFÁLTICA, 2 DEMÃOS. AF_09/2023</t>
  </si>
  <si>
    <t xml:space="preserve">MANTA LIQUIDA DE BASE ASFALTICA MODIFICADA COM A ADICAO DE ELASTOMEROS DILUIDOS EM SOLVENTE ORGANICO, APLICACAO A FRIO (MEMBRANA DE EMULSAO ASFALTICA PARA IMPERMEABILIZACAO FLEXIVEL)</t>
  </si>
  <si>
    <t xml:space="preserve">AJUDANTE ESPECIALIZADO (HORISTA)</t>
  </si>
  <si>
    <t xml:space="preserve">IMPERMEABILIZADOR (HORISTA)</t>
  </si>
  <si>
    <t xml:space="preserve">ARMAÇÃO DE CORTINA DE CONTENÇÃO EM CONCRETO ARMADO, COM AÇO CA-60 DE 5,0 MM - MONTAGEM.</t>
  </si>
  <si>
    <t xml:space="preserve">ARMAÇÃO DE CORTINA DE CONTENÇÃO EM CONCRETO ARMADO, COM AÇO CA-50 DE 6,3 MM - MONTAGEM. AF_11/2024</t>
  </si>
  <si>
    <t xml:space="preserve">ARMAÇÃO DE CORTINA DE CONTENÇÃO EM CONCRETO ARMADO, COM AÇO CA-50 DE 10 MM - MONTAGEM. AF_11/2024</t>
  </si>
  <si>
    <t xml:space="preserve">FABRICAÇÃO, MONTAGEM E DESMONTAGEM DE FÔRMA PARA CORTINA DE CONTENÇÃO, EM CHAPA DE MADEIRA COMPENSADA PLASTIFICADA, E = 18 MM, 10 UTILIZAÇÕES. AF_11/2024</t>
  </si>
  <si>
    <t xml:space="preserve">CHAPA/PAINEL DE MADEIRA COMPENSADA PLASTIFICADA (MADEIRITE PLASTIFICADO) PARA FORMA DE CONCRETO, DE 2200 X 1100 MM, E = *17* MM</t>
  </si>
  <si>
    <t xml:space="preserve">CONCRETAGEM DE CORTINA DE CONTENÇÃO, ATRAVÉS DE BOMBA, FCK=35 MPA - LANÇAMENTO, ADENSAMENTO E ACABAMENTO.</t>
  </si>
  <si>
    <t xml:space="preserve">ARMAÇÃO DE PILAR OU VIGA DE ESTRUTURA CONVENCIONAL DE CONCRETO ARMADO UTILIZANDO AÇO CA-50 DE 6,3 MM - MONTAGEM. AF_06/2022</t>
  </si>
  <si>
    <t xml:space="preserve">ARMAÇÃO DE PILAR OU VIGA DE ESTRUTURA CONVENCIONAL DE CONCRETO ARMADO UTILIZANDO AÇO CA-50 DE 8,0 MM - MONTAGEM. AF_06/2022</t>
  </si>
  <si>
    <t xml:space="preserve">ARMAÇÃO DE PILAR OU VIGA DE ESTRUTURA CONVENCIONAL DE CONCRETO ARMADO UTILIZANDO AÇO CA-50 DE 20,0 MM - MONTAGEM. AF_06/2022</t>
  </si>
  <si>
    <t xml:space="preserve">ACO CA-50, 20,0 MM OU 25,0 MM, VERGALHAO</t>
  </si>
  <si>
    <t xml:space="preserve">ARMAÇÃO DE PILAR OU VIGA DE ESTRUTURA CONVENCIONAL DE CONCRETO ARMADO UTILIZANDO AÇO CA-50 DE 25,0 MM - MONTAGEM. AF_06/2022</t>
  </si>
  <si>
    <t xml:space="preserve">CONCRETAGEM DE VIGAS E LAJES, FCK=35 MPA, PARA LAJES MACIÇAS OU NERVURADAS COM USO DE BOMBA - LANÇAMENTO, ADENSAMENTO E ACABAMENTO.</t>
  </si>
  <si>
    <t xml:space="preserve">MONTAGEM E DESMONTAGEM DE FÔRMA DE VIGA, ESCORAMENTO METÁLICO, PÉ-DIREITO SIMPLES, EM CHAPA DE MADEIRA RESINADA, 2 UTILIZAÇÕES. AF_09/2020</t>
  </si>
  <si>
    <t xml:space="preserve">LOCACAO DE CRUZETA, SIMPLES, PARA ESCORA METALICA, COMPRIMENTO ENTRE 50 A 60 CM, PARA ESCORA DE 1,80 A 3,20 METROS E TUBO EXTERNO ATE 48 MM DE DIAMETRO</t>
  </si>
  <si>
    <t xml:space="preserve">LOCACAO DE ESCORA METALICA TELESCOPICA, COM ALTURA REGULAVEL DE *1,80* A *3,20* M, COM CAPACIDADE DE CARGA DE NO MINIMO 1000 KGF (10 KN), INCLUSO TRIPE E FORCADO</t>
  </si>
  <si>
    <t xml:space="preserve">LAJE PRÉ-MOLDADA UNIDIRECIONAL, BIAPOIADA, PARA PISO, ENCHIMENTO EM EPS, VIGOTA CONVENCIONAL, ALTURA TOTAL DA LAJE (ENCHIMENTO+CAPA) = (8+5).</t>
  </si>
  <si>
    <t xml:space="preserve">LAJE PRE-MOLDADA CONVENCIONAL (LAJOTAS + VIGOTAS) PARA PISO, UNIDIRECIONAL, SOBRECARGA DE 350 KG/M2, VAO ATE 5,00 M (SEM COLOCACAO)</t>
  </si>
  <si>
    <t xml:space="preserve">TELA DE ACO SOLDADA NERVURADA, CA-60, Q-138, (2,20 KG/M2), DIAMETRO DO FIO = 4,2 MM, LARGURA = 2,45 M, ESPACAMENTO DA MALHA = 10 X 10 CM</t>
  </si>
  <si>
    <t xml:space="preserve">LAJE PRÉ-MOLDADA UNIDIRECIONAL, BIAPOIADA, PARA PISO, ENCHIMENTO EM EPS, VIGOTA CONVENCIONAL, ALTURA TOTAL DA LAJE (ENCHIMENTO+CAPA) = (12+5).</t>
  </si>
  <si>
    <t xml:space="preserve">LAJE PRÉ-MOLDADA UNIDIRECIONAL, BIAPOIADA, PARA PISO, ENCHIMENTO EM EPS, VIGOTA CONVENCIONAL, ALTURA TOTAL DA LAJE (ENCHIMENTO+CAPA) = (16+5).</t>
  </si>
  <si>
    <t xml:space="preserve">LAJE PRÉ-MOLDADA UNIDIRECIONAL, BIAPOIADA, PARA PISO, ENCHIMENTO EM EPS, VIGOTA CONVENCIONAL, ALTURA TOTAL DA LAJE (ENCHIMENTO+CAPA) = (20+5).</t>
  </si>
  <si>
    <t xml:space="preserve">CURA ÚMIDA POR ASPERSÃO DE ÁGUA DURANTE 7 DIAS.</t>
  </si>
  <si>
    <t xml:space="preserve">GEOTEXTIL NAO TECIDO AGULHADO DE FILAMENTOS CONTINUOS 100% POLIESTER, RESITENCIA A TRACAO = 09 KN/M</t>
  </si>
  <si>
    <t xml:space="preserve">MONTAGEM E DESMONTAGEM DE FÔRMA DE LAJE MACIÇA, PÉ-DIREITO SIMPLES, EM CHAPA DE MADEIRA COMPENSADA RESINADA, 2 UTILIZAÇÕES. AF_09/2020</t>
  </si>
  <si>
    <t xml:space="preserve">VIGA DE ESCORAMENTO H20, DE MADEIRA, PESO DE 5,00 A 5,20 KG/M, COM EXTREMIDADES PLASTICAS</t>
  </si>
  <si>
    <t xml:space="preserve">ARMAÇÃO DE LAJE DE ESTRUTURA CONVENCIONAL DE CONCRETO ARMADO UTILIZANDO AÇO CA-60 DE 5,0 MM - MONTAGEM. AF_06/2022</t>
  </si>
  <si>
    <t xml:space="preserve">ARMAÇÃO DE LAJE DE ESTRUTURA CONVENCIONAL DE CONCRETO ARMADO UTILIZANDO AÇO CA-50 DE 6,3 MM - MONTAGEM. AF_06/2022</t>
  </si>
  <si>
    <t xml:space="preserve">ARMAÇÃO DE LAJE DE ESTRUTURA CONVENCIONAL DE CONCRETO ARMADO UTILIZANDO AÇO CA-50 DE 8,0 MM - MONTAGEM. AF_06/2022</t>
  </si>
  <si>
    <t xml:space="preserve">ARMAÇÃO DE LAJE DE ESTRUTURA CONVENCIONAL DE CONCRETO ARMADO UTILIZANDO AÇO CA-50 DE 10,0 MM - MONTAGEM. AF_06/2022</t>
  </si>
  <si>
    <t xml:space="preserve">ARMAÇÃO DE LAJE DE ESTRUTURA CONVENCIONAL DE CONCRETO ARMADO UTILIZANDO AÇO CA-50 DE 12,5 MM - MONTAGEM. AF_06/2022</t>
  </si>
  <si>
    <t xml:space="preserve">ARMAÇÃO PARA EXECUÇÃO DE RADIER, PISO DE CONCRETO OU LAJE SOBRE SOLO, COM USO DE TELA Q-92. AF_09/2021</t>
  </si>
  <si>
    <t xml:space="preserve">TELA DE ACO SOLDADA NERVURADA, CA-60, Q-92, (1,48 KG/M2), DIAMETRO DO FIO = 4,2 MM, LARGURA = 2,45 X 60 M DE COMPRIMENTO, ESPACAMENTO DA MALHA = 15 X 15 CM</t>
  </si>
  <si>
    <t xml:space="preserve">FABRICAÇÃO DE FÔRMA PARA ESCADAS, COM 1 LANCE E LAJE PLANA, EM CHAPA DE MADEIRA COMPENSADA RESINADA, E= 17 MM. AF_11/2020</t>
  </si>
  <si>
    <t xml:space="preserve">PREGO DE ACO POLIDO COM CABECA 15 X 15 (1 1/4 X 13)</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</si>
  <si>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</si>
  <si>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</si>
  <si>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</si>
  <si>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</si>
  <si>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</si>
  <si>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CONCRETAGEM DE ESCADAS, FCK=35 MPA, COM USO DE BOMBA - LANÇAMENTO, ADENSAMENTO E ACABAMENTO.</t>
  </si>
  <si>
    <t xml:space="preserve">COMPACTAÇÃO MECÂNICA DE SOLO PARA EXECUÇÃO DE RADIER, PISO DE CONCRETO OU LAJE SOBRE SOLO, COM COMPACTADOR DE SOLOS TIPO PLACA VIBRATÓRIA. AF_09/2021</t>
  </si>
  <si>
    <t xml:space="preserve">CAMADA SEPARADORA PARA EXECUÇÃO DE RADIER, PISO DE CONCRETO OU LAJE SOBRE SOLO, EM LONA PLÁSTICA. AF_09/2021</t>
  </si>
  <si>
    <t xml:space="preserve">ARMAÇÃO PARA EXECUÇÃO DE RADIER, PISO DE CONCRETO OU LAJE SOBRE SOLO, COM USO DE TELA Q-138. AF_09/2021</t>
  </si>
  <si>
    <t xml:space="preserve">BARRAS DE TRANSFERÊNCIA, AÇO CA-25 DE 16,0 MM, PARA EXECUÇÃO DE PAVIMENTO DE CONCRETO - FORNECIMENTO E INSTALAÇÃO. AF_04/2022</t>
  </si>
  <si>
    <t xml:space="preserve">ACO CA-25, 16,0 MM, BARRA DE TRANSFERENCIA</t>
  </si>
  <si>
    <t xml:space="preserve">CONCRETAGEM DE RADIER, PISO DE CONCRETO OU LAJE SOBRE SOLO, FCK 25 MPA - LANÇAMENTO, ADENSAMENTO E ACABAMENTO.</t>
  </si>
  <si>
    <t xml:space="preserve">CONCRETO USINADO BOMBEAVEL, CLASSE DE RESISTENCIA C25, COM BRITA 0 E 1, SLUMP = 130 +/- 20 MM, EXCLUI SERVICO DE BOMBEAMENTO (NBR 8953)</t>
  </si>
  <si>
    <t xml:space="preserve">EXECUÇÃO DE JUNTAS DE CONTRAÇÃO PARA PAVIMENTOS DE CONCRETO. AF_04/2022</t>
  </si>
  <si>
    <t xml:space="preserve">CORTADEIRA DE PISO DE CONCRETO E ASFALTO, PARA DISCO PADRAO DE DIAMETRO 350 MM (14") OU 450 MM (18"), MOTOR A GASOLINA, POTENCIA 13 HP, SEM DISCO</t>
  </si>
  <si>
    <t xml:space="preserve">DISCO DE CORTE DIAMANTADO SEGMENTADO PARA CONCRETO/ASFALTO, DIAMETRO DE *350* MM, FURO DE 25,40 MM</t>
  </si>
  <si>
    <t xml:space="preserve">TRATAMENTO DE JUNTA SERRADA, COM TARUGO DE POLIETILENO E SELANTE À BASE DE SILICONE. AF_09/2023</t>
  </si>
  <si>
    <t xml:space="preserve">SELANTE MONOCOMPONENTE A BASE DE SILICONE DE BAIXO MODULO, PARA JUNTAS DE PAVIMENTACAO</t>
  </si>
  <si>
    <t xml:space="preserve">TARUGO DELIMITADOR DE PROFUNDIDADE EM ESPUMA DE POLIETILENO DE BAIXA DENSIDADE 10 MM, CINZA</t>
  </si>
  <si>
    <t xml:space="preserve">JUNTA DE ENCONTRO, PREENCHIMENTO COM EPS E PU.</t>
  </si>
  <si>
    <t xml:space="preserve">ESPUMA EXPANSIVA DE POLIURETANO, APLICACAO MANUAL - 500 ML</t>
  </si>
  <si>
    <t xml:space="preserve">POLIESTIRENO EXPANDIDO/EPS (ISOPOR), TIPO 2F, PLACA, ISOLAMENTO TERMOACUSTICO, E = 10 MM, 1000 X 500 MM</t>
  </si>
  <si>
    <t xml:space="preserve">ARMAÇÃO PARA EXECUÇÃO DE RADIER, PISO DE CONCRETO OU LAJE SOBRE SOLO, COM USO DE TELA Q-196. AF_09/2021</t>
  </si>
  <si>
    <t xml:space="preserve">CONCRETAGEM DE RADIER, PISO DE CONCRETO OU LAJE SOBRE SOLO, FCK 35 MPA - LANÇAMENTO, ADENSAMENTO E ACABAMENTO.</t>
  </si>
  <si>
    <t xml:space="preserve">ESTACA BROCA DE CONCRETO, DIÂMETRO DE 25CM, ESCAVAÇÃO MANUAL COM TRADO CONCHA, COM ARMADURA LOGITUDIONAL DE Ø8,0MM E TRANSVERSAL DE Ø6,3MM, CONCRETO FCK 35 MPA.</t>
  </si>
  <si>
    <t xml:space="preserve">FABRICAÇÃO, MONTAGEM E DESMONTAGEM DE FÔRMA PARA VIGA BALDRAME, EM CHAPA DE MADEIRA COMPENSADA RESINADA, E=17 MM, 2 UTILIZAÇÕES. AF_01/2024</t>
  </si>
  <si>
    <t xml:space="preserve">ATERRO MECANIZADO DE VALA COM MINICARREGADEIRA, COM SOLO ARGILO-ARENOSO. AF_08/2023</t>
  </si>
  <si>
    <t xml:space="preserve">COMPACTADOR DE SOLOS DE PERCURSAO (SOQUETE) COM MOTOR A GASOLINA 4 TEMPOS DE 4 HP (4 CV)</t>
  </si>
  <si>
    <t xml:space="preserve">MINICARREGADEIRA SOBRE RODAS, POTENCIA LIQUIDA DE *47* HP, CAPACIDADE NOMINAL DE OPERACAO DE *646* KG</t>
  </si>
  <si>
    <t xml:space="preserve">ARGILA, ARGILA VERMELHA OU ARGILA ARENOSA (RETIRADA NA JAZIDA, SEM TRANSPORTE)</t>
  </si>
  <si>
    <t xml:space="preserve">ESCAVAÇÃO MANUAL PARA BLOCO DE COROAMENTO OU SAPATA (INCLUINDO ESCAVAÇÃO PARA COLOCAÇÃO DE FÔRMAS). AF_01/2024</t>
  </si>
  <si>
    <t xml:space="preserve">ARMAÇÃO DE BLOCO UTILIZANDO AÇO CA-50 DE 10 MM - MONTAGEM. AF_01/2024</t>
  </si>
  <si>
    <t xml:space="preserve">PILAR METÁLICO PERFIL LAMINADO/SOLDADO EM AÇO ESTRUTURAL, COM CONEXÕES PARAFUSADAS, INCLUSOS MÃO DE OBRA, TRANSPORTE E IÇAMENTO UTILIZANDO GUINDASTE - FORNECIMENTO E INSTALAÇÃO.</t>
  </si>
  <si>
    <t xml:space="preserve">COMPRESSOR DE AR REBOCAVEL, VAZAO 189 PCM, PRESSAO EFETIVA DE TRABALHO 102 PSI, MOTOR DIESEL, POTENCIA 63 CV</t>
  </si>
  <si>
    <t xml:space="preserve">MAQUINA TIPO VASO/TANQUE/JATO DE PRESSAO PORTATIL P/ JATEAMENTO, CONTROLE AUTOMATICO E REMOTO, CAMARA DE 1 SAIDA, 280 L, DIAM. *670* MM, BICO JATO CURTO VENTURI 5/16", MANGUEIRA 1" DE 10 M, COMPLETA (VALVULAS POP UP E DOSADORA, FUNDO CONICO ETC)</t>
  </si>
  <si>
    <t xml:space="preserve">CHAPA DE ACO GROSSA, ASTM A36, E = 1/2" (12,70 MM) 99,59 KG/M2</t>
  </si>
  <si>
    <t xml:space="preserve">DILUENTE AGUARRAS</t>
  </si>
  <si>
    <t xml:space="preserve">FUNDO ANTICORROSIVO PARA METAIS FERROSOS (ZARCAO)</t>
  </si>
  <si>
    <t xml:space="preserve">GRANALHA DE ACO, ANGULAR (GRIT), PARA JATEAMENTO, PENEIRA 1,41 A 1,19 MM (SAE G16)</t>
  </si>
  <si>
    <t xml:space="preserve">SC25K</t>
  </si>
  <si>
    <t xml:space="preserve">PARAFUSO FRANCES M16 EM ACO GALVANIZADO, COMPRIMENTO = 45 MM, DIAMETRO = 16 MM, CABECA ABAULADA</t>
  </si>
  <si>
    <t xml:space="preserve">PERFIL "I" OU "W" EM ACO LAMINADO, QUAISQUER DIMENSOES</t>
  </si>
  <si>
    <t xml:space="preserve">AJUDANTE DE ESTRUTURAS METALICAS (HORISTA)</t>
  </si>
  <si>
    <t xml:space="preserve">MONTADOR DE ESTRUTURAS METALICAS HORISTA</t>
  </si>
  <si>
    <t xml:space="preserve">OPERADOR DE JATO ABRASIVO OU JATISTA (HORISTA)</t>
  </si>
  <si>
    <t xml:space="preserve">ESCAVAÇÃO MANUAL DE VIGA DE BORDA PARA RADIER. AF_09/2021</t>
  </si>
  <si>
    <t xml:space="preserve">ALVENARIA DE BLOCOS DE CONCRETO ESTRUTURAL 14X19X39 CM (ESPESSURA 14 CM), FBK = 4,5 MPA, UTILIZANDO COLHER DE PEDREIRO. AF_10/2022</t>
  </si>
  <si>
    <t xml:space="preserve">BLOCO DE CONCRETO ESTRUTURAL 14 X 19 X 34 CM, FBK 4,5 MPA (NBR 6136)</t>
  </si>
  <si>
    <t xml:space="preserve">BLOCO DE CONCRETO ESTRUTURAL 14 X 19 X 39 CM, FBK 4,5 MPA (NBR 6136)</t>
  </si>
  <si>
    <t xml:space="preserve">CAL HIDRATADA CH-I PARA ARGAMASSAS</t>
  </si>
  <si>
    <t xml:space="preserve">CANALETA DE CONCRETO ESTRUTURAL 14 X 19 X 39 CM, FBK 4,5 MPA (NBR 6136)</t>
  </si>
  <si>
    <t xml:space="preserve">MEIO BLOCO DE CONCRETO ESTRUTURAL 14 X 19 X 19 CM, FBK 4,5 MPA (NBR 6136)</t>
  </si>
  <si>
    <t xml:space="preserve">ARMAÇÃO DO SISTEMA DE PAREDES DE CONCRETO, EXECUTADA COMO REFORÇO, VERGALHÃO DE 10,0 MM DE DIÂMETRO. AF_12/2024</t>
  </si>
  <si>
    <t xml:space="preserve">EXECUÇÃO DE FURO DE Ø12,5MM COM ROFUNDIDADE DE 10CM, E APLICAÇÃO DE ADESIVO ESTRUTURAL, PARA FIXAÇÃO DAS BARRAS DE AÇO Ø10,0MM.</t>
  </si>
  <si>
    <t xml:space="preserve">PERFURATRIZ MANUAL, TORQUE MAXIMO 83 N.M, POTENCIA 5 CV, COM DIAMETRO MAXIMO 4", PARA SOLO GRAMPEADO (INCLUI SUPORTE OU CHASSI TIPO MESA)</t>
  </si>
  <si>
    <t xml:space="preserve">ADESIVO ESTRUTURAL A BASE DE RESINA EPOXI, BICOMPONENTE, PASTOSO (TIXOTROPICO)</t>
  </si>
  <si>
    <t xml:space="preserve">AUXILIAR DE ENCANADOR OU BOMBEIRO HIDRAULICO (HORISTA)</t>
  </si>
  <si>
    <t xml:space="preserve">MONTAGEM E DESMONTAGEM DE FÔRMA DE LAJE MACIÇA, PÉ-DIREITO DUPLO, EM CHAPA DE MADEIRA COMPENSADA RESINADA, 2 UTILIZAÇÕES. AF_09/2020</t>
  </si>
  <si>
    <t xml:space="preserve">LOCACAO DE TORRE METALICA COMPLETA PARA UMA CARGA DE 8 TF (80 KN) E PE DIREITO DE 6 M, INCLUINDO MODULOS, DIAGONAIS, SAPATAS E FORCADOS</t>
  </si>
  <si>
    <t xml:space="preserve">CONCRETAGEM DE VIGAS E LAJES, FCK=35 MPA, PARA QUALQUER TIPO DE LAJE COM BALDES EM EDIFICAÇÃO TÉRREA - LANÇAMENTO, ADENSAMENTO E ACABAMENTO.</t>
  </si>
  <si>
    <t xml:space="preserve">EXECUÇÃO DE LAJE SOBRE SOLO, ESPESSURA DE 10 CM, FCK = 30 MPA, COM USO DE FORMAS EM MADEIRA SERRADA. AF_09/2021</t>
  </si>
  <si>
    <t xml:space="preserve">TELA DE ACO SOLDADA NERVURADA, CA-60, Q-113, (1,8 KG/M2), DIAMETRO DO FIO = 3,8 MM, LARGURA = 2,45 M, ESPACAMENTO DA MALHA = 10 X 10 CM</t>
  </si>
  <si>
    <t xml:space="preserve">LAJE PRÉ-MOLDADA UNIDIRECIONAL, BIAPOIADA, PARA FORRO, ENCHIMENTO EM CERÂMICA, VIGOTA CONVENCIONAL, ALTURA TOTAL DA LAJE (ENCHIMENTO+CAPA) = (8+3). AF_11/2020</t>
  </si>
  <si>
    <t xml:space="preserve">CONCRETO USINADO BOMBEAVEL, CLASSE DE RESISTENCIA C25, BRITA 0 E 1, SLUMP = 100 +/- 20 MM, COM BOMBEAMENTO (DISPONIBILIZACAO DE BOMBA), SEM O LANCAMENTO (NBR 8953)</t>
  </si>
  <si>
    <t xml:space="preserve">LAJE PRE-MOLDADA CONVENCIONAL (LAJOTAS + VIGOTAS) PARA FORRO, UNIDIRECIONAL, SOBRECARGA DE 100 KG/M2, VAO ATE 4,00 M (SEM COLOCACAO)</t>
  </si>
  <si>
    <t xml:space="preserve">FABRICAÇÃO, MONTAGEM E DESMONTAGEM DE FÔRMA PARA BLOCO DE COROAMENTO, EM MADEIRA SERRADA, E=25 MM, 1 UTILIZAÇÃO. AF_01/2024</t>
  </si>
  <si>
    <t xml:space="preserve">IMPERMEABILIZAÇÃO DE SUPERFÍCIE COM ARGAMASSA POLIMÉRICA / MEMBRANA ACRÍLICA, 3 DEMÃOS. AF_09/2023</t>
  </si>
  <si>
    <t xml:space="preserve">ARGAMASSA POLIMERICA IMPERMEABILIZANTE SEMIFLEXIVEL, BICOMPONENTE, A BASE DE CIMENTO E ADITIVOS</t>
  </si>
  <si>
    <t xml:space="preserve">MASTRO PARA BANDEIRA, 5M. FORNECIMENTO E INSTALAÇÃO.</t>
  </si>
  <si>
    <t xml:space="preserve">MASTRO TELESCOPICO GALVANIZADO 5 METROS (3 M X DN= 2" + 2 M X DN= 1 1/2")</t>
  </si>
  <si>
    <t xml:space="preserve">ALVENARIA DE VEDAÇÃO DE BLOCOS CERÂMICOS FURADOS NA HORIZONTAL DE 9X19X19 CM (ESPESSURA 9 CM) E ARGAMASSA DE ASSENTAMENTO COM PREPARO EM BETONEIRA. AF_12/2021</t>
  </si>
  <si>
    <t xml:space="preserve">BLOCO CERAMICO / TIJOLO VAZADO PARA ALVENARIA DE VEDACAO, 8 FUROS NA HORIZONTAL DE 9 X 19 X 19 CM (L X A X C)</t>
  </si>
  <si>
    <t xml:space="preserve">PINO DE ACO COM FURO, HASTE = 27 MM (ACAO DIRETA)</t>
  </si>
  <si>
    <t xml:space="preserve">TELA DE ACO SOLDADA GALVANIZADA/ZINCADA PARA ALVENARIA, FIO D = *1,20 A 1,70* MM, MALHA 15 X 15 MM, (C X L) *50 X 7,5* CM</t>
  </si>
  <si>
    <t xml:space="preserve">ALVENARIA DE VEDAÇÃO DE BLOCOS CERÂMICOS FURADOS NA HORIZONTAL DE 14X9X19 CM (ESPESSURA 14 CM, BLOCO DEITADO) E ARGAMASSA DE ASSENTAMENTO COM PREPARO EM BETONEIRA. AF_12/2021</t>
  </si>
  <si>
    <t xml:space="preserve">BLOCO CERAMICO / TIJOLO VAZADO PARA ALVENARIA DE VEDACAO, 6 FUROS NA HORIZONTAL DE 9 X 14 X 19 CM (L X A X C)</t>
  </si>
  <si>
    <t xml:space="preserve">TELA DE ACO SOLDADA GALVANIZADA/ZINCADA PARA ALVENARIA, FIO D = *1,20 A 1,70* MM, MALHA 15 X 15 MM, (C X L) *50 X 12* CM</t>
  </si>
  <si>
    <t xml:space="preserve">DIVISÓRIA FIXA EM VIDRO TEMPERADO 10 MM, SEM ABERTURA. AF_01/2021_PS</t>
  </si>
  <si>
    <t xml:space="preserve">BUCHA DE NYLON SEM ABA S6, COM PARAFUSO DE 4,20 X 40 MM EM ACO ZINCADO COM ROSCA SOBERBA, CABECA CHATA E FENDA PHILLIPS</t>
  </si>
  <si>
    <t xml:space="preserve">FITA DE PAPEL REFORCADA COM LAMINA DE METAL PARA REFORCO DE CANTOS DE CHAPA DE GESSO PARA DRYWALL</t>
  </si>
  <si>
    <t xml:space="preserve">PERFIL DE ALUMINIO ANODIZADO</t>
  </si>
  <si>
    <t xml:space="preserve">SILICONE ACETICO USO GERAL INCOLOR 280 G</t>
  </si>
  <si>
    <t xml:space="preserve">VIDRO TEMPERADO INCOLOR E = 10 MM, SEM COLOCACAO</t>
  </si>
  <si>
    <t xml:space="preserve">VIDRACEIRO (HORISTA)</t>
  </si>
  <si>
    <t xml:space="preserve">DIVISORIA SANITÁRIA, TIPO CABINE, EM GRANITO CINZA POLIDO, ESP = 3CM, ASSENTADO COM ARGAMASSA COLANTE AC III-E, EXCLUSIVE FERRAGENS. AF_01/2021</t>
  </si>
  <si>
    <t xml:space="preserve">ARGAMASSA COLANTE TIPO AC III E</t>
  </si>
  <si>
    <t xml:space="preserve">DIVISORIA EM GRANITO, COM DUAS FACES POLIDAS, TIPO ANDORINHA/ QUARTZ/ CASTELO/ CORUMBA OU OUTROS EQUIVALENTES DA REGIAO, E= *3,0* CM</t>
  </si>
  <si>
    <t xml:space="preserve">MARMORISTA / GRANITEIRO (HORISTA)</t>
  </si>
  <si>
    <t xml:space="preserve">FECHAMENTO EM PLACA CIMENTÍCIA COM ESPESSURA DE 10MM</t>
  </si>
  <si>
    <t xml:space="preserve">PARAFUSO ZINCADO, AUTOBROCANTE, FLANGEADO, 4,2 MM X 19 MM</t>
  </si>
  <si>
    <t xml:space="preserve">PLACA CIMENTICIA LISA E = 10 MM, DE 1,20 X *2,50* M (SEM AMIANTO)</t>
  </si>
  <si>
    <t xml:space="preserve">PAINEL EM PERFIS DE ALUMÍNIO, COM VIDRO LÂMINADO 8MM - FORNECIMENTO E INSTALAÇÃO.</t>
  </si>
  <si>
    <t xml:space="preserve">VIDRO COMUM LAMINADO LISO INCOLOR DUPLO, ESPESSURA TOTAL 8 MM (CADA CAMADA DE 4 MM) - COLOCADO</t>
  </si>
  <si>
    <t xml:space="preserve">PELICULA ADESIVA DE CONTROLE SOLAR ANTI RISCO, PARA VIDRO - FORNECIMENTO E INSTALAÇÃO</t>
  </si>
  <si>
    <t xml:space="preserve">INS-79100964</t>
  </si>
  <si>
    <t xml:space="preserve">PELICULA FUME PARA VIDRO</t>
  </si>
  <si>
    <t xml:space="preserve">PAREDE COM SISTEMA EM CHAPAS DE GESSO PARA DRYWALL, USO INTERNO, COM DUAS FACES SIMPLES E ESTRUTURA METÁLICA COM GUIAS SIMPLES, NUCLEO INTERNO EM FIBRA DE VIDRO PARA ISOLAMENTO ACÚSTICO, COM VÃOS.</t>
  </si>
  <si>
    <t xml:space="preserve">FITA DE PAPEL MICROPERFURADO, 50 X 150 MM, PARA TRATAMENTO DE JUNTAS DE CHAPA DE GESSO PARA DRYWALL</t>
  </si>
  <si>
    <t xml:space="preserve">MASSA DE REJUNTE EM PO PARA DRYWALL, A BASE DE GESSO, SECAGEM RAPIDA, PARA TRATAMENTO DE JUNTAS DE CHAPA DE GESSO (NECESSITA ADICAO DE AGUA)</t>
  </si>
  <si>
    <t xml:space="preserve">PAINEL DE LA DE VIDRO SEM REVESTIMENTO PSI 20, E = 50 MM, DE 1200 X 600 MM</t>
  </si>
  <si>
    <t xml:space="preserve">PARAFUSO DRY WALL, EM ACO FOSFATIZADO, CABECA TROMBETA E PONTA AGULHA (TA), COMPRIMENTO 25 MM</t>
  </si>
  <si>
    <t xml:space="preserve">PARAFUSO DRY WALL, EM ACO ZINCADO, CABECA LENTILHA E PONTA BROCA (LB), LARGURA 4,2 MM, COMPRIMENTO 13 MM</t>
  </si>
  <si>
    <t xml:space="preserve">PERFIL GUIA, FORMATO U, EM ACO ZINCADO, PARA ESTRUTURA PAREDE DRYWALL, E = 0,5 MM, 70 X 3000 MM (L X C)</t>
  </si>
  <si>
    <t xml:space="preserve">PERFIL MONTANTE, FORMATO C, EM ACO ZINCADO, PARA ESTRUTURA PAREDE DRYWALL, E = 0,5 MM, 70 X 3000 MM (L X C)</t>
  </si>
  <si>
    <t xml:space="preserve">PINO DE ACO COM ARRUELA CONICA, DIAMETRO ARRUELA = *23* MM E COMP HASTE = *27* MM (ACAO INDIRETA)</t>
  </si>
  <si>
    <t xml:space="preserve">PLACA / CHAPA DE GESSO ACARTONADO, STANDARD (ST), COR BRANCA, E = 12,5 MM, 1200 X 2400 MM (L X C)</t>
  </si>
  <si>
    <t xml:space="preserve">VERGA MOLDADA IN LOCO EM CONCRETO, ESPESSURA DE *10* CM. AF_03/2024</t>
  </si>
  <si>
    <t xml:space="preserve">TABUA NAO APARELHADA *2,5 X 30* CM, EM MACARANDUBA/MASSARANDUBA, ANGELIM OU EQUIVALENTE DA REGIAO - BRUTA</t>
  </si>
  <si>
    <t xml:space="preserve">CONTRAVERGA MOLDADA IN LOCO EM CONCRETO, ESPESSURA DE *10* CM. AF_03/2024</t>
  </si>
  <si>
    <t xml:space="preserve">ALAMBRADO EM MOURÕES DE CONCRETO, COM TELA DE ARAME GALVANIZADO (INCLUSIVE MURETA EM CONCRETO). AF_05/2018</t>
  </si>
  <si>
    <t xml:space="preserve">MOURAO DE CONCRETO RETO, SECAO QUADRADA *10 X 10* CM, H= *2,30* M</t>
  </si>
  <si>
    <t xml:space="preserve">SARRAFO NAO APARELHADO *2,5 X 10* CM, EM MACARANDUBA/MASSARANDUBA, ANGELIM OU EQUIVALENTE DA REGIAO - BRUTA</t>
  </si>
  <si>
    <t xml:space="preserve">TELA DE ARAME GALVANIZADA REVESTIDA EM PVC, QUADRANGULAR / LOSANGULAR, FIO 2,11 MM (14 BWG), BITOLA FINAL = *2,8* MM, MALHA *8 X 8* CM, H = 2 M</t>
  </si>
  <si>
    <t xml:space="preserve">GUARDA-CORPO PANORÂMICO COM PERFIS DE ALUMÍNIO E VIDRO LAMINADO 8 MM, FIXADO COM CHUMBADOR MECÂNICO. AF_04/2019_PS</t>
  </si>
  <si>
    <t xml:space="preserve">CHAPA DE ACO GROSSA, ASTM A36, E = 3/8" (9,53 MM) 74,69 KG/M2</t>
  </si>
  <si>
    <t xml:space="preserve">PARAFUSO DE ACO ZINCADO, SEXTAVADO, COM ROSCA INTEIRA, DIAMETRO 5/16", COMPRIMENTO 3/4", COM PORCA E ARRUELA LISA LEVE</t>
  </si>
  <si>
    <t xml:space="preserve">PARAFUSO DE ACO ZINCADO, TIPO CHUMBADOR PARABOLT, DIAMETRO 3/8", COMPRIMENTO 75 MM</t>
  </si>
  <si>
    <t xml:space="preserve">PERFIL DE BORRACHA EPDM MACICO *12 X 15* MM PARA ESQUADRIAS</t>
  </si>
  <si>
    <t xml:space="preserve">CORRIMÃO DUPLO, DIÂMETRO EXTERNO = 1 1/2", EM AÇO GALVANIZADO.</t>
  </si>
  <si>
    <t xml:space="preserve">BUCHA DE NYLON SEM ABA S10, COM PARAFUSO DE 6,10 X 65 MM EM ACO ZINCADO COM ROSCA SOBERBA, CABECA CHATA E FENDA PHILLIPS</t>
  </si>
  <si>
    <t xml:space="preserve">TUBO ACO GALVANIZADO COM COSTURA, CLASSE LEVE, DN 32 MM (1 1/4"), E = 2,65 MM, *2,71* KG/M (NBR 5580)</t>
  </si>
  <si>
    <t xml:space="preserve">GUARDA-CORPO DE AÇO GALVANIZADO DE 1,10M DE ALTURA, MONTANTES TUBULARES DE 1.1/2 ESPAÇADOS DE 1,20M, TRAVESSA SUPERIOR DE 2 , GRADIL FORMADO POR BARRAS CHATAS EM FERRO DE 32X4,8MM, FIXADO COM CHUMBADOR MECÂNICO. AF_04/2019_PS</t>
  </si>
  <si>
    <t xml:space="preserve">BARRA DE ACO CHATA, RETANGULAR (QUALQUER BITOLA)</t>
  </si>
  <si>
    <t xml:space="preserve">TUBO ACO GALVANIZADO COM COSTURA, CLASSE LEVE, DN 40 MM (1 1/2"), E = 3,00 MM, *3,48* KG/M (NBR 5580)</t>
  </si>
  <si>
    <t xml:space="preserve">TUBO ACO GALVANIZADO COM COSTURA, CLASSE LEVE, DN 50 MM (2"), E = 3,00 MM, *4,40* KG/M (NBR 5580)</t>
  </si>
  <si>
    <t xml:space="preserve">SOLEIRA EM GRANITO, LARGURA 15 CM, ESPESSURA 2,0 CM. AF_09/2020</t>
  </si>
  <si>
    <t xml:space="preserve">ARGAMASSA COLANTE TIPO AC III</t>
  </si>
  <si>
    <t xml:space="preserve">SOLEIRA EM GRANITO, POLIDO, TIPO ANDORINHA/ QUARTZ/ CASTELO/ CORUMBA OU OUTROS EQUIVALENTES DA REGIAO, L= *15* CM, E= *2,0* CM</t>
  </si>
  <si>
    <t xml:space="preserve">PEITORIL LINEAR EM GRANITO OU MÁRMORE, L = 15CM, ASSENTADO COM ARGAMASSA 1:6 COM ADITIVO. AF_11/2020</t>
  </si>
  <si>
    <t xml:space="preserve">ADITIVO PLASTIFICANTE E ESTABILIZADOR PARA ARGAMASSAS DE ASSENTAMENTO E REBOCO, LIQUIDO E ISENTO DE CLORETOS</t>
  </si>
  <si>
    <t xml:space="preserve">PEITORIL EM MARMORE, POLIDO, BRANCO COMUM, L= *15* CM, E= *2,0* CM, COM PINGADEIRA</t>
  </si>
  <si>
    <t xml:space="preserve">JANELA DE ALUMÍNIO TIPO MAXIM-AR, BATENTE/ REQUADRO 3 A 14 CM, VIDRO INCLUSO, FIXAÇÃO COM PARAFUSO, SEM GUARNIÇÃO/ ALIZAR, DIMENSÕES 60X80 (A X L) CM, SEM ACABAMENTO, VEDAÇÃO COM SILICONE, EXCLUSIVE CONTRAMARCO - FORNECIMENTO E INSTALAÇÃO. AF_11/2024</t>
  </si>
  <si>
    <t xml:space="preserve">JANELA MAXIM-AR, EM ALUMINIO PERFIL 25, 60 X 80 CM (A X L), ACABAMENTO BRANCO OU BRILHANTE, BATENTE DE 4 A 5 CM, COM VIDRO 4 MM, SEM GUARNICAO/ALIZAR</t>
  </si>
  <si>
    <t xml:space="preserve">PARAFUSO DE ACO ZINCADO COM ROSCA SOBERBA, CABECA CHATA E FENDA SIMPLES, DIAMETRO 4,2 MM, COMPRIMENTO * 32 * MM</t>
  </si>
  <si>
    <t xml:space="preserve">JANELA DE ALUMÍNIO DE CORRER COM 3 FOLHAS PARA VIDROS, COM VIDROS, BATENTE, ACABAMENTO COM ACETATO OU BRILHANTE E FERRAGENS. EXCLUSIVE ALIZAR E CONTRAMARCO. FORNECIMENTO E INSTALAÇÃO.</t>
  </si>
  <si>
    <t xml:space="preserve">JANELA DE CORRER, EM ALUMINIO PERFIL 25, 120 X 150 CM (A X L), 4 FLS, BANDEIRA COM BASCULA, ACABAMENTO BRANCO OU BRILHANTE, BATENTE/REQUADRO DE 6 A 14 CM, COM VIDRO 4 MM, SEM GUARNICAO/ALIZAR</t>
  </si>
  <si>
    <t xml:space="preserve">JANELA DE ALUMÍNIO INTERCALANDO 2 FOLHA FIXAS E FOLHAS COM BASE FIXA + PARTE SUPERIOR BASCULANTE, TOTAL DE 10 FOLHAS, MEDIDAS DE 11,50 X 2,60 M, COM VIDRO, BATENTE E FERRAGENS. FORNECIMENTO E INSTALAÇÃO.</t>
  </si>
  <si>
    <t xml:space="preserve">JANELA FIXA, EM ALUMINIO PERFIL 20, 60 X 80 CM (A X L), BATENTE/REQUADRO DE 3 A 14 CM, COM VIDRO 4 MM, SEM GUARNICAO/ALIZAR, ACABAMENTO ALUM BRANCO OU BRILHANTE</t>
  </si>
  <si>
    <t xml:space="preserve">CAIXILHO FIXO DE ALUMÍNIO PARA VIDRO (VIDRO INCLUSO), BATENTE/ REQUADRO DE 4 A 14 CM, SEM GUARNIÇÃO/ ALIZAR, FIXAÇÃO COM PARAFUSOS, VEDAÇÃO COM SILICONE, EXCLUSIVE CONTRAMARCO - FORNECIMENTO E INSTALAÇÃO. AF_11/2024</t>
  </si>
  <si>
    <t xml:space="preserve">JANELA DE ALUMÍNIO, 2 FOLHAS, BASE FIXA + PARTE SUPERIOR BASCULANTE, COM VIDRO, BATENTE E FERRAGENS. FORNECIMENTO E INSTALAÇÃO.</t>
  </si>
  <si>
    <t xml:space="preserve">JANELA DE ALUMÍNIO, 2 FOLHAS, SENDO 1 FOLHA FIXA + 1 FOLHA LATERAL COM BASE FIXA E PARTE SUPERIOR BASCULANTE, COM VIDRO, BATENTE E FERRAGENS. FORNECIMENTO E INSTALAÇÃO.</t>
  </si>
  <si>
    <t xml:space="preserve">JANELA DE ALUMÍNIO, 3 FOLHAS, SENDO 1 FOLHA CENTRAL FIXA + 2 FOLHAS LATERAIS COM BASE FIXA E PARTE SUPERIOR BASCULANTE, COM VIDRO, BATENTE E FERRAGENS. FORNECIMENTO E INSTALAÇÃO.</t>
  </si>
  <si>
    <t xml:space="preserve">JANELA DE ALUMÍNIO, 4 FOLHAS, SENDO 2 FOLHAS CENTRAIS FIXAS + 2 FOLHAS LATERAIS COM BASE FIXA E PARTE SUPERIOR BASCULANTE, COM VIDRO, BATENTE E FERRAGENS. FORNECIMENTO E INSTALAÇÃO.</t>
  </si>
  <si>
    <t xml:space="preserve">JANELA DE ALUMÍNIO, 4 FOLHAS, SENDO 2 FOLHAS LATERAIS FIXAS + 2 FOLHAS CENTRAIS COM BASE FIXA E PARTE SUPERIOR BASCULANTE, COM VIDRO, BATENTE E FERRAGENS. FORNECIMENTO E INSTALAÇÃO.</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</si>
  <si>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</si>
  <si>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</si>
  <si>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JG</t>
  </si>
  <si>
    <t xml:space="preserve">DOBRADICA EM ACO/FERRO, 3 1/2" X 3", E= 1,9 A 2 MM, COM ANEL, CROMADO OU ZINCADO, TAMPA BOLA, COM PARAFUSOS</t>
  </si>
  <si>
    <t xml:space="preserve">FECHADURA ESPELHO PARA PORTA EXTERNA, EM ACO INOX (MAQUINA, TESTA E CONTRA-TESTA) E EM ZAMAC (MACANETA, LINGUETA E TRINCOS) COM ACABAMENTO CROMADO, MAQUINA DE 55 MM, INCLUINDO CHAVE TIPO CILINDRO</t>
  </si>
  <si>
    <t xml:space="preserve">GUARNICAO / ALIZAR / VISTA LISA EM MADEIRA MACICA, PARA PORTA, E = *1* CM, L = *5* CM, CEDRINHO / ANGELIM COMERCIAL / TAURI/ CURUPIXA / PEROBA / CUMARU OU EQUIVALENTE DA REGIAO</t>
  </si>
  <si>
    <t xml:space="preserve">PARAFUSO ROSCA SOBERBA ZINCADO CABECA CHATA FENDA SIMPLES 3,5 X 25 MM (1 ")</t>
  </si>
  <si>
    <t xml:space="preserve">PORTA DE MADEIRA, FOLHA MEDIA (NBR 15930) DE 800 X 2100 MM, DE 35 MM A 40 MM DE ESPESSURA, NUCLEO SEMI-SOLIDO (SARRAFEADO), CAPA LISA EM HDF, ACABAMENTO EM PRIMER PARA PINTURA</t>
  </si>
  <si>
    <t xml:space="preserve">PREGO DE ACO POLIDO COM CABECA 12 X 12</t>
  </si>
  <si>
    <t xml:space="preserve">PREGO DE ACO POLIDO SEM CABECA 15 X 15 (1 1/4 X 13)</t>
  </si>
  <si>
    <t xml:space="preserve">TINTA ASFALTICA IMPERMEABILIZANTE DISPERSA EM AGUA, PARA MATERIAIS CIMENTICIOS</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</si>
  <si>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</si>
  <si>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PORTA DE MADEIRA, FOLHA MEDIA (NBR 15930) DE 900 X 2100 MM, DE 35 MM A 40 MM DE ESPESSURA, NUCLEO SEMI-SOLIDO (SARRAFEADO), CAPA LISA EM HDF, ACABAMENTO EM PRIMER PARA PINTURA</t>
  </si>
  <si>
    <t xml:space="preserve">KIT DE PORTA DE MADEIRA DE CORRER PARA PINTURA, SEMI-OCA (LEVE OU MÉDIA), PADRÃO MÉDIO, 90X210CM, ESPESSURA DE 3,5CM, ITENS INCLUSOS: DOBRADIÇAS, MONTAGEM E INSTALAÇÃO DO BATENTE, FECHADURA COM EXECUÇÃO DO FURO - FORNECIMENTO E INSTALAÇÃO.</t>
  </si>
  <si>
    <t xml:space="preserve">un</t>
  </si>
  <si>
    <t xml:space="preserve">FECHO / FECHADURA COM PUXADOR CONCHA, COM TRANCA TIPO TRAVA, PARA JANELA / PORTA DE CORRER (INCLUI TESTA, FECHADURA, PUXADOR) - COMPLETA</t>
  </si>
  <si>
    <t xml:space="preserve">ROLDANA CONCAVA DUPLA, 4 RODAS, PARA PORTA DE CORRER, EM ZAMAC COM CHAPA DE ACO, ROLAMENTO INTERNO BLINDADO DE ACO REVESTIDO EM NYLON</t>
  </si>
  <si>
    <t xml:space="preserve">TRILHO PANTOGRAFICO CONCAVO, TIPO U, EM ALUMINIO, COM DIMENSOES DE APROX *35 X 35* MM, PARA ROLDANA DE PORTA DE CORRER</t>
  </si>
  <si>
    <t xml:space="preserve">PORTA DE ABRIR, EM VIDRO TEMPERADO,100X220 CM, ESPESSURA 10 MM, INCLUSIVE ACESSÓRIOS.</t>
  </si>
  <si>
    <t xml:space="preserve">CONJ. DE FERRAGENS PARA PORTA DE VIDRO TEMPERADO, EM ZAMAC CROMADO, CONTEMPLANDO DOBRADICA INF., DOBRADICA SUP., PIVO PARA DOBRADICA INF., PIVO PARA DOBRADICA SUP., FECHADURA CENTRAL EM ZAMC. CROMADO, CONTRA FECHADURA DE PRESSAO</t>
  </si>
  <si>
    <t xml:space="preserve">VIDRO TEMPERADO INCOLOR PARA PORTA DE ABRIR, E = 10 MM (SEM FERRAGENS E SEM COLOCACAO)</t>
  </si>
  <si>
    <t xml:space="preserve">PORTA DE ABRIR EM VIDRO TEMPERADO, 2 FOLHAS, 180X210 CM, ESPESSURA 10 MM, INCLUSIVE ACESSÓRIOS.</t>
  </si>
  <si>
    <t xml:space="preserve">PORTA COM ABERTURA AUTOMATIZADA, DE CORRER EM VIDRO TEMPERADO, 2 FOLHAS DE 100X210 CM, ESPESSURA 10 MM, INCLUSIVE ACESSÓRIOS.</t>
  </si>
  <si>
    <t xml:space="preserve">INS-05282064</t>
  </si>
  <si>
    <t xml:space="preserve">AUTOMATIZADOR DE PORTA DESLIZANTE PD300</t>
  </si>
  <si>
    <t xml:space="preserve">INS-11681572</t>
  </si>
  <si>
    <t xml:space="preserve">PORTA DE CORRER EM VIDRO TEMPERADO, 2 FOLHAS, 200X210 CM, ESPESSURA 10MM, INCLUSO TRILHO SUPERIOR, GUIA, ROLDANAS, BATEDORES, FECHADURA, CONTRA-FECHADURA E PUXADOR.</t>
  </si>
  <si>
    <t xml:space="preserve">PORTA EM ALUMÍNIO DE ABRIR TIPO VENEZIANA COM GUARNIÇÃO, FIXAÇÃO COM PARAFUSOS - FORNECIMENTO E INSTALAÇÃO. AF_12/2019</t>
  </si>
  <si>
    <t xml:space="preserve">GUARNICAO / MOLDURA / ARREMATE DE ACABAMENTO PARA ESQUADRIA, EM ALUMINIO PERFIL 25, ACABAMENTO ANODIZADO BRANCO OU BRILHANTE, PARA 1 FACE</t>
  </si>
  <si>
    <t xml:space="preserve">PORTA DE ABRIR, TIPO VENEZIANA, EM ALUMINIO, ACABAMENTO ANODIZADO NATURAL, 90 CM X 210 CM (LARGURA X ALTURA), SEM GUARNICAO/ALIZAR/VISTA</t>
  </si>
  <si>
    <t xml:space="preserve">SELANTE ELASTICO MONOCOMPONENTE A BASE DE POLIURETANO (PU) PARA JUNTAS DIVERSAS</t>
  </si>
  <si>
    <t xml:space="preserve">310ML</t>
  </si>
  <si>
    <t xml:space="preserve">PORTÃO DE CORRER, MEDINDO 5,75X2,03 M, COMPOSTO POR PERFIS DE ALUMINIO ANODIZADO E PAINEL DE VIDRO TEMPERADO 10MM, COM TRILHO E ROLDANAS.</t>
  </si>
  <si>
    <t xml:space="preserve">INS-47409263</t>
  </si>
  <si>
    <t xml:space="preserve">PORTAO DE CORRER, MEDINDO 5,50 X 3,00 M, COMPOSTO POR PERFIS DE ALUMINIO ANODIZADO E CHAPA DE ALUMINIO ANODIZADO, COM TRILHO E ROLDANAS.</t>
  </si>
  <si>
    <t xml:space="preserve">INS-72500160</t>
  </si>
  <si>
    <t xml:space="preserve">PORTÃO DE CORRER, MEDINDO 5,00X2,29 M, COMPOSTO POR PERFIS DE ALUMINIO ANODIZADO E PAINEL DE VIDRO TEMPERADO 10MM, COM TRILHO E ROLDANAS.</t>
  </si>
  <si>
    <t xml:space="preserve">INS-83448302</t>
  </si>
  <si>
    <t xml:space="preserve">LIXAMENTO DE MADEIRA PARA APLICAÇÃO DE FUNDO OU PINTURA. AF_01/2021</t>
  </si>
  <si>
    <t xml:space="preserve">LIXA EM FOLHA PARA PAREDE OU MADEIRA, NUMERO 120, COR VERMELHA</t>
  </si>
  <si>
    <t xml:space="preserve">PINTURA TINTA DE ACABAMENTO (PIGMENTADA) ESMALTE SINTÉTICO ACETINADO EM MADEIRA, 3 DEMÃOS. AF_01/2021</t>
  </si>
  <si>
    <t xml:space="preserve">TINTA ESMALTE SINTETICO PREMIUM ACETINADO</t>
  </si>
  <si>
    <t xml:space="preserve">PUXADOR PARA PCD, FIXADO NA PORTA - FORNECIMENTO E INSTALAÇÃO. AF_01/2020</t>
  </si>
  <si>
    <t xml:space="preserve">BARRA DE APOIO RETA, EM ACO INOX POLIDO, COMPRIMENTO 60CM, DIAMETRO MINIMO 3 CM</t>
  </si>
  <si>
    <t xml:space="preserve">PARAFUSO NIQUELADO 3 1/2" COM ACABAMENTO CROMADO PARA FIXAR PECA SANITARIA, INCLUI PORCA CEGA, ARRUELA E BUCHA DE NYLON TAMANHO S-8</t>
  </si>
  <si>
    <t xml:space="preserve">CHAPA DE PROTEÇÃO PARA BATEDOR DE PORTA PARA PCD - FORNECIMENTO E INSTALAÇÃO.</t>
  </si>
  <si>
    <t xml:space="preserve">CHAPA ACO INOX AISI 304 NUMERO 9 (E = 4 MM), ACABAMENTO NUMERO 1 (LAMINADO A QUENTE, FOSCO)</t>
  </si>
  <si>
    <t xml:space="preserve">ALVENARIA DE VEDAÇÃO COM ELEMENTO VAZADO DE CONCRETO (COBOGÓ) DE 7X50X50CM E ARGAMASSA DE ASSENTAMENTO COM PREPARO EM BETONEIRA. AF_05/2020</t>
  </si>
  <si>
    <t xml:space="preserve">BETONEIRA, CAPACIDADE NOMINAL 600 L, CAPACIDADE DE MISTURA 360L, MOTOR ELETRICO TRIFASICO 220/380V, POTENCIA 4CV, EXCLUSO CARREGADOR</t>
  </si>
  <si>
    <t xml:space="preserve">ELEMENTO VAZADO DE CONCRETO, QUADRICULADO, 16 FUROS *50 X 50 X 7* CM</t>
  </si>
  <si>
    <t xml:space="preserve">FABRICAÇÃO E INSTALAÇÃO DE ESTRUTURA METÁLICA COMPOSTA DE PONTALETES E TERÇAS PARA TELHADOS COM ATÉ 2 ÁGUAS E COM TELHA ONDULADA DE FIBROCIMENTO, ALUMÍNIO OU PLÁSTICA EM EDIFÍCIO RESIDENCIAL DE MÚLTIPLOS PAVIMENTOS, INCLUSO TRANSPORTE VERTICAL.</t>
  </si>
  <si>
    <t xml:space="preserve">PARAFUSO, COMUM, ASTM A307, SEXTAVADO, DIAMETRO 1/2" (12,7 MM), COMPRIMENTO 1" (25,4 MM)</t>
  </si>
  <si>
    <t xml:space="preserve">PERFIL "U" ENRIJECIDO, EM CHAPA DOBRADA DE ACO LAMINADO, E = 3,75 MM, H = 200 MM, L = 75 MM (9,94 KG/M)</t>
  </si>
  <si>
    <t xml:space="preserve">TRAMA DE AÇO COMPOSTA POR TERÇAS PARA TELHADOS DE ATÉ 2 ÁGUAS PARA TELHA ONDULADA DE FIBROCIMENTO, METÁLICA, PLÁSTICA OU TERMOACÚSTICA, INCLUSO TRANSPORTE VERTICAL. AF_07/2019</t>
  </si>
  <si>
    <t xml:space="preserve">TELHAMENTO COM TELHA METÁLICA TERMOACÚSTICA E = 30 MM, COM ATÉ 2 ÁGUAS, INCLUSO IÇAMENTO. AF_07/2019</t>
  </si>
  <si>
    <t xml:space="preserve">HASTE RETA PARA GANCHO DE FERRO GALVANIZADO, COM ROSCA 1/4" X 30 CM PARA FIXACAO DE TELHA METALICA, INCLUI PORCA E ARRUELAS DE VEDACAO</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</si>
  <si>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</si>
  <si>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TELHAMENTO COM TELHA DE AÇO/ALUMÍNIO E = 0,5 MM, COM ATÉ 2 ÁGUAS, INCLUSO IÇAMENTO. AF_07/2019</t>
  </si>
  <si>
    <t xml:space="preserve">TELHA TRAPEZOIDAL EM ACO ZINCADO, SEM PINTURA, ALTURA DE APROXIMADAMENTE 40 MM, ESPESSURA DE 0,50 MM E LARGURA UTIL DE 980 MM</t>
  </si>
  <si>
    <t xml:space="preserve">CALHA EM CHAPA DE AÇO GALVANIZADO NÚMERO 24, DESENVOLVIMENTO DE 50 CM, INCLUSO TRANSPORTE VERTICAL. AF_07/2019</t>
  </si>
  <si>
    <t xml:space="preserve">CALHA QUADRADA DE CHAPA DE ACO GALVANIZADA NUM 24, CORTE 50 CM</t>
  </si>
  <si>
    <t xml:space="preserve">PREGO DE ACO POLIDO COM CABECA 18 X 27 (2 1/2 X 10)</t>
  </si>
  <si>
    <t xml:space="preserve">REBITE DE REPUXO EM ALUMINIO VAZADO, DIAMETRO 3,2 X 8 MM DE COMPRIMENTO (1KG = 1025 UNIDADES)</t>
  </si>
  <si>
    <t xml:space="preserve">SOLDA EM BARRA DE ESTANHO-CHUMBO 50/50</t>
  </si>
  <si>
    <t xml:space="preserve">CHAPIM (RUFO CAPA) EM AÇO GALVANIZADO, CORTE 33. AF_11/2020</t>
  </si>
  <si>
    <t xml:space="preserve">RUFO EXTERNO/INTERNO DE CHAPA DE ACO GALVANIZADA NUM 26, CORTE 33 CM</t>
  </si>
  <si>
    <t xml:space="preserve">RUFO EXTERNO/INTERNO EM CHAPA DE AÇO GALVANIZADO NÚMERO 26, CORTE DE 33 CM, INCLUSO IÇAMENTO. AF_07/2019</t>
  </si>
  <si>
    <t xml:space="preserve">IMPERMEABILIZAÇÃO DE SUPERFÍCIE COM MANTA ASFÁLTICA, UMA CAMADA, INCLUSIVE APLICAÇÃO DE PRIMER ASFÁLTICO, E=4MM. AF_09/2023</t>
  </si>
  <si>
    <t xml:space="preserve">GAS DE COZINHA - GLP</t>
  </si>
  <si>
    <t xml:space="preserve">MANTA ASFALTICA ELASTOMERICA EM POLIESTER 4 MM, TIPO III, CLASSE B, ACABAMENTO PP (NBR 9952)</t>
  </si>
  <si>
    <t xml:space="preserve">PRIMER PARA MANTA ASFALTICA A BASE DE ASFALTO MODIFICADO DILUIDO EM SOLVENTE, APLICACAO A FRIO</t>
  </si>
  <si>
    <t xml:space="preserve">IMPERMEABILIZAÇÃO DE SUPERFÍCIE COM MEMBRANA À BASE DE POLIURETANO, 2 DEMÃOS. AF_09/2023</t>
  </si>
  <si>
    <t xml:space="preserve">MEMBRANA IMPERMEABILIZANTE A BASE DE POLIURETANO</t>
  </si>
  <si>
    <t xml:space="preserve">PRIMER EPOXI / EPOXIDICO</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</si>
  <si>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</si>
  <si>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MECÂNICO COM BETONEIRA 400 L, APLICADO EM ÁREAS SECAS SOBRE LAJE, ADERIDO, ACABAMENTO NÃO REFORÇADO, ESPESSURA 3CM. AF_07/2021</t>
  </si>
  <si>
    <t xml:space="preserve">ADITIVO ADESIVO LIQUIDO PARA ARGAMASSAS DE REVESTIMENTOS CIMENTICIOS</t>
  </si>
  <si>
    <t xml:space="preserve">PINTURA DE DEMARCAÇÃO DE VAGA COM TINTA ACRÍLICA, E = 10 CM, APLICAÇÃO MANUAL. AF_05/2021</t>
  </si>
  <si>
    <t xml:space="preserve">FITA CREPE ROLO DE *25* MM X 50 M</t>
  </si>
  <si>
    <t xml:space="preserve">TINTA ACRILICA PREMIUM PARA PISO</t>
  </si>
  <si>
    <t xml:space="preserve">PINTURA DE SÍMBOLOS E TEXTOS COM TINTA ACRÍLICA, DEMARCAÇÃO COM FITA ADESIVA E APLICAÇÃO COM ROLO. AF_05/2021</t>
  </si>
  <si>
    <t xml:space="preserve">FORNECIMENTO E INSTALAÇÃO DE SINALIZADOR DE DEGRAUS FOTOLUMINESCENTE 7X3 CM.</t>
  </si>
  <si>
    <t xml:space="preserve">INS-26035233</t>
  </si>
  <si>
    <t xml:space="preserve">SINALIZADOR DE DEGRAUS FOTOLUMINESCENTE 7X3 CM.</t>
  </si>
  <si>
    <t xml:space="preserve">UND</t>
  </si>
  <si>
    <t xml:space="preserve">PLACA DE SINALIZAÇÃO DE VAGA PARA DEFICIENTE OU IDOSO.</t>
  </si>
  <si>
    <t xml:space="preserve">ABRACADEIRA EM ACO PARA AMARRACAO DE ELETRODUTOS, TIPO D, COM 4" E PARAFUSO DE FIXACAO</t>
  </si>
  <si>
    <t xml:space="preserve">INS-72290169</t>
  </si>
  <si>
    <t xml:space="preserve">PLACA DE SINALIZAÇÃO PARA  VAGAS PARA DEFICIENTE OU IDOSO</t>
  </si>
  <si>
    <t xml:space="preserve">POSTE CONICO CONTINUO EM ACO GALVANIZADO, RETO, FLANGEADO, H = 3 M, DIAMETRO INFERIOR = *95* MM</t>
  </si>
  <si>
    <t xml:space="preserve">PISO TÁTIL ALERTA, ELEMENTOS EM ABS REVESTIDOS DE INOX - FORNECIMENTO E INSTALAÇÃO</t>
  </si>
  <si>
    <t xml:space="preserve">INS-79337735</t>
  </si>
  <si>
    <t xml:space="preserve">ELEMENTO TÁTIL ALERTA INOX ADESIVADO (100 PEÇAS)</t>
  </si>
  <si>
    <t xml:space="preserve">PISO TÁTIL DIRECIONAL, ELEMENTOS EM ABS REVESTIDOS DE INOX - FORNECIMENTO E INSTALAÇÃO</t>
  </si>
  <si>
    <t xml:space="preserve">INS-73897311</t>
  </si>
  <si>
    <t xml:space="preserve">ELEMENTO TÁTIL DIRECIONAL INOX ADESIVADO (12 PEÇAS)</t>
  </si>
  <si>
    <t xml:space="preserve">REVESTIMENTO CERÂMICO PARA PISO COM PLACAS TIPO PORCELANATO DE DIMENSÕES 60X60 CM APLICADA EM AMBIENTES DE ÁREA MENOR QUE 5 M². AF_02/2023_PE</t>
  </si>
  <si>
    <t xml:space="preserve">PISO EM PORCELANATO, RETIFICADO, LISO, MONOCOLOR, ACETINADO OU POLIDO, FORMATO MAIOR QUE 2500 ATE 6400 CM2</t>
  </si>
  <si>
    <t xml:space="preserve">REJUNTE CIMENTICIO, QUALQUER COR</t>
  </si>
  <si>
    <t xml:space="preserve">AZULEJISTA OU LADRILHEIRO (HORISTA)</t>
  </si>
  <si>
    <t xml:space="preserve">REVESTIMENTO CERÂMICO PARA PISO COM PLACAS TIPO PORCELANATO DE DIMENSÕES 60X60 CM APLICADA EM AMBIENTES DE ÁREA MAIOR QUE 10 M². AF_02/2023_PE</t>
  </si>
  <si>
    <t xml:space="preserve">REVESTIMENTO CERÂMICO PARA PISO COM PLACAS TIPO ESMALTADA EXTRA DE DIMENSÕES 30X30 CM APLICADA EM AMBIENTES DE ÁREA MENOR QUE 5 M2.</t>
  </si>
  <si>
    <t xml:space="preserve">ARGAMASSA COLANTE AC I PARA CERAMICAS</t>
  </si>
  <si>
    <t xml:space="preserve">PISO EM CERAMICA ESMALTADA, COR LISA, PEI MAIOR OU IGUAL A 4, FORMATO MENOR OU IGUAL A 2025 CM2</t>
  </si>
  <si>
    <t xml:space="preserve">REVESTIMENTO CERÂMICO PARA PISO COM PLACAS TIPO ESMALTADA EXTRA DE DIMENSÕES 30X30 CM APLICADA EM AMBIENTES DE ÁREA MAIOR QUE 10 M2.</t>
  </si>
  <si>
    <t xml:space="preserve">ACABAMENTO POLIDO PARA PISO DE CONCRETO ARMADO OU LAJE SOBRE SOLO DE ALTA RESISTÊNCIA. AF_09/2021</t>
  </si>
  <si>
    <t xml:space="preserve">ALISADORA DE CONCRETO COM MOTOR A GASOLINA DE 5,5 HP, PESO COM MOTOR DE 78 KG, 4 PAS</t>
  </si>
  <si>
    <t xml:space="preserve">ENDURECEDOR MINERAL DE BASE CIMENTICIA PARA PISO DE CONCRETO</t>
  </si>
  <si>
    <t xml:space="preserve">PISO EM GRANITO APLICADO EM AMBIENTES INTERNOS. AF_09/2020</t>
  </si>
  <si>
    <t xml:space="preserve">PISO EM GRANITO, POLIDO, TIPO ANDORINHA/ QUARTZ/ CASTELO/ CORUMBA OU OUTROS EQUIVALENTES DA REGIAO, FORMATO MENOR OU IGUAL A 3025 CM2, E= *2* CM</t>
  </si>
  <si>
    <t xml:space="preserve">EXECUÇÃO DE PASSEIO (CALÇADA) OU PISO DE CONCRETO COM CONCRETO MOLDADO IN LOCO, FEITO EM OBRA, ACABAMENTO CONVENCIONAL, ESPESSURA 8 CM, ARMADO. AF_08/2022</t>
  </si>
  <si>
    <t xml:space="preserve">EXECUÇÃO DE PASSEIO EM PISO INTERTRAVADO, COM BLOCO RETANGULAR COR NATURAL DE 20 X 10 CM, ESPESSURA 8 CM.</t>
  </si>
  <si>
    <t xml:space="preserve">BLOQUETE/PISO INTERTRAVADO DE CONCRETO - MODELO ONDA/16 FACES/RETANGULAR/TIJOLINHO/PAVER/HOLANDES/PARALELEPIPEDO, *20 X 10* CM, E = 8 CM, RESISTENCIA DE 35 MPA, COR NATURAL</t>
  </si>
  <si>
    <t xml:space="preserve">PO DE PEDRA (POSTO PEDREIRA/FORNECEDOR, SEM FRETE)</t>
  </si>
  <si>
    <t xml:space="preserve">CALCETEIRO / RASTELEIRO (HORISTA)</t>
  </si>
  <si>
    <t xml:space="preserve">ASSENTAMENTO DE GUIA (MEIO-FIO) EM TRECHO RETO, CONFECCIONADA EM CONCRETO PRÉ-FABRICADO, DIMENSÕES 80X08X08X25 CM (COMPRIMENTO X BASE INFERIOR X BASE SUPERIOR X ALTURA). AF_01/2024</t>
  </si>
  <si>
    <t xml:space="preserve">MEIO-FIO OU GUIA DE CONCRETO PRE-MOLDADO, COMP 80 CM, *25 X 08/08* CM (H X L1/L2)</t>
  </si>
  <si>
    <t xml:space="preserve">ASSENTAMENTO DE GUIA (MEIO-FIO) EM TRECHO CURVO, CONFECCIONADA EM CONCRETO PRÉ-FABRICADO, DIMENSÕES 80X08X08X25 CM (COMPRIMENTO X BASE INFERIOR X BASE SUPERIOR X ALTURA). AF_01/2024</t>
  </si>
  <si>
    <t xml:space="preserve">PINTURA DE PISO COM TINTA EPÓXI, APLICAÇÃO MANUAL, 2 DEMÃOS, INCLUSO PRIMER EPÓXI. AF_05/2021</t>
  </si>
  <si>
    <t xml:space="preserve">DILUENTE EPOXI</t>
  </si>
  <si>
    <t xml:space="preserve">TINTA EPOXI BASE AGUA PREMIUM, BRANCA</t>
  </si>
  <si>
    <t xml:space="preserve">CHAPISCO APLICADO EM ALVENARIA (COM PRESENÇA DE VÃOS) E ESTRUTURAS DE CONCRETO DE FACHADA, COM COLHER DE PEDREIRO. ARGAMASSA TRAÇO 1:3 COM PREPARO EM BETONEIRA 400L. AF_10/2022</t>
  </si>
  <si>
    <t xml:space="preserve">AREIA GROSSA - POSTO JAZIDA/FORNECEDOR (RETIRADO NA JAZIDA, SEM TRANSPORTE)</t>
  </si>
  <si>
    <t xml:space="preserve">EMBOÇO, EM ARGAMASSA TRAÇO 1:2:8, PREPARO MANUAL, APLICADO MANUALMENTE EM PAREDES INTERNAS DE AMBIENTES COM ÁREA ENTRE 5M² E 10M², E = 10MM, COM TALISCAS. AF_03/2024</t>
  </si>
  <si>
    <t xml:space="preserve">MASSA ÚNICA, EM ARGAMASSA TRAÇO 1:2:8, PREPARO MANUAL, APLICADA MANUALMENTE EM PAREDES INTERNAS DE AMBIENTES COM ÁREA ENTRE 5M² E 10M², E = 10MM, COM TALISCAS. AF_03/2024</t>
  </si>
  <si>
    <t xml:space="preserve">EMASSAMENTO COM MASSA ACRÍLICA, APLICAÇÃO EM PAREDE, DUAS DEMÃOS, LIXAMENTO MANUAL.</t>
  </si>
  <si>
    <t xml:space="preserve">MASSA ACRILICA PARA SUPERFICIES INTERNAS E EXTERNAS</t>
  </si>
  <si>
    <t xml:space="preserve">REVESTIMENTO CERÂMICO PARA PAREDES INTERNAS COM PLACAS DE AZULEJO ACETINADO, BORDA BOLD, DE DIMENSÕES 60X30 CM APLICADAS NA ALTURA INTEIRA DAS PAREDES.</t>
  </si>
  <si>
    <t xml:space="preserve">REVESTIMENTO EM CERAMICA ESMALTADA, FORMATO MAIOR A 2025 CM2</t>
  </si>
  <si>
    <t xml:space="preserve">REVESTIMENTO CERÂMICO PARA PAREDES INTERNAS COM PLACAS TIPO AZULEJO ACETINADO, DE DIMENSÕES 30X30 CM APLICADAS NA ALTURA INTEIRA DAS PAREDES.</t>
  </si>
  <si>
    <t xml:space="preserve">REVESTIMENTO PARA PAREDE, EM CERAMICA ESMALTADA, FORMATO MENOR OU IGUAL A 2025 CM2</t>
  </si>
  <si>
    <t xml:space="preserve">FUNDO SELADOR ACRÍLICO, APLICAÇÃO MANUAL EM PAREDE, UMA DEMÃO. AF_04/2023</t>
  </si>
  <si>
    <t xml:space="preserve">SELADOR ACRILICO OPACO PREMIUM INTERIOR/EXTERIOR</t>
  </si>
  <si>
    <t xml:space="preserve">PINTURA LÁTEX ACRÍLICA ACABAMENTO ACETINADO, APLICAÇÃO MANUAL EM PAREDES, DUAS DEMÃOS.</t>
  </si>
  <si>
    <t xml:space="preserve">INS-24698659</t>
  </si>
  <si>
    <t xml:space="preserve">TINTA LATEX ACRILICA ACABAMENTO ACETINADO, COR BRANCO GELO</t>
  </si>
  <si>
    <t xml:space="preserve">TEXTURA ACRÍLICA, APLICAÇÃO MANUAL EM PAREDE, UMA DEMÃO.</t>
  </si>
  <si>
    <t xml:space="preserve">INS-79981298</t>
  </si>
  <si>
    <t xml:space="preserve">TEXTURA ACRÍLICA LONDRES LEINERTEX</t>
  </si>
  <si>
    <t xml:space="preserve">FORNECIMENTO E INSTALAÇÃO DE LETREIRO EM AÇO INOXIDÁVEL, ACM OU ACRÍLICO, COM LETRAS DE FONTE BEBASNEUE-REGULAR, ESCRITA "Justiça do trabalho" TAMANHO 45CM, E FONTE ALLER_STD_RG, ESCRITA "Fórum Trabalhista de Rio Verde" TAMANHO 22CM.</t>
  </si>
  <si>
    <t xml:space="preserve">INS-67260887</t>
  </si>
  <si>
    <t xml:space="preserve">FITA DE LED</t>
  </si>
  <si>
    <t xml:space="preserve">INS-46003347</t>
  </si>
  <si>
    <t xml:space="preserve">FORNECIMENTO E INSTALAÇÃO DE 2 UNIDADE DE LOGO EM AÇO INOXIDÁVEL, ACM OU ACRÍLICO, PADRÃODE FORMA E PALETA DE CORES DO TRT 18, TAMANHO DE ACORDO COM COM A NECESSIDADE, CONFORME O PROJETO ARQUITETÔNICO.</t>
  </si>
  <si>
    <t xml:space="preserve">INS-31137921</t>
  </si>
  <si>
    <t xml:space="preserve">PLACA DE SINALIZAÇÃO EM ACRÍLICO PARA PORTA DE BANHEIRO, COM SIMBOLOGIA DE BANHEIRO UNISEX, ACESSÍVEL E OSTOMIZADO.</t>
  </si>
  <si>
    <t xml:space="preserve">PLACA DE ACRILICO TRANSPARENTE ADESIVADA PARA SINALIZACAO DE PORTAS, BORDA POLIDA, DE *25 X 8*, E = 6 MM (NAO INCLUI ACESSORIOS PARA FIXACAO)</t>
  </si>
  <si>
    <t xml:space="preserve">PLACA DE SINALIZAÇÃO TATIL EM ALTO RELEVO COM BRAILE, EM ACRÍLICO, 20X10 CM, FIXADA EM PAREDE.</t>
  </si>
  <si>
    <t xml:space="preserve">INS-28435040</t>
  </si>
  <si>
    <t xml:space="preserve">PLACA DE SINALIZAÇÃO TÁTIL EM ALTO RELEVO COM BRAILE, ACRÍLICO, 20X10 CM</t>
  </si>
  <si>
    <t xml:space="preserve">PLACA INDICATIVA DE PAVIMENTO EM ALTO RELEVO, FIXADA EM PAREDE.</t>
  </si>
  <si>
    <t xml:space="preserve">INS-22612640</t>
  </si>
  <si>
    <t xml:space="preserve">PLACA INDICATIVA DE PAVIMENTO EM ALTO RELEVO</t>
  </si>
  <si>
    <t xml:space="preserve">PLACA INDICATIVA DE PAVIMENTO EM BRAILE INSTALADA EM CORRIMÃO.</t>
  </si>
  <si>
    <t xml:space="preserve">INS-36324740</t>
  </si>
  <si>
    <t xml:space="preserve">PLACA INDICATIVA DE PAVIMENTO EM BRAILE</t>
  </si>
  <si>
    <t xml:space="preserve">LIXAMENTO MANUAL EM SUPERFÍCIES METÁLICAS EM OBRA. AF_01/2020</t>
  </si>
  <si>
    <t xml:space="preserve">LIXA EM FOLHA PARA FERRO, NUMERO 150</t>
  </si>
  <si>
    <t xml:space="preserve">PINTURA COM TINTA ACRÍLICA DE ACABAMENTO APLICADA A ROLO OU PINCEL SOBRE SUPERFÍCIES METÁLICAS (EXCETO PERFIL) EXECUTADO EM OBRA (02 DEMÃOS). AF_01/2020</t>
  </si>
  <si>
    <t xml:space="preserve">TINTA ESMALTE BASE AGUA PREMIUM ACETINADO</t>
  </si>
  <si>
    <t xml:space="preserve">EMASSAMENTO COM MASSA ACRÍLICA, APLICAÇÃO EM TETO, DUAS DEMÃOS, LIXAMENTO MANUAL.</t>
  </si>
  <si>
    <t xml:space="preserve">FUNDO SELADOR ACRÍLICO, APLICAÇÃO MANUAL EM TETO, UMA DEMÃO. AF_04/2023</t>
  </si>
  <si>
    <t xml:space="preserve">PINTURA LÁTEX ACRÍLICA ACABAMENTO ACETINADO, APLICAÇÃO MANUAL EM TETO, DUAS DEMÃOS.</t>
  </si>
  <si>
    <t xml:space="preserve">FORRO EM PLACAS DE GESSO, PARA AMBIENTES COMERCIAIS. AF_08/2023_PS</t>
  </si>
  <si>
    <t xml:space="preserve">ARAME GALVANIZADO 18 BWG, D = 1,24MM (0,009 KG/M)</t>
  </si>
  <si>
    <t xml:space="preserve">GESSO EM PO PARA REVESTIMENTOS/MOLDURAS/SANCAS E USO GERAL</t>
  </si>
  <si>
    <t xml:space="preserve">PLACA DE GESSO PARA FORRO, *60 X 60* CM, ESPESSURA DE 12 MM (SEM COLOCACAO)</t>
  </si>
  <si>
    <t xml:space="preserve">SISAL EM FIBRA / ESTOPA SISAL PARA GESSO</t>
  </si>
  <si>
    <t xml:space="preserve">FORNECIMENTO E INSTALAÇÃO DE ELEVADOR PARA 2 PARADAS, TAMANHO DA CABINE DE 1,10 X 1,40 M, ENTRADA E SAÍDA ÚNICAS.</t>
  </si>
  <si>
    <t xml:space="preserve">INS-70592870</t>
  </si>
  <si>
    <t xml:space="preserve">FORNECIMENTO E INSTALAÇÃO DE ELEVADOR PARA 2 PARADAS, TAMANHO DA CABINE DE 1,10 X 1,40 M, COM LADO OPOSTO A PORTA DO TIPO PANORÂMICO, ENTRADA E SAÍDA ÚNICAS.</t>
  </si>
  <si>
    <t xml:space="preserve">INS-75036669</t>
  </si>
  <si>
    <t xml:space="preserve">CONJUNTO COMPLETO DE VASO SANITÁRIO SIFONADO COM CAIXA ACOPLADA LOUÇA BRANCA - FORNECIMENTO E INSTALAÇÃO.</t>
  </si>
  <si>
    <t xml:space="preserve">ANEL DE VEDACAO, PVC FLEXIVEL, 100 MM, PARA SAIDA DE BACIA / VASO SANITARIO</t>
  </si>
  <si>
    <t xml:space="preserve">BACIA SANITARIA (VASO) COM CAIXA ACOPLADA, SIFAO APARENTE, DE LOUCA BRANCA (SEM ASSENTO)</t>
  </si>
  <si>
    <t xml:space="preserve">ENGATE/RABICHO FLEXIVEL PLASTICO (PVC OU ABS) BRANCO 1/2" X 30 CM</t>
  </si>
  <si>
    <t xml:space="preserve">FITA VEDA ROSCA, EM PTFE, ROLO DE 18 MM X 10 M (L X C)</t>
  </si>
  <si>
    <t xml:space="preserve">PARAFUSO NIQUELADO COM ACABAMENTO CROMADO PARA FIXAR PECA SANITARIA, INCLUI PORCA CEGA, ARRUELA E BUCHA DE NYLON TAMANHO S-10</t>
  </si>
  <si>
    <t xml:space="preserve">REJUNTE EPOXI, QUALQUER COR</t>
  </si>
  <si>
    <t xml:space="preserve">CONJUNTO COMPLETO DE VASO SANITARIO SIFONADO CONVENCIONAL COM LOUÇA BRANCA - FORNECIMENTO E INSTALAÇÃO.</t>
  </si>
  <si>
    <t xml:space="preserve">BACIA SANITARIA (VASO) CONVENCIONAL, DE LOUCA BRANCA, SIFAO APARENTE, SAIDA VERTICAL (SEM ASSENTO)</t>
  </si>
  <si>
    <t xml:space="preserve">BOLSA DE LIGACAO EM PVC FLEXIVEL PARA VASO SANITARIO 40 MM (1 1/2")</t>
  </si>
  <si>
    <t xml:space="preserve">ASSENTO SANITÁRIO CONVENCIONAL - FORNECIMENTO E INSTALACAO. AF_01/2020</t>
  </si>
  <si>
    <t xml:space="preserve">ASSENTO SANITARIO DE PLASTICO, TIPO CONVENCIONAL</t>
  </si>
  <si>
    <t xml:space="preserve">MICTÓRIO SIFONADO LOUÇA BRANCA - PADRÃO MÉDIO - FORNECIMENTO E INSTALAÇÃO. AF_01/2020</t>
  </si>
  <si>
    <t xml:space="preserve">CONJUNTO DE LIGACAO AJUSTAVEL, PARA VASO / BACIA SANITARIA, EM PLASTICO BRANCO, COM TUBO, CANOPLA E ESPUDE</t>
  </si>
  <si>
    <t xml:space="preserve">MICTORIO INDIVIDUAL, SIFONADO, DE LOUCA BRANCA, SEM COMPLEMENTOS</t>
  </si>
  <si>
    <t xml:space="preserve">VALVULA DE DESCARGA EM METAL CROMADO PARA MICTORIO COM ACIONAMENTO POR PRESSAO E FECHAMENTO AUTOMATICO</t>
  </si>
  <si>
    <t xml:space="preserve">BANCADA DE GRANITO CINZA POLIDO, DE 0,50 X 0,90 M, PARA LAVATÓRIO, 1 CUBA - FORNECIMENTO E INSTALAÇÃO.</t>
  </si>
  <si>
    <t xml:space="preserve">GRANITO PARA BANCADA, POLIDO, TIPO ANDORINHA/ QUARTZ/ CASTELO/ CORUMBA OU OUTROS EQUIVALENTES DA REGIAO, E= *2,5* CM</t>
  </si>
  <si>
    <t xml:space="preserve">MASSA PLASTICA PARA MARMORE/GRANITO</t>
  </si>
  <si>
    <t xml:space="preserve">RODAPE OU RODABANCADA EM GRANITO, POLIDO, TIPO ANDORINHA/ QUARTZ/ CASTELO/ CORUMBA OU OUTROS EQUIVALENTES DA REGIAO, H= 10 CM, E= *2,0* CM</t>
  </si>
  <si>
    <t xml:space="preserve">SUPORTE MAO-FRANCESA EM ACO, ABAS IGUAIS 30 CM, CAPACIDADE MINIMA 60 KG, BRANCO</t>
  </si>
  <si>
    <t xml:space="preserve">BANCADA DE GRANITO CINZA POLIDO, DE 2,40 X 0,50 M, PARA LAVATÓRIO, 3 CUBAS - FORNECIMENTO E INSTALAÇÃO.</t>
  </si>
  <si>
    <t xml:space="preserve">CUBA DE EMBUTIR OVAL EM LOUÇA BRANCA, 35 X 50CM OU EQUIVALENTE, INCLUSO VÁLVULA E SIFÃO TIPO GARRAFA EM METAL CROMADO - FORNECIMENTO E INSTALAÇÃO. AF_01/2020</t>
  </si>
  <si>
    <t xml:space="preserve">LAVATORIO / CUBA DE EMBUTIR, OVAL, DE LOUCA BRANCA, SEM LADRAO, DIMENSOES *50 X 35* CM (L X C)</t>
  </si>
  <si>
    <t xml:space="preserve">SIFAO EM METAL CROMADO PARA PIA OU LAVATORIO, 1 X 1.1/2"</t>
  </si>
  <si>
    <t xml:space="preserve">VALVULA DE ESCOAMENTO PARA TANQUE, EM METAL CROMADO, 1.1/2 ", SEM LADRAO, COM TAMPAO PLASTICO</t>
  </si>
  <si>
    <t xml:space="preserve">TORNEIRA CROMADA DE MESA, 1/2" OU 3/4", PARA LAVATÓRIO, TEMPORIZADA PRESSAO FECHAMENTO AUTOMATICO - FORNECIMENTO E INSTALAÇÃO.</t>
  </si>
  <si>
    <t xml:space="preserve">TORNEIRA METALICA CROMADA DE MESA, PARA LAVATORIO, TEMPORIZADA PRESSAO FECHAMENTO AUTOMATICO, BICA BAIXA</t>
  </si>
  <si>
    <t xml:space="preserve">ESPELHO CRISTAL, ESPESSURA 4 MM, SEM MOLDURA, APARAFUSADO COM BOTÃO FRANCÊS, COM ÁREA MENOR OU IGUAL A 1,0 M2.</t>
  </si>
  <si>
    <t xml:space="preserve">INS-37123038</t>
  </si>
  <si>
    <t xml:space="preserve">BOTÃO FRANCÊS PARA ESPELHO</t>
  </si>
  <si>
    <t xml:space="preserve">BUCHA DE NYLON SEM ABA S6</t>
  </si>
  <si>
    <t xml:space="preserve">ESPELHO CRISTAL E = 4 MM</t>
  </si>
  <si>
    <t xml:space="preserve">SABONETEIRA PLASTICA TIPO DISPENSER PARA SABONETE LIQUIDO COM RESERVATORIO 800 A 1500 ML, INCLUSO FIXAÇÃO. AF_01/2020</t>
  </si>
  <si>
    <t xml:space="preserve">SABONETEIRA PLASTICA TIPO DISPENSER PARA SABONETE LIQUIDO COM RESERVATORIO 800 A 1500 ML</t>
  </si>
  <si>
    <t xml:space="preserve">PAPELEIRA PLASTICA DE PAREDE, TIPO DISPENSER PARA PAPEL HIGIENICO, INCLUSO FIXAÇÃO.</t>
  </si>
  <si>
    <t xml:space="preserve">PAPELEIRA PLASTICA TIPO DISPENSER PARA PAPEL HIGIENICO ROLAO</t>
  </si>
  <si>
    <t xml:space="preserve">TOALHEIRO PLASTICO TIPO DISPENSER PARA PAPEL TOALHA, INSTALADO NA PAREDE, INCLUSO FIXAÇÃO.</t>
  </si>
  <si>
    <t xml:space="preserve">TOALHEIRO PLASTICO TIPO DISPENSER PARA PAPEL TOALHA INTERFOLHADO</t>
  </si>
  <si>
    <t xml:space="preserve">ASSENTO SANITÁRIO PARA PCD - FORNECIMENTO E INSTALACAO.</t>
  </si>
  <si>
    <t xml:space="preserve">INS-02952270</t>
  </si>
  <si>
    <t xml:space="preserve">ASSENTO SANITARIO DE PLASTICO, COM ABERTURA FRONTAL, COM TAMPO E PARAFUSOS DE FIXACAO.</t>
  </si>
  <si>
    <t xml:space="preserve">LAVATÓRIO PNE, EM LOUÇA BRANCA, SUSPENSO, 29,5 X 39CM OU EQUIVALENTE, PADRÃO POPULAR, INCLUSO SIFÃO TIPO GARRAFA EM PVC, VÁLVULA E ENGATE FLEXÍVEL 30CM EM PLÁSTICO E TORNEIRA CROMADA DE MESA, AUTOMÁTICA PNE - FORNECIMENTO E INSTALAÇÃO.</t>
  </si>
  <si>
    <t xml:space="preserve">LAVATORIO DE LOUCA BRANCA, SUSPENSO (SEM COLUNA), DIMENSOES *40 X 30* CM</t>
  </si>
  <si>
    <t xml:space="preserve">SIFAO PLASTICO TIPO COPO PARA TANQUE, 1.1/4 X 1.1/2"</t>
  </si>
  <si>
    <t xml:space="preserve">INS-01691770</t>
  </si>
  <si>
    <t xml:space="preserve">TORNEIRA CROMADA DE MESA, 1/2", AUTOMÁTICA, PNE, PARA LAVATÓRIO</t>
  </si>
  <si>
    <t xml:space="preserve">VALVULA EM PLASTICO BRANCO PARA TANQUE OU LAVATORIO 1 ", SEM UNHO E SEM LADRAO</t>
  </si>
  <si>
    <t xml:space="preserve">BARRA DE APOIO RETA, EM ACO INOX POLIDO, COMPRIMENTO 80 CM, FIXADA NA PAREDE - FORNECIMENTO E INSTALAÇÃO. AF_01/2020</t>
  </si>
  <si>
    <t xml:space="preserve">BARRA DE APOIO RETA, EM ACO INOX POLIDO, COMPRIMENTO 80CM, DIAMETRO MINIMO 3 CM</t>
  </si>
  <si>
    <t xml:space="preserve">BARRA DE APOIO RETA, EM ACO INOX POLIDO, COMPRIMENTO 70 CM, FIXADA NA PAREDE - FORNECIMENTO E INSTALAÇÃO. AF_01/2020</t>
  </si>
  <si>
    <t xml:space="preserve">BARRA DE APOIO RETA, EM ACO INOX POLIDO, COMPRIMENTO 70CM, DIAMETRO MINIMO 3 CM</t>
  </si>
  <si>
    <t xml:space="preserve">BARRA DE APOIO RETA, EM ACO INOX POLIDO, COMPRIMENTO 40CM, FIXADA NA PAREDE - FORNECIMENTO E INSTALAÇÃO.</t>
  </si>
  <si>
    <t xml:space="preserve">INS-37604710</t>
  </si>
  <si>
    <t xml:space="preserve">BARRA DE APOIO RETA, INOX, 40CM</t>
  </si>
  <si>
    <t xml:space="preserve">BARRA DE APOIO PARA LAVATÓRIO, EM ACO INOX POLIDO, COMPRIMENTO 25CM, FIXADA NA PAREDE - FORNECIMENTO EINSTALAÇÃO.</t>
  </si>
  <si>
    <t xml:space="preserve">INS-32157253</t>
  </si>
  <si>
    <t xml:space="preserve">BARRA DE APOIO PARA LAVATÓRIO, EM INOX, 25 CM</t>
  </si>
  <si>
    <t xml:space="preserve">BANCADA DE GRANITO CINZA POLIDO, DE 2,25 X 0,55 M, PARA PIA DE COZINHA - FORNECIMENTO E INSTALAÇÃO.</t>
  </si>
  <si>
    <t xml:space="preserve">SUPORTE MAO-FRANCESA EM ACO, ABAS IGUAIS 40 CM, CAPACIDADE MINIMA 70 KG, BRANCO</t>
  </si>
  <si>
    <t xml:space="preserve">BANCADA DE GRANITO CINZA POLIDO, DE 1,30 X 0,55 M, PARA PIA DE COZINHA - FORNECIMENTO E INSTALAÇÃO.</t>
  </si>
  <si>
    <t xml:space="preserve">CUBA DE EMBUTIR DE AÇO INOXIDÁVEL MÉDIA, INCLUSO VÁLVULA TIPO AMERICANA EM METAL CROMADO E SIFÃO FLEXÍVEL EM PVC - FORNECIMENTO E INSTALAÇÃO. AF_01/2020</t>
  </si>
  <si>
    <t xml:space="preserve">CUBA ACO INOX (AISI 304) DE EMBUTIR COM VALVULA 3 1/2 ", DE *46 X 30 X 12* CM</t>
  </si>
  <si>
    <t xml:space="preserve">SIFAO / TUBO SINFONADO EXTENSIVEL/SANFONADO, UNIVERSAL/ SIMPLES, ENTRE *50 A 70* CM, DE PLASTICO BRANCO</t>
  </si>
  <si>
    <t xml:space="preserve">VALVULA EM METAL CROMADO PARA PIA AMERICANA 3.1/2 X 1.1/2"</t>
  </si>
  <si>
    <t xml:space="preserve">TORNEIRA CROMADA TUBO MÓVEL, DE MESA, 1/2" OU 3/4", PARA PIA DE COZINHA, PADRÃO ALTO - FORNECIMENTO E INSTALAÇÃO. AF_01/2020</t>
  </si>
  <si>
    <t xml:space="preserve">TORNEIRA METALICA CROMADA, DE MESA/BANCADA, PARA COZINHA, BICA MOVEL, COM AREJADOR, 1/2" OU 3/4"</t>
  </si>
  <si>
    <t xml:space="preserve">TANQUE DE MÁRMORE SINTÉTICO SUSPENSO, 22L OU EQUIVALENTE, INCLUSO SIFÃO TIPO GARRAFA EM PVC, VÁLVULA PLÁSTICA E TORNEIRA DE METAL CROMADO PADRÃO POPULAR - FORNEC. E INSTALAÇÃO. AF_01/2020</t>
  </si>
  <si>
    <t xml:space="preserve">TANQUE SIMPLES EM MARMORE SINTETICO DE FIXAR NA PAREDE, CAPACIDADE *22* L, *60 X 46* CM</t>
  </si>
  <si>
    <t xml:space="preserve">TORNEIRA METALICA CROMADA PARA TANQUE / JARDIM, SEM BICO, CANO LONGO, DE PAREDE, PADRAO POPULAR / USO GERAL, 1/2" OU 3/4"</t>
  </si>
  <si>
    <t xml:space="preserve">TORNEIRA CROMADA 1/2" OU 3/4" PARA TANQUE, PADRÃO MÉDIO - FORNECIMENTO E INSTALAÇÃO. AF_01/2020</t>
  </si>
  <si>
    <t xml:space="preserve">TORNEIRA METALICA CROMADA CANO CURTO, SEM BICO, SEM AREJADOR, DE PAREDE, PARA TANQUE E USO GERAL, 1/2" OU 3/4"</t>
  </si>
  <si>
    <t xml:space="preserve">REGISTRO DE PRESSÃO, PVC, ROSCÁVEL, VOLANTE SIMPLES, 3/4" - FORNECIMENTO E INSTALAÇÃO. AF_08/2021</t>
  </si>
  <si>
    <t xml:space="preserve">FITA VEDA ROSCA, EM PTFE, ROLO DE 18 MM X 50 M (L X C)</t>
  </si>
  <si>
    <t xml:space="preserve">REGISTRO DE PRESSAO PVC, ROSCAVEL, VOLANTE SIMPLES, DE 3/4"</t>
  </si>
  <si>
    <t xml:space="preserve">REGISTRO DE ESFERA, PVC, ROSCÁVEL, COM BORBOLETA, 3/4" - FORNECIMENTO E INSTALAÇÃO. AF_08/2021</t>
  </si>
  <si>
    <t xml:space="preserve">REGISTRO DE ESFERA PVC, COM BORBOLETA, COM ROSCA EXTERNA, DE 3/4"</t>
  </si>
  <si>
    <t xml:space="preserve">REGISTRO DE GAVETA BRUTO, LATÃO, ROSCÁVEL, 3/4", COM ACABAMENTO E CANOPLA CROMADOS - FORNECIMENTO E INSTALAÇÃO. AF_08/2021</t>
  </si>
  <si>
    <t xml:space="preserve">REGISTRO GAVETA COM ACABAMENTO E CANOPLA CROMADOS, SIMPLES, BITOLA 3/4"</t>
  </si>
  <si>
    <t xml:space="preserve">REGISTRO DE ESFERA, PVC, SOLDÁVEL, COM VOLANTE, DN 25 MM - FORNECIMENTO E INSTALAÇÃO. AF_08/2021</t>
  </si>
  <si>
    <t xml:space="preserve">ADESIVO PLASTICO PARA PVC, FRASCO COM 175 GR</t>
  </si>
  <si>
    <t xml:space="preserve">LIXA D'AGUA EM FOLHA, COR PRETA, GRAO 100</t>
  </si>
  <si>
    <t xml:space="preserve">REGISTRO DE ESFERA, PVC, COM VOLANTE, VS, SOLDAVEL, DN 25 MM, COM CORPO DIVIDIDO</t>
  </si>
  <si>
    <t xml:space="preserve">SOLUCAO PREPARADORA / LIMPADORA PARA PVC, FRASCO COM 1000 CM3</t>
  </si>
  <si>
    <t xml:space="preserve">JOELHO 90 GRAUS, PVC, SOLDÁVEL, DN 25MM, X 3/4 INSTALADO EM RAMAL DE DISTRIBUIÇÃO DE ÁGUA - FORNECIMENTO E INSTALAÇÃO. AF_06/2022</t>
  </si>
  <si>
    <t xml:space="preserve">ADESIVO PLASTICO PARA PVC, FRASCO COM *850* GR</t>
  </si>
  <si>
    <t xml:space="preserve">JOELHO PVC, SOLDAVEL COM ROSCA, 90 GRAUS, 25 MM X 3/4", COR MARROM, PARA AGUA FRIA PREDIAL</t>
  </si>
  <si>
    <t xml:space="preserve">ADAPTADOR COM FLANGE E ANEL DE VEDAÇÃO, PVC, SOLDÁVEL, DN 25 MM X 3/4", INSTALADO EM RESERVAÇÃO PREDIAL DE ÁGUA - FORNECIMENTO E INSTALAÇÃO. AF_04/2024</t>
  </si>
  <si>
    <t xml:space="preserve">ADAPTADOR PVC SOLDAVEL, COM FLANGE E ANEL DE VEDACAO, 25 MM X 3/4", PARA CAIXA D'AGUA</t>
  </si>
  <si>
    <t xml:space="preserve">ADAPTADOR CURTO COM BOLSA E ROSCA PARA REGISTRO, PVC, SOLDÁVEL, DN 25MM X 3/4 , INSTALADO EM RAMAL OU SUB-RAMAL DE ÁGUA - FORNECIMENTO E INSTALAÇÃO. AF_06/2022</t>
  </si>
  <si>
    <t xml:space="preserve">ADAPTADOR PVC SOLDAVEL CURTO COM BOLSA E ROSCA, 25 MM X 3/4", PARA AGUA FRIA</t>
  </si>
  <si>
    <t xml:space="preserve">JOELHO 45 GRAUS, PVC, SOLDÁVEL, DN 25MM, INSTALADO EM PRUMADA DE ÁGUA - FORNECIMENTO E INSTALAÇÃO. AF_06/2022</t>
  </si>
  <si>
    <t xml:space="preserve">JOELHO, PVC SOLDAVEL, 45 GRAUS, 25 MM, COR MARROM, PARA AGUA FRIA PREDIAL</t>
  </si>
  <si>
    <t xml:space="preserve">JOELHO 90 GRAUS, PVC, SOLDÁVEL, DN 25MM, INSTALADO EM PRUMADA DE ÁGUA - FORNECIMENTO E INSTALAÇÃO. AF_06/2022</t>
  </si>
  <si>
    <t xml:space="preserve">JOELHO PVC, SOLDAVEL, 90 GRAUS, 25 MM, COR MARROM, PARA AGUA FRIA PREDIAL</t>
  </si>
  <si>
    <t xml:space="preserve">TUBO, PVC, SOLDÁVEL, DE 25MM, INSTALADO EM PRUMADA DE ÁGUA - FORNECIMENTO E INSTALAÇÃO. AF_06/2022</t>
  </si>
  <si>
    <t xml:space="preserve">TUBO PVC, SOLDAVEL, DE 25 MM, AGUA FRIA (NBR-5648)</t>
  </si>
  <si>
    <t xml:space="preserve">TE, PVC, SOLDÁVEL, DN 25MM, INSTALADO EM PRUMADA DE ÁGUA - FORNECIMENTO E INSTALAÇÃO. AF_06/2022</t>
  </si>
  <si>
    <t xml:space="preserve">TE SOLDAVEL, PVC, 90 GRAUS, 25 MM, PARA AGUA FRIA PREDIAL (NBR 5648)</t>
  </si>
  <si>
    <t xml:space="preserve">CAIXA DE PASSAGEM CIRCULAR, EM CONCRETO, DIÂMETRO INTERNO Ø60 CM.</t>
  </si>
  <si>
    <t xml:space="preserve">TAMPAO FOFO SIMPLES COM BASE / REQUADRO, CLASSE B125 CARGA MAX. 12,5 T, REDONDO, TAMPA 600 MM (COM INSCRICAO EM RELEVO DO TIPO DE REDE)</t>
  </si>
  <si>
    <t xml:space="preserve">TUBO DE CONCRETO ARMADO PARA AGUAS PLUVIAIS, CLASSE PA-1, COM ENCAIXE PONTA E BOLSA, DIAMETRO NOMINAL DE = 600 MM</t>
  </si>
  <si>
    <t xml:space="preserve">ESCAVAÇÃO MECANIZADA DE VALA COM PROF. ATÉ 1,5 M (MÉDIA MONTANTE E JUSANTE/UMA COMPOSIÇÃO POR TRECHO), ESCAVADEIRA (0,8 M3), LARG. DE 1,5 M A 2,5 M, EM SOLO DE 1A CATEGORIA, LOCAIS COM BAIXO NÍVEL DE INTERFERÊNCIA. AF_09/2024</t>
  </si>
  <si>
    <t xml:space="preserve">REATERRO MANUAL DE VALAS, COM COMPACTADOR DE SOLOS DE PERCUSSÃO. AF_08/2023</t>
  </si>
  <si>
    <t xml:space="preserve">CAIXA SIFONADA, COM GRELHA REDONDA, PVC, DN 150 X 150 X 50 MM, JUNTA SOLDÁVEL, FORNECIDA E INSTALADA EM RAMAL DE DESCARGA OU EM RAMAL DE ESGOTO SANITÁRIO. AF_08/2022</t>
  </si>
  <si>
    <t xml:space="preserve">CAIXA SIFONADA, PVC, 150 X 150 X 50 MM, COM GRELHA REDONDA, BRANCA</t>
  </si>
  <si>
    <t xml:space="preserve">CAIXA SIFONADA, PVC, DN 150 X 185 X 75 MM, JUNTA ELÁSTICA, FORNECIDA E INSTALADA EM RAMAL DE DESCARGA OU EM RAMAL DE ESGOTO SANITÁRIO. AF_08/2022</t>
  </si>
  <si>
    <t xml:space="preserve">CAIXA SIFONADA, PVC, 150 X *185* X 75 MM, COM GRELHA QUADRADA, BRANCA</t>
  </si>
  <si>
    <t xml:space="preserve">BUCHA DE REDUÇÃO LONGA, PVC, SÉRIE NORMAL, ESGOTO PREDIAL, DN 50 X 40 MM, JUNTA SOLDÁVEL E ELÁSTICA, FORNECIDO E INSTALADO EM RAMAL DE DESCARGA OU RAMAL DE ESGOTO SANITÁRIO. AF_08/2022</t>
  </si>
  <si>
    <t xml:space="preserve">ANEL BORRACHA PARA TUBO ESGOTO PREDIAL, DN 50 MM (NBR 5688)</t>
  </si>
  <si>
    <t xml:space="preserve">BUCHA DE REDUCAO DE PVC, SOLDAVEL, LONGA, 50 X 40 MM, PARA ESGOTO PREDIAL</t>
  </si>
  <si>
    <t xml:space="preserve">PASTA LUBRIFICANTE PARA TUBOS E CONEXOES COM JUNTA ELASTICA, EMBALAGEM DE *400* GR (USO EM PVC, ACO, POLIETILENO E OUTROS)</t>
  </si>
  <si>
    <t xml:space="preserve">CURVA CURTA 90 GRAUS, PVC, SERIE NORMAL, ESGOTO PREDIAL, DN 100 MM, JUNTA ELÁSTICA, FORNECIDO E INSTALADO EM PRUMADA DE ESGOTO SANITÁRIO OU VENTILAÇÃO. AF_08/2022</t>
  </si>
  <si>
    <t xml:space="preserve">ANEL BORRACHA PARA TUBO ESGOTO PREDIAL, DN 100 MM (NBR 5688)</t>
  </si>
  <si>
    <t xml:space="preserve">CURVA PVC CURTA 90 GRAUS, DN 100 MM, PARA ESGOTO PREDIAL</t>
  </si>
  <si>
    <t xml:space="preserve">CURVA CURTA 90 GRAUS, PVC, SERIE NORMAL, ESGOTO PREDIAL, DN 40 MM, JUNTA SOLDÁVEL, FORNECIDO E INSTALADO EM RAMAL DE DESCARGA OU RAMAL DE ESGOTO SANITÁRIO. AF_08/2022</t>
  </si>
  <si>
    <t xml:space="preserve">CURVA PVC CURTA 90 GRAUS, DN 40 MM, PARA ESGOTO PREDIAL</t>
  </si>
  <si>
    <t xml:space="preserve">CURVA CURTA 90 GRAUS, PVC, SERIE NORMAL, ESGOTO PREDIAL, DN 75 MM, JUNTA ELÁSTICA, FORNECIDO E INSTALADO EM RAMAL DE DESCARGA OU RAMAL DE ESGOTO SANITÁRIO. AF_08/2022</t>
  </si>
  <si>
    <t xml:space="preserve">ANEL BORRACHA PARA TUBO ESGOTO PREDIAL, DN 75 MM (NBR 5688)</t>
  </si>
  <si>
    <t xml:space="preserve">CURVA PVC CURTA 90 GRAUS, DN 75 MM, PARA ESGOTO PREDIAL</t>
  </si>
  <si>
    <t xml:space="preserve">JOELHO 45 GRAUS, PVC, SERIE NORMAL, ESGOTO PREDIAL, DN 100 MM, JUNTA ELÁSTICA, FORNECIDO E INSTALADO EM PRUMADA DE ESGOTO SANITÁRIO OU VENTILAÇÃO. AF_08/2022</t>
  </si>
  <si>
    <t xml:space="preserve">JOELHO PVC, SOLDAVEL, PB, 45 GRAUS, DN 100 MM, PARA ESGOTO PREDIAL</t>
  </si>
  <si>
    <t xml:space="preserve">JOELHO 45 GRAUS, PVC, SERIE NORMAL, ESGOTO PREDIAL, DN 40 MM, JUNTA SOLDÁVEL, FORNECIDO E INSTALADO EM RAMAL DE DESCARGA OU RAMAL DE ESGOTO SANITÁRIO. AF_08/2022</t>
  </si>
  <si>
    <t xml:space="preserve">JOELHO PVC, SOLDAVEL, BB, 45 GRAUS, DN 40 MM, PARA ESGOTO PREDIAL</t>
  </si>
  <si>
    <t xml:space="preserve">JOELHO 45 GRAUS, PVC, SERIE NORMAL, ESGOTO PREDIAL, DN 50 MM, JUNTA ELÁSTICA, FORNECIDO E INSTALADO EM PRUMADA DE ESGOTO SANITÁRIO OU VENTILAÇÃO. AF_08/2022</t>
  </si>
  <si>
    <t xml:space="preserve">JOELHO PVC, SOLDAVEL, PB, 45 GRAUS, DN 50 MM, PARA ESGOTO PREDIAL</t>
  </si>
  <si>
    <t xml:space="preserve">JOELHO 45 GRAUS, PVC, SERIE NORMAL, ESGOTO PREDIAL, DN 75 MM, JUNTA ELÁSTICA, FORNECIDO E INSTALADO EM PRUMADA DE ESGOTO SANITÁRIO OU VENTILAÇÃO. AF_08/2022</t>
  </si>
  <si>
    <t xml:space="preserve">JOELHO PVC, SOLDAVEL, PB, 45 GRAUS, DN 75 MM, PARA ESGOTO PREDIAL</t>
  </si>
  <si>
    <t xml:space="preserve">JOELHO 90 GRAUS, PVC, SERIE NORMAL, ESGOTO PREDIAL, DN 100 MM, JUNTA ELÁSTICA, FORNECIDO E INSTALADO EM PRUMADA DE ESGOTO SANITÁRIO OU VENTILAÇÃO. AF_08/2022</t>
  </si>
  <si>
    <t xml:space="preserve">JOELHO PVC, SOLDAVEL, PB, 90 GRAUS, DN 100 MM, PARA ESGOTO PREDIAL</t>
  </si>
  <si>
    <t xml:space="preserve">JOELHO 90 GRAUS, PVC, SERIE NORMAL, ESGOTO PREDIAL, DN 40 MM, JUNTA SOLDÁVEL, FORNECIDO E INSTALADO EM RAMAL DE DESCARGA OU RAMAL DE ESGOTO SANITÁRIO. AF_08/2022</t>
  </si>
  <si>
    <t xml:space="preserve">JOELHO PVC, SOLDAVEL, BB, 90 GRAUS, SEM ANEL, DN 40 MM, PARA ESGOTO PREDIAL SECUNDARIO</t>
  </si>
  <si>
    <t xml:space="preserve">JOELHO 90 GRAUS, PVC, SERIE NORMAL, ESGOTO PREDIAL, DN 50 MM, JUNTA ELÁSTICA, FORNECIDO E INSTALADO EM PRUMADA DE ESGOTO SANITÁRIO OU VENTILAÇÃO. AF_08/2022</t>
  </si>
  <si>
    <t xml:space="preserve">JOELHO PVC, SOLDAVEL, PB, 90 GRAUS, DN 50 MM, PARA ESGOTO PREDIAL</t>
  </si>
  <si>
    <t xml:space="preserve">JOELHO 90 GRAUS, PVC, SERIE NORMAL, ESGOTO PREDIAL, DN 75 MM, JUNTA ELÁSTICA, FORNECIDO E INSTALADO EM PRUMADA DE ESGOTO SANITÁRIO OU VENTILAÇÃO. AF_08/2022</t>
  </si>
  <si>
    <t xml:space="preserve">JOELHO PVC, SOLDAVEL, PB, 90 GRAUS, DN 75 MM, PARA ESGOTO PREDIAL</t>
  </si>
  <si>
    <t xml:space="preserve">JOELHO 90 GRAUS, PVC, SERIE NORMAL, ESGOTO PREDIAL, 40 MM - 1.1/2", COM ANEL PARA ESGOTO SECUNDÁRIO, FORNECIDO E INSTALADO.</t>
  </si>
  <si>
    <t xml:space="preserve">JOELHO PVC, COM BOLSA E ANEL, 90 GRAUS, DN 40 X *38* MM, SERIE NORMAL, PARA ESGOTO PREDIAL</t>
  </si>
  <si>
    <t xml:space="preserve">JUNÇÃO SIMPLES DE REDUÇÃO, PVC, SERIE NORMAL, ESGOTO PREDIAL, DN 100 X 50 MM, JUNTA ELÁSTICA, FORNECIDO E INSTALADO EM PRUMADA DE ESGOTO SANITÁRIO OU VENTILAÇÃO.</t>
  </si>
  <si>
    <t xml:space="preserve">JUNCAO SIMPLES DE REDUCAO, PVC, DN 100 X 50 MM, SERIE NORMAL PARA ESGOTO PREDIAL</t>
  </si>
  <si>
    <t xml:space="preserve">JUNÇÃO SIMPLES DE REDUÇÃO, PVC, SERIE NORMAL, ESGOTO PREDIAL, DN 100 X 75 MM, JUNTA ELÁSTICA, FORNECIDO E INSTALADO EM PRUMADA DE ESGOTO SANITÁRIO OU VENTILAÇÃO.</t>
  </si>
  <si>
    <t xml:space="preserve">JUNCAO SIMPLES DE REDUCAO, PVC, DN 100 X 75 MM, SERIE NORMAL PARA ESGOTO PREDIAL</t>
  </si>
  <si>
    <t xml:space="preserve">JUNÇÃO SIMPLES DE REDUÇÃO, PVC, SERIE NORMAL, ESGOTO PREDIAL, DN 75 X 50 MM, JUNTA ELÁSTICA, FORNECIDO E INSTALADO EM PRUMADA DE ESGOTO SANITÁRIO OU VENTILAÇÃO.</t>
  </si>
  <si>
    <t xml:space="preserve">INS-34388280</t>
  </si>
  <si>
    <t xml:space="preserve">JUNÇÃO DE REDUÇÃO, PVC, 45 GRAUS, DN 75 X 50 MM, SERIE NORMAL PARA ESGOTO PREDIAL</t>
  </si>
  <si>
    <t xml:space="preserve">JUNÇÃO SIMPLES, PVC, SERIE NORMAL, ESGOTO PREDIAL, DN 100 X 100 MM, JUNTA ELÁSTICA, FORNECIDO E INSTALADO EM PRUMADA DE ESGOTO SANITÁRIO OU VENTILAÇÃO. AF_08/2022</t>
  </si>
  <si>
    <t xml:space="preserve">JUNCAO SIMPLES, PVC, 45 GRAUS, DN 100 X 100 MM, SERIE NORMAL PARA ESGOTO PREDIAL</t>
  </si>
  <si>
    <t xml:space="preserve">JUNÇÃO SIMPLES, PVC, SERIE NORMAL, ESGOTO PREDIAL, DN 40 MM, JUNTA SOLDÁVEL, FORNECIDO E INSTALADO EM RAMAL DE DESCARGA OU RAMAL DE ESGOTO SANITÁRIO. AF_08/2022</t>
  </si>
  <si>
    <t xml:space="preserve">JUNCAO SIMPLES, PVC, 45 GRAUS, DN 40 X 40 MM, SERIE NORMAL PARA ESGOTO PREDIAL</t>
  </si>
  <si>
    <t xml:space="preserve">JUNÇÃO SIMPLES, PVC, SERIE NORMAL, ESGOTO PREDIAL, DN 75 X 75 MM, JUNTA ELÁSTICA, FORNECIDO E INSTALADO EM PRUMADA DE ESGOTO SANITÁRIO OU VENTILAÇÃO. AF_08/2022</t>
  </si>
  <si>
    <t xml:space="preserve">JUNCAO SIMPLES, PVC, 45 GRAUS, DN 75 X 75 MM, SERIE NORMAL PARA ESGOTO PREDIAL</t>
  </si>
  <si>
    <t xml:space="preserve">LUVA SIMPLES, PVC, SERIE NORMAL, ESGOTO PREDIAL, DN 100 MM, JUNTA ELÁSTICA, FORNECIDO E INSTALADO EM PRUMADA DE ESGOTO SANITÁRIO OU VENTILAÇÃO. AF_08/2022</t>
  </si>
  <si>
    <t xml:space="preserve">LUVA SIMPLES, PVC, SOLDAVEL, DN 100 MM, SERIE NORMAL, PARA ESGOTO PREDIAL</t>
  </si>
  <si>
    <t xml:space="preserve">LUVA SIMPLES, PVC, SERIE NORMAL, ESGOTO PREDIAL, DN 50 MM, JUNTA ELÁSTICA, FORNECIDO E INSTALADO EM PRUMADA DE ESGOTO SANITÁRIO OU VENTILAÇÃO. AF_08/2022</t>
  </si>
  <si>
    <t xml:space="preserve">LUVA SIMPLES, PVC, SOLDAVEL, DN 50 MM, SERIE NORMAL, PARA ESGOTO PREDIAL</t>
  </si>
  <si>
    <t xml:space="preserve">LUVA SIMPLES, PVC, SERIE NORMAL, ESGOTO PREDIAL, DN 75 MM, JUNTA ELÁSTICA, FORNECIDO E INSTALADO EM PRUMADA DE ESGOTO SANITÁRIO OU VENTILAÇÃO. AF_08/2022</t>
  </si>
  <si>
    <t xml:space="preserve">LUVA SIMPLES, PVC, SOLDAVEL, DN 75 MM, SERIE NORMAL, PARA ESGOTO PREDIAL</t>
  </si>
  <si>
    <t xml:space="preserve">REDUÇÃO EXCÊNTRICA, PVC, SERIE NORMAL, ESGOTO, DN 100 X 50 MM, JUNTA ELÁSTICA, FORNECIDO E INSTALADO EM PRUMADA DE ESGOTO SANITÁRIO OU VENTILAÇÃO.</t>
  </si>
  <si>
    <t xml:space="preserve">ANEL BORRACHA, PARA TUBO PVC, REDE COLETOR ESGOTO, DN 100 MM (NBR 7362)</t>
  </si>
  <si>
    <t xml:space="preserve">REDUCAO EXCENTRICA PVC, DN 100 X 50 MM, PARA ESGOTO PREDIAL</t>
  </si>
  <si>
    <t xml:space="preserve">REDUÇÃO EXCÊNTRICA, PVC, SERIE NORMAL, ESGOTO, DN 100 X 75 MM, JUNTA ELÁSTICA, FORNECIDO E INSTALADO EM PRUMADA DE ESGOTO SANITÁRIO OU VENTILAÇÃO.</t>
  </si>
  <si>
    <t xml:space="preserve">REDUCAO EXCENTRICA PVC, DN 100 X 75 MM, PARA ESGOTO PREDIAL</t>
  </si>
  <si>
    <t xml:space="preserve">TUBO PVC, SERIE NORMAL, ESGOTO PREDIAL, DN 100 MM, FORNECIDO E INSTALADO EM PRUMADA DE ESGOTO SANITÁRIO OU VENTILAÇÃO. AF_08/2022</t>
  </si>
  <si>
    <t xml:space="preserve">TUBO PVC SERIE NORMAL, DN 100 MM, PARA ESGOTO PREDIAL (NBR 5688)</t>
  </si>
  <si>
    <t xml:space="preserve">TUBO PVC, SERIE NORMAL, ESGOTO PREDIAL, DN 150 MM, FORNECIDO E INSTALADO EM SUBCOLETOR AÉREO DE ESGOTO SANITÁRIO. AF_08/2022</t>
  </si>
  <si>
    <t xml:space="preserve">TUBO PVC SERIE NORMAL, DN 150 MM, PARA ESGOTO PREDIAL (NBR 5688)</t>
  </si>
  <si>
    <t xml:space="preserve">TUBO PVC, SERIE NORMAL, ESGOTO PREDIAL, DN 40 MM, FORNECIDO E INSTALADO EM RAMAL DE DESCARGA OU RAMAL DE ESGOTO SANITÁRIO. AF_08/2022</t>
  </si>
  <si>
    <t xml:space="preserve">TUBO PVC SERIE NORMAL, DN 40 MM, PARA ESGOTO PREDIAL (NBR 5688)</t>
  </si>
  <si>
    <t xml:space="preserve">TUBO PVC, SERIE NORMAL, ESGOTO PREDIAL, DN 50 MM, FORNECIDO E INSTALADO EM PRUMADA DE ESGOTO SANITÁRIO OU VENTILAÇÃO. AF_08/2022</t>
  </si>
  <si>
    <t xml:space="preserve">TUBO PVC SERIE NORMAL, DN 50 MM, PARA ESGOTO PREDIAL (NBR 5688)</t>
  </si>
  <si>
    <t xml:space="preserve">TUBO PVC, SERIE NORMAL, ESGOTO PREDIAL, DN 75 MM, FORNECIDO E INSTALADO EM PRUMADA DE ESGOTO SANITÁRIO OU VENTILAÇÃO. AF_08/2022</t>
  </si>
  <si>
    <t xml:space="preserve">TUBO PVC SERIE NORMAL, DN 75 MM, PARA ESGOTO PREDIAL (NBR 5688)</t>
  </si>
  <si>
    <t xml:space="preserve">TE, PVC, SÉRIE NORMAL, ESGOTO PREDIAL, DN 100 X 50 MM, JUNTA ELÁSTICA, FORNECIDO E INSTALADO EM PRUMADA DE ESGOTO SANITÁRIO OU VENTILAÇÃO. AF_08/2022</t>
  </si>
  <si>
    <t xml:space="preserve">TE SANITARIO DE REDUCAO, PVC, DN 100 X 50 MM, SERIE NORMAL, PARA ESGOTO PREDIAL</t>
  </si>
  <si>
    <t xml:space="preserve">TE, PVC, SÉRIE NORMAL, ESGOTO PREDIAL, DN 100 X 75 MM, JUNTA ELÁSTICA, FORNECIDO E INSTALADO EM PRUMADA DE ESGOTO SANITÁRIO OU VENTILAÇÃO. AF_08/2022</t>
  </si>
  <si>
    <t xml:space="preserve">TE SANITARIO DE REDUCAO, PVC, DN 100 X 75 MM, SERIE NORMAL PARA ESGOTO PREDIAL</t>
  </si>
  <si>
    <t xml:space="preserve">TE, PVC, SERIE NORMAL, ESGOTO PREDIAL, DN 50 X 50 MM, JUNTA ELÁSTICA, FORNECIDO E INSTALADO EM PRUMADA DE ESGOTO SANITÁRIO OU VENTILAÇÃO. AF_08/2022</t>
  </si>
  <si>
    <t xml:space="preserve">TE SANITARIO, PVC, DN 50 X 50 MM, SERIE NORMAL, PARA ESGOTO PREDIAL</t>
  </si>
  <si>
    <t xml:space="preserve">TE, PVC, SERIE NORMAL, ESGOTO PREDIAL, DN 75 X 50 MM, JUNTA ELÁSTICA, FORNECIDO E INSTALADO EM PRUMADA DE ESGOTO SANITÁRIO OU VENTILAÇÃO.</t>
  </si>
  <si>
    <t xml:space="preserve">INS-75155005</t>
  </si>
  <si>
    <t xml:space="preserve">TE SANITARIO, PVC, DN 75 X 50 MM, SERIE NORMAL PARA ESGOTO PREDIAL</t>
  </si>
  <si>
    <t xml:space="preserve">CURVA CURTA 90 GRAUS, PVC, SERIE NORMAL, ESGOTO PREDIAL, DN 50 MM, JUNTA ELÁSTICA, FORNECIDO E INSTALADO EM PRUMADA DE ESGOTO SANITÁRIO OU VENTILAÇÃO. AF_08/2022</t>
  </si>
  <si>
    <t xml:space="preserve">CURVA PVC CURTA 90 GRAUS, DN 50 MM, PARA ESGOTO PREDIAL</t>
  </si>
  <si>
    <t xml:space="preserve">JOELHO 45 GRAUS, PVC, SERIE NORMAL, ESGOTO PREDIAL, DN 100 MM, JUNTA ELÁSTICA, FORNECIDO E INSTALADO EM RAMAL DE DESCARGA OU RAMAL DE ESGOTO SANITÁRIO. AF_08/2022</t>
  </si>
  <si>
    <t xml:space="preserve">JOELHO 45 GRAUS, PVC, SERIE NORMAL, ESGOTO PREDIAL, DN 50 MM, JUNTA ELÁSTICA, FORNECIDO E INSTALADO EM RAMAL DE DESCARGA OU RAMAL DE ESGOTO SANITÁRIO. AF_08/2022</t>
  </si>
  <si>
    <t xml:space="preserve">JOELHO 90 GRAUS, PVC, SERIE NORMAL, ESGOTO PREDIAL, DN 100 MM, JUNTA ELÁSTICA, FORNECIDO E INSTALADO EM RAMAL DE DESCARGA OU RAMAL DE ESGOTO SANITÁRIO. AF_08/2022</t>
  </si>
  <si>
    <t xml:space="preserve">JOELHO 90 GRAUS, PVC, SERIE NORMAL, ESGOTO PREDIAL, DN 50 MM, JUNTA ELÁSTICA, FORNECIDO E INSTALADO EM RAMAL DE DESCARGA OU RAMAL DE ESGOTO SANITÁRIO. AF_08/2022</t>
  </si>
  <si>
    <t xml:space="preserve">LUVA SIMPLES, PVC, SERIE NORMAL, ESGOTO PREDIAL, DN 100 MM, JUNTA ELÁSTICA, FORNECIDO E INSTALADO EM RAMAL DE DESCARGA OU RAMAL DE ESGOTO SANITÁRIO. AF_08/2022</t>
  </si>
  <si>
    <t xml:space="preserve">TUBO PVC, SERIE NORMAL, ESGOTO PREDIAL, DN 100 MM, FORNECIDO E INSTALADO EM RAMAL DE DESCARGA OU RAMAL DE ESGOTO SANITÁRIO. AF_08/2022</t>
  </si>
  <si>
    <t xml:space="preserve">TUBO PVC, SERIE NORMAL, ESGOTO PREDIAL, DN 50 MM, FORNECIDO E INSTALADO EM RAMAL DE DESCARGA OU RAMAL DE ESGOTO SANITÁRIO. AF_08/2022</t>
  </si>
  <si>
    <t xml:space="preserve">CAIXA DE GORDURA SIMPLES, CIRCULAR, EM CONCRETO PRÉ-MOLDADO, DIÂMETRO INTERNO = 0,4 M, ALTURA INTERNA = 0,4 M. AF_12/2020</t>
  </si>
  <si>
    <t xml:space="preserve">CAIXA DE GORDURA CILINDRICA EM CONCRETO SIMPLES, PRE-MOLDADA, COM DIAMETRO DE 40 CM E ALTURA DE 45 CM, COM TAMPA</t>
  </si>
  <si>
    <t xml:space="preserve">CAIXA DE DRENAGEM RETANGULAR, EM CONCRETO PRÉ-MOLDADO, COM GRELHA, DIMENSÕES INTERNAS: 0,6X0,6X0,5M.</t>
  </si>
  <si>
    <t xml:space="preserve">CAIXA DE CONCRETO ARMADO PRE-MOLDADO, COM FUNDO E TAMPA, DIMENSOES DE 0,60 X 0,60 X 0,50 M</t>
  </si>
  <si>
    <t xml:space="preserve">GRELHA FOFO SIMPLES COM REQUADRO, CARGA MAXIMA 1,5 T, 200 X 1000 MM, E= *15* MM</t>
  </si>
  <si>
    <t xml:space="preserve">CAIXA DE RETENÇÃO PLUVIAL, CIRCULAR, EM CONCRETO PRÉ-MOLDADO, DIÂMETRO INTERNO 1,50 M, ALTURA INTERNA 2,50 M, CAPACIDADE DE RETENÇÃO DE 3,6 M³.</t>
  </si>
  <si>
    <t xml:space="preserve">ADITIVO IMPERMEABILIZANTE DE PEGA NORMAL PARA ARGAMASSAS E CONCRETOS SEM ARMACAO, LIQUIDO E ISENTO DE CLORETOS</t>
  </si>
  <si>
    <t xml:space="preserve">ANEL EM CONCRETO ARMADO, PERFURADO, PARA FOSSAS SEPTICAS E SUMIDOUROS, SEM FUNDO, DIAMETRO INTERNO DE 2,00 M E ALTURA DE 0,50 M</t>
  </si>
  <si>
    <t xml:space="preserve">CHAPA/PAINEL DE MADEIRA COMPENSADA RESINADA (MADEIRITE RESINADO ROSA) PARA FORMA DE CONCRETO, DE 2200 X 1100 MM, E = 20 MM</t>
  </si>
  <si>
    <t xml:space="preserve">CHAPA/PAINEL DE MADEIRA COMPENSADA RESINADA (MADEIRITE RESINADO ROSA) PARA FORMA DE CONCRETO, DE 2200 X 1100 MM, E = 6 MM</t>
  </si>
  <si>
    <t xml:space="preserve">FIBRA DE ACO PARA REFORCO DO CONCRETO, SOLTA, TIPO A-I, FATOR DE FORMA *50* L / D, COMPRIMENTO DE *30* MM E RESISTENCIA A TRACAO DO ACO MAIOR 1000 MPA</t>
  </si>
  <si>
    <t xml:space="preserve">GEOTEXTIL NAO TECIDO AGULHADO DE FILAMENTOS CONTINUOS 100% POLIESTER, RESITENCIA A TRACAO = 10 KN/M</t>
  </si>
  <si>
    <t xml:space="preserve">PEDRA BRITADA N. 0, OU PEDRISCO (4,8 A 9,5 MM) POSTO PEDREIRA/FORNECEDOR, SEM FRETE</t>
  </si>
  <si>
    <t xml:space="preserve">POLIESTIRENO EXPANDIDO/EPS (ISOPOR), TIPO 2F, BLOCO</t>
  </si>
  <si>
    <t xml:space="preserve">TUBO DE CONCRETO PARA REDES COLETORAS DE ÁGUAS PLUVIAIS, DIÂMETRO DE 200MM, JUNTA RÍGIDA, INSTALADO EM LOCAL COM BAIXO NÍVEL DE INTERFERÊNCIAS - FORNECIMENTO E ASSENTAMENTO.</t>
  </si>
  <si>
    <t xml:space="preserve">TUBO DE CONCRETO SIMPLES PARA AGUAS PLUVIAIS, CLASSE PS1, COM ENCAIXE MACHO E FEMEA, DIAMETRO NOMINAL DE 200 MM</t>
  </si>
  <si>
    <t xml:space="preserve">ASSENTADOR DE MANILHAS (HORISTA)</t>
  </si>
  <si>
    <t xml:space="preserve">TUBO DE CONCRETO (SIMPLES) PARA REDES COLETORAS DE ÁGUAS PLUVIAIS, DIÂMETRO DE 300 MM, JUNTA RÍGIDA, INSTALADO EM LOCAL COM BAIXO NÍVEL DE INTERFERÊNCIAS - FORNECIMENTO E ASSENTAMENTO. AF_03/2024</t>
  </si>
  <si>
    <t xml:space="preserve">TUBO DE CONCRETO SIMPLES PARA AGUAS PLUVIAIS, CLASSE PS1, COM ENCAIXE PONTA E BOLSA, DIAMETRO NOMINAL DE 300 MM</t>
  </si>
  <si>
    <t xml:space="preserve">RALO HEMISFÉRICO EM FERRO FUNDIDO, TIPO ABACAXI - Ø 100MM.</t>
  </si>
  <si>
    <t xml:space="preserve">RALO FOFO SEMIESFERICO, 100 MM, PARA LAJES/ CALHAS</t>
  </si>
  <si>
    <t xml:space="preserve">JOELHO 45 GRAUS, PVC, SERIE R, ÁGUA PLUVIAL, DN 100 MM, JUNTA ELÁSTICA, FORNECIDO E INSTALADO EM CONDUTORES VERTICAIS DE ÁGUAS PLUVIAIS. AF_06/2022</t>
  </si>
  <si>
    <t xml:space="preserve">ANEL BORRACHA, DN 100 MM, PARA TUBO SERIE REFORCADA ESGOTO PREDIAL</t>
  </si>
  <si>
    <t xml:space="preserve">JOELHO, PVC SERIE R, 45 GRAUS, DN 100 MM, PARA ESGOTO PREDIAL</t>
  </si>
  <si>
    <t xml:space="preserve">JOELHO 45 GRAUS, PVC, SERIE R, ÁGUA PLUVIAL, DN 150 MM, JUNTA ELÁSTICA, FORNECIDO E INSTALADO EM RAMAL DE ENCAMINHAMENTO. AF_06/2022</t>
  </si>
  <si>
    <t xml:space="preserve">ANEL BORRACHA, DN 150 MM, PARA TUBO SERIE REFORCADA ESGOTO PREDIAL</t>
  </si>
  <si>
    <t xml:space="preserve">JOELHO, PVC SERIE R, 45 GRAUS, DN 150 MM, PARA ESGOTO PREDIAL</t>
  </si>
  <si>
    <t xml:space="preserve">JOELHO 45 GRAUS, PVC, SERIE R, ÁGUA PLUVIAL, DN 75 MM, JUNTA ELÁSTICA, FORNECIDO E INSTALADO EM RAMAL DE ENCAMINHAMENTO. AF_06/2022</t>
  </si>
  <si>
    <t xml:space="preserve">ANEL BORRACHA, DN 75 MM, PARA TUBO SERIE REFORCADA ESGOTO PREDIAL</t>
  </si>
  <si>
    <t xml:space="preserve">JOELHO, PVC SERIE R, 45 GRAUS, DN 75 MM, PARA ESGOTO PREDIAL</t>
  </si>
  <si>
    <t xml:space="preserve">JOELHO 90 GRAUS, PVC, SERIE R, ÁGUA PLUVIAL, DN 100 MM, JUNTA ELÁSTICA, FORNECIDO E INSTALADO EM CONDUTORES VERTICAIS DE ÁGUAS PLUVIAIS. AF_06/2022</t>
  </si>
  <si>
    <t xml:space="preserve">JOELHO, PVC SERIE R, 90 GRAUS, DN 100 MM, PARA ESGOTO PREDIAL</t>
  </si>
  <si>
    <t xml:space="preserve">JOELHO 90 GRAUS, PVC, SERIE R, ÁGUA PLUVIAL, DN 150 MM, JUNTA ELÁSTICA, FORNECIDO E INSTALADO EM CONDUTORES VERTICAIS DE ÁGUAS PLUVIAIS. AF_06/2022</t>
  </si>
  <si>
    <t xml:space="preserve">JOELHO, PVC SERIE R, 90 GRAUS, DN 150 MM, PARA ESGOTO PREDIAL</t>
  </si>
  <si>
    <t xml:space="preserve">JUNÇÃO SIMPLES, PVC, SERIE R, ÁGUA PLUVIAL, DN 100 X 100 MM, JUNTA ELÁSTICA, FORNECIDO E INSTALADO EM RAMAL DE ENCAMINHAMENTO. AF_06/2022</t>
  </si>
  <si>
    <t xml:space="preserve">JUNCAO SIMPLES, PVC SERIE R, DN 100 X 100 MM, PARA ESGOTO PREDIAL</t>
  </si>
  <si>
    <t xml:space="preserve">JUNÇÃO SIMPLES, PVC, SERIE R, ÁGUA PLUVIAL, DN 150 X 150 MM, JUNTA ELÁSTICA, FORNECIDO E INSTALADO EM RAMAL DE ENCAMINHAMENTO. AF_06/2022</t>
  </si>
  <si>
    <t xml:space="preserve">JUNCAO SIMPLES, PVC SERIE R, DN 150 X 150 MM, PARA ESGOTO PREDIAL</t>
  </si>
  <si>
    <t xml:space="preserve">JUNÇÃO SIMPLES, PVC, SERIE R, ÁGUA PLUVIAL, DN 150 X 100 MM, JUNTA ELÁSTICA, FORNECIDO E INSTALADO EM RAMAL DE ENCAMINHAMENTO. AF_06/2022</t>
  </si>
  <si>
    <t xml:space="preserve">JUNCAO SIMPLES, PVC SERIE R, DN 150 X 100 MM, PARA ESGOTO PREDIAL</t>
  </si>
  <si>
    <t xml:space="preserve">LUVA SIMPLES, PVC, SERIE R, ÁGUA PLUVIAL, DN 100 MM, JUNTA ELÁSTICA, FORNECIDO E INSTALADO EM RAMAL DE ENCAMINHAMENTO. AF_06/2022</t>
  </si>
  <si>
    <t xml:space="preserve">LUVA SIMPLES, PVC SERIE R, 100 MM, PARA ESGOTO PREDIAL</t>
  </si>
  <si>
    <t xml:space="preserve">LUVA SIMPLES, PVC, SERIE R, ÁGUA PLUVIAL, DN 150 MM, JUNTA ELÁSTICA, FORNECIDO E INSTALADO EM RAMAL DE ENCAMINHAMENTO. AF_06/2022</t>
  </si>
  <si>
    <t xml:space="preserve">LUVA SIMPLES, PVC SERIE R, 150 MM, PARA ESGOTO PREDIAL</t>
  </si>
  <si>
    <t xml:space="preserve">LUVA SIMPLES, PVC, SERIE R, ÁGUA PLUVIAL, DN 75 MM, JUNTA ELÁSTICA, FORNECIDO E INSTALADO EM RAMAL DE ENCAMINHAMENTO. AF_06/2022</t>
  </si>
  <si>
    <t xml:space="preserve">LUVA SIMPLES, PVC SERIE R, 75 MM, PARA ESGOTO PREDIAL</t>
  </si>
  <si>
    <t xml:space="preserve">REDUÇÃO EXCÊNTRICA, PVC, SERIE R, ÁGUA PLUVIAL, DN 100 X 75 MM, JUNTA ELÁSTICA, FORNECIDO E INSTALADO EM RAMAL DE ENCAMINHAMENTO. AF_06/2022</t>
  </si>
  <si>
    <t xml:space="preserve">REDUCAO EXCENTRICA PVC, SERIE R, DN 100 X 75 MM, PARA ESGOTO PREDIAL</t>
  </si>
  <si>
    <t xml:space="preserve">REDUÇÃO EXCÊNTRICA, PVC, SERIE R, ÁGUA PLUVIAL, DN 150 X 100 MM, JUNTA ELÁSTICA, FORNECIDO E INSTALADO EM RAMAL DE ENCAMINHAMENTO. AF_06/2022</t>
  </si>
  <si>
    <t xml:space="preserve">REDUCAO EXCENTRICA PVC, SERIE R, DN 150 X 100 MM, PARA ESGOTO PREDIAL</t>
  </si>
  <si>
    <t xml:space="preserve">TUBO PVC, SÉRIE R, ÁGUA PLUVIAL, DN 100 MM, FORNECIDO E INSTALADO EM CONDUTORES VERTICAIS DE ÁGUAS PLUVIAIS. AF_06/2022</t>
  </si>
  <si>
    <t xml:space="preserve">TUBO PVC, SERIE R, DN 100 MM, PARA ESGOTO OU AGUAS PLUVIAIS PREDIAL (NBR 5688)</t>
  </si>
  <si>
    <t xml:space="preserve">TUBO PVC, SÉRIE R, ÁGUA PLUVIAL, DN 150 MM, FORNECIDO E INSTALADO EM CONDUTORES VERTICAIS DE ÁGUAS PLUVIAIS. AF_06/2022</t>
  </si>
  <si>
    <t xml:space="preserve">TUBO PVC, SERIE R, DN 150 MM, PARA ESGOTO OU AGUAS PLUVIAIS PREDIAL (NBR 5688)</t>
  </si>
  <si>
    <t xml:space="preserve">TUBO PVC, SÉRIE R, ÁGUA PLUVIAL, DN 75 MM, FORNECIDO E INSTALADO EM RAMAL DE ENCAMINHAMENTO. AF_06/2022</t>
  </si>
  <si>
    <t xml:space="preserve">TUBO PVC, SERIE R, DN 75 MM, PARA ESGOTO OU AGUAS PLUVIAIS PREDIAL (NBR 5688)</t>
  </si>
  <si>
    <t xml:space="preserve">DRENO SUBSUPERFICIAL (SEÇÃO 0,30 X 0,30 M), CEGO, ENCHIMENTO DE BRITA, ENVOLVIDO COM MANTA GEOTÊXTIL.</t>
  </si>
  <si>
    <t xml:space="preserve">GEOTEXTIL NAO TECIDO AGULHADO DE FILAMENTOS CONTINUOS 100% POLIESTER, RESITENCIA A TRACAO = 14 KN/M</t>
  </si>
  <si>
    <t xml:space="preserve">JUNÇÃO SIMPLES, PVC, SERIE NORMAL, ESGOTO PREDIAL, DN 50 X 50 MM, JUNTA ELÁSTICA, FORNECIDO E INSTALADO EM PRUMADA DE ESGOTO SANITÁRIO OU VENTILAÇÃO. AF_08/2022</t>
  </si>
  <si>
    <t xml:space="preserve">JUNCAO SIMPLES, PVC, 45 GRAUS, DN 50 X 50 MM, SERIE NORMAL PARA ESGOTO PREDIAL</t>
  </si>
  <si>
    <t xml:space="preserve">REDUÇÃO EXCÊNTRICA, PVC, SERIE R, ÁGUA PLUVIAL, DN 75 X 50 MM, JUNTA ELÁSTICA, FORNECIDO E INSTALADO EM RAMAL DE ENCAMINHAMENTO. AF_06/2022</t>
  </si>
  <si>
    <t xml:space="preserve">ANEL BORRACHA, DN 50 MM, PARA TUBO SERIE REFORCADA ESGOTO PREDIAL</t>
  </si>
  <si>
    <t xml:space="preserve">REDUCAO EXCENTRICA PVC, SERIE R, DN 75 X 50 MM, PARA ESGOTO PREDIAL</t>
  </si>
  <si>
    <t xml:space="preserve">TERMINAL DE VENTILAÇÃO, PVC, SÉRIE NORMAL, ESGOTO PREDIAL, DN 50 MM, JUNTA SOLDÁVEL, FORNECIDO E INSTALADO EM PRUMADA DE ESGOTO SANITÁRIO OU VENTILAÇÃO. AF_08/2022</t>
  </si>
  <si>
    <t xml:space="preserve">TERMINAL DE VENTILACAO, 50 MM, SERIE NORMAL, ESGOTO PREDIAL</t>
  </si>
  <si>
    <t xml:space="preserve">TERMINAL DE VENTILAÇÃO, PVC, SÉRIE NORMAL, ESGOTO PREDIAL, DN 75 MM, JUNTA SOLDÁVEL, FORNECIDO E INSTALADO EM PRUMADA DE ESGOTO SANITÁRIO OU VENTILAÇÃO. AF_08/2022</t>
  </si>
  <si>
    <t xml:space="preserve">TERMINAL DE VENTILACAO, 75 MM, SERIE NORMAL, ESGOTO PREDIAL</t>
  </si>
  <si>
    <t xml:space="preserve">TE, PVC, SERIE NORMAL, ESGOTO PREDIAL, DN 75 X 75 MM, JUNTA ELÁSTICA, FORNECIDO E INSTALADO EM PRUMADA DE ESGOTO SANITÁRIO OU VENTILAÇÃO. AF_08/2022</t>
  </si>
  <si>
    <t xml:space="preserve">TE SANITARIO, PVC, DN 75 X 75 MM, SERIE NORMAL PARA ESGOTO PREDIAL</t>
  </si>
  <si>
    <t xml:space="preserve">REGISTRO DE GAVETA BRUTO, LATÃO, ROSCÁVEL, 2 1/2" - FORNECIMENTO E INSTALAÇÃO. AF_08/2021</t>
  </si>
  <si>
    <t xml:space="preserve">REGISTRO GAVETA BRUTO EM LATAO FORJADO, BITOLA 2 1/2"</t>
  </si>
  <si>
    <t xml:space="preserve">REGISTRO DE GAVETA BRUTO, LATÃO, ROSCÁVEL, 1 1/2", COM ACABAMENTO E CANOPLA CROMADOS - FORNECIMENTO E INSTALAÇÃO. AF_08/2021</t>
  </si>
  <si>
    <t xml:space="preserve">REGISTRO GAVETA COM ACABAMENTO E CANOPLA CROMADOS, SIMPLES, BITOLA 1 1/2"</t>
  </si>
  <si>
    <t xml:space="preserve">REGISTRO DE ESFERA, PVC, SOLDÁVEL, COM VOLANTE, DN 32 MM - FORNECIMENTO E INSTALAÇÃO. AF_08/2021</t>
  </si>
  <si>
    <t xml:space="preserve">REGISTRO DE ESFERA, PVC, COM VOLANTE, VS, SOLDAVEL, DN 32 MM, COM CORPO DIVIDIDO</t>
  </si>
  <si>
    <t xml:space="preserve">REGISTRO DE ESFERA, PVC, SOLDÁVEL, COM VOLANTE, DN 50 MM - FORNECIMENTO E INSTALAÇÃO. AF_08/2021</t>
  </si>
  <si>
    <t xml:space="preserve">REGISTRO DE ESFERA, PVC, COM VOLANTE, VS, SOLDAVEL, DN 50 MM, COM CORPO DIVIDIDO</t>
  </si>
  <si>
    <t xml:space="preserve">VÁLVULA DE ESFERA BRUTA, ROSCÁVEL, 2.1/2'' - FORNECIMENTO E INSTALAÇÃO.</t>
  </si>
  <si>
    <t xml:space="preserve">VALVULA DE ESFERA BRUTA EM BRONZE, BITOLA 2"</t>
  </si>
  <si>
    <t xml:space="preserve">INS-78680016</t>
  </si>
  <si>
    <t xml:space="preserve">VALVULA DE ESFERA, BITOLA 2.1/2 ".</t>
  </si>
  <si>
    <t xml:space="preserve">VÁLVULA DE DESCARGA METÁLICA, BASE 1 1/4", ACABAMENTO METALICO CROMADO - FORNECIMENTO E INSTALAÇÃO. AF_08/2021</t>
  </si>
  <si>
    <t xml:space="preserve">VALVULA DE DESCARGA METALICA, BASE 1 1/4" E ACABAMENTO METALICO CROMADO</t>
  </si>
  <si>
    <t xml:space="preserve">VÁLVULA DE RETENÇÃO HORIZONTAL, DE BRONZE, ROSCÁVEL, 1" - FORNECIMENTO E INSTALAÇÃO. AF_08/2021</t>
  </si>
  <si>
    <t xml:space="preserve">VALVULA DE RETENCAO HORIZONTAL, DE BRONZE (PN-25), 1", 400 PSI, TAMPA DE PORCA DE UNIAO, EXTREMIDADES COM ROSCA</t>
  </si>
  <si>
    <t xml:space="preserve">ADAPTADOR COM FLANGE E ANEL DE VEDAÇÃO, PVC, SOLDÁVEL, DN 32 MM X 1", INSTALADO EM RESERVAÇÃO PREDIAL DE ÁGUA - FORNECIMENTO E INSTALAÇÃO. AF_04/2024</t>
  </si>
  <si>
    <t xml:space="preserve">ADAPTADOR PVC SOLDAVEL, COM FLANGE E ANEL DE VEDACAO, 32 MM X 1", PARA CAIXA D'AGUA</t>
  </si>
  <si>
    <t xml:space="preserve">ADAPTADOR COM FLANGE E ANEL DE VEDAÇÃO, PVC, SOLDÁVEL, DN 50 MM X 1 1/2", INSTALADO EM RESERVAÇÃO PREDIAL DE ÁGUA - FORNECIMENTO E INSTALAÇÃO. AF_04/2024</t>
  </si>
  <si>
    <t xml:space="preserve">ADAPTADOR PVC SOLDAVEL, COM FLANGE E ANEL DE VEDACAO, 50 MM X 1 1/2", PARA CAIXA D'AGUA</t>
  </si>
  <si>
    <t xml:space="preserve">ADAPTADOR COM FLANGES LIVRES, PVC, SOLDÁVEL, DN 75 MM X 2 1/2", INSTALADO EM RESERVAÇÃO PREDIAL DE ÁGUA - FORNECIMENTO E INSTALAÇÃO. AF_04/2024</t>
  </si>
  <si>
    <t xml:space="preserve">ADAPTADOR PVC, SOLDAVEL, COM FLANGES LIVRES, 75 MM X 2 1/2", PARA CAIXA D'AGUA</t>
  </si>
  <si>
    <t xml:space="preserve">ADAPTADOR CURTO COM BOLSA E ROSCA PARA REGISTRO, PVC, SOLDÁVEL, DN 25MM X 3/4 , INSTALADO EM RAMAL DE DISTRIBUIÇÃO DE ÁGUA - FORNECIMENTO E INSTALAÇÃO. AF_06/2022</t>
  </si>
  <si>
    <t xml:space="preserve">ADAPTADOR CURTO COM BOLSA E ROSCA PARA REGISTRO, PVC, SOLDÁVEL, DN 32MM X 1 , INSTALADO EM PRUMADA DE ÁGUA - FORNECIMENTO E INSTALAÇÃO. AF_06/2022</t>
  </si>
  <si>
    <t xml:space="preserve">ADAPTADOR PVC SOLDAVEL CURTO COM BOLSA E ROSCA, 32 MM X 1", PARA AGUA FRIA</t>
  </si>
  <si>
    <t xml:space="preserve">ADAPTADOR CURTO COM BOLSA E ROSCA PARA REGISTRO, PVC, SOLDÁVEL, DN 50MM X 1.1/2 , INSTALADO EM PRUMADA DE ÁGUA - FORNECIMENTO E INSTALAÇÃO. AF_06/2022</t>
  </si>
  <si>
    <t xml:space="preserve">ADAPTADOR PVC SOLDAVEL CURTO COM BOLSA E ROSCA, 50 MM X1 1/2", PARA AGUA FRIA</t>
  </si>
  <si>
    <t xml:space="preserve">ADAPTADOR CURTO COM BOLSA E ROSCA PARA REGISTRO, PVC, SOLDÁVEL, DN 50MM X 1.1/4 , INSTALADO EM PRUMADA DE ÁGUA - FORNECIMENTO E INSTALAÇÃO. AF_06/2022</t>
  </si>
  <si>
    <t xml:space="preserve">ADAPTADOR PVC SOLDAVEL CURTO COM BOLSA E ROSCA, 50 MM X 1 1/4", PARA AGUA FRIA</t>
  </si>
  <si>
    <t xml:space="preserve">BUCHA DE REDUÇÃO, CURTA, PVC, SOLDÁVEL, DN 32 X 25 MM, INSTALADO EM PRUMADA DE ÁGUA - FORNECIMENTO E INSTALAÇÃO. AF_06/2022</t>
  </si>
  <si>
    <t xml:space="preserve">BUCHA DE REDUCAO DE PVC, SOLDAVEL, CURTA, COM 32 X 25 MM, PARA AGUA FRIA PREDIAL</t>
  </si>
  <si>
    <t xml:space="preserve">BUCHA DE REDUÇÃO, LONGA, PVC, SOLDÁVEL, DN 50 X 25 MM, INSTALADO EM RAMAL DE DISTRIBUIÇÃO DE ÁGUA - FORNECIMENTO E INSTALAÇÃO. AF_06/2022</t>
  </si>
  <si>
    <t xml:space="preserve">BUCHA DE REDUCAO DE PVC, SOLDAVEL, LONGA, COM 50 X 25 MM, PARA AGUA FRIA PREDIAL</t>
  </si>
  <si>
    <t xml:space="preserve">BUCHA DE REDUÇÃO, LONGA, PVC, SOLDÁVEL, DN 75 X 50 MM, INSTALADO EM PRUMADA DE ÁGUA - FORNECIMENTO E INSTALAÇÃO. AF_06/2022</t>
  </si>
  <si>
    <t xml:space="preserve">BUCHA DE REDUCAO DE PVC, SOLDAVEL, LONGA, COM 75 X 50 MM, PARA AGUA FRIA PREDIAL</t>
  </si>
  <si>
    <t xml:space="preserve">JOELHO 45 GRAUS, PVC, SOLDÁVEL, DN 25MM, INSTALADO EM RAMAL DE DISTRIBUIÇÃO DE ÁGUA - FORNECIMENTO E INSTALAÇÃO. AF_06/2022</t>
  </si>
  <si>
    <t xml:space="preserve">JOELHO 45 GRAUS, PVC, SOLDÁVEL, DN 50MM, INSTALADO EM PRUMADA DE ÁGUA - FORNECIMENTO E INSTALAÇÃO. AF_06/2022</t>
  </si>
  <si>
    <t xml:space="preserve">JOELHO, PVC SOLDAVEL, 45 GRAUS, 50 MM, COR MARROM, PARA AGUA FRIA PREDIAL</t>
  </si>
  <si>
    <t xml:space="preserve">JOELHO 45 GRAUS, PVC, SOLDÁVEL, DN 75MM, INSTALADO EM PRUMADA DE ÁGUA - FORNECIMENTO E INSTALAÇÃO. AF_06/2022</t>
  </si>
  <si>
    <t xml:space="preserve">JOELHO, PVC SOLDAVEL, 45 GRAUS, 75 MM, COR MARROM, PARA AGUA FRIA PREDIAL</t>
  </si>
  <si>
    <t xml:space="preserve">JOELHO 90 GRAUS, PVC, SOLDÁVEL, DN 25MM, INSTALADO EM RAMAL DE DISTRIBUIÇÃO DE ÁGUA - FORNECIMENTO E INSTALAÇÃO. AF_06/2022</t>
  </si>
  <si>
    <t xml:space="preserve">JOELHO 90 GRAUS, PVC, SOLDÁVEL, DN 32MM, INSTALADO EM RAMAL DE DISTRIBUIÇÃO DE ÁGUA - FORNECIMENTO E INSTALAÇÃO. AF_06/2022</t>
  </si>
  <si>
    <t xml:space="preserve">JOELHO PVC, SOLDAVEL, 90 GRAUS, 32 MM, COR MARROM, PARA AGUA FRIA PREDIAL</t>
  </si>
  <si>
    <t xml:space="preserve">JOELHO 90 GRAUS, PVC, SOLDÁVEL, DN 50MM, INSTALADO EM RAMAL DE DISTRIBUIÇÃO DE ÁGUA - FORNECIMENTO E INSTALAÇÃO. AF_06/2022</t>
  </si>
  <si>
    <t xml:space="preserve">JOELHO PVC, SOLDAVEL, 90 GRAUS, 50 MM, COR MARROM, PARA AGUA FRIA PREDIAL</t>
  </si>
  <si>
    <t xml:space="preserve">JOELHO 90 GRAUS, PVC, SOLDÁVEL, DN 75MM, INSTALADO EM PRUMADA DE ÁGUA - FORNECIMENTO E INSTALAÇÃO. AF_06/2022</t>
  </si>
  <si>
    <t xml:space="preserve">JOELHO, PVC SOLDAVEL, 90 GRAUS, 75 MM, COR MARROM, PARA AGUA FRIA PREDIAL</t>
  </si>
  <si>
    <t xml:space="preserve">LUVA, PVC, SOLDÁVEL, DN 50MM, INSTALADO EM RAMAL DE DISTRIBUIÇÃO DE ÁGUA - FORNECIMENTO E INSTALAÇÃO. AF_06/2022</t>
  </si>
  <si>
    <t xml:space="preserve">LUVA PVC SOLDAVEL, 50 MM, PARA AGUA FRIA PREDIAL</t>
  </si>
  <si>
    <t xml:space="preserve">LUVA, PVC, SOLDÁVEL, DN 75MM, INSTALADO EM PRUMADA DE ÁGUA - FORNECIMENTO E INSTALAÇÃO. AF_06/2022</t>
  </si>
  <si>
    <t xml:space="preserve">LUVA PVC SOLDAVEL, 75 MM, PARA AGUA FRIA PREDIAL</t>
  </si>
  <si>
    <t xml:space="preserve">TUBO, PVC, SOLDÁVEL, DE 25MM, INSTALADO EM RAMAL DE DISTRIBUIÇÃO DE ÁGUA - FORNECIMENTO E INSTALAÇÃO. AF_06/2022</t>
  </si>
  <si>
    <t xml:space="preserve">TUBO, PVC, SOLDÁVEL, DE 32MM, INSTALADO EM RAMAL DE DISTRIBUIÇÃO DE ÁGUA - FORNECIMENTO E INSTALAÇÃO. AF_06/2022</t>
  </si>
  <si>
    <t xml:space="preserve">TUBO PVC, SOLDAVEL, DE 32 MM, AGUA FRIA (NBR-5648)</t>
  </si>
  <si>
    <t xml:space="preserve">TUBO, PVC, SOLDÁVEL, DE 40MM, INSTALADO EM PRUMADA DE ÁGUA - FORNECIMENTO E INSTALAÇÃO. AF_06/2022</t>
  </si>
  <si>
    <t xml:space="preserve">TUBO PVC, SOLDAVEL, DE 40 MM, AGUA FRIA (NBR-5648)</t>
  </si>
  <si>
    <t xml:space="preserve">TUBO, PVC, SOLDÁVEL, DE 50MM, INSTALADO EM RAMAL DE DISTRIBUIÇÃO DE ÁGUA - FORNECIMENTO E INSTALAÇÃO. AF_06/2022</t>
  </si>
  <si>
    <t xml:space="preserve">TUBO PVC, SOLDAVEL, DE 50 MM, AGUA FRIA (NBR-5648)</t>
  </si>
  <si>
    <t xml:space="preserve">TUBO, PVC, SOLDÁVEL, DE 75MM, INSTALADO EM PRUMADA DE ÁGUA - FORNECIMENTO E INSTALAÇÃO. AF_06/2022</t>
  </si>
  <si>
    <t xml:space="preserve">TUBO PVC, SOLDAVEL, DE 75 MM, AGUA FRIA (NBR-5648)</t>
  </si>
  <si>
    <t xml:space="preserve">TE, PVC, SOLDÁVEL, DN 25MM, INSTALADO EM RAMAL DE DISTRIBUIÇÃO DE ÁGUA - FORNECIMENTO E INSTALAÇÃO. AF_06/2022</t>
  </si>
  <si>
    <t xml:space="preserve">TE, PVC, SOLDÁVEL, DN 32MM, INSTALADO EM RAMAL DE DISTRIBUIÇÃO DE ÁGUA - FORNECIMENTO E INSTALAÇÃO. AF_06/2022</t>
  </si>
  <si>
    <t xml:space="preserve">TE SOLDAVEL, PVC, 90 GRAUS, 32 MM, PARA AGUA FRIA PREDIAL (NBR 5648)</t>
  </si>
  <si>
    <t xml:space="preserve">TE, PVC, SOLDÁVEL, DN 50MM, INSTALADO EM RAMAL DE DISTRIBUIÇÃO DE ÁGUA - FORNECIMENTO E INSTALAÇÃO. AF_06/2022</t>
  </si>
  <si>
    <t xml:space="preserve">TE SOLDAVEL, PVC, 90 GRAUS,50 MM, PARA AGUA FRIA PREDIAL (NBR 5648)</t>
  </si>
  <si>
    <t xml:space="preserve">TÊ DE REDUÇÃO, PVC, SOLDÁVEL, DN 32MM X 25MM, INSTALADO EM PRUMADA DE ÁGUA - FORNECIMENTO E INSTALAÇÃO. AF_06/2022</t>
  </si>
  <si>
    <t xml:space="preserve">TE DE REDUCAO, PVC, SOLDAVEL, 90 GRAUS, 32 MM X 25 MM, PARA AGUA FRIA PREDIAL</t>
  </si>
  <si>
    <t xml:space="preserve">TÊ DE REDUÇÃO, PVC, SOLDÁVEL, DN 50MM X 25MM, INSTALADO EM RAMAL DE DISTRIBUIÇÃO DE ÁGUA - FORNECIMENTO E INSTALAÇÃO. AF_06/2022</t>
  </si>
  <si>
    <t xml:space="preserve">TE DE REDUCAO, PVC, SOLDAVEL, 90 GRAUS, 50 MM X 25 MM, PARA AGUA FRIA PREDIAL</t>
  </si>
  <si>
    <t xml:space="preserve">TE DE REDUÇÃO, PVC, SOLDÁVEL, DN 75MM X 50MM, INSTALADO EM PRUMADA DE ÁGUA - FORNECIMENTO E INSTALAÇÃO. AF_06/2022</t>
  </si>
  <si>
    <t xml:space="preserve">TE DE REDUCAO, PVC, SOLDAVEL, 90 GRAUS, 75 MM X 50 MM, PARA AGUA FRIA PREDIAL</t>
  </si>
  <si>
    <t xml:space="preserve">UNIÃO, PVC, SOLDÁVEL, DN 32MM, INSTALADO EM PRUMADA DE ÁGUA - FORNECIMENTO E INSTALAÇÃO. AF_06/2022</t>
  </si>
  <si>
    <t xml:space="preserve">UNIAO PVC, SOLDAVEL, 32 MM, PARA AGUA FRIA PREDIAL</t>
  </si>
  <si>
    <t xml:space="preserve">JOELHO 90 GRAUS COM BUCHA DE LATÃO, PVC, SOLDÁVEL, DN 25MM, X 3/4 INSTALADO EM RAMAL OU SUB-RAMAL DE ÁGUA - FORNECIMENTO E INSTALAÇÃO. AF_06/2022</t>
  </si>
  <si>
    <t xml:space="preserve">JOELHO PVC, SOLDAVEL, COM BUCHA DE LATAO, 90 GRAUS, 25 MM X 3/4", PARA AGUA FRIA PREDIAL</t>
  </si>
  <si>
    <t xml:space="preserve">JOELHO 90 GRAUS COM BUCHA DE LATÃO, PVC, SOLDÁVEL, DN 25MM, X 1/2 INSTALADO EM RAMAL OU SUB-RAMAL DE ÁGUA - FORNECIMENTO E INSTALAÇÃO. AF_06/2022</t>
  </si>
  <si>
    <t xml:space="preserve">JOELHO PVC, SOLDAVEL, COM BUCHA DE LATAO, 90 GRAUS, 25 MM X 1/2", PARA AGUA FRIA PREDIAL</t>
  </si>
  <si>
    <t xml:space="preserve">TÊ COM BUCHA DE LATÃO NA BOLSA CENTRAL, PVC, SOLDÁVEL, DN 25MM X 1/2 , INSTALADO EM RAMAL OU SUB-RAMAL DE ÁGUA - FORNECIMENTO E INSTALAÇÃO. AF_06/2022</t>
  </si>
  <si>
    <t xml:space="preserve">TE PVC, SOLDAVEL, COM BUCHA DE LATAO NA BOLSA CENTRAL, 90 GRAUS, 25 MM X 1/2", PARA AGUA FRIA PREDIAL</t>
  </si>
  <si>
    <t xml:space="preserve">TÊ COM BUCHA DE LATÃO NA BOLSA CENTRAL, PVC, SOLDÁVEL, DN 25MM X 3/4 , INSTALADO EM RAMAL OU SUB-RAMAL DE ÁGUA - FORNECIMENTO E INSTALAÇÃO. AF_06/2022</t>
  </si>
  <si>
    <t xml:space="preserve">TE PVC, SOLDAVEL, COM BUCHA DE LATAO NA BOLSA CENTRAL, 90 GRAUS, 25 MM X 3/4", PARA AGUA FRIA PREDIAL</t>
  </si>
  <si>
    <t xml:space="preserve">PRESSURIZADOR ULTRA PRESS UP 725 - FORNECIMENTO E INSTALAÇÃO.</t>
  </si>
  <si>
    <t xml:space="preserve">INS-66834288</t>
  </si>
  <si>
    <t xml:space="preserve">PRESSURIZADOR ULTRA PRESS UP 725</t>
  </si>
  <si>
    <t xml:space="preserve">CAIXA D´ÁGUA EM POLIÉSTER REFORÇADO COM FIBRA DE VIDRO, 10000 LITROS - FORNECIMENTO E INSTALAÇÃO. AF_06/2021</t>
  </si>
  <si>
    <t xml:space="preserve">CAIXA D'AGUA / RESERVATORIO EM POLIESTER REFORCADO COM FIBRA DE VIDRO, 10000 LITROS, COM TAMPA</t>
  </si>
  <si>
    <t xml:space="preserve">CABO DE COBRE FLEXÍVEL ISOLADO, 10 MM², 0,6/1,0 KV, PARA REDE AÉREA DE DISTRIBUIÇÃO DE ENERGIA ELÉTRICA DE BAIXA TENSÃO - FORNECIMENTO E INSTALAÇÃO. AF_07/2020</t>
  </si>
  <si>
    <t xml:space="preserve">CABO DE COBRE, FLEXIVEL, CLASSE 4 OU 5, ISOLACAO EM PVC/A, ANTICHAMA BWF-B, COBERTURA PVC-ST1, ANTICHAMA BWF-B, 1 CONDUTOR, 0,6/1 KV, SECAO NOMINAL 10 MM2</t>
  </si>
  <si>
    <t xml:space="preserve">CABO DE COBRE FLEXÍVEL ISOLADO, 16 MM², 0,6/1,0 KV, PARA REDE AÉREA DE DISTRIBUIÇÃO DE ENERGIA ELÉTRICA DE BAIXA TENSÃO - FORNECIMENTO E INSTALAÇÃO. AF_07/2020</t>
  </si>
  <si>
    <t xml:space="preserve">CABO DE COBRE, FLEXIVEL, CLASSE 4 OU 5, ISOLACAO EM PVC/A, ANTICHAMA BWF-B, COBERTURA PVC-ST1, ANTICHAMA BWF-B, 1 CONDUTOR, 0,6/1 KV, SECAO NOMINAL 16 MM2</t>
  </si>
  <si>
    <t xml:space="preserve">CABO DE COBRE FLEXÍVEL ISOLADO, 25 MM², ANTI-CHAMA 0,6/1,0 KV, PARA REDE ENTERRADA DE DISTRIBUIÇÃO DE ENERGIA ELÉTRICA - FORNECIMENTO E INSTALAÇÃO. AF_12/2021</t>
  </si>
  <si>
    <t xml:space="preserve">CABO DE COBRE, FLEXIVEL, CLASSE 4 OU 5, ISOLACAO EM PVC/A, ANTICHAMA BWF-B, COBERTURA PVC-ST1, ANTICHAMA BWF-B, 1 CONDUTOR, 0,6/1 KV, SECAO NOMINAL 25 MM2</t>
  </si>
  <si>
    <t xml:space="preserve">CABO DE COBRE FLEXÍVEL ISOLADO, 35 MM², ANTI-CHAMA 0,6/1,0 KV, PARA REDE ENTERRADA DE DISTRIBUIÇÃO DE ENERGIA ELÉTRICA - FORNECIMENTO E INSTALAÇÃO. AF_12/2021</t>
  </si>
  <si>
    <t xml:space="preserve">CABO DE COBRE, FLEXIVEL, CLASSE 4 OU 5, ISOLACAO EM PVC/A, ANTICHAMA BWF-B, COBERTURA PVC-ST1, ANTICHAMA BWF-B, 1 CONDUTOR, 0,6/1 KV, SECAO NOMINAL 35 MM2</t>
  </si>
  <si>
    <t xml:space="preserve">CABO DE COBRE FLEXÍVEL ISOLADO, 50 MM², ANTI-CHAMA 0,6/1,0 KV, PARA REDE ENTERRADA DE DISTRIBUIÇÃO DE ENERGIA ELÉTRICA - FORNECIMENTO E INSTALAÇÃO. AF_12/2021</t>
  </si>
  <si>
    <t xml:space="preserve">CABO DE COBRE, FLEXIVEL, CLASSE 4 OU 5, ISOLACAO EM PVC/A, ANTICHAMA BWF-B, COBERTURA PVC-ST1, ANTICHAMA BWF-B, 1 CONDUTOR, 0,6/1 KV, SECAO NOMINAL 50 MM2</t>
  </si>
  <si>
    <t xml:space="preserve">CABO DE COBRE FLEXÍVEL ISOLADO, 70 MM², ANTI-CHAMA 0,6/1,0 KV, PARA REDE ENTERRADA DE DISTRIBUIÇÃO DE ENERGIA ELÉTRICA - FORNECIMENTO E INSTALAÇÃO. AF_12/2021</t>
  </si>
  <si>
    <t xml:space="preserve">CABO DE COBRE, FLEXIVEL, CLASSE 4 OU 5, ISOLACAO EM PVC/A, ANTICHAMA BWF-B, COBERTURA PVC-ST1, ANTICHAMA BWF-B, 1 CONDUTOR, 0,6/1 KV, SECAO NOMINAL 70 MM2</t>
  </si>
  <si>
    <t xml:space="preserve">CABO DE COBRE FLEXÍVEL ISOLADO, 95 MM², ANTI-CHAMA 0,6/1,0 KV, PARA REDE ENTERRADA DE DISTRIBUIÇÃO DE ENERGIA ELÉTRICA - FORNECIMENTO E INSTALAÇÃO. AF_12/2021</t>
  </si>
  <si>
    <t xml:space="preserve">CABO DE COBRE, FLEXIVEL, CLASSE 4 OU 5, ISOLACAO EM PVC/A, ANTICHAMA BWF-B, COBERTURA PVC-ST1, ANTICHAMA BWF-B, 1 CONDUTOR, 0,6/1 KV, SECAO NOMINAL 95 MM2</t>
  </si>
  <si>
    <t xml:space="preserve">CABO DE COBRE FLEXÍVEL ISOLADO, 2,5 MM², ANTI-CHAMA 450/750 V, PARA CIRCUITOS TERMINAIS - FORNECIMENTO E INSTALAÇÃO. AF_03/2023</t>
  </si>
  <si>
    <t xml:space="preserve">CABO DE COBRE FLEXÍVEL ISOLADO, 4 MM², ANTI-CHAMA 450/750 V, PARA CIRCUITOS TERMINAIS - FORNECIMENTO E INSTALAÇÃO. AF_03/2023</t>
  </si>
  <si>
    <t xml:space="preserve">CABO DE COBRE, FLEXIVEL, CLASSE 4 OU 5, ISOLACAO EM PVC/A, ANTICHAMA BWF-B, 1 CONDUTOR, 450/750 V, SECAO NOMINAL 4 MM2</t>
  </si>
  <si>
    <t xml:space="preserve">CAIXA RETANGULAR 4" X 2" MÉDIA (1,30 M DO PISO), PVC, INSTALADA EM PAREDE - FORNECIMENTO E INSTALAÇÃO. AF_03/2023</t>
  </si>
  <si>
    <t xml:space="preserve">CAIXA RETANGULAR 4" X 4" MÉDIA (1,30 M DO PISO), PVC, INSTALADA EM PAREDE - FORNECIMENTO E INSTALAÇÃO. AF_03/2023</t>
  </si>
  <si>
    <t xml:space="preserve">CAIXA DE PASSAGEM, EM PVC, DE 4" X 4", PARA ELETRODUTO FLEXIVEL CORRUGADO</t>
  </si>
  <si>
    <t xml:space="preserve">CAIXA OCTOGONAL 4" X 4", PVC, INSTALADA EM LAJE - FORNECIMENTO E INSTALAÇÃO. AF_03/2023</t>
  </si>
  <si>
    <t xml:space="preserve">CAIXA OCTOGONAL DE FUNDO MOVEL, EM PVC, DE 4" X 4", PARA ELETRODUTO FLEXIVEL CORRUGADO</t>
  </si>
  <si>
    <t xml:space="preserve">CAIXA RETANGULAR 4" X 2" MÉDIA (1,30 M DO PISO), METÁLICA, INSTALADA EM PAREDE - FORNECIMENTO E INSTALAÇÃO. AF_03/2023</t>
  </si>
  <si>
    <t xml:space="preserve">CAIXA DE LUZ "4 X 2" EM ACO ESMALTADA</t>
  </si>
  <si>
    <t xml:space="preserve">CURVA 90 GRAUS PARA ELETRODUTO, AÇO GALVANIZADO, DN 25 MM (1"), APARENTE - FORNECIMENTO E INSTALAÇÃO.</t>
  </si>
  <si>
    <t xml:space="preserve">CURVA 90 GRAUS PARA ELETRODUTO, EM ACO GALVANIZADO ELETROLITICO, COM ROSCA, DIAMETRO DE 25 MM (1"), ESPESSURA DE 1,50 MM</t>
  </si>
  <si>
    <t xml:space="preserve">LUVA PARA ELETRODUTO, PVC, ROSCÁVEL, DN 25 MM (3/4"), PARA CIRCUITOS TERMINAIS, INSTALADA EM PAREDE - FORNECIMENTO E INSTALAÇÃO. AF_03/2023</t>
  </si>
  <si>
    <t xml:space="preserve">LUVA EM PVC RIGIDO ROSCAVEL, DE 3/4", PARA ELETRODUTO</t>
  </si>
  <si>
    <t xml:space="preserve">ELETRODUTO FLEXÍVEL CORRUGADO REFORÇADO, PVC, DN 25 MM (3/4"), PARA CIRCUITOS TERMINAIS, INSTALADO EM FORRO - FORNECIMENTO E INSTALAÇÃO. AF_03/2023</t>
  </si>
  <si>
    <t xml:space="preserve">ABRACADEIRA EM ACO PARA AMARRACAO DE ELETRODUTOS, TIPO D, COM 1/2" E PARAFUSO DE FIXACAO</t>
  </si>
  <si>
    <t xml:space="preserve">ELETRODUTO PVC FLEXIVEL CORRUGADO, REFORCADO, COR LARANJA, DE 25 MM, PARA LAJES E PISOS</t>
  </si>
  <si>
    <t xml:space="preserve">ELETRODUTO FLEXÍVEL CORRUGADO REFORÇADO, PVC, DN 32 MM (1"), PARA CIRCUITOS TERMINAIS, INSTALADO EM FORRO - FORNECIMENTO E INSTALAÇÃO. AF_03/2023</t>
  </si>
  <si>
    <t xml:space="preserve">ELETRODUTO PVC FLEXIVEL CORRUGADO, REFORCADO, COR LARANJA, DE 32 MM, PARA LAJES E PISOS</t>
  </si>
  <si>
    <t xml:space="preserve">ELETRODUTO FLEXÍVEL CORRUGADO, PEAD, DN 50 (1 1/2"), PARA REDE ENTERRADA DE DISTRIBUIÇÃO DE ENERGIA ELÉTRICA - FORNECIMENTO E INSTALAÇÃO. AF_12/2021</t>
  </si>
  <si>
    <t xml:space="preserve">ELETRODUTO/DUTO PEAD FLEXIVEL PAREDE SIMPLES, CORRUGACAO HELICOIDAL, COR PRETA, SEM ROSCA, DE 1 1/2", CRC 680 N, PARA CABEAMENTO SUBTERRANEO (NBR 15715)</t>
  </si>
  <si>
    <t xml:space="preserve">ELETRODUTO FLEXÍVEL CORRUGADO, PEAD, DN 40 MM (1 1/4"), PARA CIRCUITOS TERMINAIS, INSTALADO EM FORRO - FORNECIMENTO E INSTALAÇÃO. AF_03/2023</t>
  </si>
  <si>
    <t xml:space="preserve">ELETRODUTO/DUTO PEAD FLEXIVEL PAREDE SIMPLES, CORRUGACAO HELICOIDAL, COR PRETA, SEM ROSCA, DE 1 1/4", CRC 680 N, PARA CABEAMENTO SUBTERRANEO (NBR 15715)</t>
  </si>
  <si>
    <t xml:space="preserve">ELETRODUTO FLEXÍVEL CORRUGADO, PEAD, DN 63 (2"), PARA REDE ENTERRADA DE DISTRIBUIÇÃO DE ENERGIA ELÉTRICA - FORNECIMENTO E INSTALAÇÃO. AF_12/2021</t>
  </si>
  <si>
    <t xml:space="preserve">ELETRODUTO/DUTO PEAD FLEXIVEL PAREDE SIMPLES, CORRUGACAO HELICOIDAL, COR PRETA, SEM ROSCA, DE 2", CRC 680 N, PARA CABEAMENTO SUBTERRANEO (NBR 15715)</t>
  </si>
  <si>
    <t xml:space="preserve">ELETRODUTO FLEXÍVEL CORRUGADO, PEAD, DN 80 (2.1/2"), PARA REDE ENTERRADA DE DISTRIBUIÇÃO DE ENERGIA ELÉTRICA - FORNECIMENTO E INSTALAÇÃO.</t>
  </si>
  <si>
    <t xml:space="preserve">INS-68256708</t>
  </si>
  <si>
    <t xml:space="preserve">ELETRODUTO/DUTO PEAD FLEXIVEL PAREDE SIMPLES, CORRUGACAO HELICOIDAL, COR PRETA, SEM ROSCA, DE 2.1/2", CRC 680 N, PARA CABEAMENTO SUBTERRANEO (NBR 15715)</t>
  </si>
  <si>
    <t xml:space="preserve">CURVA HORIZONTAL 45º PARA ELETROCALHA, LISA OU PERFURADA EM AÇO GALVANIZADO, LARGURA DE 100MM E ALTURA DE 50MM - FORNECIMENTO E INSTALAÇÃO.</t>
  </si>
  <si>
    <t xml:space="preserve">INS-49596458</t>
  </si>
  <si>
    <t xml:space="preserve">CURVA HORIZONTAL 45 GRAUS PARA ELETROCALHA EM CHAPA PERFURADA DE ACO GALVANIZADO 100 X 50 MM</t>
  </si>
  <si>
    <t xml:space="preserve">INS-35895068</t>
  </si>
  <si>
    <t xml:space="preserve">TALA PARA EMENDA DE ELETROCALHA GALVANIZADA LISA OU PERFURADA - 100X50MM</t>
  </si>
  <si>
    <t xml:space="preserve">CURVA HORIZONTAL 45º PARA ELETROCALHA, LISA OU PERFURADA EM AÇO GALVANIZADO, LARGURA DE 50MM E ALTURA DE 50MM - FORNECIMENTO E INSTALAÇÃO.</t>
  </si>
  <si>
    <t xml:space="preserve">INS-99282006</t>
  </si>
  <si>
    <t xml:space="preserve">CURVA HORIZONTAL 45 GRAUS PARA ELETROCALHA EM CHAPA PERFURADA DE ACO GALVANIZADO 50 X 50 MM</t>
  </si>
  <si>
    <t xml:space="preserve">INS-57678559</t>
  </si>
  <si>
    <t xml:space="preserve">TALA PARA EMENDA DE ELETROCALHA GALVANIZADA LISA OU PERFURADA - 50X50MM</t>
  </si>
  <si>
    <t xml:space="preserve">CURVA HORIZONTAL 90º PARA ELETROCALHA, LISA OU PERFURADA EM AÇO GALVANIZADO, LARGURA DE 100MM E ALTURA DE 50MM - FORNECIMENTO E INSTALAÇÃO.</t>
  </si>
  <si>
    <t xml:space="preserve">INS-69017858</t>
  </si>
  <si>
    <t xml:space="preserve">CURVA HORIZONTAL 90 GRAUS PARA ELETROCALHA EM CHAPA DE ACO GALVANIZADO 100 X 50 MM</t>
  </si>
  <si>
    <t xml:space="preserve">CURVA HORIZONTAL 90º PARA ELETROCALHA, LISA OU PERFURADA EM AÇO GALVANIZADO, LARGURA DE 50MM E ALTURA DE 50MM - FORNECIMENTO E INSTALAÇÃO.</t>
  </si>
  <si>
    <t xml:space="preserve">INS-58184371</t>
  </si>
  <si>
    <t xml:space="preserve">CURVA HORIZONTAL 90 GRAUS PARA ELETROCALHA EM CHAPA DE ACO GALVANIZADO 50 X 50 MM</t>
  </si>
  <si>
    <t xml:space="preserve">CURVA VERTICAL INTERNA 90º PARA ELETROCALHA, LISA OU PERFURADA EM AÇO GALVANIZADO, LARGURA DE 100MM E ALTURA DE 50MM - FORNECIMENTO E INSTALAÇÃO.</t>
  </si>
  <si>
    <t xml:space="preserve">INS-43936590</t>
  </si>
  <si>
    <t xml:space="preserve">CURVA VERTICAL INTERNA 90 GRAUS PARA ELETROCALHA EM CHAPA DE ACO GALVANIZADO 100 X 50 MM</t>
  </si>
  <si>
    <t xml:space="preserve">TÊ HORIZONTAL 90º, PARA ELETROCALHA, LISA OU PERFURADA EM AÇO GALVANIZADO, LARGURA DE 100MM E ALTURA DE 50MM - FORNECIMENTO E INSTALAÇÃO.</t>
  </si>
  <si>
    <t xml:space="preserve">INS-93283596</t>
  </si>
  <si>
    <t xml:space="preserve">TE HORIZONTAL 90 GRAUS PARA ELETROCALHA EM CHAPA DE ACO GALVANIZADO 100 X 50 MM, ESPESSURA #20</t>
  </si>
  <si>
    <t xml:space="preserve">TÊ HORIZONTAL 90º, PARA ELETROCALHA, LISA OU PERFURADA EM AÇO GALVANIZADO, LARGURA DE 50MM E ALTURA DE 50MM - FORNECIMENTO E INSTALAÇÃO.</t>
  </si>
  <si>
    <t xml:space="preserve">INS-38866617</t>
  </si>
  <si>
    <t xml:space="preserve">TE HORIZONTAL 90 GRAUS PARA ELETROCALHA EM CHAPA DE ACO GALVANIZADO 50 X 50 MM, ESPESSURA #20</t>
  </si>
  <si>
    <t xml:space="preserve"> UN</t>
  </si>
  <si>
    <t xml:space="preserve">TÊ HORIZONTAL 90º, PARA ELETROCALHA, LISA OU PERFURADA EM AÇO GALVANIZADO, LARGURA DE 150MM E ALTURA DE 50MM - FORNECIMENTO E INSTALAÇÃO.</t>
  </si>
  <si>
    <t xml:space="preserve">INS-51781186</t>
  </si>
  <si>
    <t xml:space="preserve">TALA PARA EMENDA DE ELETROCALHA GALVANIZADA LISA OU PERFURADA, LARGURA 150MM E ALTURA 50MM.</t>
  </si>
  <si>
    <t xml:space="preserve">INS-92052707</t>
  </si>
  <si>
    <t xml:space="preserve">TE HORIZONTAL 90 GRAUS PARA ELETROCALHA EM CHAPA DE ACO GALVANIZADO 150 X 50 MM</t>
  </si>
  <si>
    <t xml:space="preserve">ELETROCALHA LISA OU PERFURADA EM AÇO GALVANIZADO, LARGURA 150MM E ALTURA 50MM, INCLUSIVE EMENDA, TAMPA E FIXAÇÃO - FORNECIMENTO E INSTALAÇÃO.</t>
  </si>
  <si>
    <t xml:space="preserve">ARRUELA LISA, REDONDA, DE LATAO POLIDO, DIAMETRO NOMINAL 5/8", DIAMETRO EXTERNO = 34 MM, DIAMETRO DO FURO = 17 MM, ESPESSURA = *2,5* MM</t>
  </si>
  <si>
    <t xml:space="preserve">CHUMBADOR DE ACO ZINCADO, DIAMETRO 1/4" COM PARAFUSO 1/4" X 40 MM</t>
  </si>
  <si>
    <t xml:space="preserve">INS-31175846</t>
  </si>
  <si>
    <t xml:space="preserve">ELETROCALHA LISA OU PERFURADA EM CHAPA DE ACO GALVANIZADO, LARGURA 150MM E ALTURA 50MM</t>
  </si>
  <si>
    <t xml:space="preserve">INS-85827680</t>
  </si>
  <si>
    <t xml:space="preserve">EMENDA LISA, EM CHAPA DE ACO GALVANIZADO, LARGURA X ALTURA = 150 MM X 50 MM</t>
  </si>
  <si>
    <t xml:space="preserve">PERFILADO PERFURADO DUPLO 38 X 76 MM, CHAPA 22</t>
  </si>
  <si>
    <t xml:space="preserve">PORCA ZINCADA, SEXTAVADA, DIAMETRO 1/4"</t>
  </si>
  <si>
    <t xml:space="preserve">INS-49447014</t>
  </si>
  <si>
    <t xml:space="preserve">TAMPA PARA ELETROCALHA EM CHAPA DE ACO GALVANIZADO, LARGURA 150MM.</t>
  </si>
  <si>
    <t xml:space="preserve">VERGALHAO ZINCADO ROSCA TOTAL, 1/4" (6,3 MM)</t>
  </si>
  <si>
    <t xml:space="preserve">ELETROCALHA LISA OU PERFURADA EM AÇO GALVANIZADO, LARGURA 100MM E ALTURA 50MM, INCLUSIVE EMENDA, TAMPA E FIXAÇÃO - FORNECIMENTO E INSTALAÇÃO.</t>
  </si>
  <si>
    <t xml:space="preserve">INS-19799396</t>
  </si>
  <si>
    <t xml:space="preserve">ELETROCALHA LISA OU PERFURADA EM CHAPA DE ACO GALVANIZADO, LARGURA 100 MM E ALTURA 50 MM, ESPESSURA #20</t>
  </si>
  <si>
    <t xml:space="preserve">INS-71163288</t>
  </si>
  <si>
    <t xml:space="preserve">TAMPA PARA ELETROCALHA EM CHAPA DE ACO GALVANIZADO, LARGURA 100 MM.</t>
  </si>
  <si>
    <t xml:space="preserve">ELETROCALHA LISA OU PERFURADA EM AÇO GALVANIZADO, LARGURA 50MM E ALTURA 50MM, INCLUSIVE EMENDA, TAMPA E FIXAÇÃO - FORNECIMENTO E INSTALAÇÃO.</t>
  </si>
  <si>
    <t xml:space="preserve">INS-07995266</t>
  </si>
  <si>
    <t xml:space="preserve">ELETROCALHA LISA TIPO U, EM CHAPA DE ACO GALVANIZADO, SEM TAMPA, DE 50 X 50 MM</t>
  </si>
  <si>
    <t xml:space="preserve">INS-42338289</t>
  </si>
  <si>
    <t xml:space="preserve">TAMPA PARA ELETROCALHA EM CHAPA DE ACO GALVANIZADO, LARGURA DE 50 MM.</t>
  </si>
  <si>
    <t xml:space="preserve">INTERRUPTOR SIMPLES (1 MÓDULO) COM INTERRUPTOR PARALELO (2 MÓDULOS), 10A/250V, INCLUINDO SUPORTE E PLACA - FORNECIMENTO E INSTALAÇÃO. AF_03/2023</t>
  </si>
  <si>
    <t xml:space="preserve">INTERRUPTOR PARALELO 10A, 250V (APENAS MODULO)</t>
  </si>
  <si>
    <t xml:space="preserve">INTERRUPTOR INTERMEDIÁRIO (1 MÓDULO), 10A/250V, INCLUINDO SUPORTE E PLACA - FORNECIMENTO E INSTALAÇÃO. AF_03/2023</t>
  </si>
  <si>
    <t xml:space="preserve">INTERRUPTOR INTERMEDIARIO 10 A, 250 V (APENAS MODULO)</t>
  </si>
  <si>
    <t xml:space="preserve">INTERRUPTOR PARALELO (1 MÓDULO), 10A/250V, INCLUINDO SUPORTE E PLACA - FORNECIMENTO E INSTALAÇÃO. AF_03/2023</t>
  </si>
  <si>
    <t xml:space="preserve">INTERRUPTOR PARALELO (2 MÓDULOS), 10A/250V, INCLUINDO SUPORTE E PLACA - FORNECIMENTO E INSTALAÇÃO. AF_03/2023</t>
  </si>
  <si>
    <t xml:space="preserve">INTERRUPTOR SIMPLES (1 MÓDULO) COM INTERRUPTOR PARALELO (1 MÓDULO), 10A/250V, INCLUINDO SUPORTE E PLACA - FORNECIMENTO E INSTALAÇÃO. AF_03/2023</t>
  </si>
  <si>
    <t xml:space="preserve">INTERRUPTOR SIMPLES (1 MÓDULO), 10A/250V, INCLUINDO SUPORTE E PLACA - FORNECIMENTO E INSTALAÇÃO. AF_03/2023</t>
  </si>
  <si>
    <t xml:space="preserve">INTERRUPTOR PARALELO (1 MÓDULO) COM 1 TOMADA DE EMBUTIR 2P+T 10 A, INCLUINDO SUPORTE E PLACA - FORNECIMENTO E INSTALAÇÃO. AF_03/2023</t>
  </si>
  <si>
    <t xml:space="preserve">INTERRUPTOR SIMPLES (1 MÓDULO) COM 1 TOMADA DE EMBUTIR 2P+T 10 A, INCLUINDO SUPORTE E PLACA - FORNECIMENTO E INSTALAÇÃO. AF_03/2023</t>
  </si>
  <si>
    <t xml:space="preserve">TOMADA MÉDIA DE EMBUTIR (2 MÓDULOS), 2P+T 10 A, INCLUINDO SUPORTE E PLACA - FORNECIMENTO E INSTALAÇÃO. AF_03/2023</t>
  </si>
  <si>
    <t xml:space="preserve">TOMADA MÉDIA DE EMBUTIR (3 MÓDULOS), 2P+T 20 A, INCLUINDO SUPORTE E PLACA - FORNECIMENTO E INSTALAÇÃO. AF_03/2023</t>
  </si>
  <si>
    <t xml:space="preserve">TOMADA MÉDIA DE EMBUTIR (1 MÓDULO), 2P+T 10 A, INCLUINDO SUPORTE E PLACA - FORNECIMENTO E INSTALAÇÃO. AF_03/2023</t>
  </si>
  <si>
    <t xml:space="preserve">TOMADA MÉDIA DE EMBUTIR (1 MÓDULO), 2P+T 20 A, INCLUINDO SUPORTE E PLACA - FORNECIMENTO E INSTALAÇÃO. AF_03/2023</t>
  </si>
  <si>
    <t xml:space="preserve">TOMADA USB MÉDIA DE EMBUTIR (1 MÓDULO), 2A, INCLUINDO SUPORTE E PLACA - FORNECIMENTO E INSTALAÇÃO.</t>
  </si>
  <si>
    <t xml:space="preserve">INS-52845551</t>
  </si>
  <si>
    <t xml:space="preserve">TOMADA USB 2A (APENAS MODULO)</t>
  </si>
  <si>
    <t xml:space="preserve">INTERRUPTOR AUTOMÁTICO POR PRESENÇA 1200W RESISTIVO - FORNECIMENTO E INSTALAÇÃO.</t>
  </si>
  <si>
    <t xml:space="preserve">INS-68948981</t>
  </si>
  <si>
    <t xml:space="preserve">INTERRUPTOR AUTOMÁTICO POR PRESENÇA 1200W RESISTIVO</t>
  </si>
  <si>
    <t xml:space="preserve">DISJUNTOR MONOPOLAR TIPO DIN, CORRENTE NOMINAL DE 10A - FORNECIMENTO E INSTALAÇÃO. AF_10/2020</t>
  </si>
  <si>
    <t xml:space="preserve">DISJUNTOR TERMOMAGNETICO PARA TRILHO DIN (IEC), MONOPOLAR, 6 - 32 A</t>
  </si>
  <si>
    <t xml:space="preserve">TERMINAL A COMPRESSAO EM COBRE ESTANHADO PARA CABO 2,5 MM2, 1 FURO E 1 COMPRESSAO, PARA PARAFUSO DE FIXACAO M5</t>
  </si>
  <si>
    <t xml:space="preserve">DISJUNTOR MONOPOLAR TIPO DIN, CORRENTE NOMINAL DE 16A - FORNECIMENTO E INSTALAÇÃO. AF_10/2020</t>
  </si>
  <si>
    <t xml:space="preserve">DISJUNTOR MONOPOLAR TIPO DIN, CORRENTE NOMINAL DE 20A - FORNECIMENTO E INSTALAÇÃO. AF_10/2020</t>
  </si>
  <si>
    <t xml:space="preserve">TERMINAL A COMPRESSAO EM COBRE ESTANHADO PARA CABO 4 MM2, 1 FURO E 1 COMPRESSAO, PARA PARAFUSO DE FIXACAO M5</t>
  </si>
  <si>
    <t xml:space="preserve">DISJUNTOR TRIPOLAR TIPO DIN, CORRENTE NOMINAL DE 10A - FORNECIMENTO E INSTALAÇÃO. AF_10/2020</t>
  </si>
  <si>
    <t xml:space="preserve">DISJUNTOR TERMOMAGNETICO PARA TRILHO DIN (IEC), TRIPOLAR, 10 - 50 A</t>
  </si>
  <si>
    <t xml:space="preserve">DISJUNTOR TRIPOLAR TIPO DIN, CORRENTE NOMINAL DE 50A - FORNECIMENTO E INSTALAÇÃO. AF_10/2020</t>
  </si>
  <si>
    <t xml:space="preserve">TERMINAL A COMPRESSAO EM COBRE ESTANHADO PARA CABO 16 MM2, 1 FURO E 1 COMPRESSAO, PARA PARAFUSO DE FIXACAO M6</t>
  </si>
  <si>
    <t xml:space="preserve">DISJUNTOR TRIPOLAR TIPO DIN, CORRENTE NOMINAL DE 63A - FORNECIMENTO E INSTALAÇÃO.</t>
  </si>
  <si>
    <t xml:space="preserve">DISJUNTOR TERMOMAGNETICO PARA TRILHO DIN (IEC), TRIPOLAR, 63 A</t>
  </si>
  <si>
    <t xml:space="preserve">DISJUNTOR TERMOMAGNÉTICO TRIPOLAR , CORRENTE NOMINAL DE 125A - FORNECIMENTO E INSTALAÇÃO. AF_10/2020</t>
  </si>
  <si>
    <t xml:space="preserve">DISJUNTOR TERMOMAGNETICO TRIPOLAR 125 A / 425 V / ICC - 25 KA</t>
  </si>
  <si>
    <t xml:space="preserve">TERMINAL A COMPRESSAO EM COBRE ESTANHADO PARA CABO 50 MM2, 1 FURO E 1 COMPRESSAO, PARA PARAFUSO DE FIXACAO M8</t>
  </si>
  <si>
    <t xml:space="preserve">DISJUNTOR TERMOMAGNÉTICO TRIPOLAR , CORRENTE NOMINAL DE 250A - FORNECIMENTO E INSTALAÇÃO. AF_10/2020</t>
  </si>
  <si>
    <t xml:space="preserve">DISJUNTOR TERMOMAGNETICO TRIPOLAR 250 A / 600 V, TIPO FXD</t>
  </si>
  <si>
    <t xml:space="preserve">TERMINAL A COMPRESSAO EM COBRE ESTANHADO PARA CABO 120 MM2, 1 FURO E 1 COMPRESSAO, PARA PARAFUSO DE FIXACAO M12</t>
  </si>
  <si>
    <t xml:space="preserve">DISPOSITIVO BIPOLAR DR, SENSIBILIDADE DE 30 MA, CORRENTE NOMINAL DE 25A - FORNECIMENTO E INSTALAÇÃO.</t>
  </si>
  <si>
    <t xml:space="preserve">DISPOSITIVO DR, 2 POLOS, SENSIBILIDADE DE 30 MA, CORRENTE DE 25 A, TIPO AC</t>
  </si>
  <si>
    <t xml:space="preserve">DISPOSITIVO DPS CLASSE II, 1 POLO, TENSÃO MÁXIMA DE 275 V, CORRENTE MÁXIMA DE 80 KA - FORNECIMENTO E INSTALAÇÃO.</t>
  </si>
  <si>
    <t xml:space="preserve">DISPOSITIVO DPS CLASSE II, 1 POLO, TENSAO MAXIMA DE 275 V, CORRENTE MAXIMA DE *90* KA (TIPO AC)</t>
  </si>
  <si>
    <t xml:space="preserve">TERMINAL A COMPRESSAO EM COBRE ESTANHADO PARA CABO 70 MM2, 1 FURO E 1 COMPRESSAO, PARA PARAFUSO DE FIXACAO M10</t>
  </si>
  <si>
    <t xml:space="preserve">QUADRO DE DISTRIBUIÇÃO DE ENERGIA EM CHAPA DE AÇO GALVANIZADO, DE EMBUTIR, COM BARRAMENTO TRIFÁSICO, PARA 50 DISJUNTORES DIN 225A - FORNECIMENTO E INSTALAÇÃO.</t>
  </si>
  <si>
    <t xml:space="preserve">INS-62033881</t>
  </si>
  <si>
    <t xml:space="preserve">QUADRO DE DISTRIBUICAO COM BARRAMENTO TRIFASICO, DE EMBUTIR, EM CHAPA DE ACO GALVANIZADO, PARA 50 DISJUNTORES DIN, 225 A</t>
  </si>
  <si>
    <t xml:space="preserve">QUADRO DE DISTRIBUIÇÃO DE ENERGIA EM CHAPA DE AÇO GALVANIZADO, DE EMBUTIR, COM BARRAMENTO TRIFÁSICO, PARA 70 DISJUNTORES DIN 250A - FORNECIMENTO E INSTALAÇÃO.</t>
  </si>
  <si>
    <t xml:space="preserve">INS-53539943</t>
  </si>
  <si>
    <t xml:space="preserve">QUADRO DE DISTRIBUICAO COM BARRAMENTO TRIFASICO, DE EMBUTIR, EM CHAPA DE ACO GALVANIZADO, PARA 70 DISJUNTORES DIN, 250 A</t>
  </si>
  <si>
    <t xml:space="preserve">LUMINÁRIA TIPO CALHA, DE EMBUTIR, COM 2 LÂMPADAS TUBULARES LED DE 9 W, 6500 K - FORNECIMENTO E INSTALAÇÃO.</t>
  </si>
  <si>
    <t xml:space="preserve">LAMPADA LED TUBULAR BIVOLT 9/10 W, BASE G13</t>
  </si>
  <si>
    <t xml:space="preserve">INS-22924164</t>
  </si>
  <si>
    <t xml:space="preserve">LUMINARIA DE EMBUTIR, EM CHAPA DE ACO, PARA 2 LAMPADAS, TUBULAR LED DE 9 OU 10 W, SOQUETE G13, BIVOLT, ALETADA, 60 CM.</t>
  </si>
  <si>
    <t xml:space="preserve">LUMINÁRIA TIPO CALHA, DE EMBUTIR, COM 4 LÂMPADAS TUBULARES LED DE 9 W, 6500 K - FORNECIMENTO E INSTALAÇÃO.</t>
  </si>
  <si>
    <t xml:space="preserve">INS-91683365</t>
  </si>
  <si>
    <t xml:space="preserve">LUMINARIA DE EMBUTIR, EM CHAPA DE ACO, PARA 4 LAMPADAS, TUBULAR LED DE 9 OU 10 W, SOQUETE G13, BIVOLT, ALETADA, 60 CM.</t>
  </si>
  <si>
    <t xml:space="preserve">LUMINÁRIA TIPO PLAFON REDONDA, DE EMBUTIR, COM LED DE 9 W, 4000 K - FORNECIMENTO E INSTALAÇÃO.</t>
  </si>
  <si>
    <t xml:space="preserve">INS-61825425</t>
  </si>
  <si>
    <t xml:space="preserve">LUMINARIA PAINEL PLAFON, DE EMBUTIR, SLIM, CIRCULAR 16 X 16 CM, EM PLÁSTICO ABS, ACABAMENTO BRANCO, LED 9 W.</t>
  </si>
  <si>
    <t xml:space="preserve">LUMINÁRIA TIPO PLAFON CIRCULAR, DE SOBREPOR, COM LED DE 12 W, 4000 K - FORNECIMENTO E INSTALAÇÃO.</t>
  </si>
  <si>
    <t xml:space="preserve">LUMINARIA LED PLAFON REDONDO DE SOBREPOR BIVOLT 12/13 W, D = *17* CM</t>
  </si>
  <si>
    <t xml:space="preserve">LUMINÁRIA TIPO CALHA, DE SOBREPOR, COM 2 LÂMPADAS TUBULARES LED DE 20 W - FORNECIMENTO E INSTALAÇÃO.</t>
  </si>
  <si>
    <t xml:space="preserve">LAMPADA LED TUBULAR BIVOLT 18/20 W, BASE G13</t>
  </si>
  <si>
    <t xml:space="preserve">INS-19164364</t>
  </si>
  <si>
    <t xml:space="preserve">LUMINARIA DE SOBREPOR, EM CHAPA DE ACO PINTADA COR BRANCA, PARA 2 LAMPADAS T8 LED DE 20 W, BIVOLT, ALETADA.</t>
  </si>
  <si>
    <t xml:space="preserve">LUMINÁRIA ARANDELA TIPO TARTARUGA, DE SOBREPOR, COM 1 LÂMPADA LED DE 15 W, 6500 K - FORNECIMENTO E INSTALAÇÃO.</t>
  </si>
  <si>
    <t xml:space="preserve">INS-22096454</t>
  </si>
  <si>
    <t xml:space="preserve">LAMPADA LED 15W 6500K, BASE E27</t>
  </si>
  <si>
    <t xml:space="preserve">LUMINARIA TIPO TARTARUGA PARA AREA EXTERNA EM ALUMINIO, COM GRADE, PARA 1 LAMPADA, BASE E27, POTENCIA MAXIMA 40/60 W (NAO INCLUI LAMPADA)</t>
  </si>
  <si>
    <t xml:space="preserve">REFLETOR DE SOBREPOR, LED 50 W, 6500 K - FORNECIMENTO E INSTALAÇÃO.</t>
  </si>
  <si>
    <t xml:space="preserve">LUMINARIA LED REFLETOR RETANGULAR BIVOLT, LUZ BRANCA, 50 W</t>
  </si>
  <si>
    <t xml:space="preserve">NOBREAK 20 KVA - FORNECIMENTO E INSTALAÇÃO.</t>
  </si>
  <si>
    <t xml:space="preserve">INS-92600403</t>
  </si>
  <si>
    <t xml:space="preserve">NOBREAK 20 KVA</t>
  </si>
  <si>
    <t xml:space="preserve">GERADOR DE ENERGIA A DIESEL, 7,5 KVA, TRIFÁSICO - FORNECIMENTO E INSTALAÇÃO.</t>
  </si>
  <si>
    <t xml:space="preserve">INS-65808343</t>
  </si>
  <si>
    <t xml:space="preserve">GERADOR DE ENERGIA A DIESEL, 7,5 KVA, TRIFÁSICO</t>
  </si>
  <si>
    <t xml:space="preserve">MONTADOR DE ELETROELETRONICOS (HORISTA)</t>
  </si>
  <si>
    <t xml:space="preserve">CAIXA ENTERRADA ELÉTRICA RETANGULAR, EM CONCRETO PRÉ-MOLDADO, FUNDO COM BRITA, DIMENSÕES INTERNAS: 0,3X0,3X0,3 M. AF_12/2020</t>
  </si>
  <si>
    <t xml:space="preserve">CAIXA DE CONCRETO ARMADO PRE-MOLDADO, SEM FUNDO, QUADRADA, DIMENSOES DE 0,30 X 0,30 X 0,30 M</t>
  </si>
  <si>
    <t xml:space="preserve">TAMPA PARA CAIXA TIPO R1, EM FERRO FUNDIDO, DIMENSÕES INTERNAS: 0,40 X 0,60 M - FORNECIMENTO E INSTALAÇÃO. AF_12/2020</t>
  </si>
  <si>
    <t xml:space="preserve">TAMPAO FOFO SIMPLES COM BASE / REQUADRO, CLASSE A15 CARGA MAX. 1,5 T, 400 X 600 MM (COM INSCRICAO EM RELEVO DO TIPO DE REDE)</t>
  </si>
  <si>
    <t xml:space="preserve">CABO DE COBRE FLEXÍVEL, 3 VIAS, 2,5 MM², ANTI-CHAMA 0,6/1,0 KV, PARA CIRCUITOS TERMINAIS - FORNECIMENTO E INSTALAÇÃO.</t>
  </si>
  <si>
    <t xml:space="preserve">CABO MULTIPOLAR DE COBRE, FLEXIVEL, CLASSE 4 OU 5, ISOLACAO EM HEPR, COBERTURA EM PVC-ST2, ANTICHAMA BWF-B, 0,6/1 KV, 3 CONDUTORES DE 2,5 MM2</t>
  </si>
  <si>
    <t xml:space="preserve">PLUGUE TOMADA MACHO 3 PINOS 10A 90° - FORNECIMENTO E INSTALAÇÃO.</t>
  </si>
  <si>
    <t xml:space="preserve">INS-58380150</t>
  </si>
  <si>
    <t xml:space="preserve">PLUGUE TOMADA MACHO 3 PINOS 10A 90°</t>
  </si>
  <si>
    <t xml:space="preserve">TOMADA MÉDIA DE EMBUTIR (1 MÓDULO), 2P+T 10 A, SEM SUPORTE E SEM PLACA - FORNECIMENTO E INSTALAÇÃO. AF_03/2023</t>
  </si>
  <si>
    <t xml:space="preserve">SWITCH, 48 PORTAS, CATEGORIA 6 - FORNECIMENTO E INSTALAÇÃO.</t>
  </si>
  <si>
    <t xml:space="preserve">INS-10295841</t>
  </si>
  <si>
    <t xml:space="preserve">SWITCH, 48 PORTAS, CATEGORIA 6, COM RACKS DE 19" DE LARGURA E 2 U DE ALTURA</t>
  </si>
  <si>
    <t xml:space="preserve">CONECTOR MACHO DE REDE RJ45, CAT 6 - FORNECIMENTO E INSTALAÇÃO.</t>
  </si>
  <si>
    <t xml:space="preserve">CONECTOR MACHO RJ 45, CATEGORIA 6 (CAT 6) PARA CABOS</t>
  </si>
  <si>
    <t xml:space="preserve">PATCH PANEL 48 PORTAS, CATEGORIA 6 - FORNECIMENTO E INSTALAÇÃO. AF_11/2019</t>
  </si>
  <si>
    <t xml:space="preserve">PATCH PANEL, 48 PORTAS, CATEGORIA 6, COM RACKS DE 19" DE LARGURA E 2 U DE ALTURA</t>
  </si>
  <si>
    <t xml:space="preserve">PATCH PANEL 24 PORTAS, CATEGORIA 6 - FORNECIMENTO E INSTALAÇÃO. AF_11/2019</t>
  </si>
  <si>
    <t xml:space="preserve">PATCH PANEL, 24 PORTAS, CATEGORIA 6, COM RACKS DE 19" DE LARGURA E 1 U DE ALTURA</t>
  </si>
  <si>
    <t xml:space="preserve">RACK EM COLUNA 44U PARA SERVIDOR, INCLUSOS FILTRO DE LINHA E NOBREAK - FORNECIMENTO E INSTALAÇÃO.</t>
  </si>
  <si>
    <t xml:space="preserve">INS-05659256</t>
  </si>
  <si>
    <t xml:space="preserve">FILTRO DE LINHA PARA RACK 1U</t>
  </si>
  <si>
    <t xml:space="preserve">INS-45644345</t>
  </si>
  <si>
    <t xml:space="preserve">NOBREAK PARA RACK 2U</t>
  </si>
  <si>
    <t xml:space="preserve">INS-79470922</t>
  </si>
  <si>
    <t xml:space="preserve">RACK DE PISO PARA SERVIDOR, EM COLUNA, 44U 800x800 mm</t>
  </si>
  <si>
    <t xml:space="preserve">DISTRIBUIDOR INTERNO ÓPTICO - D.I.O. PARA 24 FIBRAS MULTIMODO, COM CONCETORES LC - FORNECIMENTO E INSTALAÇÃO.</t>
  </si>
  <si>
    <t xml:space="preserve">INS-94144302</t>
  </si>
  <si>
    <t xml:space="preserve">DISTRIBUIDOR INTERNO ÓPTICO - D.I.O. PARA 24 FIBRAS MULTIMODO, COM CONCETORES LC</t>
  </si>
  <si>
    <t xml:space="preserve">CABO ELETRÔNICO CATEGORIA 6, INSTALADO EM EDIFICAÇÃO INSTITUCIONAL - FORNECIMENTO E INSTALAÇÃO.</t>
  </si>
  <si>
    <t xml:space="preserve">CABO DE REDE, PAR TRANCADO UTP, 4 PARES, CATEGORIA 6 (CAT 6), ISOLAMENTO PVC (LSZH)</t>
  </si>
  <si>
    <t xml:space="preserve">CAIXA DE PASSAGEM PARA TELEFONE 20X20CM, DE EMBUTIR - FORNECIMENTO E INSTALACAO.</t>
  </si>
  <si>
    <t xml:space="preserve">CAIXA DE PASSAGEM ELETRICA DE PAREDE, DE EMBUTIR, EM PVC, COM TAMPA APARAFUSADA, DIMENSOES 200 X 200 X *90* MM</t>
  </si>
  <si>
    <t xml:space="preserve">TOMADA DE REDE 2xRJ45, CAT6 - FORNECIMENTO E INSTALAÇÃO.</t>
  </si>
  <si>
    <t xml:space="preserve">INS-74025800</t>
  </si>
  <si>
    <t xml:space="preserve">TOMADA RJ45, 8 FIOS, CAT 6 (APENAS MODULO)</t>
  </si>
  <si>
    <t xml:space="preserve">CURVA DE INVERSÃO 90º, PARA ELETROCALHA, LISA OU PERFURADA EM AÇO GALVANIZADO, LARGURA DE 150MM E ALTURA DE 50MM - FORNECIMENTO E INSTALAÇÃO.</t>
  </si>
  <si>
    <t xml:space="preserve">INS-99627807</t>
  </si>
  <si>
    <t xml:space="preserve">CURVA DE INVERSÃO 90 GRAUS PARA ELETROCALHA EM CHAPA DE ACO GALVANIZADO 150 X 50 MM</t>
  </si>
  <si>
    <t xml:space="preserve">CURVA HORIZONTAL 90º, PARA ELETROCALHA, LISA OU PERFURADA EM AÇO GALVANIZADO, LARGURA DE 150MM E ALTURA DE 50MM - FORNECIMENTO E INSTALAÇÃO.</t>
  </si>
  <si>
    <t xml:space="preserve">INS-91624371</t>
  </si>
  <si>
    <t xml:space="preserve">CURVA HORIZONTAL 90 GRAUS PARA ELETROCALHA EM CHAPA DE ACO GALVANIZADO 150 X 50 MM, ESPESSURA # 20</t>
  </si>
  <si>
    <t xml:space="preserve">CURVA HORIZONTAL 45º, PARA ELETROCALHA, LISA OU PERFURADA EM AÇO GALVANIZADO, LARGURA DE 150MM E ALTURA DE 50MM - FORNECIMENTO E INSTALAÇÃO.</t>
  </si>
  <si>
    <t xml:space="preserve">INS-90635629</t>
  </si>
  <si>
    <t xml:space="preserve">CURVA HORIZONTAL 45 GRAUS PARA ELETROCALHA EM CHAPA DE ACO GALVANIZADO 150 X 50 MM, ESPESSURA # 20</t>
  </si>
  <si>
    <t xml:space="preserve">ELETRODUTO FLEXÍVEL LISO, PEAD, DN 32 MM (1"), PARA CIRCUITOS TERMINAIS, INSTALADO EM FORRO - FORNECIMENTO E INSTALAÇÃO. AF_03/2023</t>
  </si>
  <si>
    <t xml:space="preserve">ELETRODUTO FLEXIVEL PLANO EM PEAD, COR PRETA E LARANJA, DIAMETRO 32 MM</t>
  </si>
  <si>
    <t xml:space="preserve">ELETRODUTO FLEXÍVEL CORRUGADO, PEAD, DN 90 (3"), PARA REDE ENTERRADA DE DISTRIBUIÇÃO DE ENERGIA ELÉTRICA - FORNECIMENTO E INSTALAÇÃO. AF_12/2021</t>
  </si>
  <si>
    <t xml:space="preserve">ELETRODUTO/DUTO PEAD FLEXIVEL PAREDE SIMPLES, CORRUGACAO HELICOIDAL, COR PRETA, SEM ROSCA, DE 3", CRC 680 N, PARA CABEAMENTO SUBTERRANEO (NBR 15715)</t>
  </si>
  <si>
    <t xml:space="preserve">ELETRODUTO FLEXÍVEL CORRUGADO, PVC, DN 25 MM (3/4"), PARA CIRCUITOS TERMINAIS, INSTALADO EM FORRO - FORNECIMENTO E INSTALAÇÃO. AF_03/2023</t>
  </si>
  <si>
    <t xml:space="preserve">ELETRODUTO PVC FLEXIVEL CORRUGADO, COR AMARELA, DE 25 MM</t>
  </si>
  <si>
    <t xml:space="preserve">CÂMERA IP VIP 3430 B RESOLUÇÃO 4MP INFRAVERMELHP 30M POE - FORNECIMENTO E INSTALAÇÃO.</t>
  </si>
  <si>
    <t xml:space="preserve">INS-39334899</t>
  </si>
  <si>
    <t xml:space="preserve">CÂMERA IP VIP 3430 B RESOLUÇÃO 4MP INFRAVERMELHO 30M POE.</t>
  </si>
  <si>
    <t xml:space="preserve">CABO BALANCEADO PARA MICROFONE COM CONECTOR XLR MACHO E FEMEA - COMPRIMENTO DE 50M.</t>
  </si>
  <si>
    <t xml:space="preserve">INS-32928621</t>
  </si>
  <si>
    <t xml:space="preserve">CABO BALANCEADO PARA MICROFONE</t>
  </si>
  <si>
    <t xml:space="preserve">INS-19415571</t>
  </si>
  <si>
    <t xml:space="preserve">PLUG CONECTOR XLR - PAR MACHO E FEMEA</t>
  </si>
  <si>
    <t xml:space="preserve">MESA DE SOM 12 CANAIS REF. BEHRINGER - FORNECIMENTO E INSTALAÇÃO</t>
  </si>
  <si>
    <t xml:space="preserve">INS-57447324</t>
  </si>
  <si>
    <t xml:space="preserve">MESA DE SOM 12 CANAIS REF. BEHRINGER</t>
  </si>
  <si>
    <t xml:space="preserve">ARANDELA DE SOM REDONDA BRANCA, DE EMBUTIR - FORNECIMENTO E INSTALAÇÃO.</t>
  </si>
  <si>
    <t xml:space="preserve">INS-44861760</t>
  </si>
  <si>
    <t xml:space="preserve">ARANDELA DE SOM PARA TETO</t>
  </si>
  <si>
    <t xml:space="preserve">CABO CRISTAL, 2 x 2,5 MM² - FORNECIMENTO E INSTALAÇÃO.</t>
  </si>
  <si>
    <t xml:space="preserve">INS-24041549</t>
  </si>
  <si>
    <t xml:space="preserve">CABO CRISTAL 2X2,5MM2</t>
  </si>
  <si>
    <t xml:space="preserve">CURVA DE INVERSÃO 90º PARA ELETROCALHA, LISA OU PERFURADA EM AÇO GALVANIZADO, LARGURA DE 50MM E ALTURA DE 50MM - FORNECIMENTO E INSTALAÇÃO.</t>
  </si>
  <si>
    <t xml:space="preserve">CERTIFICAÇÃO DE REDE PARA CABEAMENTO ESTRUTURADO, CAT6.</t>
  </si>
  <si>
    <t xml:space="preserve">ESCAVAÇÃO MANUAL DE VALA. AF_09/2024</t>
  </si>
  <si>
    <t xml:space="preserve">REATERRO MANUAL DE VALAS, COM PLACA VIBRATÓRIA. AF_08/2023</t>
  </si>
  <si>
    <t xml:space="preserve">MINI CAPTOR PARA SPDA - FORNECIMENTO E INSTALAÇÃO. AF_08/2023</t>
  </si>
  <si>
    <t xml:space="preserve">BUCHA DE NYLON SEM ABA S8, COM PARAFUSO DE 4,80 X 50 MM EM ACO ZINCADO COM ROSCA SOBERBA, CABECA CHATA E FENDA PHILLIPS</t>
  </si>
  <si>
    <t xml:space="preserve">MINICAPTOR, EM ACO GALVANIZADO A FOGO, FIXACAO HORIZONTAL DE 2 FUROS, SEM BANDEIRA, H=600 MM X DN=10 MM</t>
  </si>
  <si>
    <t xml:space="preserve">FITA DE ALUMÍNIO 70 MM² PARA SPDA - FORNECIMENTO E INSTALAÇÃO.</t>
  </si>
  <si>
    <t xml:space="preserve">INS-22396908</t>
  </si>
  <si>
    <t xml:space="preserve">BARRA CHATA DE ALUMÍNIO 7/8" X 1/8"</t>
  </si>
  <si>
    <t xml:space="preserve">CURVA 90° VERTICAL DE FITA DE ALUMÍNIO 70 MM² PARA SPDA - FORNECIMENTO E INSTALAÇÃO.</t>
  </si>
  <si>
    <t xml:space="preserve">INS-65512308</t>
  </si>
  <si>
    <t xml:space="preserve">CURVA 90° VERTICAL DE BARRA CHATA DE ALUMINIO 7/8" X 1/8"</t>
  </si>
  <si>
    <t xml:space="preserve">CAPTOR TIPO FRANKLIN PARA SPDA - FORNECIMENTO E INSTALAÇÃO. AF_08/2023</t>
  </si>
  <si>
    <t xml:space="preserve">PARA-RAIOS TIPO FRANKLIN 350 MM, EM LATAO CROMADO, DUAS DESCIDAS, PARA PROTECAO DE EDIFICACOES CONTRA DESCARGAS ATMOSFERICAS</t>
  </si>
  <si>
    <t xml:space="preserve">BASE METÁLICA PARA MASTRO 1 ½" PARA SPDA - FORNECIMENTO E INSTALAÇÃO. AF_08/2023</t>
  </si>
  <si>
    <t xml:space="preserve">BASE PARA MASTRO DE PARA-RAIOS DIAMETRO NOMINAL 1 1/2"</t>
  </si>
  <si>
    <t xml:space="preserve">MASTRO 1 ½", COM 3 METROS, PARA SPDA - FORNECIMENTO E INSTALAÇÃO. AF_08/2023</t>
  </si>
  <si>
    <t xml:space="preserve">MASTRO SIMPLES GALVANIZADO DIAMETRO NOMINAL 1 1/2"</t>
  </si>
  <si>
    <t xml:space="preserve">CORDOALHA DE COBRE NU 35 MM², NÃO ENTERRADA, COM ISOLADOR - FORNECIMENTO E INSTALAÇÃO. AF_08/2023</t>
  </si>
  <si>
    <t xml:space="preserve">CABO DE COBRE NU 35 MM2 MEIO-DURO</t>
  </si>
  <si>
    <t xml:space="preserve">SUPORTE ISOLADOR REFORCADO DIAMETRO NOMINAL 5/16", COM ROSCA SOBERBA E BUCHA</t>
  </si>
  <si>
    <t xml:space="preserve">CAIXA DE EQUIPOTENCIALIZAÇÃO, DE SOBREPOR, 5 TERMINAIS - FORNECIMENTO E INSTALACAO.</t>
  </si>
  <si>
    <t xml:space="preserve">INS-04135856</t>
  </si>
  <si>
    <t xml:space="preserve">CAIXA DE EQUIPOTENCIALIZAÇÃO DE SOBREPOR - 5 TERMINAIS</t>
  </si>
  <si>
    <t xml:space="preserve">EMENDA L EM AÇO GAVANIZADO 200X200 MM, Ø3/8", COM CONECTORES TIPO CLIP</t>
  </si>
  <si>
    <t xml:space="preserve">INS-56611036</t>
  </si>
  <si>
    <t xml:space="preserve">CLIP DE AÇO GALVANIZADO PARA CONEXÃO DE BARRAS DE 8 A 10 MM</t>
  </si>
  <si>
    <t xml:space="preserve">INS-25099374</t>
  </si>
  <si>
    <t xml:space="preserve">EMENDA L EM AÇO GAVANIZADO  200X200 MM, Ø3/8"</t>
  </si>
  <si>
    <t xml:space="preserve">CONECTOR ATERRINSERT, PARA SPDA - FORNECIMENTO E INSTALAÇÃO.</t>
  </si>
  <si>
    <t xml:space="preserve">INS-94065014</t>
  </si>
  <si>
    <t xml:space="preserve">CONECTOR ATERRINSERT PARA SPDA</t>
  </si>
  <si>
    <t xml:space="preserve">BARRA REDONDA DE AÇO, Ø10 MM, BARRAS DE 3M, COM CONECTORES TIPO CLIP.</t>
  </si>
  <si>
    <t xml:space="preserve">INS-80958034</t>
  </si>
  <si>
    <t xml:space="preserve">BARRA REDONDA DE AÇO, Ø10 MM (70 MM2), RE-BAR, BARRAS DE 3M</t>
  </si>
  <si>
    <t xml:space="preserve">CAIXA DE INSPEÇÃO PARA ATERRAMENTO, CIRCULAR, EM POLIETILENO, DIÂMETRO INTERNO = 0,3 M. AF_12/2020</t>
  </si>
  <si>
    <t xml:space="preserve">CAIXA DE INSPECAO PARA ATERRAMENTO E PARA RAIOS, EM POLIPROPILENO, DIAMETRO = 300 MM X ALTURA = 400 MM</t>
  </si>
  <si>
    <t xml:space="preserve">CORDOALHA DE COBRE NU 50 MM², ENTERRADA - FORNECIMENTO E INSTALAÇÃO. AF_08/2023</t>
  </si>
  <si>
    <t xml:space="preserve">CABO DE COBRE NU 50 MM2 MEIO-DURO</t>
  </si>
  <si>
    <t xml:space="preserve">CONECTOR SPLIT-BOLT, PARA SPDA, PARA CABOS ATÉ 70 MM2 - FORNECIMENTO E INSTALAÇÃO. AF_08/2023</t>
  </si>
  <si>
    <t xml:space="preserve">CONECTOR METALICO TIPO PARAFUSO FENDIDO (SPLIT BOLT), PARA CABOS ATE 70 MM2</t>
  </si>
  <si>
    <t xml:space="preserve">DISPOSITIVO DPS CLASSE II, 1 POLO, TENSÃO MÁXIMA DE 275 V, CORRENTE MÁXIMA DE 30 KA - FORNECIMENTO E INSTALAÇÃO.</t>
  </si>
  <si>
    <t xml:space="preserve">DISPOSITIVO DPS CLASSE II, 1 POLO, TENSAO MAXIMA DE 275 V, CORRENTE MAXIMA DE *30* KA (TIPO AC)</t>
  </si>
  <si>
    <t xml:space="preserve">DISPOSITIVO DPS CLASSE I, 1 POLO, TENSÃO MÁXIMA DE 275 V, CORRENTE MÁXIMA DE 12,5/60 KA - FORNECIMENTO E INSTALAÇÃO.</t>
  </si>
  <si>
    <t xml:space="preserve">INS-20911147</t>
  </si>
  <si>
    <t xml:space="preserve">DISPOSITIVO DPS CLASSE I, 1 POLO, TENSAO MAXIMA DE 275 V, CORRENTE MAXIMA DE 12,5/60 KA</t>
  </si>
  <si>
    <t xml:space="preserve">LUMINÁRIA DE EMERGÊNCIA, COM 30 LÂMPADAS LED DE 2 W, SEM REATOR - FORNECIMENTO E INSTALAÇÃO. AF_09/2024</t>
  </si>
  <si>
    <t xml:space="preserve">LUMINARIA DE EMERGENCIA 30 LEDS, POTENCIA 2 W, BATERIA DE LITIO, AUTONOMIA DE 6 HORAS</t>
  </si>
  <si>
    <t xml:space="preserve">LUMINÁRIA DE EMERGÊNCIA, 300 LUMENS - FORNECIMENTO E INSTALAÇÃO.</t>
  </si>
  <si>
    <t xml:space="preserve">INS-31027344</t>
  </si>
  <si>
    <t xml:space="preserve">BLOCO AUTÔNOMO DE ILUMINAÇÃO DE EMERGÊNCIA - 300 LUMENS</t>
  </si>
  <si>
    <t xml:space="preserve">LUMINÁRIA DE EMERGÊNCIA, 600 LUMENS, TIPO FAROLETE - FORNECIMENTO E INSTALAÇÃO.</t>
  </si>
  <si>
    <t xml:space="preserve">INS-02201487</t>
  </si>
  <si>
    <t xml:space="preserve">BLOCO AUTÔNOMO DE ILUMINAÇÃO DE EMERGÊNCIA - 600 LUMENS TIPO FAROLETE</t>
  </si>
  <si>
    <t xml:space="preserve">PLACA FOTOLUMINESCENTE - 15X20CM.</t>
  </si>
  <si>
    <t xml:space="preserve">PLACA DE SINALIZACAO DE SEGURANCA CONTRA INCENDIO, FOTOLUMINESCENTE, QUADRADA, *20 X 20* CM, EM PVC *2* MM ANTI-CHAMAS (SIMBOLOS, CORES E PICTOGRAMAS CONFORME NBR 16820)</t>
  </si>
  <si>
    <t xml:space="preserve">PLACA FOTOLUMINESCENTE - 24X12CM.</t>
  </si>
  <si>
    <t xml:space="preserve">PLACA FOTOLUMINESCENTE - 30X15CM.</t>
  </si>
  <si>
    <t xml:space="preserve">PLACA FOTOLUMINESCENTE - 40X20CM.</t>
  </si>
  <si>
    <t xml:space="preserve">PLACA DE SINALIZACAO DE SEGURANCA CONTRA INCENDIO, FOTOLUMINESCENTE, RETANGULAR, *20 X 40* CM, EM PVC *2* MM ANTI-CHAMAS (SIMBOLOS, CORES E PICTOGRAMAS CONFORME NBR 16820)</t>
  </si>
  <si>
    <t xml:space="preserve">PLACA FOTOLUMINESCENTE - 60X30CM.</t>
  </si>
  <si>
    <t xml:space="preserve">PLACA FOTOLUMINESCENTE DE SINALIZAÇÃO EM PVC, COM PICTOGRAMA DE EXTINTOR - 15X15CM.</t>
  </si>
  <si>
    <t xml:space="preserve">PLACA DE SINALIZACAO DE SEGURANCA CONTRA INCENDIO, FOTOLUMINESCENTE, QUADRADA, *14 X 14* CM, EM PVC *2* MM ANTI-CHAMAS (SIMBOLOS, CORES E PICTOGRAMAS CONFORME NBR 16820)</t>
  </si>
  <si>
    <t xml:space="preserve">PLACA FOTOLUMINESCENTE DE SINALIZAÇÃO EM PVC, COM PICTOGRAMA DE ALARME - 20X20CM.</t>
  </si>
  <si>
    <t xml:space="preserve">PLACA FOTOLUMINESCENTE DE SINALIZAÇÃO EM PVC, COM PICTOGRAMA DE ALARME - 20X30CM</t>
  </si>
  <si>
    <t xml:space="preserve">PLACA FOTOLUMINESCENTE DE SINALIZAÇÃO EM PVC, COM PICTOGRAMAS DE HIDRANTE - 20X20CM.</t>
  </si>
  <si>
    <t xml:space="preserve">ABRIGO PARA EXTINTOR EXTERNO - FORNECIMENTO E INSTALAÇÃO.</t>
  </si>
  <si>
    <t xml:space="preserve">INS-86773122</t>
  </si>
  <si>
    <t xml:space="preserve">ABRIGO PARA EXTINTOR - 75X30X25CM</t>
  </si>
  <si>
    <t xml:space="preserve">BUCHA DE NYLON, DIAMETRO DO FURO 8 MM, COMPRIMENTO 40 MM, COM PARAFUSO DE ROSCA SOBERBA, CABECA CHATA, FENDA SIMPLES, 4,8 X 50 MM</t>
  </si>
  <si>
    <t xml:space="preserve">ABRIGO PARA HIDRANTE, 75X45X17CM, DE SOBREPOR, COM REGISTRO GLOBO ANGULAR 45 GRAUS 2 1/2", ADAPTADOR STORZ 2 1/2", 2 MANGUEIRAS DE INCÊNDIO 15M 2 1/2" E ESGUICHO EM LATÃO 2 1/2" - FORNECIMENTO E INSTALAÇÃO.</t>
  </si>
  <si>
    <t xml:space="preserve">ADAPTADOR EM LATAO, ENGATE RAPIDO 2 1/2" X ROSCA INTERNA 5 FIOS 2 1/2", PARA INSTALACAO PREDIAL DE COMBATE A INCENDIO</t>
  </si>
  <si>
    <t xml:space="preserve">CAIXA DE INCENDIO/ABRIGO PARA MANGUEIRA, DE SOBREPOR/EXTERNA, COM 75 X 45 X 17 CM, EM CHAPA DE ACO, PORTA COM VENTILACAO, VISOR COM A INSCRICAO "INCENDIO", SUPORTE/CESTA INTERNA PARA A MANGUEIRA, PINTURA ELETROSTATICA VERMELHA</t>
  </si>
  <si>
    <t xml:space="preserve">CHAVE DUPLA PARA CONEXOES TIPO STORZ, ENGATE RAPIDO 1 1/2" X 2 1/2", EM LATAO, PARA INSTALACAO PREDIAL COMBATE A INCENDIO</t>
  </si>
  <si>
    <t xml:space="preserve">ESGUICHO JATO REGULAVEL, TIPO ELKHART, ENGATE RAPIDO 2 1/2", PARA COMBATE A INCENDIO</t>
  </si>
  <si>
    <t xml:space="preserve">MANGUEIRA DE INCENDIO, TIPO 2, DE 2 1/2", COMPRIMENTO = 15 M, TECIDO EM FIO DE POLIESTER E TUBO INTERNO EM BORRACHA SINTETICA, COM UNIOES ENGATE RAPIDO</t>
  </si>
  <si>
    <t xml:space="preserve">REGISTRO OU VALVULA GLOBO ANGULAR EM LATAO, PARA HIDRANTES EM INSTALACAO PREDIAL DE INCENDIO, 45 GRAUS, DIAMETRO DE 2 1/2", COM VOLANTE, CLASSE DE PRESSAO DE ATE 200 PSI</t>
  </si>
  <si>
    <t xml:space="preserve">HIDRANTE DE PASSEIO 60X90X60.</t>
  </si>
  <si>
    <t xml:space="preserve">ACO CA-60, 4,2 MM OU 5,0 MM, DOBRADO E CORTADO</t>
  </si>
  <si>
    <t xml:space="preserve">CAL VIRGEM COMUM PARA ARGAMASSAS (NBR 6453)</t>
  </si>
  <si>
    <t xml:space="preserve">FITA / CINTA AUTOADESIVA ELASTOMERICA PARA VEDACAO, L= 50 MM, E = 3 MM</t>
  </si>
  <si>
    <t xml:space="preserve">PREGO DE ACO POLIDO COM CABECA 16 X 24 (2 1/4 X 12)</t>
  </si>
  <si>
    <t xml:space="preserve">TAMPAO COM CORRENTE, EM LATAO, ENGATE RAPIDO 2 1/2", PARA INSTALACAO PREDIAL DE COMBATE A INCENDIO</t>
  </si>
  <si>
    <t xml:space="preserve">TIJOLO CERAMICO MACICO COMUM DE *5 X 10 X 20* CM (L X A X C)</t>
  </si>
  <si>
    <t xml:space="preserve">JOELHO 90 GRAUS, EM FERRO GALVANIZADO, DN 65 (2 1/2"), CONEXÃO ROSQUEADA, INSTALADO EM REDE DE ALIMENTAÇÃO PARA HIDRANTE - FORNECIMENTO E INSTALAÇÃO. AF_10/2020</t>
  </si>
  <si>
    <t xml:space="preserve">COTOVELO 90 GRAUS DE FERRO GALVANIZADO, COM ROSCA BSP, DE 2 1/2"</t>
  </si>
  <si>
    <t xml:space="preserve">JOELHO 90 GRAUS, EM FERRO GALVANIZADO, CONEXÃO ROSQUEADA, DN 80 (3"), INSTALADO EM REDE DE ALIMENTAÇÃO PARA HIDRANTE - FORNECIMENTO E INSTALAÇÃO. AF_10/2020</t>
  </si>
  <si>
    <t xml:space="preserve">COTOVELO 90 GRAUS DE FERRO GALVANIZADO, COM ROSCA BSP, DE 3"</t>
  </si>
  <si>
    <t xml:space="preserve">JOELHO 45 GRAUS, EM FERRO GALVANIZADO, CONEXÃO ROSQUEADA, DN 80 (3"), INSTALADO EM REDE DE ALIMENTAÇÃO PARA HIDRANTE - FORNECIMENTO E INSTALAÇÃO. AF_10/2020</t>
  </si>
  <si>
    <t xml:space="preserve">COTOVELO 45 GRAUS DE FERRO GALVANIZADO, COM ROSCA BSP, DE 3"</t>
  </si>
  <si>
    <t xml:space="preserve">TÊ, EM FERRO GALVANIZADO, CONEXÃO ROSQUEADA, DN 65 (2 1/2"), INSTALADO EM REDE DE ALIMENTAÇÃO PARA HIDRANTE - FORNECIMENTO E INSTALAÇÃO. AF_10/2020</t>
  </si>
  <si>
    <t xml:space="preserve">TE DE FERRO GALVANIZADO, DE 2 1/2"</t>
  </si>
  <si>
    <t xml:space="preserve">TÊ, EM FERRO GALVANIZADO, CONEXÃO ROSQUEADA, DN 80 (3"), INSTALADO EM REDE DE ALIMENTAÇÃO PARA HIDRANTE - FORNECIMENTO E INSTALAÇÃO. AF_10/2020</t>
  </si>
  <si>
    <t xml:space="preserve">TE DE FERRO GALVANIZADO, DE 3"</t>
  </si>
  <si>
    <t xml:space="preserve">NIPLE, EM FERRO GALVANIZADO, DN 65 (2 1/2"), CONEXÃO ROSQUEADA, INSTALADO EM REDE DE ALIMENTAÇÃO PARA HIDRANTE - FORNECIMENTO E INSTALAÇÃO. AF_10/2020</t>
  </si>
  <si>
    <t xml:space="preserve">NIPLE DE FERRO GALVANIZADO, COM ROSCA BSP, DE 2 1/2"</t>
  </si>
  <si>
    <t xml:space="preserve">NIPLE, EM FERRO GALVANIZADO, DN 80 (3"), CONEXÃO ROSQUEADA, INSTALADO EM REDE DE ALIMENTAÇÃO PARA HIDRANTE - FORNECIMENTO E INSTALAÇÃO. AF_10/2020</t>
  </si>
  <si>
    <t xml:space="preserve">NIPLE DE FERRO GALVANIZADO, COM ROSCA BSP, DE 3"</t>
  </si>
  <si>
    <t xml:space="preserve">REGISTRO DE GAVETA BRUTO, LATÃO, ROSCÁVEL, 3" - FORNECIMENTO E INSTALAÇÃO. AF_08/2021</t>
  </si>
  <si>
    <t xml:space="preserve">REGISTRO GAVETA BRUTO EM LATAO FORJADO, BITOLA 3"</t>
  </si>
  <si>
    <t xml:space="preserve">LUVA DE REDUÇÃO, EM FERRO GALVANIZADO, 3" X 2 1/2", CONEXÃO ROSQUEADA, INSTALADO EM REDE DE ALIMENTAÇÃO PARA HIDRANTE - FORNECIMENTO E INSTALAÇÃO. AF_10/2020</t>
  </si>
  <si>
    <t xml:space="preserve">LUVA DE REDUCAO DE FERRO GALVANIZADO, COM ROSCA BSP, DE 3" X 2 1/2"</t>
  </si>
  <si>
    <t xml:space="preserve">VÁLVULA DE RETENÇÃO HORIZONTAL, DE BRONZE, ROSCÁVEL, 2 1/2" - FORNECIMENTO E INSTALAÇÃO. AF_08/2021</t>
  </si>
  <si>
    <t xml:space="preserve">VALVULA DE RETENCAO HORIZONTAL, DE BRONZE (PN-25), 2 1/2", 400 PSI, TAMPA DE PORCA DE UNIAO, EXTREMIDADES COM ROSCA</t>
  </si>
  <si>
    <t xml:space="preserve">UNIÃO, EM FERRO GALVANIZADO, DN 65 (2 1/2"), CONEXÃO ROSQUEADA, INSTALADO EM REDE DE ALIMENTAÇÃO PARA HIDRANTE - FORNECIMENTO E INSTALAÇÃO. AF_10/2020</t>
  </si>
  <si>
    <t xml:space="preserve">UNIAO DE FERRO GALVANIZADO, COM ROSCA BSP, COM ASSENTO PLANO, DE 2 1/2"</t>
  </si>
  <si>
    <t xml:space="preserve">JUNTA DE EXPANSÃO FLANGEADA, 2.1/2" + 2 FLANGES 2.1/2" COM CONEXÃO ROSQUEADA, INSTALADO EM REDE DE ALIMENTAÇÃO PARA HIDRANTE - FORNECIMENTO E INSTALAÇÃO.</t>
  </si>
  <si>
    <t xml:space="preserve">INS-54080674</t>
  </si>
  <si>
    <t xml:space="preserve">FLANGE LISA 2.1/2", 4 FUROS COM ROSCA BSP</t>
  </si>
  <si>
    <t xml:space="preserve">INS-82713208</t>
  </si>
  <si>
    <t xml:space="preserve">JUNTA DE EXPANSÃO FLANGEADA 2.1/2"</t>
  </si>
  <si>
    <t xml:space="preserve">PARAFUSO DE FERRO POLIDO, SEXTAVADO, COM ROSCA PARCIAL, DIAMETRO 5/8", COMPRIMENTO 6", COM PORCA E ARRUELA DE PRESSAO MEDIA</t>
  </si>
  <si>
    <t xml:space="preserve">MANÔMETRO 0 A 200 PSI (0 A 14 KGF/CM2), D = 50MM - FORNECIMENTO E INSTALAÇÃO. AF_10/2020</t>
  </si>
  <si>
    <t xml:space="preserve">MANOMETRO COM CAIXA EM ACO PINTADO, ESCALA *10* KGF/CM2 (*10* BAR), DIAMETRO NOMINAL DE *63* MM, CONEXAO DE 1/4"</t>
  </si>
  <si>
    <t xml:space="preserve">FORNECIMENTO E INSTALAÇÃO DE FLUXOSTATO.</t>
  </si>
  <si>
    <t xml:space="preserve">INS-80823908</t>
  </si>
  <si>
    <t xml:space="preserve">FLUXOSTATO PARA SISTEMA DE BOMBEAMENTO.</t>
  </si>
  <si>
    <t xml:space="preserve">VÁLVULA REDUTORA DE PRESSÃO 2 1/2", INSTALADO EM REDE DE ALIMENTAÇÃO PARA HIDRANTE - FORNECIMENTO E INSTALAÇÃO.</t>
  </si>
  <si>
    <t xml:space="preserve">INS-46711849</t>
  </si>
  <si>
    <t xml:space="preserve">VALVULA REDUTORA DE PRESSAO 2 1/2"</t>
  </si>
  <si>
    <t xml:space="preserve">FLANGE, EM FERRO GALVANIZADO, DN 80 (3"), CONEXÃO ROSQUEADA, INSTALADO EM REDE DE ALIMENTAÇÃO PARA HIDRANTE - FORNECIMENTO E INSTALAÇÃO.</t>
  </si>
  <si>
    <t xml:space="preserve">FLANGE SEXTAVADO DE FERRO GALVANIZADO, COM ROSCA BSP, DE 3"</t>
  </si>
  <si>
    <t xml:space="preserve">TUBO DE AÇO GALVANIZADO COM COSTURA, CLASSE MÉDIA, DN 65 (2 1/2"), CONEXÃO ROSQUEADA, INSTALADO EM REDE DE ALIMENTAÇÃO PARA HIDRANTE - FORNECIMENTO E INSTALAÇÃO. AF_10/2020</t>
  </si>
  <si>
    <t xml:space="preserve">TUBO ACO GALVANIZADO COM COSTURA, CLASSE MEDIA, DN 2.1/2", E = *3,65* MM, PESO *6,51* KG/M (NBR 5580)</t>
  </si>
  <si>
    <t xml:space="preserve">TUBO DE AÇO GALVANIZADO COM COSTURA, CLASSE MÉDIA, DN 80 (3"), CONEXÃO ROSQUEADA, INSTALADO EM REDE DE ALIMENTAÇÃO PARA HIDRANTE - FORNECIMENTO E INSTALAÇÃO. AF_10/2020</t>
  </si>
  <si>
    <t xml:space="preserve">TUBO ACO GALVANIZADO COM COSTURA, CLASSE MEDIA, DN 3", E = *4,05* MM, PESO *8,47* KG/M (NBR 5580)</t>
  </si>
  <si>
    <t xml:space="preserve">BOMBA CENTRÍFUGA, TRIFÁSICA, 7,5 CV , HM 45,82 MCA, Q 24 M3/H - FORNECIMENTO E INSTALAÇÃO.</t>
  </si>
  <si>
    <t xml:space="preserve">INS-94821003</t>
  </si>
  <si>
    <t xml:space="preserve">BOMBA CENTRÍFUGA PARA INCÊNDIO - 7,5 CV</t>
  </si>
  <si>
    <t xml:space="preserve">INSTALAÇÃO DE QUADRO ELÉTRICO PARA BOMBAS TRIFÁSICAS DE 10 CV - FORNECIMENTO E INSTALAÇÃO.</t>
  </si>
  <si>
    <t xml:space="preserve">INS-16883400</t>
  </si>
  <si>
    <t xml:space="preserve">QUADRO DE COMANDO PARA BOMBA DE 10 CV.</t>
  </si>
  <si>
    <t xml:space="preserve">CENTRAL DE ALARME ENDEREÇÁVEL CIE 1060 INTELBRAS - FORNECIMENTO E INSTALAÇÃO.</t>
  </si>
  <si>
    <t xml:space="preserve">INS-66432476</t>
  </si>
  <si>
    <t xml:space="preserve">CENTRAL DE ALARME ENDEREÇÁVEL - CIE 1060 INTELBRAS</t>
  </si>
  <si>
    <t xml:space="preserve">ACIONADOR MANUAL, BOTOEIRA "APERTE AQUI", ENDEREÇÁVEL - FORNECIMENTO E INSTALAÇÃO.</t>
  </si>
  <si>
    <t xml:space="preserve">INS-25651485</t>
  </si>
  <si>
    <t xml:space="preserve">ACIONADOR MANUAL COM BOTEIRA "APERTE AQUI" - ENDEREÇÁVEL</t>
  </si>
  <si>
    <t xml:space="preserve">SIRENE DE ALARME AUDIOVISUAL ENDEREÇÁVEL - FORNECIMENTO E INSTALAÇÃO.</t>
  </si>
  <si>
    <t xml:space="preserve">INS-16361976</t>
  </si>
  <si>
    <t xml:space="preserve">SIRENE DE ALARME AUDIOVISUAL ENDEREÇÁVEL</t>
  </si>
  <si>
    <t xml:space="preserve">DETECTOR DE TEMPERATURA TERMOVELOCIMÉTRICO ENDEREÇÁVEL - FORNECEIMENTO E INSTALAÇÃO.</t>
  </si>
  <si>
    <t xml:space="preserve">INS-48382762</t>
  </si>
  <si>
    <t xml:space="preserve">DETECTOR DE TEMPEREATURA TERMOVELOCIMÉTRICO ENDEREÇÁVEL</t>
  </si>
  <si>
    <t xml:space="preserve">ELETRODUTO RÍGIDO ROSCÁVEL, PVC, DN 25 MM (3/4"), PARA CIRCUITOS TERMINAIS, INSTALADO EM FORRO - FORNECIMENTO E INSTALAÇÃO. AF_03/2023</t>
  </si>
  <si>
    <t xml:space="preserve">CONDULETE DE PVC, TIPO X, PARA ELETRODUTO DE PVC SOLDÁVEL DN 25 MM (3/4"), APARENTE - FORNECIMENTO E INSTALAÇÃO. AF_10/2022</t>
  </si>
  <si>
    <t xml:space="preserve">CONDULETE EM PVC, TIPO "X", SEM TAMPA, DE 3/4"</t>
  </si>
  <si>
    <t xml:space="preserve">CURVA 90 GRAUS PARA ELETRODUTO, PVC, ROSCÁVEL, DN 25 MM (3/4"), PARA CIRCUITOS TERMINAIS, INSTALADA EM FORRO - FORNECIMENTO E INSTALAÇÃO. AF_03/2023</t>
  </si>
  <si>
    <t xml:space="preserve">CURVA 90 GRAUS, LONGA, DE PVC RIGIDO ROSCAVEL, DE 3/4", PARA ELETRODUTO</t>
  </si>
  <si>
    <t xml:space="preserve">CABO DE COBRE FLEXÍVEL ISOLADO, 1,5 MM², ANTI-CHAMA 450/750 V, PARA CIRCUITOS TERMINAIS - FORNECIMENTO E INSTALAÇÃO. AF_03/2023</t>
  </si>
  <si>
    <t xml:space="preserve">CABO DE COBRE FLEXÍVEL MULTIPOLAR,3 VIAS, 1,5 MM², ANTI-CHAMA 450/750 V, PARA CIRCUITOS TERMINAIS - FORNECIMENTO E INSTALAÇÃO.</t>
  </si>
  <si>
    <t xml:space="preserve">CABO MULTIPOLAR DE COBRE, FLEXIVEL, CLASSE 4 OU 5, ISOLACAO EM HEPR, COBERTURA EM PVC-ST2, ANTICHAMA BWF-B, 0,6/1 KV, 3 CONDUTORES DE 1,5 MM2</t>
  </si>
  <si>
    <t xml:space="preserve">PINTURA COM TINTA ALQUÍDICA DE ACABAMENTO (ESMALTE SINTÉTICO ACETINADO) APLICADA A ROLO OU PINCEL SOBRE SUPERFÍCIES METÁLICAS (EXCETO PERFIL) EXECUTADO EM OBRA (02 DEMÃOS). AF_01/2020</t>
  </si>
  <si>
    <t xml:space="preserve">VÁLVULA DE ESFERA BRUTA, BRONZE, ROSCÁVEL, 1/2" - FORNECIMENTO E INSTALAÇÃO. AF_08/2021</t>
  </si>
  <si>
    <t xml:space="preserve">VALVULA DE ESFERA BRUTA EM BRONZE, BITOLA 1/2"</t>
  </si>
  <si>
    <t xml:space="preserve">TUBO, PEX, MULTICAMADA, DN 20, INSTALADO EM RAMAL INTERNO DE INSTALAÇÕES DE GÁS - FORNECIMENTO E INSTALAÇÃO. AF_01/2020</t>
  </si>
  <si>
    <t xml:space="preserve">TUBO MULTICAMADA PEX GAS, DN *20* MM</t>
  </si>
  <si>
    <t xml:space="preserve">JOELHO 90 GRAUS, PARA INSTALAÇÕES EM PEX ÁGUA, DN 20 MM, CONEXÃO POR CRIMPAGEM - FORNECIMENTO E INSTALAÇÃO. AF_02/2023</t>
  </si>
  <si>
    <t xml:space="preserve">JOELHO/COTOVELO 90 GRAUS, PLASTICO, PARA CONEXAO COM CRIMPAGEM, DN 20 MM, EM TUBO PEX PARA INST. AGUA QUENTE/FRIA</t>
  </si>
  <si>
    <t xml:space="preserve">CONEXÃO FIXA, ROSCA FÊMEA, PARA INSTALAÇÕES EM PEX ÁGUA, DN 20MM X 1/2", CONEXÃO POR CRIMPAGEM - FORNECIMENTO E INSTALAÇÃO. AF_02/2023</t>
  </si>
  <si>
    <t xml:space="preserve">CONECTOR/ADAPTADOR FIXO, ROSCA FEMEA, EM PLASTICO, DN 20 MM X 1/2", PARA CONEXAO COM CRIMPAGEM, EM TUBO PEX PARA INST. AGUA QUENTE/FRIA</t>
  </si>
  <si>
    <t xml:space="preserve">NIPLE, EM FERRO GALVANIZADO, CONEXÃO ROSQUEADA, DN 15 (1/2"), INSTALADO EM RAMAIS E SUB-RAMAIS DE GÁS - FORNECIMENTO E INSTALAÇÃO. AF_10/2020</t>
  </si>
  <si>
    <t xml:space="preserve">NIPLE DE FERRO GALVANIZADO, COM ROSCA BSP, DE 1/2"</t>
  </si>
  <si>
    <t xml:space="preserve">AR CONDICIONADO SPLIT ON/OFF, HI-WALL (PAREDE), 9000 BTUS/H, CICLO QUENTE/FRIO - FORNECIMENTO E INSTALAÇÃO. AF_11/2021_PE</t>
  </si>
  <si>
    <t xml:space="preserve">AR CONDICIONADO SPLIT ON/OFF, HI-WALL (PAREDE), 9000 BTUS/H, CICLO QUENTE/FRIO, 60 HZ, CLASSIFICACAO ENERGETICA A - SELO PROCEL, GAS HFC, CONTROLE S/ FIO</t>
  </si>
  <si>
    <t xml:space="preserve">MECANICO DE REFRIGERACAO (HORISTA)</t>
  </si>
  <si>
    <t xml:space="preserve">AR CONDICIONADO SPLIT ON/OFF, HI-WALL (PAREDE), 12000 BTUS/H, CICLO QUENTE/FRIO - FORNECIMENTO E INSTALAÇÃO. AF_11/2021_PE</t>
  </si>
  <si>
    <t xml:space="preserve">AR CONDICIONADO SPLIT ON/OFF, HI-WALL (PAREDE), 12000 BTUS/H, CICLO QUENTE/FRIO, 60 HZ, CLASSIFICACAO ENERGETICA A - SELO PROCEL, GAS HFC, CONTROLE S/ FIO</t>
  </si>
  <si>
    <t xml:space="preserve">AR CONDICIONADO SPLIT ON/OFF, HI-WALL (PAREDE), 18000 BTUS/H, CICLO QUENTE/FRIO - FORNECIMENTO E INSTALAÇÃO. AF_11/2021_PE</t>
  </si>
  <si>
    <t xml:space="preserve">AR CONDICIONADO SPLIT ON/OFF, HI-WALL (PAREDE), 18000 BTUS/H, CICLO QUENTE/FRIO, 60 HZ, CLASSIFICACAO ENERGETICA A - SELO PROCEL, GAS HFC, CONTROLE S/ FIO</t>
  </si>
  <si>
    <t xml:space="preserve">AR CONDICIONADO SPLIT ON/OFF, HI-WALL (PAREDE), 24000 BTUS/H, CICLO QUENTE/FRIO - FORNECIMENTO E INSTALAÇÃO. AF_11/2021_PE</t>
  </si>
  <si>
    <t xml:space="preserve">AR CONDICIONADO SPLIT ON/OFF, HI-WALL (PAREDE), 24000 BTUS/H, CICLO QUENTE/FRIO, 60 HZ, CLASSIFICACAO ENERGETICA A - SELO PROCEL, GAS HFC, CONTROLE S/ FIO</t>
  </si>
  <si>
    <t xml:space="preserve">AR CONDICIONADO SPLIT ON/OFF, CASSETE (TETO), 4 VIAS 30000 BTU/H - FORNECIMENTO E INSTALAÇÃO.</t>
  </si>
  <si>
    <t xml:space="preserve">INS-20253418</t>
  </si>
  <si>
    <t xml:space="preserve">AR CONDICIONADO SPLIT, CASSETE (TETO), 4 VIAS 30000 BTUS/H.</t>
  </si>
  <si>
    <t xml:space="preserve">ARRUELA EM ACO GALVANIZADO, DIAMETRO EXTERNO = 35MM, ESPESSURA = 3MM, DIAMETRO DO FURO= 18MM</t>
  </si>
  <si>
    <t xml:space="preserve">AR CONDICIONADO SPLIT ON/OFF, CASSETE (TETO), 4 VIAS 41000 BTU/H - FORNECIMENTO E INSTALAÇÃO.</t>
  </si>
  <si>
    <t xml:space="preserve">INS-16032226</t>
  </si>
  <si>
    <t xml:space="preserve">AR CONDICIONADO SPLIT, CASSETE (TETO), 4 VIAS 41000 BTUS/H.</t>
  </si>
  <si>
    <t xml:space="preserve">AR CONDICIONADO SPLIT INVERTER, PISO TETO, 45000 BTU/H, CICLO QUENTE/FRIO - FORNECIMENTO E INSTALAÇÃO.</t>
  </si>
  <si>
    <t xml:space="preserve">INS-99949921</t>
  </si>
  <si>
    <t xml:space="preserve">AR CONDICIONADO SPLIT INVERTER, PISO TETO, 45000 BTU/H, CICLO QUENTE/FRIO, 60HZ, CLASSIFICACAO ENERGETICA A OU B (SELO PROCEL), GAS HFC, CONTROLE S/FIO</t>
  </si>
  <si>
    <t xml:space="preserve">BUCHA DE NYLON SEM ABA S10</t>
  </si>
  <si>
    <t xml:space="preserve">PARAFUSO DE ACO ZINCADO, SEXTAVADO, COM ROSCA SOBERBA, DIAMETRO 3/8", COMPRIMENTO 80 MM</t>
  </si>
  <si>
    <t xml:space="preserve">AR CONDICIONADO MULTI-SPLIT EVAPORADORAS HIWALL 9000 + 9000 BTU/H, CONDENSADORA 18000 BTUS/H - FORNECIMENTO E INSTALAÇÃO.</t>
  </si>
  <si>
    <t xml:space="preserve">INS-01730369</t>
  </si>
  <si>
    <t xml:space="preserve">AR CONDICIONADO MULTI-SPLIT ON/OFF, EVAPORADORAS HIWALL 9000 + 9000 BTUS/H, CONDENSADORA 18000 BTUS/H.</t>
  </si>
  <si>
    <t xml:space="preserve">AR CONDICIONADO MULTI-SPLIT ON/OFF, EVAPORADORAS CASSETE 4V 12000 + 12000 BTU/H, CONDENSADORA 18000 BTUS/H - FORNECIMENTO E INSTALAÇÃO.</t>
  </si>
  <si>
    <t xml:space="preserve">INS-95594887</t>
  </si>
  <si>
    <t xml:space="preserve">AR CONDICIONADO MULTI-SPLIT ON/OFF, EVAPORADORAS CASSETE 4V 12000 + 12000 BTUS/H, CONDENSADORA 18000 BTUS/H.</t>
  </si>
  <si>
    <t xml:space="preserve">AR CONDICIONADO MULTI-SPLIT ON/OFF, EVAPORADORAS CASSETE 1V 12000 + CASSETE 4V 12000 BTUS/H, CONDENSADORA 18000 BTUS/H - FORNECIMENTO E INSTALAÇÃO.</t>
  </si>
  <si>
    <t xml:space="preserve">INS-99643540</t>
  </si>
  <si>
    <t xml:space="preserve">AR CONDICIONADO MULTI-SPLIT ON/OFF, EVAPORADORAS CASSETE 1V 12000 + CASSETE 4V 12000 BTUS/H, CONDENSADORA 18000 BTUS/H.</t>
  </si>
  <si>
    <t xml:space="preserve">AR CONDICIONADO MULTI-SPLIT ON/OFF, EVAPORADORAS CASSETE 4V 18000 + HIWALL 9000 BTUS/H, CONDENSADORA 18000 BTUS/H - FORNECIMENTO E INSTALAÇÃO.</t>
  </si>
  <si>
    <t xml:space="preserve">INS-71071066</t>
  </si>
  <si>
    <t xml:space="preserve">AR CONDICIONADO MULTI-SPLIT ON/OFF, EVAPORADORAS CASSETE 4V 18000 + HIWALL 9000 BTUS/H, CONDENSADORA 18000 BTUS/H.</t>
  </si>
  <si>
    <t xml:space="preserve">AR CONDICIONADO MULTI-SPLIT ON/OFF, EVAPORADORAS CASSETE 1V 12000 + CASSETE 4V 18000 BTUS/H, CONDENSADORA 18000 BTUS/H - FORNECIMENTO E INSTALAÇÃO.</t>
  </si>
  <si>
    <t xml:space="preserve">INS-89239529</t>
  </si>
  <si>
    <t xml:space="preserve">AR CONDICIONADO MULTI-SPLIT ON/OFF, EVAPORADORAS CASSETE 1V 12000 + CASSETE 4V 18000 BTUS/H, CONDENSADORA 18000 BTUS/H.</t>
  </si>
  <si>
    <t xml:space="preserve">AR CONDICIONADO MULTI-SPLIT ON/OFF, EVAPORADORAS CASSETE 1V 18000 + CASSETE 4V 18000 BTUS/H, CONDENSADORA 24000 BTUS/H - FORNECIMENTO E INSTALAÇÃO.</t>
  </si>
  <si>
    <t xml:space="preserve">INS-73856293</t>
  </si>
  <si>
    <t xml:space="preserve">AR CONDICIONADO MULTI-SPLIT ON/OFF, EVAPORADORAS CASSETE 1V 18000 + CASSETE 4V 18000 BTUS/H, CONDENSADORA 24000 BTUS/H.</t>
  </si>
  <si>
    <t xml:space="preserve">AR CONDICIONADO MULTI-SPLIT ON/OFF, EVAPORADORAS CASSETE 1V 12000 + CASSETE 4V 20000 BTUS/H, CONDENSADORA 24000 BTUS/H - FORNECIMENTO E INSTALAÇÃO.</t>
  </si>
  <si>
    <t xml:space="preserve">INS-02356986</t>
  </si>
  <si>
    <t xml:space="preserve">AR CONDICIONADO MULTI-SPLIT ON/OFF, EVAPORADORAS CASSETE 1V 12000 + CASSETE 4V 20000 BTUS/H, CONDENSADORA 24000 BTUS/H</t>
  </si>
  <si>
    <t xml:space="preserve">AR CONDICIONADO MULTI-SPLIT ON/OFF, EVAPORADORAS CASSETE 4V 20000 + 12000 + 12000 BTUS/H, CONDENSADORA 28000 BTUS/H - FORNECIMENTO E INSTALAÇÃO.</t>
  </si>
  <si>
    <t xml:space="preserve">INS-78497506</t>
  </si>
  <si>
    <t xml:space="preserve">AR CONDICIONADO MULTI-SPLIT ON/OFF, EVAPORADORAS CASSETE 4V 20000 + 12000 + 12000 BTUS/H, CONDENSADORA 28000 BTUS/H.</t>
  </si>
  <si>
    <t xml:space="preserve">CAIXA DE PASSAGEM PARA AR CONDICIONADO - FORNECIMENTO E INSTALAÇÃO. AF_08/2022</t>
  </si>
  <si>
    <t xml:space="preserve">INS-07439057</t>
  </si>
  <si>
    <t xml:space="preserve">CAIXA DE PASSAGEM PLASTICA PARA AR CONDICIONADO</t>
  </si>
  <si>
    <t xml:space="preserve">TUBO EM COBRE FLEXÍVEL, DN 1/2", COM ISOLAMENTO, INSTALADO EM FORRO, PARA RAMAL DE ALIMENTAÇÃO DE AR CONDICIONADO, INCLUSO FIXADOR. AF_11/2021</t>
  </si>
  <si>
    <t xml:space="preserve">ABRACADEIRA DE NYLON PARA AMARRACAO DE CABOS, COMPRIMENTO DE 390 X *4,6* MM</t>
  </si>
  <si>
    <t xml:space="preserve">TUBO DE BORRACHA ELASTOMERICA FLEXIVEL, PRETA, PARA ISOLAMENTO TERMICO DE TUBULACAO, DN 1/2" (12 MM), E= 19 MM, COEFICIENTE DE CONDUTIVIDADE TERMICA 0,036W/MK, VAPOR DE AGUA MAIOR OU IGUAL A 10.000</t>
  </si>
  <si>
    <t xml:space="preserve">TUBO DE COBRE FLEXIVEL, D = 1/2 ", E = 0,79 MM, PARA AR-CONDICIONADO/ INSTALACOES GAS RESIDENCIAIS E COMERCIAIS</t>
  </si>
  <si>
    <t xml:space="preserve">TUBO EM COBRE FLEXÍVEL, DN 1/4", COM ISOLAMENTO, INSTALADO EM FORRO, PARA RAMAL DE ALIMENTAÇÃO DE AR CONDICIONADO, INCLUSO FIXADOR. AF_11/2021</t>
  </si>
  <si>
    <t xml:space="preserve">TUBO DE BORRACHA ELASTOMERICA FLEXIVEL, PRETA, PARA ISOLAMENTO TERMICO DE TUBULACAO, DN 1/4" (6 MM), E= 9 MM, COEFICIENTE DE CONDUTIVIDADE TERMICA 0,036W/MK, VAPOR DE AGUA MAIOR OU IGUAL A 10.000</t>
  </si>
  <si>
    <t xml:space="preserve">TUBO DE COBRE FLEXIVEL, D = 1/4 ", E = 0,79 MM, PARA AR-CONDICIONADO/ INSTALACOES GAS RESIDENCIAIS E COMERCIAIS</t>
  </si>
  <si>
    <t xml:space="preserve">TUBO EM COBRE FLEXÍVEL, DN 3/8", COM ISOLAMENTO, INSTALADO EM FORRO, PARA RAMAL DE ALIMENTAÇÃO DE AR CONDICIONADO, INCLUSO FIXADOR. AF_11/2021</t>
  </si>
  <si>
    <t xml:space="preserve">TUBO DE BORRACHA ELASTOMERICA FLEXIVEL, PRETA, PARA ISOLAMENTO TERMICO DE TUBULACAO, DN 3/8" (10 MM), E= 19 MM, COEFICIENTE DE CONDUTIVIDADE TERMICA 0,036W/MK, VAPOR DE AGUA MAIOR OU IGUAL A 10.000</t>
  </si>
  <si>
    <t xml:space="preserve">TUBO DE COBRE FLEXIVEL, D = 3/8 ", E = 0,79 MM, PARA AR-CONDICIONADO/ INSTALACOES GAS RESIDENCIAIS E COMERCIAIS</t>
  </si>
  <si>
    <t xml:space="preserve">TUBO EM COBRE FLEXÍVEL, DN 5/8", COM ISOLAMENTO, INSTALADO EM FORRO, PARA RAMAL DE ALIMENTAÇÃO DE AR CONDICIONADO, INCLUSO FIXADOR. AF_11/2021</t>
  </si>
  <si>
    <t xml:space="preserve">TUBO DE BORRACHA ELASTOMERICA FLEXIVEL, PRETA, PARA ISOLAMENTO TERMICO DE TUBULACAO, DN 5/8" (15 MM), E= 19 MM, COEFICIENTE DE CONDUTIVIDADE TERMICA 0,036W/MK, VAPOR DE AGUA MAIOR OU IGUAL A 10.000</t>
  </si>
  <si>
    <t xml:space="preserve">TUBO DE COBRE FLEXIVEL, D = 5/8 ", E = 0,79 MM, PARA AR-CONDICIONADO/ INSTALACOES GAS RESIDENCIAIS E COMERCIAIS</t>
  </si>
  <si>
    <t xml:space="preserve">TUBO, PVC, SOLDÁVEL, DE 25MM, INSTALADO EM DRENO DE AR-CONDICIONADO - FORNECIMENTO E INSTALAÇÃO. AF_08/2022</t>
  </si>
  <si>
    <t xml:space="preserve">TUBO PVC, SÉRIE R, ÁGUA PLUVIAL, DN 50 MM, FORNECIDO E INSTALADO EM RAMAL DE ENCAMINHAMENTO. AF_06/2022</t>
  </si>
  <si>
    <t xml:space="preserve">TUBO PVC, SERIE R, DN 50 MM, PARA ESGOTO OU AGUAS PLUVIAIS PREDIAL (NBR 5688)</t>
  </si>
  <si>
    <t xml:space="preserve">BUCHA DE REDUÇÃO, CURTA, PVC, SOLDÁVEL, DN 50 X 40 MM, INSTALADO EM PRUMADA DE ÁGUA - FORNECIMENTO E INSTALAÇÃO. AF_06/2022</t>
  </si>
  <si>
    <t xml:space="preserve">BUCHA DE REDUCAO DE PVC, SOLDAVEL, CURTA, COM 50 X 40 MM, PARA AGUA FRIA PREDIAL</t>
  </si>
  <si>
    <t xml:space="preserve">BUCHA DE REDUÇÃO PVC, SOLDÁVEL, LONGA, DN 40 X 25 MM, INSTALADO EM RESERVAÇÃO PREDIAL DE ÁGUA - FORNECIMENTO E INSTALAÇÃO. AF_04/2024</t>
  </si>
  <si>
    <t xml:space="preserve">BUCHA DE REDUCAO DE PVC, SOLDAVEL, LONGA, COM 40 X 25 MM, PARA AGUA FRIA PREDIAL</t>
  </si>
  <si>
    <t xml:space="preserve">BUCHA DE REDUÇÃO PVC, SOLDÁVEL, LONGA, DN 50 X 25 MM, INSTALADO EM RESERVAÇÃO PREDIAL DE ÁGUA - FORNECIMENTO E INSTALAÇÃO. AF_04/2024</t>
  </si>
  <si>
    <t xml:space="preserve">JOELHO 45 GRAUS, PVC, SOLDÁVEL, DN 40MM, INSTALADO EM RAMAL DE DISTRIBUIÇÃO DE ÁGUA - FORNECIMENTO E INSTALAÇÃO. AF_06/2022</t>
  </si>
  <si>
    <t xml:space="preserve">JOELHO, PVC SOLDAVEL, 45 GRAUS, 40 MM, COR MARROM, PARA AGUA FRIA PREDIAL</t>
  </si>
  <si>
    <t xml:space="preserve">JOELHO 90 GRAUS, PVC, SERIE R, ÁGUA PLUVIAL, DN 50 MM, JUNTA ELÁSTICA, FORNECIDO E INSTALADO EM RAMAL DE ENCAMINHAMENTO. AF_06/2022</t>
  </si>
  <si>
    <t xml:space="preserve">JOELHO, PVC SERIE R, 90 GRAUS, DN 50 MM, PARA ESGOTO PREDIAL</t>
  </si>
  <si>
    <t xml:space="preserve">JOELHO 90 GRAUS, PVC, SOLDÁVEL, DN 25MM, INSTALADO EM DRENO DE AR-CONDICIONADO - FORNECIMENTO E INSTALAÇÃO. AF_08/2022</t>
  </si>
  <si>
    <t xml:space="preserve">JOELHO 90 GRAUS, PVC, SOLDÁVEL, DN 40MM, INSTALADO EM PRUMADA DE ÁGUA - FORNECIMENTO E INSTALAÇÃO. AF_06/2022</t>
  </si>
  <si>
    <t xml:space="preserve">JOELHO PVC, SOLDAVEL, 90 GRAUS, 40 MM, COR MARROM, PARA AGUA FRIA PREDIAL</t>
  </si>
  <si>
    <t xml:space="preserve">LUVA, PVC, SOLDÁVEL, DN 25MM, INSTALADO EM DRENO DE AR-CONDICIONADO - FORNECIMENTO E INSTALAÇÃO. AF_08/2022</t>
  </si>
  <si>
    <t xml:space="preserve">LUVA PVC SOLDAVEL, 25 MM, PARA AGUA FRIA PREDIAL</t>
  </si>
  <si>
    <t xml:space="preserve">TÊ DE REDUÇÃO, PVC, SOLDÁVEL, DN 40MM X 32MM, INSTALADO EM PRUMADA DE ÁGUA - FORNECIMENTO E INSTALAÇÃO. AF_06/2022</t>
  </si>
  <si>
    <t xml:space="preserve">TE DE REDUCAO, PVC, SOLDAVEL, 90 GRAUS, 40 MM X 32 MM, PARA AGUA FRIA PREDIAL</t>
  </si>
  <si>
    <t xml:space="preserve">TE, PVC, SOLDÁVEL, DN 25MM, INSTALADO EM DRENO DE AR-CONDICIONADO - FORNECIMENTO E INSTALAÇÃO. AF_08/2022</t>
  </si>
  <si>
    <t xml:space="preserve">TE, PVC, SOLDÁVEL, DN 40MM, INSTALADO EM PRUMADA DE ÁGUA - FORNECIMENTO E INSTALAÇÃO. AF_06/2022</t>
  </si>
  <si>
    <t xml:space="preserve">TE SOLDAVEL, PVC, 90 GRAUS, 40 MM, PARA AGUA FRIA PREDIAL (NBR 5648)</t>
  </si>
  <si>
    <t xml:space="preserve">CABO DE COBRE FLEXÍVEL TETRAPOLAR, 2,5 MM², ANTI-CHAMA 0,6/1,0 KV, PARA CIRCUITOS TERMINAIS - FORNECIMENTO E INSTALAÇÃO.</t>
  </si>
  <si>
    <t xml:space="preserve">INS-84447142</t>
  </si>
  <si>
    <t xml:space="preserve">CABO MULTIPOLAR DE COBRE, FLEXIVEL, CLASSE 4 OU 5, ISOLACAO EM HEPR, COBERTURA EM PVC-ST2, ANTICHAMA BWF-B, 0,6/1 KV, 4 CONDUTORES DE 2,5 MM2</t>
  </si>
  <si>
    <t xml:space="preserve">DIFUSOR PARA SISTEMA DE RENOVAÇÃO DE AR, Ø100 MM - FORNECIMENTO E INSTALAÇÃO.</t>
  </si>
  <si>
    <t xml:space="preserve">INS-87194336</t>
  </si>
  <si>
    <t xml:space="preserve">DIFUSOR DE AR (RVA) - Ø100MM</t>
  </si>
  <si>
    <t xml:space="preserve">DIFUSOR PARA SISTEMA DE RENOVAÇÃO DE AR, Ø150 MM - FORNECIMENTO E INSTALAÇÃO.</t>
  </si>
  <si>
    <t xml:space="preserve">INS-55336705</t>
  </si>
  <si>
    <t xml:space="preserve">DIFUSOR DE AR (RVA) - Ø150MM</t>
  </si>
  <si>
    <t xml:space="preserve">GRELHA PARA SISTEMA DE RENOVAÇÃO DE AR, Ø150 MM - FORNECIMENTO E INSTALAÇÃO.</t>
  </si>
  <si>
    <t xml:space="preserve">INS-59283188</t>
  </si>
  <si>
    <t xml:space="preserve">GRADE DE VENTILAÇÃO - Ø150 MM</t>
  </si>
  <si>
    <t xml:space="preserve">GRELHA PARA SISTEMA DE RENOVAÇÃO DE AR, Ø200 MM - FORNECIMENTO E INSTALAÇÃO.</t>
  </si>
  <si>
    <t xml:space="preserve">INS-90227568</t>
  </si>
  <si>
    <t xml:space="preserve">GRADE DE VENTILAÇÃO - Ø200 MM</t>
  </si>
  <si>
    <t xml:space="preserve">EXAUSTOR PARA SISTEMA DE RENOVAÇÃO DE AR, VAZÃO MÁXIMA 902 M3/H, MODELO MAX S PRO 200. REF. SICFLUX OU SIMILAR - FORNECIMENTO E INSTALAÇÃO.</t>
  </si>
  <si>
    <t xml:space="preserve">INS-57506979</t>
  </si>
  <si>
    <t xml:space="preserve">EXAUSTOR MAX S PRO 200 - REF. SICFLUX</t>
  </si>
  <si>
    <t xml:space="preserve">GABINETE DE VENTILAÇÃO PARA SISTEMA DE RENOVAÇÃO DE AR, VAZÃO MÁXIMA 218 M3/H, MODELO FH125 - G4/M5. REF. SICFLUX, OU SIMILAR - FORNECIMENTO E INSTALAÇÃO.</t>
  </si>
  <si>
    <t xml:space="preserve">INS-39237549</t>
  </si>
  <si>
    <t xml:space="preserve">GABINETE DE VENTILAÇÃO, FH125 - G4/M5. REF. SICFLUX</t>
  </si>
  <si>
    <t xml:space="preserve">GABINETE DE VENTILAÇÃO PARA SISTEMA DE RENOVAÇÃO DE AR, VAZÃO MÁXIMA 430 M3/H, MODELO FH150 - G4/F8. REF. SICFLUX, OU SIMILAR - FORNECIMENTO E INSTALAÇÃO.</t>
  </si>
  <si>
    <t xml:space="preserve">INS-54562286</t>
  </si>
  <si>
    <t xml:space="preserve">GABINETE DE VENTILAÇÃO, FH150 - G4/F8. REF. SICFLUX</t>
  </si>
  <si>
    <t xml:space="preserve">INSTALAÇÃO DE DUTO FLEXÍVEL CIRCULAR PARA SISTEMA DE RENOVAÇÃO DE AR, EM ALUMÍNIO DN 100 MM.</t>
  </si>
  <si>
    <t xml:space="preserve">INS-53598988</t>
  </si>
  <si>
    <t xml:space="preserve">DUTO FLEXIVEL CIRCULAR EM ALUMINIO DN 100 MM</t>
  </si>
  <si>
    <t xml:space="preserve">FITA METALICA PERFURADA, L = *18* MM, ROLO DE 30 M, CARGA RECOMENDADA = *30* KGF</t>
  </si>
  <si>
    <t xml:space="preserve">MONTADOR DE MAQUINAS (HORISTA)</t>
  </si>
  <si>
    <t xml:space="preserve">INSTALAÇÃO DE DUTO FLEXÍVEL CIRCULAR PARA SISTEMA DE RENOVAÇÃO DE AR, DN 150 MM.</t>
  </si>
  <si>
    <t xml:space="preserve">INS-10592372</t>
  </si>
  <si>
    <t xml:space="preserve">DUTO FLEXIVEL CIRCULAR EM ALUMINIO DN 150 MM</t>
  </si>
  <si>
    <t xml:space="preserve">INSTALAÇÃO DE DUTO PARA SISTEMA DE RENOVAÇÃO DE AR, EM CHAPA GALVANIZADA BITOLA 22, SEM ISOLAMENTO - FORNECIMENTO E INSTALAÇÃO.</t>
  </si>
  <si>
    <t xml:space="preserve">CHAPA DE ACO GALVANIZADA BITOLA GSG 22, E = 0,80 MM (6,40 KG/M2)</t>
  </si>
  <si>
    <t xml:space="preserve">IMPERMEABILIZANTE INCOLOR, BASE SILICONE, PARA TRATAMENTO DE FACHADAS, TELHAS, PEDRAS E OUTRAS SUPERFICIES - Percentual=0,04%</t>
  </si>
  <si>
    <t xml:space="preserve">INSTALAÇÃO DE CURVA, REDUÇÃO OU TÊ PARA DUTO PARA SISTEMA DE RENOVAÇÃO DE AR, EM CHAPA GALVANIZADA BITOLA 22, SEM ISOLAMENTO - FORNECIMENTO E INSTALAÇÃO.</t>
  </si>
  <si>
    <t xml:space="preserve">IMPERMEABILIZANTE INCOLOR, BASE SILICONE, PARA TRATAMENTO DE FACHADAS, TELHAS, PEDRAS E OUTRAS SUPERFICIES</t>
  </si>
  <si>
    <t xml:space="preserve">REVOLVIMENTO E LIMPEZA MANUAL DE SOLO. AF_07/2024</t>
  </si>
  <si>
    <t xml:space="preserve">APLICAÇÃO DE ADUBO +TERRA, EM SOLO.</t>
  </si>
  <si>
    <t xml:space="preserve">FERTILIZANTE NPK - 4: 14: 8</t>
  </si>
  <si>
    <t xml:space="preserve">FERTILIZANTE ORGANICO COMPOSTO, CLASSE A</t>
  </si>
  <si>
    <t xml:space="preserve">TERRA VEGETAL (GRANEL)</t>
  </si>
  <si>
    <t xml:space="preserve">PLANTIO DE PALMEIRA FENIX, COM ALTURA DE MUDA MAIOR QUE 2,00 M E MENOR OU IGUAL A 4,00 M.</t>
  </si>
  <si>
    <t xml:space="preserve">CAMINHAO TOCO, PESO BRUTO TOTAL 10700 KG, CARGA UTIL MAXIMA 7400 KG, DISTANCIA ENTRE EIXOS 4,00 M, POTENCIA 175 CV (INCLUI CABINE E CHASSI, NAO INCLUI CARROCERIA)</t>
  </si>
  <si>
    <t xml:space="preserve">GUINDAUTO HIDRAULICO, CAPACIDADE MAXIMA DE CARGA 3300 KG, MOMENTO MAXIMO DE CARGA 5,8 TM, ALCANCE MAXIMO HORIZONTAL 7,60 M, PARA MONTAGEM SOBRE CHASSI DE CAMINHAO PBT MINIMO 8000 KG (INCLUI MONTAGEM, NAO INCLUI CAMINHAO)</t>
  </si>
  <si>
    <t xml:space="preserve">INS-66036806</t>
  </si>
  <si>
    <t xml:space="preserve">MUDA DE PALMEIRA FENIX, DE 2 A 4M DE ALTURA E TRONCO DE 15 A 20 CM DE DIÂMETRO</t>
  </si>
  <si>
    <t xml:space="preserve">MOTORISTA OPERADOR DE CAMINHAO COM MUNCK (HORISTA)</t>
  </si>
  <si>
    <t xml:space="preserve">PLANTIO DE BROMÉLIA IMPERIAL, COM ALTURA DE MUDA ATÉ 1,50 M.</t>
  </si>
  <si>
    <t xml:space="preserve">INS-99393408</t>
  </si>
  <si>
    <t xml:space="preserve">MUDA DE BROMELIA IMPERIAL,  ATÉ 1,5M DE ALTURA.</t>
  </si>
  <si>
    <t xml:space="preserve">PLANTIO DE BROMÉLIA PORTO SEGURO, COM ALTURA DE MUDA DE ATÉ 0,90 M.</t>
  </si>
  <si>
    <t xml:space="preserve">INS-44380628</t>
  </si>
  <si>
    <t xml:space="preserve">MUDA DE BROMÉLIA PORTO SEGURO, ATÉ 90CM DE ALTURA.</t>
  </si>
  <si>
    <t xml:space="preserve">PLANTIO DE HELICÔNIA PAPAGAIO, COM ALTURA DE MUDA DE ATÉ 1,80 M.</t>
  </si>
  <si>
    <t xml:space="preserve">INS-78797079</t>
  </si>
  <si>
    <t xml:space="preserve">MUDA DE HELICÔNIA PAPAGAIO, ATÉ 1,80M DE ALTURA.</t>
  </si>
  <si>
    <t xml:space="preserve">PLANTIO DE FORRAÇÃO DE BROMÉLIA FIREBALL.</t>
  </si>
  <si>
    <t xml:space="preserve">INS-76445491</t>
  </si>
  <si>
    <t xml:space="preserve">MUDA DE BROMÉLIA FIREBALL, ATÉ 20CM DE DIÂMETRO.</t>
  </si>
  <si>
    <t xml:space="preserve">PLANTIO DE FORRAÇÃO DE ABACAXI ROXO, MUDAS DE ATÉ 40CM DE ALTURA.</t>
  </si>
  <si>
    <t xml:space="preserve">INS-08464010</t>
  </si>
  <si>
    <t xml:space="preserve">MUDA DE ABACAXI ROXO, ATÉ 40CM DE ALTURA.</t>
  </si>
  <si>
    <t xml:space="preserve">PLANTIO DE FORRAÇÃO GRAMA AMENDOIM.</t>
  </si>
  <si>
    <t xml:space="preserve">MUDA DE RASTEIRA/FORRACAO, AMENDOIM RASTEIRO/ONZE HORAS/AZULZINHA/IMPATIENS OU EQUIVALENTE DA REGIAO</t>
  </si>
  <si>
    <t xml:space="preserve">PLANTIO DE GRAMA ESMERALDA OU SÃO CARLOS OU CURITIBANA, EM PLACAS. AF_07/2024</t>
  </si>
  <si>
    <t xml:space="preserve">GRAMA ESMERALDA OU SAO CARLOS OU CURITIBANA, EM PLACAS, SEM PLANTIO</t>
  </si>
  <si>
    <t xml:space="preserve">POSTE DECORATIVO PARA JARDIM EM AÇO TUBULAR, H = 0,5 M, COM LAMPADA DE LED E27 - FORNECIMENTO E INSTALAÇÃO.</t>
  </si>
  <si>
    <t xml:space="preserve">CHUMBADOR DE ACO ZINCADO, DIAMETRO 5/8", COMPRIMENTO 6", COM PORCA</t>
  </si>
  <si>
    <t xml:space="preserve">LAMPADA LED 6 W BIVOLT BRANCA, FORMATO TRADICIONAL (BASE E27)</t>
  </si>
  <si>
    <t xml:space="preserve">POSTE DECORATIVO PARA JARDIM EM ACO TUBULAR, SEM LUMINARIA, H = *2,5* M</t>
  </si>
  <si>
    <t xml:space="preserve">SOQUETE DE PORCELANA BASE E27, PARA USO AO TEMPO, PARA LAMPADAS</t>
  </si>
  <si>
    <t xml:space="preserve">LUMINÁRIA ARANDELA TIPO MEIA LUA, DE SOBREPOR, COM 1 LÂMPADA LED DE 6 W, SEM REATOR - FORNECIMENTO E INSTALAÇÃO. AF_09/2024</t>
  </si>
  <si>
    <t xml:space="preserve">LUMINARIA ARANDELA TIPO MEIA-LUA COM VIDRO FOSCO *30 X 15* CM, PARA 1 LAMPADA, BASE E27, POTENCIA MAXIMA 40/60 W (NAO INCLUI LAMPADA)</t>
  </si>
  <si>
    <t xml:space="preserve">LIMPEZA DE PISO CERÂMICO OU PORCELANATO UTILIZANDO DETERGENTE NEUTRO E ESCOVAÇÃO MANUAL. AF_04/2019</t>
  </si>
  <si>
    <t xml:space="preserve">DETERGENTE NEUTRO USO GERAL, CONCENTRADO</t>
  </si>
  <si>
    <t xml:space="preserve">LIMPEZA DE REVESTIMENTO CERÂMICO EM PAREDE UTILIZANDO DETERGENTE NEUTRO E ESCOVAÇÃO MANUAL. AF_04/2019</t>
  </si>
  <si>
    <t xml:space="preserve">LIMPEZA DE PORTA DE MADEIRA. AF_04/2019</t>
  </si>
  <si>
    <t xml:space="preserve">LIMPEZA DE JANELA DE VIDRO COM CAIXILHO EM AÇO/ALUMÍNIO/PVC. AF_04/2019</t>
  </si>
  <si>
    <t xml:space="preserve">LIMPA VIDROS COM PULVERIZADOR</t>
  </si>
  <si>
    <t xml:space="preserve">LIMPEZA DE BANCADA DE PEDRA (MÁRMORE OU GRANITO). AF_04/2019</t>
  </si>
  <si>
    <t xml:space="preserve">DESINFETANTE PRONTO USO</t>
  </si>
  <si>
    <t xml:space="preserve">LIMPEZA DE BACIA SANITÁRIA, BIDÊ OU MICTÓRIO EM LOUÇA, INCLUSIVE METAIS CORRESPONDENTES. AF_04/2019</t>
  </si>
  <si>
    <t xml:space="preserve">DESMOBILIZAÇÃO E LIMPEZA FINAL DO CANTEIRO DE OBRAS.</t>
  </si>
  <si>
    <t xml:space="preserve">PLACA DE INAUGURAÇÃO AÇO ESCOVADO 60 X 120 CM</t>
  </si>
  <si>
    <t xml:space="preserve">INS-86215773</t>
  </si>
  <si>
    <t xml:space="preserve">PLACA DE INAUGURACAO ACO ESCOVADO 60X120CM</t>
  </si>
  <si>
    <t xml:space="preserve">DESENVOLVIMENTO DE COMO CONSTRUÍDO ("AS BUILT") EM BIM, MANUAL DE USO E OPERAÇÃO E OBTENÇÃO DE HABITE-SE - INCLUI MATERIAL E MÃO DE OBRA</t>
  </si>
  <si>
    <t xml:space="preserve">EPI - FAMILIA TOPOGRAFO - HORISTA (ENCARGOS COMPLEMENTARES - COLETADO CAIXA)</t>
  </si>
  <si>
    <t xml:space="preserve">FERRAMENTAS - FAMILIA TOPOGRAFO - HORISTA (ENCARGOS COMPLEMENTARES - COLETADO CAIXA)</t>
  </si>
  <si>
    <t xml:space="preserve">DESENHISTA PROJETISTA (HORISTA)</t>
  </si>
  <si>
    <t xml:space="preserve">OBRA: REFORMA ESCOLA JUDICIAL - FORUM TRABALHISTA DA 18 REGIAO</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</si>
  <si>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</si>
  <si>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 xml:space="preserve">Descrição</t>
  </si>
  <si>
    <t xml:space="preserve">UNIDADE </t>
  </si>
  <si>
    <t xml:space="preserve">CUSTO ADOTADO</t>
  </si>
  <si>
    <t xml:space="preserve">MAT.</t>
  </si>
  <si>
    <t xml:space="preserve">ABRIGO PARA EXTINTOR - 75X30X25CM.</t>
  </si>
  <si>
    <t xml:space="preserve">EMPRESA</t>
  </si>
  <si>
    <t xml:space="preserve">TELEFONE</t>
  </si>
  <si>
    <t xml:space="preserve">ENDEREÇO/E-MAIL</t>
  </si>
  <si>
    <t xml:space="preserve">VALOR</t>
  </si>
  <si>
    <t xml:space="preserve">MÉDIA MERCADO</t>
  </si>
  <si>
    <t xml:space="preserve">CUSTOS ADOTADOS</t>
  </si>
  <si>
    <t xml:space="preserve">MÃO-DE-OBRA</t>
  </si>
  <si>
    <t xml:space="preserve">Mega Thor Materiais Contra Incêndio.</t>
  </si>
  <si>
    <t xml:space="preserve">(11) 4395-1324</t>
  </si>
  <si>
    <t xml:space="preserve">vendas@megathor.com.br</t>
  </si>
  <si>
    <t xml:space="preserve">UTILIZOU-SE SINAPI</t>
  </si>
  <si>
    <t xml:space="preserve">Multiseg Comércio de Equipamentos de Segurança EIRELI.</t>
  </si>
  <si>
    <t xml:space="preserve">(47) 3086-4218</t>
  </si>
  <si>
    <t xml:space="preserve">lojavirtual@multiseg.com.br</t>
  </si>
  <si>
    <t xml:space="preserve">R&amp;A Extintores.</t>
  </si>
  <si>
    <t xml:space="preserve">(11) 3982-4952</t>
  </si>
  <si>
    <t xml:space="preserve">vendas@raextintores.com.br</t>
  </si>
  <si>
    <t xml:space="preserve">ACIONADOR MANUAL COM BOTEIRA "APERTE AQUI" - ENDEREÇÁVEL.</t>
  </si>
  <si>
    <t xml:space="preserve">Totaldados Informatica Comercio e Servicos LTDA.</t>
  </si>
  <si>
    <t xml:space="preserve">(11) 3932-3404</t>
  </si>
  <si>
    <t xml:space="preserve">cotacao@totaldados.com</t>
  </si>
  <si>
    <t xml:space="preserve">Tudo em Tecnologia.</t>
  </si>
  <si>
    <t xml:space="preserve">(47) 3234-0802</t>
  </si>
  <si>
    <t xml:space="preserve">vendas@tudoemtecnologia.com.br</t>
  </si>
  <si>
    <t xml:space="preserve">Gomes Climatização e Aquecimento.</t>
  </si>
  <si>
    <t xml:space="preserve">(47) 9633-4793</t>
  </si>
  <si>
    <t xml:space="preserve">gomes_clima@hotmail.com</t>
  </si>
  <si>
    <t xml:space="preserve">Leveros.</t>
  </si>
  <si>
    <t xml:space="preserve">0800 889 4888</t>
  </si>
  <si>
    <t xml:space="preserve">vendas@leveros.com.br</t>
  </si>
  <si>
    <t xml:space="preserve">Maxiar Ar condicionado</t>
  </si>
  <si>
    <t xml:space="preserve"> (16) 3916-4446</t>
  </si>
  <si>
    <t xml:space="preserve">julia.paiva@leveros.com.br</t>
  </si>
  <si>
    <t xml:space="preserve">STR.</t>
  </si>
  <si>
    <t xml:space="preserve">(11) 3648-8829</t>
  </si>
  <si>
    <t xml:space="preserve">orcamento@grupostr.com.br</t>
  </si>
  <si>
    <t xml:space="preserve">Polo Ar.</t>
  </si>
  <si>
    <t xml:space="preserve">orcamento@poloar.com.br</t>
  </si>
  <si>
    <t xml:space="preserve">Frigelar</t>
  </si>
  <si>
    <t xml:space="preserve">0800 008 8999</t>
  </si>
  <si>
    <t xml:space="preserve">sac@frigelar.com.br</t>
  </si>
  <si>
    <t xml:space="preserve">Daikin.</t>
  </si>
  <si>
    <t xml:space="preserve">(11) 3003-6968</t>
  </si>
  <si>
    <t xml:space="preserve">ecommerce@daikin.com.br</t>
  </si>
  <si>
    <t xml:space="preserve">Tocmix</t>
  </si>
  <si>
    <t xml:space="preserve">(83) 3241-2873</t>
  </si>
  <si>
    <t xml:space="preserve">Arandela teto Alto-falante JBL 6CO2R branco</t>
  </si>
  <si>
    <t xml:space="preserve">Amazon</t>
  </si>
  <si>
    <t xml:space="preserve">Arandela 6" Coaxial, Jbl, 6CO2R : Amazon.com.br: Casa</t>
  </si>
  <si>
    <t xml:space="preserve">Magazine Luiza</t>
  </si>
  <si>
    <t xml:space="preserve">0800 773 3838</t>
  </si>
  <si>
    <t xml:space="preserve">Arandela para som ambiente JBL 6CO2R - Luminária de Parede / Arandela - Magazine Luiza</t>
  </si>
  <si>
    <t xml:space="preserve">UN </t>
  </si>
  <si>
    <t xml:space="preserve">Magazine Luiza.</t>
  </si>
  <si>
    <t xml:space="preserve">atendimento.site@magazineluiza.com.br</t>
  </si>
  <si>
    <t xml:space="preserve">Casa Mimosa Hidráulica e Acabamentos.</t>
  </si>
  <si>
    <t xml:space="preserve">(11) 94024-2400</t>
  </si>
  <si>
    <t xml:space="preserve">vendas@casamimosa.com.br</t>
  </si>
  <si>
    <t xml:space="preserve">Leroy Merlin.</t>
  </si>
  <si>
    <t xml:space="preserve">0800 602 1380</t>
  </si>
  <si>
    <t xml:space="preserve">analisepj@leroymerlin.com.br</t>
  </si>
  <si>
    <t xml:space="preserve">AUTOMATIZADOR DE PORTA DESLIZANTE PD300.</t>
  </si>
  <si>
    <t xml:space="preserve">UN  </t>
  </si>
  <si>
    <t xml:space="preserve">Foco IT.</t>
  </si>
  <si>
    <t xml:space="preserve">(11) 97355-0409</t>
  </si>
  <si>
    <t xml:space="preserve">comercial@focoit.com.br</t>
  </si>
  <si>
    <t xml:space="preserve">Upperseg.</t>
  </si>
  <si>
    <t xml:space="preserve">(43) 3024-5144</t>
  </si>
  <si>
    <t xml:space="preserve">vendas@upperseg.com.br</t>
  </si>
  <si>
    <t xml:space="preserve">Best Network.</t>
  </si>
  <si>
    <t xml:space="preserve">(11) 3225-9933</t>
  </si>
  <si>
    <t xml:space="preserve">paulo@wondercabos.com.br</t>
  </si>
  <si>
    <t xml:space="preserve">BARRA CHATA DE ALUMÍNIO 7/8" X 1/8".</t>
  </si>
  <si>
    <t xml:space="preserve">Ilumisul Materiais elétricos e iluminação.</t>
  </si>
  <si>
    <t xml:space="preserve"> (47) 3263-0340</t>
  </si>
  <si>
    <t xml:space="preserve">sac@ilumisul.com.br</t>
  </si>
  <si>
    <t xml:space="preserve">Area Marginal Tietê Distribuidora de Materiais Elétricos Eireli.</t>
  </si>
  <si>
    <t xml:space="preserve">0800 264 4022</t>
  </si>
  <si>
    <t xml:space="preserve">contato@eletricaarea.com.br</t>
  </si>
  <si>
    <t xml:space="preserve">Eletro FM.</t>
  </si>
  <si>
    <t xml:space="preserve">(43) 3324-5919</t>
  </si>
  <si>
    <t xml:space="preserve">contato@eletrofm.com.br</t>
  </si>
  <si>
    <t xml:space="preserve">BARRA DE APOIO PARA LAVATÓRIO, EM INOX, 25 CM.</t>
  </si>
  <si>
    <t xml:space="preserve">Certiva</t>
  </si>
  <si>
    <t xml:space="preserve">(19) 3328-2080</t>
  </si>
  <si>
    <t xml:space="preserve">vendas@certiva.com.br</t>
  </si>
  <si>
    <t xml:space="preserve">MadeiraMadeira Comércio Eletrônico.</t>
  </si>
  <si>
    <t xml:space="preserve">0800 000 3360</t>
  </si>
  <si>
    <t xml:space="preserve">madeiramadeira@vcrpbrasil.com</t>
  </si>
  <si>
    <t xml:space="preserve">BARRA DE APOIO RETA, INOX, 40CM.</t>
  </si>
  <si>
    <t xml:space="preserve">Barra Certa</t>
  </si>
  <si>
    <t xml:space="preserve">(11) 2039-5990</t>
  </si>
  <si>
    <t xml:space="preserve">biela_prontaentrega@hotmail.com</t>
  </si>
  <si>
    <t xml:space="preserve">GlobalMar</t>
  </si>
  <si>
    <t xml:space="preserve">(11) 2365-1000</t>
  </si>
  <si>
    <t xml:space="preserve">vendas@globalmar.com.br</t>
  </si>
  <si>
    <t xml:space="preserve">Abc da Construção.</t>
  </si>
  <si>
    <t xml:space="preserve">0800 887 1526</t>
  </si>
  <si>
    <t xml:space="preserve">abcnasuacasa.atendimento@abcdaconstrucao.com.br</t>
  </si>
  <si>
    <t xml:space="preserve">BARRA REDONDA DE AÇO, Ø10 MM (70 MM2), RE-BAR, BARRAS DE 3M.</t>
  </si>
  <si>
    <t xml:space="preserve">A3 Eletro Comercial LTDA.</t>
  </si>
  <si>
    <t xml:space="preserve">(11) 3228-1577</t>
  </si>
  <si>
    <t xml:space="preserve">digital@a3eletro.com.br</t>
  </si>
  <si>
    <t xml:space="preserve">BLOCO AUTÔNOMO DE ILUMINAÇÃO DE EMERGÊNCIA - 300 LUMENS.</t>
  </si>
  <si>
    <t xml:space="preserve">Sustenta Led</t>
  </si>
  <si>
    <t xml:space="preserve">(11) 5678-7018</t>
  </si>
  <si>
    <t xml:space="preserve">comercial@sustentaled.com.br</t>
  </si>
  <si>
    <t xml:space="preserve">Mercado Livre.</t>
  </si>
  <si>
    <t xml:space="preserve">4020-1735</t>
  </si>
  <si>
    <t xml:space="preserve">atendimento@mercadolivre.com.br</t>
  </si>
  <si>
    <t xml:space="preserve">BLOCO AUTÔNOMO DE ILUMINAÇÃO DE EMERGÊNCIA - 600 LUMENS TIPO FAROLETE.</t>
  </si>
  <si>
    <t xml:space="preserve">Fadef.</t>
  </si>
  <si>
    <t xml:space="preserve">(11) 99776-3649</t>
  </si>
  <si>
    <t xml:space="preserve">vendas@lojafadef.com.br</t>
  </si>
  <si>
    <t xml:space="preserve">BOMBA CENTRÍFUGA PARA INCÊNDIO - 7,5 CV.</t>
  </si>
  <si>
    <t xml:space="preserve">Terwal Máquinas</t>
  </si>
  <si>
    <t xml:space="preserve">(71) 3326-8800</t>
  </si>
  <si>
    <t xml:space="preserve">BOMBA DE INCÊNDIO MONOESTÁGIO THEBE THSI-18(R) 7,5 CV 163MM TRIFÁSICA 220V/380V/440V</t>
  </si>
  <si>
    <t xml:space="preserve">CE Distribuidora de Bombas</t>
  </si>
  <si>
    <t xml:space="preserve">(38) 2211-8040</t>
  </si>
  <si>
    <t xml:space="preserve">Bomba de Incêndio Thebe Thsi-18(r) 7,5 Cv Trifásica 220v/380v/440v 168mm – Ce Distribuidora de Bombas</t>
  </si>
  <si>
    <t xml:space="preserve">Mérito Comércio de Equipamentos LTDA.</t>
  </si>
  <si>
    <t xml:space="preserve">(11) 3055-7600</t>
  </si>
  <si>
    <t xml:space="preserve">Bomba de Incêndio Thebe Thsi-18(r) 7,5 Cv 163mm Trifásica  220v/380v/440v</t>
  </si>
  <si>
    <t xml:space="preserve">BOTÃO FRANCÊS PARA ESPELHO.</t>
  </si>
  <si>
    <t xml:space="preserve">Top Vidros.</t>
  </si>
  <si>
    <t xml:space="preserve">(27) 3261-5890</t>
  </si>
  <si>
    <t xml:space="preserve">topvidrosonline@gmail.com</t>
  </si>
  <si>
    <t xml:space="preserve">Loja do Mecânico.</t>
  </si>
  <si>
    <t xml:space="preserve">(11) 3185-6786</t>
  </si>
  <si>
    <t xml:space="preserve">corporativo@lojadomecanico.com.br</t>
  </si>
  <si>
    <t xml:space="preserve">Rack Audio</t>
  </si>
  <si>
    <t xml:space="preserve">(11) 3360-7870</t>
  </si>
  <si>
    <t xml:space="preserve">Cabo de microfone Santo Angelo X30 - 100 metros - RCK Audio</t>
  </si>
  <si>
    <t xml:space="preserve">Cabos SP</t>
  </si>
  <si>
    <t xml:space="preserve">(11) 3502-3106</t>
  </si>
  <si>
    <t xml:space="preserve">Promoçao 100 Metros Cabo Microfone/dmx 2x0,30mm Balanceado</t>
  </si>
  <si>
    <t xml:space="preserve">Koala Music</t>
  </si>
  <si>
    <t xml:space="preserve">(51) 4042-1522</t>
  </si>
  <si>
    <t xml:space="preserve">Rolo De Cabo Para Microfone Santo Angelo X30 100m</t>
  </si>
  <si>
    <t xml:space="preserve">Essencia Brasileira.</t>
  </si>
  <si>
    <t xml:space="preserve">(11) 3042-5600</t>
  </si>
  <si>
    <t xml:space="preserve">rb.moc.arielisarbaicnesse@otatnoc</t>
  </si>
  <si>
    <t xml:space="preserve">CABO MULTIPOLAR DE COBRE, FLEXIVEL, CLASSE 4 OU 5, ISOLACAO EM HEPR, COBERTURA EM PVC-ST2, ANTICHAMA BWF-B, 0,6/1 KV, 4 CONDUTORES DE 2,5 MM2.</t>
  </si>
  <si>
    <t xml:space="preserve">Agrometal.</t>
  </si>
  <si>
    <t xml:space="preserve">(17) 2139-5025</t>
  </si>
  <si>
    <t xml:space="preserve">sac@agrometal.com.br</t>
  </si>
  <si>
    <t xml:space="preserve">Santil.</t>
  </si>
  <si>
    <t xml:space="preserve">(11) 3998-3000</t>
  </si>
  <si>
    <t xml:space="preserve">sac@santil.com.br</t>
  </si>
  <si>
    <t xml:space="preserve">Dimensional.</t>
  </si>
  <si>
    <t xml:space="preserve">(19) 3446-7400</t>
  </si>
  <si>
    <t xml:space="preserve">service@dimensional.com.br</t>
  </si>
  <si>
    <t xml:space="preserve">CAIXA DE EQUIPOTENCIALIZAÇÃO DE SOBREPOR - 5 TERMINAIS.</t>
  </si>
  <si>
    <t xml:space="preserve">Eletrica Bichuette.</t>
  </si>
  <si>
    <t xml:space="preserve">(16) 99223-5068</t>
  </si>
  <si>
    <t xml:space="preserve">contato@eletricabichuette.com.br</t>
  </si>
  <si>
    <t xml:space="preserve">CAIXA DE PASSAGEM PLASTICA PARA AR CONDICIONADO.</t>
  </si>
  <si>
    <t xml:space="preserve">Dufrio.</t>
  </si>
  <si>
    <t xml:space="preserve">0800 008 8500</t>
  </si>
  <si>
    <t xml:space="preserve">atendimento@dufrio.com.br</t>
  </si>
  <si>
    <t xml:space="preserve">MERC Comércio de Materiais para Construção Ltda. </t>
  </si>
  <si>
    <t xml:space="preserve">(11) 96989-4902</t>
  </si>
  <si>
    <t xml:space="preserve">vendas@merc.com.br</t>
  </si>
  <si>
    <t xml:space="preserve">CENTRAL DE ALARME ENDEREÇÁVEL - CIE 1060 INTELBRAS.</t>
  </si>
  <si>
    <t xml:space="preserve">Kabum.</t>
  </si>
  <si>
    <t xml:space="preserve">(19) 2114-4444</t>
  </si>
  <si>
    <t xml:space="preserve">faleconosco@kabum.com.br</t>
  </si>
  <si>
    <t xml:space="preserve">Hidroonline.</t>
  </si>
  <si>
    <t xml:space="preserve">(41) 99254-7675</t>
  </si>
  <si>
    <t xml:space="preserve">hidronline@hidronline.com.br</t>
  </si>
  <si>
    <t xml:space="preserve">CLIP DE AÇO GALVANIZADO PARA CONEXÃO DE BARRAS DE 8 A 10 MM.</t>
  </si>
  <si>
    <t xml:space="preserve">Nortel Express.</t>
  </si>
  <si>
    <t xml:space="preserve">(19) 99984-8754</t>
  </si>
  <si>
    <t xml:space="preserve">loja.campinas@nortel.com.br</t>
  </si>
  <si>
    <t xml:space="preserve">Eletro Paulo.</t>
  </si>
  <si>
    <t xml:space="preserve">(31) 3891-8081</t>
  </si>
  <si>
    <t xml:space="preserve">ecommerceeletropaulo@hotmail.com</t>
  </si>
  <si>
    <t xml:space="preserve">Central Elétrica.</t>
  </si>
  <si>
    <t xml:space="preserve">(38) 3214-7272</t>
  </si>
  <si>
    <t xml:space="preserve">sac@lojacentraleletrica.com.br</t>
  </si>
  <si>
    <t xml:space="preserve">CONECTOR ATERRINSERT PARA SPDA.</t>
  </si>
  <si>
    <t xml:space="preserve">Teky.</t>
  </si>
  <si>
    <t xml:space="preserve">(51) 4042-2076</t>
  </si>
  <si>
    <t xml:space="preserve">contato@teky.com.br</t>
  </si>
  <si>
    <t xml:space="preserve">Baratão do Sul.</t>
  </si>
  <si>
    <t xml:space="preserve">(47) 98875-6797</t>
  </si>
  <si>
    <t xml:space="preserve">sac@barataodosul.com.br</t>
  </si>
  <si>
    <t xml:space="preserve">CURVA 90° VERTICAL DE BARRA CHATA DE ALUMINIO 7/8" X 1/8".</t>
  </si>
  <si>
    <t xml:space="preserve">Loja Elétrica.</t>
  </si>
  <si>
    <t xml:space="preserve">(31) 3218-8000</t>
  </si>
  <si>
    <t xml:space="preserve">atendimento@lojaeletrica.com.br</t>
  </si>
  <si>
    <t xml:space="preserve">CURVA DE INVERSÃO 90 GRAUS PARA ELETROCALHA EM CHAPA DE ACO GALVANIZADO 150 X 50 MM.</t>
  </si>
  <si>
    <t xml:space="preserve">Eletrosul.</t>
  </si>
  <si>
    <t xml:space="preserve">(45) 99973-0222</t>
  </si>
  <si>
    <t xml:space="preserve">sac@eletrosul.com.br</t>
  </si>
  <si>
    <t xml:space="preserve">Seb.</t>
  </si>
  <si>
    <t xml:space="preserve">(41) 3082-2692</t>
  </si>
  <si>
    <t xml:space="preserve">vendas@sebbrasil.com.br</t>
  </si>
  <si>
    <t xml:space="preserve">CURVA HORIZONTAL 45 GRAUS PARA ELETROCALHA EM CHAPA PERFURADA DE ACO GALVANIZADO 100 X 50 MM.</t>
  </si>
  <si>
    <t xml:space="preserve">Obramax.</t>
  </si>
  <si>
    <t xml:space="preserve">(11) 3003-3400</t>
  </si>
  <si>
    <t xml:space="preserve">atendimento@obramax.com.br</t>
  </si>
  <si>
    <t xml:space="preserve">CURVA HORIZONTAL 90 GRAUS PARA ELETROCALHA EM CHAPA DE ACO GALVANIZADO 100 X 50 MM.</t>
  </si>
  <si>
    <t xml:space="preserve">DZ Materiais Elétricos</t>
  </si>
  <si>
    <t xml:space="preserve">(45) 3220-9560</t>
  </si>
  <si>
    <t xml:space="preserve">dzdigital@eletricadz.com.br</t>
  </si>
  <si>
    <t xml:space="preserve">Moneretto Luz.</t>
  </si>
  <si>
    <t xml:space="preserve">(48) 99957-3894</t>
  </si>
  <si>
    <t xml:space="preserve">orcamentos@monerettoluz.com.br</t>
  </si>
  <si>
    <t xml:space="preserve">CURVA VERTICAL INTERNA 90 GRAUS PARA ELETROCALHA EM CHAPA DE ACO GALVANIZADO 100 X 50 MM.</t>
  </si>
  <si>
    <t xml:space="preserve">Igtech.</t>
  </si>
  <si>
    <t xml:space="preserve">(43) 3304-0353</t>
  </si>
  <si>
    <t xml:space="preserve">igtech.londrina@gmail.com</t>
  </si>
  <si>
    <t xml:space="preserve">CFTV Clube Sistemas de Segurança Eletrônica.</t>
  </si>
  <si>
    <t xml:space="preserve">(19) 98410-3935</t>
  </si>
  <si>
    <t xml:space="preserve">vendas@cftvclube.com.br</t>
  </si>
  <si>
    <t xml:space="preserve">DETECTOR DE TEMPEREATURA TERMOVELOCIMÉTRICO ENDEREÇÁVEL.</t>
  </si>
  <si>
    <t xml:space="preserve">Elastrobor.</t>
  </si>
  <si>
    <t xml:space="preserve">(11) 5525-9744</t>
  </si>
  <si>
    <t xml:space="preserve">atendimento@elastobor.com.br</t>
  </si>
  <si>
    <t xml:space="preserve">DIFUSOR DE AR (RVA) - Ø100MM.</t>
  </si>
  <si>
    <t xml:space="preserve">Mega Ar Store.</t>
  </si>
  <si>
    <t xml:space="preserve">(41) 98817-4049</t>
  </si>
  <si>
    <t xml:space="preserve">vendas@megaarstore.com.br</t>
  </si>
  <si>
    <t xml:space="preserve">Ar Tech.</t>
  </si>
  <si>
    <t xml:space="preserve">(47) 3522-4949</t>
  </si>
  <si>
    <t xml:space="preserve">comercial@artechrefrigeracao.com.br</t>
  </si>
  <si>
    <t xml:space="preserve">DIFUSOR DE AR (RVA) - Ø150MM.</t>
  </si>
  <si>
    <t xml:space="preserve">Frio Shopping.</t>
  </si>
  <si>
    <t xml:space="preserve">(12) 3204-5257</t>
  </si>
  <si>
    <t xml:space="preserve">vendas@frioshopping.com.br</t>
  </si>
  <si>
    <t xml:space="preserve">Sol Digital.</t>
  </si>
  <si>
    <t xml:space="preserve">(11) 94299-2205</t>
  </si>
  <si>
    <t xml:space="preserve">atendimento@soldigital.com.br</t>
  </si>
  <si>
    <t xml:space="preserve">Nova Exaustores.</t>
  </si>
  <si>
    <t xml:space="preserve">(11) 93213-5871</t>
  </si>
  <si>
    <t xml:space="preserve">atendimento@novaexaustores.com.br</t>
  </si>
  <si>
    <t xml:space="preserve">DISPOSITIVO DPS CLASSE I, 1 POLO, TENSAO MAXIMA DE 275 V, CORRENTE MAXIMA DE 12,5/60 KA.</t>
  </si>
  <si>
    <t xml:space="preserve">Clamper.</t>
  </si>
  <si>
    <t xml:space="preserve">(31) 98417-4595</t>
  </si>
  <si>
    <t xml:space="preserve">ouvidoria@clamper.com.br</t>
  </si>
  <si>
    <t xml:space="preserve">Andra.</t>
  </si>
  <si>
    <t xml:space="preserve">(11) 95270-7000</t>
  </si>
  <si>
    <t xml:space="preserve">contratos@andra.com.br</t>
  </si>
  <si>
    <t xml:space="preserve">AZTech.</t>
  </si>
  <si>
    <t xml:space="preserve">(16) 3262-2225</t>
  </si>
  <si>
    <t xml:space="preserve">contato@aztech.com.br</t>
  </si>
  <si>
    <t xml:space="preserve">Unicaserv.</t>
  </si>
  <si>
    <t xml:space="preserve">(13) 3345-6012</t>
  </si>
  <si>
    <t xml:space="preserve">contato@unicaserv.com.br</t>
  </si>
  <si>
    <t xml:space="preserve">DUTO FLEXIVEL CIRCULAR EM ALUMINIO DN 100 MM.</t>
  </si>
  <si>
    <t xml:space="preserve">Embrar.</t>
  </si>
  <si>
    <t xml:space="preserve">(54) 99974-4605</t>
  </si>
  <si>
    <t xml:space="preserve">site@embrar.com.br</t>
  </si>
  <si>
    <t xml:space="preserve">Leds Indoor.</t>
  </si>
  <si>
    <t xml:space="preserve">(11) 99725-2515</t>
  </si>
  <si>
    <t xml:space="preserve">contato@ledsindoor.com.br</t>
  </si>
  <si>
    <t xml:space="preserve">Askoi.</t>
  </si>
  <si>
    <t xml:space="preserve">(47) 98406-7226</t>
  </si>
  <si>
    <t xml:space="preserve">vendas@askoi.com.br</t>
  </si>
  <si>
    <t xml:space="preserve">DUTO FLEXIVEL CIRCULAR EM ALUMINIO DN 150 MM.</t>
  </si>
  <si>
    <t xml:space="preserve">Newsletter.</t>
  </si>
  <si>
    <t xml:space="preserve">(48) 3211-8699</t>
  </si>
  <si>
    <t xml:space="preserve">contato@greenpower.net.br</t>
  </si>
  <si>
    <t xml:space="preserve">MadeiraMadeira</t>
  </si>
  <si>
    <t xml:space="preserve">(41) 998770911</t>
  </si>
  <si>
    <t xml:space="preserve">Elemento Tátil Alerta Inox Adesivado | MadeiraMadeira</t>
  </si>
  <si>
    <t xml:space="preserve">Leroy Merlin</t>
  </si>
  <si>
    <t xml:space="preserve">4007-1380</t>
  </si>
  <si>
    <t xml:space="preserve">Elemento Tátil Alerta Inox Adesivado | Leroy Merlin</t>
  </si>
  <si>
    <t xml:space="preserve">0800-773-3838</t>
  </si>
  <si>
    <t xml:space="preserve">Elemento tátil alerta inox adesivado - LAGGE ACESSIBILIDADE - Acessórios e Conservação de Sapatos - Magazine Luiza</t>
  </si>
  <si>
    <t xml:space="preserve">Elemento Tátil Direcional Inox Adesivado | MadeiraMadeira</t>
  </si>
  <si>
    <t xml:space="preserve">Elemento Tátil Direcional Inox Adesivado | Leroy Merlin</t>
  </si>
  <si>
    <t xml:space="preserve">Elemento tátil alerta e direcional inox adesivado - LAGGE ACESSIBILIDADE - Acessórios e Conservação de Sapatos - Magazine Luiza</t>
  </si>
  <si>
    <t xml:space="preserve">ELETROCALHA LISA OU PERFURADA EM CHAPA DE ACO GALVANIZADO, LARGURA 100 MM E ALTURA 50 MM, ESPESSURA #20.</t>
  </si>
  <si>
    <t xml:space="preserve">Infra Eletrocalhas.</t>
  </si>
  <si>
    <t xml:space="preserve">(21) 3148-2253</t>
  </si>
  <si>
    <t xml:space="preserve">vendas@infraeletrocalhas.com.br</t>
  </si>
  <si>
    <t xml:space="preserve">ELETROCALHA LISA OU PERFURADA EM CHAPA DE ACO GALVANIZADO, LARGURA 150MM E ALTURA 50MM.</t>
  </si>
  <si>
    <t xml:space="preserve">New Electric.</t>
  </si>
  <si>
    <t xml:space="preserve">(11) 4321-2356</t>
  </si>
  <si>
    <t xml:space="preserve">site@newelectricmj.com.br</t>
  </si>
  <si>
    <t xml:space="preserve">ELETROCALHA LISA TIPO U, EM CHAPA DE ACO GALVANIZADO, SEM TAMPA, DE 50 X 50 MM.</t>
  </si>
  <si>
    <t xml:space="preserve">Cetti.</t>
  </si>
  <si>
    <t xml:space="preserve">(11) 4527-4500</t>
  </si>
  <si>
    <t xml:space="preserve">loja@cetti.com.br</t>
  </si>
  <si>
    <t xml:space="preserve">Tubo De Drenagem Bravo Corrugado Preto 2.1/2'' X 50M - RCD - Tubos e Conexões Hidráulica - Magazine Luiza</t>
  </si>
  <si>
    <t xml:space="preserve">Teky</t>
  </si>
  <si>
    <t xml:space="preserve">Tubo Pead Corrugado 21/2"X50M Kanadren Preto Drenagem Kanaflex | Teky</t>
  </si>
  <si>
    <t xml:space="preserve">Super Pro</t>
  </si>
  <si>
    <t xml:space="preserve">(41) 3405-2800</t>
  </si>
  <si>
    <t xml:space="preserve">Conduite Flexível 2.1/2" 25m Preto Ibirá em oferta! - Super Pro Atacado</t>
  </si>
  <si>
    <t xml:space="preserve">EMENDA L EM AÇO GAVANIZADO  200X200 MM, Ø3/8".</t>
  </si>
  <si>
    <t xml:space="preserve">Eletro MW.</t>
  </si>
  <si>
    <t xml:space="preserve">(47) 3205-1590</t>
  </si>
  <si>
    <t xml:space="preserve">loja@eletromw.com.br</t>
  </si>
  <si>
    <t xml:space="preserve">Termotécnica.</t>
  </si>
  <si>
    <t xml:space="preserve"> (11) 5197-4000</t>
  </si>
  <si>
    <t xml:space="preserve">vendas3@tel.com.br</t>
  </si>
  <si>
    <t xml:space="preserve">Elétrica Marmota.</t>
  </si>
  <si>
    <t xml:space="preserve">(11) 2076-6666</t>
  </si>
  <si>
    <t xml:space="preserve">sac@marmota.com.br</t>
  </si>
  <si>
    <t xml:space="preserve">Zig Ferramentas.</t>
  </si>
  <si>
    <t xml:space="preserve">(11) 5242-1732</t>
  </si>
  <si>
    <t xml:space="preserve">contato@zigferramentas.com.br</t>
  </si>
  <si>
    <t xml:space="preserve">EXAUSTOR MAX S PRO 200 - REF. SICFLUX.</t>
  </si>
  <si>
    <t xml:space="preserve">Artmosfera.</t>
  </si>
  <si>
    <t xml:space="preserve">(61) 3363-7172</t>
  </si>
  <si>
    <t xml:space="preserve">artmosfera@gruporetec.com.br</t>
  </si>
  <si>
    <t xml:space="preserve">FILTRO DE LINHA PARA RACK 1U.</t>
  </si>
  <si>
    <t xml:space="preserve">Pichau.</t>
  </si>
  <si>
    <t xml:space="preserve">(47) 3305-5150</t>
  </si>
  <si>
    <t xml:space="preserve">sac@pichau.com.br</t>
  </si>
  <si>
    <t xml:space="preserve">Amazon.</t>
  </si>
  <si>
    <t xml:space="preserve">0800 038 0541</t>
  </si>
  <si>
    <t xml:space="preserve">ajuda-amazon@amazon.com.br</t>
  </si>
  <si>
    <t xml:space="preserve">Cia Light.</t>
  </si>
  <si>
    <t xml:space="preserve">(47) 3355-8611</t>
  </si>
  <si>
    <t xml:space="preserve">contato@cialight.com.br</t>
  </si>
  <si>
    <t xml:space="preserve">Inspire Home</t>
  </si>
  <si>
    <t xml:space="preserve">(47) 3285-6425</t>
  </si>
  <si>
    <t xml:space="preserve">atendimento@inspirehome.com.br</t>
  </si>
  <si>
    <t xml:space="preserve">FLANGE LISA 2.1/2", 4 FUROS COM ROSCA BSP.</t>
  </si>
  <si>
    <t xml:space="preserve">Ideal Rv.</t>
  </si>
  <si>
    <t xml:space="preserve">(14) 99842-4598</t>
  </si>
  <si>
    <t xml:space="preserve">vendas@idealrv.com.br</t>
  </si>
  <si>
    <t xml:space="preserve">Triamom.</t>
  </si>
  <si>
    <t xml:space="preserve">(35) 9955-6741</t>
  </si>
  <si>
    <t xml:space="preserve">vendastriamon@gmail.com</t>
  </si>
  <si>
    <t xml:space="preserve">Zavvor Válvulas e Conexões.</t>
  </si>
  <si>
    <t xml:space="preserve">(47) 3285-3908</t>
  </si>
  <si>
    <t xml:space="preserve">vendas@zavvor.com.br</t>
  </si>
  <si>
    <t xml:space="preserve">Quality Tubos.</t>
  </si>
  <si>
    <t xml:space="preserve">(11) 3107-0000</t>
  </si>
  <si>
    <t xml:space="preserve">vendas@qualitytubos.com.br</t>
  </si>
  <si>
    <t xml:space="preserve">Doutor Irrigação.</t>
  </si>
  <si>
    <t xml:space="preserve">(27) 3264-4497</t>
  </si>
  <si>
    <t xml:space="preserve">contato@drirrigacao.com.br</t>
  </si>
  <si>
    <t xml:space="preserve">Ortobras Elevadores.</t>
  </si>
  <si>
    <t xml:space="preserve">(51) 3696-9600</t>
  </si>
  <si>
    <t xml:space="preserve">sac@ortobras.com.br</t>
  </si>
  <si>
    <t xml:space="preserve">Lift Elevadores.</t>
  </si>
  <si>
    <t xml:space="preserve">(48) 98871-3207</t>
  </si>
  <si>
    <t xml:space="preserve">atendimento@ltielevadores.com.br</t>
  </si>
  <si>
    <t xml:space="preserve">Alka Elevadores.</t>
  </si>
  <si>
    <t xml:space="preserve">(62) 3280-5046</t>
  </si>
  <si>
    <t xml:space="preserve">coordenadoriaadm.alka@gmail.com </t>
  </si>
  <si>
    <t xml:space="preserve">W2 Comunicação Visual</t>
  </si>
  <si>
    <t xml:space="preserve">(62) 99335-2410</t>
  </si>
  <si>
    <t xml:space="preserve">bessaprog@gmail.com</t>
  </si>
  <si>
    <t xml:space="preserve">Alumax Comunicação Visual</t>
  </si>
  <si>
    <t xml:space="preserve">(62) 98161-0398 </t>
  </si>
  <si>
    <t xml:space="preserve">wendeyfaustodias@gmail.com</t>
  </si>
  <si>
    <t xml:space="preserve">Manancial Fachadas.</t>
  </si>
  <si>
    <t xml:space="preserve">(64) 3622-4501</t>
  </si>
  <si>
    <t xml:space="preserve">manancial.projetos@gmail.com</t>
  </si>
  <si>
    <t xml:space="preserve">GABINETE DE VENTILAÇÃO, FH125 - G4/M5. REF. SICFLUX.</t>
  </si>
  <si>
    <t xml:space="preserve">Prince Ventiladores e Exaustores.</t>
  </si>
  <si>
    <t xml:space="preserve">(11) 98933-1282</t>
  </si>
  <si>
    <t xml:space="preserve">vendas@princeventiladores.com.br</t>
  </si>
  <si>
    <t xml:space="preserve">GABINETE DE VENTILAÇÃO, FH150 - G4/F8. REF. SICFLUX.</t>
  </si>
  <si>
    <t xml:space="preserve">Palácio das Ferramentas</t>
  </si>
  <si>
    <t xml:space="preserve">(16) 2104-9699</t>
  </si>
  <si>
    <t xml:space="preserve">Gerador à Diesel 7,5 KVA Silencioso Trifásico Partida Elétrica TDG8500SLE3XP 251-075 TOYAMA</t>
  </si>
  <si>
    <t xml:space="preserve">Lova Máquinas</t>
  </si>
  <si>
    <t xml:space="preserve">(47) 32376251</t>
  </si>
  <si>
    <t xml:space="preserve">Gerador Diesel Toyama 7,5 KVA TDG8500SLE3XP | Lova Máquinas | Lova Comércio De Máquinas E Equipamentos</t>
  </si>
  <si>
    <t xml:space="preserve">Loja do Mecânico</t>
  </si>
  <si>
    <t xml:space="preserve">(11) 3508-9979</t>
  </si>
  <si>
    <t xml:space="preserve">Gerador de Energia Cabinado a 380V (Trifásico) - TOYAMA-251-075</t>
  </si>
  <si>
    <t xml:space="preserve">GRADE DE VENTILAÇÃO - Ø150 MM.</t>
  </si>
  <si>
    <t xml:space="preserve">Comercial Quevedo.</t>
  </si>
  <si>
    <t xml:space="preserve">(48) 99177-4616</t>
  </si>
  <si>
    <t xml:space="preserve">atendimento@comercialquevedo.com.br</t>
  </si>
  <si>
    <t xml:space="preserve">Hiperfer.</t>
  </si>
  <si>
    <t xml:space="preserve">(47) 3327-7602</t>
  </si>
  <si>
    <t xml:space="preserve">vendas@hiperfer.com.br</t>
  </si>
  <si>
    <t xml:space="preserve">Ras Materiais Elétricos e Hidráulicos.</t>
  </si>
  <si>
    <t xml:space="preserve">(49) 3433-5271</t>
  </si>
  <si>
    <t xml:space="preserve">vendas@rasmateriais.com.br</t>
  </si>
  <si>
    <t xml:space="preserve">GRADE DE VENTILAÇÃO - Ø200 MM.</t>
  </si>
  <si>
    <t xml:space="preserve">Dutra Máquinas.</t>
  </si>
  <si>
    <t xml:space="preserve">(11) 2795-8800</t>
  </si>
  <si>
    <t xml:space="preserve">vendas@dutramaquinas.com.br</t>
  </si>
  <si>
    <t xml:space="preserve">Intelbras</t>
  </si>
  <si>
    <t xml:space="preserve">(48) 3281-9790</t>
  </si>
  <si>
    <t xml:space="preserve">loja@intelbras.com.br</t>
  </si>
  <si>
    <t xml:space="preserve">JUNTA DE EXPANSÃO FLANGEADA 2.1/2".</t>
  </si>
  <si>
    <t xml:space="preserve">Industrial Motores</t>
  </si>
  <si>
    <t xml:space="preserve">(41) 3288-2485</t>
  </si>
  <si>
    <t xml:space="preserve">sac@industrialmotores.com.br</t>
  </si>
  <si>
    <t xml:space="preserve">JUNÇÃO DE REDUÇÃO, PVC, 45 GRAUS, DN 75 X 50 MM, SERIE NORMAL PARA ESGOTO PREDIAL.</t>
  </si>
  <si>
    <t xml:space="preserve">Taqi.</t>
  </si>
  <si>
    <t xml:space="preserve">0800 644 2299</t>
  </si>
  <si>
    <t xml:space="preserve">atendimento@taqi.com.br</t>
  </si>
  <si>
    <t xml:space="preserve">Açomix.</t>
  </si>
  <si>
    <t xml:space="preserve">(31) 99865-3330</t>
  </si>
  <si>
    <t xml:space="preserve">vendas@acomixltda.com.br</t>
  </si>
  <si>
    <t xml:space="preserve">(47) 99665-0219</t>
  </si>
  <si>
    <t xml:space="preserve">Lâmpada LED Bulbo E27 6500K 15W Bivolt - Germany Blumenau Iluminação 3157016 | Inspire Home</t>
  </si>
  <si>
    <t xml:space="preserve">Dimensional</t>
  </si>
  <si>
    <t xml:space="preserve">Lâmpada LED A70 E27 6500K Luz Branca Fria Bivolt 15W 20390 Ourolux - Dimensional</t>
  </si>
  <si>
    <t xml:space="preserve">LF Máquinas e Ferramentas</t>
  </si>
  <si>
    <t xml:space="preserve">(51) 3103-0100</t>
  </si>
  <si>
    <t xml:space="preserve">Lâmpada Led Bulbo E27 Ledvance 6500K | LF Máquinas e Ferramentas - LF Máquinas e Ferramentas</t>
  </si>
  <si>
    <t xml:space="preserve">Diamante do Led.</t>
  </si>
  <si>
    <t xml:space="preserve">(11) 99262-4942</t>
  </si>
  <si>
    <t xml:space="preserve">contato@diamantedoled.com.br</t>
  </si>
  <si>
    <t xml:space="preserve">Loja das Lâmpadas.</t>
  </si>
  <si>
    <t xml:space="preserve">(11) 94201-9804</t>
  </si>
  <si>
    <t xml:space="preserve">vendas@lojadaslampadas.com.br</t>
  </si>
  <si>
    <t xml:space="preserve">Eletrorastro.</t>
  </si>
  <si>
    <t xml:space="preserve">(41) 3661-3100</t>
  </si>
  <si>
    <t xml:space="preserve">trocasonline@eletrorastro.com.br</t>
  </si>
  <si>
    <t xml:space="preserve">Claron Iluminação.</t>
  </si>
  <si>
    <t xml:space="preserve">(16) 99343-0773</t>
  </si>
  <si>
    <t xml:space="preserve">sac@claron.com.br</t>
  </si>
  <si>
    <t xml:space="preserve">Fix Luz.</t>
  </si>
  <si>
    <t xml:space="preserve">(51) 2038-1123</t>
  </si>
  <si>
    <t xml:space="preserve">gestao@fixluz.com.br</t>
  </si>
  <si>
    <t xml:space="preserve">123 Comprou.</t>
  </si>
  <si>
    <t xml:space="preserve">(11) 3090-1236</t>
  </si>
  <si>
    <t xml:space="preserve">contato@123comprou.com</t>
  </si>
  <si>
    <t xml:space="preserve">Mundomax</t>
  </si>
  <si>
    <t xml:space="preserve">(43) 3377-6686</t>
  </si>
  <si>
    <t xml:space="preserve">Mesa de Som 12 Canais Xenyx X1222USB BEHRINGER - Mundomax</t>
  </si>
  <si>
    <t xml:space="preserve">Serenata</t>
  </si>
  <si>
    <t xml:space="preserve"> (31) 4042-1018</t>
  </si>
  <si>
    <t xml:space="preserve">Mesa de áudio Behringer XENYX X1222 com USB 12 canais Analógica - serenata</t>
  </si>
  <si>
    <t xml:space="preserve">AudioDriver</t>
  </si>
  <si>
    <t xml:space="preserve">(41) 3042-4398</t>
  </si>
  <si>
    <t xml:space="preserve">Mixer Mesa de Som Xenyx X1222USB - Behringer - AudioDriver Instrumentos Musicais e Acessórios</t>
  </si>
  <si>
    <t xml:space="preserve">SERV.</t>
  </si>
  <si>
    <t xml:space="preserve">MOBILIZAÇÃO E DESMOBILIZAÇÃO DE EQUIPAMENTO PARA ESTACAS.</t>
  </si>
  <si>
    <t xml:space="preserve">Preço utilizado da tabela do DEINFRA-SC - SC - 2021/01 - 10238</t>
  </si>
  <si>
    <t xml:space="preserve">Leves N Drops.</t>
  </si>
  <si>
    <t xml:space="preserve">(32) 3330-1424</t>
  </si>
  <si>
    <t xml:space="preserve">contato@leavesndrops.com.br</t>
  </si>
  <si>
    <t xml:space="preserve">Plantei.</t>
  </si>
  <si>
    <t xml:space="preserve">(14) 99657-5472</t>
  </si>
  <si>
    <t xml:space="preserve">sac@plantei.com.br</t>
  </si>
  <si>
    <t xml:space="preserve">Spagnhol Plantas Ornamentais.</t>
  </si>
  <si>
    <t xml:space="preserve">(19) 97107-5248</t>
  </si>
  <si>
    <t xml:space="preserve">compras2@spagnhol.com.br</t>
  </si>
  <si>
    <t xml:space="preserve">Viveiro Cultura Ecológica.</t>
  </si>
  <si>
    <t xml:space="preserve">(53) 99946-6721</t>
  </si>
  <si>
    <t xml:space="preserve">contato@viveiroculturaecologica.com.br</t>
  </si>
  <si>
    <t xml:space="preserve">Brasil Nativas.</t>
  </si>
  <si>
    <t xml:space="preserve">(62) 2025-2569</t>
  </si>
  <si>
    <t xml:space="preserve">comercial@brasilnativas.com.br</t>
  </si>
  <si>
    <t xml:space="preserve">Jardineiros.net.</t>
  </si>
  <si>
    <t xml:space="preserve">(21) 97168-1320</t>
  </si>
  <si>
    <t xml:space="preserve">contatojardineiros.net@gmail.com</t>
  </si>
  <si>
    <t xml:space="preserve">Horto Express.</t>
  </si>
  <si>
    <t xml:space="preserve">(21) 96718-1275</t>
  </si>
  <si>
    <t xml:space="preserve">sachortoexpress@gmail.com</t>
  </si>
  <si>
    <t xml:space="preserve">Planta Delivery.</t>
  </si>
  <si>
    <t xml:space="preserve">(21) 99893-3979</t>
  </si>
  <si>
    <t xml:space="preserve">vendas@plantadelivery.com.br</t>
  </si>
  <si>
    <t xml:space="preserve">Sitio da Mata.</t>
  </si>
  <si>
    <t xml:space="preserve">(11) 2853-0644</t>
  </si>
  <si>
    <t xml:space="preserve">sitiodamata@sitiodamata.com.br</t>
  </si>
  <si>
    <t xml:space="preserve">Plante Mais.</t>
  </si>
  <si>
    <t xml:space="preserve">(71) 99151-0028</t>
  </si>
  <si>
    <t xml:space="preserve">vendas@plantemais.com.br</t>
  </si>
  <si>
    <t xml:space="preserve">MUDA DE PALMEIRA FENIX, DE 2 A 4M DE ALTURA E TRONCO DE 15 A 20 CM DE DIÂMETRO.</t>
  </si>
  <si>
    <t xml:space="preserve">Sitio Flora Sol Plantas Ornamentais.</t>
  </si>
  <si>
    <t xml:space="preserve">(11) 91163-4108</t>
  </si>
  <si>
    <t xml:space="preserve">sitioflorasol@gmail.com</t>
  </si>
  <si>
    <t xml:space="preserve">ENERGIA EXTRA</t>
  </si>
  <si>
    <t xml:space="preserve">(11) 2359-6651</t>
  </si>
  <si>
    <t xml:space="preserve">contato@energiaextra.com.br</t>
  </si>
  <si>
    <t xml:space="preserve">Ifon Tech</t>
  </si>
  <si>
    <t xml:space="preserve">(19) 3090-3093</t>
  </si>
  <si>
    <t xml:space="preserve">contato@ifontech.com.br</t>
  </si>
  <si>
    <t xml:space="preserve">Processtec</t>
  </si>
  <si>
    <t xml:space="preserve">(81) 4003-6179</t>
  </si>
  <si>
    <t xml:space="preserve">sac@processtec.com.br</t>
  </si>
  <si>
    <t xml:space="preserve">NOBREAK PARA RACK 2U.</t>
  </si>
  <si>
    <t xml:space="preserve">Gigantec.</t>
  </si>
  <si>
    <t xml:space="preserve">(41) 3033-7179</t>
  </si>
  <si>
    <t xml:space="preserve">atendimento@gigantec.com.br</t>
  </si>
  <si>
    <t xml:space="preserve">PELICULA FUME PARA VIDRO.</t>
  </si>
  <si>
    <t xml:space="preserve">Sun Protect.</t>
  </si>
  <si>
    <t xml:space="preserve">(41) 99630-7434</t>
  </si>
  <si>
    <t xml:space="preserve">atendimento@novasunpeliculas.com</t>
  </si>
  <si>
    <t xml:space="preserve">Kd Comprou Insulfilms.</t>
  </si>
  <si>
    <t xml:space="preserve">(11) 97142-7863</t>
  </si>
  <si>
    <t xml:space="preserve">kdcomprouproducao@gmail.com</t>
  </si>
  <si>
    <t xml:space="preserve">Lux Adesivos.</t>
  </si>
  <si>
    <t xml:space="preserve">(62) 98207-6085</t>
  </si>
  <si>
    <t xml:space="preserve">adesivoslux@gmail.com</t>
  </si>
  <si>
    <t xml:space="preserve">Preço utilizado da tabela GOINFRA CIVIL - 2822</t>
  </si>
  <si>
    <t xml:space="preserve">PLACA DE SINALIZAÇÃO PARA  VAGAS PARA DEFICIENTE OU IDOSO.</t>
  </si>
  <si>
    <t xml:space="preserve">I Sinaliza.</t>
  </si>
  <si>
    <t xml:space="preserve">(11) 93004-1270</t>
  </si>
  <si>
    <t xml:space="preserve">contato@isinaliza.com</t>
  </si>
  <si>
    <t xml:space="preserve">Loja Viária.</t>
  </si>
  <si>
    <t xml:space="preserve">(41) 98785-4715</t>
  </si>
  <si>
    <t xml:space="preserve">vendas@lojaviaria.com.br</t>
  </si>
  <si>
    <t xml:space="preserve">Shock Comunicação Visual.</t>
  </si>
  <si>
    <t xml:space="preserve">(19) 98366-0624</t>
  </si>
  <si>
    <t xml:space="preserve">vendas@shockvisual.com.br</t>
  </si>
  <si>
    <t xml:space="preserve">PLACA DE SINALIZAÇÃO TÁTIL EM ALTO RELEVO COM BRAILE, ACRÍLICO, 20X10 CM.</t>
  </si>
  <si>
    <t xml:space="preserve">Mais Pi.</t>
  </si>
  <si>
    <t xml:space="preserve">(11) 99729-1063</t>
  </si>
  <si>
    <t xml:space="preserve">contato@picv.com.br</t>
  </si>
  <si>
    <t xml:space="preserve">PLACA INDICATIVA DE PAVIMENTO EM ALTO RELEVO.</t>
  </si>
  <si>
    <t xml:space="preserve">Planobras.</t>
  </si>
  <si>
    <t xml:space="preserve">(51) 2101-6800</t>
  </si>
  <si>
    <t xml:space="preserve">plenobras@plenobras.com.br</t>
  </si>
  <si>
    <t xml:space="preserve">PLACA INDICATIVA DE PAVIMENTO EM BRAILE.</t>
  </si>
  <si>
    <t xml:space="preserve">Safe Park.</t>
  </si>
  <si>
    <t xml:space="preserve">(61) 3297-6853</t>
  </si>
  <si>
    <t xml:space="preserve">atendimento@safeparksinalizacao.com</t>
  </si>
  <si>
    <t xml:space="preserve">Sinalizar.</t>
  </si>
  <si>
    <t xml:space="preserve">(11) 5581-3411</t>
  </si>
  <si>
    <t xml:space="preserve">loja@sinalizar.com.br</t>
  </si>
  <si>
    <t xml:space="preserve">Plug Xlr Canon Par Macho E Fêmea Berto Corpo Metálico - Bertô - Plugs e Adaptadores - Magazine Luiza</t>
  </si>
  <si>
    <t xml:space="preserve">Americanas</t>
  </si>
  <si>
    <t xml:space="preserve">4003 4848</t>
  </si>
  <si>
    <t xml:space="preserve">Plug conector xlr canon de linha par, macho + femea em Promoção na Americanas</t>
  </si>
  <si>
    <t xml:space="preserve">MS Audio</t>
  </si>
  <si>
    <t xml:space="preserve">(79) 99837-1054</t>
  </si>
  <si>
    <t xml:space="preserve">10 Plug Conector Linha Xlr Macho Fêmea Santo Angelo P/ Cabo</t>
  </si>
  <si>
    <t xml:space="preserve">https://www.mundomax.com.br/plug-3-pinos-90o-10a-pld10-3-preto-margirius?gad_source=4&amp;gclid=EAIaIQobChMI3eeF--SxigMVg1dIAB2k1hTpEAQYByABEgK64_D_BwE</t>
  </si>
  <si>
    <t xml:space="preserve">Vidraçaria Monte Castelo.</t>
  </si>
  <si>
    <t xml:space="preserve">(48) 3626-5281</t>
  </si>
  <si>
    <t xml:space="preserve">vidracariamontecastelo@hotmail.com</t>
  </si>
  <si>
    <t xml:space="preserve">Vidromath</t>
  </si>
  <si>
    <t xml:space="preserve">(48) 99621-9392</t>
  </si>
  <si>
    <t xml:space="preserve">vidracariamathiola@hotmail.com</t>
  </si>
  <si>
    <t xml:space="preserve">Vidraçaria e Molduraria Leão</t>
  </si>
  <si>
    <t xml:space="preserve">(64) 99907-2050</t>
  </si>
  <si>
    <t xml:space="preserve">vidracarialeao@hotmail.com</t>
  </si>
  <si>
    <t xml:space="preserve">Esquadriper.</t>
  </si>
  <si>
    <t xml:space="preserve">(47) 3466-0285</t>
  </si>
  <si>
    <t xml:space="preserve">esquadriper@esquadriper.com.br</t>
  </si>
  <si>
    <t xml:space="preserve">Ponto Forte Alumínios.</t>
  </si>
  <si>
    <t xml:space="preserve">(47) 98475-3675</t>
  </si>
  <si>
    <t xml:space="preserve"> contato@pontofortealuminios.com.br</t>
  </si>
  <si>
    <t xml:space="preserve">Fox Serralheria.</t>
  </si>
  <si>
    <t xml:space="preserve">(64) 99275-3896</t>
  </si>
  <si>
    <t xml:space="preserve">felipemorais1002@gmail.com</t>
  </si>
  <si>
    <t xml:space="preserve">Lapaz Vidraçaria</t>
  </si>
  <si>
    <t xml:space="preserve">(41) 3366-5068</t>
  </si>
  <si>
    <t xml:space="preserve">atendimento@vidracarialapaz.com.br</t>
  </si>
  <si>
    <t xml:space="preserve">PRESSURIZADOR ULTRA PRESS UP 725.</t>
  </si>
  <si>
    <t xml:space="preserve">Equibombas.</t>
  </si>
  <si>
    <t xml:space="preserve">(11) 98873-3195</t>
  </si>
  <si>
    <t xml:space="preserve">vendas6@equibombas.com.br</t>
  </si>
  <si>
    <t xml:space="preserve">Fraisol.</t>
  </si>
  <si>
    <t xml:space="preserve">(49) 98839-6125</t>
  </si>
  <si>
    <t xml:space="preserve">fraisol@hotmail.com</t>
  </si>
  <si>
    <t xml:space="preserve">Dka Automação.</t>
  </si>
  <si>
    <t xml:space="preserve">(14) 99680-2865</t>
  </si>
  <si>
    <t xml:space="preserve">contato@dkaautomacao.com.br</t>
  </si>
  <si>
    <t xml:space="preserve">Platten.</t>
  </si>
  <si>
    <t xml:space="preserve">(11) 97354-7598</t>
  </si>
  <si>
    <t xml:space="preserve">platten@platten.com.br</t>
  </si>
  <si>
    <t xml:space="preserve">QUADRO DE DISTRIBUICAO COM BARRAMENTO TRIFASICO, DE EMBUTIR, EM CHAPA DE ACO GALVANIZADO, PARA 50 DISJUNTORES DIN, 225 A.</t>
  </si>
  <si>
    <t xml:space="preserve">Merkashop.</t>
  </si>
  <si>
    <t xml:space="preserve">(51) 3276-7635</t>
  </si>
  <si>
    <t xml:space="preserve">merkashop.adm@gmail.com</t>
  </si>
  <si>
    <t xml:space="preserve">Mecado Livre</t>
  </si>
  <si>
    <t xml:space="preserve">Quadro De Distribuição 70 Disjuntores Emb Kit Trifásico 250a | Frete grátis</t>
  </si>
  <si>
    <t xml:space="preserve">BSE Painéis</t>
  </si>
  <si>
    <t xml:space="preserve">(19) 4103-4112</t>
  </si>
  <si>
    <t xml:space="preserve">QUADRO DE DISTRIBUIÇÃO DE EMBUTIR - TRIFÁSICO 250A / 72 POLOS - BSE Painéis - Loja Online</t>
  </si>
  <si>
    <t xml:space="preserve">Elétrica Marmota</t>
  </si>
  <si>
    <t xml:space="preserve">https://www.marmota.com.br/</t>
  </si>
  <si>
    <t xml:space="preserve">Solução Cabos.</t>
  </si>
  <si>
    <t xml:space="preserve">(11) 5990-1420</t>
  </si>
  <si>
    <t xml:space="preserve">vendas@solucaocabos.com.br</t>
  </si>
  <si>
    <t xml:space="preserve">SIRENE DE ALARME AUDIOVISUAL ENDEREÇÁVEL.</t>
  </si>
  <si>
    <t xml:space="preserve">Contra Incêndio.</t>
  </si>
  <si>
    <t xml:space="preserve">(15) 3233-5959</t>
  </si>
  <si>
    <t xml:space="preserve">contato@contraincendio.com.br</t>
  </si>
  <si>
    <t xml:space="preserve">SWITCH, 48 PORTAS, CATEGORIA 6, COM RACKS DE 19" DE LARGURA E 2 U DE ALTURA.</t>
  </si>
  <si>
    <t xml:space="preserve">TALA PARA EMENDA DE ELETROCALHA GALVANIZADA LISA OU PERFURADA - 100X50MM.</t>
  </si>
  <si>
    <t xml:space="preserve">Santil</t>
  </si>
  <si>
    <t xml:space="preserve">Grupo Tek.</t>
  </si>
  <si>
    <t xml:space="preserve"> (62) 3771-0334</t>
  </si>
  <si>
    <t xml:space="preserve">contato@tekdistribuidor.com.br</t>
  </si>
  <si>
    <t xml:space="preserve">TALA PARA EMENDA DE ELETROCALHA GALVANIZADA LISA OU PERFURADA - 50X50MM.</t>
  </si>
  <si>
    <t xml:space="preserve">Dínamo Materiais Elétricos.</t>
  </si>
  <si>
    <t xml:space="preserve">(41) 3097-7850</t>
  </si>
  <si>
    <t xml:space="preserve">vendas@eletricadinamo.com.br</t>
  </si>
  <si>
    <t xml:space="preserve">Makro Service.</t>
  </si>
  <si>
    <t xml:space="preserve">(62) 3216-4080</t>
  </si>
  <si>
    <t xml:space="preserve">vendas@makroservice.com.br</t>
  </si>
  <si>
    <t xml:space="preserve">Eletro FM</t>
  </si>
  <si>
    <t xml:space="preserve">Tampa de Encaixe para Eletrocalha 100mm 3 metros em chapa de aço galvanizado na Eletro FM</t>
  </si>
  <si>
    <t xml:space="preserve">Tampa Eletrocalha 100x3000 INBRAELL - Eletrocalha - Magazine Luiza</t>
  </si>
  <si>
    <t xml:space="preserve">New Eletric MJ</t>
  </si>
  <si>
    <t xml:space="preserve">Tampa para Eletrocalha 100mm - 3 Metros</t>
  </si>
  <si>
    <t xml:space="preserve">(45) 3220-9561</t>
  </si>
  <si>
    <t xml:space="preserve">Tampa para Eletrocalha 150mm Zincada Chapa26 3 metros - JEA</t>
  </si>
  <si>
    <t xml:space="preserve">Plenobras</t>
  </si>
  <si>
    <t xml:space="preserve">Tampa Encaixe Para Eletrocalha Galvanizada Eletrolítica 150X3000MM Jea | Plenobras</t>
  </si>
  <si>
    <t xml:space="preserve">Agrometal</t>
  </si>
  <si>
    <t xml:space="preserve">(14) 3311-5800</t>
  </si>
  <si>
    <t xml:space="preserve">Tampa Para Eletrocalha 150x3000 - Perfil Lider - Referência: 140150103000HPZ - Loja Agrometal</t>
  </si>
  <si>
    <t xml:space="preserve">Tampa de Encaixe para Eletrocalha 50mm 3 metros em chapa de aço galvanizado na Eletro FM</t>
  </si>
  <si>
    <t xml:space="preserve">Eletronor</t>
  </si>
  <si>
    <t xml:space="preserve">(54) 98148-3800</t>
  </si>
  <si>
    <t xml:space="preserve">Tampa De Encaixe Para Eletrocalha 50MM CH. 26 PZ REF. 10101686 - Eletropoll - Eletronor</t>
  </si>
  <si>
    <t xml:space="preserve">Andra</t>
  </si>
  <si>
    <t xml:space="preserve">Tampa De Encaixe Para Eletrocalha 5X300Cm #26 Pré Zincado CKE509 Kennedy | ANDRA</t>
  </si>
  <si>
    <t xml:space="preserve">TE HORIZONTAL 90 GRAUS PARA ELETROCALHA EM CHAPA DE ACO GALVANIZADO 100 X 50 MM, ESPESSURA #20.</t>
  </si>
  <si>
    <t xml:space="preserve">Tl Info.</t>
  </si>
  <si>
    <t xml:space="preserve">(21) 2283-3139 </t>
  </si>
  <si>
    <t xml:space="preserve">vendas@tlinfo.com.br</t>
  </si>
  <si>
    <t xml:space="preserve">TE HORIZONTAL 90 GRAUS PARA ELETROCALHA EM CHAPA DE ACO GALVANIZADO 150 X 50 MM.</t>
  </si>
  <si>
    <t xml:space="preserve">Eletrotrafo.</t>
  </si>
  <si>
    <t xml:space="preserve">(43) 3520-5000</t>
  </si>
  <si>
    <t xml:space="preserve">faleconosco@eletrotrafo.com.br</t>
  </si>
  <si>
    <t xml:space="preserve">TE SANITARIO, PVC, DN 75 X 50 MM, SERIE NORMAL PARA ESGOTO PREDIAL.</t>
  </si>
  <si>
    <t xml:space="preserve">Plastolândia Hidráulica e Plásticos Industriais.</t>
  </si>
  <si>
    <t xml:space="preserve">(11) 2168-8533</t>
  </si>
  <si>
    <t xml:space="preserve">plastolandia@plastolandia.com.br</t>
  </si>
  <si>
    <t xml:space="preserve">Cemaco</t>
  </si>
  <si>
    <t xml:space="preserve">(62) 3230-3333</t>
  </si>
  <si>
    <t xml:space="preserve">TEXTURA LEINERTEX ACRILICA LONDRES 23KG</t>
  </si>
  <si>
    <t xml:space="preserve">Textura londres 23kg leinertex 8823401 - Textura para Parede / Madeira / Aço - Magazine Luiza</t>
  </si>
  <si>
    <t xml:space="preserve">Liven</t>
  </si>
  <si>
    <t xml:space="preserve">(61) 4042-7050</t>
  </si>
  <si>
    <t xml:space="preserve">Textura Londres 23kg - Leinertex</t>
  </si>
  <si>
    <t xml:space="preserve">Tinta Acrílica Acetinada Decora Seda Coral Branco Gelo - LF Máquinas e Ferramentas</t>
  </si>
  <si>
    <t xml:space="preserve">Big Cores Tintas</t>
  </si>
  <si>
    <t xml:space="preserve">(41) 3382-1864</t>
  </si>
  <si>
    <t xml:space="preserve">Tinta Acrílica Decora Seda Acetinado Branco 18L Coral | Big Cores Tintas</t>
  </si>
  <si>
    <t xml:space="preserve">G-Haus</t>
  </si>
  <si>
    <t xml:space="preserve">(54) 3010-0008</t>
  </si>
  <si>
    <t xml:space="preserve">Tinta Acrílica Acetinada Decora Seda Coral Branco Gelo | G-Haus - G-Haus</t>
  </si>
  <si>
    <t xml:space="preserve">UM</t>
  </si>
  <si>
    <t xml:space="preserve">Unicaserv</t>
  </si>
  <si>
    <t xml:space="preserve">(13) 3345-6015</t>
  </si>
  <si>
    <t xml:space="preserve">Na Unicaserv tem Módulo Tomada de Rede RJ45 Cat6 8 fios Linha Slim Ilumi Branco (Ref.: 81641) Ilumi ! E ainda com melhor preço do mercado. Pague no Pix e garanta desconto adicional de +5%. Aqui você encontra esse e muito mais Produtos e Materiais para você Profissional ou Empresa. Acesse e Compre na Unicaserv, a Distribuidora completa.</t>
  </si>
  <si>
    <t xml:space="preserve">Baratão do Sul</t>
  </si>
  <si>
    <t xml:space="preserve">Tomada RJ45 CAT6 de 1 módulo branco Simon 20</t>
  </si>
  <si>
    <t xml:space="preserve">Balaroti</t>
  </si>
  <si>
    <t xml:space="preserve">(41) 3017-8050</t>
  </si>
  <si>
    <t xml:space="preserve">Módulo Tomada RJ45 Cat6 Soprano Iris Branco - Balaroti</t>
  </si>
  <si>
    <t xml:space="preserve">TOMADA USB 2A (APENAS MODULO).</t>
  </si>
  <si>
    <t xml:space="preserve">Josane Casa e Construção.</t>
  </si>
  <si>
    <t xml:space="preserve"> (15) 99723-9512</t>
  </si>
  <si>
    <t xml:space="preserve">contato@josane.com.br</t>
  </si>
  <si>
    <t xml:space="preserve">TORNEIRA CROMADA DE MESA, 1/2", AUTOMÁTICA, PNE, PARA LAVATÓRIO.</t>
  </si>
  <si>
    <t xml:space="preserve">Bazar das Torneiras.</t>
  </si>
  <si>
    <t xml:space="preserve">(11) 95023-9804</t>
  </si>
  <si>
    <t xml:space="preserve">vendas@bazardastorneiras.com.br</t>
  </si>
  <si>
    <t xml:space="preserve">Modelar.</t>
  </si>
  <si>
    <t xml:space="preserve">(11) 99641-5005</t>
  </si>
  <si>
    <t xml:space="preserve">sac@larmodelar.com.br</t>
  </si>
  <si>
    <t xml:space="preserve">Conexo Pças.</t>
  </si>
  <si>
    <t xml:space="preserve">(47) 99619-7339</t>
  </si>
  <si>
    <t xml:space="preserve">vendasconexopecas.com.br</t>
  </si>
  <si>
    <t xml:space="preserve">VALVULA REDUTORA DE PRESSAO 2 1/2".</t>
  </si>
  <si>
    <t xml:space="preserve">Energia Solucoes em Aquecimento.</t>
  </si>
  <si>
    <t xml:space="preserve">(62) 3202-5944</t>
  </si>
  <si>
    <t xml:space="preserve">vendas@energiasolucoes.com.br</t>
  </si>
  <si>
    <t xml:space="preserve">PODER JUDICIÁRIO DA UNIÃO</t>
  </si>
  <si>
    <t xml:space="preserve">DETALHAMENTO DE BDI PRESUMIDO COM DESONERAÇÃO</t>
  </si>
  <si>
    <t xml:space="preserve">CONSIDEROU-SE SERVIÇOS DE CONSTRUÇÃO CIVIL  A SEREM PRESTADOS POR EMPRESAS QUE GOZAM DE DESONERAÇÃO DE FOLHA DE PAGAMENTO.</t>
  </si>
  <si>
    <t xml:space="preserve">(FONTE: CÓDIGO TRIBUTÁRIO MUNICIPAL)</t>
  </si>
  <si>
    <t xml:space="preserve">ACÓRDÃO 2.622/2013 TCU</t>
  </si>
  <si>
    <t xml:space="preserve">MATERIAIS</t>
  </si>
  <si>
    <t xml:space="preserve">MERO FORNECIMENTO DE MATERIAIS E EQUIPAMENTOS</t>
  </si>
  <si>
    <t xml:space="preserve">1º QUARTIL</t>
  </si>
  <si>
    <t xml:space="preserve">MÉDIA</t>
  </si>
  <si>
    <t xml:space="preserve">3º QUARTIL</t>
  </si>
  <si>
    <t xml:space="preserve">ADMINISTRAÇÃO CENTRAL (AC)</t>
  </si>
  <si>
    <t xml:space="preserve">AC</t>
  </si>
  <si>
    <t xml:space="preserve">S+R+G</t>
  </si>
  <si>
    <t xml:space="preserve">SEGURO (S)</t>
  </si>
  <si>
    <t xml:space="preserve">GARANTIAS (G)</t>
  </si>
  <si>
    <t xml:space="preserve">S+G</t>
  </si>
  <si>
    <t xml:space="preserve">RISCOS (R)</t>
  </si>
  <si>
    <t xml:space="preserve">R</t>
  </si>
  <si>
    <t xml:space="preserve">ref. ao 1º fator</t>
  </si>
  <si>
    <t xml:space="preserve">DESPESAS FINANCEIRAS (DF)</t>
  </si>
  <si>
    <t xml:space="preserve">ref. ao 2º fator</t>
  </si>
  <si>
    <t xml:space="preserve">DF</t>
  </si>
  <si>
    <t xml:space="preserve">REMUNERAÇÃO BRUTA DO CONSTRUTOR (L)</t>
  </si>
  <si>
    <t xml:space="preserve">ref. ao 3º fator</t>
  </si>
  <si>
    <t xml:space="preserve">(1+AC+S+R+G) x (1+DF) x (1+L)</t>
  </si>
  <si>
    <t xml:space="preserve">PIS</t>
  </si>
  <si>
    <t xml:space="preserve">COFINS</t>
  </si>
  <si>
    <t xml:space="preserve">(CÓDIGO TRIBUTÁRIO DO MUNICÍPIO) ISSQN</t>
  </si>
  <si>
    <t xml:space="preserve">(depende da legislação tributária municipal)</t>
  </si>
  <si>
    <t xml:space="preserve">(CONTRIB. PREV. SOBRE RECEITA BRUTA) CPRB</t>
  </si>
  <si>
    <t xml:space="preserve">( 1 – I )</t>
  </si>
  <si>
    <t xml:space="preserve">Fórmula utilizada:</t>
  </si>
  <si>
    <t xml:space="preserve">ESSES VALORES não INCLUIRAM O IPRB, CONFORME OBSERVA O próprio ACORDAO</t>
  </si>
  <si>
    <t xml:space="preserve">Fonte: 
BRASIL. Tribunal de Contas da União. Orientações para elaboração de planilhas orçamentárias de Obras Públicas. Brasília: TCU, 2014.(p.86)</t>
  </si>
  <si>
    <t xml:space="preserve">FONTE: CAIXA ECONOMICA FEDERAL</t>
  </si>
  <si>
    <t xml:space="preserve">CURVA ABC</t>
  </si>
  <si>
    <t xml:space="preserve">BDI_MAT</t>
  </si>
  <si>
    <t xml:space="preserve">BDI_MDO</t>
  </si>
  <si>
    <t xml:space="preserve">BDI_DIF</t>
  </si>
  <si>
    <t xml:space="preserve">PERCENTUAIS</t>
  </si>
  <si>
    <t xml:space="preserve">TOTAL</t>
  </si>
  <si>
    <t xml:space="preserve">ACUM %</t>
  </si>
  <si>
    <t xml:space="preserve">COMPARATIVO BASES UTILIZADAS CONFORME RES. 070 CSJT</t>
  </si>
  <si>
    <t xml:space="preserve">VERIFICAÇÕES SINAPI</t>
  </si>
  <si>
    <t xml:space="preserve">PARECER/CONCLUSÃO</t>
  </si>
  <si>
    <t xml:space="preserve">COMPARANDO OS SERVIÇOS DA PLANILHA AOS PUBLICADOS NO SINAPI, OBSERVOU-SE UM DESVIO DE 0,04% PARA O ORÇAMENTO COMO UM TODO</t>
  </si>
  <si>
    <t xml:space="preserve">O QUE SE DEVE A DIVERGÊNCIAS DE ARREDONDAMENTOS MATEMÁTICOS/COMPUTACIONAIS ENTRE O SINAPI E A PLANILHA ELETRONICA </t>
  </si>
  <si>
    <t xml:space="preserve">TAIS DIVERGENCIAS PODEM SER DESPREZADAS, UMA VEZ QUE O SOFTWARE DE PLANILHA ELETRONICA UTILIZA PRECISÃO SUPERIOR A DO SISTEMA</t>
  </si>
  <si>
    <t xml:space="preserve">SINAPI E, PORTANTO, CONDUZ A VALORES LIGEIRAMENTE SUPERIORES EM RELAÇÃO AO SISTEMA DA CAIXA, QUE TRUNCA OS ITENS EM DUAS CASAS </t>
  </si>
  <si>
    <t xml:space="preserve">DESTACA-SE QUE 40 DE 80 SERVIÇOS POSSUEM REFERENCIA SINAPI, REPRESENTANDO 50% DO TOTAL DE SERVIÇOS</t>
  </si>
  <si>
    <t xml:space="preserve">E AINDA QUE 134 DE 165 INSUMOS SÃO SINAPI, REPRESENTANDO UMA COBERTURA DE 81,2%</t>
  </si>
  <si>
    <t xml:space="preserve">OS DEMAIS INSUMOS SÃO PESQUISAS OU OUTRAS FONTES</t>
  </si>
  <si>
    <t xml:space="preserve">TABELA DE INSUMOS EMPREGADOS NAS COMPOSIÇÕES ANALÍTICAS</t>
  </si>
  <si>
    <t xml:space="preserve">(NÃO IMPRIMIR, POIS NÃO FAZ PARTE DA DOCUMENTAÇÃO NECESSÁRIA, APENAS PARA CALCULO INTERNO)</t>
  </si>
  <si>
    <t xml:space="preserve">QUANT.</t>
  </si>
  <si>
    <t xml:space="preserve">PR.UNIT(R$)</t>
  </si>
  <si>
    <t xml:space="preserve">DIFERENÇAS</t>
  </si>
  <si>
    <t xml:space="preserve">SC25KG</t>
  </si>
  <si>
    <t xml:space="preserve">M.O.</t>
  </si>
  <si>
    <t xml:space="preserve">UNXMES</t>
  </si>
  <si>
    <t xml:space="preserve">MES   </t>
  </si>
  <si>
    <t xml:space="preserve">H     </t>
  </si>
  <si>
    <t xml:space="preserve">KWH   </t>
  </si>
  <si>
    <t xml:space="preserve">ABRACADEIRA DE LATAO PARA FIXACAO DE CABO PARA-RAIO, DIMENSOES 32 X 24 X 24 MM</t>
  </si>
  <si>
    <t xml:space="preserve">CR</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</si>
  <si>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</si>
  <si>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</si>
  <si>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</si>
  <si>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200 X *4,6* MM</t>
  </si>
  <si>
    <t xml:space="preserve">C</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</si>
  <si>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</si>
  <si>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</si>
  <si>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</si>
  <si>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</si>
  <si>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 E CUNHA DE FIXACAO</t>
  </si>
  <si>
    <t xml:space="preserve">ABRACADEIRA EM ACO PARA AMARRACAO DE ELETRODUTOS, TIPO D, COM 1" E PARAFUSO DE FIXACAO</t>
  </si>
  <si>
    <t xml:space="preserve">ABRACADEIRA EM ACO PARA AMARRACAO DE ELETRODUTOS, TIPO D, COM 1/2" E CUNHA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</si>
  <si>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</si>
  <si>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</si>
  <si>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</si>
  <si>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</si>
  <si>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</si>
  <si>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</si>
  <si>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</si>
  <si>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</si>
  <si>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</si>
  <si>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</si>
  <si>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4" E CUNHA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</si>
  <si>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</si>
  <si>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</si>
  <si>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</si>
  <si>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t>
  </si>
  <si>
    <t xml:space="preserve">ABRACADEIRA EM ACO PARA AMARRACAO DE ELETRODUTOS, TIPO U SIMPLES, COM 1/2"</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</si>
  <si>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</si>
  <si>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</si>
  <si>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</si>
  <si>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</si>
  <si>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</si>
  <si>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4"</t>
  </si>
  <si>
    <t xml:space="preserve">ABRACADEIRA PVC, PARA CALHA PLUVIAL, DIAMETRO ENTRE *80 E 100* MM, PARA DRENAGEM PLUVIAL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</si>
  <si>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</si>
  <si>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</si>
  <si>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</si>
  <si>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DE METAL CROMADO PARA REGISTRO PEQUENO, DE PAREDE, 1/2" OU 3/4"</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</si>
  <si>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</si>
  <si>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</si>
  <si>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</si>
  <si>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ACETILENO (RECARGA DE GAS ACETILENO PARA CILINDRO DE CONJUNTO OXICORTE GRANDE) NAO INCLUI TROCA/MANUTENCAO DO CILINDRO</t>
  </si>
  <si>
    <t xml:space="preserve">ACIDO CLORIDRICO / ACIDO MURIATICO, DILUICAO 10% A 12% PARA USO EM LIMPEZA</t>
  </si>
  <si>
    <t xml:space="preserve">ACO CA-25, 10,0 MM, OU 12,5 MM, OU 16,0 MM, OU 20,0 MM, OU 25,0 MM, VERGALHAO</t>
  </si>
  <si>
    <t xml:space="preserve">ACO CA-25, 20,0 MM, BARRA DE TRANSFERENCIA</t>
  </si>
  <si>
    <t xml:space="preserve">ACO CA-25, 25,0 MM, BARRA DE TRANSFERENCIA</t>
  </si>
  <si>
    <t xml:space="preserve">ACO CA-25, 32,0 MM, BARRA DE TRANSFERENCIA</t>
  </si>
  <si>
    <t xml:space="preserve">ACO CA-25, 32,0 MM, VERGALHAO</t>
  </si>
  <si>
    <t xml:space="preserve">ACO CA-25, 6,3 MM OU 8,0 MM, VERGALHAO</t>
  </si>
  <si>
    <t xml:space="preserve">ACO CA-50, 10,0 MM, OU 12,5 MM, OU 16,0 MM, OU 20,0 MM, DOBRADO E CORTADO</t>
  </si>
  <si>
    <t xml:space="preserve">ACO CA-50, 32,0 MM, VERGALHAO</t>
  </si>
  <si>
    <t xml:space="preserve">ACO CA-50, 6,3 MM, DOBRADO E CORTADO</t>
  </si>
  <si>
    <t xml:space="preserve">ACO CA-60, 6,0 MM OU 7,0 MM, DOBRADO E CORTADO</t>
  </si>
  <si>
    <t xml:space="preserve">ACO CA-60, 8,0 MM OU 9,5 MM, VERGALHAO</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</si>
  <si>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</si>
  <si>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</si>
  <si>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</si>
  <si>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CPVC, ROSCAVEL, COM FLANGES E ANEL DE VEDACAO, 15 MM, CAIXA D'AGUA PARA AGUA QUENTE</t>
  </si>
  <si>
    <t xml:space="preserve">ADAPTADOR CPVC, ROSCAVEL, COM FLANGES E ANEL DE VEDACAO, 22 MM, CAIXA D'AGUA PARA AGUA QUENTE</t>
  </si>
  <si>
    <t xml:space="preserve">ADAPTADOR CPVC, ROSCAVEL, COM FLANGES E ANEL DE VEDACAO, 28 MM, CAIXA D'AGUA PARA AGUA QUENTE</t>
  </si>
  <si>
    <t xml:space="preserve">ADAPTADOR CPVC, ROSCAVEL, COM FLANGES E ANEL DE VEDACAO, 35 MM, CAIXA D'AGUA PARA AGUA QUENTE</t>
  </si>
  <si>
    <t xml:space="preserve">ADAPTADOR CPVC, ROSCAVEL, COM FLANGES E ANEL DE VEDACAO, 42 MM, CAIXA D'AGUA PARA AGUA QUENTE</t>
  </si>
  <si>
    <t xml:space="preserve">ADAPTADOR CPVC, ROSCAVEL, COM FLANGES E ANEL DE VEDACAO, 54 MM, CAIXA D'AGUA PARA AGUA QUENTE</t>
  </si>
  <si>
    <t xml:space="preserve">ADAPTADOR CPVC, SOLDAVEL, 15 MM, PARA AGUA QUENTE</t>
  </si>
  <si>
    <t xml:space="preserve">ADAPTADOR CPVC, SOLDAVEL, 22 MM, PARA AGUA QUENTE</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</si>
  <si>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</si>
  <si>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</si>
  <si>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</si>
  <si>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EM LATAO, ENGATE RAPIDO1 1/2" X ROSCA INTERNA 5 FIOS 2 1/2", PARA INSTALACAO PREDIAL DE COMBATE A INCENDIO</t>
  </si>
  <si>
    <t xml:space="preserve">ADAPTADOR PVC PBA, BOLSA/ROSCA, JE, DN 100 / DE 110 MM</t>
  </si>
  <si>
    <t xml:space="preserve">ADAPTADOR PVC PBA, BOLSA/ROSCA, JE, DN 50 / DE 60 MM</t>
  </si>
  <si>
    <t xml:space="preserve">ADAPTADOR PVC PBA, BOLSA/ROSCA, JE, DN 75 / DE 85 MM</t>
  </si>
  <si>
    <t xml:space="preserve">ADAPTADOR PVC PBA, PONTA/ROSCA, JE, DN 50 / DE 60 MM</t>
  </si>
  <si>
    <t xml:space="preserve">ADAPTADOR PVC PBA, PONTA/ROSCA, JE, DN 75 / DE 85 MM</t>
  </si>
  <si>
    <t xml:space="preserve">ADAPTADOR PVC SOLDAVEL CURTO COM BOLSA E ROSCA, 110 MM X 4", PARA AGUA FRIA</t>
  </si>
  <si>
    <t xml:space="preserve">ADAPTADOR PVC SOLDAVEL CURTO COM BOLSA E ROSCA, 20 MM X 1/2",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</si>
  <si>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</si>
  <si>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</si>
  <si>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</si>
  <si>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</si>
  <si>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</si>
  <si>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</si>
  <si>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40 MM X 1 1/4", PARA CAIXA D'AGUA</t>
  </si>
  <si>
    <t xml:space="preserve">ADAPTADOR PVC, COM REGISTRO, PARA PEAD, 20 MM X 3/4", PARA LIGACAO PREDIAL DE AGUA</t>
  </si>
  <si>
    <t xml:space="preserve">ADAPTADOR PVC, ROSCAVEL, COM FLANGES E ANEL DE VEDACAO, 1 1/2", PARA CAIXA D'AGUA</t>
  </si>
  <si>
    <t xml:space="preserve">ADAPTADOR PVC, ROSCAVEL, COM FLANGES E ANEL DE VEDACAO, 1", PARA CAIXA D'AGUA</t>
  </si>
  <si>
    <t xml:space="preserve">ADAPTADOR PVC, ROSCAVEL, COM FLANGES E ANEL DE VEDACAO, 1/2", PARA CAIXA D'AGUA</t>
  </si>
  <si>
    <t xml:space="preserve">ADAPTADOR PVC, ROSCAVEL, COM FLANGES E ANEL DE VEDACAO, 3/4", PARA CAIXA D'AGUA</t>
  </si>
  <si>
    <t xml:space="preserve">ADAPTADOR PVC, SOLDAVEL, COM FLANGES E ANEL DE VEDACAO, 60 MM X 2", PARA CAIXA D'AGUA</t>
  </si>
  <si>
    <t xml:space="preserve">ADAPTADOR PVC, SOLDAVEL, COM FLANGES LIVRES, 110 MM X 4", PARA CAIXA D'AGUA</t>
  </si>
  <si>
    <t xml:space="preserve">ADAPTADOR PVC, SOLDAVEL, COM FLANGES LIVRES, 85 MM X 3", PARA CAIXA D'AGUA</t>
  </si>
  <si>
    <t xml:space="preserve">ADAPTADOR PVC, SOLDAVEL, LONGO, COM FLANGE LIVRE, 110 MM X 4", PARA CAIXA D'AGUA</t>
  </si>
  <si>
    <t xml:space="preserve">ADAPTADOR PVC, SOLDAVEL, LONGO, COM FLANGE LIVRE, 32 MM X 1", PARA CAIXA D'AGUA</t>
  </si>
  <si>
    <t xml:space="preserve">ADAPTADOR PVC, SOLDAVEL, LONGO, COM FLANGE LIVRE, 75 MM X 2 1/2", PARA CAIXA D'AGUA</t>
  </si>
  <si>
    <t xml:space="preserve">ADAPTADOR PVC, SOLDAVEL, LONGO, COM FLANGE LIVRE, 85 MM X 3", PARA CAIXA D'AGUA</t>
  </si>
  <si>
    <t xml:space="preserve">ADESIVO / COLA DE CONTATO LIQUIDO, A BASE DE RESINAS, PARA COLAGEM DE ESPUMA PARA ISOLAMENTO TERMICO FLEXIVEL</t>
  </si>
  <si>
    <t xml:space="preserve">ADESIVO / COLA PARA EPS (ISOPOR) E OUTROS MATERIAIS</t>
  </si>
  <si>
    <t xml:space="preserve">ADESIVO ACRILICO DE BASE AQUOSA / COLA DE CONTATO</t>
  </si>
  <si>
    <t xml:space="preserve">ADESIVO ESTRUTURAL A BASE DE RESINA EPOXI PARA INJECAO EM TRINCAS, BICOMPONENTE, BAIXA VISCOSIDADE</t>
  </si>
  <si>
    <t xml:space="preserve">ADESIVO ESTRUTURAL A BASE DE RESINA EPOXI, BICOMPONENTE, FLUIDO</t>
  </si>
  <si>
    <t xml:space="preserve">ADESIVO PARA TUBOS CPVC, *75* G</t>
  </si>
  <si>
    <t xml:space="preserve">ADESIVO PLASTICO PARA PVC, BISNAGA COM 75 GR</t>
  </si>
  <si>
    <t xml:space="preserve">ADITIVO ACELERADOR DE PEGA E ENDURECIMENTO PARA ARGAMASSAS E CONCRETOS, LIQUIDO E ISENTO DE CLORETOS</t>
  </si>
  <si>
    <t xml:space="preserve">ADITIVO IMPERMEABILIZANTE CRISTALIZANTE PARA CONCRETO</t>
  </si>
  <si>
    <t xml:space="preserve">ADITIVO IMPERMEABILIZANTE DE PEGA ULTRARRAPIDA, LIQUIDO E ISENTO DE CLORETOS</t>
  </si>
  <si>
    <t xml:space="preserve">ADITIVO LIQUIDO INCORPORADOR DE AR PARA CONCRETO E ARGAMASSA, LIQUIDO E ISENTO DE CLORETOS</t>
  </si>
  <si>
    <t xml:space="preserve">ADITIVO PLASTIFICANTE RETARDADOR DE PEGA E REDUTOR DE AGUA PARA CONCRETO, LIQUIDO E ISENTO DE CLORETOS</t>
  </si>
  <si>
    <t xml:space="preserve">ADITIVO SUPERPLASTIFICANTE DE PEGA NORMAL PARA CONCRETO, LIQUIDO E ISENTO DE CLORETOS</t>
  </si>
  <si>
    <t xml:space="preserve">ADUELA/ GALERIA PRE-MOLDADA DE CONCRETO ARMADO, SECAO QUADRADA INTERNA DE 1,50 X 1,50 M (L X A), MISULA DE 20 X 20 CM, C = 1,00 M, ESPESSURA MIN = 15 CM, TB-45 E FCK DO CONCRETO = 30 MPA</t>
  </si>
  <si>
    <t xml:space="preserve">ADUELA/ GALERIA PRE-MOLDADA DE CONCRETO ARMADO, SECAO RETANGULAR INTERNA DE 2,00 X 2,00 M (L X A), MISULA DE 20 X 20 CM, C = 1,00 M, ESPESSURA MIN = 15 CM, TB-45 E FCK DO CONCRETO = 30 MPA</t>
  </si>
  <si>
    <t xml:space="preserve">ADUELA/ GALERIA PRE-MOLDADA DE CONCRETO ARMADO, SECAO RETANGULAR INTERNA DE 2,50 X 2,50 M (L X A), MISULA DE 20 X 20 CM, C = 1,00 M, ESPESSURA MIN = 15 CM, TB-45 E FCK DO CONCRETO = 30 MPA</t>
  </si>
  <si>
    <t xml:space="preserve">ADUELA/ GALERIA PRE-MOLDADA DE CONCRETO ARMADO, SECAO RETANGULAR INTERNA DE 3,00 X 3,00 M (L X A), MISULA DE 20 X 20 CM, C = 1.00 M, ESPESSURA MIN = 20 CM, TB-45 E FCK DO CONCRETO = 30 MPA</t>
  </si>
  <si>
    <t xml:space="preserve">AFASTADOR PARA TELHA DE FIBROCIMENTO CANALETE 90 OU KALHETAO</t>
  </si>
  <si>
    <t xml:space="preserve">AGENTE DE CURA, PROTETOR DA EVAPORACAO DA AGUA DE HIDRATACAO DO CONCRETO</t>
  </si>
  <si>
    <t xml:space="preserve">AGREGADO RECICLADO, TIPO RACHAO RECICLADO CINZA, CLASSE A</t>
  </si>
  <si>
    <t xml:space="preserve">AJUDANTE DE ARMADOR (MENSALISTA)</t>
  </si>
  <si>
    <t xml:space="preserve">AJUDANTE DE ELETRICISTA (MENSALISTA)</t>
  </si>
  <si>
    <t xml:space="preserve">AJUDANTE DE ESTRUTURAS METALICAS (MENSALISTA)</t>
  </si>
  <si>
    <t xml:space="preserve">AJUDANTE DE OPERACAO EM GERAL (HORISTA)</t>
  </si>
  <si>
    <t xml:space="preserve">AJUDANTE DE OPERACAO EM GERAL (MENSALISTA)</t>
  </si>
  <si>
    <t xml:space="preserve">AJUDANTE DE PINTOR (HORISTA)</t>
  </si>
  <si>
    <t xml:space="preserve">AJUDANTE DE PINTOR (MENSALISTA)</t>
  </si>
  <si>
    <t xml:space="preserve">AJUDANTE DE SERRALHEIRO (MENSALISTA)</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</si>
  <si>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</si>
  <si>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</si>
  <si>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</si>
  <si>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</si>
  <si>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</si>
  <si>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</si>
  <si>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</si>
  <si>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ALICATE DE CORTE DIAGONAL 6" COM ISOLAMENTO</t>
  </si>
  <si>
    <t xml:space="preserve">ALICATE DE CRIMPAR RJ11, RJ12 E RJ45, COM CATRACA</t>
  </si>
  <si>
    <t xml:space="preserve">ALICATE DE PRESSAO 11" PARA SOLDA, TIPO C</t>
  </si>
  <si>
    <t xml:space="preserve">ALICATE DE PRESSAO 11" PARA SOLDA, TIPO U</t>
  </si>
  <si>
    <t xml:space="preserve">ALICATE DE PRESSAO PARA SOLDA DE CHAPA 18"</t>
  </si>
  <si>
    <t xml:space="preserve">ALICATE PARA ANEIS DE PISTAO, CAPACIDADE *50* A 100 MM</t>
  </si>
  <si>
    <t xml:space="preserve">ALMOXARIFE (HORISTA)</t>
  </si>
  <si>
    <t xml:space="preserve">ALMOXARIFE (MENSALISTA)</t>
  </si>
  <si>
    <t xml:space="preserve">ALONGADOR COM TRES ALTURAS, EM TUBO DE ACO CARBONO, PINTURA NO PROCESSO ELETROSTATICO - EQUIPAMENTO DE GINASTICA PARA ACADEMIA AO AR LIVRE / ACADEMIA DA TERCEIRA IDADE - ATI</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</si>
  <si>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</si>
  <si>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</si>
  <si>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</si>
  <si>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</si>
  <si>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</si>
  <si>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</si>
  <si>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</si>
  <si>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</si>
  <si>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 PVC REDE COLETOR ESGOTO, DN 300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</si>
  <si>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</si>
  <si>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</si>
  <si>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</si>
  <si>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</si>
  <si>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DE BORRACHA PARA VEDACAO DE DUTO PEAD CORRUGADO PARA ELETRICA, DN 1 1/2" (NBR 15715)</t>
  </si>
  <si>
    <t xml:space="preserve">ANEL DE BORRACHA PARA VEDACAO DE DUTO PEAD CORRUGADO PARA ELETRICA, DN 1 1/4" (NBR 15715)</t>
  </si>
  <si>
    <t xml:space="preserve">ANEL DE BORRACHA PARA VEDACAO DE DUTO PEAD CORRUGADO PARA ELETRICA, DN 2" (NBR 15715)</t>
  </si>
  <si>
    <t xml:space="preserve">ANEL DE BORRACHA PARA VEDACAO DE DUTO PEAD CORRUGADO PARA ELETRICA, DN 3" (NBR 15715)</t>
  </si>
  <si>
    <t xml:space="preserve">ANEL DE BORRACHA PARA VEDACAO DE DUTO PEAD CORRUGADO PARA ELETRICA, DN 4" (NBR 15715)</t>
  </si>
  <si>
    <t xml:space="preserve">ANEL DE CONCRETO ARMADO COM FUNDO, PARA FOSSA E POCO 1,50 X *0,50* M</t>
  </si>
  <si>
    <t xml:space="preserve">ANEL DE CONCRETO ARMADO COM FUNDO, PARA FOSSA E POCO 2,00 X *0,50* M</t>
  </si>
  <si>
    <t xml:space="preserve">ANEL DE CONCRETO ARMADO COM FUNDO, PARA FOSSA E POCO 2,50 X *0,50* M</t>
  </si>
  <si>
    <t xml:space="preserve">ANEL DE CONCRETO ARMADO, COM FUROS/DRENO PARA SUMIDOURO, D = 0,80 M, H = 0,50 M</t>
  </si>
  <si>
    <t xml:space="preserve">ANEL DE CONCRETO ARMADO, COM FUROS/DRENO PARA SUMIDOURO, D = 1,00 M, H = 0,50M</t>
  </si>
  <si>
    <t xml:space="preserve">ANEL DE CONCRETO ARMADO, COM FUROS/DRENO PARA SUMIDOURO, D = 1,50 M, H = 0,50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</si>
  <si>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</si>
  <si>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</si>
  <si>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</si>
  <si>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</si>
  <si>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</si>
  <si>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</si>
  <si>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</si>
  <si>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</si>
  <si>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</si>
  <si>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</si>
  <si>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</si>
  <si>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EM CONCRETO ARMADO, LISO, PARA FOSSAS SEPTICAS E SUMIDOUROS, COM FUNDO, DIAMETRO INTERNO DE 1,20 M E ALTURA DE 0,50 M</t>
  </si>
  <si>
    <t xml:space="preserve">ANEL EM CONCRETO ARMADO, LISO, PARA FOSSAS SEPTICAS E SUMIDOUROS, COM FUNDO, DIAMETRO INTERNO DE 3,00 M E ALTURA DE 0,50 M</t>
  </si>
  <si>
    <t xml:space="preserve">ANEL EM CONCRETO ARMADO, LISO, PARA FOSSAS SEPTICAS E SUMIDOUROS, SEM FUNDO, DIAMETRO INTERNO DE 2,00 M E ALTURA DE 0,50 M</t>
  </si>
  <si>
    <t xml:space="preserve">ANEL EM CONCRETO ARMADO, LISO, PARA FOSSAS SEPTICAS E SUMIDOUROS, SEM FUNDO, DIAMETRO INTERNO DE 2,50 M E ALTURA DE 0,50 M</t>
  </si>
  <si>
    <t xml:space="preserve">ANEL EM CONCRETO ARMADO, LISO, PARA FOSSAS SEPTICAS E SUMIDOUROS, SEM FUNDO, DIAMETRO INTERNO DE 3,00 M E ALTURA DE 0,50 M</t>
  </si>
  <si>
    <t xml:space="preserve">ANEL EM CONCRETO ARMADO, LISO, PARA POCOS DE INSPECAO, COM FUNDO, DIAMETRO INTERNO DE 0,60 M E ALTURA DE 0,50 M</t>
  </si>
  <si>
    <t xml:space="preserve">ANEL EM CONCRETO ARMADO, LISO, PARA POCOS DE INSPECAO, SEM FUNDO, DIAMETRO INTERNO DE 0,60 M E ALTURA DE 0,20 M</t>
  </si>
  <si>
    <t xml:space="preserve">ANEL EM CONCRETO ARMADO, LISO, PARA POCOS DE INSPECAO, SEM FUNDO, DIAMETRO INTERNO DE 0,60 M E ALTURA DE 0,50 M</t>
  </si>
  <si>
    <t xml:space="preserve">ANEL EM CONCRETO ARMADO, LISO, PARA POCOS DE VISITA, POCOS DE INSPECAO, FOSSAS SEPTICAS E SUMIDOUROS, COM FUNDO, DIAMETRO INTERNO DE 1,20 M E ALTURA DE 0,75 M</t>
  </si>
  <si>
    <t xml:space="preserve">ANEL EM CONCRETO ARMADO, LISO, PARA POCOS DE VISITA, POCOS DE INSPECAO, FOSSAS SEPTICAS E SUMIDOUROS, SEM FUNDO, DIAMETRO INTERNO DE 1,20 M E ALTURA DE 0,50 M</t>
  </si>
  <si>
    <t xml:space="preserve">ANEL EM CONCRETO ARMADO, LISO, PARA POCOS DE VISITAS, POCOS DE INSPECAO, FOSSAS SEPTICAS E SUMIDOUROS, COM FUNDO, DIAMETRO INTERNO DE 0,80 M E ALTURA DE 0,50 M</t>
  </si>
  <si>
    <t xml:space="preserve">ANEL EM CONCRETO ARMADO, LISO, PARA POCOS DE VISITAS, POCOS DE INSPECAO, FOSSAS SEPTICAS E SUMIDOUROS, COM FUNDO, DIAMETRO INTERNO DE 1,00 M E ALTURA DE 0,50 M</t>
  </si>
  <si>
    <t xml:space="preserve">ANEL EM CONCRETO ARMADO, LISO, PARA POCOS DE VISITAS, POCOS DE INSPECAO, FOSSAS SEPTICAS E SUMIDOUROS, SEM FUNDO, DIAMETRO INTERNO DE 0,80 M E ALTURA DE 0,50 M</t>
  </si>
  <si>
    <t xml:space="preserve">ANEL EM CONCRETO ARMADO, LISO, PARA POCOS DE VISITAS, POCOS DE INSPECAO, FOSSAS SEPTICAS E SUMIDOUROS, SEM FUNDO, DIAMETRO INTERNO DE 1,00 M E ALTURA DE 0,50 M</t>
  </si>
  <si>
    <t xml:space="preserve">ANEL EM CONCRETO ARMADO, LISO, PARA, POCOS DE VISITA, POCOS DE INSPECAO, FOSSAS SEPTICAS E SUMIDOUROS, COM FUNDO, DIAMETRO INTERNO DE 1,50 M E ALTURA DE 1,00 M</t>
  </si>
  <si>
    <t xml:space="preserve">ANEL EM CONCRETO ARMADO, LISO, PARA, POCOS DE VISITA, POCOS DE INSPECAO, FOSSAS SEPTICAS E SUMIDOUROS, SEM FUNDO, DIAMETRO INTERNO DE 1,50 M E ALTURA DE 0,50 M</t>
  </si>
  <si>
    <t xml:space="preserve">ANEL EM CONCRETO ARMADO, PERFURADO, PARA FOSSAS SEPTICAS E SUMIDOUROS, SEM FUNDO, DIAMETRO INTERNO DE 1,20 M E ALTURA DE 0,50 M</t>
  </si>
  <si>
    <t xml:space="preserve">ANEL EM CONCRETO ARMADO, PERFURADO, PARA FOSSAS SEPTICAS E SUMIDOUROS, SEM FUNDO, DIAMETRO INTERNO DE 2,50 M E ALTURA DE 0,50 M</t>
  </si>
  <si>
    <t xml:space="preserve">ANEL EM CONCRETO ARMADO, PERFURADO, PARA FOSSAS SEPTICAS E SUMIDOUROS, SEM FUNDO, DIAMETRO INTERNO DE 3,00 M E ALTURA DE 0,50 M</t>
  </si>
  <si>
    <t xml:space="preserve">APARELHO CORTE OXI-ACETILENO PARA SOLDA E CORTE CONTENDO MACARICO SOLDA, BICO DE CORTE, CILINDROS, REGULADORES, MANGUEIRAS E CARRINHO</t>
  </si>
  <si>
    <t xml:space="preserve">APARELHO SINALIZADOR LUMINOSO COM LED, PARA SAIDA GARAGEM, COM 2 LENTES EM POLICARBONATO, BIVOLT (INCLUI SUPORTE DE FIXACAO)</t>
  </si>
  <si>
    <t xml:space="preserve">APOIO DO PORTA DENTE PARA FRESADORA DE  ASFALTO</t>
  </si>
  <si>
    <t xml:space="preserve">APONTADOR OU APROPRIADOR DE MAO DE OBRA (HORISTA)</t>
  </si>
  <si>
    <t xml:space="preserve">APONTADOR OU APROPRIADOR DE MAO DE OBRA (MENSALISTA)</t>
  </si>
  <si>
    <t xml:space="preserve">AQUECEDOR DE AGUA A GAS GLP/GN COM CAPACIDADE DE ARMAZENAMENTO DE 50 A 80 L</t>
  </si>
  <si>
    <t xml:space="preserve">AQUECEDOR DE AGUA ELETRICO HORIZONTAL, RESERVATORIO DE 200 L CILINDRICO EM COBRE, REFORCADO COM ACO CARBONO, MONOFASICO, TENSAO NOMINAL 220 V</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</si>
  <si>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</si>
  <si>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</si>
  <si>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</si>
  <si>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</si>
  <si>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DE OLEO BPF (FLUIDO) TERMICO, CAPACIDADE DE 300.000  KCAL/H</t>
  </si>
  <si>
    <t xml:space="preserve">AQUECEDOR SOLAR COM RESERVATORIO TERMICO DE 1000 L E *5* PLACAS COLETORAS DE *2,0* M2 (NAO INCLUI ACESSORIOS) (SEM INSTALACAO)</t>
  </si>
  <si>
    <t xml:space="preserve">AQUECEDOR SOLAR COM RESERVATORIO TERMICO DE 400 L E *2* PLACAS COLETORAS DE *2,0* M2 (NAO INCLUI ACESSORIOS) (SEM INSTALACAO)</t>
  </si>
  <si>
    <t xml:space="preserve">AQUECEDOR SOLAR COM RESERVATORIO TERMICO DE 600 L E *3* PLACAS COLETORAS DE *2,0* M2 (NAO INCLUI ACESSORIOS) (SEM INSTALACAO)</t>
  </si>
  <si>
    <t xml:space="preserve">AQUECEDOR SOLAR COM RESERVATORIO TERMICO DE 800 L E *4* PLACAS COLETORAS DE *2,0* M2 (NAO INCLUI ACESSORIOS) (SEM INSTALACAO)</t>
  </si>
  <si>
    <t xml:space="preserve">AQUECEDOR SOLAR DE INSTALACAO EXTERNA, KIT COMPACTO, CONJUNTO COM RESERVATORIO TERMICO DE 200 L, PLACA COLETORA DE *2,0* M2 E INCLUSO ACESSORIOS (RESIDENCIAS ATE 120,00 M2 E DE 4 A 5 BANHOS POR DIA) (SEM INSTALACAO)</t>
  </si>
  <si>
    <t xml:space="preserve">AR CONDICIONADO SPLIT INVERTER, HI-WALL (PAREDE), 12000 BTU/H, CICLO FRIO, 60HZ, CLASSIFICACAO A (SELO PROCEL), GAS HFC, CONTROLE S/FIO</t>
  </si>
  <si>
    <t xml:space="preserve">AR CONDICIONADO SPLIT INVERTER, HI-WALL (PAREDE), 18000 BTU/H, CICLO FRIO, 60HZ, CLASSIFICACAO A (SELO PROCEL), GAS HFC, CONTROLE S/FIO</t>
  </si>
  <si>
    <t xml:space="preserve">AR CONDICIONADO SPLIT INVERTER, HI-WALL (PAREDE), 24000 BTU/H, CICLO FRIO, 60HZ, CLASSIFICACAO A (SELO PROCEL), GAS HFC, CONTROLE S/FIO</t>
  </si>
  <si>
    <t xml:space="preserve">AR CONDICIONADO SPLIT INVERTER, HI-WALL (PAREDE), 9000 BTU/H, CICLO FRIO, 60HZ, CLASSIFICACAO A (SELO PROCEL), GAS HFC, CONTROLE S/FIO</t>
  </si>
  <si>
    <t xml:space="preserve">AR CONDICIONADO SPLIT INVERTER, PISO TETO, 18000 BTU/H, CICLO FRIO, 60HZ, CLASSIFICACAO ENERGETICA A OU B (SELO PROCEL), GAS HFC, CONTROLE S/FIO</t>
  </si>
  <si>
    <t xml:space="preserve">AR CONDICIONADO SPLIT INVERTER, PISO TETO, 24000 BTU/H, CICLO FRIO, 60HZ, CLASSIFICACAO ENERGETICA A OU B (SELO PROCEL), GAS HFC, CONTROLE S/FIO</t>
  </si>
  <si>
    <t xml:space="preserve">AR CONDICIONADO SPLIT INVERTER, PISO TETO, 36000 BTU/H, CICLO FRIO, 60HZ, CLASSIFICACAO ENERGETICA A OU B (SELO PROCEL), GAS HFC, CONTROLE S/FIO</t>
  </si>
  <si>
    <t xml:space="preserve">AR CONDICIONADO SPLIT INVERTER, PISO TETO, 48000 BTU/H, CICLO FRIO, 60HZ, CLASSIFICACAO ENERGETICA A OU B (SELO PROCEL), GAS HFC, CONTROLE S/FIO</t>
  </si>
  <si>
    <t xml:space="preserve">AR CONDICIONADO SPLIT INVERTER, PISO TETO, APRESENTANDO ENTRE 54000 E 58000 BTU/H, CICLO FRIO, 60HZ, CLASSIFICACAO ENERGETICA A OU B (SELO PROCEL), GAS HFC, CONTROLE S/FIO</t>
  </si>
  <si>
    <t xml:space="preserve">AR CONDICIONADO SPLIT ON/OFF, CASSETE (TETO), 18000 BTUS/H, CICLO QUENTE/FRIO, 60 HZ, CLASSIFICACAO ENERGETICA C - SELO PROCEL, GAS HFC, CONTROLE S/ FIO</t>
  </si>
  <si>
    <t xml:space="preserve">AR CONDICIONADO SPLIT ON/OFF, CASSETE (TETO), 24000 BTUS/H, CICLO QUENTE/FRIO, 60 HZ, CLASSIFICACAO ENERGETICA C - SELO PROCEL, GAS HFC, CONTROLE S/ FIO</t>
  </si>
  <si>
    <t xml:space="preserve">AR CONDICIONADO SPLIT ON/OFF, CASSETE (TETO), 36000 BTUS/H, CICLO QUENTE/FRIO, 60 HZ, CLASSIFICACAO ENERGETICA A - SELO PROCEL, GAS HFC, CONTROLE S/ FIO</t>
  </si>
  <si>
    <t xml:space="preserve">AR CONDICIONADO SPLIT ON/OFF, CASSETE (TETO), 48000 BTUS/H, CICLO QUENTE/FRIO, 60 HZ, CLASSIFICACAO ENERGETICA A - SELO PROCEL, GAS HFC, CONTROLE S/ FIO</t>
  </si>
  <si>
    <t xml:space="preserve">AR CONDICIONADO SPLIT ON/OFF, CASSETE (TETO), 60000 BTUS/H, CICLO QUENTE/FRIO, 60 HZ, CLASSIFICACAO ENERGETICA A - SELO PROCEL, GAS HFC, CONTROLE S/ FIO</t>
  </si>
  <si>
    <t xml:space="preserve">AR CONDICIONADO SPLIT ON/OFF, CASSETE (TETO), FRIO 4 VIAS 18000 BTUS/H, CLASSIFICACAO ENERGETICA C - SELO PROCEL, GAS HFC, CONTROLE S/ FIO</t>
  </si>
  <si>
    <t xml:space="preserve">AR CONDICIONADO SPLIT ON/OFF, CASSETE (TETO), FRIO 4 VIAS 24000 BTUS/H, CLASSIFICACAO ENERGETICA C - SELO PROCEL, GAS HFC, CONTROLE S/ FIO</t>
  </si>
  <si>
    <t xml:space="preserve">AR CONDICIONADO SPLIT ON/OFF, CASSETE (TETO), FRIO 4 VIAS 36000 BTUS/H, CLASSIFICACAO ENERGETICA C - SELO PROCEL, GAS HFC, CONTROLE S/ FIO</t>
  </si>
  <si>
    <t xml:space="preserve">AR CONDICIONADO SPLIT ON/OFF, CASSETE (TETO), FRIO 4 VIAS 48000 BTUS/H, CLASSIFICACAO ENERGETICA C - SELO PROCEL, GAS HFC, CONTROLE S/ FIO</t>
  </si>
  <si>
    <t xml:space="preserve">AR CONDICIONADO SPLIT ON/OFF, CASSETE (TETO), FRIO 4 VIAS 60000 BTUS/H, CLASSIFICACAO ENERGETICA C - SELO PROCEL, GAS HFC, CONTROLE S/ FIO</t>
  </si>
  <si>
    <t xml:space="preserve">AR CONDICIONADO SPLIT ON/OFF, HI-WALL (PAREDE), 12000 BTUS/H, CICLO FRIO, 60 HZ, CLASSIFICACAO ENERGETICA A - SELO PROCEL, GAS HFC, CONTROLE S/ FIO</t>
  </si>
  <si>
    <t xml:space="preserve">AR CONDICIONADO SPLIT ON/OFF, HI-WALL (PAREDE), 18000 BTUS/H, CICLO FRIO, 60 HZ, CLASSIFICACAO ENERGETICA A - SELO PROCEL, GAS HFC, CONTROLE S/ FIO</t>
  </si>
  <si>
    <t xml:space="preserve">AR CONDICIONADO SPLIT ON/OFF, HI-WALL (PAREDE), 24000 BTUS/H, CICLO FRIO, 60 HZ, CLASSIFICACAO ENERGETICA A - SELO PROCEL, GAS HFC, CONTROLE S/ FIO</t>
  </si>
  <si>
    <t xml:space="preserve">AR CONDICIONADO SPLIT ON/OFF, HI-WALL (PAREDE), 9000 BTUS/H, CICLO FRIO, 60 HZ, CLASSIFICACAO ENERGETICA A - SELO PROCEL, GAS HFC, CONTROLE S/ FIO</t>
  </si>
  <si>
    <t xml:space="preserve">AR CONDICIONADO SPLIT ON/OFF, PISO TETO, 18.000 BTU/H, CICLO FRIO, 60HZ, CLASSIFICACAO ENERGETICA C - SELO PROCEL, GAS HFC, CONTROLE S/FIO</t>
  </si>
  <si>
    <t xml:space="preserve">AR CONDICIONADO SPLIT ON/OFF, PISO TETO, 24.000 BTU/H, CICLO FRIO, 60HZ, CLASSIFICACAO ENERGETICA C - SELO PROCEL, GAS HFC, CONTROLE S/FIO</t>
  </si>
  <si>
    <t xml:space="preserve">AR CONDICIONADO SPLIT ON/OFF, PISO TETO, 36.000 BTU/H, CICLO FRIO, 60HZ, CLASSIFICACAO ENERGETICA C - SELO PROCEL, GAS HFC, CONTROLE S/FIO</t>
  </si>
  <si>
    <t xml:space="preserve">AR CONDICIONADO SPLIT ON/OFF, PISO TETO, 48.000 BTU/H, CICLO FRIO, 60HZ, CLASSIFICACAO ENERGETICA C - SELO PROCEL, GAS HFC, CONTROLE S/FIO</t>
  </si>
  <si>
    <t xml:space="preserve">AR CONDICIONADO SPLIT ON/OFF, PISO TETO, 60.000 BTU/H, CICLO FRIO, 60HZ, CLASSIFICACAO ENERGETICA C - SELO PROCEL, GAS HFC, CONTROLE S/FIO</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</si>
  <si>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</si>
  <si>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</si>
  <si>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</si>
  <si>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</si>
  <si>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AR-CONDICIONADO SPLIT INVERTER, PISO TETO, 24000 BTU/H, QUENTE/FRIO, 60HZ, CLASSIFICACAO ENERGETICA A - SELO PROCEL, GAS HFC, CONTROLE S/FIO</t>
  </si>
  <si>
    <t xml:space="preserve">ARADO REVERSIVEL COM 3 DISCOS DE 26" X 6MM REBOCAVEL</t>
  </si>
  <si>
    <t xml:space="preserve">ARAME DE ACO OVALADO 15 X 17 (45,7 KG, 700 KGF), ROLO 1000 M</t>
  </si>
  <si>
    <t xml:space="preserve">ARAME DE AMARRACAO PARA GABIAO GALVANIZADO, DIAMETRO 2,2 MM</t>
  </si>
  <si>
    <t xml:space="preserve">ARAME FARPADO GALVANIZADO, 14 BWG (2,11 MM), CLASSE 250</t>
  </si>
  <si>
    <t xml:space="preserve">ARAME FARPADO GALVANIZADO, 16 BWG (1,65 MM), CLASSE 250</t>
  </si>
  <si>
    <t xml:space="preserve">ARAME GALVANIZADO 16 BWG, D = 1,65MM (0,0166 KG/M)</t>
  </si>
  <si>
    <t xml:space="preserve">ARAME GALVANIZADO 6 BWG, D = 5,16 MM (0,157 KG/M), OU 8 BWG, D = 4,19 MM (0,101 KG/M), OU 10 BWG, D = 3,40 MM (0,0713 KG/M)</t>
  </si>
  <si>
    <t xml:space="preserve">ARAME PROTEGIDO COM POLIMERO PARA GABIAO, DIAMETRO 2,2 MM</t>
  </si>
  <si>
    <t xml:space="preserve">AREIA FINA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</si>
  <si>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</si>
  <si>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</si>
  <si>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ARGAMASSA COLANTE AC II</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</si>
  <si>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</si>
  <si>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</si>
  <si>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</si>
  <si>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PARA REVESTIMENTO DECORATIVO MONOCAMADA</t>
  </si>
  <si>
    <t xml:space="preserve">ARGAMASSA PISO SOBRE PISO</t>
  </si>
  <si>
    <t xml:space="preserve">ARGAMASSA POLIMERICA DE REPARO ESTRUTURAL, BICOMPONENTE</t>
  </si>
  <si>
    <t xml:space="preserve">ARGAMASSA PRONTA PARA CONTRAPISO</t>
  </si>
  <si>
    <t xml:space="preserve">ARGAMASSA USINADA AUTOADENSAVEL E AUTONIVELANTE PARA CONTRAPISO, COM BOMBEAMENTO (DISPONIBILIZACAO DE BOMBA), SEM O LANCAMENTO</t>
  </si>
  <si>
    <t xml:space="preserve">ARGILA EXPANDIDA, GRANULOMETRIA 2215</t>
  </si>
  <si>
    <t xml:space="preserve">ARGILA OU BARRO PARA ATERRO/REATERRO (COM TRANSPORTE ATE 10 KM)</t>
  </si>
  <si>
    <t xml:space="preserve">ARGILA OU BARRO PARA ATERRO/REATERRO (RETIRADO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</si>
  <si>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</si>
  <si>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</si>
  <si>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</si>
  <si>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</si>
  <si>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</si>
  <si>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</si>
  <si>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</si>
  <si>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</si>
  <si>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 xml:space="preserve">ARMADOR (MENSALISTA)</t>
  </si>
  <si>
    <t xml:space="preserve">ARQUITETO JUNIOR (HORISTA)</t>
  </si>
  <si>
    <t xml:space="preserve">ARQUITETO JUNIOR (MENSALISTA)</t>
  </si>
  <si>
    <t xml:space="preserve">ARQUITETO PLENO (HORISTA)</t>
  </si>
  <si>
    <t xml:space="preserve">ARQUITETO PLENO (MENSALISTA)</t>
  </si>
  <si>
    <t xml:space="preserve">ARQUITETO SENIOR (HORISTA)</t>
  </si>
  <si>
    <t xml:space="preserve">ARQUITETO SENIOR (MENSALISTA)</t>
  </si>
  <si>
    <t xml:space="preserve">ARRUELA EM ALUMINIO, COM ROSCA, DE 1 1/2", PARA ELETRODUTO</t>
  </si>
  <si>
    <t xml:space="preserve">ARRUELA EM ALUMINIO, COM ROSCA, DE 1 1/4", PARA ELETRODUTO</t>
  </si>
  <si>
    <t xml:space="preserve">ARRUELA EM ALUMINIO, COM ROSCA, DE 1", PARA ELETRODUTO</t>
  </si>
  <si>
    <t xml:space="preserve">ARRUELA EM ALUMINIO, COM ROSCA, DE 1/2", PARA ELETRODUTO</t>
  </si>
  <si>
    <t xml:space="preserve">ARRUELA EM ALUMINIO, COM ROSCA, DE 2 1/2", PARA ELETRODUTO</t>
  </si>
  <si>
    <t xml:space="preserve">ARRUELA EM ALUMINIO, COM ROSCA, DE 2", PARA ELETRODUTO</t>
  </si>
  <si>
    <t xml:space="preserve">ARRUELA EM ALUMINIO, COM ROSCA, DE 3", PARA ELETRODUTO</t>
  </si>
  <si>
    <t xml:space="preserve">ARRUELA EM ALUMINIO, COM ROSCA, DE 3/4", PARA ELETRODUTO</t>
  </si>
  <si>
    <t xml:space="preserve">ARRUELA EM ALUMINIO, COM ROSCA, DE 3/8", PARA ELETRODUTO</t>
  </si>
  <si>
    <t xml:space="preserve">ARRUELA EM ALUMINIO, COM ROSCA, DE 4", PARA ELETRODUTO</t>
  </si>
  <si>
    <t xml:space="preserve">ARRUELA QUADRADA EM ACO GALVANIZADO, DIMENSAO = 38 MM, ESPESSURA = 3MM, DIAMETRO DO FURO= 18 MM</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</si>
  <si>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</si>
  <si>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</si>
  <si>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</si>
  <si>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 (MENSALISTA)</t>
  </si>
  <si>
    <t xml:space="preserve">ASSENTO VASO SANITARIO INFANTIL EM PLASTICO BRANCO</t>
  </si>
  <si>
    <t xml:space="preserve">AUTOMATICO DE BOIA SUPERIOR / INFERIOR, *15* A / 250 V</t>
  </si>
  <si>
    <t xml:space="preserve">AUXILIAR DE AZULEJISTA (HORISTA)</t>
  </si>
  <si>
    <t xml:space="preserve">AUXILIAR DE AZULEJISTA (MENSALISTA)</t>
  </si>
  <si>
    <t xml:space="preserve">AUXILIAR DE ENCANADOR OU BOMBEIRO HIDRAULICO (MENSALISTA)</t>
  </si>
  <si>
    <t xml:space="preserve">AUXILIAR DE ESCRITORIO (HORISTA)</t>
  </si>
  <si>
    <t xml:space="preserve">AUXILIAR DE ESCRITORIO (MENSALISTA)</t>
  </si>
  <si>
    <t xml:space="preserve">AUXILIAR DE LABORATORISTA DE SOLOS E DE CONCRETO (HORISTA)</t>
  </si>
  <si>
    <t xml:space="preserve">AUXILIAR DE LABORATORISTA DE SOLOS E DE CONCRETO (MENSALISTA)</t>
  </si>
  <si>
    <t xml:space="preserve">AUXILIAR DE MECANICO (HORISTA)</t>
  </si>
  <si>
    <t xml:space="preserve">AUXILIAR DE MECANICO (MENSALISTA)</t>
  </si>
  <si>
    <t xml:space="preserve">AUXILIAR DE PEDREIRO (HORISTA)</t>
  </si>
  <si>
    <t xml:space="preserve">AUXILIAR DE PEDREIRO (MENSALISTA)</t>
  </si>
  <si>
    <t xml:space="preserve">AUXILIAR DE SERVICOS GERAIS (HORISTA)</t>
  </si>
  <si>
    <t xml:space="preserve">AUXILIAR DE SERVICOS GERAIS (MENSALISTA)</t>
  </si>
  <si>
    <t xml:space="preserve">AUXILIAR DE TOPOGRAFO (HORISTA)</t>
  </si>
  <si>
    <t xml:space="preserve">AUXILIAR DE TOPOGRAFO (MENSALISTA)</t>
  </si>
  <si>
    <t xml:space="preserve">AUXILIAR TECNICO / ASSISTENTE DE ENGENHARIA (HORISTA)</t>
  </si>
  <si>
    <t xml:space="preserve">AUXILIAR TECNICO / ASSISTENTE DE ENGENHARIA (MENSALISTA)</t>
  </si>
  <si>
    <t xml:space="preserve">AVENTAL DE SEGURANCA DE RASPA DE COURO 1,00 X 0,60 M</t>
  </si>
  <si>
    <t xml:space="preserve">AZULEJISTA OU LADRILHEIRO (MENSALISTA)</t>
  </si>
  <si>
    <t xml:space="preserve">BACIA SANITARIA (VASO) COM CAIXA ACOPLADA, SIFAO OCULTO / CARENADO, DE LOUCA BRANCA (SEM ASSENTO) - PADRAO ALTO</t>
  </si>
  <si>
    <t xml:space="preserve">BACIA SANITARIA (VASO) CONVENCIONAL PARA PCD, SEM FURO FRONTAL, DE LOUCA BRANCA (SEM ASSENTO)</t>
  </si>
  <si>
    <t xml:space="preserve">BACIA SANITARIA (VASO) CONVENCIONAL PARA USO ESPECIFICO (HOSPITAIS, CLINICAS), COM FURO FRONTAL, DE LOUCA BRANCA, SEM ASSENTO</t>
  </si>
  <si>
    <t xml:space="preserve">BACIA SANITARIA (VASO) CONVENCIONAL, DE LOUCA COLORIDA, SIFAO APARENTE, SAIDA VERTICAL (SEM ASSENTO)</t>
  </si>
  <si>
    <t xml:space="preserve">BACIA SANITARIA (VASO) INFANTIL, SIFONADO, DE LOUCA BRANCA, (SEM ASSENTO)</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</si>
  <si>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</si>
  <si>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</si>
  <si>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</si>
  <si>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</si>
  <si>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 BANCA EM GRANITO, POLIDO, TIPO ANDORINHA/ QUARTZ/ CASTELO/ CORUMBA OU OUTROS EQUIVALENTES DA REGIAO, COM CUBA INOX, FORMATO *120 X 60* CM, E= *2* CM</t>
  </si>
  <si>
    <t xml:space="preserve">BANCADA/ BANCA/ BALCAO/ TAMPO EM MARMORE BRANCO COMUM, POLIDO, LISO, ACABAMENTO RETO, E= *3* CM (SEM FUROS)</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</si>
  <si>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</si>
  <si>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</si>
  <si>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</si>
  <si>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</si>
  <si>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</si>
  <si>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</si>
  <si>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</si>
  <si>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</si>
  <si>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</si>
  <si>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ARTICULADO PARA BANHO, EM ACO INOX POLIDO, 70* CM X 45* CM</t>
  </si>
  <si>
    <t xml:space="preserve">BANCO COM ENCOSTO, 1,60M* DE COMPRIMENTO, EM TUBO DE ACO CARBONO E PINTURA NO PROCESSO ELETROSTATICO - PARA ACADEMIA AO AR LIVRE / ACADEMIA DA TERCEIRA IDADE - ATI</t>
  </si>
  <si>
    <t xml:space="preserve">BANDEJA DE PINTURA PARA ROLO 23 CM</t>
  </si>
  <si>
    <t xml:space="preserve">BARRA ANTIPANICO DUPLA, CEGA EM LADO OPOSTO, COR CINZA</t>
  </si>
  <si>
    <t xml:space="preserve">BARRA ANTIPANICO DUPLA, PARA PORTA DE VIDRO, COR CINZA</t>
  </si>
  <si>
    <t xml:space="preserve">BARRA ANTIPANICO SIMPLES, CEGA EM LADO OPOSTO, COR CINZA</t>
  </si>
  <si>
    <t xml:space="preserve">BARRA ANTIPANICO SIMPLES, COM FECHADURA LADO OPOSTO, COR CINZA</t>
  </si>
  <si>
    <t xml:space="preserve">BARRA ANTIPANICO SIMPLES, PARA PORTA DE VIDRO, COR CINZA</t>
  </si>
  <si>
    <t xml:space="preserve">BARRA DE ACO CHATO, RETANGULAR, 19,05 MM X 3,17 MM (L X E), 0,47 KG/M</t>
  </si>
  <si>
    <t xml:space="preserve">BARRA DE ACO CHATO, RETANGULAR, 25,4 MM X 4,76 MM (L X E), 0,94 KG/M</t>
  </si>
  <si>
    <t xml:space="preserve">BARRA DE ACO CHATO, RETANGULAR, 25,4 MM X 6,35 MM (L X E), 1,2265 KG/M</t>
  </si>
  <si>
    <t xml:space="preserve">BARRA DE ACO CHATO, RETANGULAR, 38,1 MM X 12,7 MM (L X E), 3,79 KG/M</t>
  </si>
  <si>
    <t xml:space="preserve">BARRA DE ACO CHATO, RETANGULAR, 38,1 MM X 6,35 MM (L X E), 1,89 KG/M</t>
  </si>
  <si>
    <t xml:space="preserve">BARRA DE ACO CHATO, RETANGULAR, 38,1 MM X 9,53 MM (L X E), 2,84 KG/M</t>
  </si>
  <si>
    <t xml:space="preserve">BARRA DE ACO CHATO, RETANGULAR, 50,8 MM X 12,7 MM (L X E), 5,06 KG/M</t>
  </si>
  <si>
    <t xml:space="preserve">BARRA DE ACO CHATO, RETANGULAR, 50,8 MM X 25,4 MM (L X E), 10,12 KG/M</t>
  </si>
  <si>
    <t xml:space="preserve">BARRA DE ACO CHATO, RETANGULAR, 50,8 MM X 6,35 MM (L X E), 2,53 KG/M</t>
  </si>
  <si>
    <t xml:space="preserve">BARRA DE ACO CHATO, RETANGULAR, 50,8 MM X 7,94 MM (L X E), 3,162 KG/M</t>
  </si>
  <si>
    <t xml:space="preserve">BARRA DE ACO CHATO, RETANGULAR, 50,8 MM X 9,53 MM (L X E), 3,79KG/M</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</si>
  <si>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</si>
  <si>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</si>
  <si>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</si>
  <si>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</si>
  <si>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</si>
  <si>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</si>
  <si>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</si>
  <si>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</si>
  <si>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BASE DE MISTURADOR MONOCOMANDO PARA CHUVEIRO, DE PAREDE (NAO INCLUI ACABAMENTOS)</t>
  </si>
  <si>
    <t xml:space="preserve">BASE PARA MASTRO DE PARA-RAIOS DIAMETRO NOMINAL 2"</t>
  </si>
  <si>
    <t xml:space="preserve">BASE PARA RELE COM SUPORTE METALICO</t>
  </si>
  <si>
    <t xml:space="preserve">BASTIDOR PARA BLOCO M10</t>
  </si>
  <si>
    <t xml:space="preserve">BATE-ESTACAS POR GRAVIDADE, POTENCIA160 HP, PESO DO MARTELO ATE 3 TONELADAS</t>
  </si>
  <si>
    <t xml:space="preserve">BATENTE / PORTAL / ADUELA / MARCO EM MADEIRA MACICA COM REBAIXO, E = *3* CM, L = *14* CM, PARA PORTAS DE GIRO DE *60 CM A 120* CM X *210* CM, PINUS / EUCALIPTO / VIROLA OU EQUIVALENTE DA REGIAO (NAO INCLUI ALIZARES)</t>
  </si>
  <si>
    <t xml:space="preserve">BATENTE / PORTAL / ADUELA / MARCO EM MADEIRA MACICA COM REBAIXO, E = *3* CM, L = *16* CM, PARA PORTAS DE GIRO DE *60 CM A 120* CM X *210* CM, CEDRINHO / ANGELIM COMERCIAL / TAURI / CURUPIXA / PEROBA / CUMARU OU EQUIVALENTE DA REGIAO (NAO INCLUI ALIZARES)</t>
  </si>
  <si>
    <t xml:space="preserve">BATENTE / PORTAL / ADUELA / MARCO EM MADEIRA MACICA COM REBAIXO, E = *3* CM, L = *16* CM, PARA PORTAS DE GIRO DE *60 CM A 120* CM X *210* CM, PINUS / EUCALIPTO / VIROLA OU EQUIVALENTE DA REGIAO (NAO INCLUI ALIZARES)</t>
  </si>
  <si>
    <t xml:space="preserve">BATENTE/PORTAL/ADUELA/MARCO, EM MDF/PVC WOOD/POLIESTIRENO OU MADEIRA LAMINADA, L = *9,0* CM COM GUARNICAO REGULAVEL 2 FACES = *35* MM, PRIMER</t>
  </si>
  <si>
    <t xml:space="preserve">BENTONITA, ARGILA CONSTITUIDA POR  MONTMORILONITA</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</si>
  <si>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</si>
  <si>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</si>
  <si>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600 L, CAPACIDADE DE MISTURA 440 L, MOTOR A GASOLINA POTENCIA 10 HP, COM  CARREGADOR</t>
  </si>
  <si>
    <t xml:space="preserve">BETONEIRA, CAPACIDADE NOMINAL 400 L, CAPACIDADE DE MISTURA 310L, MOTOR ELETRICO TRIFASICO 220/380V POTENCIA 2 CV, SEM CARREGADOR</t>
  </si>
  <si>
    <t xml:space="preserve">BETONEIRA, CAPACIDADE NOMINAL 600 L, CAPACIDADE DE MISTURA 440 L, MOTOR A DIESEL POTENCIA 10 CV, COM CARREGADOR</t>
  </si>
  <si>
    <t xml:space="preserve">BLASTER, DINAMITADOR OU CABO DE FOGO (HORISTA)</t>
  </si>
  <si>
    <t xml:space="preserve">BLASTER, DINAMITADOR OU CABO DE FOGO (MENSALISTA)</t>
  </si>
  <si>
    <t xml:space="preserve">BLOCO / TIJOLO DE VIDRO INCOLOR, CANELADO / ONDULADO, *19 X 19 X 8* CM (A X L X E)</t>
  </si>
  <si>
    <t xml:space="preserve">BLOCO / TIJOLO DE VIDRO INCOLOR, XADREZ, *20 X 20 X 10* CM (A X L X E)</t>
  </si>
  <si>
    <t xml:space="preserve">BLOCO CERAMICO / TIJOLO VAZADO PARA ALVENARIA DE VEDACAO, 4 FUROS NA HORIZONTAL DE 9 X 9 X 19 CM (L X A X C)</t>
  </si>
  <si>
    <t xml:space="preserve">BLOCO CERAMICO / TIJOLO VAZADO PARA ALVENARIA DE VEDACAO, 6 FUROS NA HORIZONTAL DE 11,5 X 19 X 29 CM (L X A X C)</t>
  </si>
  <si>
    <t xml:space="preserve">BLOCO CERAMICO / TIJOLO VAZADO PARA ALVENARIA DE VEDACAO, 6 FUROS NA HORIZONTAL DE 11,5 X 19 X 39 CM (L X A X C)</t>
  </si>
  <si>
    <t xml:space="preserve">BLOCO CERAMICO / TIJOLO VAZADO PARA ALVENARIA DE VEDACAO, 6 FUROS NA HORIZONTAL DE 9 X 14 X 24 CM (L X A X C)</t>
  </si>
  <si>
    <t xml:space="preserve">BLOCO CERAMICO / TIJOLO VAZADO PARA ALVENARIA DE VEDACAO, 6 FUROS NA HORIZONTAL DE 9 X 19 X 39 CM (L X A X C)</t>
  </si>
  <si>
    <t xml:space="preserve">BLOCO CERAMICO / TIJOLO VAZADO PARA ALVENARIA DE VEDACAO, 8 FUROS NA HORIZONTAL DE 9 X 19 X 29 CM (L X A X C)</t>
  </si>
  <si>
    <t xml:space="preserve">BLOCO CERAMICO / TIJOLO VAZADO PARA ALVENARIA DE VEDACAO, 9 FUROS NA HORIZONTAL DE 11,5 X 14 X 24 CM (L X A X C)</t>
  </si>
  <si>
    <t xml:space="preserve">BLOCO CERAMICO / TIJOLO VAZADO PARA ALVENARIA DE VEDACAO, 9 FUROS NA HORIZONTAL DE 14 X 19 X 29 CM (L X A X C)</t>
  </si>
  <si>
    <t xml:space="preserve">BLOCO CERAMICO / TIJOLO VAZADO PARA ALVENARIA DE VEDACAO, 9 FUROS NA HORIZONTAL DE 14 X 19 X 39 CM (L X A X C)</t>
  </si>
  <si>
    <t xml:space="preserve">BLOCO CERAMICO / TIJOLO VAZADO PARA ALVENARIA DE VEDACAO, 9 FUROS NA HORIZONTAL DE 19 X 19 X 29 CM (L X A X C)</t>
  </si>
  <si>
    <t xml:space="preserve">BLOCO CERAMICO / TIJOLO VAZADO PARA ALVENARIA DE VEDACAO, 9 FUROS NA HORIZONTAL DE 19 X 19 X 39 CM (L X A X C)</t>
  </si>
  <si>
    <t xml:space="preserve">BLOCO CERAMICO / TIJOLO VAZADO PARA ALVENARIA DE VEDACAO, FUROS NA HORIZONTAL DE 11,5 X 19 X 19 CM (L X A X C)</t>
  </si>
  <si>
    <t xml:space="preserve">BLOCO CERAMICO / TIJOLO VAZADO PARA ALVENARIA DE VEDACAO, FUROS NA VERTICAL DE 11,5 X 19 X 29 CM (L X A X C)</t>
  </si>
  <si>
    <t xml:space="preserve">BLOCO CERAMICO / TIJOLO VAZADO PARA ALVENARIA DE VEDACAO, FUROS NA VERTICAL DE 11,5 X 19 X 39 CM (L X A X C)</t>
  </si>
  <si>
    <t xml:space="preserve">BLOCO CERAMICO / TIJOLO VAZADO PARA ALVENARIA DE VEDACAO, FUROS NA VERTICAL DE 14 X 19 X 29 CM (L X A X C)</t>
  </si>
  <si>
    <t xml:space="preserve">BLOCO CERAMICO / TIJOLO VAZADO PARA ALVENARIA DE VEDACAO, FUROS NA VERTICAL DE 14 X 19 X 39 CM (L X A X C)</t>
  </si>
  <si>
    <t xml:space="preserve">BLOCO CERAMICO / TIJOLO VAZADO PARA ALVENARIA DE VEDACAO, FUROS NA VERTICAL DE 19 X 19 X 39 CM (L X A X C)</t>
  </si>
  <si>
    <t xml:space="preserve">BLOCO CERAMICO / TIJOLO VAZADO PARA ALVENARIA DE VEDACAO, FUROS NA VERTICAL DE 9 X 19 X 39 CM (L X A X C)</t>
  </si>
  <si>
    <t xml:space="preserve">BLOCO CONCRETO CELULAR AUTOCLAVADO 12,5 X 30 X 60 CM (E X A X C)</t>
  </si>
  <si>
    <t xml:space="preserve">BLOCO CONCRETO CELULAR AUTOCLAVADO 7,5 X 30 X 60 CM (E X A X C)</t>
  </si>
  <si>
    <t xml:space="preserve">BLOCO DE CONCRETO ESTRUTURAL 14 X 19 X 29 CM, FBK 10 MPA (NBR 6136)</t>
  </si>
  <si>
    <t xml:space="preserve">BLOCO DE CONCRETO ESTRUTURAL 14 X 19 X 29 CM, FBK 12 MPA (NBR 6136)</t>
  </si>
  <si>
    <t xml:space="preserve">BLOCO DE CONCRETO ESTRUTURAL 14 X 19 X 29 CM, FBK 14 MPA (NBR 6136)</t>
  </si>
  <si>
    <t xml:space="preserve">BLOCO DE CONCRETO ESTRUTURAL 14 X 19 X 29 CM, FBK 16 MPA (NBR 6136)</t>
  </si>
  <si>
    <t xml:space="preserve">BLOCO DE CONCRETO ESTRUTURAL 14 X 19 X 29 CM, FBK 4,5 MPA (NBR 6136)</t>
  </si>
  <si>
    <t xml:space="preserve">BLOCO DE CONCRETO ESTRUTURAL 14 X 19 X 29 CM, FBK 6 MPA (NBR 6136)</t>
  </si>
  <si>
    <t xml:space="preserve">BLOCO DE CONCRETO ESTRUTURAL 14 X 19 X 29 CM, FBK 8 MPA (NBR 6136)</t>
  </si>
  <si>
    <t xml:space="preserve">BLOCO DE CONCRETO ESTRUTURAL 14 X 19 X 39 CM, FBK 10 MPA (NBR 6136)</t>
  </si>
  <si>
    <t xml:space="preserve">BLOCO DE CONCRETO ESTRUTURAL 14 X 19 X 39 CM, FBK 12 MPA (NBR 6136)</t>
  </si>
  <si>
    <t xml:space="preserve">BLOCO DE CONCRETO ESTRUTURAL 14 X 19 X 39 CM, FBK 14 MPA (NBR 6136)</t>
  </si>
  <si>
    <t xml:space="preserve">BLOCO DE CONCRETO ESTRUTURAL 14 X 19 X 39 CM, FBK 6 MPA (NBR 6136)</t>
  </si>
  <si>
    <t xml:space="preserve">BLOCO DE CONCRETO ESTRUTURAL 14 X 19 X 39 CM, FBK 8 MPA (NBR 6136)</t>
  </si>
  <si>
    <t xml:space="preserve">BLOCO DE CONCRETO ESTRUTURAL 14 X 19 X 39, FCK 16 MPA (NBR 6136)</t>
  </si>
  <si>
    <t xml:space="preserve">BLOCO DE CONCRETO ESTRUTURAL 19 X 19 X 39 CM, FBK 10 MPA (NBR 6136)</t>
  </si>
  <si>
    <t xml:space="preserve">BLOCO DE CONCRETO ESTRUTURAL 19 X 19 X 39 CM, FBK 12 MPA (NBR 6136)</t>
  </si>
  <si>
    <t xml:space="preserve">BLOCO DE CONCRETO ESTRUTURAL 19 X 19 X 39 CM, FBK 14 MPA (NBR 6136)</t>
  </si>
  <si>
    <t xml:space="preserve">BLOCO DE CONCRETO ESTRUTURAL 19 X 19 X 39 CM, FBK 16 MPA (NBR 6136)</t>
  </si>
  <si>
    <t xml:space="preserve">BLOCO DE CONCRETO ESTRUTURAL 19 X 19 X 39 CM, FBK 4,5 MPA (NBR 6136)</t>
  </si>
  <si>
    <t xml:space="preserve">BLOCO DE CONCRETO ESTRUTURAL 19 X 19 X 39 CM, FBK 8 MPA (NBR 6136)</t>
  </si>
  <si>
    <t xml:space="preserve">BLOCO DE CONCRETO ESTRUTURAL 9 X 19 X 39 CM, FBK 4,5 MPA (NBR 6136)</t>
  </si>
  <si>
    <t xml:space="preserve">BLOCO DE ENGATE RAPIDO PARA BASTIDOR TIPO M10</t>
  </si>
  <si>
    <t xml:space="preserve">BLOCO DE ESPUMA MULTIUSO *23X 13 X 8* CM</t>
  </si>
  <si>
    <t xml:space="preserve">BLOCO DE GESSO COMPACTO / MACICO, BRANCO, E = 10 CM, DIMENSOES *67 X 50* CM</t>
  </si>
  <si>
    <t xml:space="preserve">BLOCO DE GESSO VAZADO, BRANCO, E = *7* CM, DIMENSOES *67 X 50* CM</t>
  </si>
  <si>
    <t xml:space="preserve">BLOCO DE POLIETILENO ALTA DENSIDADE, *27* X *30* X *100* CM, ACOMPANHADOS PLACAS TERMINAIS E LONGARINAS, PARA FUNDO DE FILTRO</t>
  </si>
  <si>
    <t xml:space="preserve">BLOCO DE VEDACAO CONCRETO 14 X 19 X 29 CM (CLASSE C - NBR 6136)</t>
  </si>
  <si>
    <t xml:space="preserve">BLOCO DE VEDACAO CONCRETO APARENTE 9 X 19 X 39 CM (CLASSE C - NBR 6136)</t>
  </si>
  <si>
    <t xml:space="preserve">BLOCO DE VEDACAO DE CONCRETO 14 X 19 X 39 CM (CLASSE C - NBR 6136)</t>
  </si>
  <si>
    <t xml:space="preserve">BLOCO DE VEDACAO DE CONCRETO 19 X 19 X 39 CM (CLASSE C - NBR 6136)</t>
  </si>
  <si>
    <t xml:space="preserve">BLOCO DE VEDACAO DE CONCRETO APARENTE 14 X 19 X 39 CM (CLASSE C - NBR 6136)</t>
  </si>
  <si>
    <t xml:space="preserve">BLOCO DE VEDACAO DE CONCRETO APARENTE 19 X 19 X 39 CM (CLASSE C - NBR 6136)</t>
  </si>
  <si>
    <t xml:space="preserve">BLOCO DE VEDACAO DE CONCRETO CELULAR AUTOCLAVADO 10 X 30 X 60 CM (E X A X C)</t>
  </si>
  <si>
    <t xml:space="preserve">BLOCO DE VEDACAO DE CONCRETO CELULAR AUTOCLAVADO 15 X 30 X 60 CM (E X A X C)</t>
  </si>
  <si>
    <t xml:space="preserve">BLOCO DE VEDACAO DE CONCRETO CELULAR AUTOCLAVADO 20 X 30 X 60 CM (E X A X C)</t>
  </si>
  <si>
    <t xml:space="preserve">BLOCO DE VEDACAO DE CONCRETO, 9 X 19 X 39 CM (CLASSE C - NBR 6136)</t>
  </si>
  <si>
    <t xml:space="preserve">BLOCO DE VIDRO / ELEMENTO VAZADO, INCOLOR, VENEZIANA, *20 X 20 X 6* CM (A X L X E)</t>
  </si>
  <si>
    <t xml:space="preserve">BLOCO DE VIDRO / ELEMENTO VAZADO, INCOLOR, VENEZIANA, DE *20 X 10 X 8* CM (A X L X E)</t>
  </si>
  <si>
    <t xml:space="preserve">BLOCO ESTRUTURAL CERAMICO DE 14 X 19 X 29 CM (L X A X C) E 6,0 MPA</t>
  </si>
  <si>
    <t xml:space="preserve">BLOCO ESTRUTURAL CERAMICO DE 14 X 19 X 34 CM (L X A X C) E 6,0 MPA</t>
  </si>
  <si>
    <t xml:space="preserve">BLOCO ESTRUTURAL CERAMICO DE 14 X 19 X 39 CM (L X A X C) E 6,0 MPA</t>
  </si>
  <si>
    <t xml:space="preserve">BLOCO ESTRUTURAL CERAMICO DE 19 X 19 X 29 CM (L X A X C) E 6,0 MPA</t>
  </si>
  <si>
    <t xml:space="preserve">BLOCO ESTRUTURAL CERAMICO DE 19 X 19 X 39 CM (L X A X C) E 6,0 MPA</t>
  </si>
  <si>
    <t xml:space="preserve">BLOQUETE/PISO DE CONCRETO - MODELO PISOGRAMA/CONCREGRAMA 2 FUROS, DIMENSOES APROX. DE *35 X 15* CM E ESPESSURA DE 7 CM (+/- 1 CM), COR NATURAL</t>
  </si>
  <si>
    <t xml:space="preserve">BLOQUETE/PISO DE CONCRETO - MODELO PISOGRAMA/CONCREGRAMA/PAVI-GRADE/GRAMEIRO, DIMENSOES APROXIMADAS DE *60 X 45* CM E ESPESSURA DE 8 CM (+/- 1 CM), COR NATURAL</t>
  </si>
  <si>
    <t xml:space="preserve">BLOQUETE/PISO INTERTRAVADO DE CONCRETO - MODELO ONDA/16 FACES/RETANGULAR/TIJOLINHO/PAVER/HOLANDES/PARALELEPIPEDO, *20 X 10* CM, E = 10 CM, RESISTENCIA DE 35 MPA, COR NATURAL</t>
  </si>
  <si>
    <t xml:space="preserve">BLOQUETE/PISO INTERTRAVADO DE CONCRETO - MODELO ONDA/16 FACES/RETANGULAR/TIJOLINHO/PAVER/HOLANDES/PARALELEPIPEDO, *20 X 10* CM, E = 10 CM, RESISTENCIA DE 50 MPA, COR NATURAL</t>
  </si>
  <si>
    <t xml:space="preserve">BLOQUETE/PISO INTERTRAVADO DE CONCRETO - MODELO ONDA/16 FACES/RETANGULAR/TIJOLINHO/PAVER/HOLANDES/PARALELEPIPEDO, *20 X 10* CM, E = 6 CM, RESISTENCIA DE 35 MPA, COLORIDO</t>
  </si>
  <si>
    <t xml:space="preserve">BLOQUETE/PISO INTERTRAVADO DE CONCRETO - MODELO ONDA/16 FACES/RETANGULAR/TIJOLINHO/PAVER/HOLANDES/PARALELEPIPEDO, *20 X 10* CM, E = 6 CM, RESISTENCIA DE 35 MPA, COR NATURAL</t>
  </si>
  <si>
    <t xml:space="preserve">BLOQUETE/PISO INTERTRAVADO DE CONCRETO - MODELO ONDA/16 FACES/RETANGULAR/TIJOLINHO/PAVER/HOLANDES/PARALELEPIPEDO, *20 X 10* CM, E = 8 CM, RESISTENCIA DE 35 MPA, COLORIDO</t>
  </si>
  <si>
    <t xml:space="preserve">BLOQUETE/PISO INTERTRAVADO DE CONCRETO - MODELO RAQUETE, *22 X 13,5* CM, E = 6 CM, RESISTENCIA DE 35 MPA, COR NATURAL</t>
  </si>
  <si>
    <t xml:space="preserve">BLOQUETE/PISO INTERTRAVADO DE CONCRETO - MODELO SEXTAVADO / HEXAGONAL, *25 X 25* CM, E = 10 CM, RESISTENCIA DE 35 MPA, COR NATURAL</t>
  </si>
  <si>
    <t xml:space="preserve">BLOQUETE/PISO INTERTRAVADO DE CONCRETO - MODELO SEXTAVADO / HEXAGONAL, *25 X 25* CM, E = 6 CM, RESISTENCIA DE 35 MPA, COR NATURAL</t>
  </si>
  <si>
    <t xml:space="preserve">BLOQUETE/PISO INTERTRAVADO DE CONCRETO - MODELO SEXTAVADO / HEXAGONAL, *25 X 25* CM, E = 8 CM, RESISTENCIA DE 35 MPA, COR NATURAL</t>
  </si>
  <si>
    <t xml:space="preserve">BOCAL PVC, PARA CALHA PLUVIAL, DIAMETRO DA SAIDA ENTRE *75 E 120* MM, PARA DRENAGEM PLUVIAL PREDIAL</t>
  </si>
  <si>
    <t xml:space="preserve">BOLSA DE LONA PARA FERRAMENTAS *50 X 35 X 25* CM</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</si>
  <si>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</si>
  <si>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</si>
  <si>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</si>
  <si>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0,50 CV DIAMETRO DE SUCCAO X ELEVACAO 3/4" X 3/4", MONOESTAGIO, DIAMETRO DOS ROTORES 114 MM, HM/Q: 2 M / 2,99 M3/H A 24 M / 0,71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</si>
  <si>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</si>
  <si>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</si>
  <si>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1,48HP DIAMETRO DE SUCCAO X ELEVACAO 1" X 1", 4 ESTAGIOS, DIAMETRO DOS ROTORES 3 X 107 MM + 1 X 100 MM, HM/Q: 10 M / 5,3 M3/H A 70 M / 1,8 M3/H</t>
  </si>
  <si>
    <t xml:space="preserve">BOMBA CENTRIFUGA MOTOR ELETRICO TRIFASICO 14,8 HP, DIAMETRO DE SUCCAO X ELEVACAO 2 1/2" X 2", DIAMETRO DO ROTOR 195 MM, HM/Q: 62 M / 55,5 M3/H A 80 M / 31,50 M3/H</t>
  </si>
  <si>
    <t xml:space="preserve">BOMBA CENTRIFUGA MOTOR ELETRICO TRIFASICO 2,96HP, DIAMETRO DE SUCCAO X ELEVACAO 1 1/2" X 1 1/4", DIAMETRO DO ROTOR 148 MM, HM/Q: 34 M / 14,80 M3/H A 40 M / 8,60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</si>
  <si>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</si>
  <si>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</si>
  <si>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CENTRIFUGA, MOTOR ELETRICO TRIFASICO 1,48HP DIAMETRO DE SUCCAO X ELEVACAO 1 1/2" X 1", DIAMETRO DO ROTOR 117 MM, HM/Q: 10 M / 21,9 M3/H A 24 M / 6,1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</si>
  <si>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</si>
  <si>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</si>
  <si>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</si>
  <si>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</si>
  <si>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</si>
  <si>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</si>
  <si>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</si>
  <si>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</si>
  <si>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</si>
  <si>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</si>
  <si>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</si>
  <si>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</si>
  <si>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</si>
  <si>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</si>
  <si>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</si>
  <si>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SUBMERSIVEL, ELETRICA, TRIFASICA, POTENCIA 6 HP, DIAMETRO DO ROTOR 127 MM, BOCAL DE SAIDA DIAMETRO DE 3 POLEGADAS, HM/Q = 7 M / 66,90 M3/H A 26 M / 2,88 M3/H</t>
  </si>
  <si>
    <t xml:space="preserve">BOMBA TRIPLEX COM MOTOR A DIESEL, NACIONAL, DIAMETRO DE SUCCAO DE 2 1/2"</t>
  </si>
  <si>
    <t xml:space="preserve">BOMBA TRIPLEX, PARA INJECAO DE CALDA DE CIMENTO, VAZAO MAXIMA DE *100* LITROS/MINUTO, PRESSAO MAXIMA DE *70* BAR, POTENCIA DE 15 CV</t>
  </si>
  <si>
    <t xml:space="preserve">BORBOLETA PARA JANELA TIPO GUILHOTINA, EM ZAMAC CROMADO</t>
  </si>
  <si>
    <t xml:space="preserve">BOTA DE PVC PRETA, CANO MEDIO, SEM FORRO</t>
  </si>
  <si>
    <t xml:space="preserve">BOTA DE SEGURANCA COM BIQUEIRA DE ACO E COLARINHO ACOLCHOADO</t>
  </si>
  <si>
    <t xml:space="preserve">BRACO / CANO PARA CHUVEIRO ELETRICO, EM ALUMINIO, 30 CM X 1/2"</t>
  </si>
  <si>
    <t xml:space="preserve">BRACO OU HASTE COM CANOPLA PLASTICA, 1/2 ", PARA CHUVEIRO SIMPLES</t>
  </si>
  <si>
    <t xml:space="preserve">BRACO OU HASTE RETA COM CANOPLA PLASTICA, 1/2 ", PARA CHUVEIRO ELETRICO</t>
  </si>
  <si>
    <t xml:space="preserve">BRACO P/ LUMINARIA PUBLICA 1 X 1,50M ROMAGNOLE OU EQUIV</t>
  </si>
  <si>
    <t xml:space="preserve">BUCHA DE NYLON SEM ABA S12, COM PARAFUSO DE 5/16" X 80 MM EM ACO ZINCADO COM ROSCA SOBERBA E CABECA SEXTAVADA</t>
  </si>
  <si>
    <t xml:space="preserve">BUCHA DE NYLON SEM ABA S4</t>
  </si>
  <si>
    <t xml:space="preserve">BUCHA DE NYLON SEM ABA S5</t>
  </si>
  <si>
    <t xml:space="preserve">BUCHA DE NYLON SEM ABA S8</t>
  </si>
  <si>
    <t xml:space="preserve">BUCHA DE REDUCAO CPVC, SOLDAVEL, 54 X 28 MM, PARA AGUA QUENTE</t>
  </si>
  <si>
    <t xml:space="preserve">BUCHA DE REDUCAO DE COBRE SEM ANEL DE SOLDA, PONTA X BOLSA, 22 X 15 MM</t>
  </si>
  <si>
    <t xml:space="preserve">BUCHA DE REDUCAO DE COBRE SEM ANEL DE SOLDA, PONTA X BOLSA, 28 X 22 MM</t>
  </si>
  <si>
    <t xml:space="preserve">BUCHA DE REDUCAO DE COBRE SEM ANEL DE SOLDA, PONTA X BOLSA, 35 X 28 MM</t>
  </si>
  <si>
    <t xml:space="preserve">BUCHA DE REDUCAO DE COBRE SEM ANEL DE SOLDA, PONTA X BOLSA, 42 X 35 MM</t>
  </si>
  <si>
    <t xml:space="preserve">BUCHA DE REDUCAO DE COBRE SEM ANEL DE SOLDA, PONTA X BOLSA, 54 X 42 MM</t>
  </si>
  <si>
    <t xml:space="preserve">BUCHA DE REDUCAO DE COBRE SEM ANEL DE SOLDA, PONTA X BOLSA, 66 X 54 MM</t>
  </si>
  <si>
    <t xml:space="preserve">BUCHA DE REDUCAO DE FERRO GALVANIZADO, COM ROSCA BSP, DE 1 1/2" X 1 1/4"</t>
  </si>
  <si>
    <t xml:space="preserve">BUCHA DE REDUCAO DE FERRO GALVANIZADO, COM ROSCA BSP, DE 1 1/2" X 1"</t>
  </si>
  <si>
    <t xml:space="preserve">BUCHA DE REDUCAO DE FERRO GALVANIZADO, COM ROSCA BSP, DE 1 1/2" X 1/2"</t>
  </si>
  <si>
    <t xml:space="preserve">BUCHA DE REDUCAO DE FERRO GALVANIZADO, COM ROSCA BSP, DE 1 1/2" X 3/4"</t>
  </si>
  <si>
    <t xml:space="preserve">BUCHA DE REDUCAO DE FERRO GALVANIZADO, COM ROSCA BSP, DE 1 1/4" X 1"</t>
  </si>
  <si>
    <t xml:space="preserve">BUCHA DE REDUCAO DE FERRO GALVANIZADO, COM ROSCA BSP, DE 1 1/4" X 1/2"</t>
  </si>
  <si>
    <t xml:space="preserve">BUCHA DE REDUCAO DE FERRO GALVANIZADO, COM ROSCA BSP, DE 1 1/4" X 3/4"</t>
  </si>
  <si>
    <t xml:space="preserve">BUCHA DE REDUCAO DE FERRO GALVANIZADO, COM ROSCA BSP, DE 1" X 1/2"</t>
  </si>
  <si>
    <t xml:space="preserve">BUCHA DE REDUCAO DE FERRO GALVANIZADO, COM ROSCA BSP, DE 1" X 3/4"</t>
  </si>
  <si>
    <t xml:space="preserve">BUCHA DE REDUCAO DE FERRO GALVANIZADO, COM ROSCA BSP, DE 1/2" X 1/4"</t>
  </si>
  <si>
    <t xml:space="preserve">BUCHA DE REDUCAO DE FERRO GALVANIZADO, COM ROSCA BSP, DE 1/2" X 3/8"</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</si>
  <si>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</si>
  <si>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</si>
  <si>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</si>
  <si>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</si>
  <si>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</si>
  <si>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</si>
  <si>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</si>
  <si>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</si>
  <si>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</si>
  <si>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</si>
  <si>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</si>
  <si>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3/4" X 1/2"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</si>
  <si>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</si>
  <si>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</si>
  <si>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</si>
  <si>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</si>
  <si>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</si>
  <si>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</si>
  <si>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25 X 20 MM, PARA AGUA FRIA PREDIAL</t>
  </si>
  <si>
    <t xml:space="preserve">BUCHA DE REDUCAO DE PVC, SOLDAVEL, CURTA, COM 40 X 32 MM, PARA AGUA FRIA PREDIAL</t>
  </si>
  <si>
    <t xml:space="preserve">BUCHA DE REDUCAO DE PVC, SOLDAVEL, CURTA, COM 60 X 50 MM, PARA AGUA FRIA PREDIAL</t>
  </si>
  <si>
    <t xml:space="preserve">BUCHA DE REDUCAO DE PVC, SOLDAVEL, LONGA, COM 32 X 20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</si>
  <si>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</si>
  <si>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</si>
  <si>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</si>
  <si>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50 MM, PARA AGUA FRIA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</si>
  <si>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</si>
  <si>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</si>
  <si>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</si>
  <si>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 PARA ELETRODUTO</t>
  </si>
  <si>
    <t xml:space="preserve">BUCHA DE REDUCAO EM ALUMINIO, COM ROSCA, DE 1 1/4" X 1/2",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</si>
  <si>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</si>
  <si>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</si>
  <si>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</si>
  <si>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</si>
  <si>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</si>
  <si>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</si>
  <si>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</si>
  <si>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</si>
  <si>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</si>
  <si>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</si>
  <si>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</si>
  <si>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</si>
  <si>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</si>
  <si>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</si>
  <si>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</si>
  <si>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3/4" X 1/2",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</si>
  <si>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</si>
  <si>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</si>
  <si>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</si>
  <si>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3/4" X 1/2"</t>
  </si>
  <si>
    <t xml:space="preserve">BUCHA DE REDUCAO PVC, ROSCAVEL 1 1/2" X 1"</t>
  </si>
  <si>
    <t xml:space="preserve">BUCHA DE REDUCAO PVC, ROSCAVEL, 1 1/2" X 3/4"</t>
  </si>
  <si>
    <t xml:space="preserve">BUCHA DE REDUCAO PVC, ROSCAVEL, 1" X 1/2"</t>
  </si>
  <si>
    <t xml:space="preserve">BUCHA DE REDUCAO PVC, ROSCAVEL, 1" X 3/4"</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</si>
  <si>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</si>
  <si>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</si>
  <si>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</si>
  <si>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</si>
  <si>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CPVC, SOLDAVEL, 54 X 35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</si>
  <si>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</si>
  <si>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</si>
  <si>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</si>
  <si>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PPR, DN 50 X 25 MM, PARA AGUA QUENTE E FRIA PREDIAL</t>
  </si>
  <si>
    <t xml:space="preserve">BUCHA DE REDUCAO, PPR, DN 50 X 32 MM, PARA AGUA QUENTE E FRIA PREDIAL</t>
  </si>
  <si>
    <t xml:space="preserve">BUCHA DE REDUCAO, PVC, LONGA, SERIE R, DN 50 X 40 MM, PARA ESGOTO PREDIAL</t>
  </si>
  <si>
    <t xml:space="preserve">BUCHA EM ALUMINIO, COM ROSCA, DE 1 1/2", PARA ELETRODUTO</t>
  </si>
  <si>
    <t xml:space="preserve">BUCHA EM ALUMINIO, COM ROSCA, DE 1 1/4", PARA ELETRODUTO</t>
  </si>
  <si>
    <t xml:space="preserve">BUCHA EM ALUMINIO, COM ROSCA, DE 1", PARA ELETRODUTO</t>
  </si>
  <si>
    <t xml:space="preserve">BUCHA EM ALUMINIO, COM ROSCA, DE 1/2", PARA ELETRODUTO</t>
  </si>
  <si>
    <t xml:space="preserve">BUCHA EM ALUMINIO, COM ROSCA, DE 2 1/2", PARA ELETRODUTO</t>
  </si>
  <si>
    <t xml:space="preserve">BUCHA EM ALUMINIO, COM ROSCA, DE 2", PARA ELETRODUTO</t>
  </si>
  <si>
    <t xml:space="preserve">BUCHA EM ALUMINIO, COM ROSCA, DE 3", PARA ELETRODUTO</t>
  </si>
  <si>
    <t xml:space="preserve">BUCHA EM ALUMINIO, COM ROSCA, DE 3/4", PARA ELETRODUTO</t>
  </si>
  <si>
    <t xml:space="preserve">BUCHA EM ALUMINIO, COM ROSCA, DE 3/8", PARA ELETRODUTO</t>
  </si>
  <si>
    <t xml:space="preserve">BUCHA EM ALUMINIO, COM ROSCA, DE 4", PARA ELETRODUTO</t>
  </si>
  <si>
    <t xml:space="preserve">CABECEIRA DIREITA OU ESQUERDA, PVC, PARA CALHA PLUVIAL, DIAMETRO ENTRE *119 E 170* MM, PARA DRENAGEM PLUVIAL PREDIAL</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</si>
  <si>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</si>
  <si>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</si>
  <si>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</si>
  <si>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</si>
  <si>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</si>
  <si>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</si>
  <si>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</si>
  <si>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</si>
  <si>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</si>
  <si>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4"</t>
  </si>
  <si>
    <t xml:space="preserve">CABIDE/GANCHO DE BANHEIRO SIMPLES EM METAL CROMADO</t>
  </si>
  <si>
    <t xml:space="preserve">CABO COAXIAL RG11 95% DE MALHA</t>
  </si>
  <si>
    <t xml:space="preserve">CABO COAXIAL RG59 95% DE MALHA</t>
  </si>
  <si>
    <t xml:space="preserve">CABO COAXIAL RG6 95% DE MALHA</t>
  </si>
  <si>
    <t xml:space="preserve">CABO DE ACO GALVANIZADO, DIAMETRO 12,7 MM (1/2"), COM ALMA DE ACO CABO INDEPENDENTE 6 X 25 F</t>
  </si>
  <si>
    <t xml:space="preserve">CABO DE ACO GALVANIZADO, DIAMETRO 12,7 MM (1/2"), COM ALMA DE FIBRA 6 X 25 F</t>
  </si>
  <si>
    <t xml:space="preserve">CABO DE ACO GALVANIZADO, DIAMETRO 9,53 MM (3/8"), COM ALMA DE FIBRA 6 X 25 F</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</si>
  <si>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</si>
  <si>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</si>
  <si>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</si>
  <si>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</si>
  <si>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</si>
  <si>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</si>
  <si>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</si>
  <si>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</si>
  <si>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FLEXIVEL NAO HALOGENADO, SEM EMISSAO DE FUMACA, 750V, SECAO NOMINAL 120 MM</t>
  </si>
  <si>
    <t xml:space="preserve">CABO DE COBRE FLEXIVEL NAO HALOGENADO, SEM EMISSAO DE FUMACA, 750V, SECAO NOMINAL 2,5 MM</t>
  </si>
  <si>
    <t xml:space="preserve">CABO DE COBRE FLEXIVEL NAO HALOGENADO, SEM EMISSAO DE FUMACA, 750V, SECAO NOMINAL 240 MM</t>
  </si>
  <si>
    <t xml:space="preserve">CABO DE COBRE FLEXIVEL NAO HALOGENADO, SEM EMISSAO DE FUMACA, 750V, SECAO NOMINAL 50 MM</t>
  </si>
  <si>
    <t xml:space="preserve">CABO DE COBRE FLEXIVEL NAO HALOGENADO, SEM EMISSAO DE FUMACA, 750V, SECAO NOMINAL 6,0 MM</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</si>
  <si>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</si>
  <si>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</si>
  <si>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</si>
  <si>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</si>
  <si>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</si>
  <si>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</si>
  <si>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70 MM2 MEIO-DURO</t>
  </si>
  <si>
    <t xml:space="preserve">CABO DE COBRE NU 95 MM2 MEIO-DURO</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</si>
  <si>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</si>
  <si>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</si>
  <si>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</si>
  <si>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</si>
  <si>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</si>
  <si>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</si>
  <si>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</si>
  <si>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</si>
  <si>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</si>
  <si>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</si>
  <si>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</si>
  <si>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50 MM2</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</si>
  <si>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</si>
  <si>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</si>
  <si>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</si>
  <si>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</si>
  <si>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</si>
  <si>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</si>
  <si>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</si>
  <si>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</si>
  <si>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</si>
  <si>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</si>
  <si>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</si>
  <si>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</si>
  <si>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</si>
  <si>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</si>
  <si>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RIGIDO, CLASSE 2, ISOLACAO EM PVC, ANTI-CHAMA BWF-B, 1 CONDUTOR, 450/750 V, DIAMETRO 120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</si>
  <si>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</si>
  <si>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</si>
  <si>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</si>
  <si>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</si>
  <si>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</si>
  <si>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35 MM2</t>
  </si>
  <si>
    <t xml:space="preserve">CABO DE COBRE, RIGIDO, CLASSE 2, ISOLACAO EM PVC/A, ANTICHAMA BWF-B, 1 CONDUTOR, 450/750 V, SECAO NOMINAL 50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</si>
  <si>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</si>
  <si>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</si>
  <si>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</si>
  <si>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DE REDE, PAR TRANCADO U/UTP, 4 PARES, CATEGORIA 5E (CAT 5E), ISOLAMENTO PVC (CM)</t>
  </si>
  <si>
    <t xml:space="preserve">CABO DE REDE, PAR TRANCADO U/UTP, 4 PARES, CATEGORIA 5E (CAT 5E), ISOLAMENTO PVC (CMX)</t>
  </si>
  <si>
    <t xml:space="preserve">CABO DE REDE, PAR TRANCADO U/UTP, 4 PARES, CATEGORIA 5E (CAT 5E), ISOLAMENTO PVC (LSZH)</t>
  </si>
  <si>
    <t xml:space="preserve">CABO DE REDE, PAR TRANCADO U/UTP, 4 PARES, CATEGORIA 6 (CAT 6), ISOLAMENTO PVC (CM)</t>
  </si>
  <si>
    <t xml:space="preserve">CABO ELETRONICO CATEGORIA 6A U/UTP 23AWG X 4P</t>
  </si>
  <si>
    <t xml:space="preserve">CABO FLEXIVEL PVC 750 V, 2 CONDUTORES DE 1,5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</si>
  <si>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</si>
  <si>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</si>
  <si>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</si>
  <si>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4,0 MM2</t>
  </si>
  <si>
    <t xml:space="preserve">CABO FLEXIVEL PVC 750 V, 3 CONDUTORES DE 6,0 MM2</t>
  </si>
  <si>
    <t xml:space="preserve">CABO FLEXIVEL PVC 750 V, 4 CONDUTORES DE 1,5 MM2</t>
  </si>
  <si>
    <t xml:space="preserve">CABO FLEXIVEL PVC 750 V, 4 CONDUTORES DE 4,0 MM2</t>
  </si>
  <si>
    <t xml:space="preserve">CABO FLEXIVEL PVC 750 V, 4 CONDUTORES DE 6,0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</si>
  <si>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</si>
  <si>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</si>
  <si>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</si>
  <si>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</si>
  <si>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</si>
  <si>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</si>
  <si>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</si>
  <si>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</si>
  <si>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</si>
  <si>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</si>
  <si>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</si>
  <si>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</si>
  <si>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</si>
  <si>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</si>
  <si>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</si>
  <si>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</si>
  <si>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</si>
  <si>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</si>
  <si>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</si>
  <si>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</si>
  <si>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</si>
  <si>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</si>
  <si>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</si>
  <si>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</si>
  <si>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</si>
  <si>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</si>
  <si>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12 M3 (INCLUI MONTAGEM, NAO INCLUI CAMINHAO)</t>
  </si>
  <si>
    <t xml:space="preserve">CACAMBA METALICA BASCULANTE COM CAPACIDADE DE 8 M3 (INCLUI MONTAGEM, NAO INCLUI CAMINHAO)</t>
  </si>
  <si>
    <t xml:space="preserve">CADEADO SIMPLES, CORPO EM LATAO MACICO, COM LARGURA DE 35 MM E ALTURA DE APROX 30 MM, HASTE CEMENTADA (NAO LONGA), EM ACO TEMPERADO COM DIAMETRO DE APROX 6,0 MM, INCLUINDO 2 CHAVES</t>
  </si>
  <si>
    <t xml:space="preserve">CADEIRA SUSPENSA MANUAL / BALANCIM INDIVIDUAL (NBR 14751)</t>
  </si>
  <si>
    <t xml:space="preserve">CAIBRO 5 X 5 CM EM PINUS, MISTA OU EQUIVALENTE DA REGIAO - BRUTA</t>
  </si>
  <si>
    <t xml:space="preserve">CAIBRO APARELHADO *6 X 8* CM, EM MACARANDUBA/MASSARANDUBA, ANGELIM OU EQUIVALENTE DA REGIAO</t>
  </si>
  <si>
    <t xml:space="preserve">CAIBRO APARELHADO *7,5 X 7,5* CM, EM MACARANDUBA/MASSARANDUBA, ANGELIM OU EQUIVALENTE DA REGIAO</t>
  </si>
  <si>
    <t xml:space="preserve">CAIBRO NAO APARELHADO *5 X 6* CM, EM MACARANDUBA/MASSARANDUBA, ANGELIM OU EQUIVALENTE DA REGIAO - BRUTA</t>
  </si>
  <si>
    <t xml:space="preserve">CAIBRO ROLICO DE MADEIRA TRATADA, D = 4 A 7 CM, H = 3,00 M, EM EUCALIPTO OU EQUIVALENTE DA REGIAO</t>
  </si>
  <si>
    <t xml:space="preserve">CAIXA D'AGUA / RESERVATORIO EM POLIESTER REFORCADO COM FIBRA DE VIDRO, 1500 LITROS, COM TAMPA</t>
  </si>
  <si>
    <t xml:space="preserve">CAIXA D'AGUA / RESERVATORIO EM POLIESTER REFORCADO COM FIBRA DE VIDRO, 15000 LITROS, COM TAMPA</t>
  </si>
  <si>
    <t xml:space="preserve">CAIXA D'AGUA / RESERVATORIO EM POLIESTER REFORCADO COM FIBRA DE VIDRO, 2000 LITROS, COM TAMPA</t>
  </si>
  <si>
    <t xml:space="preserve">CAIXA D'AGUA / RESERVATORIO EM POLIESTER REFORCADO COM FIBRA DE VIDRO, 20000 LITROS, COM TAMPA</t>
  </si>
  <si>
    <t xml:space="preserve">CAIXA D'AGUA / RESERVATORIO EM POLIESTER REFORCADO COM FIBRA DE VIDRO, 3000 LITROS, COM TAMPA</t>
  </si>
  <si>
    <t xml:space="preserve">CAIXA D'AGUA / RESERVATORIO EM POLIESTER REFORCADO COM FIBRA DE VIDRO, 500 LITROS, COM TAMPA</t>
  </si>
  <si>
    <t xml:space="preserve">CAIXA D'AGUA / RESERVATORIO EM POLIESTER REFORCADO COM FIBRA DE VIDRO, 5000 LITROS, COM TAMPA</t>
  </si>
  <si>
    <t xml:space="preserve">CAIXA D'AGUA / RESERVATORIO EM POLIESTER REFORCADO COM FIBRA DE VIDRO, 7000 LITROS, COM TAMPA</t>
  </si>
  <si>
    <t xml:space="preserve">CAIXA D'AGUA / RESERVATORIO EM POLIESTER REFORCADO COM FIBRA DE VIDRO, 750 LITROS, COM TAMPA</t>
  </si>
  <si>
    <t xml:space="preserve">CAIXA D'AGUA / RESERVATORIO EM POLIESTER REFORCADO COM FIBRA DE VIDRO,1000 LITROS, COM TAMPA</t>
  </si>
  <si>
    <t xml:space="preserve">CAIXA D'AGUA / RESERVATORIO EM POLIETILENO, 1000 LITROS, COM TAMPA</t>
  </si>
  <si>
    <t xml:space="preserve">CAIXA D'AGUA / RESERVATORIO EM POLIETILENO, 1500 LITROS, COM TAMPA</t>
  </si>
  <si>
    <t xml:space="preserve">CAIXA D'AGUA / RESERVATORIO EM POLIETILENO, 2000 LITROS, COM TAMPA</t>
  </si>
  <si>
    <t xml:space="preserve">CAIXA D'AGUA / RESERVATORIO EM POLIETILENO, 3000 LITROS, COM TAMPA</t>
  </si>
  <si>
    <t xml:space="preserve">CAIXA D'AGUA / RESERVATORIO EM POLIETILENO, 500 LITROS, COM TAMPA</t>
  </si>
  <si>
    <t xml:space="preserve">CAIXA D'AGUA / RESERVATORIO EM POLIETILENO, 750 LITROS, COM TAMPA</t>
  </si>
  <si>
    <t xml:space="preserve">CAIXA DE ATERRAMENTO EM CONCRETO PRE-MOLDADO, DIAMETRO DE 0,30 M E ALTURA DE 0,35 M, SEM FUNDO E COM TAMPA</t>
  </si>
  <si>
    <t xml:space="preserve">CAIXA DE CONCRETO ARMADO PRE-MOLDADO, COM FUNDO E SEM TAMPA, DIMENSOES DE 0,30 X 0,30 X 0,30 M</t>
  </si>
  <si>
    <t xml:space="preserve">CAIXA DE CONCRETO ARMADO PRE-MOLDADO, COM FUNDO E SEM TAMPA, DIMENSOES DE 0,40 X 0,40 X 0,40 M</t>
  </si>
  <si>
    <t xml:space="preserve">CAIXA DE CONCRETO ARMADO PRE-MOLDADO, COM FUNDO E SEM TAMPA, DIMENSOES DE 0,60 X 0,60 X 0,50 M</t>
  </si>
  <si>
    <t xml:space="preserve">CAIXA DE CONCRETO ARMADO PRE-MOLDADO, COM FUNDO E SEM TAMPA, DIMENSOES DE 0,80 X 0,80 X 0,50 M</t>
  </si>
  <si>
    <t xml:space="preserve">CAIXA DE CONCRETO ARMADO PRE-MOLDADO, COM FUNDO E SEM TAMPA, DIMENSOES DE 1,00 X 1,00 X 0,50 M</t>
  </si>
  <si>
    <t xml:space="preserve">CAIXA DE CONCRETO ARMADO PRE-MOLDADO, COM FUNDO E TAMPA, DIMENSOES DE 0,30 X 0,30 X 0,30 M</t>
  </si>
  <si>
    <t xml:space="preserve">CAIXA DE CONCRETO ARMADO PRE-MOLDADO, COM FUNDO E TAMPA, DIMENSOES DE 0,40 X 0,40 X 0,40 M</t>
  </si>
  <si>
    <t xml:space="preserve">CAIXA DE CONCRETO ARMADO PRE-MOLDADO, SEM FUNDO, QUADRADA, DIMENSOES DE 0,40 X 0,40 X 0,40 M</t>
  </si>
  <si>
    <t xml:space="preserve">CAIXA DE CONCRETO ARMADO PRE-MOLDADO, SEM FUNDO, QUADRADA, DIMENSOES DE 0,60 X 0,60 X 0,50 M</t>
  </si>
  <si>
    <t xml:space="preserve">CAIXA DE CONCRETO ARMADO PRE-MOLDADO, SEM FUNDO, QUADRADA, DIMENSOES DE 0,80 X 0,80 X 0,50 M</t>
  </si>
  <si>
    <t xml:space="preserve">CAIXA DE CONCRETO ARMADO PRE-MOLDADO, SEM FUNDO, QUADRADA, DIMENSOES DE 1,00 X 1,00 X 0,50 M</t>
  </si>
  <si>
    <t xml:space="preserve">CAIXA DE DERIVACAO PARA MEDIDOR DE ENERGIA, COM BARRAMENTO MONOFASICO, EM POLICARBONATO / TERMOPLASTICO - MODULO (PADRAO CONCESSIONARIA LOCAL)</t>
  </si>
  <si>
    <t xml:space="preserve">CAIXA DE DERIVACAO PARA MEDIDOR DE ENERGIA, COM BARRAMENTO POLIFASICO, EM POLICARBONATO / TERMOPLASTICO - MODULO (PADRAO CONCESSIONARIA LOCAL)</t>
  </si>
  <si>
    <t xml:space="preserve">CAIXA DE DESCARGA PLASTICA PARA BACIA / VASO SANITARIO DE EMBUTIR, COM ESPELHO ACIONADOR EM PLASTICO, CAPACIDADE 6 A 10 LITROS, (COMPLETA - ACESSORIOS INCLUSOS)</t>
  </si>
  <si>
    <t xml:space="preserve">CAIXA DE DESCARGA PLASTICA PARA BACIA / VASO SANITARIO, EXTERNA, CAPACIDADE 9 LITROS, PUXADOR FIO DE NYLON, NAO INCLUSO CANO, BOLSA, ENGATE</t>
  </si>
  <si>
    <t xml:space="preserve">CAIXA DE GORDURA EM PVC, DIAMETRO MINIMO 300 MM, DIAMETRO DE SAIDA 100 MM, CAPACIDADE APROXIMADA 18 LITROS, COM TAMPA E CESTO</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</si>
  <si>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</si>
  <si>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</si>
  <si>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</si>
  <si>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INSPECAO PARA ATERRAMENTO OU OUTRO USO, EM PVC, DN = 250 X 250 MM</t>
  </si>
  <si>
    <t xml:space="preserve">CAIXA DE INSPECAO PARA ATERRAMENTO OU OUTRO USO, EM PVC, DN = 300 X *300* MM</t>
  </si>
  <si>
    <t xml:space="preserve">CAIXA DE INSPECAO PARA ATERRAMENTO OU OUTRO USO, EM PVC, DN = 300 X 250 MM</t>
  </si>
  <si>
    <t xml:space="preserve">CAIXA DE INSPECAO PARA ATERRAMENTO OU OUTRO USO, EM PVC, DN = 300 X 600 MM</t>
  </si>
  <si>
    <t xml:space="preserve">CAIXA DE LUZ "3 X 3" EM ACO ESMALTADA</t>
  </si>
  <si>
    <t xml:space="preserve">CAIXA DE LUZ "4 X 4" EM ACO ESMALTADA</t>
  </si>
  <si>
    <t xml:space="preserve">CAIXA DE PASSAGEM / DERIVACAO / LUZ, OCTOGONAL 4 X4, EM ACO ESMALTADA, COM FUNDO MOVEL SIMPLES (FMS)</t>
  </si>
  <si>
    <t xml:space="preserve">CAIXA DE PASSAGEM ELETRICA DE PAREDE, DE EMBUTIR, EM PVC, COM TAMPA APARAFUSADA, DIMENSOES 120 X 120 X *75* MM</t>
  </si>
  <si>
    <t xml:space="preserve">CAIXA DE PASSAGEM ELETRICA DE PAREDE, DE EMBUTIR, EM PVC, COM TAMPA APARAFUSADA, DIMENSOES 150 X 150 X *75* MM</t>
  </si>
  <si>
    <t xml:space="preserve">CAIXA DE PASSAGEM ELETRICA DE PAREDE, DE EMBUTIR, EM TERMOPLASTICO / PVC, COM TAMPA APARAFUSADA, DIMENSOES 400 X 400 X *120* MM</t>
  </si>
  <si>
    <t xml:space="preserve">CAIXA DE PASSAGEM ELETRICA DE PAREDE, DE SOBREPOR, EM PVC, COM TAMPA APARAFUSADA, DIMENSOES 300 X 300 X *100* MM</t>
  </si>
  <si>
    <t xml:space="preserve">CAIXA DE PASSAGEM ELETRICA DE PAREDE, DE SOBREPOR, EM PVC, COM TAMPA APARAFUSADA, DIMENSOES, 400 X 400 X *120* MM</t>
  </si>
  <si>
    <t xml:space="preserve">CAIXA DE PASSAGEM ELETRICA DE PAREDE, DE SOBREPOR, EM TERMOPLASTICO / PVC, COM TAMPA APARAFUSADA, DIMENSOES 200 X 200 X *100* MM</t>
  </si>
  <si>
    <t xml:space="preserve">CAIXA DE PASSAGEM ELETRICA DE PAREDE, DE SOBREPOR, EM TERMOPLASTICO / PVC, COM TAMPA APARAFUSADA, DIMENSOES, 150 X 150 X *100* MM</t>
  </si>
  <si>
    <t xml:space="preserve">CAIXA DE PASSAGEM ELETRICA, PARA PISO, EM PVC, DIMENSOES DE 3/4" A 4"</t>
  </si>
  <si>
    <t xml:space="preserve">CAIXA DE PASSAGEM METALICA DE SOBREPOR COM TAMPA PARAFUSADA, DIMENSOES 20 X 20 X 10 CM</t>
  </si>
  <si>
    <t xml:space="preserve">CAIXA DE PASSAGEM METALICA DE SOBREPOR COM TAMPA PARAFUSADA, DIMENSOES 30 X 30 X 10 CM</t>
  </si>
  <si>
    <t xml:space="preserve">CAIXA DE PASSAGEM METALICA DE SOBREPOR COM TAMPA PARAFUSADA, DIMENSOES 40 X 40 X 15 CM</t>
  </si>
  <si>
    <t xml:space="preserve">CAIXA DE PASSAGEM METALICA DE SOBREPOR COM TAMPA PARAFUSADA, DIMENSOES 50 X 50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</si>
  <si>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</si>
  <si>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</si>
  <si>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</si>
  <si>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METALICA, DE SOBREPOR, COM TAMPA APARAFUSADA, DIMENSOES 15 X 15 X *10* CM</t>
  </si>
  <si>
    <t xml:space="preserve">CAIXA DE PASSAGEM METALICA, DE SOBREPOR, COM TAMPA APARAFUSADA, DIMENSOES 35 X 35 X *12* CM</t>
  </si>
  <si>
    <t xml:space="preserve">CAIXA DE PASSAGEM/ LUZ / TELEFONIA, DE EMBUTIR, EM CHAPA DE ACO GALVANIZADO, DIMENSOES 120 X 120 X *12* CM (PADRAO CONCESSIONARIA LOCAL)</t>
  </si>
  <si>
    <t xml:space="preserve">CAIXA DE PASSAGEM/ LUZ / TELEFONIA, DE EMBUTIR, EM CHAPA DE ACO GALVANIZADO, DIMENSOES 150 X 150 X 15 CM (PADRAO CONCESSIONARIA LOCAL)</t>
  </si>
  <si>
    <t xml:space="preserve">CAIXA DE PASSAGEM/ LUZ / TELEFONIA, DE EMBUTIR, EM CHAPA DE ACO GALVANIZADO, DIMENSOES 20 X 20 X *12* CM (PADRAO CONCESSIONARIA LOCAL)</t>
  </si>
  <si>
    <t xml:space="preserve">CAIXA DE PASSAGEM/ LUZ / TELEFONIA, DE EMBUTIR, EM CHAPA DE ACO GALVANIZADO, DIMENSOES 200 X 200 X 20 CM (PADRAO CONCESSIONARIA LOCAL)</t>
  </si>
  <si>
    <t xml:space="preserve">CAIXA DE PASSAGEM/ LUZ / TELEFONIA, DE EMBUTIR, EM CHAPA DE ACO GALVANIZADO, DIMENSOES 40 X 40 X *12* CM (PADRAO CONCESSIONARIA LOCAL)</t>
  </si>
  <si>
    <t xml:space="preserve">CAIXA DE PASSAGEM/ LUZ / TELEFONIA, DE EMBUTIR, EM CHAPA DE ACO GALVANIZADO, DIMENSOES 60 X 60 X *12* CM (PADRAO CONCESSIONARIA LOCAL)</t>
  </si>
  <si>
    <t xml:space="preserve">CAIXA DE PASSAGEM/ LUZ / TELEFONIA, DE EMBUTIR, EM CHAPA DE ACO GALVANIZADO, DIMENSOES 80 X 80 X *12* CM (PADRAO CONCESSIONARIA LOCAL)</t>
  </si>
  <si>
    <t xml:space="preserve">CAIXA DE PASSAGEM/ LUZ / TELEFONIA, DE SOBREPOR, EM CHAPA DE ACO GALVANIZADO, DIMENSOES 80 X 80 X *12* CM (PADRAO CONCESSIONARIA LOCAL)</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</si>
  <si>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</si>
  <si>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</si>
  <si>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INTERNA/EXTERNA DE MEDICAO PARA 1 MEDIDOR TRIFASICO, COM VISOR, EM CHAPA DE ACO 18 USG (PADRAO DA CONCESSIONARIA LOCAL)</t>
  </si>
  <si>
    <t xml:space="preserve">CAIXA INTERNA/EXTERNA DE MEDICAO PARA 4 MEDIDORES MONOFASICOS, COM VISOR, EM CHAPA DE ACO 18 USG (PADRAO DA CONCESSIONARIA LOCAL)</t>
  </si>
  <si>
    <t xml:space="preserve">CAIXA MODULAR PARA MEDIDOR DE ENERGIA AGRUPADA, EM POLICARBONATO / TERMOPLASTICO, COM SUPORTE PARA DISJUNTOR (PADRAO DA CONCESSIONARIA LOCAL)</t>
  </si>
  <si>
    <t xml:space="preserve">CAIXA PARA HIDROMETRO CONCRETO PRE MOLDADO, *0,24 M X 0,45 M X 0,30* M (L X C X A)</t>
  </si>
  <si>
    <t xml:space="preserve">CAIXA PARA MEDICAO COLETIVA TIPO L, PADRAO BIFASICO OU TRIFASICO, PARA ATE 4 MEDIDORES, SEM BARRAMENTO E COM PORTAS INFERIOR E SUPERIOR</t>
  </si>
  <si>
    <t xml:space="preserve">CAIXA PARA MEDICAO COLETIVA TIPO M, PADRAO BIFASICO OU TRIFASICO, PARA ATE 8 MEDIDORES, SEM BARRAMENTO E COM PORTAS INFERIOR E SUPERIOR</t>
  </si>
  <si>
    <t xml:space="preserve">CAIXA PARA MEDICAO COLETIVA TIPO N, PADRAO BIFASICO OU TRIFASICO, PARA ATE 12 MEDIDORES, SEM BARRAMENTO E COM PORTAS INFERIOR E SUPERIOR</t>
  </si>
  <si>
    <t xml:space="preserve">CAIXA PARA MEDIDOR MONOFASICO, EM POLICARBONATO / TERMOPLASTICO, PARA ALOJAR 1 DISJUNTOR (PADRAO DA CONCESSIONARIA LOCAL)</t>
  </si>
  <si>
    <t xml:space="preserve">CAIXA PARA MEDIDOR POLIFASICO, EM POLICARBONATO / TERMOPLASTICO, PARA ALOJAR 1 DISJUNTOR (PADRAO DA CONCESSIONARIA LOCAL)</t>
  </si>
  <si>
    <t xml:space="preserve">CAIXA PRE-MOLDADA PARA BOCA DE LOBO, EM CONCRETO ARMADO, COM FCK DE 25 MPA, COM DIMENSOES 1,10 X 0,65 X 1,00 M (COMPRIMENTO X LARGURA X ALTURA)</t>
  </si>
  <si>
    <t xml:space="preserve">CAIXA SIFONADA PVC, 100 X 100 X 50 MM, COM GRELHA REDONDA, BRANCA</t>
  </si>
  <si>
    <t xml:space="preserve">CAIXA SIFONADA PVC, 250 X 230 X 75 MM, COM TAMPA CEGA QUADRADA, BRANCA</t>
  </si>
  <si>
    <t xml:space="preserve">CAIXA SIFONADA, PVC, 150 X 150 X 50 MM, COM GRELHA QUADRADA, BRANCA (NBR 5688)</t>
  </si>
  <si>
    <t xml:space="preserve">CAL HIDRATADA PARA PINTURA</t>
  </si>
  <si>
    <t xml:space="preserve">CALCARIO DOLOMITICO A (POSTO PEDREIRA/FORNECEDOR,  SEM FRETE)</t>
  </si>
  <si>
    <t xml:space="preserve">CALCETEIRO / RASTELEIRO (MENSALISTA)</t>
  </si>
  <si>
    <t xml:space="preserve">CALHA / PERFIL PLUVIAL DE PVC, DIAMETRO ENTRE *119 E 170* MM, COMPRIMENTO DE 3 M, PARA DRENAGEM PLUVIAL PREDIAL</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</si>
  <si>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</si>
  <si>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</si>
  <si>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</si>
  <si>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</si>
  <si>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QUADRADA DE CHAPA DE ACO GALVANIZADA NUM 24, CORTE 100 CM</t>
  </si>
  <si>
    <t xml:space="preserve">CALHA QUADRADA DE CHAPA DE ACO GALVANIZADA NUM 24, CORTE 33 CM</t>
  </si>
  <si>
    <t xml:space="preserve">CALHA QUADRADA DE CHAPA DE ACO GALVANIZADA NUM 26, CORTE 33 CM</t>
  </si>
  <si>
    <t xml:space="preserve">CALHA QUADRADA DE CHAPA DE ACO GALVANIZADA NUM 28, CORTE 25 CM</t>
  </si>
  <si>
    <t xml:space="preserve">CALHA/CANALETA DE CONCRETO SIMPLES, TIPO MEIA CANA, DIAMETRO DE 20 CM, PARA AGUA PLUVIAL</t>
  </si>
  <si>
    <t xml:space="preserve">CALHA/CANALETA DE CONCRETO SIMPLES, TIPO MEIA CANA, DIAMETRO DE 30 CM, PARA AGUA PLUVIAL</t>
  </si>
  <si>
    <t xml:space="preserve">CALHA/CANALETA DE CONCRETO SIMPLES, TIPO MEIA CANA, DIAMETRO DE 40 CM, PARA AGUA PLUVIAL</t>
  </si>
  <si>
    <t xml:space="preserve">CALHA/CANALETA DE CONCRETO SIMPLES, TIPO MEIA CANA, DIAMETRO DE 50 CM, PARA AGUA PLUVIAL</t>
  </si>
  <si>
    <t xml:space="preserve">CALHA/CANALETA DE CONCRETO SIMPLES, TIPO MEIA CANA, DIAMETRO DE 60 CM, PARA AGUA PLUVIAL</t>
  </si>
  <si>
    <t xml:space="preserve">CALHA/CANALETA DE CONCRETO SIMPLES, TIPO MEIA CANA, DIAMETRO DE 80 CM, PARA AGUA PLUVIAL</t>
  </si>
  <si>
    <t xml:space="preserve">CAMADA SEPARADORA DE FILME DE POLIETILENO 20 A 25 MICRA</t>
  </si>
  <si>
    <t xml:space="preserve">CAMINHAO TOCO, PESO BRUTO TOTAL 13200 KG, CARGA UTIL MAXIMA 9200 KG, DISTANCIA ENTRE EIXOS 3,31 M, POTENCIA 175 CV (INCLUI CABINE E CHASSI, NAO INCLUI CARROCERIA)</t>
  </si>
  <si>
    <t xml:space="preserve">CAMINHAO TOCO, PESO BRUTO TOTAL 14300 KG, CARGA UTIL MAXIMA 9480 KG, DISTANCIA ENTRE EIXOS 4,80 M, POTENCIA 185 CV (INCLUI CABINE E CHASSI, NAO INCLUI CARROCERIA)</t>
  </si>
  <si>
    <t xml:space="preserve">CAMINHAO TOCO, PESO BRUTO TOTAL 16000 KG, CARGA UTIL MAXIMA 10600 KG, DISTANCIA ENTRE EIXOS 4,80 M, POTENCIA 277 CV (INCLUI CABINE E CHASSI, NAO INCLUI CARROCERIA)</t>
  </si>
  <si>
    <t xml:space="preserve">CAMINHAO TOCO, PESO BRUTO TOTAL 16000 KG, CARGA UTIL MAXIMA 10830 KG, DISTANCIA ENTRE EIXOS 3,56 M, POTENCIA 226 CV (INCLUI CABINE E CHASSI, NAO INCLUI CARROCERIA)</t>
  </si>
  <si>
    <t xml:space="preserve">CAMINHAO TOCO, PESO BRUTO TOTAL 8500 KG, CARGA UTIL MAXIMA 5600 KG, DISTANCIA ENTRE EIXOS 3,40 M, POTENCIA 167 CV (INCLUI CABINE E CHASSI, NAO INCLUI CARROCERIA)</t>
  </si>
  <si>
    <t xml:space="preserve">CAMINHAO TOCO, PESO BRUTO TOTAL 9600 KG, CARGA UTIL MAXIMA 6190 KG, DISTANCIA ENTRE EIXOS 3,70 M, POTENCIA 156 CV (INCLUI CABINE E CHASSI, NAO INCLUI CARROCERIA)</t>
  </si>
  <si>
    <t xml:space="preserve">CAMINHAO TRUCADO, PESO BRUTO TOTAL 23000 KG, CARGA UTIL MAXIMA 15460 KG, DISTANCIA ENTRE EIXOS 4,80 M, POTENCIA 286 CV (INCLUI CABINE E CHASSI, NAO INCLUI CARROCERIA)</t>
  </si>
  <si>
    <t xml:space="preserve">CAMINHAO TRUCADO, PESO BRUTO TOTAL 23000 KG, CARGA UTIL MAXIMA 16360 KG, CABINE ESTENDIDA, DISTANCIA ENTRE EIXOS 3,56 M, POTENCIA 277 CV (INCLUI CABINE E CHASSI, NAO INCLUI CARROCERIA)</t>
  </si>
  <si>
    <t xml:space="preserve">CAMINHAO TRUCADO, PESO BRUTO TOTAL 23000 KG, CARGA UTIL MAXIMA 16540 KG, DISTANCIA ENTRE EIXOS 4,80 M, POTENCIA 256 CV (INCLUI CABINE E CHASSI, NAO INCLUI CARROCERIA)</t>
  </si>
  <si>
    <t xml:space="preserve">CAMINHONETE COM MOTOR A DIESEL, POTENCIA *160* CV, CABINE DUPLA, 4X4</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</si>
  <si>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</si>
  <si>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</si>
  <si>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</si>
  <si>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CANALETA DE CONCRETO 14 X 19 X 19 CM (CLASSE C - NBR 6136)</t>
  </si>
  <si>
    <t xml:space="preserve">CANALETA DE CONCRETO 19 X 19 X 19 CM (CLASSE C - NBR 6136)</t>
  </si>
  <si>
    <t xml:space="preserve">CANALETA DE CONCRETO 9 X 19 X 19 CM (CLASSE C - NBR 6136)</t>
  </si>
  <si>
    <t xml:space="preserve">CANALETA DE CONCRETO ESTRUTURAL 14 X 19 X 29 CM, FBK 14 MPA (NBR 6136)</t>
  </si>
  <si>
    <t xml:space="preserve">CANALETA DE CONCRETO ESTRUTURAL 14 X 19 X 29 CM, FBK 4,5 MPA (NBR 6136)</t>
  </si>
  <si>
    <t xml:space="preserve">CANALETA DE CONCRETO ESTRUTURAL 14 X 19 X 39 CM, FBK 14 MPA (NBR 6136)</t>
  </si>
  <si>
    <t xml:space="preserve">CANALETA ESTRUTURAL CERAMICA DE 14 X 19 X 19 CM (L X A X C) E 6,0 MPA</t>
  </si>
  <si>
    <t xml:space="preserve">CANALETA ESTRUTURAL CERAMICA DE 14 X 19 X 29 CM (L X A X C) E 6,0 MPA</t>
  </si>
  <si>
    <t xml:space="preserve">CANALETA ESTRUTURAL CERAMICA DE 14 X 19 X 39 CM (L X A X C) E 6,0 MPA</t>
  </si>
  <si>
    <t xml:space="preserve">CANOPLA ACABAMENTO CROMADO PARA INSTALACAO DE SPRINKLER, SOB FORRO, 15 MM</t>
  </si>
  <si>
    <t xml:space="preserve">CANTONEIRA (ABAS IGUAIS) EM ACO CARBONO, 25,4 MM X 3,17 MM (L X E), 1,27KG/M</t>
  </si>
  <si>
    <t xml:space="preserve">CANTONEIRA (ABAS IGUAIS) EM ACO CARBONO, 38,1 MM X 3,17 MM (L X E), 3,48 KG/M</t>
  </si>
  <si>
    <t xml:space="preserve">CANTONEIRA (ABAS IGUAIS) EM ACO CARBONO, 50,8 MM X 9,53 MM (L X E), 6,99 KG/M</t>
  </si>
  <si>
    <t xml:space="preserve">CANTONEIRA ACO ABAS IGUAIS (QUALQUER BITOLA), ESPESSURA ENTRE 1/8" E 1/4"</t>
  </si>
  <si>
    <t xml:space="preserve">CANTONEIRA EM ALUMINIO, ABAS IGUAIS, LARGURA DE 25,40 MM (1"), ESPESSURA DE 3,17 MM (1/8") E PESO LINEAR DE APROXIMADAMENTE 0,408 KG/M</t>
  </si>
  <si>
    <t xml:space="preserve">CANTONEIRA EM ALUMINIO, ABAS IGUAIS, LARGURA DE 25,40 MM (1"), ESPESSURA DE 4,76 MM (3/16") E PESO LINEAR DE APROXIMADAMENTE 0,593 KG/M</t>
  </si>
  <si>
    <t xml:space="preserve">CANTONEIRA EM ALUMINIO, ABAS IGUAIS, LARGURA DE 31,75 MM (1 1/4"), ESPESSURA DE 4,76 MM (3/16") E PESO LINEAR DE APROXIMADAMENTE 0,755 KG/M</t>
  </si>
  <si>
    <t xml:space="preserve">CANTONEIRA EM ALUMINIO, ABAS IGUAIS, LARGURA DE 38,10 MM (1 1/2"), ESPESSURA DE 4,76 MM (3/16") E PESO LINEAR DE APROXIMADAMENTE 0,915 KG/M</t>
  </si>
  <si>
    <t xml:space="preserve">CANTONEIRA EM ALUMINIO, ABAS IGUAIS, LARGURA DE 50,80 MM (2"), ESPESSURA DE 3,17 MM (1/8") E PESO LINEAR DE APROXIMADAMENTE 0,842 KG/M</t>
  </si>
  <si>
    <t xml:space="preserve">CANTONEIRA EM ALUMINIO, ABAS IGUAIS, LARGURA DE 50,80 MM (2"), ESPESSURA DE 6,35 MM (1/4") E PESO LINEAR DE APROXIMADAMENTE 1,630 KG/M</t>
  </si>
  <si>
    <t xml:space="preserve">CAP OU TAMPAO DE FERRO GALVANIZADO, COM ROSCA BSP, DE 1 1/2"</t>
  </si>
  <si>
    <t xml:space="preserve">CAP OU TAMPAO DE FERRO GALVANIZADO, COM ROSCA BSP, DE 1 1/4"</t>
  </si>
  <si>
    <t xml:space="preserve">CAP OU TAMPAO DE FERRO GALVANIZADO, COM ROSCA BSP, DE 1"</t>
  </si>
  <si>
    <t xml:space="preserve">CAP OU TAMPAO DE FERRO GALVANIZADO, COM ROSCA BSP, DE 1/2"</t>
  </si>
  <si>
    <t xml:space="preserve">CAP OU TAMPAO DE FERRO GALVANIZADO, COM ROSCA BSP, DE 1/4"</t>
  </si>
  <si>
    <t xml:space="preserve">CAP OU TAMPAO DE FERRO GALVANIZADO, COM ROSCA BSP, DE 2 1/2"</t>
  </si>
  <si>
    <t xml:space="preserve">CAP OU TAMPAO DE FERRO GALVANIZADO, COM ROSCA BSP, DE 2"</t>
  </si>
  <si>
    <t xml:space="preserve">CAP OU TAMPAO DE FERRO GALVANIZADO, COM ROSCA BSP, DE 3"</t>
  </si>
  <si>
    <t xml:space="preserve">CAP OU TAMPAO DE FERRO GALVANIZADO, COM ROSCA BSP, DE 3/4"</t>
  </si>
  <si>
    <t xml:space="preserve">CAP OU TAMPAO DE FERRO GALVANIZADO, COM ROSCA BSP, DE 3/8"</t>
  </si>
  <si>
    <t xml:space="preserve">CAP OU TAMPAO DE FERRO GALVANIZADO, COM ROSCA BSP, DE 4"</t>
  </si>
  <si>
    <t xml:space="preserve">CAP PPR DN 20 MM, PARA AGUA QUENTE PREDIAL</t>
  </si>
  <si>
    <t xml:space="preserve">CAP PPR DN 25 MM, PARA AGUA QUENTE PREDIAL</t>
  </si>
  <si>
    <t xml:space="preserve">CAP PVC, ROSCAVEL, 1", PARA AGUA FRIA PREDIAL</t>
  </si>
  <si>
    <t xml:space="preserve">CAP PVC, ROSCAVEL, 1/2", PARA AGUA FRIA PREDIAL</t>
  </si>
  <si>
    <t xml:space="preserve">CAP PVC, ROSCAVEL, 3/4", PARA AGUA FRIA PREDIAL</t>
  </si>
  <si>
    <t xml:space="preserve">CAP PVC, SERIE R, DN 100 MM, PARA ESGOTO PREDIAL</t>
  </si>
  <si>
    <t xml:space="preserve">CAP PVC, SERIE R, DN 150 MM, PARA ESGOTO PREDIAL</t>
  </si>
  <si>
    <t xml:space="preserve">CAP PVC, SERIE R, DN 75 MM, PARA ESGOTO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</si>
  <si>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</si>
  <si>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</si>
  <si>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</si>
  <si>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</si>
  <si>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</si>
  <si>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</si>
  <si>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</si>
  <si>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SOLDAVEL, DN 100 MM, SERIE NORMAL, PARA ESGOTO PREDIAL</t>
  </si>
  <si>
    <t xml:space="preserve">CAP PVC, SOLDAVEL, DN 50 MM, SERIE NORMAL, PARA ESGOTO PREDIAL</t>
  </si>
  <si>
    <t xml:space="preserve">CAP PVC, SOLDAVEL, DN 75 MM, SERIE NORMAL, PARA ESGOTO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</si>
  <si>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</si>
  <si>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</si>
  <si>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</si>
  <si>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</si>
  <si>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</si>
  <si>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</si>
  <si>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</si>
  <si>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</si>
  <si>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</si>
  <si>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</si>
  <si>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CAPTOR FRANKLIN (4 PONTAS), EM LATAO CROMADO, H = 300 MM, DUAS DESCIDAS</t>
  </si>
  <si>
    <t xml:space="preserve">CAPTOR FRANKLIN (4 PONTAS), EM LATAO CROMADO, H = 300 MM, UMA DESCIDA</t>
  </si>
  <si>
    <t xml:space="preserve">CAPTOR FRANKLIN (4 PONTAS), EM LATAO CROMADO, H = 350 MM, DUAS DESCIDAS</t>
  </si>
  <si>
    <t xml:space="preserve">CAPTOR FRANKLIN (4 PONTAS), EM LATAO CROMADO, H=350 MM, UMA DESCIDA</t>
  </si>
  <si>
    <t xml:space="preserve">CARENAGEM /TAMPA, EM PLASTICO, COR BRANCA, UTILIZADO EM KIT CHASSI METALICO PARA INSTAL. HIDRAULICA DE CUBA SIMPLES SEM MAQUINA DE LAVAR ROUPA, *355* X *670* MM (L X H) (COM FUROS E DEMAIS ENCAIXES)</t>
  </si>
  <si>
    <t xml:space="preserve">CARENAGEM /TAMPA, EM PLASTICO, COR BRANCA, UTILIZADO EM KIT CHASSI METALICO PARA INSTAL. HIDRAULICA DE TANQUE COM MAQUINA DE LAVAR ROUPA, *360* X *470* MM (L X H) (COM FUROS E DEMAIS ENCAIXES)</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</si>
  <si>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</si>
  <si>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</si>
  <si>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</si>
  <si>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</si>
  <si>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</si>
  <si>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 (MENSALISTA)</t>
  </si>
  <si>
    <t xml:space="preserve">CARPINTEIRO DE ESQUADRIAS (MENSALISTA)</t>
  </si>
  <si>
    <t xml:space="preserve">CARPINTEIRO DE FORMAS OU OFICIAL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</si>
  <si>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</si>
  <si>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</si>
  <si>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CARRINHO DE MAO, EM ACO, COM CAPACIDADE DE *45 A 65* L / *100* KG, PNEU COM CAMARA</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</si>
  <si>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</si>
  <si>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</si>
  <si>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</si>
  <si>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</si>
  <si>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</si>
  <si>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</si>
  <si>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</si>
  <si>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</si>
  <si>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*80000* KG, POTENCIA *380* CV (INCLUI CABINE E CHASSI, NAO INCLUI SEMIRREBOQUE)</t>
  </si>
  <si>
    <t xml:space="preserve">CAVALO MECANICO TRACAO 4X2, PESO BRUTO TOTAL COMBINADO 49000 KG, CAPACIDADE MAXIMA DE TRACAO *66000* KG, POTENCIA *360*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</si>
  <si>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</si>
  <si>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 (HORISTA)</t>
  </si>
  <si>
    <t xml:space="preserve">CAVOUQUEIRO OU OPERADOR DE PERFURATRIZ / ROMPEDOR (MENSALISTA)</t>
  </si>
  <si>
    <t xml:space="preserve">CENTRO DE MEDICAO AGRUPADA, EM POLICARBONATO / PVC, COM 12 MEDIDORES E PROTECAO GERAL (INCLUI BARRAMENTO, DISJUNTORES E ACESSORIOS DE FIXACAO) (PADRAO CONCESSIONARIA LOCAL)</t>
  </si>
  <si>
    <t xml:space="preserve">CENTRO DE MEDICAO AGRUPADA, EM POLICARBONATO / PVC, COM 16 MEDIDORES E PROTECAO GERAL (INCLUI BARRAMENTO, DISJUNTORES E ACESSORIOS DE FIXACAO) (PADRAO CONCESSIONARIA LOCAL)</t>
  </si>
  <si>
    <t xml:space="preserve">CENTRO DE MEDICAO AGRUPADA, EM POLICARBONATO / PVC, COM 4 MEDIDORES E PROTECAO GERAL (INCLUI BARRAMENTO, DISJUNTORES E ACESSORIOS DE FIXACAO) (PADRAO CONCESSIONARIA LOCAL)</t>
  </si>
  <si>
    <t xml:space="preserve">CENTRO DE MEDICAO AGRUPADA, EM POLICARBONATO / PVC, COM 8 MEDIDORES E PROTECAO GERAL (INCLUI BARRAMENTO, DISJUNTORES E ACESSORIOS DE FIXACAO) (PADRAO CONCESSIONARIA LOCAL)</t>
  </si>
  <si>
    <t xml:space="preserve">CERA LIQUIDA INCOLOR MULTIPISO</t>
  </si>
  <si>
    <t xml:space="preserve">CHAPA ACO INOX AISI 304 NUMERO 4 (E = 6 MM), ACABAMENTO NUMERO 1 (LAMINADO A QUENTE, FOSCO)</t>
  </si>
  <si>
    <t xml:space="preserve">CHAPA DE ACO CARBONO GALVANIZADA, PERFURADA (GRADE FUROS) E = 1,5 MM, DIAMETRO DO FURO = 9,52 MM (FUROS ALTERNADOS HORIZ.)</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</si>
  <si>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</si>
  <si>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</si>
  <si>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</si>
  <si>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</si>
  <si>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13, E = 2,25 MM (18,00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</si>
  <si>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</si>
  <si>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</si>
  <si>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</si>
  <si>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FINA A QUENTE BITOLA MSG 3/16", E = 4,75 MM (38,00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</si>
  <si>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</si>
  <si>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</si>
  <si>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</si>
  <si>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</si>
  <si>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</si>
  <si>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24, E = 0,64 (5,12 KG/M2)</t>
  </si>
  <si>
    <t xml:space="preserve">CHAPA DE ACO GALVANIZADA BITOLA GSG 26, E = 0,50 MM (4,00 KG/M2)</t>
  </si>
  <si>
    <t xml:space="preserve">CHAPA DE ACO GALVANIZADA BITOLA GSG 30, E = 0,35 MM (2,80 KG/M2)</t>
  </si>
  <si>
    <t xml:space="preserve">CHAPA DE ACO GROSSA, ASTM A36, E = 1" (25,40 MM) 199,18 KG/M2</t>
  </si>
  <si>
    <t xml:space="preserve">CHAPA DE ACO GROSSA, ASTM A36, E = 1/4" (6,35 MM) 49,79 KG/M2</t>
  </si>
  <si>
    <t xml:space="preserve">CHAPA DE ACO GROSSA, ASTM A36, E = 3/4" (19,05 MM) 149,39 KG/M2</t>
  </si>
  <si>
    <t xml:space="preserve">CHAPA DE ACO GROSSA, ASTM A36, E = 5/8" (15,88 MM) 124,49 KG/M2</t>
  </si>
  <si>
    <t xml:space="preserve">CHAPA DE ACO GROSSA, ASTM A36, E = 7/8" (22,23 MM) 174,28 KG/M2</t>
  </si>
  <si>
    <t xml:space="preserve">CHAPA DE ACO GROSSA, SAE 1020, BITOLA 1/4", E = 6,35 MM (49,85 KG/M2)</t>
  </si>
  <si>
    <t xml:space="preserve">CHAPA DE ACO XADREZ PARA PISOS, E = 1/4" (6,30 MM) 54,53 KG/M2</t>
  </si>
  <si>
    <t xml:space="preserve">CHAPA DE LAMINADO MELAMINICO, LISO BRILHANTE, DE 1,25 X 3,08 METROS, ESPESSURA = 0,8 MILIMETROS</t>
  </si>
  <si>
    <t xml:space="preserve">CHAPA DE LAMINADO MELAMINICO, LISO FOSCO, DE 1,25 X 3,08 METROS, ESPESSURA = 0,8 MILIMETROS</t>
  </si>
  <si>
    <t xml:space="preserve">CHAPA DE LAMINADO MELAMINICO, TEXTURIZADO, DE 1,25 X 3,08 METROS, ESPESSURA = 0,8 MILIMETROS</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</si>
  <si>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</si>
  <si>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</si>
  <si>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</si>
  <si>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</si>
  <si>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</si>
  <si>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</si>
  <si>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</si>
  <si>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</si>
  <si>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</si>
  <si>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</si>
  <si>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</si>
  <si>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</si>
  <si>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</si>
  <si>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</si>
  <si>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</si>
  <si>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</si>
  <si>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</si>
  <si>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</si>
  <si>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</si>
  <si>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CHAPA EM ACO GALVANIZADO PARA STEEL DECK, COM NERVURAS TRAPEZOIDAIS, LARGURA UTIL DE 915 MM E ESPESSURA DE 0,80 MM</t>
  </si>
  <si>
    <t xml:space="preserve">CHAPA EM ACO GALVANIZADO PARA STEEL DECK, COM NERVURAS TRAPEZOIDAIS, LARGURA UTIL DE 915 MM E ESPESSURA DE 0,95 MM</t>
  </si>
  <si>
    <t xml:space="preserve">CHAPA EM ACO GALVANIZADO PARA STEEL DECK, COM NERVURAS TRAPEZOIDAIS, LARGURA UTIL DE 915 MM E ESPESSURA DE 1,25 MM</t>
  </si>
  <si>
    <t xml:space="preserve">CHAPA/BOBINA LISA EM ALUMINIO, LIGA 1.200 - H14, QUALQUER ESPESSURA, QUALQUER LARGURA</t>
  </si>
  <si>
    <t xml:space="preserve">CHAPA/PAINEL DE MADEIRA COMPENSADA PLASTIFICADA (MADEIRITE PLASTIFICADO) PARA FORMA DE CONCRETO, DE 2200 X 1100 MM, E = 10 MM</t>
  </si>
  <si>
    <t xml:space="preserve">CHAPA/PAINEL DE MADEIRA COMPENSADA PLASTIFICADA (MADEIRITE PLASTIFICADO) PARA FORMA DE CONCRETO, DE 2200 X 1100 MM, E = 12 MM</t>
  </si>
  <si>
    <t xml:space="preserve">CHAPA/PAINEL DE MADEIRA COMPENSADA PLASTIFICADA (MADEIRITE PLASTIFICADO) PARA FORMA DE CONCRETO, DE 2200 X 1100 MM, E = 14 MM</t>
  </si>
  <si>
    <t xml:space="preserve">CHAPA/PAINEL DE MADEIRA COMPENSADA PLASTIFICADA (MADEIRITE PLASTIFICADO) PARA FORMA DE CONCRETO, DE 2200 X 1100 MM, E = 20 MM</t>
  </si>
  <si>
    <t xml:space="preserve">CHAPA/PAINEL DE MADEIRA COMPENSADA PLASTIFICADA (MADEIRITE PLASTIFICADO) PARA FORMA DE CONCRETO, DE 2200 X 1100 MM, E = 6 MM</t>
  </si>
  <si>
    <t xml:space="preserve">CHAPA/PAINEL DE MADEIRA COMPENSADA RESINADA (MADEIRITE RESINADO ROSA) PARA FORMA DE CONCRETO, DE 2200 X 1100 MM, E = 14 MM</t>
  </si>
  <si>
    <t xml:space="preserve">CHAPA/PAINEL DE MADEIRA COMPENSADA RESINADA (MADEIRITE RESINADO ROSA) PARA FORMA DE CONCRETO, DE 2200 X 1100 MM, E = 8 A 12 MM</t>
  </si>
  <si>
    <t xml:space="preserve">CHUMBADOR DE ACO GALVANIZADO, 1" X 600 MM, PARA POSTES DE ACO COM BASE, INCLUSO PORCA E ARRUELA</t>
  </si>
  <si>
    <t xml:space="preserve">CHUMBADOR DE ACO TIPO PARABOLT, * 5/8" X 200* MM, COM PORCA E ARRUELA</t>
  </si>
  <si>
    <t xml:space="preserve">CHUMBADOR DE ACO ZINCADO, DIAMETRO 1/2", COMPRIMENTO 75 MM</t>
  </si>
  <si>
    <t xml:space="preserve">CHUVEIRO COMUM EM PLASTICO BRANCO, COM CANO, 3 TEMPERATURAS, 5500 W (110/220 V)</t>
  </si>
  <si>
    <t xml:space="preserve">CHUVEIRO COMUM EM PLASTICO CROMADO, COM CANO, 4 TEMPERATURAS (110/220 V)</t>
  </si>
  <si>
    <t xml:space="preserve">CIMENTO BRANCO NAO ESTRUTURAL (CPB - NAO ESTRUTURAL)</t>
  </si>
  <si>
    <t xml:space="preserve">CIMENTO IMPERMEABILIZANTE DE PEGA ULTRARRAPIDA PARA TAMPONAMENTOS</t>
  </si>
  <si>
    <t xml:space="preserve">CIMENTO PORTLAND DE ALTO FORNO (AF) CP III-40</t>
  </si>
  <si>
    <t xml:space="preserve">CIMENTO PORTLAND ESTRUTURAL BRANCO CPB - 32 OU CPB - 40</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</si>
  <si>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</si>
  <si>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</si>
  <si>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</si>
  <si>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CINTURAO DE SEGURANCA TIPO PARAQUEDISTA, FIVELA EM ACO, AJUSTE NO SUSPENSORIO, CINTURA E PERNAS</t>
  </si>
  <si>
    <t xml:space="preserve">COBRE ELETROLITICO EM BARRA OU CHAPA</t>
  </si>
  <si>
    <t xml:space="preserve">COLA A BASE DE RESINA SINTETICA PARA CHAPA DE LAMINADO MELAMINICO E OUTROS</t>
  </si>
  <si>
    <t xml:space="preserve">COLA BRANCA BASE PVA</t>
  </si>
  <si>
    <t xml:space="preserve">COLA PARA TUBOS E MANTAS ELASTOMERICAS, A BASE DE SOLVENTE</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</si>
  <si>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</si>
  <si>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</si>
  <si>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</si>
  <si>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</si>
  <si>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</si>
  <si>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</si>
  <si>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</si>
  <si>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</si>
  <si>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</si>
  <si>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60 MM X 1/2" OU 60 MM X 3/4", PARA LIGACAO PREDIAL DE AGUA</t>
  </si>
  <si>
    <t xml:space="preserve">COMPACTADOR DE SOLO TIPO PLACA VIBRATORIA REVERSIVEL, A GASOLINA 4 TEMPOS, PESO 150 A 175 KG, FORCA CENTRIF. 2800 A 3100 KGF, LARG. TRABALHO DE 450 A 520 MM, FREQ. VIBRACAO 4000 A 4300 RPM, VELOC. TRABALHO DE 15 A 20 M/MIN, POT. DE 6,0 A 7,0 HP</t>
  </si>
  <si>
    <t xml:space="preserve">COMPACTADOR DE SOLO, TIPO PLACA VIBRATORIA NAO REVERSIVEL, A GASOLINA 4 TEMPOS, PESO 80 A 120 KG, FORCA CENTRIF. DE 1300 A 2000 KGF, LARG. TRABALHO DE 400 A 500 MM, FREQ. VIBRACAO DE 4800 A 6000 RPM, VELOCIDADE TRABALHO DE 20 A 30 M/MIN, POT. DE 5,0 A 6,0 HP</t>
  </si>
  <si>
    <t xml:space="preserve">COMPACTADOR DE SOLO, TIPO PLACA VIBRATORIA REVERSIVEL, A DIESEL, PESO 700 A 820 KG, FORCA CENTRIF. DE 6.200 A 10.000 KGF, LARG. TRABALHO DE 650 A 720 MM, FREQ. VIBRACAO DE 3.000 A 3.500 RPM, VELOCIDADE TRABALHO DE 25 A 30 M/MIN, POT. DE 13,0 A 15,0 HP</t>
  </si>
  <si>
    <t xml:space="preserve">COMPACTADOR DE SOLO, TIPO PLACA VIBRATORIA REVERSIVEL, A GASOLINA 4 TEMPOS, PESO 160 A 265 KG, FORCA CENTRIF. DE 2750 A 4000 KGF, LARG. TRABALHO DE 430 A 550 MM, FREQ. VIBRACAO DE 4000 A 5500 RPM, VELOCIDADE TRABALHO DE 20 A 25 M/MIN, POT. DE 7,5 A 9,0 HP</t>
  </si>
  <si>
    <t xml:space="preserve">COMPENSADO NAVAL - CHAPA/PAINEL EM MADEIRA COMPENSADA PRENSADA, DE 2200 X 1600 MM, E = 12 MM</t>
  </si>
  <si>
    <t xml:space="preserve">COMPENSADO NAVAL - CHAPA/PAINEL EM MADEIRA COMPENSADA PRENSADA, DE 2200 X 1600 MM, E = 15 MM</t>
  </si>
  <si>
    <t xml:space="preserve">COMPENSADO NAVAL - CHAPA/PAINEL EM MADEIRA COMPENSADA PRENSADA, DE 2200 X 1600 MM, E = 18 MM</t>
  </si>
  <si>
    <t xml:space="preserve">COMPENSADO NAVAL - CHAPA/PAINEL EM MADEIRA COMPENSADA PRENSADA, DE 2200 X 1600 MM, E = 20 MM</t>
  </si>
  <si>
    <t xml:space="preserve">COMPENSADO NAVAL - CHAPA/PAINEL EM MADEIRA COMPENSADA PRENSADA, DE 2200 X 1600 MM, E = 25 MM</t>
  </si>
  <si>
    <t xml:space="preserve">COMPENSADO NAVAL - CHAPA/PAINEL EM MADEIRA COMPENSADA PRENSADA, DE 2200 X 1600 MM, E = 4 MM</t>
  </si>
  <si>
    <t xml:space="preserve">COMPENSADO NAVAL - CHAPA/PAINEL EM MADEIRA COMPENSADA PRENSADA, DE 2200 X 1600 MM, E = 6 MM</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</si>
  <si>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</si>
  <si>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</si>
  <si>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</si>
  <si>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</si>
  <si>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152 PCM, PRESSAO EFETIVA DE TRABALHO 102 PSI, MOTOR DIESEL, POTENCIA 31,5 KW</t>
  </si>
  <si>
    <t xml:space="preserve">COMPRESSOR DE AR REBOCAVEL, VAZAO 250 PCM, PRESSAO EFETIVA DE TRABALHO 102 PSI, MOTOR DIESEL, POTENCIA 81 CV</t>
  </si>
  <si>
    <t xml:space="preserve">CONCERTINA CLIPADA (DUPLA) EM ACO GALVANIZADO DE ALTA RESISTENCIA, COM ESPIRAL DE 300 MM, D = 2,76 MM</t>
  </si>
  <si>
    <t xml:space="preserve">CONCERTINA SIMPLES EM ACO GALVANIZADO DE ALTA RESISTENCIA, COM ESPIRAL DE 300 MM, D = 2,76 MM</t>
  </si>
  <si>
    <t xml:space="preserve">CONCRETO AUTOADENSAVEL (CAA) CLASSE DE RESISTENCIA C15, ESPALHAMENTO SF2, COM BOMBEAMENTO (DISPONIBILIZACAO DE BOMBA), SEM O LANCAMENTO (NBR 15823)</t>
  </si>
  <si>
    <t xml:space="preserve">CONCRETO AUTOADENSAVEL (CAA) CLASSE DE RESISTENCIA C20, ESPALHAMENTO SF2, COM BOMBEAMENTO (DISPONIBILIZACAO DE BOMBA), SEM O LANCAMENTO (NBR 15823)</t>
  </si>
  <si>
    <t xml:space="preserve">CONCRETO AUTOADENSAVEL (CAA) CLASSE DE RESISTENCIA C25, ESPALHAMENTO SF2, COM BOMBEAMENTO (DISPONIBILIZACAO DE BOMBA), SEM O LANCAMENTO (NBR 15823)</t>
  </si>
  <si>
    <t xml:space="preserve">CONCRETO AUTOADENSAVEL (CAA) CLASSE DE RESISTENCIA C30, ESPALHAMENTO SF2, COM BOMBEAMENTO (DISPONIBILIZACAO DE BOMBA), SEM O LANCAMENTO (NBR 15823)</t>
  </si>
  <si>
    <t xml:space="preserve">CONCRETO BETUMINOSO USINADO A QUENTE (CBUQ) PARA PAVIMENTACAO ASFALTICA, PADRAO DNIT, FAIXA C, COM CAP 30/45 - AQUISICAO POSTO USINA</t>
  </si>
  <si>
    <t xml:space="preserve">T</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</si>
  <si>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</si>
  <si>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</si>
  <si>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BRITA 0 E 1, SLUMP = 100 +/- 20 MM, COM BOMBEAMENTO (DISPONIBILIZACAO DE BOMBA), SEM O LANCAMENTO (NBR 8953)</t>
  </si>
  <si>
    <t xml:space="preserve">CONCRETO USINADO BOMBEAVEL, CLASSE DE RESISTENCIA C20, COM BRITA 0 E 1, SLUMP = 100 +/- 20 MM, EXCLUI SERVICO DE BOMBEAMENTO (NBR 8953)</t>
  </si>
  <si>
    <t xml:space="preserve">CONCRETO USINADO BOMBEAVEL, CLASSE DE RESISTENCIA C20, COM BRITA 0 E 1, SLUMP = 130 +/- 20 MM, EXCLUI SERVICO DE BOMBEAMENTO (NBR 8953)</t>
  </si>
  <si>
    <t xml:space="preserve">CONCRETO USINADO BOMBEAVEL, CLASSE DE RESISTENCIA C20, COM BRITA 0 E 1, SLUMP = 190 +/- 20 MM, COM BOMBEAMENTO (DISPONIBILIZACAO DE BOMBA), SEM O LANCAMENTO (NBR 8953)</t>
  </si>
  <si>
    <t xml:space="preserve">CONCRETO USINADO BOMBEAVEL, CLASSE DE RESISTENCIA C20, COM BRITA 0, SLUMP = 220 +/- 20 MM, COM BOMBEAMENTO (DISPONIBILIZACAO DE BOMBA), SEM O LANCAMENTO (NBR 8953)</t>
  </si>
  <si>
    <t xml:space="preserve">CONCRETO USINADO BOMBEAVEL, CLASSE DE RESISTENCIA C25, COM BRITA 0 E 1, SLUMP = 100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</si>
  <si>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</si>
  <si>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</si>
  <si>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</si>
  <si>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</si>
  <si>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C30, COM BRITA 0 E 1, SLUMP = 220 +/- 30 MM, EXCLUI SERVICO DE BOMBEAMENTO (NBR 8953)</t>
  </si>
  <si>
    <t xml:space="preserve">CONCRETO USINADO BOMBEAVEL, CLASSE DE RESISTENCIA C35, COM BRITA 0 E 1, SLUMP = 100 +/- 20 MM, EXCLUI SERVICO DE BOMBEAMENTO (NBR 8953)</t>
  </si>
  <si>
    <t xml:space="preserve">CONCRETO USINADO BOMBEAVEL, CLASSE DE RESISTENCIA C40, BRITA 0 E 1, SLUMP = 100 +/- 20 MM, COM BOMBEAMENTO (DISPONIBILIZACAO DE BOMBA), SEM O LANCAMENTO (NBR 8953)</t>
  </si>
  <si>
    <t xml:space="preserve">CONCRETO USINADO BOMBEAVEL, CLASSE DE RESISTENCIA C40, COM BRITA 0 E 1, SLUMP = 100 +/- 20 MM, EXCLUI SERVICO DE BOMBEAMENTO (NBR 8953)</t>
  </si>
  <si>
    <t xml:space="preserve">CONCRETO USINADO BOMBEAVEL, CLASSE DE RESISTENCIA C45, BRITA 0 E 1, SLUMP = 100 +/- 20 MM, COM BOMBEAMENTO (DISPONIBILIZACAO DE BOMBA), SEM O LANCAMENTO (NBR 8953)</t>
  </si>
  <si>
    <t xml:space="preserve">CONCRETO USINADO BOMBEAVEL, CLASSE DE RESISTENCIA C50, BRITA 0 E 1, SLUMP = 100 +/- 20 MM, COM BOMBEAMENTO (DISPONIBILIZACAO DE BOMBA), SEM O LANCAMENTO (NBR 8953)</t>
  </si>
  <si>
    <t xml:space="preserve">CONCRETO USINADO BOMBEAVEL, CLASSE DE RESISTENCIA C60, COM BRITA 0 E 1, SLUMP = 100 +/- 20 MM, COM BOMBEAMENTO (DISPONIBILIZACAO DE BOMBA), SEM O LANCAMENTO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</si>
  <si>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</si>
  <si>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</si>
  <si>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 COM TAMPA CEGA</t>
  </si>
  <si>
    <t xml:space="preserve">CONDULETE DE ALUMINIO TIPO B, PARA ELETRODUTO ROSCAVEL DE 1/2", COM TAMPA CEGA</t>
  </si>
  <si>
    <t xml:space="preserve">CONDULETE DE ALUMINIO TIPO B, PARA ELETRODUTO ROSCAVEL DE 3/4", COM TAMPA CEGA</t>
  </si>
  <si>
    <t xml:space="preserve">CONDULETE DE ALUMINIO TIPO C, PARA ELETRODUTO ROSCAVEL DE 1", COM TAMPA CEGA</t>
  </si>
  <si>
    <t xml:space="preserve">CONDULETE DE ALUMINIO TIPO C, PARA ELETRODUTO ROSCAVEL DE 1/2",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</si>
  <si>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</si>
  <si>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</si>
  <si>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1/2", COM TAMPA CEGA</t>
  </si>
  <si>
    <t xml:space="preserve">CONDULETE DE ALUMINIO TIPO E, PARA ELETRODUTO ROSCAVEL DE 1 1/4", COM TAMPA CEGA</t>
  </si>
  <si>
    <t xml:space="preserve">CONDULETE DE ALUMINIO TIPO E, PARA ELETRODUTO ROSCAVEL DE 1", COM TAMPA CEGA</t>
  </si>
  <si>
    <t xml:space="preserve">CONDULETE DE ALUMINIO TIPO E, PARA ELETRODUTO ROSCAVEL DE 1/2", COM TAMPA CEGA</t>
  </si>
  <si>
    <t xml:space="preserve">CONDULETE DE ALUMINIO TIPO E, PARA ELETRODUTO ROSCAVEL DE 2", COM TAMPA CEGA</t>
  </si>
  <si>
    <t xml:space="preserve">CONDULETE DE ALUMINIO TIPO E, PARA ELETRODUTO ROSCAVEL DE 3", COM TAMPA CEGA</t>
  </si>
  <si>
    <t xml:space="preserve">CONDULETE DE ALUMINIO TIPO E, PARA ELETRODUTO ROSCAVEL DE 3/4",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</si>
  <si>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</si>
  <si>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</si>
  <si>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</si>
  <si>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 COM TAMPA CEGA</t>
  </si>
  <si>
    <t xml:space="preserve">CONDULETE DE ALUMINIO TIPO LR, PARA ELETRODUTO ROSCAVEL DE 1/2", COM TAMPA CEGA</t>
  </si>
  <si>
    <t xml:space="preserve">CONDULETE DE ALUMINIO TIPO LR, PARA ELETRODUTO ROSCAVEL DE 2", COM TAMPA CEGA</t>
  </si>
  <si>
    <t xml:space="preserve">CONDULETE DE ALUMINIO TIPO LR, PARA ELETRODUTO ROSCAVEL DE 3", COM TAMPA CEGA</t>
  </si>
  <si>
    <t xml:space="preserve">CONDULETE DE ALUMINIO TIPO LR, PARA ELETRODUTO ROSCAVEL DE 3/4",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</si>
  <si>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</si>
  <si>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</si>
  <si>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</si>
  <si>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 COM TAMPA CEGA</t>
  </si>
  <si>
    <t xml:space="preserve">CONDULETE DE ALUMINIO TIPO T, PARA ELETRODUTO ROSCAVEL DE 1/2", COM TAMPA CEGA</t>
  </si>
  <si>
    <t xml:space="preserve">CONDULETE DE ALUMINIO TIPO T, PARA ELETRODUTO ROSCAVEL DE 2", COM TAMPA CEGA</t>
  </si>
  <si>
    <t xml:space="preserve">CONDULETE DE ALUMINIO TIPO T, PARA ELETRODUTO ROSCAVEL DE 3", COM TAMPA CEGA</t>
  </si>
  <si>
    <t xml:space="preserve">CONDULETE DE ALUMINIO TIPO T, PARA ELETRODUTO ROSCAVEL DE 3/4",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</si>
  <si>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</si>
  <si>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</si>
  <si>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</si>
  <si>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</si>
  <si>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 COM TAMPA CEGA</t>
  </si>
  <si>
    <t xml:space="preserve">CONDULETE DE ALUMINIO TIPO X, PARA ELETRODUTO ROSCAVEL DE 1/2", COM TAMPA CEGA</t>
  </si>
  <si>
    <t xml:space="preserve">CONDULETE DE ALUMINIO TIPO X, PARA ELETRODUTO ROSCAVEL DE 2", COM TAMPA CEGA</t>
  </si>
  <si>
    <t xml:space="preserve">CONDULETE DE ALUMINIO TIPO X, PARA ELETRODUTO ROSCAVEL DE 3", COM TAMPA CEGA</t>
  </si>
  <si>
    <t xml:space="preserve">CONDULETE DE ALUMINIO TIPO X, PARA ELETRODUTO ROSCAVEL DE 3/4", COM TAMPA CEGA</t>
  </si>
  <si>
    <t xml:space="preserve">CONDULETE DE ALUMINIO TIPO X, PARA ELETRODUTO ROSCAVEL DE 4", COM TAMPA CEGA</t>
  </si>
  <si>
    <t xml:space="preserve">CONDULETE EM PVC, TIPO "B", SEM TAMPA, DE 1"</t>
  </si>
  <si>
    <t xml:space="preserve">CONDULETE EM PVC, TIPO "B", SEM TAMPA, DE 1/2" OU 3/4"</t>
  </si>
  <si>
    <t xml:space="preserve">CONDULETE EM PVC, TIPO "C", SEM TAMPA, DE 1"</t>
  </si>
  <si>
    <t xml:space="preserve">CONDULETE EM PVC, TIPO "C", SEM TAMPA, DE 1/2"</t>
  </si>
  <si>
    <t xml:space="preserve">CONDULETE EM PVC, TIPO "C", SEM TAMPA, DE 3/4"</t>
  </si>
  <si>
    <t xml:space="preserve">CONDULETE EM PVC, TIPO "E", SEM TAMPA, DE 1"</t>
  </si>
  <si>
    <t xml:space="preserve">CONDULETE EM PVC, TIPO "E", SEM TAMPA, DE 1/2"</t>
  </si>
  <si>
    <t xml:space="preserve">CONDULETE EM PVC, TIPO "E", SEM TAMPA, DE 3/4"</t>
  </si>
  <si>
    <t xml:space="preserve">CONDULETE EM PVC, TIPO "LB", SEM TAMPA, DE 1"</t>
  </si>
  <si>
    <t xml:space="preserve">CONDULETE EM PVC, TIPO "LB", SEM TAMPA, DE 1/2" OU 3/4"</t>
  </si>
  <si>
    <t xml:space="preserve">CONDULETE EM PVC, TIPO "LL", SEM TAMPA, DE 1"</t>
  </si>
  <si>
    <t xml:space="preserve">CONDULETE EM PVC, TIPO "LL", SEM TAMPA, DE 1/2" OU 3/4"</t>
  </si>
  <si>
    <t xml:space="preserve">CONDULETE EM PVC, TIPO "LR", SEM TAMPA, DE 1"</t>
  </si>
  <si>
    <t xml:space="preserve">CONDULETE EM PVC, TIPO "LR", SEM TAMPA, DE 1/2"</t>
  </si>
  <si>
    <t xml:space="preserve">CONDULETE EM PVC, TIPO "LR", SEM TAMPA, DE 3/4"</t>
  </si>
  <si>
    <t xml:space="preserve">CONDULETE EM PVC, TIPO "T", SEM TAMPA, DE 1"</t>
  </si>
  <si>
    <t xml:space="preserve">CONDULETE EM PVC, TIPO "T", SEM TAMPA, DE 3/4"</t>
  </si>
  <si>
    <t xml:space="preserve">CONDULETE EM PVC, TIPO "TB", SEM TAMPA, DE 1"</t>
  </si>
  <si>
    <t xml:space="preserve">CONDULETE EM PVC, TIPO "TB", SEM TAMPA, DE 1/2" OU 3/4"</t>
  </si>
  <si>
    <t xml:space="preserve">CONDULETE EM PVC, TIPO "X", SEM TAMPA, DE 1"</t>
  </si>
  <si>
    <t xml:space="preserve">CONDULETE EM PVC, TIPO "X", SEM TAMPA, DE 1/2"</t>
  </si>
  <si>
    <t xml:space="preserve">CONDUTOR PLUVIAL, PVC, CIRCULAR, DIAMETRO ENTRE 80 E 100 MM, PARA DRENAGEM PLUVIAL PREDIAL</t>
  </si>
  <si>
    <t xml:space="preserve">CONE DE SINALIZACAO EM PVC FLEXIVEL, H = 70 / 76 CM (NBR 15071)</t>
  </si>
  <si>
    <t xml:space="preserve">CONE DE SINALIZACAO EM PVC RIGIDO COM FAIXA REFLETIVA, H = 70 / 76 CM</t>
  </si>
  <si>
    <t xml:space="preserve">CONECTOR / ADAPTADOR F/F, COM INSERTO METALICO, PPR, DN 25 MM X 1/2", PARA AGUA QUENTE E FRIA PREDIAL</t>
  </si>
  <si>
    <t xml:space="preserve">CONECTOR / ADAPTADOR F/F, COM INSERTO METALICO, PPR, DN 32 MM X 3/4", PARA AGUA QUENTE E FRIA PREDIAL</t>
  </si>
  <si>
    <t xml:space="preserve">CONECTOR / ADAPTADOR F/M, COM INSERTO METALICO, PPR, DN 25 MM X 1/2", PARA AGUA QUENTE E FRIA PREDIAL</t>
  </si>
  <si>
    <t xml:space="preserve">CONECTOR / ADAPTADOR F/M, COM INSERTO METALICO, PPR, DN 25 MM X 3/4", PARA AGUA QUENTE E FRIA PREDIAL</t>
  </si>
  <si>
    <t xml:space="preserve">CONECTOR / ADAPTADOR F/M, COM INSERTO METALICO, PPR, DN 32 MM X 1", PARA AGUA QUENTE E FRIA PREDIAL</t>
  </si>
  <si>
    <t xml:space="preserve">CONECTOR / ADAPTADOR F/M, COM INSERTO METALICO, PPR, DN 32 MM X 3/4", PARA AGUA QUENTE E FRIA PREDIAL</t>
  </si>
  <si>
    <t xml:space="preserve">CONECTOR / TOMADA FEMEA RJ 45, CATEGORIA 5 E (CAT 5E) PARA CABOS</t>
  </si>
  <si>
    <t xml:space="preserve">CONECTOR / TOMADA FEMEA RJ 45, CATEGORIA 6 (CAT 6) PARA CABOS</t>
  </si>
  <si>
    <t xml:space="preserve">CONECTOR BRONZE/LATAO SEM ANEL DE SOLDA, BOLSA X ROSCA F, 15 MM X 1/2"</t>
  </si>
  <si>
    <t xml:space="preserve">CONECTOR BRONZE/LATAO SEM ANEL DE SOLDA, BOLSA X ROSCA F, 22 MM X 1/2"</t>
  </si>
  <si>
    <t xml:space="preserve">CONECTOR BRONZE/LATAO SEM ANEL DE SOLDA, BOLSA X ROSCA F, 22 MM X 3/4"</t>
  </si>
  <si>
    <t xml:space="preserve">CONECTOR BRONZE/LATAO SEM ANEL DE SOLDA, BOLSA X ROSCA F, 28 MM X 1/2"</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</si>
  <si>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</si>
  <si>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</si>
  <si>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 PARA ADAPTAR ENTRADA DE ELETRODUTO METALICO FLEXIVEL EM QUADROS</t>
  </si>
  <si>
    <t xml:space="preserve">CONECTOR CURVO 90 GRAUS DE ALUMINIO, BITOLA 1/2",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</si>
  <si>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</si>
  <si>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</si>
  <si>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 PARA ADAPTAR ENTRADA DE ELETRODUTO METALICO FLEXIVEL EM QUADROS</t>
  </si>
  <si>
    <t xml:space="preserve">CONECTOR CURVO 90 GRAUS DE ALUMINIO, BITOLA 3/4",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</si>
  <si>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</si>
  <si>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</si>
  <si>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</si>
  <si>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 PARA CABOS DE DIAMETRO DE 22,5 A 25 MM</t>
  </si>
  <si>
    <t xml:space="preserve">CONECTOR DE ALUMINIO TIPO PRENSA CABO, BITOLA 1/2", PARA CABOS DE DIAMETRO DE 12,5 A 15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</si>
  <si>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</si>
  <si>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</si>
  <si>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</si>
  <si>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MACHO RJ 45, CATEGORIA 5 E (CAT 5E) PARA CABOS</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</si>
  <si>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</si>
  <si>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</si>
  <si>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</si>
  <si>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</si>
  <si>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</si>
  <si>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</si>
  <si>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</si>
  <si>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</si>
  <si>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</si>
  <si>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</si>
  <si>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</si>
  <si>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</si>
  <si>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</si>
  <si>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</si>
  <si>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</si>
  <si>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 PARA ADAPTAR ENTRADA DE ELETRODUTO METALICO FLEXIVEL EM QUADROS</t>
  </si>
  <si>
    <t xml:space="preserve">CONECTOR RETO DE ALUMINIO PARA ELETRODUTO DE 1/2", PARA ADAPTAR ENTRADA DE ELETRODUTO METALICO FLEXIVEL EM QUADROS</t>
  </si>
  <si>
    <t xml:space="preserve">CONECTOR RETO DE ALUMINIO PARA ELETRODUTO DE 2 1/2", PARA ADAPTAR ENTRADA DE ELETRODUTO METALICO FLEXIVEL EM QUADROS</t>
  </si>
  <si>
    <t xml:space="preserve">CONECTOR RETO DE ALUMINIO PARA ELETRODUTO DE 2", PARA ADAPTAR ENTRADA DE ELETRODUTO METALICO FLEXIVEL EM QUADROS</t>
  </si>
  <si>
    <t xml:space="preserve">CONECTOR RETO DE ALUMINIO PARA ELETRODUTO DE 3", PARA ADAPTAR ENTRADA DE ELETRODUTO METALICO FLEXIVEL EM QUADROS</t>
  </si>
  <si>
    <t xml:space="preserve">CONECTOR RETO DE ALUMINIO PARA ELETRODUTO DE 3/4", PARA ADAPTAR ENTRADA DE ELETRODUTO METALICO FLEXIVEL EM QUADROS</t>
  </si>
  <si>
    <t xml:space="preserve">CONECTOR RETO DE ALUMINIO PARA ELETRODUTO DE 4", PARA ADAPTAR ENTRADA DE ELETRODUTO METALICO FLEXIVEL EM QUADROS</t>
  </si>
  <si>
    <t xml:space="preserve">CONECTOR, CPVC, SOLDAVEL, 114 MM X 4", PARA AGUA QUENTE</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</si>
  <si>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</si>
  <si>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</si>
  <si>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</si>
  <si>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</si>
  <si>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</si>
  <si>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</si>
  <si>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CONECTOR, CPVC, SOLDAVEL, 54 MM X 2", PARA AGUA QUENTE</t>
  </si>
  <si>
    <t xml:space="preserve">CONECTOR, CPVC, SOLDAVEL, 73 MM X 2 1/2", PARA AGUA QUENTE</t>
  </si>
  <si>
    <t xml:space="preserve">CONECTOR, CPVC, SOLDAVEL, 89 MM X 3", PARA AGUA QUENTE</t>
  </si>
  <si>
    <t xml:space="preserve">CONECTOR/ADAPTADOR FIXO, ROSCA FEMEA, EM PLASTICO, DN 16 MM X 1/2", PARA CONEXAO COM CRIMPAGEM, EM TUBO PEX PARA INST. AGUA QUENTE/FRIA</t>
  </si>
  <si>
    <t xml:space="preserve">CONECTOR/ADAPTADOR FIXO, ROSCA FEMEA, EM PLASTICO, DN 20 MM X 3/4", PARA CONEXAO COM CRIMPAGEM, EM TUBO PEX PARA INST. AGUA QUENTE/FRIA</t>
  </si>
  <si>
    <t xml:space="preserve">CONECTOR/ADAPTADOR FIXO, ROSCA FEMEA, EM PLASTICO, DN 25 MM X 3/4", PARA CONEXAO COM CRIMPAGEM, EM TUBO PEX PARA INST. AGUA QUENTE/FRIA</t>
  </si>
  <si>
    <t xml:space="preserve">CONECTOR/ADAPTADOR FIXO, ROSCA FEMEA, METALICA, COM ANEL DESLIZANTE, DN 16 MM X 1/2", PARA TUBO PEX PARA INST. AGUA QUENTE/FRIA</t>
  </si>
  <si>
    <t xml:space="preserve">CONECTOR/ADAPTADOR FIXO, ROSCA FEMEA, METALICA, COM ANEL DESLIZANTE, DN 20 MM X 1/2", PARA TUBO PEX PARA INST. AGUA QUENTE/FRIA</t>
  </si>
  <si>
    <t xml:space="preserve">CONECTOR/ADAPTADOR FIXO, ROSCA FEMEA, METALICA, COM ANEL DESLIZANTE, DN 20 MM X 3/4", PARA TUBO PEX PARA INST. AGUA QUENTE/FRIA</t>
  </si>
  <si>
    <t xml:space="preserve">CONECTOR/ADAPTADOR FIXO, ROSCA FEMEA, METALICA, COM ANEL DESLIZANTE, DN 25 MM X 1", PARA TUBO PEX PARA INST. AGUA QUENTE/FRIA</t>
  </si>
  <si>
    <t xml:space="preserve">CONECTOR/ADAPTADOR FIXO, ROSCA FEMEA, METALICA, COM ANEL DESLIZANTE, DN 25 MM X 3/4", PARA TUBO PEX PARA INST. AGUA QUENTE/FRIA</t>
  </si>
  <si>
    <t xml:space="preserve">CONECTOR/ADAPTADOR FIXO, ROSCA FEMEA, METALICA, COM ANEL DESLIZANTE, DN 32 MM X 1", PARA TUBO PEX PARA INST. AGUA QUENTE/FRIA</t>
  </si>
  <si>
    <t xml:space="preserve">CONECTOR/ADAPTADOR MOVEL, ROSCA FEMEA, METALICA, COM ANEL DESLIZANTE, DN 16 MM X 3/4", PARA TUBO PEX PARA INST. AGUA QUENTE/FRIA</t>
  </si>
  <si>
    <t xml:space="preserve">CONJUNTO DE FERRAGENS PIVO, PARA PORTA PIVOTANTE DE ATE 100 KG, REGULAVEL COM ESFERA, CROMADO - SUPERIOR E INFERIOR - COMPLETO</t>
  </si>
  <si>
    <t xml:space="preserve">CONJUNTO DE LIGACAO PARA VASO / BACIA SANITARIA, EM PLASTICO BRANCO, COM TUBO, CANOPLA E ANEL DE EXPANSAO (TUBO 1.1/2" X 20 CM)</t>
  </si>
  <si>
    <t xml:space="preserve">CONJUNTO MONTADO ESTOPIM COM ESPOLETA COMUM NUMERO 8, COM CABECA ACENDEDORA, 1,5 M</t>
  </si>
  <si>
    <t xml:space="preserve">CONJUNTO PARA FUTSAL COM PAR DE TRAVES OFICIAIS DE 3,00 X 2,00 M EM TUBO DE ACO GALVANIZADO 3" COM REQUADROS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</si>
  <si>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</si>
  <si>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CONJUNTO PRE-MOLDADO COMPOSTO POR GRELHA (0,99 X 0,45 M), QUADRO (1,10 X 0,52 M) E CANTONEIRA (1,10 X 0,35 M), EM CONCRETO ARMADO, COM FCK DE 21 MPA</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</si>
  <si>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</si>
  <si>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</si>
  <si>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</si>
  <si>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</si>
  <si>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</si>
  <si>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</si>
  <si>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</si>
  <si>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</si>
  <si>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</si>
  <si>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</si>
  <si>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</si>
  <si>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</si>
  <si>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</si>
  <si>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</si>
  <si>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</si>
  <si>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</si>
  <si>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</si>
  <si>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</si>
  <si>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</si>
  <si>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</si>
  <si>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CONTRAMARCO DE ALUMINIO (PERFIL 25) PARA ESQUADRIAS, TIPO CONVENCIONAL / CADEIRINHA, 60 MM (CM-060), INCLUSO CONEXOES, GRAPAS E TRAVAMENTOS</t>
  </si>
  <si>
    <t xml:space="preserve">CORDA DE POLIAMIDA 12 MM TIPO BOMBEIRO, PARA TRABALHO EM ALTURA</t>
  </si>
  <si>
    <t xml:space="preserve">100M</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</si>
  <si>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</si>
  <si>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</si>
  <si>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</si>
  <si>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</si>
  <si>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</si>
  <si>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</si>
  <si>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</si>
  <si>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</si>
  <si>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COROA PARA PERFURATRIZ T38, D = 2 1/2", 6 X 4 BOTOES BALISTICOS, FACE PLANA</t>
  </si>
  <si>
    <t xml:space="preserve">CORRENTE DE ELO CURTO COMUM, SOLDADA, GALVANIZADA, ESPESSURA DO ELO = 1/2" (12,5 MM)</t>
  </si>
  <si>
    <t xml:space="preserve">CORTADEIRA HIDRAULICA DE VERGALHAO, PARA ACO DE DIAMETRO ATE 50 MM, MOTOR ELETRICO TRIFASICO, POTENCIA DE 5,5 HP A 7,5 HP</t>
  </si>
  <si>
    <t xml:space="preserve">COTOVELO 45 GRAUS DE FERRO GALVANIZADO, COM ROSCA BSP, DE 1 1/2"</t>
  </si>
  <si>
    <t xml:space="preserve">COTOVELO 45 GRAUS DE FERRO GALVANIZADO, COM ROSCA BSP, DE 1 1/4"</t>
  </si>
  <si>
    <t xml:space="preserve">COTOVELO 45 GRAUS DE FERRO GALVANIZADO, COM ROSCA BSP, DE 1"</t>
  </si>
  <si>
    <t xml:space="preserve">COTOVELO 45 GRAUS DE FERRO GALVANIZADO, COM ROSCA BSP, DE 1/2"</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</si>
  <si>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</si>
  <si>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</si>
  <si>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</si>
  <si>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</si>
  <si>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</si>
  <si>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</si>
  <si>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</si>
  <si>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</si>
  <si>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</si>
  <si>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</si>
  <si>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</si>
  <si>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t>
  </si>
  <si>
    <t xml:space="preserve">COTOVELO 90 GRAUS DE FERRO GALVANIZADO, COM ROSCA BSP MACHO/FEMEA, DE 1/2"</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</si>
  <si>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</si>
  <si>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</si>
  <si>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t>
  </si>
  <si>
    <t xml:space="preserve">COTOVELO 90 GRAUS DE FERRO GALVANIZADO, COM ROSCA BSP MACHO/FEMEA, DE 3/4"</t>
  </si>
  <si>
    <t xml:space="preserve">COTOVELO 90 GRAUS DE FERRO GALVANIZADO, COM ROSCA BSP, DE 1 1/2"</t>
  </si>
  <si>
    <t xml:space="preserve">COTOVELO 90 GRAUS DE FERRO GALVANIZADO, COM ROSCA BSP, DE 1 1/4"</t>
  </si>
  <si>
    <t xml:space="preserve">COTOVELO 90 GRAUS DE FERRO GALVANIZADO, COM ROSCA BSP, DE 1"</t>
  </si>
  <si>
    <t xml:space="preserve">COTOVELO 90 GRAUS DE FERRO GALVANIZADO, COM ROSCA BSP, DE 1/2"</t>
  </si>
  <si>
    <t xml:space="preserve">COTOVELO 90 GRAUS DE FERRO GALVANIZADO, COM ROSCA BSP, DE 2"</t>
  </si>
  <si>
    <t xml:space="preserve">COTOVELO 90 GRAUS DE FERRO GALVANIZADO, COM ROSCA BSP, DE 3/4"</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</si>
  <si>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</si>
  <si>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</si>
  <si>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</si>
  <si>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</si>
  <si>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</si>
  <si>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</si>
  <si>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</si>
  <si>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</si>
  <si>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 BRONZE/LATAO SEM ANEL DE SOLDA, BOLSA X ROSCA F, 15MM X 1/2"</t>
  </si>
  <si>
    <t xml:space="preserve">COTOVELO BRONZE/LATAO SEM ANEL DE SOLDA, BOLSA X ROSCA F, 22MM X 1/2"</t>
  </si>
  <si>
    <t xml:space="preserve">COTOVELO BRONZE/LATAO SEM ANEL DE SOLDA, BOLSA X ROSCA F, 22MM X 3/4"</t>
  </si>
  <si>
    <t xml:space="preserve">COTOVELO DE COBRE 90 GRAUS SEM ANEL DE SOLDA, BOLSA X BOLSA, 104 MM</t>
  </si>
  <si>
    <t xml:space="preserve">COTOVELO DE COBRE 90 GRAUS SEM ANEL DE SOLDA, BOLSA X BOLSA, 15 MM</t>
  </si>
  <si>
    <t xml:space="preserve">COTOVELO DE COBRE 90 GRAUS SEM ANEL DE SOLDA, BOLSA X BOLSA, 22 MM</t>
  </si>
  <si>
    <t xml:space="preserve">COTOVELO DE COBRE 90 GRAUS SEM ANEL DE SOLDA, BOLSA X BOLSA, 28 MM</t>
  </si>
  <si>
    <t xml:space="preserve">COTOVELO DE COBRE 90 GRAUS SEM ANEL DE SOLDA, BOLSA X BOLSA, 35 MM</t>
  </si>
  <si>
    <t xml:space="preserve">COTOVELO DE COBRE 90 GRAUS SEM ANEL DE SOLDA, BOLSA X BOLSA, 42 MM</t>
  </si>
  <si>
    <t xml:space="preserve">COTOVELO DE COBRE 90 GRAUS SEM ANEL DE SOLDA, BOLSA X BOLSA, 54 MM</t>
  </si>
  <si>
    <t xml:space="preserve">COTOVELO DE COBRE 90 GRAUS SEM ANEL DE SOLDA, BOLSA X BOLSA, 66 MM</t>
  </si>
  <si>
    <t xml:space="preserve">COTOVELO DE COBRE 90 GRAUS SEM ANEL DE SOLDA, BOLSA X BOLSA, 79 MM</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</si>
  <si>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</si>
  <si>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</si>
  <si>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</si>
  <si>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</si>
  <si>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</si>
  <si>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</si>
  <si>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</si>
  <si>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</si>
  <si>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COTOVELO/JOELHO 90 GRAUS, EM POLIPROPILENO, PN 16, PARA TUBOS PEAD, 20 X 20 MM - LIGACAO PREDIAL DE AGUA</t>
  </si>
  <si>
    <t xml:space="preserve">COTOVELO/JOELHO 90 GRAUS, EM POLIPROPILENO, PN 16, PARA TUBOS PEAD, 32 X 32 MM - LIGACAO PREDIAL DE AGUA</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</si>
  <si>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</si>
  <si>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</si>
  <si>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</si>
  <si>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CREMONA RETANGULAR INJETADA LISA COM CHAVE, COM CASTANHA / ALCA, EM LATAO, COM ACABAMENTO CROMADO, DE SOBREPOR / EMBUTIR</t>
  </si>
  <si>
    <t xml:space="preserve">CREMONA RETANGULAR INJETADA LISA, COM CASTANHA / ALCA, EM LATAO, COM ACABAMENTO CROMADO, DE SOBREPOR / EMBUTIR</t>
  </si>
  <si>
    <t xml:space="preserve">CRUZETA DE CONCRETO LEVE, COMP. 2000 MM SECAO, 90 X 90 MM</t>
  </si>
  <si>
    <t xml:space="preserve">CRUZETA DE FERRO GALVANIZADO, COM ROSCA BSP, DE 1 1/2"</t>
  </si>
  <si>
    <t xml:space="preserve">CRUZETA DE FERRO GALVANIZADO, COM ROSCA BSP, DE 1 1/4"</t>
  </si>
  <si>
    <t xml:space="preserve">CRUZETA DE FERRO GALVANIZADO, COM ROSCA BSP, DE 1"</t>
  </si>
  <si>
    <t xml:space="preserve">CRUZETA DE FERRO GALVANIZADO, COM ROSCA BSP, DE 1/2"</t>
  </si>
  <si>
    <t xml:space="preserve">CRUZETA DE FERRO GALVANIZADO, COM ROSCA BSP, DE 2 1/2"</t>
  </si>
  <si>
    <t xml:space="preserve">CRUZETA DE FERRO GALVANIZADO, COM ROSCA BSP, DE 2"</t>
  </si>
  <si>
    <t xml:space="preserve">CRUZETA DE FERRO GALVANIZADO, COM ROSCA BSP, DE 3"</t>
  </si>
  <si>
    <t xml:space="preserve">CRUZETA DE FERRO GALVANIZADO, COM ROSCA BSP, DE 3/4"</t>
  </si>
  <si>
    <t xml:space="preserve">CRUZETA DE MADEIRA TRATADA, *90 X 115 X 2400* MM, EM EUCALIPTO OU EQUIVALENTE DA REGIAO</t>
  </si>
  <si>
    <t xml:space="preserve">CUBA ACO INOX (AISI 304) DE EMBUTIR COM VALVULA 3 1/2 ", DE *40 X 34 X 12* CM</t>
  </si>
  <si>
    <t xml:space="preserve">CUBA ACO INOX (AISI 304) DE EMBUTIR COM VALVULA DE 3 1/2 ", DE *56 X 33 X 12* CM</t>
  </si>
  <si>
    <t xml:space="preserve">CUMEEIRA ARTICULADA (ABA INFERIOR) PARA TELHA ONDULADA DE FIBROCIMENTO E = 4 MM, ABA *330* MM, COMPRIMENTO 500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</si>
  <si>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</si>
  <si>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</si>
  <si>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</si>
  <si>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PARA TELHA DE CONCRETO, PARA 2 AGUAS DE TELHADO, COR CINZA, RENDIMENTO DE *3* TELHAS/M</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</si>
  <si>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</si>
  <si>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</si>
  <si>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135 GRAUS PARA ELETRODUTO, EM ACO GALVANIZADO ELETROLITICO, COM ROSCA, DIAMETRO DE 100 MM (4")</t>
  </si>
  <si>
    <t xml:space="preserve">CURVA 135 GRAUS PARA ELETRODUTO, EM ACO GALVANIZADO ELETROLITICO, COM ROSCA, DIAMETRO DE 15 MM (1/2"), ESPESSURA DE 1,50 MM</t>
  </si>
  <si>
    <t xml:space="preserve">CURVA 135 GRAUS PARA ELETRODUTO, EM ACO GALVANIZADO ELETROLITICO, COM ROSCA, DIAMETRO DE 20 MM (3/4"), ESPESSURA DE 1,50 MM</t>
  </si>
  <si>
    <t xml:space="preserve">CURVA 135 GRAUS PARA ELETRODUTO, EM ACO GALVANIZADO ELETROLITICO, COM ROSCA, DIAMETRO DE 25 MM (1"), ESPESSURA DE 1,50 MM</t>
  </si>
  <si>
    <t xml:space="preserve">CURVA 135 GRAUS PARA ELETRODUTO, EM ACO GALVANIZADO ELETROLITICO, COM ROSCA, DIAMETRO DE 32 MM (1 1/4"), ESPESSURA DE 1,50 MM</t>
  </si>
  <si>
    <t xml:space="preserve">CURVA 135 GRAUS PARA ELETRODUTO, EM ACO GALVANIZADO ELETROLITICO, COM ROSCA, DIAMETRO DE 40 MM (1 1/2"), ESPESSURA DE 1,50 MM</t>
  </si>
  <si>
    <t xml:space="preserve">CURVA 135 GRAUS PARA ELETRODUTO, EM ACO GALVANIZADO ELETROLITICO, COM ROSCA, DIAMETRO DE 50 MM (2")</t>
  </si>
  <si>
    <t xml:space="preserve">CURVA 135 GRAUS PARA ELETRODUTO, EM ACO GALVANIZADO ELETROLITICO, COM ROSCA, DIAMETRO DE 65 MM (2 1/2")</t>
  </si>
  <si>
    <t xml:space="preserve">CURVA 135 GRAUS PARA ELETRODUTO, EM ACO GALVANIZADO ELETROLITICO, COM ROSCA, DIAMETRO DE 80 MM (3")</t>
  </si>
  <si>
    <t xml:space="preserve">CURVA 135 GRAUS, DE PVC RIGIDO ROSCAVEL, DE 1", PARA ELETRODUTO</t>
  </si>
  <si>
    <t xml:space="preserve">CURVA 135 GRAUS, DE PVC RIGIDO ROSCAVEL, DE 3/4", PARA ELETRODUTO</t>
  </si>
  <si>
    <t xml:space="preserve">CURVA 180 GRAUS, DE PVC RIGIDO ROSCAVEL, DE 1 1/2", PARA ELETRODUTO</t>
  </si>
  <si>
    <t xml:space="preserve">CURVA 180 GRAUS, DE PVC RIGIDO ROSCAVEL, DE 1 1/4", PARA ELETRODUTO</t>
  </si>
  <si>
    <t xml:space="preserve">CURVA 180 GRAUS, DE PVC RIGIDO ROSCAVEL, DE 1", PARA ELETRODUTO</t>
  </si>
  <si>
    <t xml:space="preserve">CURVA 180 GRAUS, DE PVC RIGIDO ROSCAVEL, DE 1/2", PARA ELETRODUTO</t>
  </si>
  <si>
    <t xml:space="preserve">CURVA 180 GRAUS, DE PVC RIGIDO ROSCAVEL, DE 2", PARA ELETRODUTO</t>
  </si>
  <si>
    <t xml:space="preserve">CURVA 180 GRAUS, DE PVC RIGIDO ROSCAVEL, DE 3/4", PARA ELETRODUTO</t>
  </si>
  <si>
    <t xml:space="preserve">CURVA 45 GRAUS DE COBRE SEM ANEL DE SOLDA, BOLSA X BOLSA, 15 MM</t>
  </si>
  <si>
    <t xml:space="preserve">CURVA 45 GRAUS DE COBRE SEM ANEL DE SOLDA, BOLSA X BOLSA, 22 MM</t>
  </si>
  <si>
    <t xml:space="preserve">CURVA 45 GRAUS DE COBRE SEM ANEL DE SOLDA, BOLSA X BOLSA, 28 MM</t>
  </si>
  <si>
    <t xml:space="preserve">CURVA 45 GRAUS DE COBRE SEM ANEL DE SOLDA, BOLSA X BOLSA, 35 MM</t>
  </si>
  <si>
    <t xml:space="preserve">CURVA 45 GRAUS DE COBRE SEM ANEL DE SOLDA, BOLSA X BOLSA, 42 MM</t>
  </si>
  <si>
    <t xml:space="preserve">CURVA 45 GRAUS DE COBRE SEM ANEL DE SOLDA, BOLSA X BOLSA, 54 MM</t>
  </si>
  <si>
    <t xml:space="preserve">CURVA 45 GRAUS DE COBRE SEM ANEL DE SOLDA, BOLSA X BOLSA, 66 MM</t>
  </si>
  <si>
    <t xml:space="preserve">CURVA 45 GRAUS DE FERRO GALVANIZADO, COM ROSCA BSP FEMEA, DE 1 1/2"</t>
  </si>
  <si>
    <t xml:space="preserve">CURVA 45 GRAUS DE FERRO GALVANIZADO, COM ROSCA BSP FEMEA, DE 1 1/4"</t>
  </si>
  <si>
    <t xml:space="preserve">CURVA 45 GRAUS DE FERRO GALVANIZADO, COM ROSCA BSP FEMEA, DE 1"</t>
  </si>
  <si>
    <t xml:space="preserve">CURVA 45 GRAUS DE FERRO GALVANIZADO, COM ROSCA BSP FEMEA, DE 1/2"</t>
  </si>
  <si>
    <t xml:space="preserve">CURVA 45 GRAUS DE FERRO GALVANIZADO, COM ROSCA BSP FEMEA, DE 2 1/2"</t>
  </si>
  <si>
    <t xml:space="preserve">CURVA 45 GRAUS DE FERRO GALVANIZADO, COM ROSCA BSP FEMEA, DE 2"</t>
  </si>
  <si>
    <t xml:space="preserve">CURVA 45 GRAUS DE FERRO GALVANIZADO, COM ROSCA BSP FEMEA, DE 3"</t>
  </si>
  <si>
    <t xml:space="preserve">CURVA 45 GRAUS DE FERRO GALVANIZADO, COM ROSCA BSP FEMEA, DE 3/4"</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</si>
  <si>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</si>
  <si>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</si>
  <si>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</si>
  <si>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t>
  </si>
  <si>
    <t xml:space="preserve">CURVA 45 GRAUS DE FERRO GALVANIZADO, COM ROSCA BSP MACHO/FEMEA, DE 1/2"</t>
  </si>
  <si>
    <t xml:space="preserve">CURVA 45 GRAUS DE FERRO GALVANIZADO, COM ROSCA BSP MACHO/FEMEA, DE 2 1/2"</t>
  </si>
  <si>
    <t xml:space="preserve">CURVA 45 GRAUS DE FERRO GALVANIZADO, COM ROSCA BSP MACHO/FEMEA, DE 2"</t>
  </si>
  <si>
    <t xml:space="preserve">CURVA 45 GRAUS DE FERRO GALVANIZADO, COM ROSCA BSP MACHO/FEMEA, DE 3"</t>
  </si>
  <si>
    <t xml:space="preserve">CURVA 45 GRAUS DE FERRO GALVANIZADO, COM ROSCA BSP MACHO/FEMEA, DE 3/4"</t>
  </si>
  <si>
    <t xml:space="preserve">CURVA 45 GRAUS EM ACO CARBONO, SOLDAVEL, PRESSAO 3.000 LBS, DN 1 1/2"</t>
  </si>
  <si>
    <t xml:space="preserve">CURVA 45 GRAUS EM ACO CARBONO, SOLDAVEL, PRESSAO 3.000 LBS, DN 1 1/4"</t>
  </si>
  <si>
    <t xml:space="preserve">CURVA 45 GRAUS EM ACO CARBONO, SOLDAVEL, PRESSAO 3.000 LBS, DN 1"</t>
  </si>
  <si>
    <t xml:space="preserve">CURVA 45 GRAUS EM ACO CARBONO, SOLDAVEL, PRESSAO 3.000 LBS, DN 1/2"</t>
  </si>
  <si>
    <t xml:space="preserve">CURVA 45 GRAUS EM ACO CARBONO, SOLDAVEL, PRESSAO 3.000 LBS, DN 2 1/2"</t>
  </si>
  <si>
    <t xml:space="preserve">CURVA 45 GRAUS EM ACO CARBONO, SOLDAVEL, PRESSAO 3.000 LBS, DN 2"</t>
  </si>
  <si>
    <t xml:space="preserve">CURVA 45 GRAUS EM ACO CARBONO, SOLDAVEL, PRESSAO 3.000 LBS, DN 3"</t>
  </si>
  <si>
    <t xml:space="preserve">CURVA 45 GRAUS EM ACO CARBONO, SOLDAVEL, PRESSAO 3.000 LBS, DN 3/4"</t>
  </si>
  <si>
    <t xml:space="preserve">CURVA 45 GRAUS PARA ELETRODUTO, EM ACO GALVANIZADO ELETROLITICO, COM ROSCA, DIAMETRO DE 20 MM (3/4"), ESPESSURA DE 1,50 MM</t>
  </si>
  <si>
    <t xml:space="preserve">CURVA 45 GRAUS PARA ELETRODUTO, EM ACO GALVANIZADO ELETROLITICO, COM ROSCA, DIAMETRO DE 25 MM (1"), ESPESSURA DE 1,50 MM</t>
  </si>
  <si>
    <t xml:space="preserve">CURVA 45 GRAUS PARA ELETRODUTO, EM ACO GALVANIZADO ELETROLITICO, COM ROSCA, DIAMETRO DE 40 MM (1 1/2"), ESPESSURA DE 1,50 MM</t>
  </si>
  <si>
    <t xml:space="preserve">CURVA 45 GRAUS RANHURADA EM FERRO FUNDIDO, DN 50 MM (2")</t>
  </si>
  <si>
    <t xml:space="preserve">CURVA 45 GRAUS RANHURADA EM FERRO FUNDIDO, DN 65 MM (2 1/2")</t>
  </si>
  <si>
    <t xml:space="preserve">CURVA 45 GRAUS RANHURADA EM FERRO FUNDIDO, DN 80 MM (3")</t>
  </si>
  <si>
    <t xml:space="preserve">CURVA 90 GRAUS DE BARRA CHATA EM ALUMINIO 3/4" X 1/4" X 300 MM</t>
  </si>
  <si>
    <t xml:space="preserve">CURVA 90 GRAUS DE FERRO GALVANIZADO, COM ROSCA BSP FEMEA, DE 1 1/2"</t>
  </si>
  <si>
    <t xml:space="preserve">CURVA 90 GRAUS DE FERRO GALVANIZADO, COM ROSCA BSP FEMEA, DE 1 1/4"</t>
  </si>
  <si>
    <t xml:space="preserve">CURVA 90 GRAUS DE FERRO GALVANIZADO, COM ROSCA BSP FEMEA, DE 1"</t>
  </si>
  <si>
    <t xml:space="preserve">CURVA 90 GRAUS DE FERRO GALVANIZADO, COM ROSCA BSP FEMEA, DE 1/2"</t>
  </si>
  <si>
    <t xml:space="preserve">CURVA 90 GRAUS DE FERRO GALVANIZADO, COM ROSCA BSP FEMEA, DE 2 1/2"</t>
  </si>
  <si>
    <t xml:space="preserve">CURVA 90 GRAUS DE FERRO GALVANIZADO, COM ROSCA BSP FEMEA, DE 2"</t>
  </si>
  <si>
    <t xml:space="preserve">CURVA 90 GRAUS DE FERRO GALVANIZADO, COM ROSCA BSP FEMEA, DE 3"</t>
  </si>
  <si>
    <t xml:space="preserve">CURVA 90 GRAUS DE FERRO GALVANIZADO, COM ROSCA BSP FEMEA, DE 3/4"</t>
  </si>
  <si>
    <t xml:space="preserve">CURVA 90 GRAUS DE FERRO GALVANIZADO, COM ROSCA BSP FEMEA, DE 4"</t>
  </si>
  <si>
    <t xml:space="preserve">CURVA 90 GRAUS DE FERRO GALVANIZADO, COM ROSCA BSP MACHO, DE 1 1/2"</t>
  </si>
  <si>
    <t xml:space="preserve">CURVA 90 GRAUS DE FERRO GALVANIZADO, COM ROSCA BSP MACHO, DE 1 1/4"</t>
  </si>
  <si>
    <t xml:space="preserve">CURVA 90 GRAUS DE FERRO GALVANIZADO, COM ROSCA BSP MACHO, DE 1"</t>
  </si>
  <si>
    <t xml:space="preserve">CURVA 90 GRAUS DE FERRO GALVANIZADO, COM ROSCA BSP MACHO, DE 1/2"</t>
  </si>
  <si>
    <t xml:space="preserve">CURVA 90 GRAUS DE FERRO GALVANIZADO, COM ROSCA BSP MACHO, DE 2 1/2"</t>
  </si>
  <si>
    <t xml:space="preserve">CURVA 90 GRAUS DE FERRO GALVANIZADO, COM ROSCA BSP MACHO, DE 2"</t>
  </si>
  <si>
    <t xml:space="preserve">CURVA 90 GRAUS DE FERRO GALVANIZADO, COM ROSCA BSP MACHO, DE 3"</t>
  </si>
  <si>
    <t xml:space="preserve">CURVA 90 GRAUS DE FERRO GALVANIZADO, COM ROSCA BSP MACHO, DE 3/4"</t>
  </si>
  <si>
    <t xml:space="preserve">CURVA 90 GRAUS DE FERRO GALVANIZADO, COM ROSCA BSP MACHO, DE 4"</t>
  </si>
  <si>
    <t xml:space="preserve">CURVA 90 GRAUS DE FERRO GALVANIZADO, COM ROSCA BSP MACHO, DE 6"</t>
  </si>
  <si>
    <t xml:space="preserve">CURVA 90 GRAUS DE FERRO GALVANIZADO, COM ROSCA BSP MACHO/FEMEA, DE 1 1/2"</t>
  </si>
  <si>
    <t xml:space="preserve">CURVA 90 GRAUS DE FERRO GALVANIZADO, COM ROSCA BSP MACHO/FEMEA, DE 1 1/4"</t>
  </si>
  <si>
    <t xml:space="preserve">CURVA 90 GRAUS DE FERRO GALVANIZADO, COM ROSCA BSP MACHO/FEMEA, DE 1"</t>
  </si>
  <si>
    <t xml:space="preserve">CURVA 90 GRAUS DE FERRO GALVANIZADO, COM ROSCA BSP MACHO/FEMEA, DE 1/2"</t>
  </si>
  <si>
    <t xml:space="preserve">CURVA 90 GRAUS DE FERRO GALVANIZADO, COM ROSCA BSP MACHO/FEMEA, DE 2 1/2"</t>
  </si>
  <si>
    <t xml:space="preserve">CURVA 90 GRAUS DE FERRO GALVANIZADO, COM ROSCA BSP MACHO/FEMEA, DE 2"</t>
  </si>
  <si>
    <t xml:space="preserve">CURVA 90 GRAUS DE FERRO GALVANIZADO, COM ROSCA BSP MACHO/FEMEA, DE 3"</t>
  </si>
  <si>
    <t xml:space="preserve">CURVA 90 GRAUS DE FERRO GALVANIZADO, COM ROSCA BSP MACHO/FEMEA, DE 3/4"</t>
  </si>
  <si>
    <t xml:space="preserve">CURVA 90 GRAUS DE FERRO GALVANIZADO, COM ROSCA BSP MACHO/FEMEA, DE 4"</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</si>
  <si>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</si>
  <si>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</si>
  <si>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t>
  </si>
  <si>
    <t xml:space="preserve">CURVA 90 GRAUS EM ACO CARBONO, RAIO CURTO, SOLDAVEL, PRESSAO 3.000 LBS, DN 1/2"</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</si>
  <si>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</si>
  <si>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</si>
  <si>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t>
  </si>
  <si>
    <t xml:space="preserve">CURVA 90 GRAUS EM ACO CARBONO, RAIO CURTO, SOLDAVEL, PRESSAO 3.000 LBS, DN 3/4"</t>
  </si>
  <si>
    <t xml:space="preserve">CURVA 90 GRAUS PARA ELETRODUTO, EM ACO GALVANIZADO ELETROLITICO, COM ROSCA, DIAMETRO DE 100 MM (4")</t>
  </si>
  <si>
    <t xml:space="preserve">CURVA 90 GRAUS PARA ELETRODUTO, EM ACO GALVANIZADO ELETROLITICO, COM ROSCA, DIAMETRO DE 15 MM (1/2"), ESPESSURA DE 1,50 MM</t>
  </si>
  <si>
    <t xml:space="preserve">CURVA 90 GRAUS PARA ELETRODUTO, EM ACO GALVANIZADO ELETROLITICO, COM ROSCA, DIAMETRO DE 20 MM (3/4"), ESPESSURA DE 1,50 MM</t>
  </si>
  <si>
    <t xml:space="preserve">CURVA 90 GRAUS PARA ELETRODUTO, EM ACO GALVANIZADO ELETROLITICO, COM ROSCA, DIAMETRO DE 32 MM (1 1/4"), ESPESSURA DE 1,50 MM</t>
  </si>
  <si>
    <t xml:space="preserve">CURVA 90 GRAUS PARA ELETRODUTO, EM ACO GALVANIZADO ELETROLITICO, COM ROSCA, DIAMETRO DE 40 MM (1 1/2"), ESPESSURA DE 1,50 MM</t>
  </si>
  <si>
    <t xml:space="preserve">CURVA 90 GRAUS PARA ELETRODUTO, EM ACO GALVANIZADO ELETROLITICO, COM ROSCA, DIAMETRO DE 50 MM (2")</t>
  </si>
  <si>
    <t xml:space="preserve">CURVA 90 GRAUS PARA ELETRODUTO, EM ACO GALVANIZADO ELETROLITICO, COM ROSCA, DIAMETRO DE 65 MM (2 1/2")</t>
  </si>
  <si>
    <t xml:space="preserve">CURVA 90 GRAUS PARA ELETRODUTO, EM ACO GALVANIZADO ELETROLITICO, COM ROSCA, DIAMETRO DE 80 MM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</si>
  <si>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</si>
  <si>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</si>
  <si>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</si>
  <si>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 PARA ELETRODUTO</t>
  </si>
  <si>
    <t xml:space="preserve">CURVA 90 GRAUS, CURTA, DE PVC RIGIDO ROSCAVEL, DE 1/2",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</si>
  <si>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</si>
  <si>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</si>
  <si>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</si>
  <si>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 PARA ELETRODUTO</t>
  </si>
  <si>
    <t xml:space="preserve">CURVA 90 GRAUS, LONGA, DE PVC RIGIDO ROSCAVEL, DE 1/2", PARA ELETRODUTO</t>
  </si>
  <si>
    <t xml:space="preserve">CURVA 90 GRAUS, LONGA, DE PVC RIGIDO ROSCAVEL, DE 2 1/2", PARA ELETRODUTO</t>
  </si>
  <si>
    <t xml:space="preserve">CURVA 90 GRAUS, LONGA, DE PVC RIGIDO ROSCAVEL, DE 2", PARA ELETRODUTO</t>
  </si>
  <si>
    <t xml:space="preserve">CURVA 90 GRAUS, LONGA, DE PVC RIGIDO ROSCAVEL, DE 3", PARA ELETRODUTO</t>
  </si>
  <si>
    <t xml:space="preserve">CURVA 90 GRAUS, LONGA, DE PVC RIGIDO ROSCAVEL, DE 4", PARA ELETRODUTO</t>
  </si>
  <si>
    <t xml:space="preserve">CURVA CPVC, 90 GRAUS, SOLDAVEL, 15 MM, PARA AGUA QUENTE</t>
  </si>
  <si>
    <t xml:space="preserve">CURVA CPVC, 90 GRAUS, SOLDAVEL, 22 MM, PARA AGUA QUENTE</t>
  </si>
  <si>
    <t xml:space="preserve">CURVA CPVC, 90 GRAUS, SOLDAVEL, 28 MM, PARA AGUA QUENTE</t>
  </si>
  <si>
    <t xml:space="preserve">CURVA DE PVC 45 GRAUS, SOLDAVEL, 20 MM, COR MARROM, PARA AGUA FRIA PREDIAL</t>
  </si>
  <si>
    <t xml:space="preserve">CURVA DE PVC 45 GRAUS, SOLDAVEL, 25 MM, COR MARROM, PARA AGUA FRIA PREDIAL</t>
  </si>
  <si>
    <t xml:space="preserve">CURVA DE PVC 45 GRAUS, SOLDAVEL, 32 MM, COR MARROM, PARA AGUA FRIA PREDIAL</t>
  </si>
  <si>
    <t xml:space="preserve">CURVA DE PVC 45 GRAUS, SOLDAVEL, 40 MM, COR MARROM, PARA AGUA FRIA PREDIAL</t>
  </si>
  <si>
    <t xml:space="preserve">CURVA DE PVC 45 GRAUS, SOLDAVEL, 50 MM, COR MARROM, PARA AGUA FRIA PREDIAL</t>
  </si>
  <si>
    <t xml:space="preserve">CURVA DE PVC 45 GRAUS, SOLDAVEL, 60 MM, COR MARROM, PARA AGUA FRIA PREDIAL</t>
  </si>
  <si>
    <t xml:space="preserve">CURVA DE PVC 45 GRAUS, SOLDAVEL, 75 MM, COR MARROM, PARA AGUA FRIA PREDIAL</t>
  </si>
  <si>
    <t xml:space="preserve">CURVA DE PVC 45 GRAUS, SOLDAVEL, 85 MM, COR MARROM, PARA AGUA FRIA PREDIAL</t>
  </si>
  <si>
    <t xml:space="preserve">CURVA DE PVC 90 GRAUS, SOLDAVEL, 110 MM, COR MARROM, PARA AGUA FRIA PREDIAL</t>
  </si>
  <si>
    <t xml:space="preserve">CURVA DE PVC 90 GRAUS, SOLDAVEL, 20 MM, COR MARROM, PARA AGUA FRIA PREDIAL</t>
  </si>
  <si>
    <t xml:space="preserve">CURVA DE PVC 90 GRAUS, SOLDAVEL, 25 MM, COR MARROM, PARA AGUA FRIA PREDIAL</t>
  </si>
  <si>
    <t xml:space="preserve">CURVA DE PVC 90 GRAUS, SOLDAVEL, 32 MM, COR MARROM, PARA AGUA FRIA PREDIAL</t>
  </si>
  <si>
    <t xml:space="preserve">CURVA DE PVC 90 GRAUS, SOLDAVEL, 40 MM, COR MARROM, PARA AGUA FRIA PREDIAL</t>
  </si>
  <si>
    <t xml:space="preserve">CURVA DE PVC 90 GRAUS, SOLDAVEL, 50 MM, COR MARROM, PARA AGUA FRIA PREDIAL</t>
  </si>
  <si>
    <t xml:space="preserve">CURVA DE PVC 90 GRAUS, SOLDAVEL, 60 MM, COR MARROM, PARA AGUA FRIA PREDIAL</t>
  </si>
  <si>
    <t xml:space="preserve">CURVA DE PVC 90 GRAUS, SOLDAVEL, 75 MM, COR MARROM, PARA AGUA FRIA PREDIAL</t>
  </si>
  <si>
    <t xml:space="preserve">CURVA DE PVC 90 GRAUS, SOLDAVEL, 85 MM, COR MARROM, PARA AGUA FRIA PREDIAL</t>
  </si>
  <si>
    <t xml:space="preserve">CURVA DE PVC, 90 GRAUS, SERIE R, DN 100 MM, PARA ESGOTO PREDIAL</t>
  </si>
  <si>
    <t xml:space="preserve">CURVA DE TRANSPOSICAO BRONZE/LATAO SEM ANEL DE SOLDA, BOLSA X BOLSA, 15 MM</t>
  </si>
  <si>
    <t xml:space="preserve">CURVA DE TRANSPOSICAO BRONZE/LATAO SEM ANEL DE SOLDA, BOLSA X BOLSA, 22 MM</t>
  </si>
  <si>
    <t xml:space="preserve">CURVA DE TRANSPOSICAO BRONZE/LATAO SEM ANEL DE SOLDA, BOLSA X BOLSA, 28 MM</t>
  </si>
  <si>
    <t xml:space="preserve">CURVA DE TRANSPOSICAO, CPVC, SOLDAVEL, 15 MM</t>
  </si>
  <si>
    <t xml:space="preserve">CURVA DE TRANSPOSICAO, CPVC, SOLDAVEL, 22 MM</t>
  </si>
  <si>
    <t xml:space="preserve">CURVA DE TRANSPOSICAO, PVC SOLDAVEL, 20 MM, COR MARROM, PARA AGUA FRIA PREDIAL</t>
  </si>
  <si>
    <t xml:space="preserve">CURVA DE TRANSPOSICAO, PVC, SOLDAVEL, 25 MM, COR MARROM, PARA AGUA FRIA PREDIAL</t>
  </si>
  <si>
    <t xml:space="preserve">CURVA DE TRANSPOSICAO, PVC, SOLDAVEL, 32 MM, COR MARROM, PARA AGUA FRIA PREDIAL</t>
  </si>
  <si>
    <t xml:space="preserve">CURVA LONGA PVC, PB, JE, 45 GRAUS, DN 100 MM, PARA REDE COLETORA ESGOTO</t>
  </si>
  <si>
    <t xml:space="preserve">CURVA LONGA PVC, PB, JE, 45 GRAUS, DN 150 MM, PARA REDE COLETORA ESGOTO</t>
  </si>
  <si>
    <t xml:space="preserve">CURVA LONGA PVC, PB, JE, 90 GRAUS, DN 100 MM, PARA REDE COLETORA ESGOTO</t>
  </si>
  <si>
    <t xml:space="preserve">CURVA LONGA PVC, PB, JE, 90 GRAUS, DN 150 MM, PARA REDE COLETORA ESGOTO</t>
  </si>
  <si>
    <t xml:space="preserve">CURVA PPR 90 GRAUS, F/F, DN 20 MM, PARA AGUA QUENTE PREDIAL</t>
  </si>
  <si>
    <t xml:space="preserve">CURVA PPR 90 GRAUS, F/F, DN 25 MM, PARA AGUA QUENTE PREDIAL</t>
  </si>
  <si>
    <t xml:space="preserve">CURVA PVC 90 GRAUS, ROSCAVEL, 1 1/4", COR BRANCA, AGUA FRIA PREDIAL</t>
  </si>
  <si>
    <t xml:space="preserve">CURVA PVC 90 GRAUS, ROSCAVEL, 1", COR BRANCA, AGUA FRIA PREDIAL</t>
  </si>
  <si>
    <t xml:space="preserve">CURVA PVC 90 GRAUS, ROSCAVEL, 1/2", COR BRANCA, AGUA FRIA PREDIAL</t>
  </si>
  <si>
    <t xml:space="preserve">CURVA PVC 90 GRAUS, ROSCAVEL, 3/4", COR BRANCA, AGUA FRIA PREDIAL</t>
  </si>
  <si>
    <t xml:space="preserve">CURVA PVC LONGA 90 GRAUS, DN 100 MM, PARA ESGOTO PREDIAL</t>
  </si>
  <si>
    <t xml:space="preserve">CURVA PVC LONGA 90 GRAUS, DN 40 MM, PARA ESGOTO PREDIAL</t>
  </si>
  <si>
    <t xml:space="preserve">CURVA PVC LONGA 90 GRAUS, DN 50 MM, PARA ESGOTO PREDIAL</t>
  </si>
  <si>
    <t xml:space="preserve">CURVA PVC LONGA 90 GRAUS, DN 75 MM, PARA ESGOTO PREDIAL</t>
  </si>
  <si>
    <t xml:space="preserve">CURVA PVC PBA, JE, PB, 45 GRAUS, DN 100 / DE 110 MM, PARA REDE DE AGUA</t>
  </si>
  <si>
    <t xml:space="preserve">CURVA PVC PBA, JE, PB, 45 GRAUS, DN 50 / DE 60 MM, PARA REDE DE AGUA</t>
  </si>
  <si>
    <t xml:space="preserve">CURVA PVC PBA, JE, PB, 45 GRAUS, DN 75 / DE 85 MM, PARA REDE DE AGUA</t>
  </si>
  <si>
    <t xml:space="preserve">CURVA PVC PBA, JE, PB, 90 GRAUS, DN 100 / DE 110 MM, PARA REDE DE AGUA</t>
  </si>
  <si>
    <t xml:space="preserve">CURVA PVC PBA, JE, PB, 90 GRAUS, DN 50 / DE 60 MM, PARA REDE DE AGUA</t>
  </si>
  <si>
    <t xml:space="preserve">CURVA PVC PBA, JE, PB, 90 GRAUS, DN 75 / DE 85 MM, PARA REDE DE AGUA</t>
  </si>
  <si>
    <t xml:space="preserve">CURVA PVC, BB, JE, 45 GRAUS, DN 250 MM, PARA TUBO CORRUGADO E/OU LISO, REDE COLETORA ESGOTO</t>
  </si>
  <si>
    <t xml:space="preserve">CURVA PVC, BB, JE, 90 GRAUS, DN 200 MM, PARA TUBO CORRUGADO E/OU LISO, REDE COLETORA ESGOTO</t>
  </si>
  <si>
    <t xml:space="preserve">CURVA PVC, BB, JE, 90 GRAUS, DN 250 MM, PARA TUBO CORRUGADO E/OU LISO, REDE COLETORA ESGOTO</t>
  </si>
  <si>
    <t xml:space="preserve">CURVA PVC, SERIE R, 87.30 GRAUS, CURTA, PARA PE-DE-COLUNA, DN 100 MM, PARA ESGOTO PREDIAL</t>
  </si>
  <si>
    <t xml:space="preserve">CURVA PVC, SERIE R, 87.30 GRAUS, CURTA, PARA PE-DE-COLUNA, DN 150 MM, PARA ESGOTO PREDIAL</t>
  </si>
  <si>
    <t xml:space="preserve">CURVA PVC, SERIE R, 87.30 GRAUS, CURTA, PARA PE-DE-COLUNA, DN 75 MM, PARA ESGOTO PREDIAL</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</si>
  <si>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</si>
  <si>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</si>
  <si>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</si>
  <si>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</si>
  <si>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PROJETISTA (MENSALISTA)</t>
  </si>
  <si>
    <t xml:space="preserve">DESMOLDANTE PARA CONCRETO ESTAMPADO</t>
  </si>
  <si>
    <t xml:space="preserve">DESMOLDANTE PARA FORMAS METALICAS A BASE DE OLEO VEGETAL</t>
  </si>
  <si>
    <t xml:space="preserve">DISCO DE BORRACHA PARA LIXADEIRA RIGIDO 7" COM ARRUELA CENTRAL</t>
  </si>
  <si>
    <t xml:space="preserve">DISCO DE CORTE DIAMANTADO SEGMENTADO DIAMETRO DE 180 MM PARA ESMERILHADEIRA 7"</t>
  </si>
  <si>
    <t xml:space="preserve">DISCO DE CORTE DIAMANTADO SEGMENTADO, DIAMETRO DE *110* MM, FURO DE 20 MM</t>
  </si>
  <si>
    <t xml:space="preserve">DISCO DE CORTE PARA METAL COM DUAS TELAS 12 X 1/8 X 3/4" (300 X 3,2 X 19,05 MM)</t>
  </si>
  <si>
    <t xml:space="preserve">DISCO DE DESBASTE PARA METAL FERROSO EM GERAL, COM TRES TELAS, 9 X 1/4 X 7/8" (228,6 X 6,4 X 22,2 MM)</t>
  </si>
  <si>
    <t xml:space="preserve">DISCO DE LIXA PARA METAL, DIAMETRO = 180 MM, GRAO  120</t>
  </si>
  <si>
    <t xml:space="preserve">DISJUNTOR TERMOMAGNETICO AJUSTAVEL, TRIPOLAR DE 100 ATE 250A, CAPACIDADE DE INTERRUPCAO DE 35KA</t>
  </si>
  <si>
    <t xml:space="preserve">DISJUNTOR TERMOMAGNETICO AJUSTAVEL, TRIPOLAR DE 300 ATE 400A, CAPACIDADE DE INTERRUPCAO DE 35KA</t>
  </si>
  <si>
    <t xml:space="preserve">DISJUNTOR TERMOMAGNETICO AJUSTAVEL, TRIPOLAR DE 450 ATE 600A, CAPACIDADE DE INTERRUPCAO DE 35KA</t>
  </si>
  <si>
    <t xml:space="preserve">DISJUNTOR TERMOMAGNETICO PARA TRILHO DIN (IEC), BIPOLAR, 40 - 50 A</t>
  </si>
  <si>
    <t xml:space="preserve">DISJUNTOR TERMOMAGNETICO PARA TRILHO DIN (IEC), BIPOLAR, 6 - 32 A</t>
  </si>
  <si>
    <t xml:space="preserve">DISJUNTOR TERMOMAGNETICO PARA TRILHO DIN (IEC), BIPOLAR, 63 A</t>
  </si>
  <si>
    <t xml:space="preserve">DISJUNTOR TERMOMAGNETICO PARA TRILHO DIN (IEC), MONOPOLAR, 40 - 50 A</t>
  </si>
  <si>
    <t xml:space="preserve">DISJUNTOR TERMOMAGNETICO PARA TRILHO DIN (IEC), MONOPOLAR, 63 A</t>
  </si>
  <si>
    <t xml:space="preserve">DISJUNTOR TERMOMAGNETICO TRIPOLAR 150 A / 600 V, TIPO FXD / ICC - 35 KA</t>
  </si>
  <si>
    <t xml:space="preserve">DISJUNTOR TERMOMAGNETICO TRIPOLAR 200 A / 600 V, TIPO FXD / ICC - 35 KA</t>
  </si>
  <si>
    <t xml:space="preserve">DISJUNTOR TERMOMAGNETICO TRIPOLAR 3 X 250 A/ICC - 25 KA</t>
  </si>
  <si>
    <t xml:space="preserve">DISJUNTOR TERMOMAGNETICO TRIPOLAR 3 X 350 A/ICC - 25 KA</t>
  </si>
  <si>
    <t xml:space="preserve">DISJUNTOR TERMOMAGNETICO TRIPOLAR 3 X 400 A / 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</si>
  <si>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</si>
  <si>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</si>
  <si>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</si>
  <si>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</si>
  <si>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NEMA, BIPOLAR 10 ATE 50 A, TENSAO MAXIMA 415 V</t>
  </si>
  <si>
    <t xml:space="preserve">DISJUNTOR TIPO NEMA, BIPOLAR 60 ATE 100A, TENSAO MAXIMA 415 V</t>
  </si>
  <si>
    <t xml:space="preserve">DISJUNTOR TIPO NEMA, MONOPOLAR 10 ATE 30A, TENSAO MAXIMA DE 240 V</t>
  </si>
  <si>
    <t xml:space="preserve">DISJUNTOR TIPO NEMA, MONOPOLAR 35 ATE 50 A, TENSAO MAXIMA DE 240 V</t>
  </si>
  <si>
    <t xml:space="preserve">DISJUNTOR TIPO NEMA, MONOPOLAR DE 60 ATE 70A, TENSAO MAXIMA DE 240 V</t>
  </si>
  <si>
    <t xml:space="preserve">DISJUNTOR TIPO NEMA, TRIPOLAR 10 ATE 50A, TENSAO MAXIMA DE 415 V</t>
  </si>
  <si>
    <t xml:space="preserve">DISJUNTOR TIPO NEMA, TRIPOLAR 60 ATE 100 A, TENSAO MAXIMA DE 415 V</t>
  </si>
  <si>
    <t xml:space="preserve">DISPOSITIVO DPS CLASSE II, 1 POLO, TENSAO MAXIMA DE 175 V, CORRENTE MAXIMA DE *20* KA (TIPO AC)</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</si>
  <si>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</si>
  <si>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</si>
  <si>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</si>
  <si>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</si>
  <si>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*45*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</si>
  <si>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</si>
  <si>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</si>
  <si>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</si>
  <si>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</si>
  <si>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</si>
  <si>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</si>
  <si>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</si>
  <si>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</si>
  <si>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</si>
  <si>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</si>
  <si>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</si>
  <si>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</si>
  <si>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</si>
  <si>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</si>
  <si>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</si>
  <si>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2 POLOS, SENSIBILIDADE DE 300 MA, CORRENTE DE 80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</si>
  <si>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</si>
  <si>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</si>
  <si>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</si>
  <si>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</si>
  <si>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</si>
  <si>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</si>
  <si>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</si>
  <si>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</si>
  <si>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</si>
  <si>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</si>
  <si>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</si>
  <si>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</si>
  <si>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DISTRIBUIDOR METALICO, COM ROSCA, 2 SAIDAS, DN 1" X 1/2", PARA CONEXAO COM ANEL DESLIZANTE EM TUBO PEX PARA INST. AGUA QUENTE/FRIA</t>
  </si>
  <si>
    <t xml:space="preserve">DISTRIBUIDOR METALICO, COM ROSCA, 2 SAIDAS, DN 3/4" X 1/2", PARA CONEXAO COM ANEL DESLIZANTE EM TUBO PEX PARA INST. AGUA QUENTE/FRIA</t>
  </si>
  <si>
    <t xml:space="preserve">DISTRIBUIDOR METALICO, COM ROSCA, 3 SAIDAS, DN 1" X 1/2", PARA CONEXAO COM ANEL DESLIZANTE EM TUBO PEX PARA INST. AGUA QUENTE/FRIA</t>
  </si>
  <si>
    <t xml:space="preserve">DISTRIBUIDOR METALICO, COM ROSCA, 3 SAIDAS, DN 3/4" X 1/2", PARA CONEXAO COM ANEL DESLIZANTE EM TUBO PEX PARA INST. AGUA QUENTE/FRIA</t>
  </si>
  <si>
    <t xml:space="preserve">DISTRIBUIDOR, PLASTICO, 2 SAIDAS, DN 32 X 16 MM, PARA CONEXAO COM CRIMPAGEM, EM TUBO PEX PARA INST. AGUA QUENTE/FRIA</t>
  </si>
  <si>
    <t xml:space="preserve">DISTRIBUIDOR, PLASTICO, 2 SAIDAS, DN 32 X 25 MM, PARA CONEXAO COM CRIMPAGEM, EM TUBO PEX PARA INST. AGUA QUENTE/FRIA</t>
  </si>
  <si>
    <t xml:space="preserve">DISTRIBUIDOR, PLASTICO, 3 SAIDAS, DN 32 X 16 MM, PARA CONEXAO COM CRIMPAGEM, EM TUBO PEX PARA INST. AGUA QUENTE/FRIA</t>
  </si>
  <si>
    <t xml:space="preserve">DISTRIBUIDOR, PLASTICO, 3 SAIDAS, DN 32 X 25 MM, PARA CONEXAO COM CRIMPAGEM, EM TUBO PEX PARA INST. AGUA QUENTE/FRIA</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</si>
  <si>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</si>
  <si>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</si>
  <si>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MOTOR ELETRICO TRIFASICO, POTENCIA DE 3 HP ATE 5 HP</t>
  </si>
  <si>
    <t xml:space="preserve">DOBRADICA EM ACO/FERRO, 3" X 2 1/2", E= 1,2 A 1,8 MM, SEM ANEL, CROMADO OU ZINCADO, TAMPA BOLA, COM PARAFUSOS</t>
  </si>
  <si>
    <t xml:space="preserve">DOBRADICA EM ACO/FERRO, 3" X 2 1/2", E= 1,2 A 1,8 MM, SEM ANEL, CROMADO OU ZINCADO, TAMPA CHATA, COM PARAFUSOS</t>
  </si>
  <si>
    <t xml:space="preserve">DOBRADICA EM ACO/FERRO, 3" X 2 1/2", E= 1,9 A 2 MM, SEM ANEL, CROMADO OU ZINCADO, TAMPA BOLA, COM PARAFUSOS</t>
  </si>
  <si>
    <t xml:space="preserve">DOBRADICA EM LATAO, 3" X 2 1/2 ", E= 1,9 A 2 MM, COM ANEL, CROMADO, TAMPA BOLA, COM PARAFUSOS</t>
  </si>
  <si>
    <t xml:space="preserve">DOMOS / CLARABOIA INDIVIDUAL, EM ACRILICO BRANCO/LEITOSO, *95 X 95* CM, INCLUI ACESSORIOS DE FIXACAO, SEM INSTALACAO</t>
  </si>
  <si>
    <t xml:space="preserve">DOSADOR DE AREIA, CAPACIDADE DE *26* LITROS</t>
  </si>
  <si>
    <t xml:space="preserve">DUCHA / CHUVEIRO METALICO, DE PAREDE, ARTICULAVEL, COM BRACO/CANO, SEM DESVIADOR</t>
  </si>
  <si>
    <t xml:space="preserve">DUCHA / CHUVEIRO METALICO, DE PAREDE, ARTICULAVEL, COM DESVIADOR E DUCHA MANUAL</t>
  </si>
  <si>
    <t xml:space="preserve">DUCHA / CHUVEIRO PLASTICO SIMPLES, 5", BRANCO, PARA ACOPLAR EM HASTE 1/2", AGUA FRIA</t>
  </si>
  <si>
    <t xml:space="preserve">DUCHA HIGIENICA PLASTICA COM REGISTRO METALICO 1/2"</t>
  </si>
  <si>
    <t xml:space="preserve">DUMPER COM CAPACIDADE DE CARGA DE 1700 KG, PARTIDA ELETRICA, MOTOR DIESEL COM POTENCIA DE 16 CV</t>
  </si>
  <si>
    <t xml:space="preserve">ELEMENTO VAZADO CERAMICO DIAGONAL (TIPO FLOR/QUADRADO/XIS) DE *7 X 18 X 25* CM (L X A X C)</t>
  </si>
  <si>
    <t xml:space="preserve">ELEMENTO VAZADO CERAMICO QUADRADO (TIPO RETO OU REDONDO) DE *7 A 9 X 20 X 20* CM (L X A X C)</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</si>
  <si>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</si>
  <si>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</si>
  <si>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</si>
  <si>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</si>
  <si>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</si>
  <si>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</si>
  <si>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</si>
  <si>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</si>
  <si>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</si>
  <si>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</si>
  <si>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 xml:space="preserve">ELETRICISTA (MENSALISTA)</t>
  </si>
  <si>
    <t xml:space="preserve">ELETRODO REVESTIDO AWS - E-6010, DIAMETRO IGUAL A 4,00 MM</t>
  </si>
  <si>
    <t xml:space="preserve">ELETRODO REVESTIDO AWS - E6013, DIAMETRO IGUAL A 4,00 MM</t>
  </si>
  <si>
    <t xml:space="preserve">ELETRODO REVESTIDO AWS - E7018, DIAMETRO IGUAL A 4,00 MM</t>
  </si>
  <si>
    <t xml:space="preserve">ELETRODUTO DE PVC RIGIDO ROSCAVEL DE 1 ", SEM LUVA</t>
  </si>
  <si>
    <t xml:space="preserve">ELETRODUTO DE PVC RIGIDO ROSCAVEL DE 1 1/2 ", SEM LUVA</t>
  </si>
  <si>
    <t xml:space="preserve">ELETRODUTO DE PVC RIGIDO ROSCAVEL DE 1 1/4 ", SEM LUVA</t>
  </si>
  <si>
    <t xml:space="preserve">ELETRODUTO DE PVC RIGIDO ROSCAVEL DE 1/2 ", SEM LUVA</t>
  </si>
  <si>
    <t xml:space="preserve">ELETRODUTO DE PVC RIGIDO ROSCAVEL DE 2 ", SEM LUVA</t>
  </si>
  <si>
    <t xml:space="preserve">ELETRODUTO DE PVC RIGIDO ROSCAVEL DE 2 1/2 ", SEM LUVA</t>
  </si>
  <si>
    <t xml:space="preserve">ELETRODUTO DE PVC RIGIDO ROSCAVEL DE 3 ", SEM LUVA</t>
  </si>
  <si>
    <t xml:space="preserve">ELETRODUTO DE PVC RIGIDO ROSCAVEL DE 4 ", SEM LUVA</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</si>
  <si>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</si>
  <si>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</si>
  <si>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</si>
  <si>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</si>
  <si>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</si>
  <si>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</si>
  <si>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EM ACO GALVANIZADO ELETROLITICO, LEVE, DIAMETRO 3/4", PAREDE DE 0,90 MM</t>
  </si>
  <si>
    <t xml:space="preserve">ELETRODUTO FLEXIVEL PLANO EM PEAD, COR PRETA E LARANJA, DIAMETRO 25 MM</t>
  </si>
  <si>
    <t xml:space="preserve">ELETRODUTO FLEXIVEL PLANO EM PEAD, COR PRETA E LARANJA, DIAMETRO 40 MM</t>
  </si>
  <si>
    <t xml:space="preserve">ELETRODUTO FLEXIVEL, EM FITA DE ACO GALVANIZADO, REVESTIDO COM PVC PRETO, DIAMETRO EXTERNO DE 15 MM, DN = 3/8", TIPO SEALTUBO</t>
  </si>
  <si>
    <t xml:space="preserve">ELETRODUTO FLEXIVEL, EM FITA DE ACO GALVANIZADO, REVESTIDO COM PVC PRETO, DIAMETRO EXTERNO DE 25 MM, DN = 3/4", TIPO SEALTUBO</t>
  </si>
  <si>
    <t xml:space="preserve">ELETRODUTO FLEXIVEL, EM FITA DE ACO GALVANIZADO, REVESTIDO COM PVC PRETO, DIAMETRO EXTERNO DE 32 MM, DN = 1", TIPO SEALTUBO</t>
  </si>
  <si>
    <t xml:space="preserve">ELETRODUTO FLEXIVEL, EM FITA DE ACO GALVANIZADO, REVESTIDO COM PVC PRETO, DIAMETRO EXTERNO DE 40 MM, DN = 1 1/4", TIPO SEALTUBO</t>
  </si>
  <si>
    <t xml:space="preserve">ELETRODUTO FLEXIVEL, EM FITA DE ACO GALVANIZADO, REVESTIDO COM PVC PRETO, DIAMETRO EXTERNO DE 50 MM, DN = 1 1/2", TIPO SEALTUBO</t>
  </si>
  <si>
    <t xml:space="preserve">ELETRODUTO FLEXIVEL, EM FITA DE ACO GALVANIZADO, REVESTIDO COM PVC PRETO, DIAMETRO EXTERNO DE 60 MM, DN = 2", TIPO SEALTUBO</t>
  </si>
  <si>
    <t xml:space="preserve">ELETRODUTO FLEXIVEL, EM FITA DE ACO GALVANIZADO, REVESTIDO COM PVC PRETO, DIAMETRO EXTERNO DE 75 MM, DN = 2 1/2", TIPO SEALTUBO</t>
  </si>
  <si>
    <t xml:space="preserve">ELETRODUTO FLEXIVEL, EM FITA DE ACO GALVANIZADO, SEM REVESTIMENTO, DIAMETRO NOMINAL 1 1/2"</t>
  </si>
  <si>
    <t xml:space="preserve">ELETRODUTO FLEXIVEL, EM FITA DE ACO GALVANIZADO, SEM REVESTIMENTO, DIAMETRO NOMINAL 1 1/4"</t>
  </si>
  <si>
    <t xml:space="preserve">ELETRODUTO FLEXIVEL, EM FITA DE ACO GALVANIZADO, SEM REVESTIMENTO, DIAMETRO NOMINAL 1"</t>
  </si>
  <si>
    <t xml:space="preserve">ELETRODUTO FLEXIVEL, EM FITA DE ACO GALVANIZADO, SEM REVESTIMENTO, DIAMETRO NOMINAL 1/2"</t>
  </si>
  <si>
    <t xml:space="preserve">ELETRODUTO FLEXIVEL, EM FITA DE ACO GALVANIZADO, SEM REVESTIMENTO, DIAMETRO NOMINAL 2 1/2"</t>
  </si>
  <si>
    <t xml:space="preserve">ELETRODUTO FLEXIVEL, EM FITA DE ACO GALVANIZADO, SEM REVESTIMENTO, DIAMETRO NOMINAL 2"</t>
  </si>
  <si>
    <t xml:space="preserve">ELETRODUTO FLEXIVEL, EM FITA DE ACO GALVANIZADO, SEM REVESTIMENTO, DIAMETRO NOMINAL 3"</t>
  </si>
  <si>
    <t xml:space="preserve">ELETRODUTO PVC FLEXIVEL CORRUGADO, COR AMARELA, DE 16 MM</t>
  </si>
  <si>
    <t xml:space="preserve">ELETRODUTO PVC FLEXIVEL CORRUGADO, COR AMARELA, DE 20 MM</t>
  </si>
  <si>
    <t xml:space="preserve">ELETRODUTO PVC FLEXIVEL CORRUGADO, COR AMARELA, DE 32 MM</t>
  </si>
  <si>
    <t xml:space="preserve">ELETRODUTO PVC FLEXIVEL CORRUGADO, REFORCADO, COR LARANJA, DE 20 MM, PARA LAJES E PISOS</t>
  </si>
  <si>
    <t xml:space="preserve">ELETRODUTO/CONDULETE DE PVC RIGIDO, LISO, COR CINZA, DE 1", PARA INSTALACOES APARENTES (NBR 5410)</t>
  </si>
  <si>
    <t xml:space="preserve">ELETRODUTO/CONDULETE DE PVC RIGIDO, LISO, COR CINZA, DE 1/2", PARA INSTALACOES APARENTES (NBR 5410)</t>
  </si>
  <si>
    <t xml:space="preserve">ELETRODUTO/CONDULETE DE PVC RIGIDO, LISO, COR CINZA, DE 3/4", PARA INSTALACOES APARENTES (NBR 5410)</t>
  </si>
  <si>
    <t xml:space="preserve">ELETRODUTO/DUTO PEAD FLEXIVEL PAREDE SIMPLES, CORRUGACAO HELICOIDAL, COR PRETA, SEM ROSCA, DE 4", CRC 680 N, PARA CABEAMENTO SUBTERRANEO (NBR 15715)</t>
  </si>
  <si>
    <t xml:space="preserve">ELETROTECNICO (HORISTA)</t>
  </si>
  <si>
    <t xml:space="preserve">ELETROTECNICO (MENSALISTA)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</si>
  <si>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</si>
  <si>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</si>
  <si>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PLUVIAL PREDIAL</t>
  </si>
  <si>
    <t xml:space="preserve">EMULSAO ASFALTICA ANIONICA</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</si>
  <si>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</si>
  <si>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</si>
  <si>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</si>
  <si>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</si>
  <si>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</si>
  <si>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</si>
  <si>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 (MENSALISTA)</t>
  </si>
  <si>
    <t xml:space="preserve">ENCARREGADO GERAL DE OBRAS (MENSALISTA)</t>
  </si>
  <si>
    <t xml:space="preserve">ENERGIA ELETRICA COMERCIAL, BAIXA TENSAO, RELATIVA AO CONSUMO DE ATE 100 KWH, INCLUINDO ICMS, PIS/PASEP E COFINS</t>
  </si>
  <si>
    <t xml:space="preserve">ENGATE / RABICHO FLEXIVEL INOX 1/2" X 30 CM</t>
  </si>
  <si>
    <t xml:space="preserve">ENGATE / RABICHO FLEXIVEL INOX 1/2" X 40 CM</t>
  </si>
  <si>
    <t xml:space="preserve">ENGATE/RABICHO FLEXIVEL PLASTICO (PVC OU ABS) BRANCO 1/2" X 40 CM</t>
  </si>
  <si>
    <t xml:space="preserve">ENGENHEIRO CIVIL DE OBRA JUNIOR (HORISTA)</t>
  </si>
  <si>
    <t xml:space="preserve">ENGENHEIRO CIVIL DE OBRA PLENO (MENSALISTA)</t>
  </si>
  <si>
    <t xml:space="preserve">ENGENHEIRO CIVIL DE OBRA SENIOR (HORISTA)</t>
  </si>
  <si>
    <t xml:space="preserve">ENGENHEIRO CIVIL DE OBRA SENIOR (MENSALISTA)</t>
  </si>
  <si>
    <t xml:space="preserve">ENXADA ESTREITA, EM ACO, *25 X 23* CM, COM CABO DE MADEIRA DE *150* CM</t>
  </si>
  <si>
    <t xml:space="preserve">EPI - FAMILIA ALMOXARIFE - HORISTA (ENCARGOS COMPLEMENTARES - COLETADO CAIXA)</t>
  </si>
  <si>
    <t xml:space="preserve">EPI - FAMILIA CARPINTEIRO DE FORMAS - MENSALISTA (ENCARGOS COMPLEMENTARES - COLETADO CAIXA)</t>
  </si>
  <si>
    <t xml:space="preserve">EPI - FAMILIA ELETRICISTA - MENSALISTA (ENCARGOS COMPLEMENTARES - COLETADO CAIXA)</t>
  </si>
  <si>
    <t xml:space="preserve">EPI - FAMILIA ENCANADOR - MENSALISTA (ENCARGOS COMPLEMENTARES - COLETADO CAIXA)</t>
  </si>
  <si>
    <t xml:space="preserve">EPI - FAMILIA OPERADOR ESCAVADEIRA - MENSALISTA (ENCARGOS COMPLEMENTARES - COLETADO CAIXA)</t>
  </si>
  <si>
    <t xml:space="preserve">EPI - FAMILIA PEDREIRO - MENSALISTA (ENCARGOS COMPLEMENTARES - COLETADO CAIXA)</t>
  </si>
  <si>
    <t xml:space="preserve">EPI - FAMILIA PINTOR - MENSALISTA (ENCARGOS COMPLEMENTARES - COLETADO CAIXA)</t>
  </si>
  <si>
    <t xml:space="preserve">EPI - FAMILIA SOLDADOR - HORISTA (ENCARGOS COMPLEMENTARES - COLETADO CAIXA)</t>
  </si>
  <si>
    <t xml:space="preserve">EPI - FAMILIA SOLDADOR - MENSALISTA (ENCARGOS COMPLEMENTARES - COLETADO CAIXA)</t>
  </si>
  <si>
    <t xml:space="preserve">EQUIPAMENTO DE LIMPEZA COMBINADO (VACUO/ALTA PRESSAO) 95% VACUO, TANQUE 7000 L, BOMBA 140 KGF/CM2 66 L/MIN COM MOTOR INDEPENDENTE A DIESEL DE 60 CV (INCLUI MONTAGEM, NAO INCLUI CAMINHAO)</t>
  </si>
  <si>
    <t xml:space="preserve">EQUIPAMENTO P/ DEMARCACAO DE FAIXAS DE TRAFEGO A QUENTE, A SER MONTADO SOBRE CAMINHAO DE PBT MIN. DE 17 T, DIST. MIN. ENTRE EIXOS 5,2 M, CAPACIDADE PARA 1.000 KG DE MATERIAL TERMOPLASTICO (INCLUI MONTAGEM, NAO INCLUI CAMINHAO, NEM COMPRESSOR DE AR)</t>
  </si>
  <si>
    <t xml:space="preserve">EQUIPAMENTO PARA DEMARCACAO DE FAIXAS DE TRAFEGO A FRIO, A SER MONTADO SOBRE CAMINHAO DE PBT MINIMO DE 9 T E DISTANCIA MINIMA ENTRE EIXOS DE 4,3 M, CAPACIDADE PARA 800 L DE TINTA (INCLUI MONTAGEM, NAO INCLUI CAMINHAO)</t>
  </si>
  <si>
    <t xml:space="preserve">ESCADA DUPLA DE ABRIR EM ALUMINIO, COM SAPATAS DE BORRACHA, *2,30* X *0,57* M (ALTURA UTIL X LARGURA MINIMA), MODELO PINTOR, 8 DEGRAUS, CAPACIDADE *100* KG</t>
  </si>
  <si>
    <t xml:space="preserve">ESCADA EXTENSIVEL EM ALUMINIO, COM SAPATAS DE BORRACHA, ALTURA FECHADA 3,60 M, ALTURA ESTENDIDA DE 6,0 A 6,30 M, LARGURA MINIMA DE 35 CM, CACIDADE *120* KG</t>
  </si>
  <si>
    <t xml:space="preserve">ESCAVADEIRA HIDRAULICA DE BRACO LONGO (LONGO ALCANCE) SOBRE ESTEIRAS, CACAMBA 0,52 M3, PESO OPERACIONAL 24 T, POTENCIA LIQUIDA 155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</si>
  <si>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</si>
  <si>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</si>
  <si>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</si>
  <si>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</si>
  <si>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ESCOVA CIRCULAR EM ACO LATONADO, 6 X 1" (DIAMETRO X ESPESSURA), FURO DE 1 1/4 ", FIO ONDULADO *0,30* MM</t>
  </si>
  <si>
    <t xml:space="preserve">ESCOVA DE ACO, COM CABO, *4 X 15* FILEIRAS DE CERDAS</t>
  </si>
  <si>
    <t xml:space="preserve">ESGUICHO JATO REGULAVEL, TIPO ELKHART, ENGATE RAPIDO 1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</si>
  <si>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</si>
  <si>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</si>
  <si>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</si>
  <si>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</si>
  <si>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</si>
  <si>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</si>
  <si>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ESMERILHADEIRA ANGULAR ELETRICA, DIAMETRO DO DISCO 7" (180 MM), ROTACAO 8500 RPM, POTENCIA 2400 W</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</si>
  <si>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</si>
  <si>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</si>
  <si>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OU DISTANCIADOR, EM PLASTICO, TIPO APOIO DE CORDOALHA (CARANGUEJO), PARA ARMADURA NEGATIVA E PROTENSAO, COBRIMENTO 50 MM</t>
  </si>
  <si>
    <t xml:space="preserve">ESPACADOR/SEPARADOR /CENTRALIZADOR DE BARRA DE ACO, PLASTICO, (CHUMBADOR TIPO CARAMBOLA - CB), DIAMETRO INTERNO ATE 20 MM</t>
  </si>
  <si>
    <t xml:space="preserve">ESPACADOR/SEPARADOR /CENTRALIZADOR DE BARRA DE ACO, PLASTICO, (CHUMBADOR TIPO CARAMBOLA - CB), DIAMETRO INTERNO ENTRE 25 A 32 MM</t>
  </si>
  <si>
    <t xml:space="preserve">ESPACADOR/SEPARADOR DE CORDOALHA TIPO DISCO 12 FUROS DE 14 MM, PARA TIRANTES</t>
  </si>
  <si>
    <t xml:space="preserve">ESPARGIDOR DE ASFALTO PRESSURIZADO, REBOCAVEL, TANQUE DE 2500 L, PNEUMATICO, COM MOTOR A GASOLINA 3,4HP</t>
  </si>
  <si>
    <t xml:space="preserve">ESPARGIDOR DE ASFALTO PRESSURIZADO, TANQUE 6 M3 COM ISOLACAO TERMICA, AQUECIDO COM 2 MACARICOS, COM BARRA ESPARGIDORA 3,60 M, A SER MONTADO SOBRE CAMINHAO</t>
  </si>
  <si>
    <t xml:space="preserve">ESPATULA DE PLASTICO LISA, LARGURA *10* CM</t>
  </si>
  <si>
    <t xml:space="preserve">ESPATULA EM ACO INOX COM CABO DE MADEIRA E LARGURA DE *8* CM</t>
  </si>
  <si>
    <t xml:space="preserve">ESPELHO / PLACA CEGA 4" X 2", PARA INSTALACAO DE TOMADAS E INTERRUPTORES</t>
  </si>
  <si>
    <t xml:space="preserve">ESPELHO / PLACA CEGA 4" X 4", PARA INSTALACAO DE TOMADAS E INTERRUPTORES</t>
  </si>
  <si>
    <t xml:space="preserve">ESPELHO / PLACA DE 1 POSTO 4" X 2", PARA INSTALACAO DE TOMADAS E INTERRUPTORES</t>
  </si>
  <si>
    <t xml:space="preserve">ESPELHO / PLACA DE 2 POSTOS 4" X 2", PARA INSTALACAO DE TOMADAS E INTERRUPTORES</t>
  </si>
  <si>
    <t xml:space="preserve">ESPELHO / PLACA DE 2 POSTOS 4" X 4", PARA INSTALACAO DE TOMADAS E INTERRUPTORES</t>
  </si>
  <si>
    <t xml:space="preserve">ESPELHO / PLACA DE 4 POSTOS 4" X 4", PARA INSTALACAO DE TOMADAS E INTERRUPTORES</t>
  </si>
  <si>
    <t xml:space="preserve">ESPELHO / PLACA DE 6 POSTOS 4" X 4", PARA INSTALACAO DE TOMADAS E INTERRUPTORES</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</si>
  <si>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</si>
  <si>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</si>
  <si>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</si>
  <si>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ESQUADRO DE ACO 12" (300 MM), CABO DE ALUMINIO</t>
  </si>
  <si>
    <t xml:space="preserve">ESQUI TRIPLO, EM TUBO DE ACO CARBONO, PINTURA NO PROCESSO ELETROSTATICO - EQUIPAMENTO DE GINASTICA PARA ACADEMIA AO AR LIVRE / ACADEMIA DA TERCEIRA IDADE - ATI</t>
  </si>
  <si>
    <t xml:space="preserve">ESTABILIZADOR BIVOLT AUTOMATICO, 1000 VA</t>
  </si>
  <si>
    <t xml:space="preserve">ESTABILIZADOR BIVOLT AUTOMATICO, 1500 VA</t>
  </si>
  <si>
    <t xml:space="preserve">ESTABILIZADOR BIVOLT AUTOMATICO, 2000 VA</t>
  </si>
  <si>
    <t xml:space="preserve">ESTABILIZADOR BIVOLT AUTOMATICO, 300 VA</t>
  </si>
  <si>
    <t xml:space="preserve">ESTABILIZADOR BIVOLT AUTOMATICO, 500 VA</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</si>
  <si>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</si>
  <si>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</si>
  <si>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</si>
  <si>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</si>
  <si>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ESTOPA</t>
  </si>
  <si>
    <t xml:space="preserve">ESTOPIM SIMPLES</t>
  </si>
  <si>
    <t xml:space="preserve">ETANOL</t>
  </si>
  <si>
    <t xml:space="preserve">EXTENSAO DE SOLDA 201 ACETILENO, E = *1,5 A 2,5* MM</t>
  </si>
  <si>
    <t xml:space="preserve">EXTENSAO DE SOLDA 201 GLP, E = *2,5 A 4,0* MM</t>
  </si>
  <si>
    <t xml:space="preserve">EXTINTOR DE INCENDIO PORTATIL COM CARGA DE AGUA PRESSURIZADA DE 10 L, CLASSE A</t>
  </si>
  <si>
    <t xml:space="preserve">EXTINTOR DE INCENDIO PORTATIL COM CARGA DE GAS CARBONICO CO2 DE 4 KG, CLASSE BC</t>
  </si>
  <si>
    <t xml:space="preserve">EXTINTOR DE INCENDIO PORTATIL COM CARGA DE GAS CARBONICO CO2 DE 6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</si>
  <si>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</si>
  <si>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</si>
  <si>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6 KG, CLASSE BC</t>
  </si>
  <si>
    <t xml:space="preserve">EXTINTOR DE INCENDIO PORTATIL COM CARGA DE PO QUIMICO SECO (PQS) DE 8 KG, CLASSE BC</t>
  </si>
  <si>
    <t xml:space="preserve">EXTREMIDADE PVC PBA, BF, JE, DN 100/ DE 110 MM</t>
  </si>
  <si>
    <t xml:space="preserve">EXTREMIDADE PVC PBA, BF, JE, DN 75/ DE 85 MM</t>
  </si>
  <si>
    <t xml:space="preserve">EXTREMIDADE PVC PBA, PF, JE, DN 100 / DE 110 MM</t>
  </si>
  <si>
    <t xml:space="preserve">EXTREMIDADE PVC PBA, PF, JE, DN 75 / DE 85 MM</t>
  </si>
  <si>
    <t xml:space="preserve">EXTREMIDADE/TUBETE PARA HIDROMETRO PVC, COM ROSCA, CURTA, COM BUCHA LATAO, 3/4" OU 1/2"</t>
  </si>
  <si>
    <t xml:space="preserve">FECHADURA AUXILIAR DE SEGURANCA PARA PORTA EXTERNA, EM ACO INOX, BROCA DE 45 A 55 MM, LINGUETA COM 3 AVANCOS, INCLUINDO 2 CHAVES TIPO CILINDRO</t>
  </si>
  <si>
    <t xml:space="preserve">FECHADURA BICO DE PAPAGAIO PARA PORTA DE CORRER EXTERNA, EM ACO INOX COM ACABAMENTO CROMADO, MAQUINA COM 45 MM, INCLUINDO CHAVE TIPO CILINDRO</t>
  </si>
  <si>
    <t xml:space="preserve">FECHADURA BICO DE PAPAGAIO PARA PORTA DE CORRER INTERNA, EM ACO INOX COM ACABAMENTO CROMADO, MAQUINA COM 45 MM, INCLUINDO CHAVE TIPO BIPARTIDA</t>
  </si>
  <si>
    <t xml:space="preserve">FECHADURA DE EMBUTIR PARA GAVETA E MOVEIS DE MADEIRA, EM ACO INOX COM ACABAMENTO CROMADO, COM ABAS LATERAIS, CILINDRO COM 22 MM DE DIAMETRO, INCLUINDO CHAVE COM PERFIL METALICO E CAPA ESCAMOTEAVEL</t>
  </si>
  <si>
    <t xml:space="preserve">FECHADURA DE SOBREPOR PARA GAVETAS E ARMARIOS, EM ACO INOX COM ACABAMENTO CROMADO, COM CILINDRO DE APROX 20 MM</t>
  </si>
  <si>
    <t xml:space="preserve">FECHADURA DE SOBREPOR PARA PORTAO, EM ACO INOX COM ACABAMENTO CROMADO, CAIXA DE 100 MM, INCLUINDO CHAVE TIPO CILINDRO</t>
  </si>
  <si>
    <t xml:space="preserve">FECHADURA DE SOBREPOR PARA PORTAO, EM ACO INOX COM ACABAMENTO CROMADO, CAIXA DE 100 MM, INCLUINDO CHAVE TIPO TETRA</t>
  </si>
  <si>
    <t xml:space="preserve">FECHADURA DE SOBREPOR TIPO CAIXAO, EM FERRO COM ACABAMENTO RESINADO, SEM MACANETA, SEM CILINDRO, INCLUINDO CHAVE TIPO SIMPLES</t>
  </si>
  <si>
    <t xml:space="preserve">FECHADURA ESPELHO PARA PORTA DE BANHEIRO, EM ACO INOX (MAQUINA, TESTA E CONTRA-TESTA) E EM ZAMAC (MACANETA, LINGUETA E TRINCOS) COM ACABAMENTO CROMADO, MAQUINA DE 40 MM, INCLUINDO CHAVE TIPO TRANQUETA</t>
  </si>
  <si>
    <t xml:space="preserve">FECHADURA ESPELHO PARA PORTA DE BANHEIRO, EM ACO INOX (MAQUINA, TESTA E CONTRA-TESTA) E EM ZAMAC (MACANETA, LINGUETA E TRINCOS) COM ACABAMENTO CROMADO, MAQUINA DE 55 MM, INCLUINDO CHAVE TIPO TRANQUETA (CONJUNTO DE FECHADURAS)</t>
  </si>
  <si>
    <t xml:space="preserve">FECHADURA ESPELHO PARA PORTA EXTERNA, EM ACO INOX (MAQUINA, TESTA E CONTRA-TESTA) E EM ZAMAC (MACANETA, LINGUETA E TRINCOS) COM ACABAMENTO CROMADO, MAQUINA DE 40 MM, INCLUINDO CHAVE TIPO CILINDRO</t>
  </si>
  <si>
    <t xml:space="preserve">FECHADURA ESPELHO PARA PORTA INTERNA, EM ACO INOX (MAQUINA, TESTA E CONTRA-TESTA) E EM ZAMAC (MACANETA, LINGUETA E TRINCOS) COM ACABAMENTO CROMADO, MAQUINA DE 40 MM, INCLUINDO CHAVE TIPO INTERNA</t>
  </si>
  <si>
    <t xml:space="preserve">FECHADURA ESPELHO PARA PORTA INTERNA, EM ACO INOX (MAQUINA, TESTA E CONTRA-TESTA) E EM ZAMAC (MACANETA, LINGUETA E TRINCOS) COM ACABAMENTO CROMADO, MAQUINA DE 55 MM, INCLUINDO CHAVE TIPO INTERNA</t>
  </si>
  <si>
    <t xml:space="preserve">FECHADURA PARA PORTA PIVOTANTE DE VIDRO TEMPERADO, EM ACO INOX COM ACABAMENTO CROMADO, RECORTE PADRAO SANTA MARINA, COM CILINDRO EM LATAO, INCLUINDO CHAVE TIPO CILINDRO</t>
  </si>
  <si>
    <t xml:space="preserve">FECHADURA ROSETA REDONDA PARA PORTA DE BANHEIRO, EM ACO INOX (MAQUINA, TESTA E CONTRA-TESTA) E EM ZAMAC (MACANETA, LINGUETA E TRINCOS) COM ACABAMENTO CROMADO, MAQUINA DE 40 MM, INCLUINDO CHAVE TIPO TRANQUETA</t>
  </si>
  <si>
    <t xml:space="preserve">FECHADURA ROSETA REDONDA PARA PORTA DE BANHEIRO, EM ACO INOX (MAQUINA, TESTA E CONTRA-TESTA) E EM ZAMAC (MACANETA, LINGUETA E TRINCOS) COM ACABAMENTO CROMADO, MAQUINA DE 55 MM, INCLUINDO CHAVE TIPO TRANQUETA</t>
  </si>
  <si>
    <t xml:space="preserve">FECHADURA ROSETA REDONDA PARA PORTA EXTERNA, EM ACO INOX (MAQUINA, TESTA E CONTRA-TESTA) E EM ZAMAC (MACANETA, LINGUETA E TRINCOS) COM ACABAMENTO CROMADO, MAQUINA DE 40 MM, INCLUINDO CHAVE TIPO CILINDRO</t>
  </si>
  <si>
    <t xml:space="preserve">FECHADURA ROSETA REDONDA PARA PORTA EXTERNA, EM ACO INOX (MAQUINA, TESTA E CONTRA-TESTA) E EM ZAMAC (MACANETA, LINGUETA E TRINCOS) COM ACABAMENTO CROMADO, MAQUINA DE 55 MM, INCLUINDO CHAVE TIPO CILINDRO</t>
  </si>
  <si>
    <t xml:space="preserve">FECHADURA ROSETA REDONDA PARA PORTA INTERNA, EM ACO INOX (MAQUINA, TESTA E CONTRA-TESTA) E EM ZAMAC (MACANETA, LINGUETA E TRINCOS) COM ACABAMENTO CROMADO, MAQUINA DE 40 MM, INCLUINDO CHAVE TIPO INTERNA (CONJUNTO DE FECHADURAS)</t>
  </si>
  <si>
    <t xml:space="preserve">FECHADURA ROSETA REDONDA PARA PORTA INTERNA, EM ACO INOX (MAQUINA, TESTA E CONTRA-TESTA) E EM ZAMAC (MACANETA, LINGUETA E TRINCOS) COM ACABAMENTO CROMADO, MAQUINA DE 55 MM, INCLUINDO CHAVE TIPO INTERNA</t>
  </si>
  <si>
    <t xml:space="preserve">FECHO / TRINCO TIPO AVIAO, EM ZAMAC CROMADO, *60* MM, PARA JANELAS - INCLUI PARAFUSOS</t>
  </si>
  <si>
    <t xml:space="preserve">FECHO DE SEGURANCA, TIPO BATOM, EM LATAO / ZAMAC, CROMADO, PARA PORTAS E JANELAS - INCLUI PARAFUSOS</t>
  </si>
  <si>
    <t xml:space="preserve">FECHO QUEBRA UNHA, EM LATAO COM ACABAMENTO CROMADO, DE EMBUTIR, COM COMANDO ALAVANCA, ALTURA DE DE 22 CM, LARGURA MINIMA DE 1,90 CM E ESPESSURA MINIMA DE 1,90 MM, PARA PORTAS E JANELAS (INCLUI PARAFUSOS)</t>
  </si>
  <si>
    <t xml:space="preserve">FECHO QUEBRA UNHA, EM LATAO COM ACABAMENTO CROMADO, DE EMBUTIR, COM COMANDO ALAVANCA, ALTURA DE DE 40 CM, LARGURA MINIMA DE 1,90 CM E ESPESSURA MINIMA DE 1,90 MM, PARA PORTAS E JANELAS (INCLUI PARAFUSOS)</t>
  </si>
  <si>
    <t xml:space="preserve">FECHO QUEBRA UNHA, EM LATAO COM ACABAMENTO CROMADO, DE EMBUTIR, COM COMANDO DESLIZANTE, ALTURA DE 12 CM, LARGURA MINIMA DE 1,90 CM E ESPESSURA MINIMA DE 1,90 MM</t>
  </si>
  <si>
    <t xml:space="preserve">FECHO QUEBRA UNHA, EM LATAO COM ACABAMENTO CROMADO, DE EMBUTIR, COM COMANDO DESLIZANTE, ALTURA DE 22 CM, LARGURA MINIMA DE 1,90 CM E ESPESSURA MINIMA DE 1,90 MM</t>
  </si>
  <si>
    <t xml:space="preserve">FECHO QUEBRA UNHA, EM LATAO COM ACABAMENTO CROMADO, DE EMBUTIR, COM COMANDO DESLIZANTE, ALTURA DE 40 CM, LARGURA MINIMA DE 1,90 CM E ESPESSURA MINIMA DE 1,90 MM</t>
  </si>
  <si>
    <t xml:space="preserve">FERRAMENTAS - FAMILIA ALMOXARIFE - HORISTA (ENCARGOS COMPLEMENTARES - COLETADO CAIXA)</t>
  </si>
  <si>
    <t xml:space="preserve">FERRAMENTAS - FAMILIA CARPINTEIRO DE FORMAS - MENSALISTA (ENCARGOS COMPLEMENTARES - COLETADO CAIXA)</t>
  </si>
  <si>
    <t xml:space="preserve">FERRAMENTAS - FAMILIA ELETRICISTA - MENSALISTA (ENCARGOS COMPLEMENTARES - COLETADO CAIXA)</t>
  </si>
  <si>
    <t xml:space="preserve">FERRAMENTAS - FAMILIA ENCANADOR - MENSALISTA (ENCARGOS COMPLEMENTARES - COLETADO CAIXA)</t>
  </si>
  <si>
    <t xml:space="preserve">FERRAMENTAS - FAMILIA OPERADOR ESCAVADEIRA - MENSALISTA (ENCARGOS COMPLEMENTARES - COLETADO CAIXA)</t>
  </si>
  <si>
    <t xml:space="preserve">FERRAMENTAS - FAMILIA PEDREIRO - MENSALISTA (ENCARGOS COMPLEMENTARES - COLETADO CAIXA)</t>
  </si>
  <si>
    <t xml:space="preserve">FERRAMENTAS - FAMILIA PINTOR - MENSALISTA (ENCARGOS COMPLEMENTARES - COLETADO CAIXA)</t>
  </si>
  <si>
    <t xml:space="preserve">FERRAMENTAS - FAMILIA SOLDADOR - HORISTA (ENCARGOS COMPLEMENTARES - COLETADO CAIXA)</t>
  </si>
  <si>
    <t xml:space="preserve">FERRAMENTAS - FAMILIA SOLDADOR - MENSALISTA (ENCARGOS COMPLEMENTARES - COLETADO CAIXA)</t>
  </si>
  <si>
    <t xml:space="preserve">FERROLHO COM FECHO / TRINCO REDONDO, EM ACO GALVANIZADO / ZINCADO, DE SOBREPOR, COM COMPRIMENTO DE 2" E ESPESSURA MINIMA DA CHAPA DE 0,90 MM, PARA PORTAS E JANELAS</t>
  </si>
  <si>
    <t xml:space="preserve">FERROLHO COM FECHO / TRINCO REDONDO, EM ACO GALVANIZADO / ZINCADO, DE SOBREPOR, COM COMPRIMENTO DE 3" A 4" E ESPESSURA MINIMA DA CHAPA DE 0,90 MM</t>
  </si>
  <si>
    <t xml:space="preserve">FERROLHO COM FECHO / TRINCO REDONDO, EM ACO GALVANIZADO / ZINCADO, DE SOBREPOR, COM COMPRIMENTO DE 5" E ESPESSURA MINIMA DA CHAPA DE 0,90 MM</t>
  </si>
  <si>
    <t xml:space="preserve">FERROLHO COM FECHO / TRINCO REDONDO, EM ACO GALVANIZADO / ZINCADO, DE SOBREPOR, COM COMPRIMENTO DE 6" E ESPESSURA MINIMA DA CHAPA DE 1,50 MM</t>
  </si>
  <si>
    <t xml:space="preserve">FERROLHO COM FECHO / TRINCO REDONDO, EM ACO GALVANIZADO / ZINCADO, DE SOBREPOR, COM COMPRIMENTO DE 8" E ESPESSURA MINIMA DA CHAPA DE 1,50 MM</t>
  </si>
  <si>
    <t xml:space="preserve">FERROLHO COM FECHO /TRINCO REDONDO, EM ACO GALVANIZADO / ZINCADO, DE SOBREPOR, COM COMPRIMENTO DE 10" A 12" E ESPESSURA MINIMA DA CHAPA DE 1,50 MM</t>
  </si>
  <si>
    <t xml:space="preserve">FERROLHO COM FECHO CHATO E PORTA CADEADO, EM ACO GALVANIZADO / ZINCADO, DE SOBREPOR, COM COMPRIMENTO DE 3" A 4", CHAPA COM ESPESSURA MINIMA DE 0,90 MM E LARGURA MINIMA DE 3,20 CM (FECHO SIMPLES / LEVE) (INCLUI PARAFUSOS)</t>
  </si>
  <si>
    <t xml:space="preserve">FERROLHO COM FECHO CHATO E PORTA CADEADO, EM ACO GALVANIZADO / ZINCADO, DE SOBREPOR, COM COMPRIMENTO DE 3" A 4", CHAPA COM ESPESSURA MINIMA DE 1,70 MM E LARGURA MINIMA DE 5,00 CM (FECHO REFORCADO)</t>
  </si>
  <si>
    <t xml:space="preserve">FERROLHO COM FECHO CHATO E PORTA CADEADO, EM ACO GALVANIZADO / ZINCADO, DE SOBREPOR, COM COMPRIMENTO DE 5", CHAPA COM ESPESSURA MINIMA DE 0,90 MM E LARGURA MINIMA DE 3,20 CM (FECHO SIMPLES)</t>
  </si>
  <si>
    <t xml:space="preserve">FERROLHO COM FECHO CHATO E PORTA CADEADO, EM ACO GALVANIZADO / ZINCADO, DE SOBREPOR, COM COMPRIMENTO DE 5", CHAPA COM ESPESSURA MINIMA DE 1,70 MM E LARGURA MINIMA DE 5,00 CM (FECHO REFORCADO)</t>
  </si>
  <si>
    <t xml:space="preserve">FERROLHO COM FECHO CHATO E PORTA CADEADO, EM ACO GALVANIZADO / ZINCADO, DE SOBREPOR, COM COMPRIMENTO DE 6", CHAPA COM ESPESSURA MINIMA DE 0,90 MM E LARGURA MINIMA DE 3,80 CM (FECHO SIMPLES)</t>
  </si>
  <si>
    <t xml:space="preserve">FERROLHO COM FECHO CHATO E PORTA CADEADO, EM ACO GALVANIZADO / ZINCADO, DE SOBREPOR, COM COMPRIMENTO DE 6", CHAPA COM ESPESSURA MINIMA DE 1,70 MM E LARGURA /MINIMA DE 5,00 CM (FECHO REFORCADO) (INCLUI PARAFUSOS)</t>
  </si>
  <si>
    <t xml:space="preserve">FERTILIZANTE NPK -  10:10:10</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</si>
  <si>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</si>
  <si>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</si>
  <si>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</si>
  <si>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 xml:space="preserve">FINCAPINO CURTO CALIBRE 22, CARGA MEDIA POTENCIA 5 (PARA FERRAMENTA DE ACAO DIRETA) COR VERMELHA</t>
  </si>
  <si>
    <t xml:space="preserve">FINCAPINO LONGO CALIBRE 22, CARGA FORTE POTENCIA 7 (PARA FERRAMENTA DE ACAO DIRETA), COR AMARELA</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</si>
  <si>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</si>
  <si>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</si>
  <si>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</si>
  <si>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</si>
  <si>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</si>
  <si>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FITA ACO INOX PARA CINTAR POSTE, L = 19 MM, E = 0,5 MM (ROLO DE 30M)</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</si>
  <si>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</si>
  <si>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</si>
  <si>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</si>
  <si>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FITA ISOLANTE ADESIVA ANTICHAMA, USO ATE 750 V, EM ROLO DE 19 MM X 20 M</t>
  </si>
  <si>
    <t xml:space="preserve">FITA ISOLANTE DE BORRACHA AUTOFUSAO, USO ATE 69 KV (ALTA TENSAO), LARGURA DE 19 MM</t>
  </si>
  <si>
    <t xml:space="preserve">FITA METALICA GRAVADA, L = 17 MM, ROLO DE 25 M, CARGA RECOMENDADA = *120* KGF</t>
  </si>
  <si>
    <t xml:space="preserve">FITA METALICA PERFURADA, L = 17 MM, ROLO DE 30 M, CARGA RECOMENDADA = *19* KGF</t>
  </si>
  <si>
    <t xml:space="preserve">FITA METALICA PERFURADA, L = 25 MM, ROLO DE 30 M, CARGA RECOMENDADA = *222,5* KGF</t>
  </si>
  <si>
    <t xml:space="preserve">FITA VEDA ROSCA, EM PTFE, ROLO  DE 18 MM X 25 M (L X C)</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</si>
  <si>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</si>
  <si>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</si>
  <si>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</si>
  <si>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FLANELA *30 X 40* CM</t>
  </si>
  <si>
    <t xml:space="preserve">FLANGE SEXTAVADO DE FERRO GALVANIZADO, COM ROSCA BSP, DE 1 1/2"</t>
  </si>
  <si>
    <t xml:space="preserve">FLANGE SEXTAVADO DE FERRO GALVANIZADO, COM ROSCA BSP, DE 1 1/4"</t>
  </si>
  <si>
    <t xml:space="preserve">FLANGE SEXTAVADO DE FERRO GALVANIZADO, COM ROSCA BSP, DE 1"</t>
  </si>
  <si>
    <t xml:space="preserve">FLANGE SEXTAVADO DE FERRO GALVANIZADO, COM ROSCA BSP, DE 1/2"</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</si>
  <si>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</si>
  <si>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</si>
  <si>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</si>
  <si>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</si>
  <si>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</si>
  <si>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</si>
  <si>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</si>
  <si>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</si>
  <si>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</si>
  <si>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</si>
  <si>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</si>
  <si>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</si>
  <si>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FORRO DE PVC LISO, BRANCO, REGUA DE 10 CM, ESPESSURA APROXIMADA DE 8 MM (COM COLOCACAO / SEM ESTRUTURA METALICA)</t>
  </si>
  <si>
    <t xml:space="preserve">FORRO DE PVC LISO, BRANCO, REGUA DE 20 CM, ESPESSURA APROXIMADA DE 8 MM, COMPRIMENTO 6 M (SEM COLOCACAO)</t>
  </si>
  <si>
    <t xml:space="preserve">FORRO DE PVC, FRISADO, BRANCO, REGUA DE 10 CM, ESPESSURA APROXIMADA DE 8 MM E COMPRIMENTO 6 M (SEM COLOCACAO)</t>
  </si>
  <si>
    <t xml:space="preserve">FORRO DE PVC, FRISADO, BRANCO, REGUA DE 20 CM, ESPESSURA APROXIMADA DE 8 MM E COMPRIMENTO 6 M (SEM COLOCACAO)</t>
  </si>
  <si>
    <t xml:space="preserve">FOSSA SEPTICA, SEM FILTRO, EM POLIETILENO DE ALTA DENSIDADE (PEAD), PARA 15 A 30 CONTRIBUINTES, CILINDRICA, COM TAMPA, CAPACIDADE APROXIMADA DE *5500* LITROS (NBR 7229)</t>
  </si>
  <si>
    <t xml:space="preserve">FOSSA SEPTICA, SEM FILTRO, EM POLIETILENO DE ALTA DENSIDADE (PEAD), PARA 4 A 7 CONTRIBUINTES, CILINDRICA, COM TAMPA, CAPACIDADE APROXIMADA DE *1100* LITROS (NBR 7229)</t>
  </si>
  <si>
    <t xml:space="preserve">FOSSA SEPTICA, SEM FILTRO, EM POLIETILENO DE ALTA DENSIDADE (PEAD), PARA 8 A 14 CONTRIBUINTES, CILINDRICA, COM TAMPA, CAPACIDADE APROXIMADA DE *3000* LITROS (NBR 7229)</t>
  </si>
  <si>
    <t xml:space="preserve">FOSSA SEPTICA,SEM FILTRO, EM POLIETILENO DE ALTA DENSIDADE (PEAD), PARA 40 A 52 CONTRIBUINTES, CILINDRICA, COM TAMPA, CAPACIDADE APROXIMADA DE *10000* LITROS (NBR 7229)</t>
  </si>
  <si>
    <t xml:space="preserve">FRESADORA DE ASFALTO A FRIO SOBRE ESTEIRAS, LARG. FRESAGEM 2,00 M, POT. 410 KW/550 HP</t>
  </si>
  <si>
    <t xml:space="preserve">FRESADORA DE ASFALTO A FRIO SOBRE RODAS, LARG. FRESAGEM 1,00 M, POT. 155 KW/208 HP</t>
  </si>
  <si>
    <t xml:space="preserve">FUNDO PREPARADOR ACRILICO BASE AGUA</t>
  </si>
  <si>
    <t xml:space="preserve">FUNDO SINTETICO NIVELADOR BRANCO FOSCO PARA MADEIRA</t>
  </si>
  <si>
    <t xml:space="preserve">FUSIVEL DIAZED 20 A TAMANHO DII, CAPACIDADE DE INTERRUPCAO DE 50 KA EM VCA E 8 KA EM VCC, TENSAO NOMINAL DE 500 V</t>
  </si>
  <si>
    <t xml:space="preserve">FUSIVEL DIAZED 35 A TAMANHO DIII, CAPACIDADE DE INTERRUPCAO DE 50 KA EM VCA E 8 KA EM VCC, TENSAO NOMINAL DE 500 V</t>
  </si>
  <si>
    <t xml:space="preserve">FUSIVEL NH *36* A 80 AMPERES, TAMANHO 00, CAPACIDADE DE INTERRUPCAO DE 120 KA, TENSAO NOMINAL DE 500 V</t>
  </si>
  <si>
    <t xml:space="preserve">FUSIVEL NH 100 A TAMANHO 00, CAPACIDADE DE INTERRUPCAO DE 120 KA, TENSAO NOMINAL DE 500 V</t>
  </si>
  <si>
    <t xml:space="preserve">FUSIVEL NH 125 A TAMANHO 00, CAPACIDADE DE INTERRUPCAO DE 120 KA, TENSAO NOMINAL DE 500 V</t>
  </si>
  <si>
    <t xml:space="preserve">FUSIVEL NH 160 A TAMANHO 00, CAPACIDADE DE INTERRUPCAO DE 120 KA, TENSAO NOMINAL DE 500 V</t>
  </si>
  <si>
    <t xml:space="preserve">FUSIVEL NH 20 A TAMANHO 000, CAPACIDADE DE INTERRUPCAO DE 120 KA, TENSAO NOMINAL DE 500 V</t>
  </si>
  <si>
    <t xml:space="preserve">FUSIVEL NH 200 A 250 AMPERES, TAMANHO 1, CAPACIDADE DE INTERRUPCAO DE 120 KA, TENSAO NOMINAL DE 500 V</t>
  </si>
  <si>
    <t xml:space="preserve">GABIAO MANTA (COLCHAO) MALHA HEXAGONAL 6 X 8 CM (ZN/AL REVESTIDO COM POLIMERO), DIMENSOES 4,0 X 2,0 X 0,17 M (C X L X A) FIO 2 MM</t>
  </si>
  <si>
    <t xml:space="preserve">GABIAO MANTA (COLCHAO) MALHA HEXAGONAL 6 X 8 CM (ZN/AL REVESTIDO COM POLIMERO), FIO 2 MM, DIMENSOES 4,0 X 2,0 X 0,23 M (C X L X A)</t>
  </si>
  <si>
    <t xml:space="preserve">GABIAO MANTA (COLCHAO) MALHA HEXAGONAL 6 X 8 CM (ZN/AL REVESTIDO COM POLIMERO), FIO 2 MM, DIMENSOES 4,0 X 2,0 X 0,3 M (C X L X A)</t>
  </si>
  <si>
    <t xml:space="preserve">GABIAO MANTA (COLCHAO) MALHA HEXAGONAL 6 X 8 CM (ZN/AL REVESTIDO COM POLIMERO), FIO 2,0 MM, DIMENSOES 5,0 X 2,0 X 0,17 M (C X L X A)</t>
  </si>
  <si>
    <t xml:space="preserve">GABIAO MANTA (COLCHAO) MALHA HEXAGONAL 6 X 8 CM (ZN/AL REVESTIDO COM POLIMERO), FIO 2,0 MM, DIMENSOES 5,0 X 2,0 X 0,23 M (C X L X A)</t>
  </si>
  <si>
    <t xml:space="preserve">GABIAO MANTA (COLCHAO) MALHA HEXAGONAL 6 X 8 CM (ZN/AL REVESTIDO COM POLIMERO), FIO 2,0 MM, DIMENSOES 5,0 X 2,0 X 0,30 M (C X L X A)</t>
  </si>
  <si>
    <t xml:space="preserve">GABIAO SACO MALHA HEXAGONAL 8 X 10 CM (ZN/AL REVESTIDO COM POLIMERO), FIO 2,4 MM, DIMENSOES 3,0 X 0,65 M</t>
  </si>
  <si>
    <t xml:space="preserve">GABIAO SACO MALHA HEXAGONAL 8 X 10 CM (ZN/AL REVESTIDO COM POLIMERO), FIO 2,4 MM, H = 0,65 M</t>
  </si>
  <si>
    <t xml:space="preserve">GABIAO SACO MALHA HEXAGONAL 8 X 10 CM (ZN/AL), FIO 2,7 MM, DIMENSOES 4,0 X 0,65 M</t>
  </si>
  <si>
    <t xml:space="preserve">GABIAO TIPO CAIXA MALHA HEXAGONAL 8 X 10 CM (ZN/AL REVESTIDO COM POLIMERO), FIO 2,4 MM, DIMENSOES 2,0 X 1,0 X 1,0 M (C X L X A)</t>
  </si>
  <si>
    <t xml:space="preserve">GABIAO TIPO CAIXA MALHA HEXAGONAL 8 X 10 CM (ZN/AL REVESTIDO COM POLIMERO), FIO 2,4 MM, H = 0,50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</si>
  <si>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</si>
  <si>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</si>
  <si>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8 X 10 CM (ZN/AL REVESTIDO COM POLIMERO), FIO 2,7 MM, DIMENSOES 2,0 X 1,0 X 0,5 M, COM CAUDA DE 4,0 M</t>
  </si>
  <si>
    <t xml:space="preserve">GABIAO TIPO CAIXA PARA SOLO REFORCADO, MALHA HEXAGONAL 8 X 10 CM (ZN/AL REVESTIDO COM POLIMERO), FIO 2,7 MM, DIMENSOES 2,0 X 1,0 X 1,0 M, COM CAUDA DE 4,0 M</t>
  </si>
  <si>
    <t xml:space="preserve">GABIAO TIPO CAIXA PARA SOLO REFORCADO, MALHA HEXAGONAL DE DUPLA TORCAO 8 X 10 CM (ZN/AL REVESTIDO COM POLIMERO), FIO 2,7 MM, DIMENSOES 2,0 X 1,0 X 0,5 M, COM CAUDA DE 3,0 M</t>
  </si>
  <si>
    <t xml:space="preserve">GABIAO TIPO CAIXA PARA SOLO REFORCADO, MALHA HEXAGONAL DE DUPLA TORCAO 8 X 10 CM (ZN/AL REVESTIDO COM POLIMERO), FIO 2,7 MM, DIMENSOES 2,0 X 1,0 X 1,0 M, COM CAUDA DE 3,0 M</t>
  </si>
  <si>
    <t xml:space="preserve">GABIAO TIPO CAIXA PARA SOLO REFORCADO, MALHA HEXAGONAL DE DUPLA TORCAO 8 X 10 CM (ZN/AL REVESTIDO COM POLIMERO), FIO 2,7 MM, DIMENSOES 2,0 X 1,0 X 1,0 M, COM CAUDA DE 4,0 M</t>
  </si>
  <si>
    <t xml:space="preserve">GABIAO TIPO CAIXA TRAPEZOIDAL, MALHA HEXAGONAL 10 X 12 CM (ZN/AL REVESTIDO COM POLIMERO) FIO 2,7 MM, FACE COM 65 GRAUS, COM GEOSSINTETICO, DIMENSOES 2,0 X 1,5 X 1,0 M (C X L X A)</t>
  </si>
  <si>
    <t xml:space="preserve">GABIAO TIPO CAIXA, MALHA HEXAGONAL 8 X 10 CM (ZN/AL REVESTIDO COM POLIMERO), FIO 2,4 MM, DIMENSOES 2,0 X 1,0 X 0,5 M (C X L X A)</t>
  </si>
  <si>
    <t xml:space="preserve">GABIAO TIPO CAIXA, MALHA HEXAGONAL 8 X 10 CM (ZN/AL REVESTIDO COM POLIMERO), FIO DE 2,4 MM, DIMENSOES 2,0 X 1,0 X 1,0 M (C X L X A)</t>
  </si>
  <si>
    <t xml:space="preserve">GABIAO TIPO CAIXA, MALHA HEXAGONAL 8 X 10 CM (ZN/AL), FIO 2,7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</si>
  <si>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</si>
  <si>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</si>
  <si>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CHATO EM ACO GALVANIZADO, L = 110 MM, RECOBRIMENTO = 100MM, SECAO 1/8 X 1/2" (3 MM X 12 MM), PARA FIXAR TELHA DE FIBROCIMENTO ONDULADA</t>
  </si>
  <si>
    <t xml:space="preserve">GANCHO OLHAL EM ACO GALVANIZADO, ESPESSURA 16MM, ABERTURA 21MM</t>
  </si>
  <si>
    <t xml:space="preserve">GEOGRELHA TECIDA COM FILAMENTOS DE POLIESTER + PVC, RESISTENCIA LONGITUDINAL: 90 KN/M, RESISTENCIA TRANSVERSAL: 30 KN/M, ALONGAMENTO = 12 POR CENTO</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</si>
  <si>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</si>
  <si>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</si>
  <si>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</si>
  <si>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</si>
  <si>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</si>
  <si>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 (MENSALISTA)</t>
  </si>
  <si>
    <t xml:space="preserve">GESSO COLA, EM PO, PARA FIXACAO DE MOLDURAS, SANCAS E BLOCOS DE GESSO</t>
  </si>
  <si>
    <t xml:space="preserve">GESSO PROJETADO</t>
  </si>
  <si>
    <t xml:space="preserve">GONZO DE EMBUTIR, EM LATAO / ZAMAC, *20 X 48* MM, PARA JANELA BASCULANTE / PIVOTANTE, JOGO COM 4 PECAS (PAR) - INCLUI PARAFUSOS</t>
  </si>
  <si>
    <t xml:space="preserve">GONZO DE SOBREPOR, EM LATAO / ZAMAC, PARA JANELA PIVOTANTE - INCLUI PARAFUSOS</t>
  </si>
  <si>
    <t xml:space="preserve">GRADE DE DISCOS COM CONTROLE REMOTO, REBOCAVEL, COM 24 DISCOS 24" X 6 MM, COM PNEUS PARA TRANSPORTE</t>
  </si>
  <si>
    <t xml:space="preserve">GRADE DE DISCOS MECANICA 20X24" COM 20 DISCOS 24" X 6MM COM PNEUS PARA TRANSPORTE</t>
  </si>
  <si>
    <t xml:space="preserve">GRAMA BATATAIS EM PLACAS, SEM PLANTIO</t>
  </si>
  <si>
    <t xml:space="preserve">GRAMPO DE ACO POLIDO 1" X 9</t>
  </si>
  <si>
    <t xml:space="preserve">GRAMPO DE ACO POLIDO 7/8" X 9</t>
  </si>
  <si>
    <t xml:space="preserve">GRAMPO LINHA VIVA DE LATAO ESTANHADO, DIAMETRO DO CONDUTOR PRINCIPAL DE 10 A 120 MM2, DIAMETRO DA DERIVACAO DE 10 A 70 MM2</t>
  </si>
  <si>
    <t xml:space="preserve">GRAMPO METALICO TIPO OLHAL PARA HASTE DE ATERRAMENTO DE 1", CONDUTOR DE *10* A 50 MM2</t>
  </si>
  <si>
    <t xml:space="preserve">GRAMPO METALICO TIPO OLHAL PARA HASTE DE ATERRAMENTO DE 1/2",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</si>
  <si>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</si>
  <si>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</si>
  <si>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</si>
  <si>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</si>
  <si>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PARALELO METALICO PARA CABO DE 6 A 50 MM2, COM 2 PARAFUSOS</t>
  </si>
  <si>
    <t xml:space="preserve">GRAMPO U DE 5/8" N8 EM ACO GALVANIZADO</t>
  </si>
  <si>
    <t xml:space="preserve">GRANALHA DE ACO, ANGULAR (GRIT), PARA JATEAMENTO, PENEIRA 0,117 A 1,00 MM, (SAE G-40 A G-80)</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</si>
  <si>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</si>
  <si>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</si>
  <si>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</si>
  <si>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GRAUTE CIMENTICIO PARA USO GERAL</t>
  </si>
  <si>
    <t xml:space="preserve">GRAXA LUBRIFICANTE A BASE DE LITIO, DE MULTIPLAS APLICACOES E CONTENDO ADITIVOS DE EXTREMA PRESSAO (GRAU DE VISCOSIDADE NLGI 2)</t>
  </si>
  <si>
    <t xml:space="preserve">GRELHA FIXA, EM PVC BRANCA, QUADRADA, 150 X 150 MM, PARA RALOS E CAIXAS</t>
  </si>
  <si>
    <t xml:space="preserve">GRELHA FIXA, PVC CROMADA, REDONDA, 150 MM, PARA RALOS E CAIXAS</t>
  </si>
  <si>
    <t xml:space="preserve">GRELHA FOFO ARTICULADA, CARGA MAXIMA 1,5 T, *300 X 1000* MM, E= *15* MM</t>
  </si>
  <si>
    <t xml:space="preserve">GRELHA FOFO SIMPLES COM REQUADRO, CARGA MAXIMA 1,5 T, 150 X 1000 MM, E= *15* MM</t>
  </si>
  <si>
    <t xml:space="preserve">GRELHA FOFO SIMPLES COM REQUADRO, CARGA MAXIMA 12,5 T, *300 X 1000* MM, E= *15* MM, AREA ESTACIONAMENTO CARRO PASSEIO</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</si>
  <si>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</si>
  <si>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</si>
  <si>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</si>
  <si>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GERADOR A GASOLINA, POTENCIA NOMINAL 2,2 KW, TENSAO DE SAIDA 110/220 V, MOTOR POTENCIA 6,5 HP</t>
  </si>
  <si>
    <t xml:space="preserve">GRUPO GERADOR DE SOLDA ELETRICA, COM MAQUINA DE SOLDA, ATE 400 AMPERES E GERADOR A DIESEL 30 CV, MOTOR 4 CILINDROS, TANQUE COMBUST., CARENAGEM DE PROTECAO SOBRE RODAS</t>
  </si>
  <si>
    <t xml:space="preserve">GRUPO GERADOR DE SOLDA ELETRICA, COM MAQUINA DE SOLDA, ATE 400 AMPERES E GERADOR A DIESEL 60 CV, MOTOR 4 CILINDROS, TANQUE COMBUST., CARENAGEM DE PROTECAO SOBRE RODAS</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</si>
  <si>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</si>
  <si>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</si>
  <si>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</si>
  <si>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</si>
  <si>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</si>
  <si>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</si>
  <si>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</si>
  <si>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</si>
  <si>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</si>
  <si>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</si>
  <si>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</si>
  <si>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</si>
  <si>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</si>
  <si>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</si>
  <si>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GUARNICAO / ALIZAR / VISTA LISA EM MADEIRA MACICA, PARA PORTA, E = *1* CM, L = *5* CM, PINUS /EUCALIPTO / VIROLA OU EQUIVALENTE DA REGIAO</t>
  </si>
  <si>
    <t xml:space="preserve">GUARNICAO / ALIZAR / VISTA, E = *1,5* CM, L = *5,0* CM, EM POLIESTIRENO, BRANCO (JOGO PARA 1 FACE)</t>
  </si>
  <si>
    <t xml:space="preserve">GUARNICAO/ALIZAR/VISTA, E = *1,3* CM, L = *5,0* CM HASTE REGULAVEL = *35* MM, EM MDF/PVC WOOD/ POLIESTIRENO OU MADEIRA LAMINADA, PRIMER BRANCO (JOGO PARA 1 FACE)</t>
  </si>
  <si>
    <t xml:space="preserve">GUARNICAO/ALIZAR/VISTA, E = *1,3* CM, L = *7,0* CM, EM POLIESTIRENO, BRANCO (JOGO PARA 1 FACE)</t>
  </si>
  <si>
    <t xml:space="preserve">GUINCHO DE ALAVANCA MANUAL, CAPACIDADE 3,2 T COM 20 M DE CABO DE ACO DIAMETRO 16,3 MM</t>
  </si>
  <si>
    <t xml:space="preserve">GUINCHO DE ALAVANCA MANUAL, CAPACIDADE DE 1,6 T, COM 20 M DE CABO DE ACO (AQUISICAO)</t>
  </si>
  <si>
    <t xml:space="preserve">GUINDASTE HIDRAULICO AUTOPROPELIDO, COM LANCA TELESCOPICA 28,80 M, CAPACIDADE MAXIMA 30 T, POTENCIA 97 KW, TRACAO  4 X 4</t>
  </si>
  <si>
    <t xml:space="preserve">GUINDASTE HIDRAULICO AUTOPROPELIDO, COM LANCA TELESCOPICA 40 M, CAPACIDADE MAXIMA 60 T, POTENCIA 260 KW, TRACAO  6 X 6</t>
  </si>
  <si>
    <t xml:space="preserve">GUINDASTE HIDRAULICO AUTOPROPELIDO, COM LANCA TELESCOPICA 50 M, CAPACIDADE MAXIMA 100 T, POTENCIA 350 KW,  TRACAO 10 X 6</t>
  </si>
  <si>
    <t xml:space="preserve">GUINDAUTO HIDRAULICO, CAPACIDADE MAXIMA DE CARGA 10000 KG, MOMENTO MAXIMO DE CARGA 23 TM, ALCANCE MAXIMO HORIZONTAL 11,80 M, PARA MONTAGEM SOBRE CHASSI DE CAMINHAO PBT MINIMO 15000 KG (INCLUI MONTAGEM, NAO INCLUI CAMINHAO)</t>
  </si>
  <si>
    <t xml:space="preserve">GUINDAUTO HIDRAULICO, CAPACIDADE MAXIMA DE CARGA 14340 KG, MOMENTO MAXIMO DE CARGA 42,3 TM, ALCANCE MAXIMO HORIZONTAL 16,80 M, PARA MONTAGEM SOBRE CHASSI DE CAMINHAO PBT MINIMO 23000 KG (INCLUI MONTAGEM, NAO INCLUI CAMINHAO)</t>
  </si>
  <si>
    <t xml:space="preserve">GUINDAUTO HIDRAULICO, CAPACIDADE MAXIMA DE CARGA 30000 KG, MOMENTO MAXIMO DE CARGA 92,2 TM, ALCANCE MAXIMO HORIZONTAL 22,00 M, PARA MONTAGEM SOBRE CHASSI DE CAMINHAO PBT MINIMO 30000 KG (INCLUI MONTAGEM, NAO INCLUI CAMINHAO)</t>
  </si>
  <si>
    <t xml:space="preserve">GUINDAUTO HIDRAULICO, CAPACIDADE MAXIMA DE CARGA 6200 KG, MOMENTO MAXIMO DE CARGA 11,7 TM, ALCANCE MAXIMO HORIZONTAL 9,70 M, PARA MONTAGEM SOBRE CHASSI DE CAMINHAO PBT MINIMO 13000 KG (INCLUI MONTAGEM, NAO INCLUI CAMINHAO)</t>
  </si>
  <si>
    <t xml:space="preserve">GUINDAUTO HIDRAULICO, CAPACIDADE MAXIMA DE CARGA 8500 KG, MOMENTO MAXIMO DE CARGA 30,4 TM, ALCANCE MAXIMO HORIZONTAL 14,30 M, PARA MONTAGEM SOBRE CHASSI DE CAMINHAO PBT MINIMO 23000 KG (INCLUI MONTAGEM, NAO INCLUI CAMINHAO)</t>
  </si>
  <si>
    <t xml:space="preserve">HASTE ANCORA EM ACO GALVANIZADO, DIMENSOES 16 MM X 2000 MM</t>
  </si>
  <si>
    <t xml:space="preserve">HASTE DE ATERRAMENTO EM ACO COM 3,00 M DE COMPRIMENTO E DN = 3/4", REVESTIDA COM BAIXA CAMADA DE COBRE, SEM CONECTOR</t>
  </si>
  <si>
    <t xml:space="preserve">HASTE DE ATERRAMENTO EM ACO COM 3,00 M DE COMPRIMENTO E DN = 5/8", REVESTIDA COM BAIXA CAMADA DE COBRE, COM CONECTOR TIPO GRAMPO</t>
  </si>
  <si>
    <t xml:space="preserve">HASTE DE ATERRAMENTO EM ACO COM 3,00 M DE COMPRIMENTO E DN = 5/8", REVESTIDA COM BAIXA CAMADA DE COBRE, SEM CONECTOR</t>
  </si>
  <si>
    <t xml:space="preserve">HASTE DE ATERRAMENTO EM ACO GALVANIZADO TIPO CANTONEIRA COM 2,00 M DE COMPRIMENTO, 25 X 25 MM E CHAPA DE 3/16"</t>
  </si>
  <si>
    <t xml:space="preserve">HASTE PARA PERFURATRIZ DE ESTEIRA T38, D= 1 1/2" X *3 M*, PARA PROLONGAR BROCA</t>
  </si>
  <si>
    <t xml:space="preserve">HASTE RETA DE ACO GALVANIZADO, H = *30* CM, BASE RETANGULAR, PARA FIXACAO DE CONCERTINA SIMPLES DE 30 CM (NAO INCLUI OS FIXADORES)</t>
  </si>
  <si>
    <t xml:space="preserve">HASTE RETA PARA GANCHO DE FERRO GALVANIZADO, COM ROSCA 1/4" X 40 CM PARA FIXACAO DE TELHA DE FIBROCIMENTO, INCLUI PORCA SEXTAVADA DE ZINCO</t>
  </si>
  <si>
    <t xml:space="preserve">HASTE RETA PARA GANCHO DE FERRO GALVANIZADO, COM ROSCA 5/16" X 35 CM PARA FIXACAO DE TELHA DE FIBROCIMENTO, INCLUI PORCA E ARRUELAS DE VEDACAO</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</si>
  <si>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</si>
  <si>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</si>
  <si>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HIDRANTE DE COLUNA COMPLETO, EM FERRO FUNDIDO, DN = 100 MM, COM REGISTRO, CUNHA DE BORRACHA, CURVA DESSIMETRICA, EXTREMIDADE E TAMPAS (INCLUI KIT FIXACAO)</t>
  </si>
  <si>
    <t xml:space="preserve">HIDRANTE DE COLUNA COMPLETO, EM FERRO FUNDIDO, DN = 75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</si>
  <si>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</si>
  <si>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</si>
  <si>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</si>
  <si>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</si>
  <si>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 xml:space="preserve">HIDROMETRO MULTIJATO / MEDIDOR DE AGUA, DN 1 1/2", VAZAO MAXIMA DE 20 M3/H, PARA AGUA POTAVEL FRIA, RELOJOARIA PLANA, CLASSE B, HORIZONTAL (SEM CONEXOES)</t>
  </si>
  <si>
    <t xml:space="preserve">HIDROMETRO MULTIJATO / MEDIDOR DE AGUA, DN 1", VAZAO MAXIMA DE 10 M3/H, PARA AGUA POTAVEL FRIA, RELOJOARIA PLANA, CLASSE B, HORIZONTAL (SEM CONEXOES)</t>
  </si>
  <si>
    <t xml:space="preserve">HIDROMETRO MULTIJATO / MEDIDOR DE AGUA, DN 1", VAZAO MAXIMA DE 7 M3/H, PARA AGUA POTAVEL FRIA, RELOJOARIA PLANA, CLASSE B, HORIZONTAL (SEM CONEXOES)</t>
  </si>
  <si>
    <t xml:space="preserve">HIDROMETRO MULTIJATO / MEDIDOR DE AGUA, DN 2", VAZAO MAXIMA DE 30 M3/H, PARA AGUA POTAVEL FRIA, RELOJOARIA PLANA, CLASSE B, HORIZONTAL (SEM CONEXOES)</t>
  </si>
  <si>
    <t xml:space="preserve">HIDROMETRO UNIJATO / MEDIDOR DE AGUA, DN 1/2", VAZAO MAXIMA DE 1,5 M3/H, PARA AGUA POTAVEL FRIA, RELOJOARIA PLANA, CLASSE B, HORIZONTAL (SEM CONEXOES)</t>
  </si>
  <si>
    <t xml:space="preserve">HIDROMETRO UNIJATO / MEDIDOR DE AGUA, DN 1/2", VAZAO MAXIMA DE 3 M3/H, PARA AGUA POTAVEL FRIA, RELOJOARIA PLANA, CLASSE B, HORIZONTAL (SEM CONEXOES)</t>
  </si>
  <si>
    <t xml:space="preserve">HIDROMETRO UNIJATO / MEDIDOR DE AGUA, DN 3/4", VAZAO MAXIMA DE 5 M3/H, PARA AGUA POTAVEL FRIA, RELOJOARIA PLANA, CLASSE B, HORIZONTAL (SEM CONEXOES)0,</t>
  </si>
  <si>
    <t xml:space="preserve">HIDROMETRO WOLTMANN, DN 2", VAZAO MAXIMA DE 50 M3/H, PARA AGUA POTAVEL FRIA, RELOJOARIA PLANA, TURBINA HORIZONTAL, EQUIPADO COM TELEMETRIA (SEM CONEXOES)</t>
  </si>
  <si>
    <t xml:space="preserve">HIDROMETRO WOLTMANN, DN 3", VAZAO MAXIMA DE 80 M3/H, PARA AGUA POTAVEL FRIA, RELOJOARIA PLANA, TURBINA HORIZONTAL, EQUIPADO COM TELEMETRIA (SEM CONEXOES)</t>
  </si>
  <si>
    <t xml:space="preserve">IMPERMEABILIZADOR (MENSALISTA)</t>
  </si>
  <si>
    <t xml:space="preserve">IMPERMEABILIZANTE FLEXIVEL BRANCO DE BASE ACRILICA PARA COBERTURAS</t>
  </si>
  <si>
    <t xml:space="preserve">INSTALADOR DE TUBULACOES (TUBOS/EQUIPAMENTOS) (MENSALISTA)</t>
  </si>
  <si>
    <t xml:space="preserve">INSTALADOR DE TUBULACOES - TUBOS/EQUIPAMENTOS (HORISTA)</t>
  </si>
  <si>
    <t xml:space="preserve">INTERRUPTOR BIPOLAR 10A, 250V, CONJUNTO MONTADO PARA EMBUTIR 4" X 2" (PLACA + SUPORTE + MODULO)</t>
  </si>
  <si>
    <t xml:space="preserve">INTERRUPTOR BIPOLAR SIMPLES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</si>
  <si>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</si>
  <si>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</si>
  <si>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CONJUNTO MONTADO PARA EMBUTIR 4" X 2" (PLACA + SUPORTE + MODULO)</t>
  </si>
  <si>
    <t xml:space="preserve">INTERRUPTOR SIMPLES + 2 INTERRUPTORES PARALELOS 10A, 250V, CONJUNTO MONTADO PARA EMBUTIR 4" X 2" (PLACA + SUPORTE + MODULOS)</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</si>
  <si>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</si>
  <si>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</si>
  <si>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</si>
  <si>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10A, 250V, CONJUNTO MONTADO PARA EMBUTIR 4" X 2" (PLACA + SUPORTE + MODULO)</t>
  </si>
  <si>
    <t xml:space="preserve">INTERRUPTOR SIMPLES 10A, 250V, CONJUNTO MONTADO PARA SOBREPOR 4" X 2" (CAIXA + 2 MODULOS)</t>
  </si>
  <si>
    <t xml:space="preserve">INTERRUPTOR SIMPLES 10A, 250V, CONJUNTO MONTADO PARA SOBREPOR 4" X 2" (CAIXA + MODULO)</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</si>
  <si>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</si>
  <si>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</si>
  <si>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</si>
  <si>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+ 1 INTERRUPTOR PARALELO 10A, 250V, CONJUNTO MONTADO PARA EMBUTIR 4" X 2" (PLACA + SUPORTE + MODULOS)</t>
  </si>
  <si>
    <t xml:space="preserve">INTERRUPTORES SIMPLES (2 MODULOS) + TOMADA 2P+T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</si>
  <si>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</si>
  <si>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</si>
  <si>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INVERSOR DE SOLDA MONOFASICO DE 160 A, POTENCIA DE 5400 W, TENSAO DE 220 V, TURBO VENTILADO, PROTECAO POR FUSIVEL TERMICO, PARA ELETRODOS DE 2,0 A 4,0 MM</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</si>
  <si>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</si>
  <si>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</si>
  <si>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</si>
  <si>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</si>
  <si>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</si>
  <si>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</si>
  <si>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</si>
  <si>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</si>
  <si>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60 X 60 CM (SEM VIDROS)</t>
  </si>
  <si>
    <t xml:space="preserve">JANELA BASCULANTE, EM ALUMINIO PERFIL 20, 80 X 60 CM (A X L), 4 FLS (1 FIXA E 3 MOVEIS), ACABAMENTO BRANCO OU BRILHANTE, BATENTE DE 3 A 4 CM, COM VIDRO 4 MM, SEM GUARNICAO</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</si>
  <si>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</si>
  <si>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</si>
  <si>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</si>
  <si>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</si>
  <si>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ABRIR EM MADEIRA PINUS/EUCALIPTO/TAUARI/VIROLA OU EQUIVALENTE DA REGIAO, CAIXA DO BATENTE/MARCO *10* CM, 2 FOLHAS DE ABRIR TIPO VENEZIANA E 2 FOLHAS GUILHOTINA PARA VIDRO, COM FERRAGENS (SEM VIDRO, SEM GUARNICAO/ALIZAR E SEM ACABAMENTO)</t>
  </si>
  <si>
    <t xml:space="preserve">JANELA DE CORRER, ACO, BATENTE/REQUADRO DE 6 A 14 CM, COM DIVISAO HORIZ, PINT ANTICORROSIVA, SEM VIDRO, BANDEIRA COM BASCULA, 4 FLS, 120 X 150 CM (A X L)</t>
  </si>
  <si>
    <t xml:space="preserve">JANELA DE CORRER, EM ALUMINIO PERFIL 25, 100 X 120 CM (A X L), 2 FLS MOVEIS, SEM BANDEIRA, ACABAMENTO BRANCO OU BRILHANTE, BATENTE DE 6 A 7 CM, COM VIDRO 4 MM, SEM GUARNICAO</t>
  </si>
  <si>
    <t xml:space="preserve">JANELA DE CORRER, EM ALUMINIO PERFIL 25, 100 X 150 CM (A X L), 2 FLS MOVEIS, SEM BANDEIRA, ACABAMENTO BRANCO OU BRILHANTE, BATENTE DE 6 A 7 CM, COM VIDRO 4 MM, SEM GUARNICAO</t>
  </si>
  <si>
    <t xml:space="preserve">JANELA DE CORRER, EM ALUMINIO PERFIL 25, 100 X 150 CM (A X L), 4 FLS MOVEIS, SEM BANDEIRA, ACABAMENTO BRANCO OU BRILHANTE, BATENTE DE 6 A 7 CM, COM VIDRO 4 MM, SEM GUARNICAO/ALIZAR</t>
  </si>
  <si>
    <t xml:space="preserve">JANELA DE CORRER, EM ALUMINIO PERFIL 25, 100 X 200 CM (A X L), 4 FLS, SEM BANDEIRA, ACABAMENTO BRANCO OU BRILHANTE, BATENTE DE 6 A 7 CM, COM VIDRO 4 MM,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</si>
  <si>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</si>
  <si>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JANELA INTEGRADA VENEZIANA EM ALUMINIO PERFIL 25, 120 X 120 CM (A X L), 2 FLS (2 VIDROS) E VENEZIANA COM ACIONAMENTO MANUAL, SEM BANDEIRA, ACABAMENTO BRILHANTE, BATENTE DE 11,50 A 12,50 CM, COM VIDRO 4 MM, INCLUSO GUARNICAO</t>
  </si>
  <si>
    <t xml:space="preserve">JANELA MAXIM-AR EM MADEIRA CEDRINHO/ ANGELIM COMERCIAL/ CURUPIXA/ CUMARU OU EQUIVALENTE DA REGIAO, CAIXA DO BATENTE/MARCO *10* CM, 1 FOLHA PARA VIDRO, COM GUARNICAO/ALIZAR, COM FERRAGENS, (SEM VIDRO E SEM ACABAMENTO)</t>
  </si>
  <si>
    <t xml:space="preserve">JANELA MAXIM-AR, ACO GALVANIZADO PINT. ANTICORROSIVA, COM BATENTE/REQUADRO DE 6 A 14 CM, SEM VIDRO, COM GRADE, 1 FL, 60 X 80 CM (A X L)</t>
  </si>
  <si>
    <t xml:space="preserve">JANELA VENEZIANA DE CORRER, EM ALUMINIO PERFIL 25, 100 X 120 CM (A X L), 3 FLS (2 VENEZIANAS E 1 VIDRO), SEM BANDEIRA, ACABAMENTO BRANCO OU BRILHANTE, BATENTE DE 8 A 9 CM, COM VIDRO 4 MM, SEM GUARNICAO/ALIZAR</t>
  </si>
  <si>
    <t xml:space="preserve">JANELA VENEZIANA DE CORRER, EM ALUMINIO PERFIL 25, 100 X 150 CM (A X L), 6 FLS (4 VENEZIANAS E 2 VIDROS), SEM BANDEIRA, ACABAMENTO BRANCO OU BRILHANTE, BATENTE DE 8 A 9 CM, COM VIDRO 4 MM, SEM GUARNICAO / ALIZAR</t>
  </si>
  <si>
    <t xml:space="preserve">JARDINEIRO (MENSALISTA)</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</si>
  <si>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</si>
  <si>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</si>
  <si>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</si>
  <si>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</si>
  <si>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</si>
  <si>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</si>
  <si>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</si>
  <si>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</si>
  <si>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114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</si>
  <si>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</si>
  <si>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</si>
  <si>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</si>
  <si>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</si>
  <si>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</si>
  <si>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</si>
  <si>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</si>
  <si>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</si>
  <si>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REDUCAO, PVC SOLDAVEL, 90 GRAUS, 25 MM X 20 MM, COR MARROM, PARA AGUA FRIA PREDIAL</t>
  </si>
  <si>
    <t xml:space="preserve">JOELHO DE REDUCAO, PVC SOLDAVEL, 90 GRAUS, 32 MM X 25 MM, COR MARROM, PARA AGUA FRIA PREDIAL</t>
  </si>
  <si>
    <t xml:space="preserve">JOELHO DE REDUCAO, PVC, ROSCAVEL, 90 GRAUS, 1" X 3/4", COR BRANCA, PARA AGUA FRIA PREDIAL</t>
  </si>
  <si>
    <t xml:space="preserve">JOELHO DE REDUCAO, PVC, ROSCAVEL, 90 GRAUS, 3/4" X 1/2", COR BRANCA, PARA AGUA FRIA PREDIAL</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</si>
  <si>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</si>
  <si>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</si>
  <si>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</si>
  <si>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PPR 45 GRAUS, SOLDAVEL, F/F, DN 20 MM, PARA AGUA QUENTE PREDIAL</t>
  </si>
  <si>
    <t xml:space="preserve">JOELHO PPR 45 GRAUS, SOLDAVEL, F/F, DN 25 MM, PARA AGUA QUENTE PREDIAL</t>
  </si>
  <si>
    <t xml:space="preserve">JOELHO PPR 45 GRAUS, SOLDAVEL, F/F, DN 40 MM, PARA AQUA QUENTE E FRIA PREDIAL</t>
  </si>
  <si>
    <t xml:space="preserve">JOELHO PPR 45 GRAUS, SOLDAVEL, F/F, DN 50 MM, PARA AQUA QUENTE E FRIA PREDIAL</t>
  </si>
  <si>
    <t xml:space="preserve">JOELHO PPR 45 GRAUS, SOLDAVEL, F/F, DN 63 MM, PARA AQUA QUENTE E FRIA PREDIAL</t>
  </si>
  <si>
    <t xml:space="preserve">JOELHO PPR 45 GRAUS, SOLDAVEL, F/F, DN 75 MM, PARA AQUA QUENTE E FRIA PREDIAL</t>
  </si>
  <si>
    <t xml:space="preserve">JOELHO PPR 45 GRAUS, SOLDAVEL, F/F, DN 90 MM, PARA AQUA QUENTE E FRIA PREDIAL</t>
  </si>
  <si>
    <t xml:space="preserve">JOELHO PPR, 45 GRAUS, SOLDAVEL, F/F, DN 32 MM, PARA AGUA QUENTE PREDIAL</t>
  </si>
  <si>
    <t xml:space="preserve">JOELHO PPR, 90 GRAUS, SOLDAVEL, F/F, DN 110 MM, PARA AGUA QUENTE PREDIAL</t>
  </si>
  <si>
    <t xml:space="preserve">JOELHO PPR, 90 GRAUS, SOLDAVEL, F/F, DN 20 MM, PARA AGUA QUENTE PREDIAL</t>
  </si>
  <si>
    <t xml:space="preserve">JOELHO PPR, 90 GRAUS, SOLDAVEL, F/F, DN 25 MM, PARA AGUA QUENTE PREDIAL</t>
  </si>
  <si>
    <t xml:space="preserve">JOELHO PPR, 90 GRAUS, SOLDAVEL, F/F, DN 32 MM, PARA AGUA QUENTE PREDIAL</t>
  </si>
  <si>
    <t xml:space="preserve">JOELHO PPR, 90 GRAUS, SOLDAVEL, F/F, DN 40 MM, PARA AGUA QUENTE PREDIAL</t>
  </si>
  <si>
    <t xml:space="preserve">JOELHO PPR, 90 GRAUS, SOLDAVEL, F/F, DN 50 MM, PARA AGUA QUENTE PREDIAL</t>
  </si>
  <si>
    <t xml:space="preserve">JOELHO PPR, 90 GRAUS, SOLDAVEL, F/F, DN 63 MM, PARA AGUA QUENTE PREDIAL</t>
  </si>
  <si>
    <t xml:space="preserve">JOELHO PPR, 90 GRAUS, SOLDAVEL, F/F, DN 75 MM, PARA AGUA QUENTE PREDIAL</t>
  </si>
  <si>
    <t xml:space="preserve">JOELHO PPR, 90 GRAUS, SOLDAVEL, F/F, DN 90 MM, PARA AGUA QUENTE PREDIAL</t>
  </si>
  <si>
    <t xml:space="preserve">JOELHO PVC COM VISITA, 90 GRAUS, DN 100 X 50 MM, SERIE NORMAL, PARA ESGOTO PREDIAL</t>
  </si>
  <si>
    <t xml:space="preserve">JOELHO PVC, 90 GRAUS, ROSCAVEL, 1 1/4", COR BRANCA, AGUA FRIA PREDIAL</t>
  </si>
  <si>
    <t xml:space="preserve">JOELHO PVC, ROSCAVEL, 45 GRAUS, 1", COR BRANCA, PARA AGUA FRIA PREDIAL</t>
  </si>
  <si>
    <t xml:space="preserve">JOELHO PVC, ROSCAVEL, 45 GRAUS, 1/2", COR BRANCA, PARA AGUA FRIA PREDIAL</t>
  </si>
  <si>
    <t xml:space="preserve">JOELHO PVC, ROSCAVEL, 45 GRAUS, 3/4", COR BRANCA, PARA AGUA FRIA PREDIAL</t>
  </si>
  <si>
    <t xml:space="preserve">JOELHO PVC, ROSCAVEL, 90 GRAUS, 1", COR BRANCA, PARA AGUA FRIA PREDIAL</t>
  </si>
  <si>
    <t xml:space="preserve">JOELHO PVC, ROSCAVEL, 90 GRAUS, 1/2", COR BRANCA, PARA AGUA FRIA PREDIAL</t>
  </si>
  <si>
    <t xml:space="preserve">JOELHO PVC, ROSCAVEL, 90 GRAUS, 3/4", COR BRANCA, PARA AGUA FRIA PREDIAL</t>
  </si>
  <si>
    <t xml:space="preserve">JOELHO PVC, SOLDAVEL COM ROSCA, 90 GRAUS, 20 MM X 1/2", COR MARROM, PARA AGUA FRIA PREDIAL</t>
  </si>
  <si>
    <t xml:space="preserve">JOELHO PVC, SOLDAVEL COM ROSCA, 90 GRAUS, 25 MM X 1/2", COR MARROM, PARA AGUA FRIA PREDIAL</t>
  </si>
  <si>
    <t xml:space="preserve">JOELHO PVC, SOLDAVEL COM ROSCA, 90 GRAUS, 32 MM X 3/4", COR MARROM, PARA AGUA FRIA PREDIAL</t>
  </si>
  <si>
    <t xml:space="preserve">JOELHO PVC, SOLDAVEL, 90 GRAUS, 110 MM, COR MARROM, PARA AGUA FRIA PREDIAL</t>
  </si>
  <si>
    <t xml:space="preserve">JOELHO PVC, SOLDAVEL, 90 GRAUS, 20 MM, COR MARROM, PARA AGUA FRIA PREDIAL</t>
  </si>
  <si>
    <t xml:space="preserve">JOELHO PVC, SOLDAVEL, 90 GRAUS, 60 MM, COR MARROM, PARA AGUA FRIA PREDIAL</t>
  </si>
  <si>
    <t xml:space="preserve">JOELHO PVC, SOLDAVEL, 90 GRAUS, 85 MM, COR MARROM, PARA AGUA FRIA PREDIAL</t>
  </si>
  <si>
    <t xml:space="preserve">JOELHO PVC, SOLDAVEL, COM BUCHA DE LATAO, 90 GRAUS, 20 MM X 1/2", PARA AGUA FRIA PREDIAL</t>
  </si>
  <si>
    <t xml:space="preserve">JOELHO PVC, SOLDAVEL, COM BUCHA DE LATAO, 90 GRAUS, 32 MM X 3/4", PARA AGUA FRIA PREDIAL</t>
  </si>
  <si>
    <t xml:space="preserve">JOELHO PVC, SOLDAVEL, PB, 45 GRAUS, DN 150 MM, PARA ESGOTO PREDIAL</t>
  </si>
  <si>
    <t xml:space="preserve">JOELHO PVC, SOLDAVEL, PB, 45 GRAUS, DN 40 MM, PARA ESGOTO PREDIAL</t>
  </si>
  <si>
    <t xml:space="preserve">JOELHO PVC, SOLDAVEL, PB, 90 GRAUS, DN 150 MM, PARA ESGOTO PREDIAL</t>
  </si>
  <si>
    <t xml:space="preserve">JOELHO PVC, SOLDAVEL, PB, 90 GRAUS, DN 40 MM, PARA ESGOTO PREDIAL</t>
  </si>
  <si>
    <t xml:space="preserve">JOELHO, PVC SERIE R, 45 GRAUS, DN 40 MM, PARA ESGOTO PREDIAL</t>
  </si>
  <si>
    <t xml:space="preserve">JOELHO, PVC SERIE R, 45 GRAUS, DN 50 MM, PARA ESGOTO PREDIAL</t>
  </si>
  <si>
    <t xml:space="preserve">JOELHO, PVC SERIE R, 90 GRAUS, DN 40 MM, PARA ESGOTO PREDIAL</t>
  </si>
  <si>
    <t xml:space="preserve">JOELHO, PVC SERIE R, 90 GRAUS, DN 75 MM, PARA ESGOTO PREDIAL</t>
  </si>
  <si>
    <t xml:space="preserve">JOELHO, PVC SOLDAVEL, 45 GRAUS, 20 MM, COR MARROM, PARA AGUA FRIA PREDIAL</t>
  </si>
  <si>
    <t xml:space="preserve">JOELHO, PVC SOLDAVEL, 45 GRAUS, 32 MM, COR MARROM, PARA AGUA FRIA PREDIAL</t>
  </si>
  <si>
    <t xml:space="preserve">JOELHO, PVC SOLDAVEL, 45 GRAUS, 60 MM, COR MARROM, PARA AGUA FRIA PREDIAL</t>
  </si>
  <si>
    <t xml:space="preserve">JOELHO, PVC SOLDAVEL, 45 GRAUS, 85 MM, COR MARROM, PARA AGUA FRIA PREDIAL</t>
  </si>
  <si>
    <t xml:space="preserve">JOELHO/COTOVELO 90 GRAUS, METALICO, PARA CONEXAO COM ANEL DESLIZANTE, DN 16 MM, EM TUBO PEX PARA INST. AGUA QUENTE/FRIA</t>
  </si>
  <si>
    <t xml:space="preserve">JOELHO/COTOVELO 90 GRAUS, METALICO, PARA CONEXAO COM ANEL DESLIZANTE, DN 20 MM, EM TUBO PEX PARA INST. AGUA QUENTE/FRIA</t>
  </si>
  <si>
    <t xml:space="preserve">JOELHO/COTOVELO 90 GRAUS, METALICO, PARA CONEXAO COM ANEL DESLIZANTE, DN 25 MM, EM TUBO PEX PARA INST. AGUA QUENTE/FRIA</t>
  </si>
  <si>
    <t xml:space="preserve">JOELHO/COTOVELO 90 GRAUS, METALICO, PARA CONEXAO COM ANEL DESLIZANTE, DN 32 MM, EM TUBO PEX PARA INST. AGUA QUENTE/FRIA</t>
  </si>
  <si>
    <t xml:space="preserve">JOELHO/COTOVELO 90 GRAUS, PLASTICO, PARA CONEXAO COM CRIMPAGEM, DN 16 MM, EM TUBO PEX PARA INST. AGUA QUENTE/FRIA</t>
  </si>
  <si>
    <t xml:space="preserve">JOELHO/COTOVELO 90 GRAUS, PLASTICO, PARA CONEXAO COM CRIMPAGEM, DN 25 MM, EM TUBO PEX PARA INST. AGUA QUENTE/FRIA</t>
  </si>
  <si>
    <t xml:space="preserve">JOELHO/COTOVELO 90 GRAUS, ROSCA FEMEA MOVEL, METALICO, PARA CONEXAO COM ANEL DESLIZANTE, DN 20 MM X 3/4", EM TUBO PEX PARA INST. AGUA QUENTE/FRIA</t>
  </si>
  <si>
    <t xml:space="preserve">JOELHO/COTOVELO 90 GRAUS, ROSCA FEMEA TERMINAL, METALICO, PARA CONEXAO COM ANEL DESLIZANTE, DN 16 MM X 1/2", EM TUBO PEX PARA INST. AGUA QUENTE/FRIA</t>
  </si>
  <si>
    <t xml:space="preserve">JOELHO/COTOVELO 90 GRAUS, ROSCA FEMEA TERMINAL, METALICO, PARA CONEXAO COM ANEL DESLIZANTE, DN 20 MM X 1/2", EM TUBO PEX PARA INST. AGUA QUENTE/FRIA</t>
  </si>
  <si>
    <t xml:space="preserve">JOELHO/COTOVELO 90 GRAUS, ROSCA FEMEA TERMINAL, METALICO, PARA CONEXAO COM ANEL DESLIZANTE, DN 20 MM X 3/4", EM TUBO PEX PARA INST. AGUA QUENTE/FRIA</t>
  </si>
  <si>
    <t xml:space="preserve">JOELHO/COTOVELO 90 GRAUS, ROSCA FEMEA TERMINAL, METALICO, PARA CONEXAO COM ANEL DESLIZANTE, DN 25 MM X 3/4", EM TUBO PEX PARA INST. AGUA QUENTE/FRIA</t>
  </si>
  <si>
    <t xml:space="preserve">JOELHO/COTOVELO 90 GRAUS, ROSCA FEMEA TERMINAL, PLASTICO, PARA CONEXAO COM CRIMPAGEM, DN 16 MM X 1/2", EM TUBO PEX PARA INST. AGUA QUENTE/FRIA</t>
  </si>
  <si>
    <t xml:space="preserve">JOELHO/COTOVELO 90 GRAUS, ROSCA FEMEA TERMINAL, PLASTICO, PARA CONEXAO COM CRIMPAGEM, DN 20 MM X 1/2", EM TUBO PEX PARA INST. AGUA QUENTE/FRIA</t>
  </si>
  <si>
    <t xml:space="preserve">JOELHO/COTOVELO 90 GRAUS, ROSCA FEMEA TERMINAL, PLASTICO, PARA CONEXAO COM CRIMPAGEM, DN 20 MM X 3/4", EM TUBO PEX PARA INST. AGUA QUENTE/FRIA</t>
  </si>
  <si>
    <t xml:space="preserve">JOELHO/COTOVELO 90 GRAUS, ROSCA FEMEA TERMINAL, PLASTICO, PARA CONEXAO COM CRIMPAGEM, DN 25 MM X 1/2", EM TUBO PEX PARA INST. AGUA QUENTE/FRIA</t>
  </si>
  <si>
    <t xml:space="preserve">JOELHO/COTOVELO 90 GRAUS, ROSCA FEMEA, COM BASE FIXA, METALICO, PARA CONEXAO COM ANEL DESLIZANTE, DN 16 MM X 1/2", EM TUBO PEX PARA INST. AGUA QUENTE/FRIA</t>
  </si>
  <si>
    <t xml:space="preserve">JOELHO/COTOVELO 90 GRAUS, ROSCA FEMEA, COM BASE FIXA, METALICO, PARA CONEXAO COM ANEL DESLIZANTE, DN 20 MM X 1/2", EM TUBO PEX PARA INST. AGUA QUENTE/FRIA</t>
  </si>
  <si>
    <t xml:space="preserve">JOELHO/COTOVELO 90 GRAUS, ROSCA FEMEA, COM BASE FIXA, METALICO, PARA CONEXAO COM ANEL DESLIZANTE, DN 25 MM X 3/4", EM TUBO PEX PARA INST. AGUA QUENTE/FRIA</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</si>
  <si>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</si>
  <si>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</si>
  <si>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2 GARRAS PARA FITA PERFURADA</t>
  </si>
  <si>
    <t xml:space="preserve">JUNCAO DE REDUCAO INVERTIDA, PVC SOLDAVEL, 100 X 50 MM, SERIE NORMAL PARA ESGOTO PREDIAL</t>
  </si>
  <si>
    <t xml:space="preserve">JUNCAO DE REDUCAO INVERTIDA, PVC SOLDAVEL, 100 X 75 MM, SERIE NORMAL PARA ESGOTO PREDIAL</t>
  </si>
  <si>
    <t xml:space="preserve">JUNCAO DE REDUCAO INVERTIDA, PVC SOLDAVEL, 75 X 50 MM, SERIE NORMAL PARA ESGOTO PREDIAL</t>
  </si>
  <si>
    <t xml:space="preserve">JUNCAO DUPLA, PVC SERIE R, DN 100 X 100 X 100 MM, PARA ESGOTO PREDIAL</t>
  </si>
  <si>
    <t xml:space="preserve">JUNCAO DUPLA, PVC SOLDAVEL, DN 100 X 100 X 100 MM, SERIE NORMAL PARA ESGOTO PREDIAL</t>
  </si>
  <si>
    <t xml:space="preserve">JUNCAO INVERTIDA, PVC SOLDAVEL, 75 X 75 MM, SERIE NORMAL PARA ESGOTO PREDIAL</t>
  </si>
  <si>
    <t xml:space="preserve">JUNCAO SIMPLES, PVC SERIE R, DN 100 X 75 MM, PARA ESGOTO PREDIAL</t>
  </si>
  <si>
    <t xml:space="preserve">JUNCAO SIMPLES, PVC SERIE R, DN 40 X 40 MM, PARA ESGOTO PREDIAL</t>
  </si>
  <si>
    <t xml:space="preserve">JUNCAO SIMPLES, PVC SERIE R, DN 50 X 50 MM, PARA ESGOTO PREDIAL</t>
  </si>
  <si>
    <t xml:space="preserve">JUNCAO SIMPLES, PVC SERIE R, DN 75 X 75 MM, PARA ESGOTO PREDIAL</t>
  </si>
  <si>
    <t xml:space="preserve">JUNCAO, PVC, 45 GRAUS, JE, BBB, DN 150 MM, PARA TUBO CORRUGADO E/OU LISO, REDE COLETORA DE ESGOTO</t>
  </si>
  <si>
    <t xml:space="preserve">JUNTA DE EXPANSAO BRONZE/LATAO, PONTA X PONTA, 35 MM</t>
  </si>
  <si>
    <t xml:space="preserve">JUNTA DE EXPANSAO BRONZE/LATAO, PONTA X PONTA, 42 MM</t>
  </si>
  <si>
    <t xml:space="preserve">JUNTA DE EXPANSAO BRONZE/LATAO, PONTA X PONTA, 54 MM</t>
  </si>
  <si>
    <t xml:space="preserve">JUNTA DE EXPANSAO BRONZE/LATAO, PONTA X PONTA, 66 MM</t>
  </si>
  <si>
    <t xml:space="preserve">JUNTA DE EXPANSAO DE COBRE, PONTA X PONTA, 15 MM</t>
  </si>
  <si>
    <t xml:space="preserve">JUNTA DE EXPANSAO DE COBRE, PONTA X PONTA, 22 MM</t>
  </si>
  <si>
    <t xml:space="preserve">JUNTA DE EXPANSAO DE COBRE, PONTA X PONTA, 28 MM</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</si>
  <si>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</si>
  <si>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</si>
  <si>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</si>
  <si>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</si>
  <si>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</si>
  <si>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</si>
  <si>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</si>
  <si>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</si>
  <si>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CHASSI COZINHA, CUBA SIMPLES SEM MAQUINA LAVAR LOUCA, INSTAL. PEX, QUADRO METALICO C/ TRAVESSA C/ FURO P/ESGOTO DN 50 MM E FUROS SUPERIORES P/AGUA, *340* X *650* MM (L X H), P/ CONEXAO COM ANEL DESLIZANTE (CONJUNTO COMPLETO)</t>
  </si>
  <si>
    <t xml:space="preserve">KIT CHASSI COZINHA, CUBA SIMPLES SEM MAQUINA LAVAR LOUCA, INSTAL. PEX, QUADRO METALICO C/ TRAVESSA COM FURO P/ESGOTO DN 50 MM E FUROS SUPERIORES P/AGUA, *340* X *650* MM (L X H), P/ CONEXAO COM CRIMPAGEM (CONJUNTO COMPLETO)</t>
  </si>
  <si>
    <t xml:space="preserve">KIT CHASSI TANQUE E MAQUINA LAVAR ROUPA, INSTAL. PEX, QUADRO METALICO C/ TRAVESSA C/ FURO P/ ESGOTO DN 50 MM, FURO LATERAL P/ MAQUINA E FUROS SUPERIORES P/ AGUA, *344* X *442* MM (L X H), P/ CONEXAO COM ANEL DESLIZANTE (CONJUNTO COMPLETO)</t>
  </si>
  <si>
    <t xml:space="preserve">KIT CHASSI TANQUE E MAQUINA LAVAR ROUPA, INSTAL. PEX, QUADRO METALICO C/ TRAVESSA C/ FURO P/ ESGOTO DN 50 MM, FURO LATERAL P/MAQUINA E FUROS SUPERIORES P/AGUA, *344* X *442* MM (L X H), P/ CONEXAO COM CRIMPAGEM (CONJUNTO COMPLETO)</t>
  </si>
  <si>
    <t xml:space="preserve">KIT CHUVEIRO, INSTAL. PEX, QUADRO METALICO C/ 2 TRAVESSAS, SUPERIOR C/ ESPERA P/ CHUVEIRO, INFERIOR C/ 2 REGISTROS DE PRESSAO 1/2 ", *390* X *900* MM (L X H), CONEXAO COM ANEL DESLIZANTE (CONJUNTO COMPLETO)</t>
  </si>
  <si>
    <t xml:space="preserve">KIT CHUVEIRO, INSTAL. PEX, QUADRO METALICO C/2 TRAVESSAS, SUPERIOR C/ ESPERA P/ CHUVEIRO E INFERIOR C/2 REGISTROS DE PRESSAO 1/2 ", *390* X *900* MM (L X H), CONEXAO COM CRIMPAGEM (CONJUNTO COMPLETO)</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</si>
  <si>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</si>
  <si>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</si>
  <si>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</si>
  <si>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KIT PORTA PRONTA DE MADEIRA, FOLHA LEVE (NBR 15930) DE 600 X 2100 MM OU 700 X 2100 MM, DE 35 MM A 40 MM DE ESPESSURA, COM MARCO EM ACO, NUCLEO COLMEIA, CAPA LISA EM HDF, ACABAMENTO MELAMINICO BRANCO (INCLUI MARCO, ALIZARES, DOBRADICAS E FECHADURA)</t>
  </si>
  <si>
    <t xml:space="preserve">KIT PORTA PRONTA DE MADEIRA, FOLHA LEVE (NBR 15930) DE 600 X 2100 MM OU 700 X 2100 MM, DE 35 MM A 40 MM DE ESPESSURA, NUCLEO COLMEIA, ESTRUTURA USINADA PARA FECHADURA, CAPA LISA EM HDF, ACABAMENTO EM PRIMER PARA PINTURA (INCLUI MARCO, ALIZARES E DOBRADICAS)</t>
  </si>
  <si>
    <t xml:space="preserve">KIT PORTA PRONTA DE MADEIRA, FOLHA LEVE (NBR 15930) DE 800 X 2100 MM, DE 35 MM A 40 MM DE ESPESSURA, COM MARCO EM ACO, NUCLEO COLMEIA, CAPA LISA EM HDF, ACABAMENTO MELAMINICO BRANCO (INCLUI MARCO, ALIZARES, DOBRADICAS E FECHADURA)</t>
  </si>
  <si>
    <t xml:space="preserve">KIT PORTA PRONTA DE MADEIRA, FOLHA LEVE (NBR 15930) DE 800 X 2100 MM, DE 35 MM A 40 MM DE ESPESSURA, NUCLEO COLMEIA, ESTRUTURA USINADA PARA FECHADURA, CAPA LISA EM HDF, ACABAMENTO EM PRIMER PARA PINTURA (INCLUI MARCO, ALIZARES E DOBRADICAS)</t>
  </si>
  <si>
    <t xml:space="preserve">KIT PORTA PRONTA DE MADEIRA, FOLHA LEVE (NBR 15930) DE 900 X 2100 MM, DE 35 MM A 40 MM DE ESPESSURA, COM MARCO EM ACO, NUCLEO COLMEIA, CAPA LISA EM HDF, ACABAMENTO MELAMINICO BRANCO (INCLUI MARCO, ALIZARES, DOBRADICAS E FECHADURA)</t>
  </si>
  <si>
    <t xml:space="preserve">KIT PORTA PRONTA DE MADEIRA, FOLHA LEVE (NBR 15930) DE 900 X 2100 MM, DE 35 MM A 40 MM DE ESPESSURA, NUCLEO COLMEIA, ESTRUTURA USINADA PARA FECHADURA, CAPA LISA EM HDF, ACABAMENTO EM PRIMER PARA PINTURA (INCLUI MARCO, ALIZARES E DOBRADICAS)</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</si>
  <si>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</si>
  <si>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KIT PORTA PRONTA DE MADEIRA, FOLHA MEDIA (NBR 15930) DE 600 X 2100 MM, DE 35 MM A 40 MM DE ESPESSURA, NUCLEO SEMI-SOLIDO (SARRAFEADO), ESTRUTURA USINADA PARA FECHADURA, CAPA LISA EM HDF, ACABAMENTO EM PRIMER PARA PINTURA (INCLUI MARCO, ALIZARES E DOBRADICAS)</t>
  </si>
  <si>
    <t xml:space="preserve">KIT PORTA PRONTA DE MADEIRA, FOLHA MEDIA (NBR 15930) DE 700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</si>
  <si>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</si>
  <si>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MELAMINICO BRANCO (INCLUI MARCO, ALIZARES E DOBRADICAS)</t>
  </si>
  <si>
    <t xml:space="preserve">KIT PORTA PRONTA DE MADEIRA, FOLHA MEDIA (NBR 15930) DE 900 X 2100 MM, DE 35 MM A 40 MM DE ESPESSURA, NUCLEO SEMI-SOLIDO (SARRAFEADO), ESTRUTURA USINADA PARA FECHADURA, CAPA LISA EM HDF, ACABAMENTO EM PRIMER PARA PINTURA (INCLUI MARCO, ALIZARES E DOBRADICAS)</t>
  </si>
  <si>
    <t xml:space="preserve">KIT PORTA PRONTA DE MADEIRA, FOLHA MEDIA (NBR 15930) DE 900 X 2100 MM, DE 35 MM A 40 MM DE ESPESSURA, NUCLEO SEMI-SOLIDO (SARRAFEADO), ESTRUTURA USINADA PARA FECHADURA, CAPA LISA EM HDF, ACABAMENTO MELAMINICO BRANCO (INCLUI MARCO, ALIZARES E DOBRADICAS)</t>
  </si>
  <si>
    <t xml:space="preserve">KIT PORTA PRONTA DE MADEIRA, FOLHA PESADA (NBR 15930) DE 800 X 2100 MM, DE 40 MM A 45 MM DE ESPESSURA, COM MARCO EM ACO, NUCLEO SOLIDO, CAPA LISA EM HDF, ACABAMENTO MELAMINICO BRANCO (INCLUI MARCO, ALIZARES, DOBRADICAS E FECHADURA)</t>
  </si>
  <si>
    <t xml:space="preserve">KIT PORTA PRONTA DE MADEIRA, FOLHA PESADA (NBR 15930) DE 800 X 2100 MM, DE 40 MM A 45 MM DE ESPESSURA, NUCLEO SOLIDO, CAPA LISA EM HDF, ACABAMENTO MELAMINICO BRANCO (INCLUI MARCO, ALIZARES, DOBRADICAS E FECHADURA EXTERNA)</t>
  </si>
  <si>
    <t xml:space="preserve">KIT PORTA PRONTA DE MADEIRA, FOLHA PESADA (NBR 15930) DE 800 X 2100 MM, DE 40 MM A 45 MM DE ESPESSURA, NUCLEO SOLIDO, ESTRUTURA USINADA PARA FECHADURA, CAPA LISA EM HDF, ACABAMENTO EM LAMINADO NATURAL COM VERNIZ (INCLUI MARCO, ALIZARES E DOBRADICAS)</t>
  </si>
  <si>
    <t xml:space="preserve">KIT PORTA PRONTA DE MADEIRA, FOLHA PESADA (NBR 15930) DE 900 X 2100 MM, DE 40 MM A 45 MM DE ESPESSURA, COM MARCO EM ACO, NUCLEO SOLIDO, CAPA LISA EM HDF, ACABAMENTO MELAMINICO BRANCO (INCLUI MARCO, ALIZARES, DOBRADICAS E FECHADURA)</t>
  </si>
  <si>
    <t xml:space="preserve">KIT PORTA PRONTA DE MADEIRA, FOLHA PESADA (NBR 15930) DE 900 X 2100 MM, DE 40 MM A 45 MM DE ESPESSURA, NUCLEO SOLIDO, CAPA LISA EM HDF, ACABAMENTO MELAMINICO BRANCO (INCLUI MARCO, ALIZARES, DOBRADICAS E FECHADURA EXTERNA)</t>
  </si>
  <si>
    <t xml:space="preserve">KIT PORTA PRONTA DE MADEIRA, FOLHA PESADA (NBR 15930) DE 900 X 2100 MM, DE 40 MM A 45 MM DE ESPESSURA, NUCLEO SOLIDO, ESTRUTURA USINADA PARA FECHADURA, CAPA LISA EM HDF, ACABAMENTO EM LAMINADO NATURAL COM VERNIZ (INCLUI MARCO, ALIZARES E DOBRADICAS)</t>
  </si>
  <si>
    <t xml:space="preserve">LADRILHO HIDRAULICO, *20 X 20* CM, E= 2 CM, PADRAO COPACABANA, 2 CORES (PRETO E BRANCO)</t>
  </si>
  <si>
    <t xml:space="preserve">LADRILHO HIDRAULICO, *20 X 20* CM, E= 2 CM, PADRAO DADOS, COR NATURAL</t>
  </si>
  <si>
    <t xml:space="preserve">LADRILHO HIDRAULICO, *25 X 25* CM, E= 2 CM, PADRAO RAMPA, COR NATURAL</t>
  </si>
  <si>
    <t xml:space="preserve">LADRILHO HIDRAULICO, *30 X 30* CM, E= 2 CM, PADRAO MILANO, COR NATURAL</t>
  </si>
  <si>
    <t xml:space="preserve">LAJE PRE-MOLDADA CONVENCIONAL (LAJOTAS + VIGOTAS) PARA FORRO, UNIDIRECIONAL, SOBRECARGA 100 KG/M2, VAO ATE 5,00 M (SEM COLOCACAO)</t>
  </si>
  <si>
    <t xml:space="preserve">LAJE PRE-MOLDADA CONVENCIONAL (LAJOTAS + VIGOTAS) PARA FORRO, UNIDIRECIONAL, SOBRECARGA DE 100 KG/M2, VAO ATE 4,50 M (SEM COLOCACAO)</t>
  </si>
  <si>
    <t xml:space="preserve">LAJE PRE-MOLDADA CONVENCIONAL (LAJOTAS + VIGOTAS) PARA PISO, UNIDIRECIONAL, SOBRECARGA 350 KG/M2 VAO ATE 3,50 M (SEM COLOCACAO)</t>
  </si>
  <si>
    <t xml:space="preserve">LAJE PRE-MOLDADA CONVENCIONAL (LAJOTAS + VIGOTAS) PARA PISO, UNIDIRECIONAL, SOBRECARGA DE 200 KG/M2, VAO ATE 3,50 M (SEM COLOCACAO)</t>
  </si>
  <si>
    <t xml:space="preserve">LAJE PRE-MOLDADA CONVENCIONAL (LAJOTAS + VIGOTAS) PARA PISO, UNIDIRECIONAL, SOBRECARGA DE 200 KG/M2, VAO ATE 4,50 M (SEM COLOCACAO)</t>
  </si>
  <si>
    <t xml:space="preserve">LAJE PRE-MOLDADA CONVENCIONAL (LAJOTAS + VIGOTAS) PARA PISO, UNIDIRECIONAL, SOBRECARGA DE 200 KG/M2, VAO ATE 5,00 M (SEM COLOCACAO)</t>
  </si>
  <si>
    <t xml:space="preserve">LAJE PRE-MOLDADA CONVENCIONAL (LAJOTAS + VIGOTAS) PARA PISO, UNIDIRECIONAL, SOBRECARGA DE 350 KG/M2, VAO ATE 4,50 M (SEM COLOCACAO)</t>
  </si>
  <si>
    <t xml:space="preserve">LAJE PRE-MOLDADA DE TRANSICAO EXCENTRICA EM CONCRETO ARMADO, DN 1200 MM, FURO CIRCULAR DN 600 MM, ESPESSURA 12 CM</t>
  </si>
  <si>
    <t xml:space="preserve">LAJE PRE-MOLDADA DE TRANSICAO EXCENTRICA EM CONCRETO ARMADO, DN 1500 MM, FURO CIRCULAR DN 530 MM, ESPESSURA 15 CM</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</si>
  <si>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</si>
  <si>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</si>
  <si>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LAMBRI EM ALUMINIO, DE APROXIMADAMENTE 0,6 KG/M, COM APROXIMADAMENTE 168,0 MM DE LARGURA, 6,0 MM DE ALTURA E 6,0 M DE EXTENSAO</t>
  </si>
  <si>
    <t xml:space="preserve">LAMPADA LED 10 W BIVOLT BRANCA, FORMATO TRADICIONAL (BASE E27)</t>
  </si>
  <si>
    <t xml:space="preserve">LAMPADA LED TIPO DICROICA BIVOLT, LUZ BRANCA, 5 W (BASE GU10)</t>
  </si>
  <si>
    <t xml:space="preserve">LAVADORA DE ALTA PRESSAO (LAVA - JATO) PARA AGUA FRIA, PRESSAO DE OPERACAO ENTRE 1400 E 1900 LIB/POL2, VAZAO MAXIMA ENTRE 400 E 700 L/H, POTENCIA DE OPERACAO ENTRE 2,50 E 3,00 CV</t>
  </si>
  <si>
    <t xml:space="preserve">LAVATORIO / CUBA DE EMBUTIR, OVAL, DE LOUCA COLORIDA, SEM LADRAO, DIMENSOES *50 X 35* CM (L X C)</t>
  </si>
  <si>
    <t xml:space="preserve">LAVATORIO / CUBA DE SOBREPOR, OVAL PEQUENA, DE LOUCA BRANCA, SEM LADRAO, DIMENSOES *44 X 31* CM (L X C)</t>
  </si>
  <si>
    <t xml:space="preserve">LAVATORIO / CUBA DE SOBREPOR, RETANGULAR, DE LOUCA BRANCA, COM LADRAO, DIMENSOES *52 X 45* CM (L X C)</t>
  </si>
  <si>
    <t xml:space="preserve">LAVATORIO / CUBA DE SOBREPOR, RETANGULAR, DE LOUCA COLORIDA, COM LADRAO, DIMENSOES *52 X 45* CM (L X C)</t>
  </si>
  <si>
    <t xml:space="preserve">LAVATORIO DE CANTO DE LOUCA BRANCA, SUSPENSO (SEM COLUNA), DIMENSOES *40 X 30* CM (L X C)</t>
  </si>
  <si>
    <t xml:space="preserve">LAVATORIO DE LOUCA BRANCA, COM COLUNA, DIMENSOES *44 X 35* CM (L X C)</t>
  </si>
  <si>
    <t xml:space="preserve">LAVATORIO DE LOUCA BRANCA, COM COLUNA, DIMENSOES *54 X 44* CM (L X C)</t>
  </si>
  <si>
    <t xml:space="preserve">LAVATORIO DE LOUCA COLORIDA, COM COLUNA, DIMENSOES *54 X 44* CM (L X C)</t>
  </si>
  <si>
    <t xml:space="preserve">LAVATORIO DE LOUCA COLORIDA, SUSPENSO (SEM COLUNA), DIMENSOES *40 X 30* CM (L X C)</t>
  </si>
  <si>
    <t xml:space="preserve">LETRA ACO INOX (AISI 304), CHAPA NUM. 22, RECORTADO, H= 20 CM (SEM RELEVO)</t>
  </si>
  <si>
    <t xml:space="preserve">LEVANTADOR DE JANELA GUILHOTINA, EM LATAO CROMADO</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</si>
  <si>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</si>
  <si>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</si>
  <si>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</si>
  <si>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</si>
  <si>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LINHA PARA PEDREIRO LISA, 0,8 MM X 100 M</t>
  </si>
  <si>
    <t xml:space="preserve">LIXADEIRA ELETRICA ANGULAR PARA CONCRETO, POTENCIA 1.400 W, PRATO DIAMANTADO DE 5"</t>
  </si>
  <si>
    <t xml:space="preserve">LIXADEIRA ELETRICA ANGULAR, PARA DISCO DE 7" (180 MM), POTENCIA DE 2.200 W, *5.000* RPM, 220 V</t>
  </si>
  <si>
    <t xml:space="preserve">LIXEIRA DUPLA, COM CAPACIDADE VOLUMETRICA DE 60L*, FABRICADA EM TUBO DE ACO CARBONO, CESTOS EM CHAPA DE ACO E PINTURA NO PROCESSO ELETROSTATICO - PARA ACADEMIA AO AR LIVRE / ACADEMIA DA TERCEIRA IDADE - ATI</t>
  </si>
  <si>
    <t xml:space="preserve">LOCACAO DE ANDAIME METALICO TIPO FACHADEIRO, PECAS COM APROXIMADAMENTE 1,20 M DE LARGURA E 2,0 M DE ALTURA, INCLUINDO DIAGONAIS EM X, BARRAS DE LIGACAO, SAPATAS E DEMAIS ITENS NECESSARIOS A MONTAGEM (NAO INCLUI INSTALACAO)</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</si>
  <si>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</si>
  <si>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t>
  </si>
  <si>
    <t xml:space="preserve">MXMES</t>
  </si>
  <si>
    <t xml:space="preserve">LOCACAO DE ANDAIME SUSPENSO OU BALANCIM MANUAL, CAPACIDADE DE CARGA TOTAL DE APROXIMADAMENTE 250 KG/M2, PLATAFORMA DE 1,50 M X 0,80 M (C X L), CABO DE 45 M</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</si>
  <si>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</si>
  <si>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</si>
  <si>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</si>
  <si>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</si>
  <si>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</si>
  <si>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CONTAINER 2,30 X 4,30 M, ALT. 2,50 M, P/ SANITARIO, C/ 5 BACIAS, 1 LAVATORIO E 4 MICTORIOS (NAO INCLUI MOBILIZACAO/DESMOBILIZACAO)</t>
  </si>
  <si>
    <t xml:space="preserve">LOCACAO DE CONTAINER 2,30 X 6,00 M, ALT. 2,50 M, PARA ESCRITORIO, SEM DIVISORIAS INTERNAS E SEM SANITARIO (NAO INCLUI MOBILIZACAO/DESMOBILIZACAO)</t>
  </si>
  <si>
    <t xml:space="preserve">LOCACAO DE CONTAINER 2,30 X 6,00 M, ALT. 2,50 M, PARA SANITARIO, COM 4 BACIAS, 8 CHUVEIROS,1 LAVATORIO E 1 MICTORIO (NAO INCLUI MOBILIZACAO/DESMOBILIZACAO)</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</si>
  <si>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</si>
  <si>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</si>
  <si>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</si>
  <si>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DE *260* KVA, DIESEL REBOCAVEL, ACIONAMENTO MANUAL</t>
  </si>
  <si>
    <t xml:space="preserve">LOCACAO DE NIVEL OPTICO, COM PRECISAO DE 0,7 MM, AUMENTO DE 32X</t>
  </si>
  <si>
    <t xml:space="preserve">LOCACAO DE TEODOLITO ELETRONICO, PRECISAO ANGULAR DE 5 A 7 SEGUNDOS, INCLUINDO TRIPE</t>
  </si>
  <si>
    <t xml:space="preserve">LONA PLASTICA PESADA PRETA, E = 150 MICRA</t>
  </si>
  <si>
    <t xml:space="preserve">LUBRIFICANTE REDUTOR DE TORQUE E ARRASTO DE ALTO DESEMPENHO, PARA PERFURACAO HORIZONTAL DIRECIONAL, HDD</t>
  </si>
  <si>
    <t xml:space="preserve">LUMINARIA ABERTA P/ ILUMINACAO PUBLICA, TIPO X-57 PETERCO OU EQUIV</t>
  </si>
  <si>
    <t xml:space="preserve">LUMINARIA DE LED PARA ILUMINACAO PUBLICA, DE 138 W ATE 180 W, INVOLUCRO EM ALUMINIO OU ACO INOX</t>
  </si>
  <si>
    <t xml:space="preserve">LUMINARIA DE LED PARA ILUMINACAO PUBLICA, DE 181 W ATE 239 W, INVOLUCRO EM ALUMINIO OU ACO INOX</t>
  </si>
  <si>
    <t xml:space="preserve">LUMINARIA DE LED PARA ILUMINACAO PUBLICA, DE 240 W ATE 350 W, INVOLUCRO EM ALUMINIO OU ACO INOX</t>
  </si>
  <si>
    <t xml:space="preserve">LUMINARIA DE LED PARA ILUMINACAO PUBLICA, DE 33 W ATE 50 W, INVOLUCRO EM ALUMINIO OU ACO INOX</t>
  </si>
  <si>
    <t xml:space="preserve">LUMINARIA DE LED PARA ILUMINACAO PUBLICA, DE 51 W ATE 67 W, INVOLUCRO EM ALUMINIO OU ACO INOX</t>
  </si>
  <si>
    <t xml:space="preserve">LUMINARIA DE LED PARA ILUMINACAO PUBLICA, DE 68 W ATE 97 W, INVOLUCRO EM ALUMINIO OU ACO INOX</t>
  </si>
  <si>
    <t xml:space="preserve">LUMINARIA DE LED PARA ILUMINACAO PUBLICA, DE 98 W ATE 137 W, INVOLUCRO EM ALUMINIO OU ACO INOX</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</si>
  <si>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</si>
  <si>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</si>
  <si>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*36* W, ALETADA, COMPLETA (LAMPADA E REATOR INCLUSOS)</t>
  </si>
  <si>
    <t xml:space="preserve">LUMINARIA DE TETO PLAFON/PLAFONIER EM PLASTICO COM BASE E27, POTENCIA MAXIMA 60 W (NAO INCLUI LAMPADA)</t>
  </si>
  <si>
    <t xml:space="preserve">LUMINARIA DUPLA P/SINALIZACAO, TIPO WETZEL AS-2/110 OU EQUIV</t>
  </si>
  <si>
    <t xml:space="preserve">LUMINARIA LED REFLETOR RETANGULAR BIVOLT, LUZ BRANCA, 10 W</t>
  </si>
  <si>
    <t xml:space="preserve">LUMINARIA LED REFLETOR RETANGULAR BIVOLT, LUZ BRANCA, 30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</si>
  <si>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</si>
  <si>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</si>
  <si>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</si>
  <si>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</si>
  <si>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</si>
  <si>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</si>
  <si>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A PROVA DE TEMPO, GASES, VAPOR E PO, EM ALUMINIO, COM GRADE, BASE E27, POTENCIA MAXIMA 100 W (NAO INCLUI LAMPADA)</t>
  </si>
  <si>
    <t xml:space="preserve">LUVA CPVC, SOLDAVEL, 114 MM, PARA AGUA QUENTE PREDIAL</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</si>
  <si>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</si>
  <si>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</si>
  <si>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</si>
  <si>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</si>
  <si>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</si>
  <si>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</si>
  <si>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</si>
  <si>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</si>
  <si>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</si>
  <si>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COBRE SEM ANEL DE SOLDA, BOLSA X BOLSA, 104 MM</t>
  </si>
  <si>
    <t xml:space="preserve">LUVA DE COBRE SEM ANEL DE SOLDA, BOLSA X BOLSA, 15 MM</t>
  </si>
  <si>
    <t xml:space="preserve">LUVA DE COBRE SEM ANEL DE SOLDA, BOLSA X BOLSA, 22 MM</t>
  </si>
  <si>
    <t xml:space="preserve">LUVA DE COBRE SEM ANEL DE SOLDA, BOLSA X BOLSA, 28 MM</t>
  </si>
  <si>
    <t xml:space="preserve">LUVA DE COBRE SEM ANEL DE SOLDA, BOLSA X BOLSA, 35 MM</t>
  </si>
  <si>
    <t xml:space="preserve">LUVA DE COBRE SEM ANEL DE SOLDA, BOLSA X BOLSA, 42 MM</t>
  </si>
  <si>
    <t xml:space="preserve">LUVA DE COBRE SEM ANEL DE SOLDA, BOLSA X BOLSA, 54 MM</t>
  </si>
  <si>
    <t xml:space="preserve">LUVA DE COBRE SEM ANEL DE SOLDA, BOLSA X BOLSA, 66 MM</t>
  </si>
  <si>
    <t xml:space="preserve">LUVA DE COBRE SEM ANEL DE SOLDA, BOLSA X BOLSA, 79 MM</t>
  </si>
  <si>
    <t xml:space="preserve">LUVA DE CORRER COM TRAVAS DEFOFO, PVC, JE, DN 100 MM</t>
  </si>
  <si>
    <t xml:space="preserve">LUVA DE CORRER COM TRAVAS DEFOFO, PVC, JE, DN 150 MM</t>
  </si>
  <si>
    <t xml:space="preserve">LUVA DE CORRER COM TRAVAS DEFOFO, PVC, JE, DN 200 MM</t>
  </si>
  <si>
    <t xml:space="preserve">LUVA DE CORRER COM TRAVAS DEFOFO, PVC, JE, DN 250 MM</t>
  </si>
  <si>
    <t xml:space="preserve">LUVA DE CORRER COM TRAVAS DEFOFO, PVC, JE, DN 300 MM</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</si>
  <si>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</si>
  <si>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</si>
  <si>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</si>
  <si>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</si>
  <si>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</si>
  <si>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</si>
  <si>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40 MM, PARA AGUA FRIA PREDIAL</t>
  </si>
  <si>
    <t xml:space="preserve">LUVA DE CORRER PARA TUBO SOLDAVEL, PVC, 50 MM, PARA AGUA FRIA PREDIAL</t>
  </si>
  <si>
    <t xml:space="preserve">LUVA DE CORRER PARA TUBO SOLDAVEL, PVC, 60 MM, PARA AGUA FRIA PREDIAL</t>
  </si>
  <si>
    <t xml:space="preserve">LUVA DE CORRER PVC PBA, JE, DN 100 / DE 110 MM, PARA REDE DE AGUA</t>
  </si>
  <si>
    <t xml:space="preserve">LUVA DE CORRER PVC PBA, JE, DN 50 / DE 60 MM, PARA REDE DE AGUA</t>
  </si>
  <si>
    <t xml:space="preserve">LUVA DE CORRER PVC PBA, JE, DN 75 / DE 85 MM, PARA REDE DE AGUA</t>
  </si>
  <si>
    <t xml:space="preserve">LUVA DE CORRER PVC, JE, DN 250 MM, PARA REDE COLETORA DE ESGOTO</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</si>
  <si>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</si>
  <si>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</si>
  <si>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</si>
  <si>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</si>
  <si>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</si>
  <si>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SERIE R, 100 MM, PARA ESGOTO PREDIAL</t>
  </si>
  <si>
    <t xml:space="preserve">LUVA DE CORRER, PVC SERIE R, 150 MM, PARA ESGOTO PREDIAL</t>
  </si>
  <si>
    <t xml:space="preserve">LUVA DE CORRER, PVC SERIE R, 75 MM, PARA ESGOTO PREDIAL</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</si>
  <si>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</si>
  <si>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</si>
  <si>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</si>
  <si>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</si>
  <si>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</si>
  <si>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</si>
  <si>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t>
  </si>
  <si>
    <t xml:space="preserve">LUVA DE FERRO GALVANIZADO, COM ROSCA BSP, DE 1/2"</t>
  </si>
  <si>
    <t xml:space="preserve">LUVA DE FERRO GALVANIZADO, COM ROSCA BSP, DE 2 1/2"</t>
  </si>
  <si>
    <t xml:space="preserve">LUVA DE FERRO GALVANIZADO, COM ROSCA BSP, DE 2"</t>
  </si>
  <si>
    <t xml:space="preserve">LUVA DE FERRO GALVANIZADO, COM ROSCA BSP, DE 3"</t>
  </si>
  <si>
    <t xml:space="preserve">LUVA DE FERRO GALVANIZADO, COM ROSCA BSP, DE 3/4"</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</si>
  <si>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</si>
  <si>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</si>
  <si>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</si>
  <si>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</si>
  <si>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</si>
  <si>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</si>
  <si>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</si>
  <si>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</si>
  <si>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</si>
  <si>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</si>
  <si>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</si>
  <si>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t>
  </si>
  <si>
    <t xml:space="preserve">LUVA DE REDUCAO DE FERRO GALVANIZADO, COM ROSCA BSP, DE 1 1/2" X 1/2"</t>
  </si>
  <si>
    <t xml:space="preserve">LUVA DE REDUCAO DE FERRO GALVANIZADO, COM ROSCA BSP, DE 1 1/2" X 3/4"</t>
  </si>
  <si>
    <t xml:space="preserve">LUVA DE REDUCAO DE FERRO GALVANIZADO, COM ROSCA BSP, DE 1 1/4" X 1"</t>
  </si>
  <si>
    <t xml:space="preserve">LUVA DE REDUCAO DE FERRO GALVANIZADO, COM ROSCA BSP, DE 1 1/4" X 1/2"</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</si>
  <si>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</si>
  <si>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</si>
  <si>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</si>
  <si>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</si>
  <si>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</si>
  <si>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</si>
  <si>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</si>
  <si>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</si>
  <si>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 X 1 1/2"</t>
  </si>
  <si>
    <t xml:space="preserve">LUVA DE REDUCAO DE FERRO GALVANIZADO, COM ROSCA BSP, DE 3" X 2"</t>
  </si>
  <si>
    <t xml:space="preserve">LUVA DE REDUCAO DE FERRO GALVANIZADO, COM ROSCA BSP, DE 3/4" X 1/2"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</si>
  <si>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</si>
  <si>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</si>
  <si>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</si>
  <si>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3/4" X 1/2"</t>
  </si>
  <si>
    <t xml:space="preserve">LUVA DE REDUCAO EM ACO CARBONO, COM ENCAIXE PARA SOLDA DN SW, PRESSAO 3.000 LBS, DN 1 1/2" X 1 1/4"</t>
  </si>
  <si>
    <t xml:space="preserve">LUVA DE REDUCAO EM ACO CARBONO, COM ENCAIXE PARA SOLDA DN SW, PRESSAO 3.000 LBS, DN 1 1/4" X 1"</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</si>
  <si>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</si>
  <si>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</si>
  <si>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</si>
  <si>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</si>
  <si>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</si>
  <si>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</si>
  <si>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</si>
  <si>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</si>
  <si>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</si>
  <si>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</si>
  <si>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REDUCAO, SOLDAVEL, PVC, 50 X 25 MM, PARA AGUA FRIA PREDIAL</t>
  </si>
  <si>
    <t xml:space="preserve">LUVA DE TRANSICAO DE CPVC X PVC, SOLDAVEL, 22 X 25 MM, PARA AGUA QUENTE</t>
  </si>
  <si>
    <t xml:space="preserve">LUVA DE TRANSICAO, CPVC, 15 MM X 1/2", PARA AGUA QUENTE PREDIAL</t>
  </si>
  <si>
    <t xml:space="preserve">LUVA DE TRANSICAO, CPVC, 22 MM X 1/2", PARA AGUA QUENTE</t>
  </si>
  <si>
    <t xml:space="preserve">LUVA DE TRANSICAO, CPVC, SOLDAVEL, 42 MM X 1 1/2", PARA AGUA QUENTE</t>
  </si>
  <si>
    <t xml:space="preserve">LUVA DE TRANSICAO, CPVC, SOLDAVEL, 54 MM X 2", PARA AGUA QUENTE PREDIAL</t>
  </si>
  <si>
    <t xml:space="preserve">LUVA EM ACO CARBONO, SOLDAVEL, PRESSAO 3.000 LBS, DN 1 1/2"</t>
  </si>
  <si>
    <t xml:space="preserve">LUVA EM ACO CARBONO, SOLDAVEL, PRESSAO 3.000 LBS, DN 1 1/4"</t>
  </si>
  <si>
    <t xml:space="preserve">LUVA EM ACO CARBONO, SOLDAVEL, PRESSAO 3.000 LBS, DN 1"</t>
  </si>
  <si>
    <t xml:space="preserve">LUVA EM ACO CARBONO, SOLDAVEL, PRESSAO 3.000 LBS, DN 1/2"</t>
  </si>
  <si>
    <t xml:space="preserve">LUVA EM ACO CARBONO, SOLDAVEL, PRESSAO 3.000 LBS, DN 2 1/2"</t>
  </si>
  <si>
    <t xml:space="preserve">LUVA EM ACO CARBONO, SOLDAVEL, PRESSAO 3.000 LBS, DN 2"</t>
  </si>
  <si>
    <t xml:space="preserve">LUVA EM ACO CARBONO, SOLDAVEL, PRESSAO 3.000 LBS, DN 3"</t>
  </si>
  <si>
    <t xml:space="preserve">LUVA EM ACO CARBONO, SOLDAVEL, PRESSAO 3.000 LBS, DN 3/4"</t>
  </si>
  <si>
    <t xml:space="preserve">LUVA EM PVC RIGIDO ROSCAVEL, DE 1 1/2", PARA ELETRODUTO</t>
  </si>
  <si>
    <t xml:space="preserve">LUVA EM PVC RIGIDO ROSCAVEL, DE 1 1/4", PARA ELETRODUTO</t>
  </si>
  <si>
    <t xml:space="preserve">LUVA EM PVC RIGIDO ROSCAVEL, DE 1", PARA ELETRODUTO</t>
  </si>
  <si>
    <t xml:space="preserve">LUVA EM PVC RIGIDO ROSCAVEL, DE 1/2", PARA ELETRODUTO</t>
  </si>
  <si>
    <t xml:space="preserve">LUVA EM PVC RIGIDO ROSCAVEL, DE 2 1/2", PARA ELETRODUTO</t>
  </si>
  <si>
    <t xml:space="preserve">LUVA EM PVC RIGIDO ROSCAVEL, DE 2", PARA ELETRODUTO</t>
  </si>
  <si>
    <t xml:space="preserve">LUVA EM PVC RIGIDO ROSCAVEL, DE 3", PARA ELETRODUTO</t>
  </si>
  <si>
    <t xml:space="preserve">LUVA EM PVC RIGIDO ROSCAVEL, DE 4", PARA ELETRODUTO</t>
  </si>
  <si>
    <t xml:space="preserve">LUVA PARA ELETRODUTO, EM ACO GALVANIZADO ELETROLITICO, COM ROSCA, DIAMETRO DE 100 MM (4")</t>
  </si>
  <si>
    <t xml:space="preserve">LUVA PARA ELETRODUTO, EM ACO GALVANIZADO ELETROLITICO, COM ROSCA, DIAMETRO DE 15 MM (1/2")</t>
  </si>
  <si>
    <t xml:space="preserve">LUVA PARA ELETRODUTO, EM ACO GALVANIZADO ELETROLITICO, COM ROSCA, DIAMETRO DE 20 MM (3/4")</t>
  </si>
  <si>
    <t xml:space="preserve">LUVA PARA ELETRODUTO, EM ACO GALVANIZADO ELETROLITICO, COM ROSCA, DIAMETRO DE 25 MM (1")</t>
  </si>
  <si>
    <t xml:space="preserve">LUVA PARA ELETRODUTO, EM ACO GALVANIZADO ELETROLITICO, COM ROSCA, DIAMETRO DE 32 MM (1 1/4")</t>
  </si>
  <si>
    <t xml:space="preserve">LUVA PARA ELETRODUTO, EM ACO GALVANIZADO ELETROLITICO, COM ROSCA, DIAMETRO DE 40 MM (1 1/2")</t>
  </si>
  <si>
    <t xml:space="preserve">LUVA PARA ELETRODUTO, EM ACO GALVANIZADO ELETROLITICO, COM ROSCA, DIAMETRO DE 65 MM (2 1/2")</t>
  </si>
  <si>
    <t xml:space="preserve">LUVA PARA ELETRODUTO, EM ACO GALVANIZADO ELETROLITICO, COM ROSCA, DIAMETRO DE 80 MM (3")</t>
  </si>
  <si>
    <t xml:space="preserve">LUVA PARA ELETRODUTO, EM ACO GALVANIZADO ELETROLITICO, COM ROSCA,DIAMETRO DE 50 MM (2")</t>
  </si>
  <si>
    <t xml:space="preserve">LUVA PARA PERFURATRIZ DE ESTEIRA T38, D = 1 1/2"</t>
  </si>
  <si>
    <t xml:space="preserve">LUVA PASSANTE DE COBRE SEM ANEL DE SOLDA, BOLSA 15 MM</t>
  </si>
  <si>
    <t xml:space="preserve">LUVA PASSANTE DE COBRE SEM ANEL DE SOLDA, BOLSA 22 MM</t>
  </si>
  <si>
    <t xml:space="preserve">LUVA PASSANTE DE COBRE SEM ANEL DE SOLDA, BOLSA 28 MM</t>
  </si>
  <si>
    <t xml:space="preserve">LUVA PASSANTE DE COBRE SEM ANEL DE SOLDA, BOLSA 35 MM</t>
  </si>
  <si>
    <t xml:space="preserve">LUVA PASSANTE DE COBRE SEM ANEL DE SOLDA, BOLSA 42 MM</t>
  </si>
  <si>
    <t xml:space="preserve">LUVA PASSANTE DE COBRE SEM ANEL DE SOLDA, BOLSA 54 MM</t>
  </si>
  <si>
    <t xml:space="preserve">LUVA PASSANTE DE COBRE SEM ANEL DE SOLDA, BOLSA 66 MM</t>
  </si>
  <si>
    <t xml:space="preserve">LUVA PVC SOLDAVEL, 110 MM, PARA AGUA FRIA PREDIAL</t>
  </si>
  <si>
    <t xml:space="preserve">LUVA PVC SOLDAVEL, 20 MM, PARA AGUA FRIA PREDIAL</t>
  </si>
  <si>
    <t xml:space="preserve">LUVA PVC SOLDAVEL, 32 MM, PARA AGUA FRIA PREDIAL</t>
  </si>
  <si>
    <t xml:space="preserve">LUVA PVC SOLDAVEL, 40 MM, PARA AGUA FRIA PREDIAL</t>
  </si>
  <si>
    <t xml:space="preserve">LUVA PVC SOLDAVEL, 60 MM, PARA AGUA FRIA PREDIAL</t>
  </si>
  <si>
    <t xml:space="preserve">LUVA PVC SOLDAVEL, 85 MM, PARA AGUA FRIA PREDIAL</t>
  </si>
  <si>
    <t xml:space="preserve">LUVA PVC, ROSCAVEL, 1 1/2", AGUA FRIA PREDIAL</t>
  </si>
  <si>
    <t xml:space="preserve">LUVA PVC, ROSCAVEL, 1", AGUA FRIA PREDIAL</t>
  </si>
  <si>
    <t xml:space="preserve">LUVA PVC, ROSCAVEL, 1/2", AGUA FRIA PREDIAL</t>
  </si>
  <si>
    <t xml:space="preserve">LUVA PVC, ROSCAVEL, 3/4", AGUA FRIA PREDIAL</t>
  </si>
  <si>
    <t xml:space="preserve">LUVA RASPA DE COURO, CANO CURTO (PUNHO *7* CM)</t>
  </si>
  <si>
    <t xml:space="preserve">LUVA SIMPLES PPR, F/F, SOLDAVEL, DN 110 MM, PARA AGUA QUENTE PREDIAL</t>
  </si>
  <si>
    <t xml:space="preserve">LUVA SIMPLES PPR, F/F, SOLDAVEL, DN 20 MM, PARA AGUA QUENTE PREDIAL</t>
  </si>
  <si>
    <t xml:space="preserve">LUVA SIMPLES PPR, F/F, SOLDAVEL, DN 25 MM, PARA AGUA QUENTE PREDIAL</t>
  </si>
  <si>
    <t xml:space="preserve">LUVA SIMPLES PPR, F/F, SOLDAVEL, DN 32 MM, PARA AGUA QUENTE PREDIAL</t>
  </si>
  <si>
    <t xml:space="preserve">LUVA SIMPLES PPR, F/F, SOLDAVEL, DN 40 MM, PARA AGUA QUENTE PREDIAL</t>
  </si>
  <si>
    <t xml:space="preserve">LUVA SIMPLES PPR, F/F, SOLDAVEL, DN 50 MM, PARA AGUA QUENTE PREDIAL</t>
  </si>
  <si>
    <t xml:space="preserve">LUVA SIMPLES PPR, F/F, SOLDAVEL, DN 63 MM, PARA AGUA QUENTE PREDIAL</t>
  </si>
  <si>
    <t xml:space="preserve">LUVA SIMPLES PPR, F/F, SOLDAVEL, DN 75 MM, PARA AGUA QUENTE PREDIAL</t>
  </si>
  <si>
    <t xml:space="preserve">LUVA SIMPLES PPR, F/F, SOLDAVEL, DN 90 MM, PARA AGUA QUENTE PREDIAL</t>
  </si>
  <si>
    <t xml:space="preserve">LUVA SIMPLES PVC PBA, JE, DN 100 / DE 110 MM, PARA REDE DE AGUA</t>
  </si>
  <si>
    <t xml:space="preserve">LUVA SIMPLES PVC PBA, JE, DN 50 / DE 60 MM, PARA REDE DE AGUA</t>
  </si>
  <si>
    <t xml:space="preserve">LUVA SIMPLES PVC PBA, JE, DN 75 / DE 85 MM, PARA REDE DE AGUA</t>
  </si>
  <si>
    <t xml:space="preserve">LUVA SIMPLES, PVC SERIE R, 40 MM, PARA ESGOTO PREDIAL</t>
  </si>
  <si>
    <t xml:space="preserve">LUVA SIMPLES, PVC SERIE R, 50 MM, PARA ESGOTO PREDIAL</t>
  </si>
  <si>
    <t xml:space="preserve">LUVA SIMPLES, PVC, SOLDAVEL, DN 150 MM, SERIE NORMAL, PARA ESGOTO PREDIAL</t>
  </si>
  <si>
    <t xml:space="preserve">LUVA SIMPLES, PVC, SOLDAVEL, DN 40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</si>
  <si>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</si>
  <si>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</si>
  <si>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</si>
  <si>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</si>
  <si>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</si>
  <si>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</si>
  <si>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</si>
  <si>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</si>
  <si>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</si>
  <si>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</si>
  <si>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</si>
  <si>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</si>
  <si>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</si>
  <si>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</si>
  <si>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LUVA, PEAD PE 100, DE 400 MM, PARA ELETROFUSAO</t>
  </si>
  <si>
    <t xml:space="preserve">LUVA, PEAD PE 100, DE 63 MM, PARA ELETROFUSAO</t>
  </si>
  <si>
    <t xml:space="preserve">LUVA/UNIAO DE REDUCAO METALICA, PARA CONEXAO COM ANEL DESLIZANTE, DN 20 X 16 MM, EM TUBO PEX PARA INST. AGUA QUENTE/FRIA</t>
  </si>
  <si>
    <t xml:space="preserve">LUVA/UNIAO DE REDUCAO METALICA, PARA CONEXAO COM ANEL DESLIZANTE, DN 25 X 16 MM, EM TUBO PEX PARA INST. AGUA QUENTE/FRIA</t>
  </si>
  <si>
    <t xml:space="preserve">LUVA/UNIAO DE REDUCAO METALICA, PARA CONEXAO COM ANEL DESLIZANTE, DN 25 X 20 MM, EM TUBO PEX PARA INST. AGUA QUENTE/FRIA</t>
  </si>
  <si>
    <t xml:space="preserve">LUVA/UNIAO DE REDUCAO METALICA, PARA CONEXAO COM ANEL DESLIZANTE, DN 32 X 25 MM, EM TUBO PEX PARA INST. AGUA QUENTE/FRIA</t>
  </si>
  <si>
    <t xml:space="preserve">LUVA/UNIAO DE REDUCAO, PLASTICA, PARA CONEXAO COM CRIMPAGEM, DN 20 X 16 MM, EM TUBO PEX PARA INST. AGUA QUENTE/FRIA</t>
  </si>
  <si>
    <t xml:space="preserve">LUVA/UNIAO DE REDUCAO, PLASTICA, PARA CONEXAO COM CRIMPAGEM, DN 25 X 16 MM, EM TUBO PEX PARA INST. AGUA QUENTE/FRIA</t>
  </si>
  <si>
    <t xml:space="preserve">LUVA/UNIAO DE REDUCAO, PLASTICA, PARA CONEXAO COM CRIMPAGEM, DN 32 X 25 MM, EM TUBO PEX PARA INST. AGUA QUENTE/FRIA</t>
  </si>
  <si>
    <t xml:space="preserve">LUVA/UNIAO METALICA, PARA CONEXAO COM ANEL DESLIZANTE, DN 16 MM, EM TUBO PEX PARA INST. AGUA QUENTE/FRIA</t>
  </si>
  <si>
    <t xml:space="preserve">LUVA/UNIAO METALICA, PARA CONEXAO COM ANEL DESLIZANTE, DN 20 MM, EM TUBO PEX PARA INST. AGUA QUENTE/FRIA</t>
  </si>
  <si>
    <t xml:space="preserve">LUVA/UNIAO METALICA, PARA CONEXAO COM ANEL DESLIZANTE, DN 25 MM, EM TUBO PEX PARA INST. AGUA QUENTE/FRIA</t>
  </si>
  <si>
    <t xml:space="preserve">LUVA/UNIAO METALICA, PARA CONEXAO COM ANEL DESLIZANTE, DN 32 MM, EM TUBO PEX PARA INST. AGUA QUENTE/FRIA</t>
  </si>
  <si>
    <t xml:space="preserve">LUVA/UNIAO, PLASTICA, PARA CONEXAO COM CRIMPAGEM, DN 16 MM, EM TUBO PEX PARA INST. AGUA QUENTE/FRIA</t>
  </si>
  <si>
    <t xml:space="preserve">LUVA/UNIAO, PLASTICA, PARA CONEXAO COM CRIMPAGEM, DN 20 MM, EM TUBO PEX PARA INST. AGUA QUENTE/FRIA</t>
  </si>
  <si>
    <t xml:space="preserve">LUVA/UNIAO, PLASTICA, PARA CONEXAO COM CRIMPAGEM, DN 25 MM, EM TUBO PEX PARA INST. AGUA QUENTE/FRIA</t>
  </si>
  <si>
    <t xml:space="preserve">LUVA/UNIAO, PLASTICA, PARA CONEXAO COM CRIMPAGEM, DN 32 MM, EM TUBO PEX PARA INST. AGUA QUENTE/FRIA</t>
  </si>
  <si>
    <t xml:space="preserve">MACANETA ALAVANCA RETA OCA, EM ZAMAC COM ACABAMENTO CROMADO, COMPRIMENTO APROX DE 15 CM</t>
  </si>
  <si>
    <t xml:space="preserve">MACANETA ALAVANCA, RETA SIMPLES / OCA, CROMADA, COMPRIMENTO DE 10 A 16 CM, ACABAMENTO PADRAO POPULAR - SOMENTE MACANETAS</t>
  </si>
  <si>
    <t xml:space="preserve">MACANETA BOLA, EM ZAMAC COM ACABAMENTO CROMADO, DIAMETRO DE APROX 2 1/2"</t>
  </si>
  <si>
    <t xml:space="preserve">MACARICO DE SOLDA 201 PARA EXTENSAO GLP OU ACETILENO</t>
  </si>
  <si>
    <t xml:space="preserve">MACARIQUEIRO (HORISTA)</t>
  </si>
  <si>
    <t xml:space="preserve">MACARIQUEIRO (MENSALISTA)</t>
  </si>
  <si>
    <t xml:space="preserve">MADEIRA ROLICA TRATADA, D = 12 A 15 CM, H = 3,00 M, EM EUCALIPTO OU EQUIVALENTE DA REGIAO</t>
  </si>
  <si>
    <t xml:space="preserve">MADEIRA ROLICA TRATADA, D = 16 A 20 CM, H = 6,00 M, EM EUCALIPTO OU EQUIVALENTE DA REGIAO</t>
  </si>
  <si>
    <t xml:space="preserve">MADEIRA ROLICA TRATADA, D = 25 A 29 CM, H = 6,50 M, EM EUCALIPTO OU EQUIVALENTE DA REGIAO</t>
  </si>
  <si>
    <t xml:space="preserve">MADEIRA ROLICA TRATADA, D = 30 A 34 CM, H = 6,50 M, EM EUCALIPTO OU EQUIVALENTE DA REGIAO</t>
  </si>
  <si>
    <t xml:space="preserve">MADEIRA SERRADA EM PINUS, MISTA OU EQUIVALENTE DA REGIAO - BRUTA</t>
  </si>
  <si>
    <t xml:space="preserve">MANGOTE DE SEGURANCA EM RASPA DE COURO</t>
  </si>
  <si>
    <t xml:space="preserve">MANGUEIRA CRISTAL TRANCADA, PVC COM REFORCO, COM PRESSAO DE TRABALHO (PT) 250 LBS/POL2, DE 3/4" X *2,8* MM</t>
  </si>
  <si>
    <t xml:space="preserve">MANGUEIRA CRISTAL TRANCADA, PVC COM REFORCO, PRESSAO DE TRABALHO (PT) 250 LBS/POL2, DE 1" X *3,1*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</si>
  <si>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</si>
  <si>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</si>
  <si>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</si>
  <si>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</si>
  <si>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CRISTAL, LISA, PVC TRANSPARENTE, 3/8" X 1,5 MM</t>
  </si>
  <si>
    <t xml:space="preserve">MANGUEIRA CRISTAL, LISA, PVC TRANSPARENTE, 5/16" X 1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</si>
  <si>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</si>
  <si>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</si>
  <si>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</si>
  <si>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</si>
  <si>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</si>
  <si>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</si>
  <si>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</si>
  <si>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</si>
  <si>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</si>
  <si>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</si>
  <si>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</si>
  <si>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MANGUEIRA DE PVC FLEXIVEL, TIPO FLAT/ACHATADA, D = 1 1/2" (40 MM), PARA CONDUCAO DE AGUA, SERVICOS LEVES E MEDIOS</t>
  </si>
  <si>
    <t xml:space="preserve">MANGUEIRA PARA GAS - GLP, PVC, TRANCADA, DIAMETRO DE 3/8", COMPRIMENTO DE 1M (NORMATIZADA)</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</si>
  <si>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</si>
  <si>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</si>
  <si>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100 MM, CONEXAO DE 1/2"</t>
  </si>
  <si>
    <t xml:space="preserve">MANTA / LENCOL DE BORRACHA, SBR, ANTIRRUIDO, E = 5 MM</t>
  </si>
  <si>
    <t xml:space="preserve">MANTA ALUMINIZADA 1 FACE PARA SUBCOBERTURA, E = *1* MM</t>
  </si>
  <si>
    <t xml:space="preserve">MANTA ALUMINIZADA NAS DUAS FACES, PARA SUBCOBERTURA,  E = *2* MM</t>
  </si>
  <si>
    <t xml:space="preserve">MANTA ANTIRRUIDO DE POLIESTER (PET) PARA CONTRAPISO E = *8* MM</t>
  </si>
  <si>
    <t xml:space="preserve">MANTA ASFALTICA ELASTOMERICA EM POLIESTER 3 MM, TIPO III, CLASSE B, ACABAMENTO PP (NBR 9952)</t>
  </si>
  <si>
    <t xml:space="preserve">MANTA ASFALTICA ELASTOMERICA EM POLIESTER 5 MM, TIPO III, CLASSE B, ACABAMENTO PP (NBR 9952)</t>
  </si>
  <si>
    <t xml:space="preserve">MANTA ASFALTICA ELASTOMERICA EM POLIESTER ALUMINIZADA 3 MM, TIPO III, CLASSE B (NBR 9952)</t>
  </si>
  <si>
    <t xml:space="preserve">MANTA ASFALTICA ELASTOMERICA TIPO GLASS 3 MM, TIPO II, CLASSE C, ACABAMENTO PP (NBR 9952)</t>
  </si>
  <si>
    <t xml:space="preserve">MANTA DE POLIETILENO EXPANDIDO (PEBD) ANTICHAMAS, E = 8 MM</t>
  </si>
  <si>
    <t xml:space="preserve">MANTA DE POLIETILENO EXPANDIDO (PEBD), E = 5 MM</t>
  </si>
  <si>
    <t xml:space="preserve">MANTA DE POLIETILENO EXPANDIDO, COM 1 FACE METALIZADA PARA SUBCOBERTURA, E = *5* MM</t>
  </si>
  <si>
    <t xml:space="preserve">MANTA GEOTEXTIL TECIDO DE LAMINETES DE POLIPROPILENO, RESISTENCIA A TRACAO = *25* KN/M</t>
  </si>
  <si>
    <t xml:space="preserve">MANTA TERMOPLASTICA, PEAD, GEOMEMBRANA LISA, E = 0,50 MM (NBR 15352)</t>
  </si>
  <si>
    <t xml:space="preserve">MANTA TERMOPLASTICA, PEAD, GEOMEMBRANA LISA, E = 0,75 MM (NBR 15352)</t>
  </si>
  <si>
    <t xml:space="preserve">MANTA TERMOPLASTICA, PEAD, GEOMEMBRANA LISA, E = 0,80 MM (NBR 15352)</t>
  </si>
  <si>
    <t xml:space="preserve">MANTA TERMOPLASTICA, PEAD, GEOMEMBRANA LISA, E = 1,00 MM (NBR 15352)</t>
  </si>
  <si>
    <t xml:space="preserve">MANTA TERMOPLASTICA, PEAD, GEOMEMBRANA LISA, E = 1,50 MM (NBR 15352)</t>
  </si>
  <si>
    <t xml:space="preserve">MANTA TERMOPLASTICA, PEAD, GEOMEMBRANA LISA, E = 2,00 MM (NBR 15352)</t>
  </si>
  <si>
    <t xml:space="preserve">MANTA TERMOPLASTICA, PEAD, GEOMEMBRANA LISA, E = 2,50 MM (NBR 15352)</t>
  </si>
  <si>
    <t xml:space="preserve">MANTA TERMOPLASTICA, PEAD, GEOMEMBRANA TEXTURIZADA EM AMBAS AS FACES, E = 0,50 MM ( NBR 15352)</t>
  </si>
  <si>
    <t xml:space="preserve">MANTA TERMOPLASTICA, PEAD, GEOMEMBRANA TEXTURIZADA EM AMBAS AS FACES, E = 0,75 MM ( NBR 15352)</t>
  </si>
  <si>
    <t xml:space="preserve">MANTA TERMOPLASTICA, PEAD, GEOMEMBRANA TEXTURIZADA EM AMBAS AS FACES, E = 0,80 MM ( NBR 15352)</t>
  </si>
  <si>
    <t xml:space="preserve">MANTA TERMOPLASTICA, PEAD, GEOMEMBRANA TEXTURIZADA EM AMBAS AS FACES, E = 1,00 MM ( NBR 15352)</t>
  </si>
  <si>
    <t xml:space="preserve">MANTA TERMOPLASTICA, PEAD, GEOMEMBRANA TEXTURIZADA EM AMBAS AS FACES, E = 1,50 MM ( NBR 15352)</t>
  </si>
  <si>
    <t xml:space="preserve">MANTA TERMOPLASTICA, PEAD, GEOMEMBRANA TEXTURIZADA EM AMBAS AS FACES, E = 2,00 MM ( NBR 15352)</t>
  </si>
  <si>
    <t xml:space="preserve">MANTA TERMOPLASTICA, PEAD, GEOMEMBRANA TEXTURIZADA EM AMBAS AS FACES, E = 2,50 MM ( NBR 15352)</t>
  </si>
  <si>
    <t xml:space="preserve">MAQUINA DE 40 MM PARA FECHADURA DE EMBUTIR EXTERNA, EM ACO INOX</t>
  </si>
  <si>
    <t xml:space="preserve">MAQUINA DE 40 MM PARA FECHADURA, PARA PORTA DE BANHEIRO, EM ACO INOX</t>
  </si>
  <si>
    <t xml:space="preserve">MAQUINA DE 40 MM PARA FECHADURA, PARA PORTA INTERNA, EM ACO INOX</t>
  </si>
  <si>
    <t xml:space="preserve">MAQUINA DE 55 MM PARA FECHADURA DE EMBUTIR EXTERNA, EM ACO INOX</t>
  </si>
  <si>
    <t xml:space="preserve">MAQUINA DE 55 MM PARA FECHADURA, PARA PORTA DE BANHEIRO, EM ACO INOX</t>
  </si>
  <si>
    <t xml:space="preserve">MAQUINA DE 55 MM PARA FECHADURA, PARA PORTA INTERNA, EM ACO INOX</t>
  </si>
  <si>
    <t xml:space="preserve">MAQUINA DEMARCADORA DE FAIXA DE TRAFEGO A FRIO, AUTOPROPELIDA, MOTOR DIESEL 38 HP</t>
  </si>
  <si>
    <t xml:space="preserve">MAQUINA EXTRUSORA DE CONCRETO PARA GUIAS E SARJETAS, COM MOTOR A DIESEL E POTENCIA DE 14 CV</t>
  </si>
  <si>
    <t xml:space="preserve">MAQUINA MANUAL TIPO PRENSA PARA PRODUCAO DE BLOCOS E PAVIMENTOS DE CONCRETO, COM MOTOR ELETRICO TRIFASICO PARA VIBRACAO, POTENCIA TOTAL INSTALADA DE 1,5 KW</t>
  </si>
  <si>
    <t xml:space="preserve">MAQUINA PARA CORTE COM DISCO ABRASIVO DE DIAMETRO DE 18" (450 MM), COM MOTOR ELETRICO TRIFASICO DE 10 CV</t>
  </si>
  <si>
    <t xml:space="preserve">MAQUINA TIPO PRENSA HIDRAULICA, PARA FABRICACAO DE TUBOS DE CONCRETO PARA AGUAS PLUVIAIS, DN 200 A DN 600 MM X 1000 MM DE COMPRIMENTO, COM MOTOR PRINCIPAL COM POTENCIA DE 20 CV</t>
  </si>
  <si>
    <t xml:space="preserve">MARCENEIRO (HORISTA)</t>
  </si>
  <si>
    <t xml:space="preserve">MARCENEIRO (MENSALISTA)</t>
  </si>
  <si>
    <t xml:space="preserve">MARMORISTA / GRANITEIRO (MENSALISTA)</t>
  </si>
  <si>
    <t xml:space="preserve">MARTELO DE SOLDADOR/PICADOR DE SOLDA</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</si>
  <si>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</si>
  <si>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</si>
  <si>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</si>
  <si>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PERFURADOR PNEUMATICO MANUAL, DE SUPERFICIE, COM AVANCO DE COLUNA, PESO DE 22 KG</t>
  </si>
  <si>
    <t xml:space="preserve">MARTELO PERFURADOR PNEUMATICO MANUAL, HASTE 25 X 75 MM, 21 KG</t>
  </si>
  <si>
    <t xml:space="preserve">MARTELO PERFURADOR PNEUMATICO MANUAL, PESO DE 25 KG, COM SILENCIADOR</t>
  </si>
  <si>
    <t xml:space="preserve">MASCARA DE SEGURANCA PARA SOLDA COM ESCUDO DE CELERON E CARNEIRA DE PLASTICO COM REGULAGEM</t>
  </si>
  <si>
    <t xml:space="preserve">MASSA CORRIDA PARA SUPERFICIES DE AMBIENTES INTERNOS</t>
  </si>
  <si>
    <t xml:space="preserve">MASSA DE REJUNTE PRONTA PARA TRATAMENTO DE JUNTAS DE CHAPA DE GESSO PARA DRYWALL, SEM ADICAO DE AGUA</t>
  </si>
  <si>
    <t xml:space="preserve">MASSA EPOXI BICOMPONENTE (MASSA + CATALISADOR)</t>
  </si>
  <si>
    <t xml:space="preserve">MASSA EPOXI BICOMPONENTE PARA REPAROS</t>
  </si>
  <si>
    <t xml:space="preserve">MASSA PARA MADEIRA - INTERIOR E EXTERIOR</t>
  </si>
  <si>
    <t xml:space="preserve">MASSA PARA VIDRO</t>
  </si>
  <si>
    <t xml:space="preserve">MASSA PREMIUM PARA TEXTURA LISA DE BASE ACRILICA, USO INTERNO E EXTERNO</t>
  </si>
  <si>
    <t xml:space="preserve">MASSA PREMIUM PARA TEXTURA RUSTICA DE BASE ACRILICA, COR BRANCA, USO INTERNO E EXTERNO</t>
  </si>
  <si>
    <t xml:space="preserve">MASTRO SIMPLES GALVANIZADO DIAMETRO NOMINAL 2"</t>
  </si>
  <si>
    <t xml:space="preserve">MASTRO TELESCOPICO DE 4 METROS (3 M X DN= 2" + 1 M X DN= 1 1/2")</t>
  </si>
  <si>
    <t xml:space="preserve">MASTRO TELESCOPICO GALVANIZADO 6 METROS (3 M X DN= 2" + 3 M X DN= 1 1/2")</t>
  </si>
  <si>
    <t xml:space="preserve">MASTRO TELESCOPICO GALVANIZADO 7 METROS (6 M X DN= 2" + 1 M X DN= 1 1/2")</t>
  </si>
  <si>
    <t xml:space="preserve">MASTRO TELESCOPICO GALVANIZADO 9 METROS (6 M X DN= 2" + 3 M X DN= 1 1/2")</t>
  </si>
  <si>
    <t xml:space="preserve">MECANICO DE EQUIPAMENTOS PESADOS (HORISTA)</t>
  </si>
  <si>
    <t xml:space="preserve">MECANICO DE EQUIPAMENTOS PESADOS (MENSALISTA)</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</si>
  <si>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</si>
  <si>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</si>
  <si>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</si>
  <si>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</si>
  <si>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MEIA CANALETA DE CONCRETO ESTRUTURAL 14 X 19 X 19 CM, FBK 14 MPA (NBR 6136)</t>
  </si>
  <si>
    <t xml:space="preserve">MEIA CANALETA DE CONCRETO ESTRUTURAL 14 X 19 X 19 CM, FBK 4,5 MPA (NBR 6136)</t>
  </si>
  <si>
    <t xml:space="preserve">MEIO BLOCO DE CONCRETO ESTRUTURAL 14 X 19 X 14 CM, FBK 14 MPA (NBR 6136)</t>
  </si>
  <si>
    <t xml:space="preserve">MEIO BLOCO DE CONCRETO ESTRUTURAL 14 X 19 X 14 CM, FBK 4,5 MPA (NBR 6136)</t>
  </si>
  <si>
    <t xml:space="preserve">MEIO BLOCO DE CONCRETO ESTRUTURAL 14 X 19 X 19 CM, FBK 14 MPA (NBR 6136)</t>
  </si>
  <si>
    <t xml:space="preserve">MEIO BLOCO DE CONCRETO ESTRUTURAL 14 X 19 X 34 CM, FBK 14 MPA (NBR 6136)</t>
  </si>
  <si>
    <t xml:space="preserve">MEIO BLOCO DE VEDACAO DE CONCRETO 14 X 19 X 19 CM (CLASSE C - NBR 6136)</t>
  </si>
  <si>
    <t xml:space="preserve">MEIO BLOCO DE VEDACAO DE CONCRETO 19 X 19 X 19 CM (CLASSE C - NBR 6136)</t>
  </si>
  <si>
    <t xml:space="preserve">MEIO BLOCO DE VEDACAO DE CONCRETO 9 X 19 X 19 CM (CLASSE C - NBR 6136)</t>
  </si>
  <si>
    <t xml:space="preserve">MEIO BLOCO DE VEDACAO DE CONCRETO APARENTE 14 X 19 X 19 CM (CLASSE C - NBR 6136)</t>
  </si>
  <si>
    <t xml:space="preserve">MEIO BLOCO DE VEDACAO DE CONCRETO APARENTE 19 X 19 X 19 CM (CLASSE C - NBR 6136)</t>
  </si>
  <si>
    <t xml:space="preserve">MEIO BLOCO DE VEDACAO DE CONCRETO APARENTE 9 X 19 X 19 CM (CLASSE C - NBR 6136)</t>
  </si>
  <si>
    <t xml:space="preserve">MEIO BLOCO ESTRUTURAL CERAMICO DE 14 X 19 X 14 CM (L X A X C) E 6,0 MPA</t>
  </si>
  <si>
    <t xml:space="preserve">MEIO BLOCO ESTRUTURAL CERAMICO DE 14 X 19 X 19 CM (L X A X C) E 6,0 MPA</t>
  </si>
  <si>
    <t xml:space="preserve">MEIO-FIO OU GUIA DE CONCRETO PRE MOLDADO, COMP 1 M, *30 X 10/12* CM (H X L1/L2)</t>
  </si>
  <si>
    <t xml:space="preserve">MEIO-FIO OU GUIA DE CONCRETO PRE MOLDADO, COMP 80 CM, *30 X 10/10* (H X L1/L2)</t>
  </si>
  <si>
    <t xml:space="preserve">MEIO-FIO OU GUIA DE CONCRETO PRE-MOLDADO, COMP *39* CM, *19 X 6,5/6,5* CM (H X L1/L2)</t>
  </si>
  <si>
    <t xml:space="preserve">MEIO-FIO OU GUIA DE CONCRETO PRE-MOLDADO, COMP 1 M, *20 X 12/15* CM (H X L1/L2)</t>
  </si>
  <si>
    <t xml:space="preserve">MEIO-FIO OU GUIA DE CONCRETO PRE-MOLDADO, TIPO CHAPEU PARA BOCA DE LOBO,  DIMENSOES *1,20* X 0,15 X 0,30 M</t>
  </si>
  <si>
    <t xml:space="preserve">MEIO-FIO OU GUIA DE CONCRETO, PRE-MOLDADO, COMP 1 M, *30 X 12/15* CM (H X L1/L2)</t>
  </si>
  <si>
    <t xml:space="preserve">MEIO-FIO OU GUIA DE CONCRETO, PRE-MOLDADO, COMP 1 M, *30 X 15* CM (H X L)</t>
  </si>
  <si>
    <t xml:space="preserve">MEIO-FIO OU GUIA DE CONCRETO, PRE-MOLDADO, COMP 80 CM, *45 X 12/18* CM (H X L1/L2)</t>
  </si>
  <si>
    <t xml:space="preserve">MEMBRANA IMPERMEABILIZANTE A BASE DE POLIUREIA, BICOMPONENTE, APLICACAO A FRIO</t>
  </si>
  <si>
    <t xml:space="preserve">MEMBRANA IMPERMEABILIZANTE ACRILICA MONOCOMPONENTE</t>
  </si>
  <si>
    <t xml:space="preserve">MESA VIBRATORIA COM DIMENSOES DE 2,0 X 1,0 M, COM MOTOR ELETRICO DE 2 POLOS E POTENCIA DE 3 CV</t>
  </si>
  <si>
    <t xml:space="preserve">MESTRE DE OBRAS (HORISTA)</t>
  </si>
  <si>
    <t xml:space="preserve">METACAULIM DE ALTA REATIVIDADE/CAULIM CALCINADO</t>
  </si>
  <si>
    <t xml:space="preserve">MICRO-TRATOR CORTADOR DE GRAMA COM LARGURA DO CORTE DE 107 CM, COM 2 LAMINAS E DESCARTE LATERAL</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</si>
  <si>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</si>
  <si>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</si>
  <si>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</si>
  <si>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</si>
  <si>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MICTORIO INDIVIDUAL ACO INOX (AISI 304), E = 0,8 MM, DE *50 X 45 X 35* (C X A X P)</t>
  </si>
  <si>
    <t xml:space="preserve">MICTORIO INDIVIDUAL, SIFONADO, VALVULA EMBUTIDA, DE LOUCA BRANCA, SEM COMPLEMENTOS - PADRAO ALTO</t>
  </si>
  <si>
    <t xml:space="preserve">MINICAPTOR, EM ACO GALVANIZADO A FOGO, FIXACAO COM ROSCA SOBERBA OU MECANICA, H=300 MM X DN=10 MM</t>
  </si>
  <si>
    <t xml:space="preserve">MINICAPTOR, EM ACO GALVANIZADO A FOGO, FIXACAO COM ROSCA SOBERBA OU MECANICA, H=600 MM X DN=10 MM</t>
  </si>
  <si>
    <t xml:space="preserve">MINICAPTOR, EM ACO GALVANIZADO A FOGO, FIXACAO HORIZONTAL COM BANDEIRA A 20 CM, H=300 MM E X DN=10 MM</t>
  </si>
  <si>
    <t xml:space="preserve">MINICAPTOR, EM ACO GALVANIZADO A FOGO, FIXACAO HORIZONTAL COM BANDEIRA A 20 CM, H=600 MM E X DN=10 MM</t>
  </si>
  <si>
    <t xml:space="preserve">MINICAPTOR, EM ACO GALVANIZADO A FOGO, FIXACAO HORIZONTAL DE 1 FUROS, SEM BANDEIRA, H=300 MM X DN=10 MM</t>
  </si>
  <si>
    <t xml:space="preserve">MINICAPTORES DE INSERCAO, EM ACO GALVANIZADO A FOGO, H=300 MM X DN=10 MM</t>
  </si>
  <si>
    <t xml:space="preserve">MINICAPTORES DE INSERCAO, EM ACO GALVANIZADO A FOGO, H=600,MM X DN=10,MM</t>
  </si>
  <si>
    <t xml:space="preserve">MINICARREGADEIRA SOBRE RODAS, POTENCIA LIQUIDA DE *72* HP, CAPACIDADE NOMINAL DE OPERACAO DE *1200* KG</t>
  </si>
  <si>
    <t xml:space="preserve">MINIESCAVADEIRA SOBRE ESTEIRAS, POTENCIA LIQUIDA DE *42* HP, PESO OPERACIONAL DE *4.500* KG</t>
  </si>
  <si>
    <t xml:space="preserve">MINIESCAVADEIRA SOBRE ESTEIRAS, POTENCIA LIQUIDA DE *42* HP, PESO OPERACIONAL DE *5.300* KG</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</si>
  <si>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</si>
  <si>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</si>
  <si>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</si>
  <si>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MISTURADOR DE METAL CROMADO DE PAREDE PARA LAVATORIO</t>
  </si>
  <si>
    <t xml:space="preserve">MISTURADOR DE METAL CROMADO, DE MESA/BANCADA, COM BICA BAIXA, PARA LAVATORIO</t>
  </si>
  <si>
    <t xml:space="preserve">MISTURADOR DE PAREDE, DE METAL CROMADO, PARA COZINHA, BICA ALTA MOVEL, COM AREJADOR ARTICULADO</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</si>
  <si>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</si>
  <si>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</si>
  <si>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METALICO, BASE PARA CHUVEIRO/BANHEIRA, 1/2" OU 3/4 ", SOLDAVEL OU ROSCAVEL (NAO INCLUI ACABAMENTOS)</t>
  </si>
  <si>
    <t xml:space="preserve">MISTURADOR MONOCOMANDO PARA CHUVEIRO, BASE BRUTA, METALICO COM ACABAMENTO CROMADO</t>
  </si>
  <si>
    <t xml:space="preserve">MOLA HIDRAULICA AEREA, PARA PORTAS DE ATE 1.100 MM E PESO DE ATE 85 KG, COM CORPO EM ALUMINIO E BRACO EM ACO, SEM BRACO DE PARADA</t>
  </si>
  <si>
    <t xml:space="preserve">MOLA HIDRAULICA AEREA, PARA PORTAS DE ATE 850 MM E PESO DE ATE 50 KG, COM CORPO EM ALUMINIO E BRACO EM ACO, SEM BRACO DE PARADA</t>
  </si>
  <si>
    <t xml:space="preserve">MOLA HIDRAULICA AEREA, PARA PORTAS DE ATE 950 MM E PESO DE ATE 65 KG, COM CORPO EM ALUMINIO E BRACO EM ACO, SEM BRACO DE PARADA</t>
  </si>
  <si>
    <t xml:space="preserve">MOLA HIDRAULICA DE PISO, PARA PORTAS DE ATE 1100 MM E PESO DE ATE 120 KG, COM CORPO EM ACO INOX</t>
  </si>
  <si>
    <t xml:space="preserve">MONTADOR DE ELETROELETRONICOS (MENSALISTA)</t>
  </si>
  <si>
    <t xml:space="preserve">MONTADOR DE ESTRUTURAS METALICAS (MENSALISTA)</t>
  </si>
  <si>
    <t xml:space="preserve">MONTADOR DE MAQUINAS (MENSALISTA)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</si>
  <si>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</si>
  <si>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</si>
  <si>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</si>
  <si>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</si>
  <si>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</si>
  <si>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</si>
  <si>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</si>
  <si>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</si>
  <si>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</si>
  <si>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</si>
  <si>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</si>
  <si>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 (MENSALISTA)</t>
  </si>
  <si>
    <t xml:space="preserve">MOTORISTA DE CAMINHAO BETONEIRA (HORISTA)</t>
  </si>
  <si>
    <t xml:space="preserve">MOTORISTA DE CAMINHAO-BASCULANTE (MENSALISTA)</t>
  </si>
  <si>
    <t xml:space="preserve">MOTORISTA DE CAMINHAO-CARRETA (HORISTA)</t>
  </si>
  <si>
    <t xml:space="preserve">MOTORISTA DE CAMINHAO-CARRETA (MENSALISTA)</t>
  </si>
  <si>
    <t xml:space="preserve">MOTORISTA DE CARRO DE PASSEIO (HORISTA)</t>
  </si>
  <si>
    <t xml:space="preserve">MOTORISTA DE CARRO DE PASSEIO (MENSALISTA)</t>
  </si>
  <si>
    <t xml:space="preserve">MOTORISTA OPERADOR DE CAMINHAO COM MUNCK (MENSALISTA)</t>
  </si>
  <si>
    <t xml:space="preserve">MOURAO CONCRETO CURVO, SECAO "T", H = 2,80 M + CURVA COM 0,45 M, COM FUROS PARA FIOS</t>
  </si>
  <si>
    <t xml:space="preserve">MOURAO DE CONCRETO CURVO, *10 X 10* CM, H= *2,60* M + CURVA DE 0,40 M</t>
  </si>
  <si>
    <t xml:space="preserve">MOURAO DE CONCRETO RETO, SECAO QUADRADA, *10 X 10* CM, H= 3,00 M</t>
  </si>
  <si>
    <t xml:space="preserve">MOURAO DE CONCRETO RETO, TIPO ESTICADOR, *10 X 10* CM, H= 2,50 M</t>
  </si>
  <si>
    <t xml:space="preserve">MOURAO ROLICO DE MADEIRA TRATADA, D = 16 A 20 CM, H = 2,20 M, EM EUCALIPTO OU EQUIVALENTE DA REGIAO (PARA CERCA)</t>
  </si>
  <si>
    <t xml:space="preserve">MOURAO ROLICO DE MADEIRA TRATADA, D = 8 A 11 CM, H = 2,20 M, EM EUCALIPTO OU EQUIVALENTE DA REGIAO (PARA CERCA)</t>
  </si>
  <si>
    <t xml:space="preserve">MUDA DE ARBUSTO FLORIFERO, CLUSIA/GARDENIA/MOREIA BRANCA/ AZALEIA OU EQUIVALENTE DA REGIAO, H= *50 A 70* CM</t>
  </si>
  <si>
    <t xml:space="preserve">MUDA DE ARBUSTO FOLHAGEM, SANSAO-DO-CAMPO OU EQUIVALENTE DA REGIAO, H= *50 A 70* CM</t>
  </si>
  <si>
    <t xml:space="preserve">MUDA DE ARBUSTO, BUXINHO, H= *50* CM</t>
  </si>
  <si>
    <t xml:space="preserve">MUDA DE ARBUSTO, PINGO DE OURO/ VIOLETEIRA, H = *10 A 20*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</si>
  <si>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</si>
  <si>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</si>
  <si>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M</t>
  </si>
  <si>
    <t xml:space="preserve">MULTIEXERCITADOR COM SEIS FUNCOES, EM TUBO DE ACO CARBONO, PINTURA NO PROCESSO ELETROSTATICO - EQUIPAMENTO DE GINASTICA PARA ACADEMIA AO AR LIVRE / ACADEMIA DA TERCEIRA IDADE - ATI</t>
  </si>
  <si>
    <t xml:space="preserve">NIPLE DE FERRO GALVANIZADO, COM ROSCA BSP, DE 1 1/2"</t>
  </si>
  <si>
    <t xml:space="preserve">NIPLE DE FERRO GALVANIZADO, COM ROSCA BSP, DE 1 1/4"</t>
  </si>
  <si>
    <t xml:space="preserve">NIPLE DE FERRO GALVANIZADO, COM ROSCA BSP, DE 1"</t>
  </si>
  <si>
    <t xml:space="preserve">NIPLE DE FERRO GALVANIZADO, COM ROSCA BSP, DE 2"</t>
  </si>
  <si>
    <t xml:space="preserve">NIPLE DE FERRO GALVANIZADO, COM ROSCA BSP, DE 3/4"</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</si>
  <si>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</si>
  <si>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</si>
  <si>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</si>
  <si>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</si>
  <si>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</si>
  <si>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</si>
  <si>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t>
  </si>
  <si>
    <t xml:space="preserve">NIPLE DE REDUCAO DE FERRO GALVANIZADO, COM ROSCA BSP, DE 1 1/4" X 1/2"</t>
  </si>
  <si>
    <t xml:space="preserve">NIPLE DE REDUCAO DE FERRO GALVANIZADO, COM ROSCA BSP, DE 1 1/4" X 3/4"</t>
  </si>
  <si>
    <t xml:space="preserve">NIPLE DE REDUCAO DE FERRO GALVANIZADO, COM ROSCA BSP, DE 1" X 1/2"</t>
  </si>
  <si>
    <t xml:space="preserve">NIPLE DE REDUCAO DE FERRO GALVANIZADO, COM ROSCA BSP, DE 1" X 3/4"</t>
  </si>
  <si>
    <t xml:space="preserve">NIPLE DE REDUCAO DE FERRO GALVANIZADO, COM ROSCA BSP, DE 1/2" X 1/4"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</si>
  <si>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</si>
  <si>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</si>
  <si>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</si>
  <si>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</si>
  <si>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 X 2 1/2"</t>
  </si>
  <si>
    <t xml:space="preserve">NIPLE DE REDUCAO DE FERRO GALVANIZADO, COM ROSCA BSP, DE 3" X 2"</t>
  </si>
  <si>
    <t xml:space="preserve">NIPLE DE REDUCAO DE FERRO GALVANIZADO, COM ROSCA BSP, DE 3/4" X 1/2"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</si>
  <si>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</si>
  <si>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</si>
  <si>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t>
  </si>
  <si>
    <t xml:space="preserve">NIPLE SEXTAVADO EM ACO CARBONO, COM ROSCA BSP, PRESSAO 3.000 LBS, DN 1/2"</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</si>
  <si>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</si>
  <si>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</si>
  <si>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</si>
  <si>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 (HORISTA)</t>
  </si>
  <si>
    <t xml:space="preserve">NIVELADOR (MENSALISTA)</t>
  </si>
  <si>
    <t xml:space="preserve">NOBREAK TRIFASICO, DE 10 KVA FATOR DE POTENCIA DE 0,8, AUTONOMIA MINIMA DE 30 MINUTOS A PLENA CARGA</t>
  </si>
  <si>
    <t xml:space="preserve">NOBREAK TRIFASICO, DE 15 KVA FATOR DE POTENCIA DE 0,8, AUTONOMIA MINIMA DE 30 MINUTOS A PLENA CARGA</t>
  </si>
  <si>
    <t xml:space="preserve">NOBREAK TRIFASICO, DE 20 KVA FATOR DE POTENCIA DE 0,8, AUTONOMIA MINIMA DE 30 MINUTOS A PLENA CARGA</t>
  </si>
  <si>
    <t xml:space="preserve">NOBREAK TRIFASICO, DE 25 KVA FATOR DE POTENCIA DE 0,8, AUTONOMIA MINIMA DE 30 MINUTOS A PLENA CARGA</t>
  </si>
  <si>
    <t xml:space="preserve">NOBREAK TRIFASICO, DE 5 KVA FATOR DE POTENCIA DE 0,8, AUTONOMIA MINIMA DE 30 MINUTOS A PLENA CARGA</t>
  </si>
  <si>
    <t xml:space="preserve">NUMERO / ALGARISMO PARA RESIDENCIA (FACHADA), EM ZAMAC, COM ALTURA DE APROX *45* MM, INCLUSIVE PARAFUSOS</t>
  </si>
  <si>
    <t xml:space="preserve">NUMERO / ALGARISMO PARA RESIDENCIA (FACHADA), EM ZAMAC, COM ALTURA DE APROX 125 MM, INCLUSIVE PARAFUSOS</t>
  </si>
  <si>
    <t xml:space="preserve">OCULOS DE SEGURANCA CONTRA IMPACTOS COM LENTE INCOLOR, ARMACAO NYLON, COM PROTECAO UVA E UVB</t>
  </si>
  <si>
    <t xml:space="preserve">OLEO LUBRIFICANTE MINERAL MONOVISCOSO, SAE 40, PARA MOTORES DE EQUIPAMENTOS PESADOS (CAMINHOES, TRATORES, RETROS E ETC)</t>
  </si>
  <si>
    <t xml:space="preserve">OLHO MAGICO PARA PORTAS, EM LATAO, COM LENTE DE POLICARBONATO, ANGULO DE *200* GRAUS, ESPESSURA ENTRE *25 E 46* MM, INCLUINDO FECHO JANELA</t>
  </si>
  <si>
    <t xml:space="preserve">OPERADOR DE BATE-ESTACAS (HORISTA)</t>
  </si>
  <si>
    <t xml:space="preserve">OPERADOR DE BATE-ESTACAS (MENSALISTA)</t>
  </si>
  <si>
    <t xml:space="preserve">OPERADOR DE BETONEIRA (CAMINHAO) (MENSALISTA)</t>
  </si>
  <si>
    <t xml:space="preserve">OPERADOR DE BETONEIRA ESTACIONARIA / MISTURADOR (MENSALISTA)</t>
  </si>
  <si>
    <t xml:space="preserve">OPERADOR DE COMPRESSOR DE AR OU COMPRESSORISTA (HORISTA)</t>
  </si>
  <si>
    <t xml:space="preserve">OPERADOR DE COMPRESSOR DE AR OU COMPRESSORISTA (MENSALISTA)</t>
  </si>
  <si>
    <t xml:space="preserve">OPERADOR DE DEMARCADORA DE FAIXAS DE TRAFEGO (HORISTA)</t>
  </si>
  <si>
    <t xml:space="preserve">OPERADOR DE DEMARCADORA DE FAIXAS DE TRAFEGO (MENSALISTA)</t>
  </si>
  <si>
    <t xml:space="preserve">OPERADOR DE ESCAVADEIRA (MENSALISTA)</t>
  </si>
  <si>
    <t xml:space="preserve">OPERADOR DE GUINCHO OU GUINCHEIRO (MENSALISTA)</t>
  </si>
  <si>
    <t xml:space="preserve">OPERADOR DE GUINDASTE (MENSALISTA)</t>
  </si>
  <si>
    <t xml:space="preserve">OPERADOR DE JATO ABRASIVO OU JATISTA (MENSALISTA)</t>
  </si>
  <si>
    <t xml:space="preserve">OPERADOR DE MAQUINAS E TRATORES DIVERSOS - TERRAPLANAGEM (MENSALISTA)</t>
  </si>
  <si>
    <t xml:space="preserve">OPERADOR DE MARTELETE OU MARTELETEIRO (MENSALISTA)</t>
  </si>
  <si>
    <t xml:space="preserve">OPERADOR DE MOTO SCRAPER (HORISTA)</t>
  </si>
  <si>
    <t xml:space="preserve">OPERADOR DE MOTO SCRAPER (MENSALISTA)</t>
  </si>
  <si>
    <t xml:space="preserve">OPERADOR DE MOTONIVELADORA (MENSALISTA)</t>
  </si>
  <si>
    <t xml:space="preserve">OPERADOR DE PA CARREGADEIRA (MENSALISTA)</t>
  </si>
  <si>
    <t xml:space="preserve">OPERADOR DE PAVIMENTADORA / MESA VIBROACABADORA (HORISTA)</t>
  </si>
  <si>
    <t xml:space="preserve">OPERADOR DE PAVIMENTADORA / MESA VIBROACABADORA (MENSALISTA)</t>
  </si>
  <si>
    <t xml:space="preserve">OPERADOR DE ROLO COMPACTADOR (MENSALISTA)</t>
  </si>
  <si>
    <t xml:space="preserve">OPERADOR DE USINA DE ASFALTO, DE SOLOS OU DE CONCRETO (HORISTA)</t>
  </si>
  <si>
    <t xml:space="preserve">OPERADOR DE USINA DE ASFALTO, DE SOLOS OU DE CONCRETO (MENSALISTA)</t>
  </si>
  <si>
    <t xml:space="preserve">OXIGENIO, RECARGA PARA CILINDRO DE CONJUNTO OXICORTE GRANDE</t>
  </si>
  <si>
    <t xml:space="preserve">PA CARREGADEIRA SOBRE RODAS, POTENCIA 152 HP, CAPACIDADE DA CACAMBA DE 1,53 A 2,30 M3, PESO OPERACIONAL MAXIMO DE 10216 KG</t>
  </si>
  <si>
    <t xml:space="preserve">PA CARREGADEIRA SOBRE RODAS, POTENCIA BRUTA *127* CV, CAPACIDADE DA CACAMBA DE 2,0 A 2,4 M3, PESO OPERACIONAL MAXIMO DE 10330 KG</t>
  </si>
  <si>
    <t xml:space="preserve">PA CARREGADEIRA SOBRE RODAS, POTENCIA LIQUIDA 197 HP, CAPACIDADE DA CACAMBA DE 2,5 A 3,5 M3, PESO OPERACIONAL MAXIMO DE 18338 KG</t>
  </si>
  <si>
    <t xml:space="preserve">PA CARREGADEIRA SOBRE RODAS, POTENCIA LIQUIDA 213 HP, CAPACIDADE DA CACAMBA DE 1,9 A 3,5 M3, PESO OPERACIONAL MAXIMO DE 19234 KG</t>
  </si>
  <si>
    <t xml:space="preserve">PA DE LIXO PLASTICA, CABO LONGO</t>
  </si>
  <si>
    <t xml:space="preserve">PAINEL DE LA DE VIDRO SEM REVESTIMENTO PSI 20, E = 25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</si>
  <si>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</si>
  <si>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</si>
  <si>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</si>
  <si>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</si>
  <si>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PAINEL ESTRUTURAL PARA LAJE SECA REVESTIDO EM PLACA CIMENTICIA, DE 1,20 X 2,50 M, E = 55 MM</t>
  </si>
  <si>
    <t xml:space="preserve">PAINEL TERMOISOLANTE PARA FECHAMENTOS VERTICAIS (INCLUI PARAFUSOS DE FIXACAO) REVESTIDO EM ACO GALVALUME, LARGURA UTIL DE 1100 MM, REVESTIMENTO COM ESPESSURA DE 0,50 MM, COM PRE-PINTURA NAS DUAS FACES, NUCLEO EM POLIURETANO (PUR) COM ESPESSURA 40/50 MM</t>
  </si>
  <si>
    <t xml:space="preserve">PAINEL TERMOISOLANTE PARA FECHAMENTOS VERTICAIS (INCLUI PARAFUSOS DE FIXACAO) REVESTIDO EM ACO GALVALUME, LARGURA UTIL DE 1100 MM, REVESTIMENTO COM ESPESSURA DE 0,50 MM, COM PRE-PINTURA NAS DUAS FACES, NUCLEO EM POLIURETANO (PUR) COM ESPESSURA 70/80 MM</t>
  </si>
  <si>
    <t xml:space="preserve">PAPEL KRAFT BETUMADO</t>
  </si>
  <si>
    <t xml:space="preserve">PAPELEIRA DE PAREDE EM METAL CROMADO SEM TAMPA</t>
  </si>
  <si>
    <t xml:space="preserve">PAR DE TABELAS DE BASQUETE EM COMPENSADO NAVAL, OFICIAL, 1800 X 1200 MM, INCLUINDO ARO DE METAL E REDE EM POLIPROPILENO 100% (SEM SUPORTE DE FIXACAO)</t>
  </si>
  <si>
    <t xml:space="preserve">PARA-RAIOS DE DISTRIBUICAO, TENSAO NOMINAL 15 KV, CORRENTE NOMINAL DE DESCARGA 5 KA</t>
  </si>
  <si>
    <t xml:space="preserve">PARA-RAIOS DE DISTRIBUICAO, TENSAO NOMINAL 30 KV, CORRENTE NOMINAL DE DESCARGA 10 KA</t>
  </si>
  <si>
    <t xml:space="preserve">PARAFUSO CABECA TROMBETA E PONTA AGULHA (GN55), COMPRIMENTO 55 MM, EM ACO FOSFATIZADO, PARA FIXAR CHAPA DE GESSO EM PERFIL DRYWALL METALICO MAXIMO 0,7 MM</t>
  </si>
  <si>
    <t xml:space="preserve">PARAFUSO DE ACO ZINCADO COM ROSCA SOBERBA, CABECA CHATA E FENDA SIMPLES, DIAMETRO 2,5 MM, COMPRIMENTO * 9,5 * MM</t>
  </si>
  <si>
    <t xml:space="preserve">PARAFUSO DE ACO ZINCADO COM ROSCA SOBERBA, CABECA CHATA E FENDA SIMPLES, DIAMETRO 4,8 MM, COMPRIMENTO 45 MM</t>
  </si>
  <si>
    <t xml:space="preserve">PARAFUSO DE ACO ZINCADO, TIPO CHUMBADOR PARABOLT, DIAMETRO 1/2", COMPRIMENTO 75 MM</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</si>
  <si>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</si>
  <si>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</si>
  <si>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</si>
  <si>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</si>
  <si>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</si>
  <si>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</si>
  <si>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</si>
  <si>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</si>
  <si>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</si>
  <si>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</si>
  <si>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EM ACO GALVANIZADO, TIPO MAQUINA, SEXTAVADO, SEM PORCA, DIAMETRO 1/2", COMPRIMENTO 2"</t>
  </si>
  <si>
    <t xml:space="preserve">PARAFUSO FRANCES M16 EM ACO GALVANIZADO, COMPRIMENTO = 150 MM, DIAMETRO = 16 MM, CABECA ABAULADA</t>
  </si>
  <si>
    <t xml:space="preserve">PARAFUSO FRANCES METRICO ZINCADO, DIAMETRO 12 MM, COMPRIMENTO 140MM, COM PORCA SEXTAVADA E ARRUELA DE PRESSAO MEDIA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</si>
  <si>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</si>
  <si>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</si>
  <si>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2", COM PORCA E ARRUELA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</si>
  <si>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</si>
  <si>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</si>
  <si>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</si>
  <si>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</si>
  <si>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</si>
  <si>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</si>
  <si>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</si>
  <si>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</si>
  <si>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</si>
  <si>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</si>
  <si>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</si>
  <si>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ROSCA SOBERBA ZINCADO CABECA CHATA FENDA SIMPLES 3,2 X 20 MM (3/4 ")</t>
  </si>
  <si>
    <t xml:space="preserve">PARAFUSO ROSCA SOBERBA ZINCADO CABECA CHATA FENDA SIMPLES 3,8 X 30 MM (1.1/4 ")</t>
  </si>
  <si>
    <t xml:space="preserve">PARAFUSO ROSCA SOBERBA ZINCADO CABECA CHATA FENDA SIMPLES 4,8 X 40 MM (1.1/2 ")</t>
  </si>
  <si>
    <t xml:space="preserve">PARAFUSO ROSCA SOBERBA ZINCADO CABECA CHATA FENDA SIMPLES 5,5 X 50 MM (2 ")</t>
  </si>
  <si>
    <t xml:space="preserve">PARAFUSO ROSCA SOBERBA ZINCADO CABECA CHATA FENDA SIMPLES 5,5 X 65 MM (2.1/2 ")</t>
  </si>
  <si>
    <t xml:space="preserve">PARAFUSO ZINCADO 5/16" X 250 MM PARA FIXACAO DE TELHA DE FIBROCIMENTO CANALETE 49, INCLUI BUCHA NYLON S-10</t>
  </si>
  <si>
    <t xml:space="preserve">PARAFUSO ZINCADO 5/16" X 85 MM PARA FIXACAO DE TELHA DE FIBROCIMENTO CANALETE 90, INCLUI BUCHA NYLON S-10</t>
  </si>
  <si>
    <t xml:space="preserve">PARAFUSO ZINCADO ROSCA SOBERBA 5/16" X 120 MM PARA TELHA FIBROCIMENTO</t>
  </si>
  <si>
    <t xml:space="preserve">PARAFUSO ZINCADO ROSCA SOBERBA, CABECA SEXTAVADA, 5/16" X 110 MM, PARA FIXACAO DE TELHA EM MADEIRA</t>
  </si>
  <si>
    <t xml:space="preserve">PARAFUSO ZINCADO ROSCA SOBERBA, CABECA SEXTAVADA, 5/16" X 150 MM, PARA FIXACAO DE TELHA EM MADEIRA</t>
  </si>
  <si>
    <t xml:space="preserve">PARAFUSO ZINCADO ROSCA SOBERBA, CABECA SEXTAVADA, 5/16" X 180 MM, PARA FIXACAO DE TELHA EM MADEIRA</t>
  </si>
  <si>
    <t xml:space="preserve">PARAFUSO ZINCADO ROSCA SOBERBA, CABECA SEXTAVADA, 5/16" X 200 MM, PARA FIXACAO DE TELHA EM MADEIRA</t>
  </si>
  <si>
    <t xml:space="preserve">PARAFUSO ZINCADO ROSCA SOBERBA, CABECA SEXTAVADA, 5/16" X 230 MM, PARA FIXACAO DE TELHA EM MADEIRA</t>
  </si>
  <si>
    <t xml:space="preserve">PARAFUSO ZINCADO ROSCA SOBERBA, CABECA SEXTAVADA, 5/16" X 50 MM, PARA FIXACAO DE TELHA EM MADEIRA</t>
  </si>
  <si>
    <t xml:space="preserve">PARAFUSO ZINCADO ROSCA SOBERBA, CABECA SEXTAVADA, 5/16" X 85 MM, PARA FIXACAO DE TELHA EM MADEIRA</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</si>
  <si>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</si>
  <si>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</si>
  <si>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</si>
  <si>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</si>
  <si>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</si>
  <si>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</si>
  <si>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</si>
  <si>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ASTM A307 - GRAU A, SEXTAVADO, ZINCADO, DIAMETRO 3/8" (9,52 MM), COMPRIMENTO 1" (25,4 MM)</t>
  </si>
  <si>
    <t xml:space="preserve">PARALELEPIPEDO GRANITICO OU BASALTICO, PARA PAVIMENTACAO, SEM FRETE (VARIACAO REGIONAL DE PECAS POR M2)</t>
  </si>
  <si>
    <t xml:space="preserve">MIL</t>
  </si>
  <si>
    <t xml:space="preserve">PASTA PARA SOLDA DE TUBOS E CONEXOES DE COBRE (EMBALAGEM COM 250 G)</t>
  </si>
  <si>
    <t xml:space="preserve">PASTA VEDA JUNTAS/ROSCA, EMBALAGEM DE *500* G, PARA INSTALACOES DE AGUA, GAS E OUTROS</t>
  </si>
  <si>
    <t xml:space="preserve">PASTILHA CERAMICA/PORCELANA, REVEST INT/EXT E PISCINA, CORES BRANCA OU FRIAS, SOLIDAS, SEM MESCLAGEM/MISTURA, ACABAMENTO LISO *2,5 X 2,5* CM</t>
  </si>
  <si>
    <t xml:space="preserve">PASTILHA CERAMICA/PORCELANA, REVEST INT/EXT E PISCINA, CORES BRANCA OU FRIAS, SOLIDAS, SEM MESCLAGEM/MISTURA, ACABAMENTO LISO *5 X 5* CM</t>
  </si>
  <si>
    <t xml:space="preserve">PASTILHA CERAMICA/PORCELANA, REVEST INT/EXT E PISCINA, CORES LISAS/SOLIDAS, QUENTES, SEM MESCLAGEM/MISTURA, *2,5 X 2,5* CM</t>
  </si>
  <si>
    <t xml:space="preserve">PASTILHA CERAMICA/PORCELANA, REVEST INT/EXT E PISCINA, CORES LISAS/SOLIDAS, QUENTES, SEM MESCLAGEM/MISTURA, *5 X 5* CM</t>
  </si>
  <si>
    <t xml:space="preserve">PASTILHEIRO (HORISTA)</t>
  </si>
  <si>
    <t xml:space="preserve">PASTILHEIRO (MENSALISTA)</t>
  </si>
  <si>
    <t xml:space="preserve">PATCH CORD (CABO DE REDE), CATEGORIA 5 E (CAT 5E) UTP, 24 AWG, 4 PARES, EXTENSAO DE 1,50 M</t>
  </si>
  <si>
    <t xml:space="preserve">PATCH CORD (CABO DE REDE), CATEGORIA 5 E (CAT 5E) UTP, 24 AWG, 4 PARES, EXTENSAO DE 2,50 M</t>
  </si>
  <si>
    <t xml:space="preserve">PATCH CORD (CABO DE REDE), CATEGORIA 6 (CAT 6) UTP, 23 AWG, 4 PARES, EXTENSAO DE 1,50 M</t>
  </si>
  <si>
    <t xml:space="preserve">PATCH CORD (CABO DE REDE), CATEGORIA 6 (CAT 6) UTP, 23 AWG, 4 PARES, EXTENSAO DE 2,50 M</t>
  </si>
  <si>
    <t xml:space="preserve">PATCH PANEL, 24 PORTAS, CATEGORIA 5E, COM RACKS DE 19" DE LARGURA E 1 U DE ALTURA</t>
  </si>
  <si>
    <t xml:space="preserve">PATCH PANEL, 48 PORTAS, CATEGORIA 5E, COM RACKS DE 19" DE LARGURA E 2 U DE ALTURA</t>
  </si>
  <si>
    <t xml:space="preserve">PEDRA ARDOSIA, CINZA, *40 X 40* CM, E= *1 CM</t>
  </si>
  <si>
    <t xml:space="preserve">PEDRA ARDOSIA, CINZA, 20 X 40 CM, E= *1 CM</t>
  </si>
  <si>
    <t xml:space="preserve">PEDRA ARDOSIA, CINZA, 30 X 30, E= *1 CM</t>
  </si>
  <si>
    <t xml:space="preserve">PEDRA BRITADA N. 3 (38 A 50 MM)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</si>
  <si>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</si>
  <si>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</si>
  <si>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</si>
  <si>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</si>
  <si>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</si>
  <si>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</si>
  <si>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</si>
  <si>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PEDREIRO (MENSALISTA)</t>
  </si>
  <si>
    <t xml:space="preserve">PEITORIL EM MARMORE, POLIDO, BRANCO COMUM, L= *15* CM, E= *3* CM, CORTE RETO</t>
  </si>
  <si>
    <t xml:space="preserve">PEITORIL PRE-MOLDADO EM GRANILITE, MARMORITE OU GRANITINA, L = *15* CM</t>
  </si>
  <si>
    <t xml:space="preserve">PEITORIL/ SOLEIRA EM MARMORE, POLIDO, BRANCO COMUM, L= *25* CM, E= *3* CM, CORTE RETO</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</si>
  <si>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</si>
  <si>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</si>
  <si>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</si>
  <si>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</si>
  <si>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"U" SIMPLES, EM CHAPA DOBRADA DE ACO LAMINADO, E = 2,65 MM, H = 75 MM, L = 40 MM (3,04 KG/M)</t>
  </si>
  <si>
    <t xml:space="preserve">PERFIL "U" SIMPLES, EM CHAPA DOBRADA DE ACO LAMINADO, E = 3 MM, H = 125 MM, L = 50 MM (5,07 KG/M)</t>
  </si>
  <si>
    <t xml:space="preserve">PERFIL "U" SIMPLES, EM CHAPA DOBRADA DE ACO LAMINADO, E = 3 MM, H = 200 MM, L = 50 MM (6,83 KG/M)</t>
  </si>
  <si>
    <t xml:space="preserve">PERFIL "U" SIMPLES, EM CHAPA DOBRADA DE ACO LAMINADO, E = 4,75 MM, H = 100 MM, L = 75 MM (8,74 KG/M)</t>
  </si>
  <si>
    <t xml:space="preserve">PERFIL "U" SIMPLES, EM CHAPA DOBRADA DE ACO LAMINADO, E = 8 MM, H = 150 MM, L = 75 MM (16,97 KG/M)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</si>
  <si>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</si>
  <si>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</si>
  <si>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</si>
  <si>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CARTOLA DE ACO GALVANIZADO, *20 X 30 X 10* MM, E = 0,8 MM</t>
  </si>
  <si>
    <t xml:space="preserve">PERFIL ELASTOMERICO PRE-FORMADO EM EPMD, PARA JUNTA DE DILATACAO DE PISOS COM POUCA SOLICITACAO, 15 MM DE LARGURA, MOVIMENTACAO DE *11 A 19* MM</t>
  </si>
  <si>
    <t xml:space="preserve">PERFIL ELASTOMERICO PRE-FORMADO EM EPMD, PARA JUNTA DE DILATACAO DE USO GERAL EM MEDIAS SOLICITACOES, 8 MM DE LARGURA, MOVIMENTACAO DE *5 A 11* MM</t>
  </si>
  <si>
    <t xml:space="preserve">PERFIL EM ALUMINIO, FORMATO U, ABAS IGUAIS, LARGURA DE 12,70 MM (1/2 POL), ESPESSURA 1,58 MM (1/16 POL) E PESO LINEAR DE APROXIMADAMENTE 0,149 KG/M</t>
  </si>
  <si>
    <t xml:space="preserve">PERFIL EM ALUMINIO, FORMATO U, ABAS IGUAIS, LARGURA DE 25,4 MM (1"), ESPESSURA DE 2,38 MM (3/32") E PESO LINEAR DE APROXIMADAMENTE 0,460 KG/M</t>
  </si>
  <si>
    <t xml:space="preserve">PERFIL GUIA, FORMATO U, EM ACO ZINCADO, PARA ESTRUTURA PAREDE DRYWALL, E = 0,5 MM, 48 X 3000 MM (L X C)</t>
  </si>
  <si>
    <t xml:space="preserve">PERFIL GUIA, FORMATO U, EM ACO ZINCADO, PARA ESTRUTURA PAREDE DRYWALL, E = 0,5 MM, 90 X 3000 MM (L X C)</t>
  </si>
  <si>
    <t xml:space="preserve">PERFIL LONGARINA (PRINCIPAL), T CLICADO, EM ACO, BRANCO NAS FACES APARENTES, PARA FORRO REMOVIVEL, 24 X 32 X 3750 MM (L X H X C</t>
  </si>
  <si>
    <t xml:space="preserve">PERFIL MONTANTE, FORMATO C, EM ACO ZINCADO, PARA ESTRUTURA PAREDE DRYWALL, E = 0,5 MM, 48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</si>
  <si>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</si>
  <si>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</si>
  <si>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</si>
  <si>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</si>
  <si>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</si>
  <si>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BRANCO, PARA FORRO REMOVIVEL, 24 X 1250 MM (L X C)</t>
  </si>
  <si>
    <t xml:space="preserve">PERFIL TRAVESSA (SECUNDARIO), T CLICADO, EM ACO GALVANIZADO, BRANCO, PARA FORRO REMOVIVEL, 24 X 625 MM (L X C)</t>
  </si>
  <si>
    <t xml:space="preserve">PERFILADO PERFURADO 19 X 38 MM, CHAPA 22</t>
  </si>
  <si>
    <t xml:space="preserve">PERFILADO PERFURADO SIMPLES 38 X 38 MM, CHAPA 22</t>
  </si>
  <si>
    <t xml:space="preserve">PERFURATRIZ COM TORRE METALICA PARA EXECUCAO DE ESTACA HELICE CONTINUA, PROFUNDIDADE MAXIMA DE 32 M, DIAMETRO MAXIMO DE 1000 MM, POTENCIA INSTALADA DE 350 HP, MESA ROTATIVA COM TORQUE MAXIMO DE 263 KNM</t>
  </si>
  <si>
    <t xml:space="preserve">PERFURATRIZ DE COROA DIAMANTADA PARA CONCRETO, DIAMETRO ATE 250 MM, MOTOR ELETRICO 220 V, POTENCIA 2.500W</t>
  </si>
  <si>
    <t xml:space="preserve">PERFURATRIZ HIDRAULICA COM TRADO CURTO ACOPLADO, PROFUNDIDADE MAXIMA DE 20 M, DIAMETRO MAXIMO DE 1500 MM, POTENCIA INSTALADA DE 137 HP, MESA ROTATIVA COM TORQUE MAXIMO DE 30 KNM (INCLUI MONTAGEM, NAO INCLUI CAMINHAO)</t>
  </si>
  <si>
    <t xml:space="preserve">PERFURATRIZ HIDRAULICA SOBRE ESTEIRA, TORQUE MAXIMO 161 KNM, PROFUNDIDADE MAXIMA 54 M, DIAMETRO MAXIMO 1500 MM, POTENCIA MOTOR 268 HP</t>
  </si>
  <si>
    <t xml:space="preserve">PERFURATRIZ HIDRAULICA SOBRE ESTEIRA, TORQUE MAXIMO 98 KNM, PROFUNDIDADE MAXIMA 25 M, DIAMETRO MAXIMO 115 MM, POTENCIA MOTOR 190 HP</t>
  </si>
  <si>
    <t xml:space="preserve">PERFURATRIZ MANUAL, TORQUE MAXIMO 55 KGF.M, POTENCIA 5 CV, COM DIAMETRO MAXIMO 8 1/2" (INCLUI SUPORTE/CHASSI TIPO MESA)</t>
  </si>
  <si>
    <t xml:space="preserve">PERFURATRIZ MANUAL, TORQUE MAXIMO 83 N.M, POTENCIA 5 CV, COM DIAMETRO MAXIMO 4" (NAO INCLUI SUPORTE / CHASSI)</t>
  </si>
  <si>
    <t xml:space="preserve">PERFURATRIZ PARA EXECUCAO DE ESTACAS SECANTES, TIPO HELICE CONTINUA COM CABECOTE DUPLO E TUBO METALICO 300 KW</t>
  </si>
  <si>
    <t xml:space="preserve">PERFURATRIZ PARA FURO DIRECIONAL HORIZONTAL (HDD) COM CAPACIDADE ATE 89 KN, POTENCIA 24,8 HP A 80 HP (INCLUSO FERRAMENTAS E LOCALIZADOR), PARA REDE SUBTERRANEA</t>
  </si>
  <si>
    <t xml:space="preserve">PERFURATRIZ PARA FURO DIRECIONAL HORIZONTAL (HDD) COM CAPACIDADE DE 201 KN A 560 KN, POTENCIA 200 HP A 260 HP (INCLUSO FERRAMENTAS E LOCALIZADOR), PARA REDE SUBTERRANEA</t>
  </si>
  <si>
    <t xml:space="preserve">PERFURATRIZ PARA FURO DIRECIONAL HORIZONTAL (HDD) COM CAPACIDADE DE 90 KN A 200 KN, POTENCIA 100 HP A 160 HP (INCLUSO FERRAMENTAS E LOCALIZADOR), PARA REDE SUBTERRANEA</t>
  </si>
  <si>
    <t xml:space="preserve">PERFURATRIZ PNEUMATICA MANUAL DE PESO MEDIO, 18KG, COMPRIMENTO DE CURSO DE 6 M, DIAMETRO DO PISTAO DE 5,5 CM</t>
  </si>
  <si>
    <t xml:space="preserve">PERFURATRIZ ROTATIVA SOBRE ESTEIRA, TORQUE MAXIMO 2500 KGM, POTENCIA 110 HP, MOTOR DIESEL</t>
  </si>
  <si>
    <t xml:space="preserve">PERFURATRIZ SOBRE ESTEIRA, TORQUE MAXIMO 600 KGF, PESO MEDIO 1000 KG, POTENCIA 20 HP, DIAMETRO MAXIMO 10"</t>
  </si>
  <si>
    <t xml:space="preserve">PERFURATRIZ SOBRE ESTEIRA, TORQUE MAXIMO DE 600 KGF, POTENCIA ENTRE 50 E 60 HP, DIAMETRO MAXIMO DE 10"</t>
  </si>
  <si>
    <t xml:space="preserve">PICAPE CABINE SIMPLES COM MOTOR 1.6 FLEX, CAMBIO MANUAL, POTENCIA 101/104 CV, 2 PORTAS</t>
  </si>
  <si>
    <t xml:space="preserve">PILAR QUADRADO NAO APARELHADO *10 X 10* CM, EM MACARANDUBA/MASSARANDUBA, ANGELIM OU EQUIVALENTE DA REGIAO - BRUTA</t>
  </si>
  <si>
    <t xml:space="preserve">PILAR QUADRADO NAO APARELHADO *15 X 15* CM, EM MACARANDUBA/MASSARANDUBA, ANGELIM OU EQUIVALENTE DA REGIAO - BRUTA</t>
  </si>
  <si>
    <t xml:space="preserve">PILAR QUADRADO NAO APARELHADO *20 X 20* CM, EM MACARANDUBA/MASSARANDUBA, ANGELIM OU EQUIVALENTE DA REGIAO - BRUTA</t>
  </si>
  <si>
    <t xml:space="preserve">PINGADEIRA PLASTICA PARA TELHA DE FIBROCIMENTO CANALETE 49/KALHETA OU CANALETE 90/KALHETAO</t>
  </si>
  <si>
    <t xml:space="preserve">PINO DE ACO COM ROSCA 1/4 ", COMPRIMENTO DA HASTE = 30 MM E ROSCA = 20 MM (ACAO DIRETA)</t>
  </si>
  <si>
    <t xml:space="preserve">PINO DE ACO LISO 1/4 ", HASTE = *36,5* MM (ACAO DIRETA)</t>
  </si>
  <si>
    <t xml:space="preserve">PINO DE ACO LISO 1/4 ", HASTE = *53* MM (ACAO DIRETA)</t>
  </si>
  <si>
    <t xml:space="preserve">PINO GUIA RETO, EM LATAO, CHAPA COM 3 MM DE ESPESSURA E GUIA COM ROLETE DE 9 MM</t>
  </si>
  <si>
    <t xml:space="preserve">PINO ROSCA EXTERNA, EM ACO GALVANIZADO, PARA ISOLADOR DE 15KV, DIAMETRO 25 MM, COMPRIMENTO *290* MM</t>
  </si>
  <si>
    <t xml:space="preserve">PINO ROSCA EXTERNA, EM ACO GALVANIZADO, PARA ISOLADOR DE 25KV, DIAMETRO 35MM, COMPRIMENTO *320* MM</t>
  </si>
  <si>
    <t xml:space="preserve">PINTOR (MENSALISTA)</t>
  </si>
  <si>
    <t xml:space="preserve">PINTOR DE LETREIROS (HORISTA)</t>
  </si>
  <si>
    <t xml:space="preserve">PINTOR DE LETREIROS (MENSALISTA)</t>
  </si>
  <si>
    <t xml:space="preserve">PINTOR PARA TINTA EPOXI (HORISTA)</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</si>
  <si>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</si>
  <si>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</si>
  <si>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</si>
  <si>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</si>
  <si>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</si>
  <si>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</si>
  <si>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</si>
  <si>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CERAMICA ESMALTADA, COR LISA, PEI MAIOR OU IGUAL A 4, FORMATO MAIOR QUE 2025 CM2</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</si>
  <si>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</si>
  <si>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</si>
  <si>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MARFIM, DALLAS, CARAVELAS OU OUTROS EQUIVALENTES DA REGIAO, FORMATO MENOR OU IGUAL A 3025 CM2, E= *2*CM</t>
  </si>
  <si>
    <t xml:space="preserve">PISO EM GRANITO, POLIDO, TIPO PRETO SAO GABRIEL/ TIJUCA OU OUTROS EQUIVALENTES DA REGIAO, FORMATO MENOR OU IGUAL A 3025 CM2, E= *2* CM</t>
  </si>
  <si>
    <t xml:space="preserve">PISO EM PORCELANATO,RETIFICADO, LISO, MONOCOLOR, ACETINADO OU POLIDO, FORMATO MAIOR QUE 6400 CM2</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</si>
  <si>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</si>
  <si>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</si>
  <si>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</si>
  <si>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EM PLACAS DE *40 X 40* CM, E = 2,0 CM (SEM COLOCACAO)</t>
  </si>
  <si>
    <t xml:space="preserve">PISO FULGET (GRANITO LAVADO) EM PLACAS DE *75 X 75* CM, E = 2,0 CM (SEM COLOCACAO)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</si>
  <si>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</si>
  <si>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</si>
  <si>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</si>
  <si>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TATIL / PODOTATIL, LADRILHO HIDRAULICO / CONCRETO, *25 X 25* CM, E= *2,5* CM, PADRAO TATIL ALERTA OU DIRECIONAL, COR AMARELA</t>
  </si>
  <si>
    <t xml:space="preserve">PISO TATIL / PODOTATIL, LADRILHO HIDRAULICO/CONCRETO, *40 X 40* CM, E= 2,5* CM, PADRAO TATIL ALERTA OU DIRECIONAL, COR NATURAL</t>
  </si>
  <si>
    <t xml:space="preserve">PISO TATIL ALERTA OU DIRECIONAL, DE BORRACHA, COLORIDO, 25 X 25 CM, E = 5 MM, PARA COLA</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</si>
  <si>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</si>
  <si>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</si>
  <si>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</si>
  <si>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URETANO, VERSAO REVESTIMENTO AUTONIVELANTE, ESPESSURA VARIAVEL DE 3 A 4 MM (INCLUSO EXECUCAO)</t>
  </si>
  <si>
    <t xml:space="preserve">PISO/ REVESTIMENTO EM GRANITO, POLIDO, TIPO ANDORINHA/ QUARTZ/ CASTELO/ CORUMBA OU OUTROS EQUIVALENTES DA REGIAO, FORMATO MAIOR OU IGUAL A 3025 CM2, E = *2*CM</t>
  </si>
  <si>
    <t xml:space="preserve">PISO/ REVESTIMENTO EM MARMORE, POLIDO, BRANCO COMUM, FORMATO MAIOR OU IGUAL A 3025 CM2, E = *2* CM</t>
  </si>
  <si>
    <t xml:space="preserve">PISO/ REVESTIMENTO EM MARMORE, POLIDO, BRANCO COMUM, FORMATO MENOR OU IGUAL A 3025 CM2, E = *2* 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</si>
  <si>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</si>
  <si>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</si>
  <si>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 CHAPA DE GESSO ACARTONADO, RESISTENTE A UMIDADE (RU), COR VERDE, E = 12,5 MM, 1200 X 1800 MM (L X C)</t>
  </si>
  <si>
    <t xml:space="preserve">PLACA / CHAPA DE GESSO ACARTONADO, RESISTENTE A UMIDADE (RU), COR VERDE, E = 12,5 MM, 1200 X 2400 MM (L X C)</t>
  </si>
  <si>
    <t xml:space="preserve">PLACA / CHAPA DE GESSO ACARTONADO, RESISTENTE A UMIDADE (RU), COR VERDE, E = 15 MM, 1200 X 2400 MM (L X C)</t>
  </si>
  <si>
    <t xml:space="preserve">PLACA / CHAPA DE GESSO ACARTONADO, RESISTENTE AO FOGO (RF), COR ROSA, E = 12,5 MM, 1200 X 1800 MM (L X C)</t>
  </si>
  <si>
    <t xml:space="preserve">PLACA / CHAPA DE GESSO ACARTONADO, RESISTENTE AO FOGO (RF), COR ROSA, E = 12,5 MM, 1200 X 2400 MM (L X C)</t>
  </si>
  <si>
    <t xml:space="preserve">PLACA / CHAPA DE GESSO ACARTONADO, RESISTENTE AO FOGO (RF), COR ROSA, E = 15 MM, 1200 X 2400 MM (L X C)</t>
  </si>
  <si>
    <t xml:space="preserve">PLACA / CHAPA DE GESSO ACARTONADO, STANDARD (ST), COR BRANCA, E = 12,5 MM, 1200 X 1800 MM (L X C)</t>
  </si>
  <si>
    <t xml:space="preserve">PLACA / CHAPA DE GESSO ACARTONADO, STANDARD (ST), COR BRANCA, E = 15 MM, 1200 X 2400 MM (L X C)</t>
  </si>
  <si>
    <t xml:space="preserve">PLACA CIMENTICIA LISA E = 6 MM, DE 1,20 X *2,50* M (SEM AMIANTO)</t>
  </si>
  <si>
    <t xml:space="preserve">PLACA DE ACO ESMALTADA PARA IDENTIFICACAO DE RUA, *45 CM X 20* CM</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</si>
  <si>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</si>
  <si>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</si>
  <si>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</si>
  <si>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INAUGURACAO EM BRONZE *35X 50*CM</t>
  </si>
  <si>
    <t xml:space="preserve">PLACA DE INAUGURACAO METALICA, *40* CM X *60* CM</t>
  </si>
  <si>
    <t xml:space="preserve">PLACA DE SINALIZACAO DE SEGURANCA CONTRA INCENDIO - ALERTA, TRIANGULAR, BASE DE *30* CM, EM PVC *2* MM ANTI-CHAMAS (SIMBOLOS, CORES E PICTOGRAMAS CONFORME NBR 16820)</t>
  </si>
  <si>
    <t xml:space="preserve">PLACA DE SINALIZACAO DE SEGURANCA CONTRA INCENDIO, FOTOLUMINESCENTE, RETANGULAR, *12 X 40* CM, EM PVC *2* MM ANTI-CHAMAS (SIMBOLOS, CORES E PICTOGRAMAS CONFORME NBR 16820)</t>
  </si>
  <si>
    <t xml:space="preserve">PLACA DE SINALIZACAO DE SEGURANCA CONTRA INCENDIO, FOTOLUMINESCENTE, RETANGULAR, *13 X 26* CM, EM PVC *2* MM ANTI-CHAMAS (SIMBOLOS, CORES E PICTOGRAMAS CONFORME NBR 16820)</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</si>
  <si>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</si>
  <si>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</si>
  <si>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</si>
  <si>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</si>
  <si>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</si>
  <si>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ORIENTATIVA SOBRE EXERCICIOS, 2,00 M X 1,00 M (CHAPA GALVANIZADA #20), ESTRUTURA EM TUBOS REDONDOS DE ACO CARBONO, PINTURA NO PROCESSO ELETROSTATICO, ADESIVO FRENTE E VERSO - PARA ACADEMIA AO AR LIVRE / ACADEMIA DA TERCEIRA IDADE - ATI</t>
  </si>
  <si>
    <t xml:space="preserve">PLACA VINILICA SEMIFLEXIVEL PARA PISOS, E = 3,2 MM, 30 X 30 CM (SEM COLOCACAO)</t>
  </si>
  <si>
    <t xml:space="preserve">PLACA VINILICA SEMIFLEXIVEL PARA REVESTIMENTO DE PISOS E PAREDES, E = 2 MM (SEM COLOCACAO)</t>
  </si>
  <si>
    <t xml:space="preserve">PLACA/PISO DE CONCRETO POROSO/ PAVIMENTO PERMEAVEL/BLOCO DRENANTE DE CONCRETO, *40 X 40* CM, E = 6 CM, COR NATURAL</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</si>
  <si>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</si>
  <si>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</si>
  <si>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</si>
  <si>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t>
  </si>
  <si>
    <t xml:space="preserve">PLUG OU BUJAO DE FERRO GALVANIZADO, DE 1/2"</t>
  </si>
  <si>
    <t xml:space="preserve">PLUG OU BUJAO DE FERRO GALVANIZADO, DE 2 1/2"</t>
  </si>
  <si>
    <t xml:space="preserve">PLUG OU BUJAO DE FERRO GALVANIZADO, DE 2"</t>
  </si>
  <si>
    <t xml:space="preserve">PLUG OU BUJAO DE FERRO GALVANIZADO, DE 3"</t>
  </si>
  <si>
    <t xml:space="preserve">PLUG OU BUJAO DE FERRO GALVANIZADO, DE 3/4"</t>
  </si>
  <si>
    <t xml:space="preserve">PLUG OU BUJAO DE FERRO GALVANIZADO, DE 4"</t>
  </si>
  <si>
    <t xml:space="preserve">PLUG PVC, JE, DN 100 MM, PARA REDE COLETORA ESGOTO</t>
  </si>
  <si>
    <t xml:space="preserve">PLUG PVC, JE, DN 150 MM, PARA REDE COLETORA ESGOTO</t>
  </si>
  <si>
    <t xml:space="preserve">POCEIRO / ESCAVADOR DE VALAS E TUBULOES (HORISTA)</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</si>
  <si>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</si>
  <si>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</si>
  <si>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</si>
  <si>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</si>
  <si>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</si>
  <si>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</si>
  <si>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PONTALETE ROLICO SEM TRATAMENTO, D = 8 A 11 CM, H = 3 M, EM EUCALIPTO OU EQUIVALENTE DA REGIAO - BRUTA (PARA ESCORAMENTO)</t>
  </si>
  <si>
    <t xml:space="preserve">PONTALETE ROLICO SEM TRATAMENTO, D = 8 A 11 CM, H = 6 M, EM EUCALIPTO OU EQUIVALENTE DA REGIAO - BRUTA (PARA ESCORAMENTO)</t>
  </si>
  <si>
    <t xml:space="preserve">PONTEIRO PARA MARTELO ROMPEDOR, DIAMETRO = *28* MM, COMPRIMENTO = *520* MM, ENCAIXE  SEXTAVADO</t>
  </si>
  <si>
    <t xml:space="preserve">PORCA OLHAL EM ACO GALVANIZADO, ESPESSURA 16MM, ABERTURA 21MM</t>
  </si>
  <si>
    <t xml:space="preserve">PORCA OLHAL M 16, EM ACO GALVANIZADO, DIAMETRO = 16 MM</t>
  </si>
  <si>
    <t xml:space="preserve">PORCA UNIAO/JUNCAO ZINCADA SEXTAVADA 1/4 ", CHAVE 7/16 ", COMPRIMENTO = 25 MM</t>
  </si>
  <si>
    <t xml:space="preserve">PORCA ZINCADA, QUADRADA, DIAMETRO 3/8"</t>
  </si>
  <si>
    <t xml:space="preserve">PORCA ZINCADA, QUADRADA, DIAMETRO 5/8"</t>
  </si>
  <si>
    <t xml:space="preserve">PORCA ZINCADA, SEXTAVADA, DIAMETRO 1"</t>
  </si>
  <si>
    <t xml:space="preserve">PORCA ZINCADA, SEXTAVADA, DIAMETRO 1/2"</t>
  </si>
  <si>
    <t xml:space="preserve">PORCA ZINCADA, SEXTAVADA, DIAMETRO 3/8"</t>
  </si>
  <si>
    <t xml:space="preserve">PORCA ZINCADA, SEXTAVADA, DIAMETRO 5/16"</t>
  </si>
  <si>
    <t xml:space="preserve">PORCA ZINCADA, SEXTAVADA, DIAMETRO 5/8"</t>
  </si>
  <si>
    <t xml:space="preserve">PORTA CORTA-FOGO SIMPLES PARA SAIDA DE EMERGENCIA, 1 FOLHA DE ABRIR, 5 CM, ACABAMENTO NATURAL / SEM PINTURA, COM FECHADURA TIPO TRINCO, DOBRADICAS E BATENTE, VAO LUZ DE 90 X 210 CM, CLASSE P-90 (NBR 11742)</t>
  </si>
  <si>
    <t xml:space="preserve">PORTA DE ABRIR / GIRO, DE MADEIRA FOLHA MEDIA (NBR 15930) DE 1000 X 2100 MM, DE 35 MM A 40 MM DE ESPESSURA, NUCLEO SEMI-SOLIDO (SARRAFEADO), CAPA LISA EM HDF, ACABAMENTO EM LAMINADO NATURAL PARA VERNIZ</t>
  </si>
  <si>
    <t xml:space="preserve">PORTA DE ABRIR / GIRO, DE MADEIRA FOLHA MEDIA (NBR 15930) DE 1000 X 2100 MM, DE 35 MM A 40 MM DE ESPESSURA, NUCLEO SEMI-SOLIDO (SARRAFEADO), CAPA LISA EM HDF, ACABAMENTO EM PRIMER PARA PINTURA</t>
  </si>
  <si>
    <t xml:space="preserve">PORTA DE ABRIR / GIRO, DE MADEIRA FOLHA MEDIA (NBR 15930) DE 700 X 2100 MM, DE 35 MM A 40 MM DE ESPESSURA, NUCLEO SEMI-SOLIDO (SARRAFEADO), CAPA FRISADA EM HDF, ACABAMENTO MELAMINICO EM PADRAO MADEIRA</t>
  </si>
  <si>
    <t xml:space="preserve">PORTA DE ABRIR / GIRO, DE MADEIRA FOLHA MEDIA (NBR 15930) DE 700 X 2100 MM, DE 35 MM A 40 MM DE ESPESSURA, NUCLEO SEMI-SOLIDO (SARRAFEADO), CAPA LISA EM HDF, ACABAMENTO EM LAMINADO NATURAL PARA VERNIZ</t>
  </si>
  <si>
    <t xml:space="preserve">PORTA DE ABRIR / GIRO, DE MADEIRA FOLHA MEDIA (NBR 15930) DE 800 X 2100 MM, DE 35 MM A 40 MM DE ESPESSURA, NUCLEO SEMI-SOLIDO (SARRAFEADO), CAPA FRISADA EM HDF, ACABAMENTO MELAMINICO EM PADRAO MADEIRA</t>
  </si>
  <si>
    <t xml:space="preserve">PORTA DE ABRIR / GIRO, DE MADEIRA FOLHA MEDIA (NBR 15930) DE 800 X 2100 MM, DE 35 MM A 40 MM DE ESPESSURA, NUCLEO SEMI-SOLIDO (SARRAFEADO), CAPA LISA EM HDF, ACABAMENTO EM LAMINADO NATURAL PARA VERNIZ</t>
  </si>
  <si>
    <t xml:space="preserve">PORTA DE ABRIR / GIRO, DE MADEIRA FOLHA MEDIA (NBR 15930) DE 900 X 2100 MM, DE 35 MM A 40 MM DE ESPESSURA, NUCLEO SEMI-SOLIDO (SARRAFEADO), CAPA LISA EM HDF, ACABAMENTO EM LAMINADO NATURAL PARA VERNIZ</t>
  </si>
  <si>
    <t xml:space="preserve">PORTA DE ABRIR / GIRO, EM GRADIL FERRO, COM BARRA CHATA 3 CM X 1/4", COM REQUADRO E GUARNICAO - COMPLETO - ACABAMENTO NATURAL</t>
  </si>
  <si>
    <t xml:space="preserve">PORTA DE ABRIR / GIRO, EM MADEIRA MACICA (ANGELIM OU EQUIVALENTE REGIONAL), QUALQUER DESENHO (VERTICAL/DIAGONAL/HORIZ.), E = *3,5* CM, DIMENSOES 2,10 X 0,70 (SOMENTE FOLHA DE PORTA, ACABAMENTO NATURAL)</t>
  </si>
  <si>
    <t xml:space="preserve">PORTA DE ABRIR EM ACO, COM DIVISAO HORIZONTAL PARA VIDROS, 90 X 210 CM, COM FUNDO ANTICORROSIVO/PRIMER DE PROTECAO, INCLUI FECHADURA, MACANETA E PARAFUSO, SEM GUARNICAO/ALIZAR/VISTA, VIDROS NAO INCLUSOS</t>
  </si>
  <si>
    <t xml:space="preserve">PORTA DE ABRIR EM ACO, TIPO VENEZIANA, 90 X 210 CM, COM FUNDO ANTICORROSIVO / PRIMER DE PROTECAO, INCLUI FECHADURA, MACANETA E PARAFUSOS, SEM GUARNICAO/ALIZAR/VISTA</t>
  </si>
  <si>
    <t xml:space="preserve">PORTA DE ABRIR EM ALUMINIO COM DIVISAO HORIZONTAL PARA VIDROS, ACABAMENTO ANODIZADO NATURAL, VIDROS INCLUSOS, SEM GUARNICAO/ALIZAR/VISTA, 87 CM X 210 CM</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</si>
  <si>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</si>
  <si>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</si>
  <si>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</si>
  <si>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</si>
  <si>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COM PINTURA ELETROSTATICA, CHAPA NUMERO 24"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</si>
  <si>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</si>
  <si>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</si>
  <si>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</si>
  <si>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</si>
  <si>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 FOLHA LEVE (NBR 15930) DE 600 X 2100 MM, DE 35 MM A 40 MM DE ESPESSURA, NUCLEO COLMEIA, CAPA LISA EM HDF, ACABAMENTO EM PRIMER PARA PINTURA</t>
  </si>
  <si>
    <t xml:space="preserve">PORTA DE MADEIRA, FOLHA LEVE (NBR 15930) DE 700 X 2100 MM, DE 35 MM A 40 MM DE ESPESSURA, NUCLEO COLMEIA, CAPA LISA EM HDF, ACABAMENTO EM PRIMER PARA PINTURA</t>
  </si>
  <si>
    <t xml:space="preserve">PORTA DE MADEIRA, FOLHA LEVE (NBR 15930) DE 800 X 2100 MM, DE 35 MM A 40 MM DE ESPESSURA, NUCLEO COLMEIA, CAPA LISA EM HDF, ACABAMENTO EM PRIMER PARA PINTURA</t>
  </si>
  <si>
    <t xml:space="preserve">PORTA DE MADEIRA, FOLHA LEVE (NBR 15930), DE 600 X 2100 MM, E = 35 MM, NUCLEO COLMEIA, CAPA LISA EM HDF, ACABAMENTO MELAMINICO EM PADRAO MADEIRA</t>
  </si>
  <si>
    <t xml:space="preserve">PORTA DE MADEIRA, FOLHA MEDIA (NBR 15930) DE 600 X 2100 MM, DE 35 MM A 40 MM DE ESPESSURA, NUCLEO SEMI-SOLIDO (SARRAFEADO), CAPA FRISADA EM HDF, ACABAMENTO MELAMINICO EM PADRAO MADEIRA</t>
  </si>
  <si>
    <t xml:space="preserve">PORTA DE MADEIRA, FOLHA MEDIA (NBR 15930) DE 600 X 2100 MM, DE 35 MM A 40 MM DE ESPESSURA, NUCLEO SEMI-SOLIDO (SARRAFEADO), CAPA LISA EM HDF, ACABAMENTO EM PRIMER PARA PINTURA</t>
  </si>
  <si>
    <t xml:space="preserve">PORTA DE MADEIRA, FOLHA MEDIA (NBR 15930) DE 600 X 2100 MM, DE 35 MM A 40 MM DE ESPESSURA, NUCLEO SEMI-SOLIDO (SARRAFEADO), CAPA LISA EM HDF, ACABAMENTO LAMINADO NATURAL PARA VERNIZ</t>
  </si>
  <si>
    <t xml:space="preserve">PORTA DE MADEIRA, FOLHA MEDIA (NBR 15930) DE 700 X 2100 MM, DE 35 MM A 40 MM DE ESPESSURA, NUCLEO SEMI-SOLIDO (SARRAFEADO), CAPA LISA EM HDF, ACABAMENTO EM PRIMER PARA PINTURA</t>
  </si>
  <si>
    <t xml:space="preserve">PORTA DE MADEIRA, FOLHA PESADA (NBR 15930) DE 800 X 2100 MM, DE 40 MM A 45 MM DE ESPESSURA, NUCLEO SOLIDO, CAPA LISA EM HDF, ACABAMENTO EM LAMINADO NATURAL PARA VERNIZ</t>
  </si>
  <si>
    <t xml:space="preserve">PORTA DE MADEIRA, FOLHA PESADA (NBR 15930) DE 800 X 2100 MM, DE 40 MM A 45 MM DE ESPESSURA, NUCLEO SOLIDO, CAPA LISA EM HDF, ACABAMENTO EM PRIMER PARA PINTURA</t>
  </si>
  <si>
    <t xml:space="preserve">PORTA DE MADEIRA, FOLHA PESADA (NBR 15930) DE 900 X 2100 MM, DE 40 MM A 45 MM DE ESPESSURA, NUCLEO SOLIDO, CAPA LISA EM HDF, ACABAMENTO EM LAMINADO NATURAL PARA VERNIZ</t>
  </si>
  <si>
    <t xml:space="preserve">PORTA DE MADEIRA, FOLHA PESADA (NBR 15930) DE 900 X 2100 MM, DE 40 MM A 45 MM DE ESPESSURA, NUCLEO SOLIDO, CAPA LISA EM HDF, ACABAMENTO EM PRIMER PARA PINTURA</t>
  </si>
  <si>
    <t xml:space="preserve">PORTA DE MADEIRA-DE-LEI QUADRICULADA PARA VIDRO, DE CORRER (ANGELIM OU EQUIVALENTE REGIONAL), E = *3,5* CM</t>
  </si>
  <si>
    <t xml:space="preserve">PORTA DE MADEIRA-DE-LEI TIPO VENEZIANA (ANGELIM OU EQUIVALENTE REGIONAL), E = *3,5* CM</t>
  </si>
  <si>
    <t xml:space="preserve">PORTA DENTE PARA  FRESADORA</t>
  </si>
  <si>
    <t xml:space="preserve">PORTA GRADE DE ENROLAR MANUAL COMPLETA, PERFIL TUBULAR TIJOLINHO 3/4 ", EM ACO GALVANIZADO NATURAL (SEM INSTALACAO)</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</si>
  <si>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</si>
  <si>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</si>
  <si>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</si>
  <si>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BASCULANTE, MANUAL, EM ACO GALVANIZADO, CHAPA 26, TIPO LAMBRIL, COM REQUADRO, ACABAMENTO NATURAL</t>
  </si>
  <si>
    <t xml:space="preserve">PORTAO DE CORRER EM CHAPA TIPO PAINEL LAMBRIL QUADRADO, COM PORTA SOCIAL COMPLETA INCLUIDA, COM REQUADRO, ACABAMENTO NATURAL, COM TRILHOS E ROLDANAS</t>
  </si>
  <si>
    <t xml:space="preserve">PORTAO DE CORRER EM GRADIL FIXO DE BARRA DE FERRO CHATA DE 3 X 1/4" NA VERTICAL, SEM REQUADRO, ACABAMENTO NATURAL, COM TRILHOS E ROLDANAS</t>
  </si>
  <si>
    <t xml:space="preserve">POSTE CONICO CONTINUO EM ACO GALVANIZADO, CURVO, BRACO DUPLO, ENGASTADO, H = 9 M, DIAMETRO INFERIOR/BASE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</si>
  <si>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</si>
  <si>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</si>
  <si>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7 M, DIAMETRO INFERIOR = *125* MM</t>
  </si>
  <si>
    <t xml:space="preserve">POSTE CONICO CONTINUO EM ACO GALVANIZADO, CURVO, BRACO SIMPLES, FLANGEADO, H = 9 M, DIAMETRO INFERIOR = *135* MM</t>
  </si>
  <si>
    <t xml:space="preserve">POSTE CONICO CONTINUO EM ACO GALVANIZADO, RETO, ENGASTADO, H = 7 M, DIAMETRO INFERIOR = *125* MM</t>
  </si>
  <si>
    <t xml:space="preserve">POSTE CONICO CONTINUO EM ACO GALVANIZADO, RETO, ENGASTADO, H = 9 M, DIAMETRO INFERIOR = *145* MM</t>
  </si>
  <si>
    <t xml:space="preserve">POSTE DE CONCRETO ARMADO DE SECAO CIRCULAR, EXTENSAO DE 10,00 M, RESISTENCIA DE 150 A 200 DAN, TIPO C-14</t>
  </si>
  <si>
    <t xml:space="preserve">POSTE DE CONCRETO ARMADO DE SECAO CIRCULAR, EXTENSAO DE 11,00 M, RESISTENCIA DE 200 A 300 DAN, TIPO C-14</t>
  </si>
  <si>
    <t xml:space="preserve">POSTE DE CONCRETO ARMADO DE SECAO CIRCULAR, EXTENSAO DE 11,00 M, RESISTENCIA DE 300 A 400 DAN, TIPO C-17</t>
  </si>
  <si>
    <t xml:space="preserve">POSTE DE CONCRETO ARMADO DE SECAO CIRCULAR, EXTENSAO DE 13,00 M, RESISTENCIA DE 1000 DAN, TIPO C-23</t>
  </si>
  <si>
    <t xml:space="preserve">POSTE DE CONCRETO ARMADO DE SECAO CIRCULAR, EXTENSAO DE 13,00 M, RESISTENCIA DE 1500 DAN, TIPO C-29</t>
  </si>
  <si>
    <t xml:space="preserve">POSTE DE CONCRETO ARMADO DE SECAO CIRCULAR, EXTENSAO DE 13,00 M, RESISTENCIA DE 2000 DAN, TIPO C-29</t>
  </si>
  <si>
    <t xml:space="preserve">POSTE DE CONCRETO ARMADO DE SECAO CIRCULAR, EXTENSAO DE 13,00 M, RESISTENCIA DE 2500 DAN, TIPO C-29</t>
  </si>
  <si>
    <t xml:space="preserve">POSTE DE CONCRETO ARMADO DE SECAO CIRCULAR, EXTENSAO DE 13,00 M, RESISTENCIA DE 3000 DAN, TIPO C-29</t>
  </si>
  <si>
    <t xml:space="preserve">POSTE DE CONCRETO ARMADO DE SECAO CIRCULAR, EXTENSAO DE 14,00 M, RESISTENCIA DE 1000 DAN, TIPO C-23</t>
  </si>
  <si>
    <t xml:space="preserve">POSTE DE CONCRETO ARMADO DE SECAO CIRCULAR, EXTENSAO DE 14,00 M, RESISTENCIA DE 1500 DAN, TIPO C-29</t>
  </si>
  <si>
    <t xml:space="preserve">POSTE DE CONCRETO ARMADO DE SECAO CIRCULAR, EXTENSAO DE 14,00 M, RESISTENCIA DE 2000 DAN, TIPO C-29</t>
  </si>
  <si>
    <t xml:space="preserve">POSTE DE CONCRETO ARMADO DE SECAO CIRCULAR, EXTENSAO DE 14,00 M, RESISTENCIA DE 2500 DAN, TIPO C-29</t>
  </si>
  <si>
    <t xml:space="preserve">POSTE DE CONCRETO ARMADO DE SECAO CIRCULAR, EXTENSAO DE 14,00 M, RESISTENCIA DE 300 A 400 DAN, TIPO C-17</t>
  </si>
  <si>
    <t xml:space="preserve">POSTE DE CONCRETO ARMADO DE SECAO CIRCULAR, EXTENSAO DE 14,00 M, RESISTENCIA DE 3000 DAN, TIPO C-29</t>
  </si>
  <si>
    <t xml:space="preserve">POSTE DE CONCRETO ARMADO DE SECAO CIRCULAR, EXTENSAO DE 15,00 M, RESISTENCIA DE 1000 DAN, TIPO C-23</t>
  </si>
  <si>
    <t xml:space="preserve">POSTE DE CONCRETO ARMADO DE SECAO CIRCULAR, EXTENSAO DE 15,00 M, RESISTENCIA DE 1500 DAN, TIPO C-29</t>
  </si>
  <si>
    <t xml:space="preserve">POSTE DE CONCRETO ARMADO DE SECAO CIRCULAR, EXTENSAO DE 15,00 M, RESISTENCIA DE 2000 DAN, TIPO C-29</t>
  </si>
  <si>
    <t xml:space="preserve">POSTE DE CONCRETO ARMADO DE SECAO CIRCULAR, EXTENSAO DE 15,00 M, RESISTENCIA DE 2500 DAN, TIPO C-29</t>
  </si>
  <si>
    <t xml:space="preserve">POSTE DE CONCRETO ARMADO DE SECAO CIRCULAR, EXTENSAO DE 15,00 M, RESISTENCIA DE 3000 DAN, TIPO C-29</t>
  </si>
  <si>
    <t xml:space="preserve">POSTE DE CONCRETO ARMADO DE SECAO CIRCULAR, EXTENSAO DE 9,00 M, RESISTENCIA DE 200 A 300 DAN, TIPO C-14</t>
  </si>
  <si>
    <t xml:space="preserve">POSTE DE CONCRETO ARMADO DE SECAO CIRCULAR, EXTENSAO DE 9,00 M, RESISTENCIA DE 300 A 400 DAN, TIPO C-17</t>
  </si>
  <si>
    <t xml:space="preserve">POSTE DE CONCRETO ARMADO DE SECAO DUPLO T, EXTENSAO DE 10,00 M, RESISTENCIA DE 1000 DAN, TIPO B-1,5</t>
  </si>
  <si>
    <t xml:space="preserve">POSTE DE CONCRETO ARMADO DE SECAO DUPLO T, EXTENSAO DE 10,00 M, RESISTENCIA DE 150 DAN, TIPO D</t>
  </si>
  <si>
    <t xml:space="preserve">POSTE DE CONCRETO ARMADO DE SECAO DUPLO T, EXTENSAO DE 10,00 M, RESISTENCIA DE 300 A 400 DAN, TIPO B OU D</t>
  </si>
  <si>
    <t xml:space="preserve">POSTE DE CONCRETO ARMADO DE SECAO DUPLO T, EXTENSAO DE 10,00 M, RESISTENCIA DE 600 DAN, TIPO B</t>
  </si>
  <si>
    <t xml:space="preserve">POSTE DE CONCRETO ARMADO DE SECAO DUPLO T, EXTENSAO DE 11,00 M, RESISTENCIA DE 1000 DAN, TIPO B-1,5</t>
  </si>
  <si>
    <t xml:space="preserve">POSTE DE CONCRETO ARMADO DE SECAO DUPLO T, EXTENSAO DE 11,00 M, RESISTENCIA DE 150 DAN, TIPO D</t>
  </si>
  <si>
    <t xml:space="preserve">POSTE DE CONCRETO ARMADO DE SECAO DUPLO T, EXTENSAO DE 11,00 M, RESISTENCIA DE 1500 DAN, TIPO B-3,0</t>
  </si>
  <si>
    <t xml:space="preserve">POSTE DE CONCRETO ARMADO DE SECAO DUPLO T, EXTENSAO DE 11,00 M, RESISTENCIA DE 200 DAN, TIPO D</t>
  </si>
  <si>
    <t xml:space="preserve">POSTE DE CONCRETO ARMADO DE SECAO DUPLO T, EXTENSAO DE 11,00 M, RESISTENCIA DE 2000 DAN, TIPO B-4,5</t>
  </si>
  <si>
    <t xml:space="preserve">POSTE DE CONCRETO ARMADO DE SECAO DUPLO T, EXTENSAO DE 11,00 M, RESISTENCIA DE 300 DAN, TIPO B</t>
  </si>
  <si>
    <t xml:space="preserve">POSTE DE CONCRETO ARMADO DE SECAO DUPLO T, EXTENSAO DE 11,00 M, RESISTENCIA DE 600 DAN, TIPO B</t>
  </si>
  <si>
    <t xml:space="preserve">POSTE DE CONCRETO ARMADO DE SECAO DUPLO T, EXTENSAO DE 12,00 M, RESISTENCIA DE 1000 DAN, TIPO B-1,5</t>
  </si>
  <si>
    <t xml:space="preserve">POSTE DE CONCRETO ARMADO DE SECAO DUPLO T, EXTENSAO DE 12,00 M, RESISTENCIA DE 150 DAN, TIPO D</t>
  </si>
  <si>
    <t xml:space="preserve">POSTE DE CONCRETO ARMADO DE SECAO DUPLO T, EXTENSAO DE 12,00 M, RESISTENCIA DE 1500 DAN, TIPO B-3,0</t>
  </si>
  <si>
    <t xml:space="preserve">POSTE DE CONCRETO ARMADO DE SECAO DUPLO T, EXTENSAO DE 12,00 M, RESISTENCIA DE 300 A 400 DAN, TIPO B OU D</t>
  </si>
  <si>
    <t xml:space="preserve">POSTE DE CONCRETO ARMADO DE SECAO DUPLO T, EXTENSAO DE 12,00 M, RESISTENCIA DE 3000 DAN, TIPO B-6,0</t>
  </si>
  <si>
    <t xml:space="preserve">POSTE DE CONCRETO ARMADO DE SECAO DUPLO T, EXTENSAO DE 12,00 M, RESISTENCIA DE 600 DAN, TIPO B</t>
  </si>
  <si>
    <t xml:space="preserve">POSTE DE CONCRETO ARMADO DE SECAO DUPLO T, EXTENSAO DE 13,00 M, RESISTENCIA DE 1000 DAN, TIPO B-1,5</t>
  </si>
  <si>
    <t xml:space="preserve">POSTE DE CONCRETO ARMADO DE SECAO DUPLO T, EXTENSAO DE 13,00 M, RESISTENCIA DE 1500 DAN, TIPO B-3,0</t>
  </si>
  <si>
    <t xml:space="preserve">POSTE DE CONCRETO ARMADO DE SECAO DUPLO T, EXTENSAO DE 13,00 M, RESISTENCIA DE 2000 DAN, TIPO B-4,5</t>
  </si>
  <si>
    <t xml:space="preserve">POSTE DE CONCRETO ARMADO DE SECAO DUPLO T, EXTENSAO DE 13,00 M, RESISTENCIA DE 300 DAN, TIPO B</t>
  </si>
  <si>
    <t xml:space="preserve">POSTE DE CONCRETO ARMADO DE SECAO DUPLO T, EXTENSAO DE 13,00 M, RESISTENCIA DE 600 DAN, TIPO B</t>
  </si>
  <si>
    <t xml:space="preserve">POSTE DE CONCRETO ARMADO DE SECAO DUPLO T, EXTENSAO DE 15,00 M, RESISTENCIA DE 1500 DAN, TIPO B-3,0</t>
  </si>
  <si>
    <t xml:space="preserve">POSTE DE CONCRETO ARMADO DE SECAO DUPLO T, EXTENSAO DE 15,00 M, RESISTENCIA DE 2000 DAN, TIPO B-4,5</t>
  </si>
  <si>
    <t xml:space="preserve">POSTE DE CONCRETO ARMADO DE SECAO DUPLO T, EXTENSAO DE 8,00 M, RESISTENCIA DE 150 DAN, TIPO D</t>
  </si>
  <si>
    <t xml:space="preserve">POSTE DE CONCRETO ARMADO DE SECAO DUPLO T, EXTENSAO DE 9,00 M, RESISTENCIA DE 1000 DAN, TIPO B-1,5</t>
  </si>
  <si>
    <t xml:space="preserve">POSTE DE CONCRETO ARMADO DE SECAO DUPLO T, EXTENSAO DE 9,00 M, RESISTENCIA DE 150 DAN, TIPO D</t>
  </si>
  <si>
    <t xml:space="preserve">POSTE DE CONCRETO ARMADO DE SECAO DUPLO T, EXTENSAO DE 9,00 M, RESISTENCIA DE 300 A 400 DAN, TIPO B OU D</t>
  </si>
  <si>
    <t xml:space="preserve">POSTE DE CONCRETO ARMADO DE SECAO DUPLO T, EXTENSAO DE 9,00 M, RESISTENCIA DE 600 DAN, TIPO B</t>
  </si>
  <si>
    <t xml:space="preserve">POSTE ROLICO DE MADEIRA TRATADA, D = 20 A 25 CM, H = 12,00 M, EM EUCALIPTO OU EQUIVALENTE DA REGIAO</t>
  </si>
  <si>
    <t xml:space="preserve">POSTES METALICOS AUTOPORTANTES, CONICO OU TELESCOPICO, PARA SPDA, ALTURA 10 METROS LIVRES</t>
  </si>
  <si>
    <t xml:space="preserve">POSTES METALICOS AUTOPORTANTES, CONICO OU TELESCOPICO, PARA SPDA, ALTURA 12 METROS LIVRES</t>
  </si>
  <si>
    <t xml:space="preserve">POSTES METALICOS AUTOPORTANTES, CONICO OU TELESCOPICO, PARA SPDA, ALTURA 15 METROS LIVRES</t>
  </si>
  <si>
    <t xml:space="preserve">POSTES METALICOS AUTOPORTANTES, CONICO OU TELESCOPICO, PARA SPDA, ALTURA 20 METROS LIVRES</t>
  </si>
  <si>
    <t xml:space="preserve">POZOLANA DE CLASSE  C</t>
  </si>
  <si>
    <t xml:space="preserve">PRANCHA APARELHADA *4 X 30* CM, EM MACARANDUBA/MASSARANDUBA, ANGELIM OU EQUIVALENTE DA REGIAO</t>
  </si>
  <si>
    <t xml:space="preserve">PRANCHA NAO APARELHADA *6 X 25* CM, EM MACARANDUBA/MASSARANDUBA, ANGELIM OU EQUIVALENTE DA REGIAO - BRUTA</t>
  </si>
  <si>
    <t xml:space="preserve">PRANCHA NAO APARELHADA *6 X 30* CM, EM MACARANDUBA/MASSARANDUBA, ANGELIM OU EQUIVALENTE DA REGIAO - BRUTA</t>
  </si>
  <si>
    <t xml:space="preserve">PRANCHA NAO APARELHADA *6 X 40* CM, EM MACARANDUBA/MASSARANDUBA, ANGELIM OU EQUIVALENTE DA REGIAO - BRUTA</t>
  </si>
  <si>
    <t xml:space="preserve">PRANCHAO APARELHADO *7,5 X 23* CM, EM MACARANDUBA/MASSARANDUBA, ANGELIM OU EQUIVALENTE DA REGIAO</t>
  </si>
  <si>
    <t xml:space="preserve">PRANCHAO APARELHADO *8 X 30* CM, EM MACARANDUBA/MASSARANDUBA, ANGELIM OU EQUIVALENTE DA REGIAO</t>
  </si>
  <si>
    <t xml:space="preserve">PRANCHAO NAO APARELHADO *7,5 X 23* CM, EM MACARANDUBA/MASSARANDUBA, ANGELIM OU EQUIVALENTE DA REGIAO - BRUTA</t>
  </si>
  <si>
    <t xml:space="preserve">PRANCHAO NAO APARELHADO *8 X 30* CM, EM MACARANDUBA/MASSARANDUBA, ANGELIM OU EQUIVALENTE DA REGIAO - BRUTA</t>
  </si>
  <si>
    <t xml:space="preserve">PREGO DE ACO POLIDO COM CABECA 10 X 11 (1 X 17)</t>
  </si>
  <si>
    <t xml:space="preserve">PREGO DE ACO POLIDO COM CABECA 14 X 18 (1 1/2 X 14)</t>
  </si>
  <si>
    <t xml:space="preserve">PREGO DE ACO POLIDO COM CABECA 16 X 27 (2 1/2 X 12)</t>
  </si>
  <si>
    <t xml:space="preserve">PREGO DE ACO POLIDO COM CABECA 17 X 30 (2 3/4 X 11)</t>
  </si>
  <si>
    <t xml:space="preserve">PREGO DE ACO POLIDO COM CABECA 18 X 24 (2 1/4 X 10)</t>
  </si>
  <si>
    <t xml:space="preserve">PREGO DE ACO POLIDO COM CABECA 19  X 36 (3 1/4  X  9)</t>
  </si>
  <si>
    <t xml:space="preserve">PREGO DE ACO POLIDO COM CABECA 19 X 33 (3 X 9)</t>
  </si>
  <si>
    <t xml:space="preserve">PRESSAO DE PERNAS TRIPLO, EM TUBO DE ACO CARBONO, PINTURA NO PROCESSO ELETROSTATICO - EQUIPAMENTO DE GINASTICA PARA ACADEMIA AO AR LIVRE / ACADEMIA DA TERCEIRA IDADE - ATI</t>
  </si>
  <si>
    <t xml:space="preserve">PRIMER DE POLIURETANO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</si>
  <si>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</si>
  <si>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</si>
  <si>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PROJETOR PNEUMATICO DE ARGAMASSA PARA CHAPISCO E REBOCO COM RECIPIENTE ACOPLADO, TIPO CANEQUINHA, COM VOLUME DE 1,50 L, SEM COMPRESSOR</t>
  </si>
  <si>
    <t xml:space="preserve">PROLONGADOR/ EXTENSOR TELESCOPICO, EM CHAPA METALICA, COM 3 METROS, PARA ROLO DE PINTURA</t>
  </si>
  <si>
    <t xml:space="preserve">PROLONGAMENTO / PROLONGADOR PARA CAIXA SIFONADA, PVC, 100 MM X 200 MM (NBR 5688)</t>
  </si>
  <si>
    <t xml:space="preserve">PROLONGAMENTO / PROLONGADOR PARA CAIXA SIFONADA, PVC, 150 MM X 150 MM (NBR 5688)</t>
  </si>
  <si>
    <t xml:space="preserve">PROLONGAMENTO / PROLONGADOR PARA CAIXA SIFONADA, PVC, 150 MM X 200 MM (NBR 5688)</t>
  </si>
  <si>
    <t xml:space="preserve">PROTETOR AUDITIVO TIPO CONCHA COM ABAFADOR DE RUIDOS, ATENUACAO ACIMA DE 22 DB</t>
  </si>
  <si>
    <t xml:space="preserve">PROTETOR AUDITIVO TIPO PLUG DE INSERCAO COM CORDAO, ATENUACAO SUPERIOR A 15 DB</t>
  </si>
  <si>
    <t xml:space="preserve">PROTETOR SOLAR FPS 30, EMBALAGEM 2 LITROS</t>
  </si>
  <si>
    <t xml:space="preserve">PROTETOR/PONTEIRA PLASTICA PARA PONTA DE VERGALHAO DE ATE 1", TIPO PROTETOR DE ESPERA</t>
  </si>
  <si>
    <t xml:space="preserve">PRUMO DE CENTRO EM ACO *400* G, COM CORDAO EM NYLON E CALCO GUIA EM ACO OU MADEIRA</t>
  </si>
  <si>
    <t xml:space="preserve">PRUMO DE PAREDE EM ACO 700 A 750 G, COM CORDAO EM NYLON E TACO</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</si>
  <si>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</si>
  <si>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</si>
  <si>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</si>
  <si>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</si>
  <si>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PUNHO PARA PERFURATRIZ DE ESTEIRA T38, D = 1 1/2" (38 MM), C = 380 MM</t>
  </si>
  <si>
    <t xml:space="preserve">PUXADOR DE EMBUTIR TIPO CONCHA, COM FURO PARA CHAVE, EM LATAO CROMADO, COMPRIMENTO DE APROX *100* MM E LARGURA DE APROX *40* MM</t>
  </si>
  <si>
    <t xml:space="preserve">PUXADOR TIPO ALCA, EM ZAMAC CROMADO, COM COMPRIMENTO DE APROX 150 MM, COM ROSETA PARA PORTAS DE MADEIRAS, INCLUINDO PARAFUSOS</t>
  </si>
  <si>
    <t xml:space="preserve">PUXADOR TIPO ALCA, EM ZAMAC CROMADO, COM ROSETAS, COMPRIMENTO DE APROX *100* MM, PARA PORTAS E JANELAS DE MADEIRA, INCLUINDO PARAFUSOS</t>
  </si>
  <si>
    <t xml:space="preserve">PUXADOR TUBULAR RETO DUPLO, EM ALUMINIO CROMADO, COMPRIMENTO DE APROX 400 MM E DIAMETRO DE 25 MM (1")</t>
  </si>
  <si>
    <t xml:space="preserve">PUXADOR TUBULAR RETO SIMPLES, EM ALUMINIO CROMADO, COM COMPRIMENTO DE APROX 400 MM E DIAMETRO DE 25 MM</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</si>
  <si>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</si>
  <si>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</si>
  <si>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</si>
  <si>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</si>
  <si>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</si>
  <si>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</si>
  <si>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</si>
  <si>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</si>
  <si>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</si>
  <si>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*42*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</si>
  <si>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</si>
  <si>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</si>
  <si>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</si>
  <si>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</si>
  <si>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</si>
  <si>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48 DISJUNTORES DIN, 100 A</t>
  </si>
  <si>
    <t xml:space="preserve">QUADRO DE DISTRIBUICAO, EM PVC, DE EMBUTIR, COM BARRAMENTO TERRA / NEUTRO, PARA 12 DISJUNTORES NEMA OU 16 DISJUNTORES DIN</t>
  </si>
  <si>
    <t xml:space="preserve">QUADRO DE DISTRIBUICAO, EM PVC, DE EMBUTIR, COM BARRAMENTO TERRA / NEUTRO, PARA 18 DISJUNTORES NEMA OU 24 DISJUNTORES DIN</t>
  </si>
  <si>
    <t xml:space="preserve">QUADRO DE DISTRIBUICAO, EM PVC, DE EMBUTIR, COM BARRAMENTO TERRA / NEUTRO, PARA 27 DISJUNTORES NEMA OU 36 DISJUNTORES DIN</t>
  </si>
  <si>
    <t xml:space="preserve">QUADRO DE DISTRIBUICAO, EM PVC, DE EMBUTIR, COM BARRAMENTO TERRA / NEUTRO, PARA 48 DISJUNTORES DIN</t>
  </si>
  <si>
    <t xml:space="preserve">QUADRO DE DISTRIBUICAO, EM PVC, DE EMBUTIR, COM BARRAMENTO TERRA / NEUTRO, PARA 6 DISJUNTORES NEMA OU 8 DISJUNTORES DIN</t>
  </si>
  <si>
    <t xml:space="preserve">QUADRO DE DISTRIBUICAO, SEM BARRAMENTO, EM PVC, DE EMBUTIR, PARA 12 DISJUNTORES NEMA OU 16 DISJUNTORES DIN</t>
  </si>
  <si>
    <t xml:space="preserve">QUADRO DE DISTRIBUICAO, SEM BARRAMENTO, EM PVC, DE EMBUTIR, PARA 18 DISJUNTORES NEMA OU 24 DISJUNTORES DIN</t>
  </si>
  <si>
    <t xml:space="preserve">QUADRO DE DISTRIBUICAO, SEM BARRAMENTO, EM PVC, DE EMBUTIR, PARA 27 DISJUNTORES NEMA OU 36 DISJUNTORES DIN</t>
  </si>
  <si>
    <t xml:space="preserve">QUADRO DE DISTRIBUICAO, SEM BARRAMENTO, EM PVC, DE EMBUTIR, PARA 3 DISJUNTORES NEMA OU 4 DISJUNTORES DIN</t>
  </si>
  <si>
    <t xml:space="preserve">QUADRO DE DISTRIBUICAO, SEM BARRAMENTO, EM PVC, DE EMBUTIR, PARA 6 DISJUNTORES NEMA OU 8 DISJUNTORES DIN</t>
  </si>
  <si>
    <t xml:space="preserve">QUADRO DE DISTRIBUICAO, SEM BARRAMENTO, EM PVC, DE SOBREPOR, PARA 12 DISJUNTORES NEMA OU 16 DISJUNTORES DIN</t>
  </si>
  <si>
    <t xml:space="preserve">QUADRO DE DISTRIBUICAO, SEM BARRAMENTO, EM PVC, DE SOBREPOR, PARA 18 DISJUNTORES NEMA OU 24 DISJUNTORES DIN</t>
  </si>
  <si>
    <t xml:space="preserve">QUADRO DE DISTRIBUICAO, SEM BARRAMENTO, EM PVC, DE SOBREPOR, PARA 27 DISJUNTORES NEMA OU 36 DISJUNTORES DIN</t>
  </si>
  <si>
    <t xml:space="preserve">QUADRO DE DISTRIBUICAO, SEM BARRAMENTO, EM PVC, DE SOBREPOR, PARA 3 DISJUNTORES NEMA OU 4 DISJUNTORES DIN</t>
  </si>
  <si>
    <t xml:space="preserve">QUADRO DE DISTRIBUICAO, SEM BARRAMENTO, EM PVC, DE SOBREPOR, PARA 6 DISJUNTORES NEMA OU 8 DISJUNTORES DIN</t>
  </si>
  <si>
    <t xml:space="preserve">RACK DE PISO PARA SERVIDOR, ABERTO, EM COLUNA, 44U X *570* MM</t>
  </si>
  <si>
    <t xml:space="preserve">RACK DE PISO PARA SERVIDOR, FECHADO, 44U, COM PORTA, 44U X *570* MM</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</si>
  <si>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</si>
  <si>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</si>
  <si>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</si>
  <si>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</si>
  <si>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</si>
  <si>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150 MM, PARA LAJES/ CALHAS</t>
  </si>
  <si>
    <t xml:space="preserve">RALO FOFO SEMIESFERICO, 200 MM, PARA LAJES/ CALHAS</t>
  </si>
  <si>
    <t xml:space="preserve">RALO FOFO SEMIESFERICO, 75 MM, PARA LAJES/ CALHAS</t>
  </si>
  <si>
    <t xml:space="preserve">RALO SECO / RALO DE PASSAGEM EM PVC, QUADRADO, 100 X 100 X 53 MM, SAIDA 40 MM, COM GRELHA BRANCA</t>
  </si>
  <si>
    <t xml:space="preserve">RALO SECO CONICO, PVC, 100 X 40 MM, COM GRELHA QUADRADA BRANCA</t>
  </si>
  <si>
    <t xml:space="preserve">RALO SECO CONICO, PVC, 100 X 40 MM, COM GRELHA REDONDA BRANCA</t>
  </si>
  <si>
    <t xml:space="preserve">RALO SIFONADO CILINDRICO, PVC, 100 X 40 MM, COM GRELHA REDONDA BRANCA</t>
  </si>
  <si>
    <t xml:space="preserve">RALO SIFONADO QUADRADO, PVC, 100 X 53 MM, SAIDA 40 MM, COM GRELHA QUADRADA BRANCA</t>
  </si>
  <si>
    <t xml:space="preserve">RALO SIFONADO REDONDO CONICO, PVC, 100 X 40 MM, COM GRELHA REDONDA BRANCA</t>
  </si>
  <si>
    <t xml:space="preserve">REBOLO ABRASIVO RETO DE USO GERAL GRAO 36, DE 6 X 1" (DIAMETRO X ESPESSURA)</t>
  </si>
  <si>
    <t xml:space="preserve">REBOLO ABRASIVO RETO DE USO GERAL GRAO 36, DE 6 X 3/4" (DIAMETRO X ESPESSURA)</t>
  </si>
  <si>
    <t xml:space="preserve">RECICLADORA DE ASFALTO A FRIO SOBRE RODAS, LARG. FRESAGEM 2,00 M, POT. 315 KW/422 HP</t>
  </si>
  <si>
    <t xml:space="preserve">REDUCAO EXCENTRICA PVC, DN 75 X 50 MM, PARA ESGOTO PREDIAL</t>
  </si>
  <si>
    <t xml:space="preserve">REDUCAO FIXA TIPO STORZ, ENGATE RAPIDO 2.1/2" X 1.1/2", EM LATAO, PARA INSTALACAO PREDIAL COMBATE A INCENDIO PREDIAL</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</si>
  <si>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</si>
  <si>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</si>
  <si>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</si>
  <si>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REGISTRO DE ESFERA DE PASSEIO, PVC PARA POLIETILENO, 20 MM</t>
  </si>
  <si>
    <t xml:space="preserve">REGISTRO DE ESFERA PVC, COM BORBOLETA, COM ROSCA EXTERNA, DE 1/2"</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</si>
  <si>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</si>
  <si>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</si>
  <si>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</si>
  <si>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</si>
  <si>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 COM CORPO DIVIDIDO</t>
  </si>
  <si>
    <t xml:space="preserve">REGISTRO DE ESFERA, PVC, COM VOLANTE, VS, ROSCAVEL, DN 1/2",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</si>
  <si>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</si>
  <si>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</si>
  <si>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</si>
  <si>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40 MM, COM CORPO DIVIDIDO</t>
  </si>
  <si>
    <t xml:space="preserve">REGISTRO DE ESFERA, PVC, COM VOLANTE, VS, SOLDAVEL, DN 60 MM, COM CORPO DIVIDIDO</t>
  </si>
  <si>
    <t xml:space="preserve">REGISTRO DE PRESSAO PVC, ROSCAVEL, VOLANTE SIMPLES, DE 1/2"</t>
  </si>
  <si>
    <t xml:space="preserve">REGISTRO DE PRESSAO PVC, SOLDAVEL, VOLANTE SIMPLES, DE 20 MM</t>
  </si>
  <si>
    <t xml:space="preserve">REGISTRO DE PRESSAO PVC, SOLDAVEL, VOLANTE SIMPLES, DE 25 MM</t>
  </si>
  <si>
    <t xml:space="preserve">REGISTRO GAVETA BRUTO EM LATAO FORJADO, BITOLA 1 1/2"</t>
  </si>
  <si>
    <t xml:space="preserve">REGISTRO GAVETA BRUTO EM LATAO FORJADO, BITOLA 1 1/4"</t>
  </si>
  <si>
    <t xml:space="preserve">REGISTRO GAVETA BRUTO EM LATAO FORJADO, BITOLA 1"</t>
  </si>
  <si>
    <t xml:space="preserve">REGISTRO GAVETA BRUTO EM LATAO FORJADO, BITOLA 1/2"</t>
  </si>
  <si>
    <t xml:space="preserve">REGISTRO GAVETA BRUTO EM LATAO FORJADO, BITOLA 2"</t>
  </si>
  <si>
    <t xml:space="preserve">REGISTRO GAVETA BRUTO EM LATAO FORJADO, BITOLA 3/4"</t>
  </si>
  <si>
    <t xml:space="preserve">REGISTRO GAVETA BRUTO EM LATAO FORJADO, BITOLA 4"</t>
  </si>
  <si>
    <t xml:space="preserve">REGISTRO GAVETA COM ACABAMENTO E CANOPLA CROMADOS, SIMPLES, BITOLA 1 1/4"</t>
  </si>
  <si>
    <t xml:space="preserve">REGISTRO GAVETA COM ACABAMENTO E CANOPLA CROMADOS, SIMPLES, BITOLA 1"</t>
  </si>
  <si>
    <t xml:space="preserve">REGISTRO GAVETA COM ACABAMENTO E CANOPLA CROMADOS, SIMPLES, BITOLA 1/2"</t>
  </si>
  <si>
    <t xml:space="preserve">REGISTRO OU REGULADOR DE GAS COZINHA, VAZAO DE 2 KG/H, 2,8 KPA</t>
  </si>
  <si>
    <t xml:space="preserve">REGISTRO PRESSAO BRUTO EM LATAO FORJADO, BITOLA 1/2"</t>
  </si>
  <si>
    <t xml:space="preserve">REGISTRO PRESSAO BRUTO EM LATAO FORJADO, BITOLA 3/4"</t>
  </si>
  <si>
    <t xml:space="preserve">REGISTRO PRESSAO COM ACABAMENTO E CANOPLA CROMADA, SIMPLES, BITOLA 1/2"</t>
  </si>
  <si>
    <t xml:space="preserve">REGISTRO PRESSAO COM ACABAMENTO E CANOPLA CROMADA, SIMPLES, BITOLA 3/4"</t>
  </si>
  <si>
    <t xml:space="preserve">REGUA DE ALUMINIO PARA PEDREIRO 2 M X *25,5* MM</t>
  </si>
  <si>
    <t xml:space="preserve">REGUA VIBRADORA DUPLA PARA CONCRETO A GASOLINA 5,5 HP, PESO DE 60 KG, COMPRIMENTO 4 M</t>
  </si>
  <si>
    <t xml:space="preserve">REGUA VIBRATORIA DE CONCRETO TRELICADA, EQUIPADA COM MOTOR A GASOLINA DE 9 HP</t>
  </si>
  <si>
    <t xml:space="preserve">RELE FOTOELETRICO INTERNO E EXTERNO BIVOLT 1000 W, DE CONECTOR, SEM BASE</t>
  </si>
  <si>
    <t xml:space="preserve">RELE TERMICO BIMETAL PARA USO EM MOTORES TRIFASICOS, TENSAO 380 V, POTENCIA ATE 15 CV, CORRENTE NOMINAL MAXIMA 22 A</t>
  </si>
  <si>
    <t xml:space="preserve">RESINA ACRILICA PREMIUM BASE AGUA - COR BRANCA</t>
  </si>
  <si>
    <t xml:space="preserve">RESPIRADOR DESCARTAVEL SEM VALVULA DE EXALACAO, PFF 1</t>
  </si>
  <si>
    <t xml:space="preserve">RETARDO PARA CORDEL DETONANTE</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</si>
  <si>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</si>
  <si>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</si>
  <si>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REVESTIMENTO DE PAREDE EM GRANILITE, MARMORITE OU GRANITINA - ESP = 5 MM (INCLUSO EXECUCAO)</t>
  </si>
  <si>
    <t xml:space="preserve">REVESTIMENTO DE PAREDE EM GRANILITE, MARMORITE OU GRANITINA COLORIDO - ESP = 5 MM (INCLUSO EXECUCAO)</t>
  </si>
  <si>
    <t xml:space="preserve">REVESTIMENTO EM CERAMICA ESMALTADA PARA FACHADAS, PECAS NO FORMATO APROX. *5 X 15* CM, FORNECIDAS EM PLACAS COM PECAS UNIDAS EM PONTOS</t>
  </si>
  <si>
    <t xml:space="preserve">REVESTIMENTO EM CERAMICA ESMALTADA PARA FACHADAS, PECAS NO FORMATO APROX. *7 X 26* CM, FORNECIDAS EM PLACAS COM PECAS UNIDAS EM PONTOS</t>
  </si>
  <si>
    <t xml:space="preserve">REVESTIMENTO EPOXI DE ALTA RESISTENCIA QUIMICA, ISENTO DE SOLVENTES, BICOMPONENTE</t>
  </si>
  <si>
    <t xml:space="preserve">REVESTIMENTO PARA ESCADA EM GRANILITE, MARMORITE OU GRANITINA ESP = 8 MM (INCLUSO EXECUCAO)</t>
  </si>
  <si>
    <t xml:space="preserve">RIPA APARELHADA *1,5 X 5* CM, EM MACARANDUBA/MASSARANDUBA, ANGELIM OU EQUIVALENTE DA REGIAO</t>
  </si>
  <si>
    <t xml:space="preserve">RIPA NAO APARELHADA *1 X 3* CM, EM MACARANDUBA/MASSARANDUBA, ANGELIM OU EQUIVALENTE DA REGIAO - BRUTA</t>
  </si>
  <si>
    <t xml:space="preserve">RIPA NAO APARELHADA, *1,5 X 5* CM, EM MACARANDUBA/MASSARANDUBA, ANGELIM OU EQUIVALENTE DA REGIAO - BRUTA</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</si>
  <si>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</si>
  <si>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</si>
  <si>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</si>
  <si>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</si>
  <si>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MARMORE, POLIDO, BRANCO COMUM, L= *7* CM, E= *2* CM, CORTE RETO</t>
  </si>
  <si>
    <t xml:space="preserve">RODAPE EM POLIESTIRENO, BRANCO, H = *5* CM, E = *1,5* CM</t>
  </si>
  <si>
    <t xml:space="preserve">RODAPE PLANO PARA PISO VINILICO, H = 5 CM</t>
  </si>
  <si>
    <t xml:space="preserve">RODAPE PRE-MOLDADO DE GRANILITE, MARMORITE OU GRANITINA L = 10 CM</t>
  </si>
  <si>
    <t xml:space="preserve">RODIZIO TIPO NAPOLEAO PARA JANELAS DE CORRER, EM ZAMAC, COMPRIMENTO DE APROX 60 CM, COM ROLAMENTO EM ACO</t>
  </si>
  <si>
    <t xml:space="preserve">RODO PARA CHAO 40 CM, COM BORRACHA DUPLA E CABO</t>
  </si>
  <si>
    <t xml:space="preserve">ROLDANA CONCAVA DUPLA, 4 RODAS, EM ZAMAC COM CHAPA DE LATAO, ROLAMENTOS EM ACO, PARA PORTAS E JANELAS DE CORRER</t>
  </si>
  <si>
    <t xml:space="preserve">ROLDANA PLASTICA COM PREGO, TAMANHO 30 X 30 MM, PARA INSTALACAO ELETRICA APARENTE</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</si>
  <si>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</si>
  <si>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</si>
  <si>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</si>
  <si>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</si>
  <si>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PE DE CARNEIRO, COM CONTROLE REMOTO POR RADIO, POTENCIA 12,5 KW, PESO OPERACIONAL DE 1,675 T, LARGURA DE TRABALHO 0,85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</si>
  <si>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</si>
  <si>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</si>
  <si>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</si>
  <si>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ROLO DE ESPUMA POLIESTER, 23 CM X 68 MM (COMPRIMENTO X DIAMETRO), SEM CABO</t>
  </si>
  <si>
    <t xml:space="preserve">ROLO DE LA DE CARNEIRO 25 MM X 23 CM (ALTURA DA LA X COMPRIMENTO), SEM CABO</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</si>
  <si>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</si>
  <si>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</si>
  <si>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</si>
  <si>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</si>
  <si>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</si>
  <si>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</si>
  <si>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INTERNO DE CHAPA DE ACO GALVANIZADA NUM 26, CORTE 50 CM</t>
  </si>
  <si>
    <t xml:space="preserve">RUFO INTERNO/EXTERNO DE CHAPA DE ACO GALVANIZADA NUM 24, CORTE 25 CM</t>
  </si>
  <si>
    <t xml:space="preserve">RUFO PARA TELHA ESTRUTURAL DE FIBROCIMENTO 1 ABA (SEM AMIANTO)</t>
  </si>
  <si>
    <t xml:space="preserve">RUFO PARA TELHA ONDULADA DE FIBROCIMENTO, E = 6 MM, ABA *260* MM, COMPRIMENTO 1100 MM (SEM AMIANTO)</t>
  </si>
  <si>
    <t xml:space="preserve">SABONETEIRA DE PAREDE EM METAL CROMADO</t>
  </si>
  <si>
    <t xml:space="preserve">SACO DE RAFIA PARA ENTULHO, NOVO, LISO (SEM CLICHE), *60 X 90* CM</t>
  </si>
  <si>
    <t xml:space="preserve">SAIBRO PARA ARGAMASSA (COLETADO NO COMERCIO)</t>
  </si>
  <si>
    <t xml:space="preserve">SAPATA DE PVC ADITIVADO NERVURADO D = 6 POLEGADAS</t>
  </si>
  <si>
    <t xml:space="preserve">SAPATA DE PVC ADITIVADO NERVURADO D = 8 POLEGADAS</t>
  </si>
  <si>
    <t xml:space="preserve">SAPATILHA EM ACO GALVANIZADO PARA CABOS COM DIAMETRO NOMINAL ATE 5/8"</t>
  </si>
  <si>
    <t xml:space="preserve">SARRAFO *2,5 X 5* CM EM PINUS, MISTA OU EQUIVALENTE DA REGIAO - BRUTA</t>
  </si>
  <si>
    <t xml:space="preserve">SARRAFO APARELHADO *2 X 10* CM, EM MACARANDUBA/MASSARANDUBA, ANGELIM OU EQUIVALENTE DA REGIAO</t>
  </si>
  <si>
    <t xml:space="preserve">SEIXO ROLADO PARA APLICACAO EM CONCRETO (POSTO PEDREIRA/FORNECEDOR, SEM FRETE)</t>
  </si>
  <si>
    <t xml:space="preserve">SELADOR HORIZONTAL PARA FITA DE ACO 1" (25 MM)</t>
  </si>
  <si>
    <t xml:space="preserve">SELANTE A BASE DE ALCATRAO E POLIURETANO PARA JUNTAS HORIZONTAIS</t>
  </si>
  <si>
    <t xml:space="preserve">SELANTE ACRILICO PARA TRATAMENTO / ACABAMENTO SUPERFICIAL DE CONCRETO ESTAMPADO, APARENTE, PEDRAS E OUTROS</t>
  </si>
  <si>
    <t xml:space="preserve">SELANTE DE BASE ASFALTICA PARA VEDACAO</t>
  </si>
  <si>
    <t xml:space="preserve">SELANTE TIPO VEDA CALHA PARA METAL E FIBROCIMENTO</t>
  </si>
  <si>
    <t xml:space="preserve">SELIM PVC, COM TRAVA, JE, 90 GRAUS, DN 125 X 100 MM OU 150 X 100 MM, PARA REDE COLETORA ESGOTO</t>
  </si>
  <si>
    <t xml:space="preserve">SEMIRREBOQUE COM DOIS EIXOS EM TANDEM TIPO BASCULANTE COM CACAMBA METALICA 14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</si>
  <si>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</si>
  <si>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</si>
  <si>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</si>
  <si>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</si>
  <si>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</si>
  <si>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SENSOR DE PRESENCA BIVOLT DE TETO SEM FOTOCELULA PARA QUALQUER TIPO DE LAMPADA POTENCIA MAXIMA *900* W, USO INTERNO</t>
  </si>
  <si>
    <t xml:space="preserve">SERRA CIRCULAR DE BANCADA, MODELO PICA-PAU, DIAMETRO DE 350 MM. CARACTERISTICAS DO MOTOR: TRIFASICO, POTENCIA DE 5 HP, FREQUENCIA DE 60 HZ</t>
  </si>
  <si>
    <t xml:space="preserve">SERRALHEIRO (MENSALISTA)</t>
  </si>
  <si>
    <t xml:space="preserve">SERVENTE DE OBRAS (MENSALISTA)</t>
  </si>
  <si>
    <t xml:space="preserve">SERVICO DE BOMBEAMENTO DE CONCRETO COM CONSUMO MINIMO DE 40 M3, (DISPONIBILIZACAO DE BOMBA), SEM O LANCAMENTO</t>
  </si>
  <si>
    <t xml:space="preserve">SIFAO EM METAL CROMADO PARA PIA AMERICANA, 1.1/2 X 1.1/2"</t>
  </si>
  <si>
    <t xml:space="preserve">SIFAO EM METAL CROMADO PARA PIA AMERICANA, 1.1/2 X 2"</t>
  </si>
  <si>
    <t xml:space="preserve">SIFAO EM METAL CROMADO PARA TANQUE, 1.1/4 X 1.1/2"</t>
  </si>
  <si>
    <t xml:space="preserve">SIFAO PLASTICO EXTENSIVEL UNIVERSAL, TIPO COPO</t>
  </si>
  <si>
    <t xml:space="preserve">SIFAO PLASTICO TIPO COPO PARA PIA AMERICANA 1.1/2 X 1.1/2"</t>
  </si>
  <si>
    <t xml:space="preserve">SIFAO PLASTICO TIPO COPO PARA PIA OU LAVATORIO, 1 X 1.1/2"</t>
  </si>
  <si>
    <t xml:space="preserve">SILICA ATIVA PARA ADICAO EM CONCRETO E  ARGAMASSA</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</si>
  <si>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</si>
  <si>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</si>
  <si>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</si>
  <si>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</si>
  <si>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SOLDA EM VARETA FOSCOPER, D = *2,5* MM X COMPRIMENTO 500 MM</t>
  </si>
  <si>
    <t xml:space="preserve">SOLDA ESTANHO/COBRE PARA CONEXOES DE COBRE, FIO 2,5 MM, CARRETEL 500 GR (SEM CHUMBO)</t>
  </si>
  <si>
    <t xml:space="preserve">SOLDADOR (HORISTA)</t>
  </si>
  <si>
    <t xml:space="preserve">SOLDADOR (MENSALISTA)</t>
  </si>
  <si>
    <t xml:space="preserve">SOLDADOR ELETRICO (PARA SOLDA A SER TESTADA COM RAIOS "X") (HORISTA)</t>
  </si>
  <si>
    <t xml:space="preserve">SOLDADOR ELETRICO (PARA SOLDA A SER TESTADA COM RAIOS "X") (MENSALISTA)</t>
  </si>
  <si>
    <t xml:space="preserve">SOLEIRA PRE-MOLDADA EM GRANILITE, MARMORITE OU GRANITINA, L = *15 CM</t>
  </si>
  <si>
    <t xml:space="preserve">SOLEIRA/ PEITORIL EM MARMORE, POLIDO, BRANCO COMUM, L= *15* CM, E= *2* CM, CORTE RETO</t>
  </si>
  <si>
    <t xml:space="preserve">SOLEIRA/ TABEIRA EM MARMORE, POLIDO, BRANCO COMUM, L= 5 CM, E= *2,0* CM</t>
  </si>
  <si>
    <t xml:space="preserve">SOLUCAO ASFALTICA ELASTOMERICA PARA IMPRIMACAO, APLICACAO A FRIO</t>
  </si>
  <si>
    <t xml:space="preserve">SOLVENTE PARA COLA A BASE DE RESINA SINTETICA (PARA COLA DE LAMINADO MELAMINICO E OUTRAS SUPERFICIES)</t>
  </si>
  <si>
    <t xml:space="preserve">SOQUETE DE BAQUELITE BASE E27, PARA LAMPADAS</t>
  </si>
  <si>
    <t xml:space="preserve">SOQUETE DE PORCELANA BASE E27, FIXO DE TETO, PARA LAMPADAS</t>
  </si>
  <si>
    <t xml:space="preserve">SOQUETE DE PVC / TERMOPLASTICO BASE E27, COM CHAVE, PARA LAMPADAS</t>
  </si>
  <si>
    <t xml:space="preserve">SOQUETE DE PVC / TERMOPLASTICO BASE E27, COM RABICHO, PARA LAMPADAS</t>
  </si>
  <si>
    <t xml:space="preserve">SPRINKLER TIPO PENDENTE, BULBO AMARELO DE RESPOSTA RAPIDA, 79 GRAUS CELSIUS, ACABAMENTO CROMADO, D = 20 MM (3/4")</t>
  </si>
  <si>
    <t xml:space="preserve">SPRINKLER TIPO PENDENTE, BULBO AMARELO DE RESPOSTA RAPIDA, 79 GRAUS CELSIUS, ACABAMENTO NATURAL OU CROMADO, D = 15 MM (1/2")</t>
  </si>
  <si>
    <t xml:space="preserve">SPRINKLER TIPO PENDENTE, BULBO AMARELO DE RESPOSTA RAPIDA, 79 GRAUS CELSIUS, ACABAMENTO NATURAL, D = 20 MM (3/4")</t>
  </si>
  <si>
    <t xml:space="preserve">SPRINKLER TIPO PENDENTE, BULBO VERMELHO DE RESPOSTA RAPIDA, 68 GRAUS CELSIUS, ACABAMENTO CROMADO, D = 15 MM (1/2")</t>
  </si>
  <si>
    <t xml:space="preserve">SPRINKLER TIPO PENDENTE, BULBO VERMELHO DE RESPOSTA RAPIDA, 68 GRAUS CELSIUS, ACABAMENTO CROMADO, D = 20 MM (3/4")</t>
  </si>
  <si>
    <t xml:space="preserve">SPRINKLER TIPO PENDENTE, BULBO VERMELHO DE RESPOSTA RAPIDA, 68 GRAUS CELSIUS, ACABAMENTO NATURAL, D = 20 MM (3/4")</t>
  </si>
  <si>
    <t xml:space="preserve">SPRINKLER TIPO PENDENTE, BULBO VERMELHO RESPOSTA RAPIDA, 68 GRAUS CELSIUS, ACABAMENTO NATURAL, D = 15 MM (1/2")</t>
  </si>
  <si>
    <t xml:space="preserve">SUPORTE "Y" PARA FITA PERFURADA</t>
  </si>
  <si>
    <t xml:space="preserve">SUPORTE DE FIXACAO PARA ESPELHO / PLACA 4" X 4", PARA 6 MODULOS, PARA INSTALACAO DE TOMADAS E INTERRUPTORES (SOMENTE SUPORTE)</t>
  </si>
  <si>
    <t xml:space="preserve">SUPORTE EM ACO GALVANIZADO PARA TRANSFORMADOR PARA POSTE DUPLO T 185 X 95 MM, CHAPA DE 5/16"</t>
  </si>
  <si>
    <t xml:space="preserve">SUPORTE GUIA SIMPLES COM ROLDANA EM POLIPROPILENO PARA CHUMBAR, H = 20 CM</t>
  </si>
  <si>
    <t xml:space="preserve">SUPORTE ISOLADOR SIMPLES DIAMETRO NOMINAL 5/16", COM ROSCA SOBERBA E BUCHA</t>
  </si>
  <si>
    <t xml:space="preserve">SUPORTE METALICO PARA CALHA PLUVIAL, ZINCADO, DOBRADO, DIAMETRO ENTRE 119 E 170 MM, PARA DRENAGEM PLUVIAL PREDIAL</t>
  </si>
  <si>
    <t xml:space="preserve">SUPORTE PARA CALHA DE 150 MM EM ACO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</si>
  <si>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</si>
  <si>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</si>
  <si>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TABUA *2,5 X 15 CM EM PINUS, MISTA OU EQUIVALENTE DA REGIAO - BRUTA</t>
  </si>
  <si>
    <t xml:space="preserve">TABUA APARELHADA *2,5 X 15* CM, EM MACARANDUBA/MASSARANDUBA, ANGELIM OU EQUIVALENTE DA REGIAO</t>
  </si>
  <si>
    <t xml:space="preserve">TABUA APARELHADA *2,5 X 25* CM, EM MACARANDUBA/MASSARANDUBA, ANGELIM OU EQUIVALENTE DA REGIAO</t>
  </si>
  <si>
    <t xml:space="preserve">TABUA APARELHADA *2,5 X 30* CM, EM MACARANDUBA/MASSARANDUBA, ANGELIM OU EQUIVALENTE DA REGIAO</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</si>
  <si>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</si>
  <si>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</si>
  <si>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</si>
  <si>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NAO APARELHADA *2,5 X 15* CM, EM MACARANDUBA/MASSARANDUBA, ANGELIM OU EQUIVALENTE DA REGIAO - BRUTA</t>
  </si>
  <si>
    <t xml:space="preserve">TACO DE MADEIRA PARA PISO, IPE (CERNE) OU EQUIVALENTE DA REGIAO, 7 X 42 CM, E = 2 CM</t>
  </si>
  <si>
    <t xml:space="preserve">TALABARTE DE SEGURANCA, 2 MOSQUETOES TRAVA DUPLA *53* MM DE ABERTURA, COM ABSORVEDOR DE ENERGIA</t>
  </si>
  <si>
    <t xml:space="preserve">TALHA ELETRICA 3 T, VELOCIDADE 2,1 M / MIN, POTENCIA 1,3 KW</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</si>
  <si>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</si>
  <si>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</si>
  <si>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</si>
  <si>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</si>
  <si>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DE CONCRETO ARMADO PARA FOSSA SEPTICA, DIAMETRO NOMINAL DE 3,00 M E ESPESSURA MINIMA DE 100 MM</t>
  </si>
  <si>
    <t xml:space="preserve">TAMPA DE CONCRETO ARMADO PARA FOSSA, D = *0,90* M, E = 0,05 M</t>
  </si>
  <si>
    <t xml:space="preserve">TAMPA DE CONCRETO ARMADO PARA FOSSA, D = *1,10* M, E = 0,05 M</t>
  </si>
  <si>
    <t xml:space="preserve">TAMPA DE CONCRETO ARMADO PARA FOSSA, D = *1,35* M, E = 0,05 M</t>
  </si>
  <si>
    <t xml:space="preserve">TAMPA DE CONCRETO ARMADO PARA FOSSA, D = 1,50 M, E = 0,05 M</t>
  </si>
  <si>
    <t xml:space="preserve">TAMPA DE CONCRETO ARMADO PARA FOSSA, D = 2,00 M, E = 0,05 M</t>
  </si>
  <si>
    <t xml:space="preserve">TAMPA DE CONCRETO ARMADO PARA FOSSA, D = 2,50 M, E = 0,05 M</t>
  </si>
  <si>
    <t xml:space="preserve">TAMPA DE CONCRETO ARMADO PARA POCO DE INSPECAO, COM FURO E TAMPINHA, DIAMETRO NOMINAL DE 3,00 M E ESPESSURA MINIMA DE 100 MM</t>
  </si>
  <si>
    <t xml:space="preserve">TAMPA DE CONCRETO ARMADO PARA POCO, COM FURO E TAMPINHA, D = *0,90* M, E = 0,05 M</t>
  </si>
  <si>
    <t xml:space="preserve">TAMPA DE CONCRETO ARMADO PARA POCO, COM FURO E TAMPINHA, D = *1,10* M, E = 0,05 M</t>
  </si>
  <si>
    <t xml:space="preserve">TAMPA DE CONCRETO ARMADO PARA POCO, COM FURO E TAMPINHA, D = *1,35* M, E = 0,05 M</t>
  </si>
  <si>
    <t xml:space="preserve">TAMPA DE CONCRETO ARMADO PARA POCO, COM FURO E TAMPINHA, D = 1,50 M, E = 0,05 M</t>
  </si>
  <si>
    <t xml:space="preserve">TAMPA DE CONCRETO ARMADO PARA POCO, COM FURO E TAMPINHA, D = 2,00 M, E = 0,05 M</t>
  </si>
  <si>
    <t xml:space="preserve">TAMPA DE CONCRETO ARMADO PARA POCO, COM FURO E TAMPINHA, D = 2,50 M, E = 0,05 M</t>
  </si>
  <si>
    <t xml:space="preserve">TAMPA PARA CONDULETE, EM PVC, PARA 1 INTERRUPTOR</t>
  </si>
  <si>
    <t xml:space="preserve">TAMPA PARA CONDULETE, EM PVC, PARA 1 MODULO RJ</t>
  </si>
  <si>
    <t xml:space="preserve">TAMPA PARA CONDULETE, EM PVC, PARA 2 MODULOS RJ</t>
  </si>
  <si>
    <t xml:space="preserve">TAMPA PARA CONDULETE, EM PVC, PARA TOMADA HEXAGONAL</t>
  </si>
  <si>
    <t xml:space="preserve">TAMPAO / CAP, ROSCA MACHO, DN 1", PARA TUBO PEX PARA INST. AGUA QUENTE/FRIA</t>
  </si>
  <si>
    <t xml:space="preserve">TAMPAO / CAP, ROSCA MACHO, DN 3/4", PARA TUBO PEX PARA INST. AGUA QUENTE/FRIA</t>
  </si>
  <si>
    <t xml:space="preserve">TAMPAO / TERMINAL / PLUG, D = 1 1/4", PARA DUTO CORRUGADO PEAD (CABEAMENTO SUBTERRANEO)</t>
  </si>
  <si>
    <t xml:space="preserve">TAMPAO / TERMINAL / PLUG, D = 2", PARA DUTO CORRUGADO PEAD (CABEAMENTO SUBTERRANEO)</t>
  </si>
  <si>
    <t xml:space="preserve">TAMPAO / TERMINAL / PLUG, D = 3", PARA DUTO CORRUGADO PEAD (CABEAMENTO SUBTERRANEO)</t>
  </si>
  <si>
    <t xml:space="preserve">TAMPAO / TERMINAL / PLUG, D = 4", PARA DUTO CORRUGADO PEAD (CABEAMENTO SUBTERRANEO)</t>
  </si>
  <si>
    <t xml:space="preserve">TAMPAO COM CORRENTE, EM LATAO, ENGATE RAPIDO 1 1/2", PARA INSTALACAO PREDIAL DE COMBATE A INCENDIO</t>
  </si>
  <si>
    <t xml:space="preserve">TAMPAO FOFO ARTICULADO P/ REGISTRO, COM BASE / REQUADRO, CLASSE A15 CARGA MAX 1,5 T, *200 X 200* MM (COM INSCRICAO EM RELEVO DO TIPO DE REDE)</t>
  </si>
  <si>
    <t xml:space="preserve">TAMPAO FOFO ARTICULADO P/ REGISTRO, COM BASE / REQUADRO, CLASSE A15 CARGA MAXIMA 1,5 T, *400 X 400* MM (COM INSCRICAO EM RELEVO DO TIPO DE REDE)</t>
  </si>
  <si>
    <t xml:space="preserve">TAMPAO FOFO ARTICULADO, COM BASE / REQUADRO, CLASSE B125 CARGA MAX 12,5 T, REDONDO, TAMPA 600 MM (COM INSCRICAO EM RELEVO DO TIPO DE REDE)</t>
  </si>
  <si>
    <t xml:space="preserve">TAMPAO FOFO ARTICULADO, COM BASE / REQUADRO, CLASSE D400 CARGA MAX 40 T, REDONDO, TAMPA 600 MM (COM INSCRICAO EM RELEVO DO TIPO DE REDE)</t>
  </si>
  <si>
    <t xml:space="preserve">TAMPAO FOFO SIMPLES COM BASE / REQUADRO, CLASSE A15 CARGA MAX. 1,5 T, 300 X 300 MM (COM INSCRICAO EM RELEVO DO TIPO DE REDE)</t>
  </si>
  <si>
    <t xml:space="preserve">TAMPAO FOFO SIMPLES COM BASE / REQUADRO, CLASSE A15 CARGA MAX. 1,5 T, 400 X 400 MM (COM INSCRICAO EM RELEVO DO TIPO DE REDE)</t>
  </si>
  <si>
    <t xml:space="preserve">TAMPAO FOFO SIMPLES COM BASE / REQUADRO, CLASSE B125 CARGA MAX. 12,5 T, REDONDO, TAMPA 500 MM (COM INSCRICAO EM RELEVO DO TIPO DE REDE)</t>
  </si>
  <si>
    <t xml:space="preserve">TAMPAO FOFO SIMPLES COM BASE / REQUADRO, CLASSE D400 CARGA MAX. 40 T, REDONDO, TAMPA 600 MM (COM INSCRICAO EM RELEVO DO TIPO DE REDE)</t>
  </si>
  <si>
    <t xml:space="preserve">TAMPAO FOFO SIMPLES COM BASE / REQUADRO, CLASSE D400 CARGA MAX. 40 T, REDONDO, TAMPA 900 MM (COM INSCRICAO EM RELEVO DO TIPO DE REDE)</t>
  </si>
  <si>
    <t xml:space="preserve">TAMPAO FOFO SIMPLES COM BASE / REQUADRO, R-2, CLASSE A15 CARGA MAX. 1,5 T, 550 X 1100 MM (COM INSCRICAO EM RELEVO DO TIPO DE REDE)</t>
  </si>
  <si>
    <t xml:space="preserve">TANQUE ACO INOXIDAVEL (ACO 304) COM ESFREGADOR E VALVULA, DE *50 X 40 X 22* CM</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</si>
  <si>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</si>
  <si>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</si>
  <si>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</si>
  <si>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</si>
  <si>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</si>
  <si>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</si>
  <si>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</si>
  <si>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DE LOUCA BRANCA, COM COLUNA, *30* L</t>
  </si>
  <si>
    <t xml:space="preserve">TANQUE DE LOUCA BRANCA, SUSPENSO, *20* L</t>
  </si>
  <si>
    <t xml:space="preserve">TANQUE DUPLO EM MARMORE SINTETICO COM CUBA LISA E ESFREGADOR, *110 X 60* CM</t>
  </si>
  <si>
    <t xml:space="preserve">TANQUE SIMPLES EM MARMORE SINTETICO COM COLUNA, CAPACIDADE *22* L, *60 X 46* CM</t>
  </si>
  <si>
    <t xml:space="preserve">TANQUE SIMPLES EM MARMORE SINTETICO SUSPENSO, CAPACIDADE *38* L, *60 X 60* CM</t>
  </si>
  <si>
    <t xml:space="preserve">TARIFA "A" ENTRE 0 E 20M3 FORNECIMENTO D'AGUA</t>
  </si>
  <si>
    <t xml:space="preserve">TARJETA LIVRE / OCUPADO PARA PORTA DE BANHEIRO, CORPO EM ZAMAC E ESPELHO EM LATAO</t>
  </si>
  <si>
    <t xml:space="preserve">TE 45 GRAUS DE FERRO GALVANIZADO, COM ROSCA BSP, DE 1 1/2"</t>
  </si>
  <si>
    <t xml:space="preserve">TE 45 GRAUS DE FERRO GALVANIZADO, COM ROSCA BSP, DE 1 1/4"</t>
  </si>
  <si>
    <t xml:space="preserve">TE 45 GRAUS DE FERRO GALVANIZADO, COM ROSCA BSP, DE 1"</t>
  </si>
  <si>
    <t xml:space="preserve">TE 45 GRAUS DE FERRO GALVANIZADO, COM ROSCA BSP, DE 1/2"</t>
  </si>
  <si>
    <t xml:space="preserve">TE 45 GRAUS DE FERRO GALVANIZADO, COM ROSCA BSP, DE 2 1/2"</t>
  </si>
  <si>
    <t xml:space="preserve">TE 45 GRAUS DE FERRO GALVANIZADO, COM ROSCA BSP, DE 2"</t>
  </si>
  <si>
    <t xml:space="preserve">TE 45 GRAUS DE FERRO GALVANIZADO, COM ROSCA BSP, DE 3"</t>
  </si>
  <si>
    <t xml:space="preserve">TE 45 GRAUS DE FERRO GALVANIZADO, COM ROSCA BSP, DE 3/4"</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</si>
  <si>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</si>
  <si>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</si>
  <si>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</si>
  <si>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t>
  </si>
  <si>
    <t xml:space="preserve">TE 90 GRAUS EM ACO CARBONO, SOLDAVEL, PRESSAO 3.000 LBS, DN 1/2"</t>
  </si>
  <si>
    <t xml:space="preserve">TE 90 GRAUS EM ACO CARBONO, SOLDAVEL, PRESSAO 3.000 LBS, DN 2 1/2"</t>
  </si>
  <si>
    <t xml:space="preserve">TE 90 GRAUS EM ACO CARBONO, SOLDAVEL, PRESSAO 3.000 LBS, DN 2"</t>
  </si>
  <si>
    <t xml:space="preserve">TE 90 GRAUS EM ACO CARBONO, SOLDAVEL, PRESSAO 3.000 LBS, DN 3"</t>
  </si>
  <si>
    <t xml:space="preserve">TE 90 GRAUS EM ACO CARBONO, SOLDAVEL, PRESSAO 3.000 LBS, DN 3/4"</t>
  </si>
  <si>
    <t xml:space="preserve">TE CPVC, SOLDAVEL, 90 GRAUS, 114 MM, PARA AGUA QUENTE PREDIAL</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</si>
  <si>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</si>
  <si>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</si>
  <si>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</si>
  <si>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</si>
  <si>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</si>
  <si>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</si>
  <si>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</si>
  <si>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</si>
  <si>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COBRE SEM ANEL DE SOLDA, BOLSA X BOLSA X BOLSA, 104 MM</t>
  </si>
  <si>
    <t xml:space="preserve">TE DE COBRE SEM ANEL DE SOLDA, BOLSA X BOLSA X BOLSA, 15 MM</t>
  </si>
  <si>
    <t xml:space="preserve">TE DE COBRE SEM ANEL DE SOLDA, BOLSA X BOLSA X BOLSA, 22 MM</t>
  </si>
  <si>
    <t xml:space="preserve">TE DE COBRE SEM ANEL DE SOLDA, BOLSA X BOLSA X BOLSA, 28 MM</t>
  </si>
  <si>
    <t xml:space="preserve">TE DE COBRE SEM ANEL DE SOLDA, BOLSA X BOLSA X BOLSA, 35 MM</t>
  </si>
  <si>
    <t xml:space="preserve">TE DE COBRE SEM ANEL DE SOLDA, BOLSA X BOLSA X BOLSA, 42 MM</t>
  </si>
  <si>
    <t xml:space="preserve">TE DE COBRE SEM ANEL DE SOLDA, BOLSA X BOLSA X BOLSA, 54 MM</t>
  </si>
  <si>
    <t xml:space="preserve">TE DE COBRE SEM ANEL DE SOLDA, BOLSA X BOLSA X BOLSA, 66 MM</t>
  </si>
  <si>
    <t xml:space="preserve">TE DE COBRE SEM ANEL DE SOLDA, BOLSA X BOLSA X BOLSA, 79 MM</t>
  </si>
  <si>
    <t xml:space="preserve">TE DE FERRO GALVANIZADO, DE 1 1/2"</t>
  </si>
  <si>
    <t xml:space="preserve">TE DE FERRO GALVANIZADO, DE 1 1/4"</t>
  </si>
  <si>
    <t xml:space="preserve">TE DE FERRO GALVANIZADO, DE 1"</t>
  </si>
  <si>
    <t xml:space="preserve">TE DE FERRO GALVANIZADO, DE 1/2"</t>
  </si>
  <si>
    <t xml:space="preserve">TE DE FERRO GALVANIZADO, DE 2"</t>
  </si>
  <si>
    <t xml:space="preserve">TE DE FERRO GALVANIZADO, DE 3/4"</t>
  </si>
  <si>
    <t xml:space="preserve">TE DE FERRO GALVANIZADO, DE 4"</t>
  </si>
  <si>
    <t xml:space="preserve">TE DE FERRO GALVANIZADO, DE 5"</t>
  </si>
  <si>
    <t xml:space="preserve">TE DE FERRO GALVANIZADO, DE 6"</t>
  </si>
  <si>
    <t xml:space="preserve">TE DE INSPECAO, PVC, 100 X 75 MM, SERIE NORMAL PARA ESGOTO PREDIAL</t>
  </si>
  <si>
    <t xml:space="preserve">TE DE INSPECAO, PVC, SERIE R, 100 X 75 MM, PARA ESGOTO PREDIAL</t>
  </si>
  <si>
    <t xml:space="preserve">TE DE INSPECAO, PVC, SERIE R, 150 X 100 MM, PARA ESGOTO PREDIAL</t>
  </si>
  <si>
    <t xml:space="preserve">TE DE INSPECAO, PVC, SERIE R, 75 X 75 MM, PARA ESGOTO PREDIAL</t>
  </si>
  <si>
    <t xml:space="preserve">TE DE REDUCAO COM ROSCA, PVC, 90 GRAUS, 1 X 3/4", PARA AGUA FRIA PREDIAL</t>
  </si>
  <si>
    <t xml:space="preserve">TE DE REDUCAO COM ROSCA, PVC, 90 GRAUS, 1.1/2" X 3/4",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</si>
  <si>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</si>
  <si>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</si>
  <si>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</si>
  <si>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</si>
  <si>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</si>
  <si>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</si>
  <si>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</si>
  <si>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</si>
  <si>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</si>
  <si>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</si>
  <si>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</si>
  <si>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</si>
  <si>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</si>
  <si>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</si>
  <si>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</si>
  <si>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</si>
  <si>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</si>
  <si>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</si>
  <si>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3/4" X 1/2"</t>
  </si>
  <si>
    <t xml:space="preserve">TE DE REDUCAO DE FERRO GALVANIZADO, COM ROSCA BSP, DE 4" X 2"</t>
  </si>
  <si>
    <t xml:space="preserve">TE DE REDUCAO DE FERRO GALVANIZADO, COM ROSCA BSP, DE 4" X 3"</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</si>
  <si>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</si>
  <si>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</si>
  <si>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</si>
  <si>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</si>
  <si>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PBA, BBB, JE, DN 100 X 50 / DE 110 X 60 MM, PARA REDE DE AGUA</t>
  </si>
  <si>
    <t xml:space="preserve">TE DE REDUCAO, PVC PBA, BBB, JE, DN 100 X 75 / DE 110 X 85 MM, PARA REDE DE AGUA</t>
  </si>
  <si>
    <t xml:space="preserve">TE DE REDUCAO, PVC PBA, BBB, JE, DN 75 X 50 / DE 85 X 60 MM, PARA REDE DE AGUA</t>
  </si>
  <si>
    <t xml:space="preserve">TE DE REDUCAO, PVC, SOLDAVEL, 90 GRAUS, 110 MM X 60 MM, PARA AGUA FRIA PREDIAL</t>
  </si>
  <si>
    <t xml:space="preserve">TE DE REDUCAO, PVC, SOLDAVEL, 90 GRAUS, 25 MM X 20 MM, PARA AGUA FRIA PREDIAL</t>
  </si>
  <si>
    <t xml:space="preserve">TE DE REDUCAO, PVC, SOLDAVEL, 90 GRAUS, 50 MM X 20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</si>
  <si>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</si>
  <si>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</si>
  <si>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85 MM X 60 MM, PARA AGUA FRIA PREDIAL</t>
  </si>
  <si>
    <t xml:space="preserve">TE DE SERVICO INTEGRADO, EM POLIPROPILENO (PP), PARA TUBOS EM PEAD, 63 X 20 MM - LIGACAO PREDIAL DE AGUA</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</si>
  <si>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</si>
  <si>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</si>
  <si>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</si>
  <si>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</si>
  <si>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</si>
  <si>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</si>
  <si>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</si>
  <si>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</si>
  <si>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</si>
  <si>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</si>
  <si>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</si>
  <si>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</si>
  <si>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</si>
  <si>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DUPLA CURVA BRONZE/LATAO SEM ANEL DE SOLDA, ROSCA F X BOLSA X ROSCA F, 1/2" X 15 X 1/2"</t>
  </si>
  <si>
    <t xml:space="preserve">TE DUPLA CURVA BRONZE/LATAO SEM ANEL DE SOLDA, ROSCA F X BOLSA X ROSCA F, 3/4" X 22 X 3/4"</t>
  </si>
  <si>
    <t xml:space="preserve">TE METALICO, PARA CONEXAO COM ANEL DESLIZANTE, DN 16 MM, EM TUBO PEX PARA INST. AGUA QUENTE/FRIA</t>
  </si>
  <si>
    <t xml:space="preserve">TE METALICO, PARA CONEXAO COM ANEL DESLIZANTE, DN 20 MM, EM TUBO PEX PARA INST. AGUA QUENTE/FRIA</t>
  </si>
  <si>
    <t xml:space="preserve">TE METALICO, PARA CONEXAO COM ANEL DESLIZANTE, DN 25 MM, EM TUBO PEX PARA INST. AGUA QUENTE/FRIA</t>
  </si>
  <si>
    <t xml:space="preserve">TE METALICO, PARA CONEXAO COM ANEL DESLIZANTE, DN 32 MM, EM TUBO PEX PARA INST. AGUA QUENTE/FRIA</t>
  </si>
  <si>
    <t xml:space="preserve">TE MISTURADOR COM INSERTO METALICO, FEMEA, PPR, DN 25 MM X 3/4", PARA AGUA QUENTE E FRIA PREDIAL</t>
  </si>
  <si>
    <t xml:space="preserve">TE MISTURADOR DE TRANSICAO, CPVC, COM ROSCA, 22 MM X 3/4", PARA AGUA QUENTE</t>
  </si>
  <si>
    <t xml:space="preserve">TE MISTURADOR, CPVC, SOLDAVEL, 15 MM, PARA AGUA QUENTE</t>
  </si>
  <si>
    <t xml:space="preserve">TE MISTURADOR, CPVC, SOLDAVEL, 22 MM, PARA AGUA QUENTE</t>
  </si>
  <si>
    <t xml:space="preserve">TE MISTURADOR, PPR, F/M/M, DN 20 X 20 MM, PARA AGUA QUENTE PREDIAL</t>
  </si>
  <si>
    <t xml:space="preserve">TE MISTURADOR, PPR, F/M/M, DN 25 X 25 MM, PARA AGUA QUENTE PREDIAL</t>
  </si>
  <si>
    <t xml:space="preserve">TE NORMAL, PPR, F/F/F, SOLDAVEL, 90 GRAUS, DN 110 X 110 X 110 MM, PARA AGUA QUENTE PREDIAL</t>
  </si>
  <si>
    <t xml:space="preserve">TE NORMAL, PPR, F/F/F, SOLDAVEL, 90 GRAUS, DN 20 X 20 X 20 MM, PARA AGUA QUENTE PREDIAL</t>
  </si>
  <si>
    <t xml:space="preserve">TE NORMAL, PPR, F/F/F, SOLDAVEL, 90 GRAUS, DN 25 X 25 X 25 MM, PARA AGUA QUENTE PREDIAL</t>
  </si>
  <si>
    <t xml:space="preserve">TE NORMAL, PPR, F/F/F, SOLDAVEL, 90 GRAUS, DN 32 X 32 X 32 MM, PARA AGUA QUENTE PREDIAL</t>
  </si>
  <si>
    <t xml:space="preserve">TE NORMAL, PPR, F/F/F, SOLDAVEL, 90 GRAUS, DN 40 X 40 X 40 MM, PARA AGUA QUENTE PREDIAL</t>
  </si>
  <si>
    <t xml:space="preserve">TE NORMAL, PPR, F/F/F, SOLDAVEL, 90 GRAUS, DN 50 X 50 X 50 MM, PARA AGUA QUENTE PREDIAL</t>
  </si>
  <si>
    <t xml:space="preserve">TE NORMAL, PPR, F/F/F, SOLDAVEL, 90 GRAUS, DN 63 X 63 X 63 MM, PARA AGUA QUENTE PREDIAL</t>
  </si>
  <si>
    <t xml:space="preserve">TE NORMAL, PPR, F/F/F, SOLDAVEL, 90 GRAUS, DN 75 X 75 X 75 MM, PARA AGUA QUENTE PREDIAL</t>
  </si>
  <si>
    <t xml:space="preserve">TE NORMAL, PPR, F/F/F, SOLDAVEL, 90 GRAUS, DN 90 X 90 X 90 MM, PARA AGUA QUENTE PREDIAL</t>
  </si>
  <si>
    <t xml:space="preserve">TE PVC ROSCAVEL 90 GRAUS, 1", PARA AGUA FRIA PREDIAL</t>
  </si>
  <si>
    <t xml:space="preserve">TE PVC SOLDAVEL, BBB, 90 GRAUS, DN 40 MM, PARA ESGOTO SECUNDARIO PREDIAL</t>
  </si>
  <si>
    <t xml:space="preserve">TE PVC, ROSCAVEL, 90 GRAUS, 1 1/2", AGUA FRIA PREDIAL</t>
  </si>
  <si>
    <t xml:space="preserve">TE PVC, ROSCAVEL, 90 GRAUS, 1/2", AGUA FRIA PREDIAL</t>
  </si>
  <si>
    <t xml:space="preserve">TE PVC, ROSCAVEL, 90 GRAUS, 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</si>
  <si>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</si>
  <si>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</si>
  <si>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</si>
  <si>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</si>
  <si>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</si>
  <si>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</si>
  <si>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</si>
  <si>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</si>
  <si>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</si>
  <si>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</si>
  <si>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ROSCA FEMEA, METALICO, PARA CONEXAO COM ANEL DESLIZANTE, DN 16 MM X 1/2", EM TUBO PEX PARA INST. AGUA QUENTE/FRIA</t>
  </si>
  <si>
    <t xml:space="preserve">TE ROSCA FEMEA, METALICO, PARA CONEXAO COM ANEL DESLIZANTE, DN 20 MM X 1/2", EM TUBO PEX PARA INST. AGUA QUENTE/FRIA</t>
  </si>
  <si>
    <t xml:space="preserve">TE ROSCA FEMEA, METALICO, PARA CONEXAO COM ANEL DESLIZANTE, DN 25 MM X 3/4", EM TUBO PEX PARA INST. AGUA QUENTE/FRIA</t>
  </si>
  <si>
    <t xml:space="preserve">TE SANITARIO, PVC, DN 100 X 100 MM, SERIE NORMAL, PARA ESGOTO PREDIAL</t>
  </si>
  <si>
    <t xml:space="preserve">TE SANITARIO, PVC, DN 40 X 40 MM, SERIE NORMAL, PARA ESGOTO PREDIAL</t>
  </si>
  <si>
    <t xml:space="preserve">TE SOLDAVEL, PVC, 90 GRAUS, 110 MM, PARA AGUA FRIA PREDIAL (NBR 5648)</t>
  </si>
  <si>
    <t xml:space="preserve">TE SOLDAVEL, PVC, 90 GRAUS, 20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</si>
  <si>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</si>
  <si>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</si>
  <si>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</si>
  <si>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PLASTICO, DN 16 MM, PARA CONEXAO COM CRIMPAGEM, EM TUBO PEX PARA INST. AGUA QUENTE/FRIA</t>
  </si>
  <si>
    <t xml:space="preserve">TE, PLASTICO, DN 20 MM, PARA CONEXAO COM CRIMPAGEM, EM TUBO PEX PARA INST. AGUA QUENTE/FRIA</t>
  </si>
  <si>
    <t xml:space="preserve">TE, PLASTICO, DN 25 MM, PARA CONEXAO COM CRIMPAGEM, EM TUBO PEX PARA INST. AGUA QUENTE/FRIA</t>
  </si>
  <si>
    <t xml:space="preserve">TE, PLASTICO, DN 32 MM, PARA CONEXAO COM CRIMPAGEM, EM TUBO PEX PARA INST. AGUA QUENTE/FRIA</t>
  </si>
  <si>
    <t xml:space="preserve">TE, PVC PBA, BBB, 90 GRAUS, DN 100 / DE 110 MM, PARA REDE DE AGUA</t>
  </si>
  <si>
    <t xml:space="preserve">TE, PVC PBA, BBB, 90 GRAUS, DN 50 / DE 60 MM, PARA REDE DE AGUA</t>
  </si>
  <si>
    <t xml:space="preserve">TE, PVC PBA, BBB, 90 GRAUS, DN 75 / DE 85 MM, PARA REDE DE AGUA</t>
  </si>
  <si>
    <t xml:space="preserve">TE, PVC, 90 GRAUS, BBB, JE, DN 200 MM, PARA REDE COLETORA ESGOTO</t>
  </si>
  <si>
    <t xml:space="preserve">TE, PVC, SERIE R, 100 X 100 MM, PARA ESGOTO PREDIAL</t>
  </si>
  <si>
    <t xml:space="preserve">TE, PVC, SERIE R, 100 X 75 MM, PARA ESGOTO PREDIAL</t>
  </si>
  <si>
    <t xml:space="preserve">TE, PVC, SERIE R, 150 X 100 MM, PARA ESGOTO PREDIAL</t>
  </si>
  <si>
    <t xml:space="preserve">TE, PVC, SERIE R, 150 X 150 MM, PARA ESGOTO PREDIAL</t>
  </si>
  <si>
    <t xml:space="preserve">TE, PVC, SERIE R, 75 X 75 MM, PARA ESGOTO PREDIAL</t>
  </si>
  <si>
    <t xml:space="preserve">TECNICO DE EDIFICACOES (HORISTA)</t>
  </si>
  <si>
    <t xml:space="preserve">TECNICO DE EDIFICACOES (MENSALISTA)</t>
  </si>
  <si>
    <t xml:space="preserve">TECNICO EM LABORATORIO E CAMPO DE CONSTRUCAO CIVIL (HORISTA)</t>
  </si>
  <si>
    <t xml:space="preserve">TECNICO EM LABORATORIO E CAMPO DE CONSTRUCAO CIVIL (MENSALISTA)</t>
  </si>
  <si>
    <t xml:space="preserve">TECNICO EM SEGURANCA DO TRABALHO (HORISTA)</t>
  </si>
  <si>
    <t xml:space="preserve">TECNICO EM SONDAGEM (HORISTA)</t>
  </si>
  <si>
    <t xml:space="preserve">TECNICO EM SONDAGEM (MENSALISTA)</t>
  </si>
  <si>
    <t xml:space="preserve">TELA ARAME GALVANIZADO REVESTIDO COM POLIMERO, MALHA HEXAGONAL DUPLA TORCAO, 8 X 10 CM (ZN/AL REVESTIDO COM POLIMERO), FIO *2,4* MM</t>
  </si>
  <si>
    <t xml:space="preserve">TELA DE ACO SOLDADA GALVANIZADA/ZINCADA PARA ALVENARIA, FIO D = *1,20 A 1,70* MM, MALHA 15 X 15 MM, (C X L) *50 X 10,5* CM</t>
  </si>
  <si>
    <t xml:space="preserve">TELA DE ACO SOLDADA GALVANIZADA/ZINCADA PARA ALVENARIA, FIO D = *1,20 A 1,70* MM, MALHA 15 X 15 MM, (C X L) *50 X 17,5* CM</t>
  </si>
  <si>
    <t xml:space="preserve">TELA DE ACO SOLDADA GALVANIZADA/ZINCADA PARA ALVENARIA, FIO D = *1,20 A 1,70* MM, MALHA 15 X 15 MM, (C X L) *50 X 6* CM</t>
  </si>
  <si>
    <t xml:space="preserve">TELA DE ACO SOLDADA GALVANIZADA/ZINCADA PARA ALVENARIA, FIO D = *1,24 MM, MALHA 25 X 25 MM</t>
  </si>
  <si>
    <t xml:space="preserve">TELA DE ACO SOLDADA NERVURADA, CA-60, L-159, (1,69 KG/M2), DIAMETRO DO FIO = 4,5 MM, LARGURA = 2,45 M, ESPACAMENTO DA MALHA = 30 X 10 CM</t>
  </si>
  <si>
    <t xml:space="preserve">TELA DE ACO SOLDADA NERVURADA, CA-60, Q-159, (2,52 KG/M2), DIAMETRO DO FIO = 4,5 MM, LARGURA = 2,45 M, ESPACAMENTO DA MALHA = 10 X 10 CM</t>
  </si>
  <si>
    <t xml:space="preserve">TELA DE ACO SOLDADA NERVURADA, CA-60, Q-283 (4,48 KG/M2), DIAMETRO DO FIO = 6,0 MM, LARGURA = 2,45 X 6,00 M DE COMPRIMENTO, ESPACAMENTO DA MALHA = 10 X 10 CM</t>
  </si>
  <si>
    <t xml:space="preserve">TELA DE ACO SOLDADA NERVURADA, CA-60, Q-61, (0,97 KG/M2), DIAMETRO DO FIO = 3,4 MM, LARGURA = 2,45 M, ESPACAMENTO DA MALHA = 15 X 15 CM</t>
  </si>
  <si>
    <t xml:space="preserve">TELA DE ACO SOLDADA NERVURADA, CA-60, T-196, (2,11 KG/M2), DIAMETRO DO FIO = 5,0 MM, LARGURA = 2,45 M, ESPACAMENTO DA MALHA = 30 X 10 CM</t>
  </si>
  <si>
    <t xml:space="preserve">TELA DE ANIAGEM ( JUTA)</t>
  </si>
  <si>
    <t xml:space="preserve">TELA DE ARAME GALVANIZADA QUADRANGULAR / LOSANGULAR, FIO 2,11 MM (14 BWG), MALHA 5 X 5 CM, H = 2 M</t>
  </si>
  <si>
    <t xml:space="preserve">TELA DE ARAME GALVANIZADA QUADRANGULAR / LOSANGULAR, FIO 2,11 MM (14 BWG), MALHA 8 X 8 CM, H = 2 M</t>
  </si>
  <si>
    <t xml:space="preserve">TELA DE ARAME GALVANIZADA QUADRANGULAR / LOSANGULAR, FIO 2,77 MM (12 BWG), MALHA 10 X 10 CM, H = 2 M</t>
  </si>
  <si>
    <t xml:space="preserve">TELA DE ARAME GALVANIZADA QUADRANGULAR / LOSANGULAR, FIO 2,77 MM (12 BWG), MALHA 5 X 5 CM, H = 2 M</t>
  </si>
  <si>
    <t xml:space="preserve">TELA DE ARAME GALVANIZADA QUADRANGULAR / LOSANGULAR, FIO 2,77 MM (12 BWG), MALHA 8 X 8 CM, H = 2 M</t>
  </si>
  <si>
    <t xml:space="preserve">TELA DE ARAME GALVANIZADA QUADRANGULAR / LOSANGULAR, FIO 3,4 MM (10 BWG), MALHA 5 X 5 CM, H = 2 M</t>
  </si>
  <si>
    <t xml:space="preserve">TELA DE ARAME GALVANIZADA REVESTIDA EM PVC, QUADRANGULAR / LOSANGULAR, FIO 2,77 MM (12 BWG), BITOLA FINAL = *3,8* MM, MALHA 7,5 X 7,5 CM, H = 2 M</t>
  </si>
  <si>
    <t xml:space="preserve">TELA DE ARAME GALVANIZADA, HEXAGONAL, FIO 0,56 MM (24 BWG), MALHA 1/2", H = 1 M</t>
  </si>
  <si>
    <t xml:space="preserve">TELA DE ARAME ONDULADA, FIO *2,77* MM (12 BWG), MALHA 5 X 5 CM, H = 2 M</t>
  </si>
  <si>
    <t xml:space="preserve">TELA DE FIBRA DE VIDRO, ACABAMENTO ANTI-ALCALINO, MALHA 10 X 10 MM</t>
  </si>
  <si>
    <t xml:space="preserve">TELA EM MALHA HEXAGONAL DE DUPLA TORCAO 8 X 10 CM (ZN/AL REVESTIDO COM POLIMERO),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</si>
  <si>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</si>
  <si>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</si>
  <si>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</si>
  <si>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</si>
  <si>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TELHA CERAMICA TIPO AMERICANA, COMPRIMENTO DE *45* CM, RENDIMENTO DE *12* TELHAS/M2</t>
  </si>
  <si>
    <t xml:space="preserve">TELHA DE BARRO / CERAMICA, NAO ESMALTADA, TIPO COLONIAL, CANAL, PLAN, PAULISTA, COMPRIMENTO DE *44 A 50* CM, RENDIMENTO DE COBERTURA DE *26* TELHAS/M2</t>
  </si>
  <si>
    <t xml:space="preserve">TELHA DE BARRO / CERAMICA, NAO ESMALTADA, TIPO ROMANA, AMERICANA, PORTUGUESA, FRANCESA, COMPRIMENTO DE *41* CM, RENDIMENTO DE *16* TELHAS/M2</t>
  </si>
  <si>
    <t xml:space="preserve">TELHA DE CONCRETO TIPO CLASSICA, COR CINZA, COMPRIMENTO DE *42* CM, RENDIMENTO DE *10* TELHAS/M2</t>
  </si>
  <si>
    <t xml:space="preserve">TELHA DE FIBRA DE VIDRO ONDULADA, TRANSLUCIDA / INCOLOR, E = *0,6* MM, DE *0,50 X 2,44* M (L X C)</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</si>
  <si>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</si>
  <si>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</si>
  <si>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</si>
  <si>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</si>
  <si>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</si>
  <si>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</si>
  <si>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</si>
  <si>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</si>
  <si>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</si>
  <si>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</si>
  <si>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</si>
  <si>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</si>
  <si>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</si>
  <si>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</si>
  <si>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</si>
  <si>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</si>
  <si>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</si>
  <si>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</si>
  <si>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</si>
  <si>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</si>
  <si>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</si>
  <si>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5,00 M (SEM AMIANTO)</t>
  </si>
  <si>
    <t xml:space="preserve">TELHA ESTRUTURAL DE FIBROCIMENTO 1 ABA, DE 0,52 X 5,50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</si>
  <si>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</si>
  <si>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</si>
  <si>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</si>
  <si>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</si>
  <si>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</si>
  <si>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</si>
  <si>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</si>
  <si>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</si>
  <si>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ONDULADA EM ACO ZINCADO, ALTURA DE 17 MM, ESPESSURA DE 0,50 MM, LARGURA UTIL DE APROXIMADAMENTE 985 MM, SEM PINTURA</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</si>
  <si>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t>
  </si>
  <si>
    <t xml:space="preserve">TELHA TERMOISOLANTE REVESTIDA EM ACO GALVANIZADO, FACE SUPERIOR EM TELHA TRAPEZOIDAL E FACE INFERIOR EM CHAPA PLANA (SEM ACESSORIOS DE FIXACAO), REVESTIMENTO COM ESPESSURA DE 0,50 MM COM PRE-PINTURA NAS DUAS FACES, NUCLEO EM POLIESTIRENO (EPS) DE 30 MM</t>
  </si>
  <si>
    <t xml:space="preserve">TELHA TERMOISOLANTE REVESTIDA EM ACO GALVANIZADO, FACE SUPERIOR EM TELHA TRAPEZOIDAL E FACE INFERIOR EM CHAPA PLANA (SEM ACESSORIOS DE FIXACAO), REVESTIMENTO COM ESPESSURA DE 0,50 MM COM PRE-PINTURA NAS DUAS FACES, NUCLEO EM POLIESTIRENO (EPS) DE 50 MM</t>
  </si>
  <si>
    <t xml:space="preserve">TELHA TERMOISOLANTE REVESTIDA EM ACO GALVANIZADO, FACES SUPERIOR E INFERIOR EM TELHA TRAPEZOIDAL (SEM ACESSORIOS DE FIXACAO), REVESTIMENTO COM ESPESSURA DE 0,50 MM COM PRE-PINTURA NAS DUAS FACES, NUCLEO EM POLIESTIRENO (EPS) DE 50 MM</t>
  </si>
  <si>
    <t xml:space="preserve">TELHA TRAPEZOIDAL EM ALUMINIO, ALTURA DE *38* MM E ESPESSURA DE 0,5 MM (LARGURA TOTAL DE 1056 MM E COMPRIMENTO DE 5000 MM)</t>
  </si>
  <si>
    <t xml:space="preserve">TELHA TRAPEZOIDAL EM ALUMINIO, ALTURA DE *38* MM E ESPESSURA DE 0,7 MM (LARGURA TOTAL DE 1056 MM E COMPRIMENTO DE 5000 MM)</t>
  </si>
  <si>
    <t xml:space="preserve">TELHA VIDRO TIPO CANAL OU COLONIAL, C = 46 A 50 CM</t>
  </si>
  <si>
    <t xml:space="preserve">TELHADOR / TELHADISTA (MENSALISTA)</t>
  </si>
  <si>
    <t xml:space="preserve">TERMINAL A COMPRESSAO EM COBRE ESTANHADO PARA CABO 10 MM2, 1 FURO E 1 COMPRESSAO, PARA PARAFUSO DE FIXACAO M6</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</si>
  <si>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</si>
  <si>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</si>
  <si>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6 MM2, 1 FURO E 1 COMPRESSAO, PARA PARAFUSO DE FIXACAO M6</t>
  </si>
  <si>
    <t xml:space="preserve">TERMINAL A COMPRESSAO EM COBRE ESTANHADO PARA CABO 95 MM2, 1 FURO E 1 COMPRESSAO, PARA PARAFUSO DE FIXACAO M12</t>
  </si>
  <si>
    <t xml:space="preserve">TERMINAL DE VENTILACAO, 100 MM, SERIE NORMAL, ESGOTO PREDIAL</t>
  </si>
  <si>
    <t xml:space="preserve">TERMINAL METALICO A PRESSAO 1 CABO, PARA CABOS DE 4 A 10 MM2, COM 2 FUROS PARA FIXACAO</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</si>
  <si>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</si>
  <si>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</si>
  <si>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</si>
  <si>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</si>
  <si>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</si>
  <si>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</si>
  <si>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</si>
  <si>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</si>
  <si>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</si>
  <si>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</si>
  <si>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</si>
  <si>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</si>
  <si>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</si>
  <si>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6 A 10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</si>
  <si>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</si>
  <si>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</si>
  <si>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</si>
  <si>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</si>
  <si>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</si>
  <si>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</si>
  <si>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TESTEIRA ANTIDERRAPANTE PARA PISO VINILICO *5 X 2,5* CM, E = 2 MM</t>
  </si>
  <si>
    <t xml:space="preserve">TIJOLO CERAMICO LAMINADO DE *5,5 X 11 X 23* CM (L X A X C), COM 21 FUROS</t>
  </si>
  <si>
    <t xml:space="preserve">TIJOLO CERAMICO MACICO APARENTE 2 FUROS DE *6,5 X 10 X 20* CM (L X A X C)</t>
  </si>
  <si>
    <t xml:space="preserve">TIJOLO CERAMICO MACICO APARENTE DE *6 X 12 X 24* CM (L X A X C)</t>
  </si>
  <si>
    <t xml:space="preserve">TIJOLO CERAMICO REFRATARIO DE *2,5 X 11,4 X 22,9* CM (L X A X C)</t>
  </si>
  <si>
    <t xml:space="preserve">TIJOLO CERAMICO REFRATARIO DE *6,3 X 11,4 X 22,9* CM (L X A X C)</t>
  </si>
  <si>
    <t xml:space="preserve">TIL CONDOMINIAL, PVC, DN 100 X 100 MM, PARA REDE COLETORA DE ESGOTO</t>
  </si>
  <si>
    <t xml:space="preserve">TIL PARA LIGACAO PREDIAL, EM PVC, JE, BBB, DN 100 X 100 MM, PARA REDE COLETORA ESGOTO</t>
  </si>
  <si>
    <t xml:space="preserve">TIL RADIAL, PVC, JE, BBB, DN 300 X 200 MM, PARA REDE COLETORA DE ESGOTO (NBR 10.569)</t>
  </si>
  <si>
    <t xml:space="preserve">TINTA / REVESTIMENTO A BASE DE RESINA EPOXI COM ALCATRAO, BICOMPONENTE</t>
  </si>
  <si>
    <t xml:space="preserve">TINTA A BASE DE RESINA ACRILICA EMULSIONADA EM AGUA, PARA SINALIZACAO HORIZONTAL VIARIA (NBR 13699:2012)</t>
  </si>
  <si>
    <t xml:space="preserve">TINTA A OLEO BRILHANTE, PARA MADEIRAS E METAIS</t>
  </si>
  <si>
    <t xml:space="preserve">TINTA ACRILICA A BASE DE SOLVENTE, PARA SINALIZACAO HORIZONTAL VIARIA (NBR 11862)</t>
  </si>
  <si>
    <t xml:space="preserve">TINTA ASFALTICA IMPERMEABILIZANTE DILUIDA EM SOLVENTE, PARA MATERIAIS CIMENTICIOS, METAL E MADEIRA</t>
  </si>
  <si>
    <t xml:space="preserve">TINTA BORRACHA CLORADA, ACABAMENTO SEMIBRILHO, QUALQUER COR</t>
  </si>
  <si>
    <t xml:space="preserve">TINTA ESMALTE BASE AGUA PREMIUM BRILHANTE</t>
  </si>
  <si>
    <t xml:space="preserve">TINTA ESMALTE SINTETICO PREMIUM BRILHANTE</t>
  </si>
  <si>
    <t xml:space="preserve">TINTA ESMALTE SINTETICO PREMIUM DE DUPLA ACAO GRAFITE FOSCO PARA SUPERFICIES METALICAS FERROSAS</t>
  </si>
  <si>
    <t xml:space="preserve">TINTA ESMALTE SINTETICO PREMIUM DE EFEITO PROTETOR DE SUPERFICIE METALICA ALUMINIO</t>
  </si>
  <si>
    <t xml:space="preserve">TINTA ESMALTE SINTETICO PREMIUM FOSCO</t>
  </si>
  <si>
    <t xml:space="preserve">TINTA ESMALTE SINTETICO STANDARD ACETINADO</t>
  </si>
  <si>
    <t xml:space="preserve">TINTA ESMALTE SINTETICO STANDARD BRILHANTE</t>
  </si>
  <si>
    <t xml:space="preserve">TINTA ESMALTE SINTETICO STANDARD FOSCO</t>
  </si>
  <si>
    <t xml:space="preserve">TINTA LATEX ACRILICA ECONOMICA, COR BRANCA</t>
  </si>
  <si>
    <t xml:space="preserve">TINTA LATEX ACRILICA STANDARD, COR BRANCA</t>
  </si>
  <si>
    <t xml:space="preserve">TINTA LATEX ACRILICA SUPER PREMIUM, COR BRANCO FOSCO</t>
  </si>
  <si>
    <t xml:space="preserve">TINTA MINERAL IMPERMEAVEL EM PO, BRANCA</t>
  </si>
  <si>
    <t xml:space="preserve">TINTA/RESINA ACRILICA PREMIUM PARA CERAMICA, PEDRAS E OUTROS</t>
  </si>
  <si>
    <t xml:space="preserve">TIRANTE COM ELO, EM ARAME GALVANIZADO RIGIDO, NUMERO 10, COMPRIMENTO 2000 MM, PARA PENDURAL DE FORRO REMOVIVEL</t>
  </si>
  <si>
    <t xml:space="preserve">TIRANTE EM FERRO GALVANIZADO PARA CONTRAVENTAMENTO DE TELHA CANALETE 90, 1/4" X 400 MM</t>
  </si>
  <si>
    <t xml:space="preserve">TOMADA 2P+T 10A, 250V, CONJUNTO MONTADO PARA EMBUTIR 4" X 2" (PLACA + SUPORTE + MODULO)</t>
  </si>
  <si>
    <t xml:space="preserve">TOMADA 2P+T 10A, 250V, CONJUNTO MONTADO PARA SOBREPOR 4" X 2" (CAIXA + MODULO)</t>
  </si>
  <si>
    <t xml:space="preserve">TOMADA 2P+T 20A 250V, CONJUNTO MONTADO PARA EMBUTIR 4" X 2" (PLACA + SUPORTE + MODULO)</t>
  </si>
  <si>
    <t xml:space="preserve">TOMADA INDUSTRIAL DE EMBUTIR 3P+T 30 A, 440 V, COM TRAVA, COM PLACA</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</si>
  <si>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</si>
  <si>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</si>
  <si>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</si>
  <si>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</si>
  <si>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</si>
  <si>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</si>
  <si>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</si>
  <si>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TOMADAS (2 MODULOS) 2P+T 10A, 250V, CONJUNTO MONTADO PARA EMBUTIR 4" X 2" (PLACA + SUPORTE + MODULOS)</t>
  </si>
  <si>
    <t xml:space="preserve">TOPOGRAFO (HORISTA)</t>
  </si>
  <si>
    <t xml:space="preserve">TORNEIRA DE BOIA BALAO METALICO, VAZAO TOTAL, PARA CAIXA D'AGUA, AGUA QUENTE, ROSCA 1/2 ", COM HASTE, TORNEIRA E BALAO METALICOS</t>
  </si>
  <si>
    <t xml:space="preserve">TORNEIRA DE BOIA BALAO METALICO, VAZAO TOTAL, PARA CAIXA D'AGUA, AGUA QUENTE, ROSCA 3/4 ", COM HASTE, TORNEIRA E BALAO METALICOS</t>
  </si>
  <si>
    <t xml:space="preserve">TORNEIRA DE BOIA CONVENCIONAL PARA CAIXA D'AGUA, 1", AGUA FRIA, COM HASTE E TORNEIRA METALICOS E BALAO PLASTICO</t>
  </si>
  <si>
    <t xml:space="preserve">TORNEIRA DE BOIA CONVENCIONAL PARA CAIXA D'AGUA, 2", AGUA FRIA, COM HASTE E TORNEIRA METALICOS E BALAO PLASTICO</t>
  </si>
  <si>
    <t xml:space="preserve">TORNEIRA DE BOIA CONVENCIONAL PARA CAIXA D'AGUA, AGUA FRIA, 1.1/2", COM HASTE E TORNEIRA METALICOS E BALAO PLASTICO</t>
  </si>
  <si>
    <t xml:space="preserve">TORNEIRA DE BOIA CONVENCIONAL PARA CAIXA D'AGUA, AGUA FRIA, 1.1/4", COM HASTE E TORNEIRA METALICOS E BALAO PLASTICO</t>
  </si>
  <si>
    <t xml:space="preserve">TORNEIRA DE BOIA CONVENCIONAL PARA CAIXA D'AGUA, AGUA FRIA, 1/2", COM HASTE E TORNEIRA METALICOS E BALAO PLASTICO</t>
  </si>
  <si>
    <t xml:space="preserve">TORNEIRA DE BOIA CONVENCIONAL PARA CAIXA D'AGUA, AGUA FRIA, 3/4", COM HASTE E TORNEIRA METALICOS E BALAO PLASTICO</t>
  </si>
  <si>
    <t xml:space="preserve">TORNEIRA DE BOIA VAZAO TOTAL PARA CAIXA D'AGUA, AGUA FRIA, BITOLA 1", COM HASTE E TORNEIRA METALICOS E BALAO PLASTICO</t>
  </si>
  <si>
    <t xml:space="preserve">TORNEIRA DE BOIA VAZAO TOTAL PARA CAIXA D'AGUA, AGUA FRIA, BITOLA 1/2", COM HASTE E TORNEIRA METALICOS E BALAO PLASTICO</t>
  </si>
  <si>
    <t xml:space="preserve">TORNEIRA DE BOIA VAZAO TOTAL PARA CAIXA D'AGUA, AGUA FRIA, BITOLA 3/4", COM HASTE E TORNEIRA METALICOS E BALAO PLASTICO</t>
  </si>
  <si>
    <t xml:space="preserve">TORNEIRA DE MESA PARA LAVATORIO, METALICA CROMADA, COM MISTURADOR MONOCOMANDO, BICA BAIXA</t>
  </si>
  <si>
    <t xml:space="preserve">TORNEIRA DE MESA PARA LAVATORIO, METALICA CROMADA, COM SENSOR DE APROXIMACAO ELETRICO, BIVOLT</t>
  </si>
  <si>
    <t xml:space="preserve">TORNEIRA DE MESA/BANCADA, PARA LAVATORIO, FIXA, METALICA CROMADA, PADRAO POPULAR, 1/2" OU 3/4"</t>
  </si>
  <si>
    <t xml:space="preserve">TORNEIRA DE METAL AMARELO, PARA TANQUE / JARDIM, DE PAREDE, COM BICO PLASTICO, CANO CURTO, AREA EXTERNA, PADRAO POPULAR / USO GERAL, 1/2" OU 3/4"</t>
  </si>
  <si>
    <t xml:space="preserve">TORNEIRA DE METAL AMARELO, PARA TANQUE / JARDIM, DE PAREDE, SEM BICO, CANO CURTO, PADRAO POPULAR / USO GERAL, 1/2" OU 3/4"</t>
  </si>
  <si>
    <t xml:space="preserve">TORNEIRA ELETRICA DE PAREDE, PLASTICA, BICA ALTA, PARA COZINHA, 5500 W (110/220 V)</t>
  </si>
  <si>
    <t xml:space="preserve">TORNEIRA METALICA CROMADA DE MESA PARA LAVATORIO, BICA ALTA, COM AREJADOR</t>
  </si>
  <si>
    <t xml:space="preserve">TORNEIRA METALICA CROMADA DE MESA PARA LAVATORIO, COM SENSOR DE PRESENCA A PILHA, COM AREJADOR EMBUTIDO</t>
  </si>
  <si>
    <t xml:space="preserve">TORNEIRA METALICA CROMADA DE PAREDE LONGA PARA LAVATORIO, COM AREJADOR, ACIONAMENTO ALAVANCA, 1/4 DE VOLTA</t>
  </si>
  <si>
    <t xml:space="preserve">TORNEIRA METALICA CROMADA DE PAREDE, PARA COZINHA, BICA MOVEL, COM AREJADOR, 1/2" OU 3/4"</t>
  </si>
  <si>
    <t xml:space="preserve">TORNEIRA METALICA CROMADA PARA JARDIM / TANQUE, COM BICO PLASTICO, CANO LONGO, DE PAREDE, PADRAO POPULAR / USO GERAL, 1/2" OU 3/4"</t>
  </si>
  <si>
    <t xml:space="preserve">TORNEIRA METALICA CROMADA, CANO CURTO, COM AREJADOR, SEM BICO PLASTICO, DE PAREDE, PARA USO GERAL, 1/2" OU 3/4"</t>
  </si>
  <si>
    <t xml:space="preserve">TORNEIRA METALICA CROMADA, RETA, DE PAREDE, PARA COZINHA, COM AREJADOR, PADRAO POPULAR, 1/2" OU 3/4"</t>
  </si>
  <si>
    <t xml:space="preserve">TORNEIRA METALICA CROMADA, RETA, DE PAREDE, PARA COZINHA, SEM BICO, SEM AREJADOR, PADRAO POPULAR, 1/2" OU 3/4"</t>
  </si>
  <si>
    <t xml:space="preserve">TORNEIRA PLASTICA DE BOIA CONVENCIONAL PARA CAIXA DE AGUA, AGUA FRIA, 3/4 ", COM HASTE METALICA E COM TORNEIRA E BALAO PLASTICOS (PADRAO POPULAR)</t>
  </si>
  <si>
    <t xml:space="preserve">TORNEIRA PLASTICA DE BOIA PARA CAIXA DE DESCARGA, 1/2", BALAO E TORNEIRA PLASTICOS, COM HASTE METALICA</t>
  </si>
  <si>
    <t xml:space="preserve">TORNEIRA PLASTICA DE MESA, BICA MOVEL, PARA COZINHA 1/2"</t>
  </si>
  <si>
    <t xml:space="preserve">TORNEIRA PLASTICA PARA TANQUE 1/2" OU 3/4" COM BICO PARA MANGUEIRA</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</si>
  <si>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</si>
  <si>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</si>
  <si>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</si>
  <si>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</si>
  <si>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</si>
  <si>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</si>
  <si>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</si>
  <si>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</si>
  <si>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</si>
  <si>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</si>
  <si>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</si>
  <si>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</si>
  <si>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TRATOR DE ESTEIRAS, POTENCIA 125 HP, PESO OPERACIONAL DE 12,9 T, COM LAMINA COM CAPACIDADE DE 2,7 M3</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</si>
  <si>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</si>
  <si>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</si>
  <si>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</si>
  <si>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</si>
  <si>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</si>
  <si>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</si>
  <si>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</si>
  <si>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</si>
  <si>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</si>
  <si>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</si>
  <si>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</si>
  <si>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</si>
  <si>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85 CV, TURBO, PESO COM LASTRO DE 4900 KG</t>
  </si>
  <si>
    <t xml:space="preserve">TRATOR DE PNEUS COM POTENCIA DE 95 CV, TRACAO 4 X 4, PESO MAXIMO DE 5225 KG</t>
  </si>
  <si>
    <t xml:space="preserve">TRAVA / PRENDEDOR DE PORTA, EM LATAO CROMADO, MONTADO EM PISO</t>
  </si>
  <si>
    <t xml:space="preserve">TRAVA-QUEDAS EM ACO PARA CORDA DE 12 MM, EXTENSOR DE 25 X 300 MM, COM MOSQUETAO TIPO GANCHO TRAVA DUPLA</t>
  </si>
  <si>
    <t xml:space="preserve">TRILHO PANTOGRAFICO RETO, EM ALUMINIO, TIPO U, COM DIMENSOES DE *38 X 38* MM PARA PORTA DE CORRER</t>
  </si>
  <si>
    <t xml:space="preserve">TRILHO QUADRADO FRISADO PARA RODIZIO (VERGALHAO MACICO), EM ALUMINIO, COM DIMENSOES DE *6 X 6* MM</t>
  </si>
  <si>
    <t xml:space="preserve">TRINCHA CERDAS GRIS 1.1/2" (38 MM)</t>
  </si>
  <si>
    <t xml:space="preserve">TROLEY MANUAL CAPACIDADE 1 T</t>
  </si>
  <si>
    <t xml:space="preserve">TUBO / MANGUEIRA PRETA EM POLIETILENO, LINHA PESADA OU REFORCADA, TIPO ESPAGUETE, PARA INJECAO DE CALDA DE CIMENTO, D = 1/2", ESPESSURA 1,5 MM</t>
  </si>
  <si>
    <t xml:space="preserve">TUBO 26" EM CHAPA PRETA, E= 3/16", 147 KG/6 M</t>
  </si>
  <si>
    <t xml:space="preserve">TUBO 30" EM CHAPA PRETA, E= 1/4", 175 KG/6 M</t>
  </si>
  <si>
    <t xml:space="preserve">TUBO 30" EM CHAPA PRETA, E= 3/8", 177 KG/6 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</si>
  <si>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</si>
  <si>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</si>
  <si>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</si>
  <si>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</si>
  <si>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</si>
  <si>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</si>
  <si>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</si>
  <si>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</si>
  <si>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 1/4", E= *3,56 MM, SCHEDULE 40, *3,38* KG/M</t>
  </si>
  <si>
    <t xml:space="preserve">TUBO ACO CARBONO SEM COSTURA 1", E= *3,38 MM, SCHEDULE 40, *2,50* KG/M</t>
  </si>
  <si>
    <t xml:space="preserve">TUBO ACO CARBONO SEM COSTURA 1/2", E= *2,77 MM, SCHEDULE 40, *1,27 KG/M</t>
  </si>
  <si>
    <t xml:space="preserve">TUBO ACO CARBONO SEM COSTURA 1/2", E= *3,73 MM, SCHEDULE 80, *1,62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</si>
  <si>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</si>
  <si>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</si>
  <si>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</si>
  <si>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</si>
  <si>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20", E= *6,35 MM, SCHEDULE 10, *78,46 KG/M</t>
  </si>
  <si>
    <t xml:space="preserve">TUBO ACO CARBONO SEM COSTURA 3", E= *5,49 MM, SCHEDULE 40, *11,28* KG/M</t>
  </si>
  <si>
    <t xml:space="preserve">TUBO ACO CARBONO SEM COSTURA 3/4", E= *2,87 MM, SCHEDULE 40, *1,69 KG/M</t>
  </si>
  <si>
    <t xml:space="preserve">TUBO ACO CARBONO SEM COSTURA 3/4", E= *3,91 MM, SCHEDULE 80, *2,19 KG/M.</t>
  </si>
  <si>
    <t xml:space="preserve">TUBO ACO CARBONO SEM COSTURA 4", E= *6,02 MM, SCHEDULE 40, *16,06 KG/M</t>
  </si>
  <si>
    <t xml:space="preserve">TUBO ACO CARBONO SEM COSTURA 4", E= *8,56 MM, SCHEDULE 80, *22,31 KG/M</t>
  </si>
  <si>
    <t xml:space="preserve">TUBO ACO CARBONO SEM COSTURA 5", E= *6,55 MM, SCHEDULE 40, *21,75* KG/M</t>
  </si>
  <si>
    <t xml:space="preserve">TUBO ACO CARBONO SEM COSTURA 6", E= *10,97 MM, SCHEDULE 80, *42,56 KG/M</t>
  </si>
  <si>
    <t xml:space="preserve">TUBO ACO CARBONO SEM COSTURA 6", E= 7,11 MM, SCHEDULE 40, *28,26 KG/M</t>
  </si>
  <si>
    <t xml:space="preserve">TUBO ACO CARBONO SEM COSTURA 8", E= *12,70 MM, SCHEDULE 80, *64,64 KG/M</t>
  </si>
  <si>
    <t xml:space="preserve">TUBO ACO CARBONO SEM COSTURA 8", E= *6,35 MM, SCHEDULE 20, *33,27 KG/M</t>
  </si>
  <si>
    <t xml:space="preserve">TUBO ACO CARBONO SEM COSTURA 8", E= *7,04 MM, SCHEDULE 30, *36,75 KG/M</t>
  </si>
  <si>
    <t xml:space="preserve">TUBO ACO CARBONO SEM COSTURA 8", E= *8,18 MM, SCHEDULE 40, *42,55 KG/M</t>
  </si>
  <si>
    <t xml:space="preserve">TUBO ACO GALVANIZADO COM COSTURA, CLASSE LEVE, DN 100 MM (4"), E = 3,75 MM, *10,55* KG/M (NBR 5580)</t>
  </si>
  <si>
    <t xml:space="preserve">TUBO ACO GALVANIZADO COM COSTURA, CLASSE LEVE, DN 15 MM (1/2"), E = 2,25 MM, *1,2* KG/M (NBR 5580)</t>
  </si>
  <si>
    <t xml:space="preserve">TUBO ACO GALVANIZADO COM COSTURA, CLASSE LEVE, DN 20 MM (3/4"), E = 2,25 MM, *1,3* KG/M (NBR 5580)</t>
  </si>
  <si>
    <t xml:space="preserve">TUBO ACO GALVANIZADO COM COSTURA, CLASSE LEVE, DN 25 MM (1"), E = 2,65 MM, *2,11* KG/M (NBR 5580)</t>
  </si>
  <si>
    <t xml:space="preserve">TUBO ACO GALVANIZADO COM COSTURA, CLASSE LEVE, DN 65 MM (2 1/2"), E = 3,35 MM, * 6,23* KG/M (NBR 5580)</t>
  </si>
  <si>
    <t xml:space="preserve">TUBO ACO GALVANIZADO COM COSTURA, CLASSE LEVE, DN 80 MM (3"), E = 3,35 MM, *7,32* KG/M (NBR 5580)</t>
  </si>
  <si>
    <t xml:space="preserve">TUBO ACO GALVANIZADO COM COSTURA, CLASSE MEDIA, DN 1", E = 3,38 MM, PESO 2,50 KG/M (NBR 5580)</t>
  </si>
  <si>
    <t xml:space="preserve">TUBO ACO GALVANIZADO COM COSTURA, CLASSE MEDIA, DN 1.1/2", E = *3,25* MM, PESO *3,61* KG/M (NBR 5580)</t>
  </si>
  <si>
    <t xml:space="preserve">TUBO ACO GALVANIZADO COM COSTURA, CLASSE MEDIA, DN 1.1/4", E = *3,25* MM, PESO *3,14* KG/M (NBR 5580)</t>
  </si>
  <si>
    <t xml:space="preserve">TUBO ACO GALVANIZADO COM COSTURA, CLASSE MEDIA, DN 1/2", E = *2,65* MM, PESO *1,22* KG/M (NBR 5580)</t>
  </si>
  <si>
    <t xml:space="preserve">TUBO ACO GALVANIZADO COM COSTURA, CLASSE MEDIA, DN 3/4", E = *2,65* MM, PESO *1,58*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</si>
  <si>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</si>
  <si>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</si>
  <si>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</si>
  <si>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</si>
  <si>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100 MM (NBR  7362)</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</si>
  <si>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</si>
  <si>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</si>
  <si>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</si>
  <si>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</si>
  <si>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</si>
  <si>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COLETOR DE ESGOTO, PVC, JEI, DN 150 MM (NBR 7362)</t>
  </si>
  <si>
    <t xml:space="preserve">TUBO CORRUGADO PEAD, PAREDE DUPLA, INTERNA LISA, JEI DN/DI 500 MM (DRENAGEM/ESGOTO)</t>
  </si>
  <si>
    <t xml:space="preserve">TUBO CORRUGADO PEAD, PAREDE DUPLA, INTERNA LISA, JEI, DN/DI *1000* MM, PARA SANEAMENTO (DRENAGEM/ESGOTO)</t>
  </si>
  <si>
    <t xml:space="preserve">TUBO CORRUGADO PEAD, PAREDE DUPLA, INTERNA LISA, JEI, DN/DI *400* MM, PARA SANEAMENTO (DRENAGEM/ESGOTO)</t>
  </si>
  <si>
    <t xml:space="preserve">TUBO CORRUGADO PEAD, PAREDE DUPLA, INTERNA LISA, JEI, DN/DI *800* MM, PARA SANEAMENTO (DRENAGEM/ESGOTO)</t>
  </si>
  <si>
    <t xml:space="preserve">TUBO CORRUGADO PEAD, PAREDE DUPLA, INTERNA LISA, JEI, DN/DI 1200 MM, PARA SANEAMENTO (DRENAGEM/ESGOTO)</t>
  </si>
  <si>
    <t xml:space="preserve">TUBO CORRUGADO PEAD, PAREDE DUPLA, INTERNA LISA, JEI, DN/DI 250 MM, PARA SANEAMENTO (DRENAGEM/ESGOTO)</t>
  </si>
  <si>
    <t xml:space="preserve">TUBO CORRUGADO PEAD, PAREDE DUPLA, INTERNA LISA, JEI, DN/DI 300 MM, PARA SANEAMENTO (DRENAGEM/ESGOTO)</t>
  </si>
  <si>
    <t xml:space="preserve">TUBO CORRUGADO PEAD, PAREDE DUPLA, INTERNA LISA, JEI, DN/DI 600 MM, PARA SANEAMENTO (DRENAGEM/ESGOTO)</t>
  </si>
  <si>
    <t xml:space="preserve">TUBO CPVC SOLDAVEL, 35 MM, AGUA QUENTE PREDIAL (NBR 15884)</t>
  </si>
  <si>
    <t xml:space="preserve">TUBO CPVC, SOLDAVEL, 114 MM, AGUA QUENTE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</si>
  <si>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</si>
  <si>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</si>
  <si>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</si>
  <si>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</si>
  <si>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</si>
  <si>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</si>
  <si>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</si>
  <si>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</si>
  <si>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</si>
  <si>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</si>
  <si>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</si>
  <si>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</si>
  <si>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</si>
  <si>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</si>
  <si>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</si>
  <si>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1/2" (42 MM), PARA INSTALACOES DE MEDIA PRESSAO PARA GASES COMBUSTIVEIS E MEDICINAIS</t>
  </si>
  <si>
    <t xml:space="preserve">TUBO DE COBRE CLASSE "A", DN = 1 1/4" (35 MM), PARA INSTALACOES DE MEDIA PRESSAO PARA GASES COMBUSTIVEIS E MEDICINAIS</t>
  </si>
  <si>
    <t xml:space="preserve">TUBO DE COBRE CLASSE "A", DN = 1" (28 MM), PARA INSTALACOES DE MEDIA PRESSAO PARA GASES COMBUSTIVEIS E MEDICINAIS</t>
  </si>
  <si>
    <t xml:space="preserve">TUBO DE COBRE CLASSE "A", DN = 1/2" (15 MM), PARA INSTALACOES DE MEDIA PRESSAO PARA GASES COMBUSTIVEIS E MEDICINAIS</t>
  </si>
  <si>
    <t xml:space="preserve">TUBO DE COBRE CLASSE "A", DN = 2 1/2" (66 MM), PARA INSTALACOES DE MEDIA PRESSAO PARA GASES COMBUSTIVEIS E MEDICINAIS</t>
  </si>
  <si>
    <t xml:space="preserve">TUBO DE COBRE CLASSE "A", DN = 2" (54 MM), PARA INSTALACOES DE MEDIA PRESSAO PARA GASES COMBUSTIVEIS E MEDICINAIS</t>
  </si>
  <si>
    <t xml:space="preserve">TUBO DE COBRE CLASSE "A", DN = 3" (79 MM), PARA INSTALACOES DE MEDIA PRESSAO PARA GASES COMBUSTIVEIS E MEDICINAIS</t>
  </si>
  <si>
    <t xml:space="preserve">TUBO DE COBRE CLASSE "A", DN = 3/4" (22 MM), PARA INSTALACOES DE MEDIA PRESSAO PARA GASES COMBUSTIVEIS E MEDICINAIS</t>
  </si>
  <si>
    <t xml:space="preserve">TUBO DE COBRE CLASSE "A", DN = 4" (104 MM), PARA INSTALACOES DE MEDIA PRESSAO PARA GASES COMBUSTIVEIS E MEDICINAIS</t>
  </si>
  <si>
    <t xml:space="preserve">TUBO DE COBRE CLASSE "E", DN = 104 MM, PARA INSTALACAO HIDRAULICA PREDIAL</t>
  </si>
  <si>
    <t xml:space="preserve">TUBO DE COBRE CLASSE "E", DN = 15 MM, PARA INSTALACAO HIDRAULICA PREDIAL</t>
  </si>
  <si>
    <t xml:space="preserve">TUBO DE COBRE CLASSE "E", DN = 22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</si>
  <si>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</si>
  <si>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</si>
  <si>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</si>
  <si>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</si>
  <si>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</si>
  <si>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</si>
  <si>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COBRE FLEXIVEL, D = 3/16 ", E = 0,79 MM, PARA AR-CONDICIONADO/ INSTALACOES GAS RESIDENCIAIS E COMERCIAIS</t>
  </si>
  <si>
    <t xml:space="preserve">TUBO DE COBRE FLEXIVEL, D = 3/4 ", E = 0,79 MM, PARA AR-CONDICIONADO/ INSTALACOES GAS RESIDENCIAIS E COMERCIAIS</t>
  </si>
  <si>
    <t xml:space="preserve">TUBO DE COBRE FLEXIVEL, D = 5/16 ", E = 0,79 MM, PARA AR-CONDICIONADO/ INSTALACOES GAS RESIDENCIAIS E COMERCIAIS</t>
  </si>
  <si>
    <t xml:space="preserve">TUBO DE CONCRETO ARMADO PARA AGUAS PLUVIAIS, CLASSE PA-1, COM ENCAIXE PONTA E BOLSA, DIAMETRO NOMINAL DE 1000 MM</t>
  </si>
  <si>
    <t xml:space="preserve">TUBO DE CONCRETO ARMADO PARA AGUAS PLUVIAIS, CLASSE PA-1, COM ENCAIXE PONTA E BOLSA, DIAMETRO NOMINAL DE 1100 MM</t>
  </si>
  <si>
    <t xml:space="preserve">TUBO DE CONCRETO ARMADO PARA AGUAS PLUVIAIS, CLASSE PA-1, COM ENCAIXE PONTA E BOLSA, DIAMETRO NOMINAL DE 1200 MM</t>
  </si>
  <si>
    <t xml:space="preserve">TUBO DE CONCRETO ARMADO PARA AGUAS PLUVIAIS, CLASSE PA-1, COM ENCAIXE PONTA E BOLSA, DIAMETRO NOMINAL DE 1500 MM</t>
  </si>
  <si>
    <t xml:space="preserve">TUBO DE CONCRETO ARMADO PARA AGUAS PLUVIAIS, CLASSE PA-1, COM ENCAIXE PONTA E BOLSA, DIAMETRO NOMINAL DE 2000 MM</t>
  </si>
  <si>
    <t xml:space="preserve">TUBO DE CONCRETO ARMADO PARA AGUAS PLUVIAIS, CLASSE PA-1, COM ENCAIXE PONTA E BOLSA, DIAMETRO NOMINAL DE 300 MM</t>
  </si>
  <si>
    <t xml:space="preserve">TUBO DE CONCRETO ARMADO PARA AGUAS PLUVIAIS, CLASSE PA-1, COM ENCAIXE PONTA E BOLSA, DIAMETRO NOMINAL DE 400 MM</t>
  </si>
  <si>
    <t xml:space="preserve">TUBO DE CONCRETO ARMADO PARA AGUAS PLUVIAIS, CLASSE PA-1, COM ENCAIXE PONTA E BOLSA, DIAMETRO NOMINAL DE 700 MM</t>
  </si>
  <si>
    <t xml:space="preserve">TUBO DE CONCRETO ARMADO PARA AGUAS PLUVIAIS, CLASSE PA-1, COM ENCAIXE PONTA E BOLSA, DIAMETRO NOMINAL DE 800 MM</t>
  </si>
  <si>
    <t xml:space="preserve">TUBO DE CONCRETO ARMADO PARA AGUAS PLUVIAIS, CLASSE PA-1, COM ENCAIXE PONTA E BOLSA, DIAMETRO NOMINAL DE 900 MM</t>
  </si>
  <si>
    <t xml:space="preserve">TUBO DE CONCRETO ARMADO PARA AGUAS PLUVIAIS, CLASSE PA-2, COM ENCAIXE PONTA E BOLSA, DIAMETRO NOMINAL DE 1000 MM</t>
  </si>
  <si>
    <t xml:space="preserve">TUBO DE CONCRETO ARMADO PARA AGUAS PLUVIAIS, CLASSE PA-2, COM ENCAIXE PONTA E BOLSA, DIAMETRO NOMINAL DE 1100 MM</t>
  </si>
  <si>
    <t xml:space="preserve">TUBO DE CONCRETO ARMADO PARA AGUAS PLUVIAIS, CLASSE PA-2, COM ENCAIXE PONTA E BOLSA, DIAMETRO NOMINAL DE 1200 MM</t>
  </si>
  <si>
    <t xml:space="preserve">TUBO DE CONCRETO ARMADO PARA AGUAS PLUVIAIS, CLASSE PA-2, COM ENCAIXE PONTA E BOLSA, DIAMETRO NOMINAL DE 1500 MM</t>
  </si>
  <si>
    <t xml:space="preserve">TUBO DE CONCRETO ARMADO PARA AGUAS PLUVIAIS, CLASSE PA-2, COM ENCAIXE PONTA E BOLSA, DIAMETRO NOMINAL DE 2000 MM</t>
  </si>
  <si>
    <t xml:space="preserve">TUBO DE CONCRETO ARMADO PARA AGUAS PLUVIAIS, CLASSE PA-2, COM ENCAIXE PONTA E BOLSA, DIAMETRO NOMINAL DE 300 MM</t>
  </si>
  <si>
    <t xml:space="preserve">TUBO DE CONCRETO ARMADO PARA AGUAS PLUVIAIS, CLASSE PA-2, COM ENCAIXE PONTA E BOLSA, DIAMETRO NOMINAL DE 400 MM</t>
  </si>
  <si>
    <t xml:space="preserve">TUBO DE CONCRETO ARMADO PARA AGUAS PLUVIAIS, CLASSE PA-2, COM ENCAIXE PONTA E BOLSA, DIAMETRO NOMINAL DE 500 MM</t>
  </si>
  <si>
    <t xml:space="preserve">TUBO DE CONCRETO ARMADO PARA AGUAS PLUVIAIS, CLASSE PA-2, COM ENCAIXE PONTA E BOLSA, DIAMETRO NOMINAL DE 600 MM</t>
  </si>
  <si>
    <t xml:space="preserve">TUBO DE CONCRETO ARMADO PARA AGUAS PLUVIAIS, CLASSE PA-2, COM ENCAIXE PONTA E BOLSA, DIAMETRO NOMINAL DE 700 MM</t>
  </si>
  <si>
    <t xml:space="preserve">TUBO DE CONCRETO ARMADO PARA AGUAS PLUVIAIS, CLASSE PA-2, COM ENCAIXE PONTA E BOLSA, DIAMETRO NOMINAL DE 800 MM</t>
  </si>
  <si>
    <t xml:space="preserve">TUBO DE CONCRETO ARMADO PARA AGUAS PLUVIAIS, CLASSE PA-2, COM ENCAIXE PONTA E BOLSA, DIAMETRO NOMINAL DE 900 MM</t>
  </si>
  <si>
    <t xml:space="preserve">TUBO DE CONCRETO ARMADO PARA AGUAS PLUVIAIS, CLASSE PA-3, COM ENCAIXE PONTA E BOLSA, DIAMETRO NOMINAL DE 1000 MM</t>
  </si>
  <si>
    <t xml:space="preserve">TUBO DE CONCRETO ARMADO PARA AGUAS PLUVIAIS, CLASSE PA-3, COM ENCAIXE PONTA E BOLSA, DIAMETRO NOMINAL DE 1100 MM</t>
  </si>
  <si>
    <t xml:space="preserve">TUBO DE CONCRETO ARMADO PARA AGUAS PLUVIAIS, CLASSE PA-3, COM ENCAIXE PONTA E BOLSA, DIAMETRO NOMINAL DE 1200 MM</t>
  </si>
  <si>
    <t xml:space="preserve">TUBO DE CONCRETO ARMADO PARA AGUAS PLUVIAIS, CLASSE PA-3, COM ENCAIXE PONTA E BOLSA, DIAMETRO NOMINAL DE 1500 MM</t>
  </si>
  <si>
    <t xml:space="preserve">TUBO DE CONCRETO ARMADO PARA AGUAS PLUVIAIS, CLASSE PA-3, COM ENCAIXE PONTA E BOLSA, DIAMETRO NOMINAL DE 400 MM</t>
  </si>
  <si>
    <t xml:space="preserve">TUBO DE CONCRETO ARMADO PARA AGUAS PLUVIAIS, CLASSE PA-3, COM ENCAIXE PONTA E BOLSA, DIAMETRO NOMINAL DE 500 MM</t>
  </si>
  <si>
    <t xml:space="preserve">TUBO DE CONCRETO ARMADO PARA AGUAS PLUVIAIS, CLASSE PA-3, COM ENCAIXE PONTA E BOLSA, DIAMETRO NOMINAL DE 600 MM</t>
  </si>
  <si>
    <t xml:space="preserve">TUBO DE CONCRETO ARMADO PARA AGUAS PLUVIAIS, CLASSE PA-3, COM ENCAIXE PONTA E BOLSA, DIAMETRO NOMINAL DE 700 MM</t>
  </si>
  <si>
    <t xml:space="preserve">TUBO DE CONCRETO ARMADO PARA AGUAS PLUVIAIS, CLASSE PA-3, COM ENCAIXE PONTA E BOLSA, DIAMETRO NOMINAL DE 800 MM</t>
  </si>
  <si>
    <t xml:space="preserve">TUBO DE CONCRETO ARMADO PARA AGUAS PLUVIAIS, CLASSE PA-3, COM ENCAIXE PONTA E BOLSA, DIAMETRO NOMINAL DE 900 MM</t>
  </si>
  <si>
    <t xml:space="preserve">TUBO DE CONCRETO ARMADO PARA ESGOTO SANITARIO, CLASSE EA-2, COM ENCAIXE PONTA E BOLSA, COM JUNTA ELASTICA, DIAMETRO NOMINAL DE 1000 MM</t>
  </si>
  <si>
    <t xml:space="preserve">TUBO DE CONCRETO ARMADO PARA ESGOTO SANITARIO, CLASSE EA-2, COM ENCAIXE PONTA E BOLSA, COM JUNTA ELASTICA, DIAMETRO NOMINAL DE 300 MM</t>
  </si>
  <si>
    <t xml:space="preserve">TUBO DE CONCRETO ARMADO PARA ESGOTO SANITARIO, CLASSE EA-2, COM ENCAIXE PONTA E BOLSA, COM JUNTA ELASTICA, DIAMETRO NOMINAL DE 400 MM</t>
  </si>
  <si>
    <t xml:space="preserve">TUBO DE CONCRETO ARMADO PARA ESGOTO SANITARIO, CLASSE EA-2, COM ENCAIXE PONTA E BOLSA, COM JUNTA ELASTICA, DIAMETRO NOMINAL DE 500 MM</t>
  </si>
  <si>
    <t xml:space="preserve">TUBO DE CONCRETO ARMADO PARA ESGOTO SANITARIO, CLASSE EA-2, COM ENCAIXE PONTA E BOLSA, COM JUNTA ELASTICA, DIAMETRO NOMINAL DE 600 MM</t>
  </si>
  <si>
    <t xml:space="preserve">TUBO DE CONCRETO ARMADO PARA ESGOTO SANITARIO, CLASSE EA-2, COM ENCAIXE PONTA E BOLSA, COM JUNTA ELASTICA, DIAMETRO NOMINAL DE 700 MM</t>
  </si>
  <si>
    <t xml:space="preserve">TUBO DE CONCRETO ARMADO PARA ESGOTO SANITARIO, CLASSE EA-2, COM ENCAIXE PONTA E BOLSA, COM JUNTA ELASTICA, DIAMETRO NOMINAL DE 800 MM</t>
  </si>
  <si>
    <t xml:space="preserve">TUBO DE CONCRETO ARMADO PARA ESGOTO SANITARIO, CLASSE EA-2, COM ENCAIXE PONTA E BOLSA, COM JUNTA ELASTICA, DIAMETRO NOMINAL DE 900 MM</t>
  </si>
  <si>
    <t xml:space="preserve">TUBO DE CONCRETO ARMADO PARA ESGOTO SANITARIO, CLASSE EA-3, COM ENCAIXE PONTA E BOLSA, COM JUNTA ELASTICA, DIAMETRO NOMINAL DE 1000 MM</t>
  </si>
  <si>
    <t xml:space="preserve">TUBO DE CONCRETO ARMADO PARA ESGOTO SANITARIO, CLASSE EA-3, COM ENCAIXE PONTA E BOLSA, COM JUNTA ELASTICA, DIAMETRO NOMINAL DE 400 MM</t>
  </si>
  <si>
    <t xml:space="preserve">TUBO DE CONCRETO ARMADO PARA ESGOTO SANITARIO, CLASSE EA-3, COM ENCAIXE PONTA E BOLSA, COM JUNTA ELASTICA, DIAMETRO NOMINAL DE 500 MM</t>
  </si>
  <si>
    <t xml:space="preserve">TUBO DE CONCRETO ARMADO PARA ESGOTO SANITARIO, CLASSE EA-3, COM ENCAIXE PONTA E BOLSA, COM JUNTA ELASTICA, DIAMETRO NOMINAL DE 600 MM</t>
  </si>
  <si>
    <t xml:space="preserve">TUBO DE CONCRETO ARMADO PARA ESGOTO SANITARIO, CLASSE EA-3, COM ENCAIXE PONTA E BOLSA, COM JUNTA ELASTICA, DIAMETRO NOMINAL DE 700 MM</t>
  </si>
  <si>
    <t xml:space="preserve">TUBO DE CONCRETO ARMADO PARA ESGOTO SANITARIO, CLASSE EA-3, COM ENCAIXE PONTA E BOLSA, COM JUNTA ELASTICA, DIAMETRO NOMINAL DE 800 MM</t>
  </si>
  <si>
    <t xml:space="preserve">TUBO DE CONCRETO ARMADO PARA ESGOTO SANITARIO, CLASSE EA-3, COM ENCAIXE PONTA E BOLSA, COM JUNTA ELASTICA, DIAMETRO NOMINAL DE 900 MM</t>
  </si>
  <si>
    <t xml:space="preserve">TUBO DE CONCRETO ARMADO, PRE MOLDADO PARA AGUAS PLUVIAIS, CLASSE PA-1, COM ENCAIXE PONTA E BOLSA, DIAMETRO NOMINAL DE 500 MM</t>
  </si>
  <si>
    <t xml:space="preserve">TUBO DE CONCRETO SIMPLES PARA AGUAS PLUVIAIS, CLASSE PS1, COM ENCAIXE MACHO E FEMEA, DIAMETRO NOMINAL DE 300 MM</t>
  </si>
  <si>
    <t xml:space="preserve">TUBO DE CONCRETO SIMPLES PARA AGUAS PLUVIAIS, CLASSE PS1, COM ENCAIXE MACHO E FEMEA, DIAMETRO NOMINAL DE 400 MM</t>
  </si>
  <si>
    <t xml:space="preserve">TUBO DE CONCRETO SIMPLES PARA AGUAS PLUVIAIS, CLASSE PS1, COM ENCAIXE MACHO E FEMEA, DIAMETRO NOMINAL DE 500 MM</t>
  </si>
  <si>
    <t xml:space="preserve">TUBO DE CONCRETO SIMPLES PARA AGUAS PLUVIAIS, CLASSE PS1, COM ENCAIXE MACHO E FEMEA, DIAMETRO NOMINAL DE 600 MM</t>
  </si>
  <si>
    <t xml:space="preserve">TUBO DE CONCRETO SIMPLES PARA AGUAS PLUVIAIS, CLASSE PS1, COM ENCAIXE PONTA E BOLSA, DIAMETRO NOMINAL DE 200 MM</t>
  </si>
  <si>
    <t xml:space="preserve">TUBO DE CONCRETO SIMPLES PARA AGUAS PLUVIAIS, CLASSE PS1, COM ENCAIXE PONTA E BOLSA, DIAMETRO NOMINAL DE 400 MM</t>
  </si>
  <si>
    <t xml:space="preserve">TUBO DE CONCRETO SIMPLES PARA AGUAS PLUVIAIS, CLASSE PS1, COM ENCAIXE PONTA E BOLSA, DIAMETRO NOMINAL DE 500 MM</t>
  </si>
  <si>
    <t xml:space="preserve">TUBO DE CONCRETO SIMPLES PARA AGUAS PLUVIAIS, CLASSE PS1, COM ENCAIXE PONTA E BOLSA, DIAMETRO NOMINAL DE 600 MM</t>
  </si>
  <si>
    <t xml:space="preserve">TUBO DE CONCRETO SIMPLES PARA AGUAS PLUVIAIS, CLASSE PS2, COM ENCAIXE PONTA E BOLSA, DIAMETRO NOMINAL DE 200 MM</t>
  </si>
  <si>
    <t xml:space="preserve">TUBO DE CONCRETO SIMPLES PARA AGUAS PLUVIAIS, CLASSE PS2, COM ENCAIXE PONTA E BOLSA, DIAMETRO NOMINAL DE 300 MM</t>
  </si>
  <si>
    <t xml:space="preserve">TUBO DE CONCRETO SIMPLES PARA AGUAS PLUVIAIS, CLASSE PS2, COM ENCAIXE PONTA E BOLSA, DIAMETRO NOMINAL DE 400 MM</t>
  </si>
  <si>
    <t xml:space="preserve">TUBO DE CONCRETO SIMPLES PARA AGUAS PLUVIAIS, CLASSE PS2, COM ENCAIXE PONTA E BOLSA, DIAMETRO NOMINAL DE 500 MM</t>
  </si>
  <si>
    <t xml:space="preserve">TUBO DE CONCRETO SIMPLES PARA AGUAS PLUVIAIS, CLASSE PS2, COM ENCAIXE PONTA E BOLSA, DIAMETRO NOMINAL DE 600 MM</t>
  </si>
  <si>
    <t xml:space="preserve">TUBO DE CONCRETO SIMPLES PARA ESGOTO SANITARIO, CLASSE ES, COM ENCAIXE PONTA E BOLSA, COM JUNTA ELASTICA, DIAMETRO NOMINAL DE 400 MM</t>
  </si>
  <si>
    <t xml:space="preserve">TUBO DE CONCRETO SIMPLES PARA ESGOTO SANITARIO, CLASSE ES, COM ENCAIXE PONTA E BOLSA, COM JUNTA ELASTICA, DIAMETRO NOMINAL DE 500 MM</t>
  </si>
  <si>
    <t xml:space="preserve">TUBO DE CONCRETO SIMPLES PARA ESGOTO SANITARIO, CLASSE ES, COM ENCAIXE PONTA E BOLSA, COM JUNTA ELASTICA, DIAMETRO NOMINAL DE 600 MM</t>
  </si>
  <si>
    <t xml:space="preserve">TUBO DE CONCRETO SIMPLES POROSO PARA DRENAGEM (DRENO POROSO), COM ENCAIXE MACHO E FEMEA, DIAMETRO NOMINAL DE 200 MM</t>
  </si>
  <si>
    <t xml:space="preserve">TUBO DE CONCRETO SIMPLES POROSO PARA DRENAGEM (DRENO POROSO), COM ENCAIXE MACHO E FEMEA, DIAMETRO NOMINAL DE 300 MM</t>
  </si>
  <si>
    <t xml:space="preserve">TUBO DE DESCARGA, TIPO BENGALA, PARA LIGACAO CAIXA DE DESCARGA - EMBUTIR, PVC, 40 MM X 150 CM</t>
  </si>
  <si>
    <t xml:space="preserve">TUBO DE DESCIDA EXTERNO, DE PVC, PARA CAIXA DE DESCARGA EXTERNA ALTA - DIAMETRO DE 40 MM E ALTURA DE APROXIMADAMENTE 1,55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</si>
  <si>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</si>
  <si>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</si>
  <si>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</si>
  <si>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</si>
  <si>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</si>
  <si>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</si>
  <si>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</si>
  <si>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</si>
  <si>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</si>
  <si>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</si>
  <si>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</si>
  <si>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</si>
  <si>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</si>
  <si>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 1000 MM X 38,5 MM PAREDE, (SDR 26 - PN 05) PARA REDE DE AGUA OU ESGOTO (NBR 15561)</t>
  </si>
  <si>
    <t xml:space="preserve">TUBO DE POLIETILENO DE ALTA DENSIDADE, PEAD, PE-80, DE = 110 MM X 10,0 MM PAREDE, (SDR 11 - PN 12,5) PARA REDE DE AGUA OU ESGOTO (NBR 15561)</t>
  </si>
  <si>
    <t xml:space="preserve">TUBO DE POLIETILENO DE ALTA DENSIDADE, PEAD, PE-80, DE = 160 MM X 14,6 MM PAREDE, (SDR 11 - PN 12,5) PARA REDE DE AGUA OU ESGOTO (NBR 15561)</t>
  </si>
  <si>
    <t xml:space="preserve">TUBO DE POLIETILENO DE ALTA DENSIDADE, PEAD, PE-80, DE = 900 MM X 34,7 MM PAREDE, (SDR 26 - PN 05) PARA REDE DE AGUA OU ESGOTO (NBR 15561)</t>
  </si>
  <si>
    <t xml:space="preserve">TUBO DE POLIETILENO DE ALTA DENSIDADE, PEAD, PE-80, DE= 200 MM X 18,2 MM PAREDE, (SDR 11 - PN 12,5) PARA REDE DE AGUA OU ESGOTO (NBR 15561)</t>
  </si>
  <si>
    <t xml:space="preserve">TUBO DE POLIETILENO DE ALTA DENSIDADE, PEAD, PE-80, DE= 315 MM X 28,7 MM PAREDE, (SDR 11 - PN 12,5) PARA REDE DE AGUA OU ESGOTO (NBR 15561)</t>
  </si>
  <si>
    <t xml:space="preserve">TUBO DE POLIETILENO DE ALTA DENSIDADE, PEAD, PE-80, DE= 400 MM X 36,4 MM PAREDE, (SDR 11 - PN 12,5) PARA REDE DE AGUA OU ESGOTO (NBR 15561)</t>
  </si>
  <si>
    <t xml:space="preserve">TUBO DE POLIETILENO DE ALTA DENSIDADE, PEAD, PE-80, DE= 50 MM X 4,6 MM PAREDE, (SDR 11 - PN 12,5) PARA REDE DE AGUA OU ESGOTO ( NBR 15561)</t>
  </si>
  <si>
    <t xml:space="preserve">TUBO DE POLIETILENO DE ALTA DENSIDADE, PEAD, PE-80, DE= 500 MM X 45,5 MM PAREDE, (SDR 11 - PN 12,5) PARA REDE DE AGUA OU ESGOTO (NBR 15561)</t>
  </si>
  <si>
    <t xml:space="preserve">TUBO DE POLIETILENO DE ALTA DENSIDADE, PEAD, PE-80, DE= 630 MM X 57,3 MM PAREDE (SDR 11 - PN 12,5) PARA REDE DE AGUA OU ESGOTO (NBR 15561)</t>
  </si>
  <si>
    <t xml:space="preserve">TUBO DE POLIETILENO DE ALTA DENSIDADE, PEAD, PE-80, DE= 730 MM X 34,1 MM PAREDE, (SDR 21 - PN 06) PARA REDE DE AGUA OU ESGOTO (NBR 15561)</t>
  </si>
  <si>
    <t xml:space="preserve">TUBO DE POLIETILENO DE ALTA DENSIDADE, PEAD, PE-80, DE= 75 MM X 6,9 MM PAREDE, (SRD 11 - PN 12,5) PARA REDE DE AGUA OU ESGOTO (NBR 15561)</t>
  </si>
  <si>
    <t xml:space="preserve">TUBO DE POLIETILENO DE ALTA DENSIDADE, PEAD, PE-80, DE= 800 MM X 30,8 MM PAREDE, (SDR 26 - PN 05) PARA REDE DE AGUA OU ESGOTO (NBR 15561)</t>
  </si>
  <si>
    <t xml:space="preserve">TUBO DE PVC, PBL, TIPO LEVE, DN = 250 MM, PARA VENTILACAO</t>
  </si>
  <si>
    <t xml:space="preserve">TUBO DE PVC, PBL, TIPO LEVE, DN = 300 MM, PARA VENTILACAO</t>
  </si>
  <si>
    <t xml:space="preserve">TUBO DE REVESTIMENTO, EM ACO, CORPO SCHEDULE 40, PONTEIRA SCHEDULE 80, ROSQUEAVEL E SEGMENTADO PARA PERFURACAO, DIAMETRO 10" (273 MM)</t>
  </si>
  <si>
    <t xml:space="preserve">TUBO DE REVESTIMENTO, EM ACO, CORPO SCHEDULE 40, PONTEIRA SCHEDULE 80, ROSQUEAVEL E SEGMENTADO PARA PERFURACAO, DIAMETRO 12" (320 MM)</t>
  </si>
  <si>
    <t xml:space="preserve">TUBO DE REVESTIMENTO, EM ACO, CORPO SCHEDULE 40, PONTEIRA SCHEDULE 80, ROSQUEAVEL E SEGMENTADO PARA PERFURACAO, DIAMETRO 14" (400 MM)</t>
  </si>
  <si>
    <t xml:space="preserve">TUBO DE REVESTIMENTO, EM ACO, CORPO SCHEDULE 40, PONTEIRA SCHEDULE 80, ROSQUEAVEL E SEGMENTADO PARA PERFURACAO, DIAMETRO 16" (450 MM)</t>
  </si>
  <si>
    <t xml:space="preserve">TUBO DE REVESTIMENTO, EM ACO, CORPO SCHEDULE 40, PONTEIRA SCHEDULE 80, ROSQUEAVEL E SEGMENTADO PARA PERFURACAO, DIAMETRO 4" (450 MM)</t>
  </si>
  <si>
    <t xml:space="preserve">TUBO DE REVESTIMENTO, EM ACO, CORPO SCHEDULE 40, PONTEIRA SCHEDULE 80, ROSQUEAVEL E SEGMENTADO PARA PERFURACAO, DIAMETRO 6" (200 MM)</t>
  </si>
  <si>
    <t xml:space="preserve">TUBO DE REVESTIMENTO, EM ACO, CORPO SCHEDULE 40, PONTEIRA SCHEDULE 80, ROSQUEAVEL E SEGMENTADO PARA PERFURACAO, DIAMETRO 8" (200 MM)</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</si>
  <si>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</si>
  <si>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</si>
  <si>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</si>
  <si>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</si>
  <si>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 PARA AGUA QUENTE E FRIA</t>
  </si>
  <si>
    <t xml:space="preserve">TUBO MONOCAMADA PEX, DN 20 MM, PARA AGUA QUENTE E FRIA</t>
  </si>
  <si>
    <t xml:space="preserve">TUBO MONOCAMADA PEX, DN 25 MM, PARA AGUA QUENTE E FRIA</t>
  </si>
  <si>
    <t xml:space="preserve">TUBO MONOCAMADA PEX, DN 32 MM, PARA AGUA QUENTE E FRIA</t>
  </si>
  <si>
    <t xml:space="preserve">TUBO MULTICAMADA PEX GAS, DN *16* MM</t>
  </si>
  <si>
    <t xml:space="preserve">TUBO MULTICAMADA PEX GAS, DN *26* MM</t>
  </si>
  <si>
    <t xml:space="preserve">TUBO MULTICAMADA PEX GAS, DN *32* MM</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</si>
  <si>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</si>
  <si>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</si>
  <si>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</si>
  <si>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</si>
  <si>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</si>
  <si>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</si>
  <si>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</si>
  <si>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</si>
  <si>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</si>
  <si>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20, SOLDAVEL, DN 32 MM PARA AGUA FRIA OU QUENTE PREDIAL</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</si>
  <si>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</si>
  <si>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</si>
  <si>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</si>
  <si>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</si>
  <si>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</si>
  <si>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</si>
  <si>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</si>
  <si>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</si>
  <si>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</si>
  <si>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CORRUGADO, PAREDE DUPLA, JE, DN 150 MM/ DE 160 MM, REDE COLETORA ESGOTO</t>
  </si>
  <si>
    <t xml:space="preserve">TUBO PVC CORRUGADO, PAREDE DUPLA, JE, DN 200 MM/ DE 200 MM, REDE COLETORA ESGOTO</t>
  </si>
  <si>
    <t xml:space="preserve">TUBO PVC CORRUGADO, PAREDE DUPLA, JE, DN 250 MM/ DE 250 MM, REDE COLETORA ESGOTO</t>
  </si>
  <si>
    <t xml:space="preserve">TUBO PVC CORRUGADO, PAREDE DUPLA, JE, DN 300 MM/ DE 315 MM, REDE COLETORA ESGOTO</t>
  </si>
  <si>
    <t xml:space="preserve">TUBO PVC CORRUGADO, PAREDE DUPLA, JE, DN 350 MM/ DE 355 MM, REDE COLETORA ESGOTO</t>
  </si>
  <si>
    <t xml:space="preserve">TUBO PVC CORRUGADO, PAREDE DUPLA, JE, DN 400 MM/ DE 400 MM, REDE COLETORA ESGOTO</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</si>
  <si>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</si>
  <si>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</si>
  <si>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</si>
  <si>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</si>
  <si>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DEFOFO, JEI, 1 MPA, DN 100 MM, PARA REDE DE AGUA (NBR 7665)</t>
  </si>
  <si>
    <t xml:space="preserve">TUBO PVC DEFOFO, JEI, 1 MPA, DN 150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</si>
  <si>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</si>
  <si>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</si>
  <si>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</si>
  <si>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</si>
  <si>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</si>
  <si>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</si>
  <si>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</si>
  <si>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</si>
  <si>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</si>
  <si>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</si>
  <si>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</si>
  <si>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</si>
  <si>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ROSCAVEL, 3/4", AGUA FRIA PREDIAL</t>
  </si>
  <si>
    <t xml:space="preserve">TUBO PVC, RIGIDO, CORRUGADO, PERFURADO DN 100 MM, PARA DRENAGEM, SISTEMA IRRIGACAO</t>
  </si>
  <si>
    <t xml:space="preserve">TUBO PVC, ROSCAVEL, 1 1/2", AGUA FRIA PREDIAL</t>
  </si>
  <si>
    <t xml:space="preserve">TUBO PVC, ROSCAVEL, 1 1/4", AGUA FRIA PREDIAL</t>
  </si>
  <si>
    <t xml:space="preserve">TUBO PVC, ROSCAVEL, 1", AGUA FRIA PREDIAL</t>
  </si>
  <si>
    <t xml:space="preserve">TUBO PVC, ROSCAVEL, 1/2", AGUA FRIA PREDIAL</t>
  </si>
  <si>
    <t xml:space="preserve">TUBO PVC, ROSCAVEL, 2 1/2", AGUA FRIA PREDIAL</t>
  </si>
  <si>
    <t xml:space="preserve">TUBO PVC, ROSCAVEL, 2", PARA AGUA FRIA PREDIAL</t>
  </si>
  <si>
    <t xml:space="preserve">TUBO PVC, SERIE R, DN 40 MM, PARA ESGOTO OU AGUAS PLUVIAIS PREDIAL (NBR 5688)</t>
  </si>
  <si>
    <t xml:space="preserve">TUBO PVC, SOLDAVEL, DE 110 MM, AGUA FRIA (NBR-5648)</t>
  </si>
  <si>
    <t xml:space="preserve">TUBO PVC, SOLDAVEL, DE 20 MM, AGUA FRIA (NBR-5648)</t>
  </si>
  <si>
    <t xml:space="preserve">TUBO PVC, SOLDAVEL, DE 60 MM, AGUA FRIA (NBR-5648)</t>
  </si>
  <si>
    <t xml:space="preserve">TUBO PVC, SOLDAVEL, DE 85 MM, AGUA FRIA (NBR-5648)</t>
  </si>
  <si>
    <t xml:space="preserve">UNIAO COM ASSENTO CONICO DE BRONZE, DIAMETRO 1"</t>
  </si>
  <si>
    <t xml:space="preserve">UNIAO COM ASSENTO CONICO DE BRONZE, DIAMETRO 1/2"</t>
  </si>
  <si>
    <t xml:space="preserve">UNIAO COM ASSENTO CONICO DE BRONZE, DIAMETRO 2 1/2"</t>
  </si>
  <si>
    <t xml:space="preserve">UNIAO COM ASSENTO CONICO DE BRONZE, DIAMETRO 2"</t>
  </si>
  <si>
    <t xml:space="preserve">UNIAO COM ASSENTO CONICO DE BRONZE, DIAMETRO 3"</t>
  </si>
  <si>
    <t xml:space="preserve">UNIAO COM ASSENTO CONICO DE BRONZE, DIAMETRO 3/4"</t>
  </si>
  <si>
    <t xml:space="preserve">UNIAO COM ASSENTO CONICO DE BRONZE, DIAMETRO 4"</t>
  </si>
  <si>
    <t xml:space="preserve">UNIAO COM ASSENTO CONICO DE FERRO LONGO (MACHO-FEMEA), DIAMETRO 1 1/2"</t>
  </si>
  <si>
    <t xml:space="preserve">UNIAO COM ASSENTO CONICO DE FERRO LONGO (MACHO-FEMEA), DIAMETRO 1"</t>
  </si>
  <si>
    <t xml:space="preserve">UNIAO COM ASSENTO CONICO DE FERRO LONGO (MACHO-FEMEA), DIAMETRO 1/2"</t>
  </si>
  <si>
    <t xml:space="preserve">UNIAO COM ASSENTO CONICO DE FERRO LONGO (MACHO-FEMEA), DIAMETRO 2 1/2"</t>
  </si>
  <si>
    <t xml:space="preserve">UNIAO COM ASSENTO CONICO DE FERRO LONGO (MACHO-FEMEA), DIAMETRO 2"</t>
  </si>
  <si>
    <t xml:space="preserve">UNIAO COM ASSENTO CONICO DE FERRO LONGO (MACHO-FEMEA), DIAMETRO 3"</t>
  </si>
  <si>
    <t xml:space="preserve">UNIAO COM ASSENTO CONICO DE FERRO LONGO (MACHO-FEMEA), DIAMETRO 3/4"</t>
  </si>
  <si>
    <t xml:space="preserve">UNIAO COM ASSENTO CONICO DE FERRO LONGO (MACHO-FEMEA), DIAMETRO 4"</t>
  </si>
  <si>
    <t xml:space="preserve">UNIAO COM FLANGE PPR, COM PARAFUSOS, DN 40 MM, PARA AGUA QUENTE PREDIAL</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</si>
  <si>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</si>
  <si>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</si>
  <si>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</si>
  <si>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</si>
  <si>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t>
  </si>
  <si>
    <t xml:space="preserve">UNIAO DE FERRO GALVANIZADO, COM ROSCA BSP, COM ASSENTO PLANO, DE 1/2"</t>
  </si>
  <si>
    <t xml:space="preserve">UNIAO DE FERRO GALVANIZADO, COM ROSCA BSP, COM ASSENTO PLANO, DE 2"</t>
  </si>
  <si>
    <t xml:space="preserve">UNIAO DE FERRO GALVANIZADO, COM ROSCA BSP, COM ASSENTO PLANO, DE 3"</t>
  </si>
  <si>
    <t xml:space="preserve">UNIAO DE FERRO GALVANIZADO, COM ROSCA BSP, COM ASSENTO PLANO, DE 3/4"</t>
  </si>
  <si>
    <t xml:space="preserve">UNIAO DE FERRO GALVANIZADO, COM ROSCA BSP, COM ASSENTO PLANO, DE 4"</t>
  </si>
  <si>
    <t xml:space="preserve">UNIAO DUPLA PPR DN 25 MM, PARA AGUA QUENTE PREDIAL</t>
  </si>
  <si>
    <t xml:space="preserve">UNIAO DUPLA PPR, DN 20 MM, PARA AGUA QUENTE PREDIAL</t>
  </si>
  <si>
    <t xml:space="preserve">UNIAO EM POLIPROPILENO (PP), PARA TUBO EM PEAD, 20 MM - LIGACAO PREDIAL DE AGUA</t>
  </si>
  <si>
    <t xml:space="preserve">UNIAO EM POLIPROPILENO (PP), PARA TUBO EM PEAD, 32 MM - LIGACAO PREDIAL DE AGUA</t>
  </si>
  <si>
    <t xml:space="preserve">UNIAO PVC, ROSCAVEL 1/2", AGUA FRIA PREDIAL</t>
  </si>
  <si>
    <t xml:space="preserve">UNIAO PVC, ROSCAVEL, 1 1/2", AGUA FRIA PREDIAL</t>
  </si>
  <si>
    <t xml:space="preserve">UNIAO PVC, ROSCAVEL, 1", AGUA FRIA PREDIAL</t>
  </si>
  <si>
    <t xml:space="preserve">UNIAO PVC, ROSCAVEL, 3/4",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</si>
  <si>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</si>
  <si>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</si>
  <si>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</si>
  <si>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</si>
  <si>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</si>
  <si>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</si>
  <si>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</si>
  <si>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</si>
  <si>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</si>
  <si>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</si>
  <si>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</si>
  <si>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</si>
  <si>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</si>
  <si>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</si>
  <si>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</si>
  <si>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</si>
  <si>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</si>
  <si>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</si>
  <si>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</si>
  <si>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</si>
  <si>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</si>
  <si>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</si>
  <si>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</si>
  <si>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</si>
  <si>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</si>
  <si>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</si>
  <si>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</si>
  <si>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</si>
  <si>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USINA MISTURADORA DE SOLOS, DOSADORES TRIPLOS, CALHA VIBRATORIA CAPACIDADE DE 200 A 500 T/H, POTENCIA DE 75 KW</t>
  </si>
  <si>
    <t xml:space="preserve">VALVULA DE DESCARGA METALICA, BASE 1 1/2" E ACABAMENTO METALICO CROMADO</t>
  </si>
  <si>
    <t xml:space="preserve">VALVULA DE ESFERA BRUTA EM BRONZE, BITOLA 1 1/2"</t>
  </si>
  <si>
    <t xml:space="preserve">VALVULA DE ESFERA BRUTA EM BRONZE, BITOLA 1 1/4"</t>
  </si>
  <si>
    <t xml:space="preserve">VALVULA DE ESFERA BRUTA EM BRONZE, BITOLA 1"</t>
  </si>
  <si>
    <t xml:space="preserve">VALVULA DE ESFERA BRUTA EM BRONZE, BITOLA 3/4"</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</si>
  <si>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</si>
  <si>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</si>
  <si>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</si>
  <si>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</si>
  <si>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</si>
  <si>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 PARA FUNDO DE POCO</t>
  </si>
  <si>
    <t xml:space="preserve">VALVULA DE RETENCAO DE BRONZE, PE COM CRIVOS, EXTREMIDADE COM ROSCA, DE 3/4",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</si>
  <si>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</si>
  <si>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</si>
  <si>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</si>
  <si>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</si>
  <si>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2", 400 PSI, TAMPA DE PORCA DE UNIAO, EXTREMIDADES COM ROSCA</t>
  </si>
  <si>
    <t xml:space="preserve">VALVULA DE RETENCAO HORIZONTAL, DE BRONZE (PN-25), 3", 400 PSI, TAMPA DE PORCA DE UNIAO, EXTREMIDADES COM ROSCA</t>
  </si>
  <si>
    <t xml:space="preserve">VALVULA DE RETENCAO HORIZONTAL, DE BRONZE (PN-25), 3/4",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</si>
  <si>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</si>
  <si>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</si>
  <si>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</si>
  <si>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 200 PSI, EXTREMIDADES COM ROSCA</t>
  </si>
  <si>
    <t xml:space="preserve">VALVULA DE RETENCAO VERTICAL, DE BRONZE (PN-16), 1/2",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</si>
  <si>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</si>
  <si>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</si>
  <si>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 200 PSI, EXTREMIDADES COM ROSCA</t>
  </si>
  <si>
    <t xml:space="preserve">VALVULA DE RETENCAO VERTICAL, DE BRONZE (PN-16), 3/4", 200 PSI, EXTREMIDADES COM ROSCA</t>
  </si>
  <si>
    <t xml:space="preserve">VALVULA DE RETENCAO VERTICAL, DE BRONZE (PN-16), 4", 200 PSI, EXTREMIDADES COM ROSCA</t>
  </si>
  <si>
    <t xml:space="preserve">VALVULA EM METAL CROMADO PARA LAVATORIO, 1" SEM LADRAO</t>
  </si>
  <si>
    <t xml:space="preserve">VALVULA EM PLASTICO BRANCO PARA LAVATORIO 1 ", SEM UNHO, COM LADRAO</t>
  </si>
  <si>
    <t xml:space="preserve">VALVULA EM PLASTICO BRANCO PARA TANQUE 1.1/4" X 1.1/2 ", SEM UNHO E SEM LADRAO</t>
  </si>
  <si>
    <t xml:space="preserve">VALVULA EM PLASTICO CROMADO PARA LAVATORIO 1 ", SEM UNHO, COM LADRAO</t>
  </si>
  <si>
    <t xml:space="preserve">VALVULA EM PLASTICO CROMADO TIPO AMERICANA PARA PIA DE COZINHA 3.1/2" X 1.1/2 ", SEM ADAPTADOR</t>
  </si>
  <si>
    <t xml:space="preserve">VARA FINA PARA CREMONA, EM FERRO ZINCADO BRANCO, COM DIAMETRO DE APROX 10 MM E COMPRIMENTO DE 1,20 M</t>
  </si>
  <si>
    <t xml:space="preserve">VARA FINA PARA CREMONA, EM FERRO ZINCADO BRANCO, COM DIAMETRO DE APROX 10 MM E COMPRIMENTO DE 1,50 M</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</si>
  <si>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</si>
  <si>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</si>
  <si>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</si>
  <si>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</si>
  <si>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</si>
  <si>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</si>
  <si>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</si>
  <si>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</si>
  <si>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VASSOURA 40 CM COM CABO</t>
  </si>
  <si>
    <t xml:space="preserve">VASSOURA MECANICA REBOCAVEL COM ESCOVA CILINDRICA LARGURA UTIL DE VARRIMENTO = 2,44M</t>
  </si>
  <si>
    <t xml:space="preserve">VEDACAO DE CALHA, EM BORRACHA COR PRETA, MEDIDA ENTRE 119 E 170 MM, PARA DRENAGEM PLUVIAL PREDIAL</t>
  </si>
  <si>
    <t xml:space="preserve">VERNIZ A BASE RESINA ALQUIDICA COM POLIURETANO PARA MADEIRA, COM FILTRO SOLAR, BRILHANTE, USO INTERNO E EXTERNO</t>
  </si>
  <si>
    <t xml:space="preserve">VERNIZ MARITIMO PREMIUM PARA MADEIRA, COM FILTRO SOLAR, BRILHANTE, USO INTERNO E EXTERNO</t>
  </si>
  <si>
    <t xml:space="preserve">VERNIZ TIPO COPAL PARA MADEIRA, BRILHANTE, USO INTERNO</t>
  </si>
  <si>
    <t xml:space="preserve">VEU DE POLIESTER PARA IMPERMEABILIZACAO</t>
  </si>
  <si>
    <t xml:space="preserve">VEU DE VIDRO/VEU DE SUPERFICIE 30 A 35 G/M2</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</si>
  <si>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</si>
  <si>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</si>
  <si>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</si>
  <si>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</si>
  <si>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4 TEMPOS A GASOLINA DE 5,5 HP (5,5 CV)</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</si>
  <si>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</si>
  <si>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</si>
  <si>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 MAX. 8,00 M, POT. 100 KW/ 134 HP, CAP.  600 T/ H</t>
  </si>
  <si>
    <t xml:space="preserve">VIBROACABADORA DE ASFALTO SOBRE ESTEIRAS, LARG. PAVIMENT. 1,90 A 5,3 M, POT. 78 KW/105 HP, CAP. 450 T/H</t>
  </si>
  <si>
    <t xml:space="preserve">VIBROACABADORA DE ASFALTO SOBRE RODAS, LARGURA DE PAVIMENTACAO DE 1,70 A 4,20 M, POTENCIA 78 KW/105 HP, CAPACIDADE 300 T/H</t>
  </si>
  <si>
    <t xml:space="preserve">VIDRACEIRO (MENSALISTA)</t>
  </si>
  <si>
    <t xml:space="preserve">VIDRO COMUM LAMINADO, LISO, INCOLOR, DUPLO, ESPESSURA TOTAL 6 MM (CADA CAMADA E= 3 MM) - COLOCADO</t>
  </si>
  <si>
    <t xml:space="preserve">VIDRO COMUM LAMINADO, LISO, INCOLOR, TRIPLO, ESPESSURA TOTAL 12 MM (CADA CAMADA E= 4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</si>
  <si>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</si>
  <si>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</si>
  <si>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</si>
  <si>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</si>
  <si>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</si>
  <si>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</si>
  <si>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</si>
  <si>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</si>
  <si>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</si>
  <si>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</si>
  <si>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</si>
  <si>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</si>
  <si>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</si>
  <si>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LISO INCOLOR 8MM  -  SEM COLOCACAO</t>
  </si>
  <si>
    <t xml:space="preserve">VIDRO MARTELADO OU CANELADO, 4 MM - SEM COLOCACAO</t>
  </si>
  <si>
    <t xml:space="preserve">VIDRO PLANO ARAMADO E = 6 MM - SEM COLOCACAO</t>
  </si>
  <si>
    <t xml:space="preserve">VIDRO PLANO ARAMADO E = 7MM - SEM COLOCACAO</t>
  </si>
  <si>
    <t xml:space="preserve">VIDRO TEMPERADO INCOLOR E = 6 MM, SEM COLOCACAO</t>
  </si>
  <si>
    <t xml:space="preserve">VIDRO TEMPERADO INCOLOR E = 8 MM, SEM COLOCACAO</t>
  </si>
  <si>
    <t xml:space="preserve">VIDRO TEMPERADO VERDE E = 10 MM, SEM COLOCACAO</t>
  </si>
  <si>
    <t xml:space="preserve">VIDRO TEMPERADO VERDE E = 6 MM, SEM COLOCACAO</t>
  </si>
  <si>
    <t xml:space="preserve">VIDRO TEMPERADO VERDE E = 8 MM, SEM COLOCACAO</t>
  </si>
  <si>
    <t xml:space="preserve">VIGA *7,5 X 10* CM EM PINUS, MISTA OU EQUIVALENTE DA REGIAO - BRUTA</t>
  </si>
  <si>
    <t xml:space="preserve">VIGA *7,5 X 15 CM EM PINUS, MISTA OU EQUIVALENTE DA REGIAO - BRUTA</t>
  </si>
  <si>
    <t xml:space="preserve">VIGA APARELHADA *6 X 12* CM, EM MACARANDUBA/MASSARANDUBA, ANGELIM OU EQUIVALENTE DA REGIAO</t>
  </si>
  <si>
    <t xml:space="preserve">VIGA APARELHADA *6 X 16* CM, EM MACARANDUBA/MASSARANDUBA, ANGELIM OU EQUIVALENTE DA REGIAO</t>
  </si>
  <si>
    <t xml:space="preserve">VIGA NAO APARELHADA *6 X 20* CM, EM MACARANDUBA/MASSARANDUBA, ANGELIM OU EQUIVALENTE DA REGIAO - BRUTA</t>
  </si>
  <si>
    <t xml:space="preserve">VIGA NAO APARELHADA *8 X 16* CM EM MACARANDUBA/MASSARANDUBA, ANGELIM OU EQUIVALENTE DA REGIAO - BRUTA</t>
  </si>
  <si>
    <t xml:space="preserve">VIGIA DIURNO (HORISTA)</t>
  </si>
</sst>
</file>

<file path=xl/styles.xml><?xml version="1.0" encoding="utf-8"?>
<styleSheet xmlns="http://schemas.openxmlformats.org/spreadsheetml/2006/main">
  <numFmts count="22">
    <numFmt numFmtId="164" formatCode="General"/>
    <numFmt numFmtId="165" formatCode="D/M/YYYY"/>
    <numFmt numFmtId="166" formatCode="MMM/YY"/>
    <numFmt numFmtId="167" formatCode="&quot;R$ &quot;#,##0.00"/>
    <numFmt numFmtId="168" formatCode="0.00"/>
    <numFmt numFmtId="169" formatCode="_-&quot;R$ &quot;* #,##0.00_-;&quot;-R$ &quot;* #,##0.00_-;_-&quot;R$ &quot;* \-??_-;_-@_-"/>
    <numFmt numFmtId="170" formatCode="_-[$R$-416]\ * #,##0.00_-;\-[$R$-416]\ * #,##0.00_-;_-[$R$-416]\ * \-??_-;_-@_-"/>
    <numFmt numFmtId="171" formatCode="0.00%"/>
    <numFmt numFmtId="172" formatCode="#,##0.00\ ;&quot; (&quot;#,##0.00\);&quot; -&quot;#\ ;@\ "/>
    <numFmt numFmtId="173" formatCode="&quot; R$ &quot;#,##0.00\ ;&quot;-R$ &quot;#,##0.00\ ;&quot; R$ -&quot;#\ ;@\ "/>
    <numFmt numFmtId="174" formatCode="00&quot; dias&quot;"/>
    <numFmt numFmtId="175" formatCode="0%"/>
    <numFmt numFmtId="176" formatCode="_-* #,##0.00_-;\-* #,##0.00_-;_-* \-??_-;_-@_-"/>
    <numFmt numFmtId="177" formatCode="&quot;MAT&quot;"/>
    <numFmt numFmtId="178" formatCode="DD/MM/YY"/>
    <numFmt numFmtId="179" formatCode="&quot;ISS do MUNICIPIO: &quot;0%"/>
    <numFmt numFmtId="180" formatCode="&quot;AC+S+R+G = &quot;0.00%"/>
    <numFmt numFmtId="181" formatCode="&quot;DF = &quot;0.00%"/>
    <numFmt numFmtId="182" formatCode="&quot;L = &quot;0.00%"/>
    <numFmt numFmtId="183" formatCode="&quot; = &quot;0.00"/>
    <numFmt numFmtId="184" formatCode="&quot;BDI = &quot;0.00%"/>
    <numFmt numFmtId="185" formatCode="0"/>
  </numFmts>
  <fonts count="38">
    <font>
      <sz val="11"/>
      <color rgb="FF000000"/>
      <name val="Calibri"/>
      <family val="2"/>
      <charset val="1"/>
    </font>
    <font>
      <sz val="10"/>
      <name val="Arial"/>
      <family val="0"/>
    </font>
    <font>
      <sz val="10"/>
      <name val="Arial"/>
      <family val="0"/>
    </font>
    <font>
      <sz val="10"/>
      <name val="Arial"/>
      <family val="0"/>
    </font>
    <font>
      <b val="true"/>
      <sz val="12"/>
      <color rgb="FF000000"/>
      <name val="Calibri"/>
      <family val="2"/>
      <charset val="1"/>
    </font>
    <font>
      <b val="true"/>
      <i val="true"/>
      <u val="single"/>
      <sz val="10"/>
      <color rgb="FF000000"/>
      <name val="Calibri"/>
      <family val="2"/>
      <charset val="1"/>
    </font>
    <font>
      <b val="true"/>
      <sz val="11"/>
      <color rgb="FF000000"/>
      <name val="Calibri"/>
      <family val="2"/>
      <charset val="1"/>
    </font>
    <font>
      <sz val="11"/>
      <color rgb="FFFF0000"/>
      <name val="Calibri"/>
      <family val="2"/>
      <charset val="1"/>
    </font>
    <font>
      <sz val="10"/>
      <color rgb="FF000000"/>
      <name val="Arial"/>
      <family val="2"/>
      <charset val="1"/>
    </font>
    <font>
      <sz val="11"/>
      <color rgb="FF000000"/>
      <name val="Arial"/>
      <family val="2"/>
      <charset val="1"/>
    </font>
    <font>
      <b val="true"/>
      <sz val="14"/>
      <color rgb="FF000000"/>
      <name val="Arial"/>
      <family val="2"/>
      <charset val="1"/>
    </font>
    <font>
      <b val="true"/>
      <sz val="12"/>
      <color rgb="FF000000"/>
      <name val="Arial"/>
      <family val="2"/>
      <charset val="1"/>
    </font>
    <font>
      <sz val="14"/>
      <color rgb="FF000000"/>
      <name val="Arial"/>
      <family val="2"/>
      <charset val="1"/>
    </font>
    <font>
      <sz val="12"/>
      <color rgb="FF000000"/>
      <name val="Arial"/>
      <family val="2"/>
      <charset val="1"/>
    </font>
    <font>
      <b val="true"/>
      <sz val="10"/>
      <color rgb="FF000000"/>
      <name val="Arial"/>
      <family val="2"/>
      <charset val="1"/>
    </font>
    <font>
      <b val="true"/>
      <sz val="11"/>
      <color rgb="FF000000"/>
      <name val="Arial"/>
      <family val="2"/>
      <charset val="1"/>
    </font>
    <font>
      <sz val="11"/>
      <color rgb="FF212529"/>
      <name val="Source Sans Pro"/>
      <family val="2"/>
      <charset val="1"/>
    </font>
    <font>
      <b val="true"/>
      <sz val="10"/>
      <color rgb="FF000000"/>
      <name val="Arial"/>
      <family val="0"/>
    </font>
    <font>
      <sz val="10"/>
      <color rgb="FF000000"/>
      <name val="Arial"/>
      <family val="0"/>
    </font>
    <font>
      <sz val="10"/>
      <name val="Arial"/>
      <family val="2"/>
      <charset val="1"/>
    </font>
    <font>
      <sz val="11"/>
      <name val="Arial"/>
      <family val="2"/>
      <charset val="1"/>
    </font>
    <font>
      <b val="true"/>
      <sz val="11"/>
      <name val="Arial"/>
      <family val="2"/>
      <charset val="1"/>
    </font>
    <font>
      <b val="true"/>
      <sz val="9"/>
      <color rgb="FF000000"/>
      <name val="Tahoma"/>
      <family val="2"/>
      <charset val="1"/>
    </font>
    <font>
      <sz val="9"/>
      <color rgb="FF000000"/>
      <name val="Tahoma"/>
      <family val="2"/>
      <charset val="1"/>
    </font>
    <font>
      <b val="true"/>
      <sz val="12"/>
      <name val="Arial"/>
      <family val="2"/>
      <charset val="1"/>
    </font>
    <font>
      <b val="true"/>
      <sz val="10"/>
      <name val="Arial"/>
      <family val="2"/>
      <charset val="1"/>
    </font>
    <font>
      <sz val="8"/>
      <color rgb="FF000000"/>
      <name val="Verdana"/>
      <family val="2"/>
      <charset val="1"/>
    </font>
    <font>
      <u val="single"/>
      <sz val="11"/>
      <color rgb="FF0563C1"/>
      <name val="Calibri"/>
      <family val="2"/>
      <charset val="1"/>
    </font>
    <font>
      <i val="true"/>
      <sz val="10"/>
      <color rgb="FF000000"/>
      <name val="Arial"/>
      <family val="2"/>
      <charset val="1"/>
    </font>
    <font>
      <b val="true"/>
      <i val="true"/>
      <sz val="11"/>
      <color rgb="FF000000"/>
      <name val="Arial"/>
      <family val="2"/>
      <charset val="1"/>
    </font>
    <font>
      <sz val="8"/>
      <color rgb="FF000000"/>
      <name val="Arial"/>
      <family val="2"/>
      <charset val="1"/>
    </font>
    <font>
      <sz val="11"/>
      <color rgb="FF000000"/>
      <name val="Cambria Math"/>
      <family val="0"/>
    </font>
    <font>
      <sz val="11"/>
      <color rgb="FF000000"/>
      <name val="Calibri"/>
      <family val="0"/>
    </font>
    <font>
      <sz val="11"/>
      <name val="Calibri"/>
      <family val="2"/>
      <charset val="1"/>
    </font>
    <font>
      <b val="true"/>
      <sz val="16"/>
      <color rgb="FF000000"/>
      <name val="Calibri"/>
      <family val="2"/>
      <charset val="1"/>
    </font>
    <font>
      <b val="true"/>
      <sz val="14"/>
      <name val="Arial"/>
      <family val="2"/>
      <charset val="1"/>
    </font>
    <font>
      <b val="true"/>
      <sz val="8"/>
      <name val="Arial"/>
      <family val="2"/>
      <charset val="1"/>
    </font>
    <font>
      <sz val="8"/>
      <name val="Verdana"/>
      <family val="2"/>
      <charset val="1"/>
    </font>
  </fonts>
  <fills count="13">
    <fill>
      <patternFill patternType="none"/>
    </fill>
    <fill>
      <patternFill patternType="gray125"/>
    </fill>
    <fill>
      <patternFill patternType="solid">
        <fgColor rgb="FFFFFFFF"/>
        <bgColor rgb="FFFFF2CC"/>
      </patternFill>
    </fill>
    <fill>
      <patternFill patternType="solid">
        <fgColor rgb="FFD9D9D9"/>
        <bgColor rgb="FFDAE3F3"/>
      </patternFill>
    </fill>
    <fill>
      <patternFill patternType="solid">
        <fgColor rgb="FFFAC090"/>
        <bgColor rgb="FFCCCCCC"/>
      </patternFill>
    </fill>
    <fill>
      <patternFill patternType="solid">
        <fgColor rgb="FFE46C0A"/>
        <bgColor rgb="FFFF9900"/>
      </patternFill>
    </fill>
    <fill>
      <patternFill patternType="solid">
        <fgColor rgb="FFFFFF00"/>
        <bgColor rgb="FFFFFF00"/>
      </patternFill>
    </fill>
    <fill>
      <patternFill patternType="solid">
        <fgColor rgb="FFCCCCCC"/>
        <bgColor rgb="FFD9D9D9"/>
      </patternFill>
    </fill>
    <fill>
      <patternFill patternType="solid">
        <fgColor rgb="FFE6E6FF"/>
        <bgColor rgb="FFDAE3F3"/>
      </patternFill>
    </fill>
    <fill>
      <patternFill patternType="solid">
        <fgColor rgb="FFDAE3F3"/>
        <bgColor rgb="FFE6E6FF"/>
      </patternFill>
    </fill>
    <fill>
      <patternFill patternType="solid">
        <fgColor rgb="FFFBE5D6"/>
        <bgColor rgb="FFFFF2CC"/>
      </patternFill>
    </fill>
    <fill>
      <patternFill patternType="solid">
        <fgColor rgb="FFE2F0D9"/>
        <bgColor rgb="FFDAE3F3"/>
      </patternFill>
    </fill>
    <fill>
      <patternFill patternType="solid">
        <fgColor rgb="FFFFF2CC"/>
        <bgColor rgb="FFFBE5D6"/>
      </patternFill>
    </fill>
  </fills>
  <borders count="28">
    <border diagonalUp="false" diagonalDown="false">
      <left/>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style="medium"/>
      <top/>
      <botto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right/>
      <top style="thin"/>
      <bottom style="hair"/>
      <diagonal/>
    </border>
    <border diagonalUp="false" diagonalDown="false">
      <left/>
      <right style="thin"/>
      <top style="thin"/>
      <bottom style="hair"/>
      <diagonal/>
    </border>
    <border diagonalUp="false" diagonalDown="false">
      <left/>
      <right/>
      <top style="hair"/>
      <bottom style="thin"/>
      <diagonal/>
    </border>
    <border diagonalUp="false" diagonalDown="false">
      <left/>
      <right style="thin"/>
      <top style="hair"/>
      <bottom style="thin"/>
      <diagonal/>
    </border>
    <border diagonalUp="false" diagonalDown="false">
      <left style="hair"/>
      <right style="hair"/>
      <top style="hair"/>
      <bottom style="hair"/>
      <diagonal/>
    </border>
    <border diagonalUp="false" diagonalDown="false">
      <left style="thin"/>
      <right/>
      <top/>
      <bottom/>
      <diagonal/>
    </border>
    <border diagonalUp="false" diagonalDown="false">
      <left/>
      <right style="thin"/>
      <top/>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5" fontId="0" fillId="0" borderId="0" applyFont="true" applyBorder="false" applyAlignment="true" applyProtection="false">
      <alignment horizontal="general" vertical="bottom" textRotation="0" wrapText="false" indent="0" shrinkToFit="false"/>
    </xf>
    <xf numFmtId="164" fontId="27" fillId="0" borderId="0" applyFont="true" applyBorder="false" applyAlignment="true" applyProtection="false">
      <alignment horizontal="general" vertical="bottom" textRotation="0" wrapText="false" indent="0" shrinkToFit="false"/>
    </xf>
    <xf numFmtId="172" fontId="19" fillId="0" borderId="0" applyFont="true" applyBorder="false" applyAlignment="true" applyProtection="false">
      <alignment horizontal="general" vertical="bottom" textRotation="0" wrapText="false" indent="0" shrinkToFit="false"/>
    </xf>
  </cellStyleXfs>
  <cellXfs count="324">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4"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5"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0" fillId="0" borderId="0" xfId="0" applyFont="true" applyBorder="false" applyAlignment="true" applyProtection="false">
      <alignment horizontal="left" vertical="top"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5" fontId="6" fillId="0" borderId="0" xfId="0" applyFont="true" applyBorder="false" applyAlignment="true" applyProtection="false">
      <alignment horizontal="left" vertical="bottom" textRotation="0" wrapText="false" indent="0" shrinkToFit="false"/>
      <protection locked="true" hidden="false"/>
    </xf>
    <xf numFmtId="166" fontId="0" fillId="0" borderId="0" xfId="0" applyFont="true" applyBorder="false" applyAlignment="true" applyProtection="false">
      <alignment horizontal="left" vertical="bottom" textRotation="0" wrapText="false" indent="0" shrinkToFit="false"/>
      <protection locked="true" hidden="false"/>
    </xf>
    <xf numFmtId="164" fontId="7" fillId="0" borderId="6" xfId="0" applyFont="true" applyBorder="true" applyAlignment="true" applyProtection="false">
      <alignment horizontal="left" vertical="bottom" textRotation="0" wrapText="tru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0" fillId="0" borderId="9" xfId="0" applyFont="false" applyBorder="true" applyAlignment="false" applyProtection="false">
      <alignment horizontal="general" vertical="bottom"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false" applyAlignment="true" applyProtection="false">
      <alignment horizontal="general" vertical="center" textRotation="0" wrapText="tru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2"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0" borderId="10" xfId="0" applyFont="true" applyBorder="true" applyAlignment="true" applyProtection="false">
      <alignment horizontal="center" vertical="center" textRotation="0" wrapText="true" indent="0" shrinkToFit="false"/>
      <protection locked="true" hidden="false"/>
    </xf>
    <xf numFmtId="164" fontId="11" fillId="0" borderId="10" xfId="0" applyFont="true" applyBorder="true" applyAlignment="true" applyProtection="false">
      <alignment horizontal="center" vertical="center" textRotation="0" wrapText="false" indent="0" shrinkToFit="false"/>
      <protection locked="true" hidden="false"/>
    </xf>
    <xf numFmtId="167" fontId="12" fillId="0" borderId="10" xfId="0" applyFont="true" applyBorder="tru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4" fontId="13" fillId="0" borderId="10" xfId="0" applyFont="true" applyBorder="true" applyAlignment="true" applyProtection="false">
      <alignment horizontal="left" vertical="center" textRotation="0" wrapText="true" indent="0" shrinkToFit="false"/>
      <protection locked="true" hidden="false"/>
    </xf>
    <xf numFmtId="165" fontId="13" fillId="0" borderId="10" xfId="0" applyFont="true" applyBorder="true" applyAlignment="true" applyProtection="false">
      <alignment horizontal="center" vertical="center" textRotation="0" wrapText="false" indent="0" shrinkToFit="false"/>
      <protection locked="true" hidden="false"/>
    </xf>
    <xf numFmtId="167" fontId="13" fillId="0" borderId="10" xfId="0" applyFont="true" applyBorder="true" applyAlignment="true" applyProtection="false">
      <alignment horizontal="center" vertical="center" textRotation="0" wrapText="false" indent="0" shrinkToFit="false"/>
      <protection locked="true" hidden="false"/>
    </xf>
    <xf numFmtId="167" fontId="12" fillId="0" borderId="0" xfId="0" applyFont="true" applyBorder="false" applyAlignment="true" applyProtection="false">
      <alignment horizontal="general" vertical="center" textRotation="0" wrapText="false" indent="0" shrinkToFit="false"/>
      <protection locked="true" hidden="false"/>
    </xf>
    <xf numFmtId="164" fontId="14" fillId="0" borderId="10" xfId="0" applyFont="true" applyBorder="true" applyAlignment="true" applyProtection="false">
      <alignment horizontal="center" vertical="center" textRotation="0" wrapText="false" indent="0" shrinkToFit="false"/>
      <protection locked="true" hidden="false"/>
    </xf>
    <xf numFmtId="164" fontId="14" fillId="0" borderId="10" xfId="0" applyFont="true" applyBorder="true" applyAlignment="true" applyProtection="false">
      <alignment horizontal="center" vertical="center" textRotation="0" wrapText="true" indent="0" shrinkToFit="false"/>
      <protection locked="true" hidden="false"/>
    </xf>
    <xf numFmtId="168" fontId="14" fillId="2" borderId="10" xfId="0" applyFont="true" applyBorder="true" applyAlignment="true" applyProtection="false">
      <alignment horizontal="center" vertical="center" textRotation="0" wrapText="false" indent="0" shrinkToFit="false"/>
      <protection locked="true" hidden="false"/>
    </xf>
    <xf numFmtId="167" fontId="14" fillId="0" borderId="10"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center" vertical="center" textRotation="0" wrapText="false" indent="0" shrinkToFit="false"/>
      <protection locked="true" hidden="false"/>
    </xf>
    <xf numFmtId="164" fontId="15" fillId="0" borderId="10" xfId="0" applyFont="true" applyBorder="true" applyAlignment="true" applyProtection="false">
      <alignment horizontal="center" vertical="center" textRotation="0" wrapText="false" indent="0" shrinkToFit="false"/>
      <protection locked="true" hidden="false"/>
    </xf>
    <xf numFmtId="164" fontId="8" fillId="0" borderId="10" xfId="0" applyFont="true" applyBorder="true" applyAlignment="true" applyProtection="false">
      <alignment horizontal="center" vertical="center" textRotation="0" wrapText="false" indent="0" shrinkToFit="false"/>
      <protection locked="true" hidden="false"/>
    </xf>
    <xf numFmtId="164" fontId="8" fillId="0" borderId="10" xfId="0" applyFont="true" applyBorder="true" applyAlignment="true" applyProtection="false">
      <alignment horizontal="center" vertical="center" textRotation="0" wrapText="true" indent="0" shrinkToFit="false"/>
      <protection locked="true" hidden="false"/>
    </xf>
    <xf numFmtId="168" fontId="8" fillId="2" borderId="10" xfId="0" applyFont="true" applyBorder="true" applyAlignment="true" applyProtection="false">
      <alignment horizontal="center" vertical="center" textRotation="0" wrapText="false" indent="0" shrinkToFit="false"/>
      <protection locked="true" hidden="false"/>
    </xf>
    <xf numFmtId="167" fontId="8" fillId="0" borderId="10"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general" vertical="center" textRotation="0" wrapText="false" indent="0" shrinkToFit="false"/>
      <protection locked="true" hidden="false"/>
    </xf>
    <xf numFmtId="164" fontId="8" fillId="0" borderId="10" xfId="0" applyFont="true" applyBorder="true" applyAlignment="true" applyProtection="false">
      <alignment horizontal="left" vertical="bottom" textRotation="0" wrapText="false" indent="0" shrinkToFit="false"/>
      <protection locked="true" hidden="false"/>
    </xf>
    <xf numFmtId="164" fontId="8" fillId="0" borderId="10" xfId="0" applyFont="true" applyBorder="true" applyAlignment="false" applyProtection="false">
      <alignment horizontal="general" vertical="bottom" textRotation="0" wrapText="false" indent="0" shrinkToFit="false"/>
      <protection locked="true" hidden="false"/>
    </xf>
    <xf numFmtId="164" fontId="8" fillId="0" borderId="10" xfId="0" applyFont="true" applyBorder="true" applyAlignment="true" applyProtection="false">
      <alignment horizontal="general" vertical="bottom" textRotation="0" wrapText="true" indent="0" shrinkToFit="false"/>
      <protection locked="true" hidden="false"/>
    </xf>
    <xf numFmtId="164" fontId="8" fillId="0" borderId="10" xfId="0" applyFont="true" applyBorder="true" applyAlignment="true" applyProtection="false">
      <alignment horizontal="center" vertical="bottom" textRotation="0" wrapText="false" indent="0" shrinkToFit="false"/>
      <protection locked="true" hidden="false"/>
    </xf>
    <xf numFmtId="168" fontId="8" fillId="2" borderId="10" xfId="0" applyFont="true" applyBorder="true" applyAlignment="true" applyProtection="false">
      <alignment horizontal="center" vertical="bottom" textRotation="0" wrapText="false" indent="0" shrinkToFit="false"/>
      <protection locked="true" hidden="false"/>
    </xf>
    <xf numFmtId="167" fontId="8" fillId="0" borderId="10" xfId="0" applyFont="true" applyBorder="true" applyAlignment="true" applyProtection="false">
      <alignment horizontal="center" vertical="bottom" textRotation="0" wrapText="false" indent="0" shrinkToFit="false"/>
      <protection locked="true" hidden="false"/>
    </xf>
    <xf numFmtId="167" fontId="9" fillId="0" borderId="0" xfId="0" applyFont="true" applyBorder="false" applyAlignment="false" applyProtection="false">
      <alignment horizontal="general" vertical="bottom" textRotation="0" wrapText="false" indent="0" shrinkToFit="false"/>
      <protection locked="true" hidden="false"/>
    </xf>
    <xf numFmtId="169" fontId="9" fillId="0" borderId="0" xfId="17" applyFont="true" applyBorder="true" applyAlignment="false" applyProtection="true">
      <alignment horizontal="general" vertical="bottom" textRotation="0" wrapText="false" indent="0" shrinkToFit="false"/>
      <protection locked="true" hidden="false"/>
    </xf>
    <xf numFmtId="170" fontId="0" fillId="0" borderId="10" xfId="17" applyFont="false" applyBorder="true" applyAlignment="true" applyProtection="true">
      <alignment horizontal="general" vertical="bottom" textRotation="0" wrapText="true" indent="0" shrinkToFit="false"/>
      <protection locked="true" hidden="false"/>
    </xf>
    <xf numFmtId="169" fontId="0" fillId="0" borderId="10" xfId="17" applyFont="false" applyBorder="true" applyAlignment="false" applyProtection="true">
      <alignment horizontal="general" vertical="bottom" textRotation="0" wrapText="false" indent="0" shrinkToFit="false"/>
      <protection locked="true" hidden="false"/>
    </xf>
    <xf numFmtId="170" fontId="0" fillId="0" borderId="10" xfId="17" applyFont="false" applyBorder="true" applyAlignment="false" applyProtection="true">
      <alignment horizontal="general" vertical="bottom" textRotation="0" wrapText="false" indent="0" shrinkToFit="false"/>
      <protection locked="true" hidden="false"/>
    </xf>
    <xf numFmtId="164" fontId="8" fillId="2" borderId="10" xfId="0" applyFont="true" applyBorder="true" applyAlignment="true" applyProtection="false">
      <alignment horizontal="left" vertical="bottom" textRotation="0" wrapText="false" indent="0" shrinkToFit="false"/>
      <protection locked="true" hidden="false"/>
    </xf>
    <xf numFmtId="164" fontId="8" fillId="2" borderId="10" xfId="0" applyFont="true" applyBorder="true" applyAlignment="false" applyProtection="false">
      <alignment horizontal="general" vertical="bottom" textRotation="0" wrapText="false" indent="0" shrinkToFit="false"/>
      <protection locked="true" hidden="false"/>
    </xf>
    <xf numFmtId="164" fontId="8" fillId="2" borderId="10" xfId="0" applyFont="true" applyBorder="true" applyAlignment="true" applyProtection="false">
      <alignment horizontal="center" vertical="bottom" textRotation="0" wrapText="false" indent="0" shrinkToFit="false"/>
      <protection locked="true" hidden="false"/>
    </xf>
    <xf numFmtId="167" fontId="8" fillId="2" borderId="10" xfId="0" applyFont="true" applyBorder="true" applyAlignment="true" applyProtection="false">
      <alignment horizontal="center"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70" fontId="0" fillId="0" borderId="10" xfId="17" applyFont="true" applyBorder="true" applyAlignment="true" applyProtection="true">
      <alignment horizontal="general" vertical="bottom" textRotation="0" wrapText="true" indent="0" shrinkToFit="false"/>
      <protection locked="true" hidden="false"/>
    </xf>
    <xf numFmtId="164" fontId="8" fillId="3" borderId="10" xfId="0" applyFont="true" applyBorder="true" applyAlignment="true" applyProtection="false">
      <alignment horizontal="left" vertical="bottom" textRotation="0" wrapText="false" indent="0" shrinkToFit="false"/>
      <protection locked="true" hidden="false"/>
    </xf>
    <xf numFmtId="164" fontId="8" fillId="3" borderId="10" xfId="0" applyFont="true" applyBorder="true" applyAlignment="false" applyProtection="false">
      <alignment horizontal="general" vertical="bottom" textRotation="0" wrapText="false" indent="0" shrinkToFit="false"/>
      <protection locked="true" hidden="false"/>
    </xf>
    <xf numFmtId="164" fontId="8" fillId="3" borderId="10" xfId="0" applyFont="true" applyBorder="true" applyAlignment="true" applyProtection="false">
      <alignment horizontal="center" vertical="bottom" textRotation="0" wrapText="false" indent="0" shrinkToFit="false"/>
      <protection locked="true" hidden="false"/>
    </xf>
    <xf numFmtId="164" fontId="8" fillId="3" borderId="10" xfId="0" applyFont="true" applyBorder="true" applyAlignment="true" applyProtection="false">
      <alignment horizontal="general" vertical="bottom" textRotation="0" wrapText="true" indent="0" shrinkToFit="false"/>
      <protection locked="true" hidden="false"/>
    </xf>
    <xf numFmtId="167" fontId="8" fillId="3" borderId="10" xfId="0" applyFont="true" applyBorder="true" applyAlignment="true" applyProtection="false">
      <alignment horizontal="center"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7" fontId="14" fillId="0" borderId="11" xfId="0" applyFont="true" applyBorder="true" applyAlignment="true" applyProtection="false">
      <alignment horizontal="right" vertical="center" textRotation="0" wrapText="false" indent="0" shrinkToFit="false"/>
      <protection locked="true" hidden="false"/>
    </xf>
    <xf numFmtId="167" fontId="14" fillId="0" borderId="12" xfId="0" applyFont="true" applyBorder="true" applyAlignment="true" applyProtection="false">
      <alignment horizontal="right" vertical="center" textRotation="0" wrapText="false" indent="0" shrinkToFit="false"/>
      <protection locked="true" hidden="false"/>
    </xf>
    <xf numFmtId="167" fontId="14" fillId="2" borderId="12" xfId="0" applyFont="true" applyBorder="true" applyAlignment="true" applyProtection="false">
      <alignment horizontal="right" vertical="center" textRotation="0" wrapText="false" indent="0" shrinkToFit="false"/>
      <protection locked="true" hidden="false"/>
    </xf>
    <xf numFmtId="167" fontId="14" fillId="0" borderId="13" xfId="0" applyFont="true" applyBorder="true" applyAlignment="true" applyProtection="false">
      <alignment horizontal="right" vertical="center" textRotation="0" wrapText="false" indent="0" shrinkToFit="false"/>
      <protection locked="true" hidden="false"/>
    </xf>
    <xf numFmtId="164" fontId="15" fillId="0" borderId="0" xfId="0" applyFont="true" applyBorder="false" applyAlignment="true" applyProtection="false">
      <alignment horizontal="general" vertical="center" textRotation="0" wrapText="false" indent="0" shrinkToFit="false"/>
      <protection locked="true" hidden="false"/>
    </xf>
    <xf numFmtId="167" fontId="14" fillId="0" borderId="10" xfId="0" applyFont="true" applyBorder="true" applyAlignment="true" applyProtection="false">
      <alignment horizontal="right" vertical="center" textRotation="0" wrapText="false" indent="0" shrinkToFit="false"/>
      <protection locked="true" hidden="false"/>
    </xf>
    <xf numFmtId="167" fontId="14" fillId="0" borderId="10" xfId="0" applyFont="true" applyBorder="true" applyAlignment="true" applyProtection="false">
      <alignment horizontal="general" vertical="center" textRotation="0" wrapText="false" indent="0" shrinkToFit="false"/>
      <protection locked="true" hidden="false"/>
    </xf>
    <xf numFmtId="171" fontId="14" fillId="0" borderId="11" xfId="0" applyFont="true" applyBorder="true" applyAlignment="true" applyProtection="false">
      <alignment horizontal="center" vertical="center" textRotation="0" wrapText="false" indent="0" shrinkToFit="false"/>
      <protection locked="true" hidden="false"/>
    </xf>
    <xf numFmtId="171" fontId="14" fillId="0" borderId="10" xfId="0" applyFont="true" applyBorder="true" applyAlignment="true" applyProtection="false">
      <alignment horizontal="center" vertical="center" textRotation="0" wrapText="false" indent="0" shrinkToFit="false"/>
      <protection locked="true" hidden="false"/>
    </xf>
    <xf numFmtId="167" fontId="14" fillId="0" borderId="11" xfId="0" applyFont="true" applyBorder="true" applyAlignment="true" applyProtection="false">
      <alignment horizontal="center" vertical="center" textRotation="0" wrapText="false" indent="0" shrinkToFit="false"/>
      <protection locked="true" hidden="false"/>
    </xf>
    <xf numFmtId="164" fontId="19" fillId="0" borderId="0" xfId="21" applyFont="false" applyBorder="true" applyAlignment="false" applyProtection="true">
      <alignment horizontal="general" vertical="bottom" textRotation="0" wrapText="false" indent="0" shrinkToFit="false"/>
      <protection locked="true" hidden="false"/>
    </xf>
    <xf numFmtId="164" fontId="20" fillId="0" borderId="0" xfId="21" applyFont="true" applyBorder="true" applyAlignment="false" applyProtection="true">
      <alignment horizontal="general" vertical="bottom" textRotation="0" wrapText="false" indent="0" shrinkToFit="false"/>
      <protection locked="true" hidden="false"/>
    </xf>
    <xf numFmtId="164" fontId="10" fillId="0" borderId="10" xfId="21" applyFont="true" applyBorder="true" applyAlignment="true" applyProtection="true">
      <alignment horizontal="center" vertical="center" textRotation="0" wrapText="true" indent="0" shrinkToFit="false"/>
      <protection locked="true" hidden="false"/>
    </xf>
    <xf numFmtId="164" fontId="11" fillId="0" borderId="10" xfId="21" applyFont="true" applyBorder="true" applyAlignment="true" applyProtection="true">
      <alignment horizontal="center" vertical="center" textRotation="0" wrapText="false" indent="0" shrinkToFit="false"/>
      <protection locked="true" hidden="false"/>
    </xf>
    <xf numFmtId="164" fontId="13" fillId="0" borderId="10" xfId="21" applyFont="true" applyBorder="true" applyAlignment="true" applyProtection="true">
      <alignment horizontal="center" vertical="center" textRotation="0" wrapText="true" indent="0" shrinkToFit="false"/>
      <protection locked="true" hidden="false"/>
    </xf>
    <xf numFmtId="165" fontId="13" fillId="0" borderId="10" xfId="21" applyFont="true" applyBorder="true" applyAlignment="true" applyProtection="true">
      <alignment horizontal="center" vertical="center" textRotation="0" wrapText="false" indent="0" shrinkToFit="false"/>
      <protection locked="true" hidden="false"/>
    </xf>
    <xf numFmtId="165" fontId="13" fillId="0" borderId="14" xfId="21" applyFont="true" applyBorder="true" applyAlignment="true" applyProtection="true">
      <alignment horizontal="center" vertical="center" textRotation="0" wrapText="false" indent="0" shrinkToFit="false"/>
      <protection locked="true" hidden="false"/>
    </xf>
    <xf numFmtId="165" fontId="13" fillId="0" borderId="15" xfId="21" applyFont="true" applyBorder="true" applyAlignment="true" applyProtection="true">
      <alignment horizontal="center" vertical="center" textRotation="0" wrapText="false" indent="0" shrinkToFit="false"/>
      <protection locked="true" hidden="false"/>
    </xf>
    <xf numFmtId="165" fontId="13" fillId="0" borderId="16" xfId="21" applyFont="true" applyBorder="true" applyAlignment="true" applyProtection="true">
      <alignment horizontal="center" vertical="center"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64" fontId="13" fillId="0" borderId="10" xfId="21" applyFont="true" applyBorder="true" applyAlignment="true" applyProtection="true">
      <alignment horizontal="center" vertical="center" textRotation="0" wrapText="false" indent="0" shrinkToFit="false"/>
      <protection locked="true" hidden="false"/>
    </xf>
    <xf numFmtId="164" fontId="13" fillId="0" borderId="17" xfId="21" applyFont="true" applyBorder="true" applyAlignment="true" applyProtection="true">
      <alignment horizontal="center" vertical="center" textRotation="0" wrapText="false" indent="0" shrinkToFit="false"/>
      <protection locked="true" hidden="false"/>
    </xf>
    <xf numFmtId="164" fontId="13" fillId="0" borderId="18" xfId="21" applyFont="true" applyBorder="true" applyAlignment="true" applyProtection="true">
      <alignment horizontal="center" vertical="center" textRotation="0" wrapText="false" indent="0" shrinkToFit="false"/>
      <protection locked="true" hidden="false"/>
    </xf>
    <xf numFmtId="164" fontId="13" fillId="0" borderId="19" xfId="21" applyFont="true" applyBorder="true" applyAlignment="true" applyProtection="true">
      <alignment horizontal="center" vertical="center" textRotation="0" wrapText="false" indent="0" shrinkToFit="false"/>
      <protection locked="true" hidden="false"/>
    </xf>
    <xf numFmtId="164" fontId="9" fillId="0" borderId="0" xfId="21" applyFont="true" applyBorder="true" applyAlignment="false" applyProtection="true">
      <alignment horizontal="general" vertical="bottom" textRotation="0" wrapText="false" indent="0" shrinkToFit="false"/>
      <protection locked="true" hidden="false"/>
    </xf>
    <xf numFmtId="164" fontId="15" fillId="0" borderId="0" xfId="21" applyFont="true" applyBorder="true" applyAlignment="false" applyProtection="true">
      <alignment horizontal="general" vertical="bottom" textRotation="0" wrapText="false" indent="0" shrinkToFit="false"/>
      <protection locked="true" hidden="false"/>
    </xf>
    <xf numFmtId="173" fontId="9" fillId="0" borderId="0" xfId="21" applyFont="true" applyBorder="true" applyAlignment="true" applyProtection="true">
      <alignment horizontal="center" vertical="bottom" textRotation="0" wrapText="false" indent="0" shrinkToFit="false"/>
      <protection locked="true" hidden="false"/>
    </xf>
    <xf numFmtId="171" fontId="9" fillId="0" borderId="0" xfId="21" applyFont="true" applyBorder="true" applyAlignment="true" applyProtection="true">
      <alignment horizontal="center" vertical="bottom" textRotation="0" wrapText="false" indent="0" shrinkToFit="false"/>
      <protection locked="true" hidden="false"/>
    </xf>
    <xf numFmtId="173" fontId="9" fillId="0" borderId="0" xfId="21" applyFont="true" applyBorder="true" applyAlignment="true" applyProtection="true">
      <alignment horizontal="center" vertical="center" textRotation="0" wrapText="false" indent="0" shrinkToFit="false"/>
      <protection locked="true" hidden="false"/>
    </xf>
    <xf numFmtId="173" fontId="9" fillId="0" borderId="0" xfId="21" applyFont="true" applyBorder="true" applyAlignment="false" applyProtection="true">
      <alignment horizontal="general" vertical="bottom" textRotation="0" wrapText="false" indent="0" shrinkToFit="false"/>
      <protection locked="true" hidden="false"/>
    </xf>
    <xf numFmtId="164" fontId="15" fillId="0" borderId="20" xfId="21" applyFont="true" applyBorder="true" applyAlignment="true" applyProtection="true">
      <alignment horizontal="center" vertical="center" textRotation="0" wrapText="false" indent="0" shrinkToFit="false"/>
      <protection locked="true" hidden="false"/>
    </xf>
    <xf numFmtId="164" fontId="15" fillId="0" borderId="20" xfId="21" applyFont="true" applyBorder="true" applyAlignment="true" applyProtection="true">
      <alignment horizontal="center" vertical="center" textRotation="0" wrapText="true" indent="0" shrinkToFit="false"/>
      <protection locked="true" hidden="false"/>
    </xf>
    <xf numFmtId="164" fontId="15" fillId="0" borderId="10" xfId="21" applyFont="true" applyBorder="true" applyAlignment="true" applyProtection="true">
      <alignment horizontal="center" vertical="center" textRotation="0" wrapText="false" indent="0" shrinkToFit="false"/>
      <protection locked="true" hidden="false"/>
    </xf>
    <xf numFmtId="164" fontId="15" fillId="0" borderId="0" xfId="21" applyFont="true" applyBorder="true" applyAlignment="true" applyProtection="true">
      <alignment horizontal="center" vertical="center" textRotation="0" wrapText="false" indent="0" shrinkToFit="false"/>
      <protection locked="true" hidden="false"/>
    </xf>
    <xf numFmtId="164" fontId="9" fillId="0" borderId="0" xfId="21" applyFont="true" applyBorder="true" applyAlignment="true" applyProtection="true">
      <alignment horizontal="center" vertical="bottom" textRotation="0" wrapText="false" indent="0" shrinkToFit="false"/>
      <protection locked="true" hidden="false"/>
    </xf>
    <xf numFmtId="164" fontId="15" fillId="0" borderId="10" xfId="21" applyFont="true" applyBorder="true" applyAlignment="true" applyProtection="true">
      <alignment horizontal="center" vertical="center" textRotation="0" wrapText="true" indent="0" shrinkToFit="false"/>
      <protection locked="true" hidden="false"/>
    </xf>
    <xf numFmtId="164" fontId="9" fillId="0" borderId="0" xfId="21" applyFont="true" applyBorder="true" applyAlignment="true" applyProtection="true">
      <alignment horizontal="center" vertical="bottom" textRotation="0" wrapText="true" indent="0" shrinkToFit="false"/>
      <protection locked="true" hidden="false"/>
    </xf>
    <xf numFmtId="164" fontId="9" fillId="0" borderId="0" xfId="21" applyFont="true" applyBorder="true" applyAlignment="true" applyProtection="true">
      <alignment horizontal="general" vertical="bottom" textRotation="0" wrapText="true" indent="0" shrinkToFit="false"/>
      <protection locked="true" hidden="false"/>
    </xf>
    <xf numFmtId="174" fontId="15" fillId="0" borderId="20" xfId="21" applyFont="true" applyBorder="true" applyAlignment="true" applyProtection="true">
      <alignment horizontal="center" vertical="center" textRotation="0" wrapText="true" indent="0" shrinkToFit="false"/>
      <protection locked="true" hidden="false"/>
    </xf>
    <xf numFmtId="164" fontId="15" fillId="0" borderId="14" xfId="21" applyFont="true" applyBorder="true" applyAlignment="true" applyProtection="true">
      <alignment horizontal="general" vertical="bottom" textRotation="0" wrapText="true" indent="0" shrinkToFit="false"/>
      <protection locked="true" hidden="false"/>
    </xf>
    <xf numFmtId="164" fontId="15" fillId="0" borderId="12" xfId="21" applyFont="true" applyBorder="true" applyAlignment="true" applyProtection="true">
      <alignment horizontal="general" vertical="bottom" textRotation="0" wrapText="true" indent="0" shrinkToFit="false"/>
      <protection locked="true" hidden="false"/>
    </xf>
    <xf numFmtId="173" fontId="9" fillId="0" borderId="12" xfId="21" applyFont="true" applyBorder="true" applyAlignment="true" applyProtection="true">
      <alignment horizontal="center" vertical="bottom" textRotation="0" wrapText="true" indent="0" shrinkToFit="false"/>
      <protection locked="true" hidden="false"/>
    </xf>
    <xf numFmtId="171" fontId="9" fillId="0" borderId="12" xfId="21" applyFont="true" applyBorder="true" applyAlignment="true" applyProtection="true">
      <alignment horizontal="center" vertical="bottom" textRotation="0" wrapText="true" indent="0" shrinkToFit="false"/>
      <protection locked="true" hidden="false"/>
    </xf>
    <xf numFmtId="173" fontId="9" fillId="0" borderId="15" xfId="21" applyFont="true" applyBorder="true" applyAlignment="true" applyProtection="true">
      <alignment horizontal="center" vertical="center" textRotation="0" wrapText="true" indent="0" shrinkToFit="false"/>
      <protection locked="true" hidden="false"/>
    </xf>
    <xf numFmtId="173" fontId="9" fillId="0" borderId="0" xfId="21" applyFont="true" applyBorder="true" applyAlignment="true" applyProtection="true">
      <alignment horizontal="center" vertical="bottom" textRotation="0" wrapText="true" indent="0" shrinkToFit="false"/>
      <protection locked="true" hidden="false"/>
    </xf>
    <xf numFmtId="173" fontId="9" fillId="0" borderId="0" xfId="21" applyFont="true" applyBorder="true" applyAlignment="true" applyProtection="true">
      <alignment horizontal="general" vertical="bottom" textRotation="0" wrapText="true" indent="0" shrinkToFit="false"/>
      <protection locked="true" hidden="false"/>
    </xf>
    <xf numFmtId="164" fontId="9" fillId="0" borderId="14" xfId="0" applyFont="true" applyBorder="true" applyAlignment="true" applyProtection="false">
      <alignment horizontal="general" vertical="center" textRotation="0" wrapText="false" indent="0" shrinkToFit="false"/>
      <protection locked="true" hidden="false"/>
    </xf>
    <xf numFmtId="164" fontId="15" fillId="0" borderId="21" xfId="21" applyFont="true" applyBorder="true" applyAlignment="false" applyProtection="true">
      <alignment horizontal="general" vertical="bottom" textRotation="0" wrapText="false" indent="0" shrinkToFit="false"/>
      <protection locked="true" hidden="false"/>
    </xf>
    <xf numFmtId="173" fontId="9" fillId="0" borderId="21" xfId="21" applyFont="true" applyBorder="true" applyAlignment="true" applyProtection="true">
      <alignment horizontal="center" vertical="bottom" textRotation="0" wrapText="false" indent="0" shrinkToFit="false"/>
      <protection locked="true" hidden="false"/>
    </xf>
    <xf numFmtId="171" fontId="9" fillId="0" borderId="21" xfId="21" applyFont="true" applyBorder="true" applyAlignment="true" applyProtection="true">
      <alignment horizontal="center" vertical="bottom" textRotation="0" wrapText="false" indent="0" shrinkToFit="false"/>
      <protection locked="true" hidden="false"/>
    </xf>
    <xf numFmtId="171" fontId="15" fillId="0" borderId="22" xfId="21" applyFont="true" applyBorder="true" applyAlignment="true" applyProtection="true">
      <alignment horizontal="center" vertical="bottom" textRotation="0" wrapText="false" indent="0" shrinkToFit="false"/>
      <protection locked="true" hidden="false"/>
    </xf>
    <xf numFmtId="171" fontId="20" fillId="4" borderId="10" xfId="21" applyFont="true" applyBorder="true" applyAlignment="true" applyProtection="true">
      <alignment horizontal="center" vertical="center" textRotation="0" wrapText="false" indent="0" shrinkToFit="false"/>
      <protection locked="true" hidden="false"/>
    </xf>
    <xf numFmtId="164" fontId="9" fillId="0" borderId="17" xfId="0" applyFont="true" applyBorder="true" applyAlignment="true" applyProtection="false">
      <alignment horizontal="general" vertical="center" textRotation="0" wrapText="false" indent="0" shrinkToFit="false"/>
      <protection locked="true" hidden="false"/>
    </xf>
    <xf numFmtId="164" fontId="9" fillId="0" borderId="23" xfId="21" applyFont="true" applyBorder="true" applyAlignment="false" applyProtection="true">
      <alignment horizontal="general" vertical="bottom" textRotation="0" wrapText="false" indent="0" shrinkToFit="false"/>
      <protection locked="true" hidden="false"/>
    </xf>
    <xf numFmtId="173" fontId="9" fillId="0" borderId="23" xfId="21" applyFont="true" applyBorder="true" applyAlignment="true" applyProtection="true">
      <alignment horizontal="center" vertical="bottom" textRotation="0" wrapText="false" indent="0" shrinkToFit="false"/>
      <protection locked="true" hidden="false"/>
    </xf>
    <xf numFmtId="173" fontId="15" fillId="0" borderId="24" xfId="21" applyFont="true" applyBorder="true" applyAlignment="true" applyProtection="true">
      <alignment horizontal="center" vertical="bottom" textRotation="0" wrapText="false" indent="0" shrinkToFit="false"/>
      <protection locked="true" hidden="false"/>
    </xf>
    <xf numFmtId="167" fontId="20" fillId="0" borderId="10" xfId="21" applyFont="true" applyBorder="true" applyAlignment="true" applyProtection="true">
      <alignment horizontal="center" vertical="center" textRotation="0" wrapText="false" indent="0" shrinkToFit="false"/>
      <protection locked="true" hidden="false"/>
    </xf>
    <xf numFmtId="164" fontId="9" fillId="0" borderId="21" xfId="21" applyFont="true" applyBorder="true" applyAlignment="false" applyProtection="true">
      <alignment horizontal="general" vertical="bottom" textRotation="0" wrapText="false" indent="0" shrinkToFit="false"/>
      <protection locked="true" hidden="false"/>
    </xf>
    <xf numFmtId="171" fontId="20" fillId="2" borderId="10" xfId="21" applyFont="true" applyBorder="true" applyAlignment="true" applyProtection="true">
      <alignment horizontal="center" vertical="center" textRotation="0" wrapText="false" indent="0" shrinkToFit="false"/>
      <protection locked="true" hidden="false"/>
    </xf>
    <xf numFmtId="175" fontId="9" fillId="0" borderId="0" xfId="21" applyFont="true" applyBorder="true" applyAlignment="false" applyProtection="true">
      <alignment horizontal="general" vertical="bottom" textRotation="0" wrapText="false" indent="0" shrinkToFit="false"/>
      <protection locked="true" hidden="false"/>
    </xf>
    <xf numFmtId="167" fontId="20" fillId="2" borderId="10" xfId="21" applyFont="true" applyBorder="true" applyAlignment="true" applyProtection="true">
      <alignment horizontal="center" vertical="center" textRotation="0" wrapText="false" indent="0" shrinkToFit="false"/>
      <protection locked="true" hidden="false"/>
    </xf>
    <xf numFmtId="164" fontId="21" fillId="3" borderId="14" xfId="21" applyFont="true" applyBorder="true" applyAlignment="true" applyProtection="true">
      <alignment horizontal="left" vertical="bottom" textRotation="0" wrapText="false" indent="0" shrinkToFit="false"/>
      <protection locked="true" hidden="false"/>
    </xf>
    <xf numFmtId="173" fontId="9" fillId="3" borderId="15" xfId="21" applyFont="true" applyBorder="true" applyAlignment="true" applyProtection="true">
      <alignment horizontal="center" vertical="bottom" textRotation="0" wrapText="false" indent="0" shrinkToFit="false"/>
      <protection locked="true" hidden="false"/>
    </xf>
    <xf numFmtId="171" fontId="9" fillId="3" borderId="16" xfId="21" applyFont="true" applyBorder="true" applyAlignment="true" applyProtection="true">
      <alignment horizontal="center" vertical="bottom" textRotation="0" wrapText="false" indent="0" shrinkToFit="false"/>
      <protection locked="true" hidden="false"/>
    </xf>
    <xf numFmtId="171" fontId="15" fillId="3" borderId="12" xfId="21" applyFont="true" applyBorder="true" applyAlignment="true" applyProtection="true">
      <alignment horizontal="center" vertical="bottom" textRotation="0" wrapText="false" indent="0" shrinkToFit="false"/>
      <protection locked="true" hidden="false"/>
    </xf>
    <xf numFmtId="171" fontId="9" fillId="3" borderId="10" xfId="21" applyFont="true" applyBorder="true" applyAlignment="true" applyProtection="true">
      <alignment horizontal="center" vertical="center" textRotation="0" wrapText="false" indent="0" shrinkToFit="false"/>
      <protection locked="true" hidden="false"/>
    </xf>
    <xf numFmtId="175" fontId="9" fillId="0" borderId="0" xfId="19" applyFont="true" applyBorder="true" applyAlignment="true" applyProtection="true">
      <alignment horizontal="center" vertical="bottom" textRotation="0" wrapText="false" indent="0" shrinkToFit="false"/>
      <protection locked="true" hidden="false"/>
    </xf>
    <xf numFmtId="164" fontId="9" fillId="3" borderId="17" xfId="21" applyFont="true" applyBorder="true" applyAlignment="false" applyProtection="true">
      <alignment horizontal="general" vertical="bottom" textRotation="0" wrapText="false" indent="0" shrinkToFit="false"/>
      <protection locked="true" hidden="false"/>
    </xf>
    <xf numFmtId="164" fontId="9" fillId="3" borderId="18" xfId="21" applyFont="true" applyBorder="true" applyAlignment="false" applyProtection="true">
      <alignment horizontal="general" vertical="bottom" textRotation="0" wrapText="false" indent="0" shrinkToFit="false"/>
      <protection locked="true" hidden="false"/>
    </xf>
    <xf numFmtId="173" fontId="9" fillId="3" borderId="18" xfId="21" applyFont="true" applyBorder="true" applyAlignment="true" applyProtection="true">
      <alignment horizontal="center" vertical="bottom" textRotation="0" wrapText="false" indent="0" shrinkToFit="false"/>
      <protection locked="true" hidden="false"/>
    </xf>
    <xf numFmtId="173" fontId="9" fillId="3" borderId="19" xfId="21" applyFont="true" applyBorder="true" applyAlignment="true" applyProtection="true">
      <alignment horizontal="center" vertical="bottom" textRotation="0" wrapText="false" indent="0" shrinkToFit="false"/>
      <protection locked="true" hidden="false"/>
    </xf>
    <xf numFmtId="173" fontId="15" fillId="3" borderId="12" xfId="21" applyFont="true" applyBorder="true" applyAlignment="true" applyProtection="true">
      <alignment horizontal="center" vertical="bottom" textRotation="0" wrapText="false" indent="0" shrinkToFit="false"/>
      <protection locked="true" hidden="false"/>
    </xf>
    <xf numFmtId="167" fontId="9" fillId="3" borderId="10" xfId="21" applyFont="true" applyBorder="true" applyAlignment="true" applyProtection="true">
      <alignment horizontal="center" vertical="center" textRotation="0" wrapText="false" indent="0" shrinkToFit="false"/>
      <protection locked="true" hidden="false"/>
    </xf>
    <xf numFmtId="173" fontId="15" fillId="0" borderId="0" xfId="21" applyFont="true" applyBorder="true" applyAlignment="true" applyProtection="true">
      <alignment horizontal="center" vertical="bottom" textRotation="0" wrapText="false" indent="0" shrinkToFit="false"/>
      <protection locked="true" hidden="false"/>
    </xf>
    <xf numFmtId="167" fontId="9" fillId="0" borderId="0" xfId="21" applyFont="true" applyBorder="true" applyAlignment="true" applyProtection="true">
      <alignment horizontal="center" vertical="center" textRotation="0" wrapText="false" indent="0" shrinkToFit="false"/>
      <protection locked="true" hidden="false"/>
    </xf>
    <xf numFmtId="164" fontId="19" fillId="0" borderId="0" xfId="21" applyFont="false" applyBorder="true" applyAlignment="true" applyProtection="true">
      <alignment horizontal="general" vertical="bottom" textRotation="0" wrapText="true" indent="0" shrinkToFit="false"/>
      <protection locked="true" hidden="false"/>
    </xf>
    <xf numFmtId="164" fontId="24" fillId="0" borderId="10" xfId="21" applyFont="true" applyBorder="true" applyAlignment="true" applyProtection="true">
      <alignment horizontal="center" vertical="center" textRotation="0" wrapText="true" indent="0" shrinkToFit="false"/>
      <protection locked="true" hidden="false"/>
    </xf>
    <xf numFmtId="164" fontId="25" fillId="0" borderId="10" xfId="21" applyFont="true" applyBorder="true" applyAlignment="true" applyProtection="true">
      <alignment horizontal="center" vertical="center" textRotation="0" wrapText="true" indent="0" shrinkToFit="false"/>
      <protection locked="true" hidden="false"/>
    </xf>
    <xf numFmtId="164" fontId="19" fillId="0" borderId="10" xfId="21" applyFont="false" applyBorder="true" applyAlignment="true" applyProtection="true">
      <alignment horizontal="left" vertical="center" textRotation="0" wrapText="true" indent="0" shrinkToFit="false"/>
      <protection locked="true" hidden="false"/>
    </xf>
    <xf numFmtId="165" fontId="19" fillId="0" borderId="10" xfId="15" applyFont="true" applyBorder="true" applyAlignment="true" applyProtection="true">
      <alignment horizontal="center" vertical="center" textRotation="0" wrapText="true" indent="0" shrinkToFit="false"/>
      <protection locked="true" hidden="false"/>
    </xf>
    <xf numFmtId="164" fontId="26" fillId="0" borderId="10" xfId="0" applyFont="true" applyBorder="true" applyAlignment="true" applyProtection="false">
      <alignment horizontal="right" vertical="center" textRotation="0" wrapText="false" indent="0" shrinkToFit="false"/>
      <protection locked="true" hidden="false"/>
    </xf>
    <xf numFmtId="164" fontId="26" fillId="0" borderId="10" xfId="0" applyFont="true" applyBorder="true" applyAlignment="true" applyProtection="false">
      <alignment horizontal="left" vertical="center" textRotation="0" wrapText="true" indent="0" shrinkToFit="false"/>
      <protection locked="true" hidden="false"/>
    </xf>
    <xf numFmtId="164" fontId="26" fillId="0" borderId="10" xfId="0" applyFont="true" applyBorder="true" applyAlignment="true" applyProtection="false">
      <alignment horizontal="center" vertical="center" textRotation="0" wrapText="false" indent="0" shrinkToFit="false"/>
      <protection locked="true" hidden="false"/>
    </xf>
    <xf numFmtId="168" fontId="26" fillId="0" borderId="10" xfId="0" applyFont="true" applyBorder="true" applyAlignment="true" applyProtection="false">
      <alignment horizontal="right" vertical="center" textRotation="0" wrapText="false" indent="0" shrinkToFit="false"/>
      <protection locked="true" hidden="false"/>
    </xf>
    <xf numFmtId="164" fontId="26" fillId="3" borderId="10" xfId="0" applyFont="true" applyBorder="true" applyAlignment="true" applyProtection="false">
      <alignment horizontal="right" vertical="center" textRotation="0" wrapText="false" indent="0" shrinkToFit="false"/>
      <protection locked="true" hidden="false"/>
    </xf>
    <xf numFmtId="168" fontId="26" fillId="3" borderId="10" xfId="0" applyFont="true" applyBorder="true" applyAlignment="true" applyProtection="false">
      <alignment horizontal="left" vertical="top" textRotation="0" wrapText="true" indent="0" shrinkToFit="false"/>
      <protection locked="true" hidden="false"/>
    </xf>
    <xf numFmtId="164" fontId="26" fillId="3" borderId="10" xfId="0" applyFont="true" applyBorder="true" applyAlignment="true" applyProtection="false">
      <alignment horizontal="center" vertical="center" textRotation="0" wrapText="false" indent="0" shrinkToFit="false"/>
      <protection locked="true" hidden="false"/>
    </xf>
    <xf numFmtId="168" fontId="26" fillId="3" borderId="10" xfId="0" applyFont="true" applyBorder="true" applyAlignment="true" applyProtection="false">
      <alignment horizontal="right" vertical="center" textRotation="0" wrapText="false" indent="0" shrinkToFit="false"/>
      <protection locked="true" hidden="false"/>
    </xf>
    <xf numFmtId="164" fontId="26" fillId="2" borderId="10" xfId="0" applyFont="true" applyBorder="true" applyAlignment="true" applyProtection="false">
      <alignment horizontal="right" vertical="center" textRotation="0" wrapText="false" indent="0" shrinkToFit="false"/>
      <protection locked="true" hidden="false"/>
    </xf>
    <xf numFmtId="168" fontId="26" fillId="2" borderId="10" xfId="0" applyFont="true" applyBorder="true" applyAlignment="true" applyProtection="false">
      <alignment horizontal="left" vertical="top" textRotation="0" wrapText="true" indent="0" shrinkToFit="false"/>
      <protection locked="true" hidden="false"/>
    </xf>
    <xf numFmtId="164" fontId="26" fillId="2" borderId="10" xfId="0" applyFont="true" applyBorder="true" applyAlignment="true" applyProtection="false">
      <alignment horizontal="center" vertical="center" textRotation="0" wrapText="false" indent="0" shrinkToFit="false"/>
      <protection locked="true" hidden="false"/>
    </xf>
    <xf numFmtId="164" fontId="8" fillId="0" borderId="0" xfId="21" applyFont="true" applyBorder="true" applyAlignment="false" applyProtection="true">
      <alignment horizontal="general" vertical="bottom" textRotation="0" wrapText="false" indent="0" shrinkToFit="false"/>
      <protection locked="true" hidden="false"/>
    </xf>
    <xf numFmtId="165" fontId="19" fillId="0" borderId="10" xfId="21" applyFont="true" applyBorder="true" applyAlignment="true" applyProtection="true">
      <alignment horizontal="left" vertical="top" textRotation="0" wrapText="true" indent="0" shrinkToFit="false"/>
      <protection locked="true" hidden="false"/>
    </xf>
    <xf numFmtId="165" fontId="19" fillId="0" borderId="20" xfId="21" applyFont="false" applyBorder="true" applyAlignment="true" applyProtection="true">
      <alignment horizontal="center" vertical="top" textRotation="0" wrapText="true" indent="0" shrinkToFit="false"/>
      <protection locked="true" hidden="false"/>
    </xf>
    <xf numFmtId="165" fontId="8" fillId="0" borderId="0" xfId="21" applyFont="true" applyBorder="true" applyAlignment="false" applyProtection="true">
      <alignment horizontal="general" vertical="bottom" textRotation="0" wrapText="false" indent="0" shrinkToFit="false"/>
      <protection locked="true" hidden="false"/>
    </xf>
    <xf numFmtId="165" fontId="19" fillId="0" borderId="10" xfId="21" applyFont="false" applyBorder="true" applyAlignment="true" applyProtection="true">
      <alignment horizontal="center" vertical="center" textRotation="0" wrapText="true" indent="0" shrinkToFit="false"/>
      <protection locked="true" hidden="false"/>
    </xf>
    <xf numFmtId="164" fontId="19" fillId="0" borderId="0" xfId="21" applyFont="true" applyBorder="true" applyAlignment="true" applyProtection="true">
      <alignment horizontal="left" vertical="top" textRotation="0" wrapText="true" indent="0" shrinkToFit="false"/>
      <protection locked="true" hidden="false"/>
    </xf>
    <xf numFmtId="164" fontId="19" fillId="0" borderId="0" xfId="21" applyFont="false" applyBorder="true" applyAlignment="true" applyProtection="true">
      <alignment horizontal="center" vertical="center" textRotation="0" wrapText="true" indent="0" shrinkToFit="false"/>
      <protection locked="true" hidden="false"/>
    </xf>
    <xf numFmtId="164" fontId="19" fillId="0" borderId="0" xfId="21" applyFont="false" applyBorder="true" applyAlignment="true" applyProtection="true">
      <alignment horizontal="center" vertical="top" textRotation="0" wrapText="true" indent="0" shrinkToFit="false"/>
      <protection locked="true" hidden="false"/>
    </xf>
    <xf numFmtId="164" fontId="25" fillId="5" borderId="10" xfId="21" applyFont="true" applyBorder="true" applyAlignment="true" applyProtection="true">
      <alignment horizontal="center" vertical="center" textRotation="0" wrapText="false" indent="0" shrinkToFit="false"/>
      <protection locked="true" hidden="false"/>
    </xf>
    <xf numFmtId="164" fontId="8" fillId="0" borderId="0" xfId="21" applyFont="true" applyBorder="true" applyAlignment="true" applyProtection="true">
      <alignment horizontal="general" vertical="bottom" textRotation="0" wrapText="true" indent="0" shrinkToFit="false"/>
      <protection locked="true" hidden="false"/>
    </xf>
    <xf numFmtId="164" fontId="25" fillId="5" borderId="10" xfId="21" applyFont="true" applyBorder="true" applyAlignment="true" applyProtection="true">
      <alignment horizontal="center" vertical="center" textRotation="0" wrapText="true" indent="0" shrinkToFit="false"/>
      <protection locked="true" hidden="false"/>
    </xf>
    <xf numFmtId="164" fontId="8" fillId="0" borderId="25" xfId="21" applyFont="true" applyBorder="true" applyAlignment="true" applyProtection="true">
      <alignment horizontal="center" vertical="center" textRotation="0" wrapText="true" indent="0" shrinkToFit="false"/>
      <protection locked="true" hidden="false"/>
    </xf>
    <xf numFmtId="164" fontId="8" fillId="0" borderId="10" xfId="21" applyFont="true" applyBorder="true" applyAlignment="true" applyProtection="true">
      <alignment horizontal="left" vertical="center" textRotation="0" wrapText="true" indent="0" shrinkToFit="false"/>
      <protection locked="true" hidden="false"/>
    </xf>
    <xf numFmtId="164" fontId="8" fillId="0" borderId="10" xfId="21" applyFont="true" applyBorder="true" applyAlignment="true" applyProtection="true">
      <alignment horizontal="center" vertical="center" textRotation="0" wrapText="true" indent="0" shrinkToFit="false"/>
      <protection locked="true" hidden="false"/>
    </xf>
    <xf numFmtId="167" fontId="8" fillId="0" borderId="10" xfId="21" applyFont="true" applyBorder="true" applyAlignment="true" applyProtection="true">
      <alignment horizontal="center" vertical="center" textRotation="0" wrapText="true" indent="0" shrinkToFit="false"/>
      <protection locked="true" hidden="false"/>
    </xf>
    <xf numFmtId="164" fontId="25" fillId="3" borderId="10" xfId="21" applyFont="true" applyBorder="true" applyAlignment="true" applyProtection="true">
      <alignment horizontal="center" vertical="center" textRotation="0" wrapText="true" indent="0" shrinkToFit="false"/>
      <protection locked="true" hidden="false"/>
    </xf>
    <xf numFmtId="177" fontId="14" fillId="3" borderId="10" xfId="21" applyFont="true" applyBorder="true" applyAlignment="true" applyProtection="true">
      <alignment horizontal="center" vertical="center" textRotation="0" wrapText="false" indent="0" shrinkToFit="false"/>
      <protection locked="true" hidden="false"/>
    </xf>
    <xf numFmtId="164" fontId="14" fillId="3" borderId="10" xfId="21" applyFont="true" applyBorder="true" applyAlignment="true" applyProtection="true">
      <alignment horizontal="center" vertical="center" textRotation="0" wrapText="false" indent="0" shrinkToFit="false"/>
      <protection locked="true" hidden="false"/>
    </xf>
    <xf numFmtId="164" fontId="8" fillId="0" borderId="10" xfId="21" applyFont="true" applyBorder="true" applyAlignment="false" applyProtection="true">
      <alignment horizontal="general" vertical="bottom" textRotation="0" wrapText="false" indent="0" shrinkToFit="false"/>
      <protection locked="true" hidden="false"/>
    </xf>
    <xf numFmtId="164" fontId="8" fillId="0" borderId="10" xfId="21" applyFont="true" applyBorder="true" applyAlignment="true" applyProtection="true">
      <alignment horizontal="center" vertical="center" textRotation="0" wrapText="false" indent="0" shrinkToFit="false"/>
      <protection locked="true" hidden="false"/>
    </xf>
    <xf numFmtId="169" fontId="8" fillId="0" borderId="10" xfId="21" applyFont="true" applyBorder="true" applyAlignment="true" applyProtection="true">
      <alignment horizontal="center" vertical="center" textRotation="0" wrapText="false" indent="0" shrinkToFit="false"/>
      <protection locked="true" hidden="false"/>
    </xf>
    <xf numFmtId="167" fontId="8" fillId="0" borderId="10" xfId="21" applyFont="true" applyBorder="true" applyAlignment="true" applyProtection="true">
      <alignment horizontal="center" vertical="center" textRotation="0" wrapText="false" indent="0" shrinkToFit="false"/>
      <protection locked="true" hidden="false"/>
    </xf>
    <xf numFmtId="167" fontId="8" fillId="0" borderId="0" xfId="21" applyFont="true" applyBorder="true" applyAlignment="true" applyProtection="true">
      <alignment horizontal="general" vertical="bottom" textRotation="0" wrapText="true" indent="0" shrinkToFit="false"/>
      <protection locked="true" hidden="false"/>
    </xf>
    <xf numFmtId="164" fontId="8" fillId="0" borderId="0" xfId="21" applyFont="true" applyBorder="true" applyAlignment="true" applyProtection="true">
      <alignment horizontal="general" vertical="center" textRotation="0" wrapText="false" indent="0" shrinkToFit="false"/>
      <protection locked="true" hidden="false"/>
    </xf>
    <xf numFmtId="164" fontId="8" fillId="0" borderId="0" xfId="21" applyFont="true" applyBorder="true" applyAlignment="true" applyProtection="true">
      <alignment horizontal="left" vertical="center" textRotation="0" wrapText="false" indent="0" shrinkToFit="false"/>
      <protection locked="true" hidden="false"/>
    </xf>
    <xf numFmtId="164" fontId="8" fillId="0" borderId="0" xfId="21" applyFont="true" applyBorder="true" applyAlignment="true" applyProtection="true">
      <alignment horizontal="center" vertical="bottom" textRotation="0" wrapText="false" indent="0" shrinkToFit="false"/>
      <protection locked="true" hidden="false"/>
    </xf>
    <xf numFmtId="164" fontId="8" fillId="0" borderId="0" xfId="21" applyFont="true" applyBorder="true" applyAlignment="true" applyProtection="true">
      <alignment horizontal="center" vertical="center" textRotation="0" wrapText="false" indent="0" shrinkToFit="false"/>
      <protection locked="true" hidden="false"/>
    </xf>
    <xf numFmtId="164" fontId="8" fillId="0" borderId="10" xfId="21" applyFont="true" applyBorder="true" applyAlignment="true" applyProtection="true">
      <alignment horizontal="left" vertical="center" textRotation="0" wrapText="false" indent="0" shrinkToFit="false"/>
      <protection locked="true" hidden="false"/>
    </xf>
    <xf numFmtId="164" fontId="25" fillId="3" borderId="10" xfId="21" applyFont="true" applyBorder="true" applyAlignment="true" applyProtection="true">
      <alignment horizontal="center" vertical="center" textRotation="0" wrapText="false" indent="0" shrinkToFit="false"/>
      <protection locked="true" hidden="false"/>
    </xf>
    <xf numFmtId="164" fontId="14" fillId="0" borderId="0" xfId="21" applyFont="true" applyBorder="true" applyAlignment="true" applyProtection="true">
      <alignment horizontal="center" vertical="center" textRotation="0" wrapText="false" indent="0" shrinkToFit="false"/>
      <protection locked="true" hidden="false"/>
    </xf>
    <xf numFmtId="169" fontId="8" fillId="0" borderId="0" xfId="21" applyFont="true" applyBorder="true" applyAlignment="true" applyProtection="true">
      <alignment horizontal="center" vertical="center" textRotation="0" wrapText="false" indent="0" shrinkToFit="false"/>
      <protection locked="true" hidden="false"/>
    </xf>
    <xf numFmtId="167" fontId="8" fillId="0" borderId="0" xfId="21" applyFont="true" applyBorder="true" applyAlignment="true" applyProtection="true">
      <alignment horizontal="center" vertical="center" textRotation="0" wrapText="false" indent="0" shrinkToFit="false"/>
      <protection locked="true" hidden="false"/>
    </xf>
    <xf numFmtId="178" fontId="8" fillId="2" borderId="25" xfId="21" applyFont="true" applyBorder="true" applyAlignment="true" applyProtection="true">
      <alignment horizontal="center" vertical="center" textRotation="0" wrapText="true" indent="0" shrinkToFit="false"/>
      <protection locked="true" hidden="false"/>
    </xf>
    <xf numFmtId="164" fontId="8" fillId="2" borderId="10" xfId="21" applyFont="true" applyBorder="true" applyAlignment="true" applyProtection="true">
      <alignment horizontal="center" vertical="center" textRotation="0" wrapText="false" indent="0" shrinkToFit="false"/>
      <protection locked="true" hidden="false"/>
    </xf>
    <xf numFmtId="164" fontId="8" fillId="2" borderId="10" xfId="21" applyFont="true" applyBorder="true" applyAlignment="true" applyProtection="true">
      <alignment horizontal="left" vertical="center" textRotation="0" wrapText="true" indent="0" shrinkToFit="false"/>
      <protection locked="true" hidden="false"/>
    </xf>
    <xf numFmtId="167" fontId="8" fillId="2" borderId="10" xfId="21" applyFont="true" applyBorder="true" applyAlignment="true" applyProtection="true">
      <alignment horizontal="center" vertical="center" textRotation="0" wrapText="false" indent="0" shrinkToFit="false"/>
      <protection locked="true" hidden="false"/>
    </xf>
    <xf numFmtId="164" fontId="8" fillId="2" borderId="10" xfId="21" applyFont="true" applyBorder="true" applyAlignment="false" applyProtection="true">
      <alignment horizontal="general" vertical="bottom" textRotation="0" wrapText="false" indent="0" shrinkToFit="false"/>
      <protection locked="true" hidden="false"/>
    </xf>
    <xf numFmtId="164" fontId="8" fillId="2" borderId="10" xfId="21" applyFont="true" applyBorder="true" applyAlignment="true" applyProtection="true">
      <alignment horizontal="center" vertical="center" textRotation="0" wrapText="true" indent="0" shrinkToFit="false"/>
      <protection locked="true" hidden="false"/>
    </xf>
    <xf numFmtId="164" fontId="8" fillId="2" borderId="10" xfId="21" applyFont="true" applyBorder="true" applyAlignment="true" applyProtection="true">
      <alignment horizontal="left" vertical="center" textRotation="0" wrapText="false" indent="0" shrinkToFit="false"/>
      <protection locked="true" hidden="false"/>
    </xf>
    <xf numFmtId="164" fontId="8" fillId="2" borderId="0" xfId="21" applyFont="true" applyBorder="true" applyAlignment="false" applyProtection="true">
      <alignment horizontal="general" vertical="bottom" textRotation="0" wrapText="false" indent="0" shrinkToFit="false"/>
      <protection locked="true" hidden="false"/>
    </xf>
    <xf numFmtId="164" fontId="27" fillId="0" borderId="10" xfId="20" applyFont="true" applyBorder="true" applyAlignment="true" applyProtection="true">
      <alignment horizontal="general" vertical="bottom" textRotation="0" wrapText="false" indent="0" shrinkToFit="false"/>
      <protection locked="true" hidden="false"/>
    </xf>
    <xf numFmtId="178" fontId="8" fillId="0" borderId="25" xfId="21" applyFont="true" applyBorder="true" applyAlignment="true" applyProtection="true">
      <alignment horizontal="center" vertical="center" textRotation="0" wrapText="true" indent="0" shrinkToFit="false"/>
      <protection locked="true" hidden="false"/>
    </xf>
    <xf numFmtId="164" fontId="19" fillId="0" borderId="0" xfId="0" applyFont="true" applyBorder="false" applyAlignment="true" applyProtection="false">
      <alignment horizontal="center" vertical="center" textRotation="0" wrapText="true" indent="0" shrinkToFit="false"/>
      <protection locked="true" hidden="false"/>
    </xf>
    <xf numFmtId="169" fontId="19" fillId="0" borderId="10" xfId="21" applyFont="false" applyBorder="true" applyAlignment="true" applyProtection="true">
      <alignment horizontal="center" vertical="center" textRotation="0" wrapText="false" indent="0" shrinkToFit="false"/>
      <protection locked="true" hidden="false"/>
    </xf>
    <xf numFmtId="169" fontId="8" fillId="0" borderId="11" xfId="21" applyFont="true" applyBorder="true" applyAlignment="true" applyProtection="true">
      <alignment horizontal="center" vertical="center" textRotation="0" wrapText="false" indent="0" shrinkToFit="false"/>
      <protection locked="true" hidden="false"/>
    </xf>
    <xf numFmtId="169" fontId="8" fillId="0" borderId="0" xfId="17" applyFont="true" applyBorder="true" applyAlignment="true" applyProtection="true">
      <alignment horizontal="general" vertical="bottom" textRotation="0" wrapText="true" indent="0" shrinkToFit="false"/>
      <protection locked="true" hidden="false"/>
    </xf>
    <xf numFmtId="169" fontId="8" fillId="0" borderId="0" xfId="21" applyFont="true" applyBorder="true" applyAlignment="true" applyProtection="true">
      <alignment horizontal="general" vertical="bottom" textRotation="0" wrapText="true" indent="0" shrinkToFit="false"/>
      <protection locked="true" hidden="false"/>
    </xf>
    <xf numFmtId="164" fontId="8" fillId="0" borderId="10" xfId="21" applyFont="true" applyBorder="true" applyAlignment="true" applyProtection="true">
      <alignment horizontal="general" vertical="center" textRotation="0" wrapText="false" indent="0" shrinkToFit="false"/>
      <protection locked="true" hidden="false"/>
    </xf>
    <xf numFmtId="164" fontId="8" fillId="0" borderId="0" xfId="21" applyFont="true" applyBorder="true" applyAlignment="true" applyProtection="true">
      <alignment horizontal="center" vertical="center" textRotation="0" wrapText="true" indent="0" shrinkToFit="false"/>
      <protection locked="true" hidden="false"/>
    </xf>
    <xf numFmtId="164" fontId="19" fillId="2" borderId="0" xfId="0" applyFont="true" applyBorder="false" applyAlignment="true" applyProtection="false">
      <alignment horizontal="center" vertical="center" textRotation="0" wrapText="true" indent="0" shrinkToFit="false"/>
      <protection locked="true" hidden="false"/>
    </xf>
    <xf numFmtId="164" fontId="8" fillId="6" borderId="0" xfId="21" applyFont="true" applyBorder="true" applyAlignment="false" applyProtection="true">
      <alignment horizontal="general" vertical="bottom" textRotation="0" wrapText="fals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9" fontId="8" fillId="2" borderId="11" xfId="21" applyFont="true" applyBorder="true" applyAlignment="true" applyProtection="true">
      <alignment horizontal="center" vertical="center" textRotation="0" wrapText="false" indent="0" shrinkToFit="false"/>
      <protection locked="true" hidden="false"/>
    </xf>
    <xf numFmtId="164" fontId="16" fillId="2" borderId="0" xfId="0" applyFont="true" applyBorder="false" applyAlignment="false" applyProtection="false">
      <alignment horizontal="general" vertical="bottom" textRotation="0" wrapText="false" indent="0" shrinkToFit="false"/>
      <protection locked="true" hidden="false"/>
    </xf>
    <xf numFmtId="164" fontId="27" fillId="0" borderId="10" xfId="20" applyFont="true" applyBorder="true" applyAlignment="true" applyProtection="true">
      <alignment horizontal="center" vertical="center" textRotation="0" wrapText="false" indent="0" shrinkToFit="false"/>
      <protection locked="true" hidden="false"/>
    </xf>
    <xf numFmtId="164" fontId="27" fillId="0" borderId="10" xfId="20" applyFont="true" applyBorder="true" applyAlignment="true" applyProtection="true">
      <alignment horizontal="center" vertical="center" textRotation="0" wrapText="true" indent="0" shrinkToFit="false"/>
      <protection locked="true" hidden="false"/>
    </xf>
    <xf numFmtId="164" fontId="8" fillId="2" borderId="0" xfId="0" applyFont="true" applyBorder="false" applyAlignment="true" applyProtection="false">
      <alignment horizontal="center" vertical="center" textRotation="0" wrapText="true" indent="0" shrinkToFit="false"/>
      <protection locked="true" hidden="false"/>
    </xf>
    <xf numFmtId="164" fontId="0" fillId="0" borderId="0" xfId="21" applyFont="true" applyBorder="true" applyAlignment="false" applyProtection="true">
      <alignment horizontal="general" vertical="bottom" textRotation="0" wrapText="false" indent="0" shrinkToFit="false"/>
      <protection locked="true" hidden="false"/>
    </xf>
    <xf numFmtId="164" fontId="10" fillId="0" borderId="0" xfId="21" applyFont="true" applyBorder="true" applyAlignment="true" applyProtection="true">
      <alignment horizontal="center" vertical="bottom" textRotation="0" wrapText="false" indent="0" shrinkToFit="false"/>
      <protection locked="true" hidden="false"/>
    </xf>
    <xf numFmtId="164" fontId="13" fillId="0" borderId="0" xfId="21" applyFont="true" applyBorder="true" applyAlignment="true" applyProtection="true">
      <alignment horizontal="left" vertical="bottom" textRotation="0" wrapText="true" indent="0" shrinkToFit="false"/>
      <protection locked="true" hidden="false"/>
    </xf>
    <xf numFmtId="164" fontId="9" fillId="0" borderId="25" xfId="21" applyFont="true" applyBorder="true" applyAlignment="true" applyProtection="true">
      <alignment horizontal="center" vertical="bottom" textRotation="0" wrapText="false" indent="0" shrinkToFit="false"/>
      <protection locked="true" hidden="false"/>
    </xf>
    <xf numFmtId="164" fontId="9" fillId="0" borderId="25" xfId="21" applyFont="true" applyBorder="true" applyAlignment="false" applyProtection="true">
      <alignment horizontal="general" vertical="bottom" textRotation="0" wrapText="false" indent="0" shrinkToFit="false"/>
      <protection locked="true" hidden="false"/>
    </xf>
    <xf numFmtId="179" fontId="9" fillId="0" borderId="0" xfId="21" applyFont="true" applyBorder="true" applyAlignment="true" applyProtection="true">
      <alignment horizontal="left" vertical="bottom" textRotation="0" wrapText="false" indent="1" shrinkToFit="false"/>
      <protection locked="true" hidden="false"/>
    </xf>
    <xf numFmtId="164" fontId="15" fillId="7" borderId="25" xfId="21" applyFont="true" applyBorder="true" applyAlignment="true" applyProtection="true">
      <alignment horizontal="center" vertical="center" textRotation="0" wrapText="false" indent="0" shrinkToFit="false"/>
      <protection locked="true" hidden="false"/>
    </xf>
    <xf numFmtId="164" fontId="15" fillId="7" borderId="25" xfId="21" applyFont="true" applyBorder="true" applyAlignment="true" applyProtection="true">
      <alignment horizontal="center" vertical="center" textRotation="0" wrapText="true" indent="0" shrinkToFit="false"/>
      <protection locked="true" hidden="false"/>
    </xf>
    <xf numFmtId="164" fontId="9" fillId="0" borderId="25" xfId="21" applyFont="true" applyBorder="true" applyAlignment="true" applyProtection="true">
      <alignment horizontal="right" vertical="bottom" textRotation="0" wrapText="false" indent="0" shrinkToFit="false"/>
      <protection locked="true" hidden="false"/>
    </xf>
    <xf numFmtId="171" fontId="9" fillId="0" borderId="25" xfId="21" applyFont="true" applyBorder="true" applyAlignment="true" applyProtection="true">
      <alignment horizontal="center" vertical="bottom" textRotation="0" wrapText="false" indent="0" shrinkToFit="false"/>
      <protection locked="true" hidden="false"/>
    </xf>
    <xf numFmtId="171" fontId="9" fillId="0" borderId="0" xfId="21" applyFont="true" applyBorder="true" applyAlignment="true" applyProtection="true">
      <alignment horizontal="left" vertical="bottom" textRotation="0" wrapText="false" indent="0" shrinkToFit="false"/>
      <protection locked="true" hidden="false"/>
    </xf>
    <xf numFmtId="164" fontId="28" fillId="8" borderId="25" xfId="21" applyFont="true" applyBorder="true" applyAlignment="true" applyProtection="true">
      <alignment horizontal="right" vertical="bottom" textRotation="0" wrapText="false" indent="0" shrinkToFit="false"/>
      <protection locked="true" hidden="false"/>
    </xf>
    <xf numFmtId="180" fontId="9" fillId="8" borderId="25" xfId="21" applyFont="true" applyBorder="true" applyAlignment="true" applyProtection="true">
      <alignment horizontal="center" vertical="bottom" textRotation="0" wrapText="false" indent="0" shrinkToFit="false"/>
      <protection locked="true" hidden="false"/>
    </xf>
    <xf numFmtId="181" fontId="9" fillId="8" borderId="25" xfId="21" applyFont="true" applyBorder="true" applyAlignment="true" applyProtection="true">
      <alignment horizontal="center" vertical="bottom" textRotation="0" wrapText="false" indent="0" shrinkToFit="false"/>
      <protection locked="true" hidden="false"/>
    </xf>
    <xf numFmtId="182" fontId="9" fillId="8" borderId="25" xfId="21" applyFont="true" applyBorder="true" applyAlignment="true" applyProtection="true">
      <alignment horizontal="center" vertical="bottom" textRotation="0" wrapText="false" indent="0" shrinkToFit="false"/>
      <protection locked="true" hidden="false"/>
    </xf>
    <xf numFmtId="171" fontId="9" fillId="0" borderId="0" xfId="21" applyFont="true" applyBorder="true" applyAlignment="false" applyProtection="true">
      <alignment horizontal="general" vertical="bottom" textRotation="0" wrapText="false" indent="0" shrinkToFit="false"/>
      <protection locked="true" hidden="false"/>
    </xf>
    <xf numFmtId="164" fontId="15" fillId="7" borderId="25" xfId="21" applyFont="true" applyBorder="true" applyAlignment="true" applyProtection="true">
      <alignment horizontal="right" vertical="bottom" textRotation="0" wrapText="false" indent="0" shrinkToFit="false"/>
      <protection locked="true" hidden="false"/>
    </xf>
    <xf numFmtId="183" fontId="9" fillId="7" borderId="25" xfId="21" applyFont="true" applyBorder="true" applyAlignment="true" applyProtection="true">
      <alignment horizontal="center" vertical="bottom" textRotation="0" wrapText="false" indent="0" shrinkToFit="false"/>
      <protection locked="true" hidden="false"/>
    </xf>
    <xf numFmtId="183" fontId="29" fillId="7" borderId="25" xfId="21" applyFont="true" applyBorder="true" applyAlignment="true" applyProtection="true">
      <alignment horizontal="center" vertical="bottom" textRotation="0" wrapText="false" indent="0" shrinkToFit="false"/>
      <protection locked="true" hidden="false"/>
    </xf>
    <xf numFmtId="184" fontId="10" fillId="0" borderId="0" xfId="21" applyFont="true" applyBorder="true" applyAlignment="true" applyProtection="true">
      <alignment horizontal="center" vertical="bottom" textRotation="0" wrapText="false" indent="0" shrinkToFit="false"/>
      <protection locked="true" hidden="false"/>
    </xf>
    <xf numFmtId="171" fontId="9" fillId="0" borderId="25" xfId="21" applyFont="true" applyBorder="true" applyAlignment="false" applyProtection="true">
      <alignment horizontal="general" vertical="bottom" textRotation="0" wrapText="false" indent="0" shrinkToFit="false"/>
      <protection locked="true" hidden="false"/>
    </xf>
    <xf numFmtId="164" fontId="30" fillId="0" borderId="0" xfId="21" applyFont="true" applyBorder="true" applyAlignment="true" applyProtection="true">
      <alignment horizontal="left" vertical="bottom" textRotation="0" wrapText="true" indent="1" shrinkToFit="false"/>
      <protection locked="true" hidden="false"/>
    </xf>
    <xf numFmtId="164" fontId="14" fillId="0" borderId="10" xfId="21" applyFont="true" applyBorder="true" applyAlignment="true" applyProtection="true">
      <alignment horizontal="center" vertical="center" textRotation="0" wrapText="true" indent="0" shrinkToFit="false"/>
      <protection locked="true" hidden="false"/>
    </xf>
    <xf numFmtId="165" fontId="8" fillId="0" borderId="10" xfId="21" applyFont="true" applyBorder="true" applyAlignment="true" applyProtection="true">
      <alignment horizontal="left" vertical="top" textRotation="0" wrapText="true" indent="0" shrinkToFit="false"/>
      <protection locked="true" hidden="false"/>
    </xf>
    <xf numFmtId="165" fontId="8" fillId="0" borderId="20" xfId="21" applyFont="true" applyBorder="true" applyAlignment="true" applyProtection="true">
      <alignment horizontal="center" vertical="top" textRotation="0" wrapText="true" indent="0" shrinkToFit="false"/>
      <protection locked="true" hidden="false"/>
    </xf>
    <xf numFmtId="165" fontId="8" fillId="0" borderId="10" xfId="21" applyFont="true" applyBorder="true" applyAlignment="true" applyProtection="true">
      <alignment horizontal="center" vertical="center" textRotation="0" wrapText="true" indent="0" shrinkToFit="false"/>
      <protection locked="true" hidden="false"/>
    </xf>
    <xf numFmtId="164" fontId="0" fillId="0" borderId="14" xfId="0" applyFont="false" applyBorder="true" applyAlignment="false" applyProtection="false">
      <alignment horizontal="general" vertical="bottom" textRotation="0" wrapText="false" indent="0" shrinkToFit="false"/>
      <protection locked="true" hidden="false"/>
    </xf>
    <xf numFmtId="164" fontId="0" fillId="0" borderId="15" xfId="0" applyFont="false" applyBorder="true" applyAlignment="false" applyProtection="false">
      <alignment horizontal="general"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9" fontId="0" fillId="0" borderId="0" xfId="17" applyFont="true" applyBorder="true" applyAlignment="false" applyProtection="tru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1" fillId="0" borderId="10" xfId="0" applyFont="true" applyBorder="true" applyAlignment="true" applyProtection="false">
      <alignment horizontal="general" vertical="center" textRotation="0" wrapText="true" indent="0" shrinkToFit="false"/>
      <protection locked="true" hidden="false"/>
    </xf>
    <xf numFmtId="164" fontId="11" fillId="0" borderId="10" xfId="0" applyFont="true" applyBorder="true" applyAlignment="true" applyProtection="false">
      <alignment horizontal="center" vertical="center" textRotation="0" wrapText="true" indent="0" shrinkToFit="false"/>
      <protection locked="true" hidden="false"/>
    </xf>
    <xf numFmtId="171" fontId="0" fillId="0" borderId="0" xfId="19" applyFont="false" applyBorder="true" applyAlignment="false" applyProtection="true">
      <alignment horizontal="general" vertical="bottom" textRotation="0" wrapText="false" indent="0" shrinkToFit="false"/>
      <protection locked="true" hidden="false"/>
    </xf>
    <xf numFmtId="164" fontId="13" fillId="0" borderId="10" xfId="0" applyFont="true" applyBorder="true" applyAlignment="true" applyProtection="false">
      <alignment horizontal="center" vertical="center" textRotation="0" wrapText="true" indent="0" shrinkToFit="false"/>
      <protection locked="true" hidden="false"/>
    </xf>
    <xf numFmtId="169" fontId="12" fillId="0" borderId="0" xfId="0" applyFont="true" applyBorder="false" applyAlignment="true" applyProtection="false">
      <alignment horizontal="general" vertical="center" textRotation="0" wrapText="false" indent="0" shrinkToFit="false"/>
      <protection locked="true" hidden="false"/>
    </xf>
    <xf numFmtId="169" fontId="12" fillId="0" borderId="0" xfId="17" applyFont="true" applyBorder="true" applyAlignment="true" applyProtection="true">
      <alignment horizontal="general" vertical="center" textRotation="0" wrapText="false" indent="0" shrinkToFit="false"/>
      <protection locked="true" hidden="false"/>
    </xf>
    <xf numFmtId="168" fontId="14" fillId="0" borderId="10" xfId="0" applyFont="true" applyBorder="true" applyAlignment="true" applyProtection="false">
      <alignment horizontal="center" vertical="center" textRotation="0" wrapText="false" indent="0" shrinkToFit="false"/>
      <protection locked="true" hidden="false"/>
    </xf>
    <xf numFmtId="167" fontId="14" fillId="0" borderId="10" xfId="0" applyFont="true" applyBorder="true" applyAlignment="true" applyProtection="false">
      <alignment horizontal="center" vertical="center" textRotation="0" wrapText="true" indent="0" shrinkToFit="false"/>
      <protection locked="true" hidden="false"/>
    </xf>
    <xf numFmtId="167" fontId="14" fillId="0" borderId="10" xfId="0" applyFont="true" applyBorder="true" applyAlignment="true" applyProtection="false">
      <alignment horizontal="center" vertical="bottom" textRotation="0" wrapText="true" indent="0" shrinkToFit="false"/>
      <protection locked="true" hidden="false"/>
    </xf>
    <xf numFmtId="169" fontId="14" fillId="0" borderId="10" xfId="17" applyFont="true" applyBorder="true" applyAlignment="true" applyProtection="true">
      <alignment horizontal="center" vertical="center" textRotation="0" wrapText="false" indent="0" shrinkToFit="false"/>
      <protection locked="true" hidden="false"/>
    </xf>
    <xf numFmtId="164" fontId="14" fillId="0" borderId="10" xfId="0" applyFont="true" applyBorder="true" applyAlignment="true" applyProtection="false">
      <alignment horizontal="center" vertical="bottom" textRotation="0" wrapText="false" indent="0" shrinkToFit="false"/>
      <protection locked="true" hidden="false"/>
    </xf>
    <xf numFmtId="185" fontId="14" fillId="0" borderId="10" xfId="0" applyFont="true" applyBorder="true" applyAlignment="true" applyProtection="false">
      <alignment horizontal="center" vertical="center" textRotation="0" wrapText="false" indent="0" shrinkToFit="false"/>
      <protection locked="true" hidden="false"/>
    </xf>
    <xf numFmtId="185" fontId="14" fillId="0" borderId="0" xfId="0" applyFont="true" applyBorder="false" applyAlignment="true" applyProtection="false">
      <alignment horizontal="center" vertical="center" textRotation="0" wrapText="true" indent="0" shrinkToFit="false"/>
      <protection locked="true" hidden="false"/>
    </xf>
    <xf numFmtId="171" fontId="0" fillId="0" borderId="0" xfId="0" applyFont="false" applyBorder="false" applyAlignment="false" applyProtection="false">
      <alignment horizontal="general" vertical="bottom" textRotation="0" wrapText="false" indent="0" shrinkToFit="false"/>
      <protection locked="true" hidden="false"/>
    </xf>
    <xf numFmtId="164" fontId="19" fillId="2" borderId="10" xfId="0" applyFont="true" applyBorder="true" applyAlignment="true" applyProtection="false">
      <alignment horizontal="general" vertical="center" textRotation="0" wrapText="false" indent="0" shrinkToFit="false"/>
      <protection locked="true" hidden="false"/>
    </xf>
    <xf numFmtId="164" fontId="19" fillId="2" borderId="10" xfId="0" applyFont="true" applyBorder="true" applyAlignment="true" applyProtection="false">
      <alignment horizontal="left" vertical="center" textRotation="0" wrapText="true" indent="0" shrinkToFit="false"/>
      <protection locked="true" hidden="false"/>
    </xf>
    <xf numFmtId="164" fontId="19" fillId="2" borderId="10" xfId="0" applyFont="true" applyBorder="true" applyAlignment="true" applyProtection="false">
      <alignment horizontal="center" vertical="center" textRotation="0" wrapText="true" indent="0" shrinkToFit="false"/>
      <protection locked="true" hidden="false"/>
    </xf>
    <xf numFmtId="169" fontId="0" fillId="2" borderId="10" xfId="17" applyFont="false" applyBorder="true" applyAlignment="true" applyProtection="true">
      <alignment horizontal="general" vertical="center" textRotation="0" wrapText="false" indent="0" shrinkToFit="false"/>
      <protection locked="true" hidden="false"/>
    </xf>
    <xf numFmtId="169" fontId="19" fillId="2" borderId="10" xfId="17" applyFont="true" applyBorder="true" applyAlignment="true" applyProtection="true">
      <alignment horizontal="left" vertical="center" textRotation="0" wrapText="true" indent="0" shrinkToFit="false"/>
      <protection locked="true" hidden="false"/>
    </xf>
    <xf numFmtId="171" fontId="33" fillId="2" borderId="10" xfId="19" applyFont="true" applyBorder="true" applyAlignment="true" applyProtection="true">
      <alignment horizontal="center" vertical="bottom" textRotation="0" wrapText="false" indent="0" shrinkToFit="false"/>
      <protection locked="true" hidden="false"/>
    </xf>
    <xf numFmtId="171" fontId="33" fillId="2" borderId="10" xfId="0" applyFont="true" applyBorder="true" applyAlignment="true" applyProtection="false">
      <alignment horizontal="center" vertical="bottom" textRotation="0" wrapText="false" indent="0" shrinkToFit="false"/>
      <protection locked="true" hidden="false"/>
    </xf>
    <xf numFmtId="164" fontId="8" fillId="2" borderId="10" xfId="0" applyFont="true" applyBorder="true" applyAlignment="true" applyProtection="false">
      <alignment horizontal="left" vertical="center" textRotation="0" wrapText="true" indent="0" shrinkToFit="false"/>
      <protection locked="true" hidden="false"/>
    </xf>
    <xf numFmtId="164" fontId="8" fillId="2" borderId="10" xfId="0" applyFont="true" applyBorder="true" applyAlignment="true" applyProtection="false">
      <alignment horizontal="center" vertical="center" textRotation="0" wrapText="true" indent="0" shrinkToFit="false"/>
      <protection locked="true" hidden="false"/>
    </xf>
    <xf numFmtId="164" fontId="8" fillId="2" borderId="10" xfId="0" applyFont="true" applyBorder="true" applyAlignment="true" applyProtection="false">
      <alignment horizontal="general" vertical="center" textRotation="0" wrapText="tru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8" fontId="8" fillId="0" borderId="10" xfId="0" applyFont="true" applyBorder="true" applyAlignment="true" applyProtection="false">
      <alignment horizontal="center" vertical="center" textRotation="0" wrapText="false" indent="0" shrinkToFit="false"/>
      <protection locked="true" hidden="false"/>
    </xf>
    <xf numFmtId="168" fontId="8" fillId="0" borderId="10" xfId="0" applyFont="true" applyBorder="true" applyAlignment="true" applyProtection="false">
      <alignment horizontal="center" vertical="bottom" textRotation="0" wrapText="false" indent="0" shrinkToFit="false"/>
      <protection locked="true" hidden="false"/>
    </xf>
    <xf numFmtId="167" fontId="9" fillId="0" borderId="10" xfId="0" applyFont="true" applyBorder="true" applyAlignment="false" applyProtection="false">
      <alignment horizontal="general" vertical="bottom" textRotation="0" wrapText="false" indent="0" shrinkToFit="false"/>
      <protection locked="true" hidden="false"/>
    </xf>
    <xf numFmtId="169" fontId="9" fillId="0" borderId="10" xfId="17" applyFont="true" applyBorder="true" applyAlignment="false" applyProtection="true">
      <alignment horizontal="general" vertical="bottom" textRotation="0" wrapText="false" indent="0" shrinkToFit="false"/>
      <protection locked="true" hidden="false"/>
    </xf>
    <xf numFmtId="164" fontId="9" fillId="0" borderId="10" xfId="0" applyFont="true" applyBorder="true" applyAlignment="false" applyProtection="false">
      <alignment horizontal="general" vertical="bottom" textRotation="0" wrapText="false" indent="0" shrinkToFit="false"/>
      <protection locked="true" hidden="false"/>
    </xf>
    <xf numFmtId="164" fontId="15" fillId="0" borderId="10" xfId="0" applyFont="true" applyBorder="true" applyAlignment="true" applyProtection="false">
      <alignment horizontal="general" vertical="center" textRotation="0" wrapText="false" indent="0" shrinkToFit="false"/>
      <protection locked="true" hidden="false"/>
    </xf>
    <xf numFmtId="167" fontId="15" fillId="0" borderId="10" xfId="0" applyFont="true" applyBorder="true" applyAlignment="true" applyProtection="false">
      <alignment horizontal="general" vertical="center" textRotation="0" wrapText="false" indent="0" shrinkToFit="false"/>
      <protection locked="true" hidden="false"/>
    </xf>
    <xf numFmtId="171" fontId="0" fillId="0" borderId="0" xfId="19" applyFont="true" applyBorder="true" applyAlignment="false" applyProtection="true">
      <alignment horizontal="general" vertical="bottom" textRotation="0" wrapText="false" indent="0" shrinkToFit="false"/>
      <protection locked="true" hidden="false"/>
    </xf>
    <xf numFmtId="164" fontId="20" fillId="0" borderId="0" xfId="0" applyFont="true" applyBorder="false" applyAlignment="true" applyProtection="false">
      <alignment horizontal="left" vertical="center" textRotation="0" wrapText="false" indent="0" shrinkToFit="false"/>
      <protection locked="true" hidden="false"/>
    </xf>
    <xf numFmtId="164" fontId="20" fillId="0" borderId="0" xfId="0" applyFont="true" applyBorder="false" applyAlignment="true" applyProtection="false">
      <alignment horizontal="left"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false" indent="0" shrinkToFit="false"/>
      <protection locked="true" hidden="false"/>
    </xf>
    <xf numFmtId="169" fontId="20" fillId="0" borderId="0" xfId="0" applyFont="true" applyBorder="false" applyAlignment="true" applyProtection="false">
      <alignment horizontal="center" vertical="center" textRotation="0" wrapText="false" indent="0" shrinkToFit="false"/>
      <protection locked="true" hidden="false"/>
    </xf>
    <xf numFmtId="169" fontId="0" fillId="0" borderId="0" xfId="17" applyFont="false" applyBorder="true" applyAlignment="false" applyProtection="tru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false" applyAlignment="true" applyProtection="false">
      <alignment horizontal="left" vertical="center" textRotation="0" wrapText="false" indent="0" shrinkToFit="false"/>
      <protection locked="true" hidden="false"/>
    </xf>
    <xf numFmtId="164" fontId="36" fillId="0" borderId="20" xfId="0" applyFont="true" applyBorder="true" applyAlignment="true" applyProtection="false">
      <alignment horizontal="left" vertical="center" textRotation="0" wrapText="false" indent="0" shrinkToFit="false"/>
      <protection locked="true" hidden="false"/>
    </xf>
    <xf numFmtId="164" fontId="36" fillId="0" borderId="20" xfId="0" applyFont="true" applyBorder="true" applyAlignment="true" applyProtection="false">
      <alignment horizontal="left" vertical="center" textRotation="0" wrapText="true" indent="0" shrinkToFit="false"/>
      <protection locked="true" hidden="false"/>
    </xf>
    <xf numFmtId="164" fontId="36" fillId="0" borderId="20" xfId="0" applyFont="true" applyBorder="true" applyAlignment="true" applyProtection="false">
      <alignment horizontal="center" vertical="center" textRotation="0" wrapText="false" indent="0" shrinkToFit="false"/>
      <protection locked="true" hidden="false"/>
    </xf>
    <xf numFmtId="169" fontId="36" fillId="0" borderId="20" xfId="0" applyFont="true" applyBorder="true" applyAlignment="true" applyProtection="false">
      <alignment horizontal="center" vertical="center" textRotation="0" wrapText="false" indent="0" shrinkToFit="false"/>
      <protection locked="true" hidden="false"/>
    </xf>
    <xf numFmtId="164" fontId="37" fillId="9" borderId="0" xfId="0" applyFont="true" applyBorder="false" applyAlignment="true" applyProtection="false">
      <alignment horizontal="left" vertical="bottom" textRotation="0" wrapText="false" indent="0" shrinkToFit="false"/>
      <protection locked="true" hidden="false"/>
    </xf>
    <xf numFmtId="164" fontId="26" fillId="9" borderId="10" xfId="0" applyFont="true" applyBorder="true" applyAlignment="true" applyProtection="false">
      <alignment horizontal="left" vertical="center" textRotation="0" wrapText="true" indent="0" shrinkToFit="false"/>
      <protection locked="true" hidden="false"/>
    </xf>
    <xf numFmtId="164" fontId="26" fillId="9" borderId="10" xfId="0" applyFont="true" applyBorder="true" applyAlignment="true" applyProtection="false">
      <alignment horizontal="center" vertical="center" textRotation="0" wrapText="false" indent="0" shrinkToFit="false"/>
      <protection locked="true" hidden="false"/>
    </xf>
    <xf numFmtId="168" fontId="26" fillId="9" borderId="10" xfId="0" applyFont="true" applyBorder="true" applyAlignment="true" applyProtection="false">
      <alignment horizontal="right" vertical="bottom" textRotation="0" wrapText="false" indent="0" shrinkToFit="false"/>
      <protection locked="true" hidden="false"/>
    </xf>
    <xf numFmtId="169" fontId="37" fillId="9" borderId="10" xfId="0" applyFont="true" applyBorder="true" applyAlignment="true" applyProtection="false">
      <alignment horizontal="center" vertical="center" textRotation="0" wrapText="false" indent="0" shrinkToFit="false"/>
      <protection locked="true" hidden="false"/>
    </xf>
    <xf numFmtId="168" fontId="37" fillId="9" borderId="10" xfId="0" applyFont="true" applyBorder="true" applyAlignment="true" applyProtection="false">
      <alignment horizontal="center" vertical="center" textRotation="0" wrapText="false" indent="0" shrinkToFit="false"/>
      <protection locked="true" hidden="false"/>
    </xf>
    <xf numFmtId="164" fontId="26" fillId="9" borderId="0" xfId="0" applyFont="true" applyBorder="false" applyAlignment="true" applyProtection="false">
      <alignment horizontal="left" vertical="bottom" textRotation="0" wrapText="false" indent="0" shrinkToFit="false"/>
      <protection locked="true" hidden="false"/>
    </xf>
    <xf numFmtId="168" fontId="26" fillId="9" borderId="10" xfId="0" applyFont="true" applyBorder="true" applyAlignment="true" applyProtection="false">
      <alignment horizontal="center" vertical="center"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37" fillId="10" borderId="0" xfId="0" applyFont="true" applyBorder="false" applyAlignment="true" applyProtection="false">
      <alignment horizontal="left" vertical="bottom" textRotation="0" wrapText="false" indent="0" shrinkToFit="false"/>
      <protection locked="true" hidden="false"/>
    </xf>
    <xf numFmtId="164" fontId="26" fillId="10" borderId="10" xfId="0" applyFont="true" applyBorder="true" applyAlignment="true" applyProtection="false">
      <alignment horizontal="left" vertical="center" textRotation="0" wrapText="true" indent="0" shrinkToFit="false"/>
      <protection locked="true" hidden="false"/>
    </xf>
    <xf numFmtId="164" fontId="26" fillId="10" borderId="10" xfId="0" applyFont="true" applyBorder="true" applyAlignment="true" applyProtection="false">
      <alignment horizontal="center" vertical="center" textRotation="0" wrapText="false" indent="0" shrinkToFit="false"/>
      <protection locked="true" hidden="false"/>
    </xf>
    <xf numFmtId="168" fontId="26" fillId="10" borderId="10" xfId="0" applyFont="true" applyBorder="true" applyAlignment="true" applyProtection="false">
      <alignment horizontal="right" vertical="bottom" textRotation="0" wrapText="false" indent="0" shrinkToFit="false"/>
      <protection locked="true" hidden="false"/>
    </xf>
    <xf numFmtId="169" fontId="37" fillId="10" borderId="10" xfId="0" applyFont="true" applyBorder="true" applyAlignment="true" applyProtection="false">
      <alignment horizontal="center" vertical="center" textRotation="0" wrapText="false" indent="0" shrinkToFit="false"/>
      <protection locked="true" hidden="false"/>
    </xf>
    <xf numFmtId="168" fontId="37" fillId="10" borderId="10" xfId="0" applyFont="true" applyBorder="true" applyAlignment="true" applyProtection="false">
      <alignment horizontal="center" vertical="center" textRotation="0" wrapText="false" indent="0" shrinkToFit="false"/>
      <protection locked="true" hidden="false"/>
    </xf>
    <xf numFmtId="164" fontId="37" fillId="11" borderId="0" xfId="0" applyFont="true" applyBorder="false" applyAlignment="true" applyProtection="false">
      <alignment horizontal="left" vertical="bottom" textRotation="0" wrapText="false" indent="0" shrinkToFit="false"/>
      <protection locked="true" hidden="false"/>
    </xf>
    <xf numFmtId="164" fontId="26" fillId="11" borderId="10" xfId="0" applyFont="true" applyBorder="true" applyAlignment="true" applyProtection="false">
      <alignment horizontal="left" vertical="center" textRotation="0" wrapText="true" indent="0" shrinkToFit="false"/>
      <protection locked="true" hidden="false"/>
    </xf>
    <xf numFmtId="164" fontId="26" fillId="11" borderId="10" xfId="0" applyFont="true" applyBorder="true" applyAlignment="true" applyProtection="false">
      <alignment horizontal="center" vertical="center" textRotation="0" wrapText="false" indent="0" shrinkToFit="false"/>
      <protection locked="true" hidden="false"/>
    </xf>
    <xf numFmtId="168" fontId="26" fillId="11" borderId="10" xfId="0" applyFont="true" applyBorder="true" applyAlignment="true" applyProtection="false">
      <alignment horizontal="right" vertical="bottom" textRotation="0" wrapText="false" indent="0" shrinkToFit="false"/>
      <protection locked="true" hidden="false"/>
    </xf>
    <xf numFmtId="169" fontId="37" fillId="11" borderId="10" xfId="0" applyFont="true" applyBorder="true" applyAlignment="true" applyProtection="false">
      <alignment horizontal="center" vertical="center" textRotation="0" wrapText="false" indent="0" shrinkToFit="false"/>
      <protection locked="true" hidden="false"/>
    </xf>
    <xf numFmtId="168" fontId="37" fillId="11" borderId="10" xfId="0" applyFont="true" applyBorder="true" applyAlignment="true" applyProtection="false">
      <alignment horizontal="center" vertical="center" textRotation="0" wrapText="false" indent="0" shrinkToFit="false"/>
      <protection locked="true" hidden="false"/>
    </xf>
    <xf numFmtId="164" fontId="26" fillId="11" borderId="10" xfId="0" applyFont="true" applyBorder="true" applyAlignment="true" applyProtection="false">
      <alignment horizontal="right" vertical="center" textRotation="0" wrapText="false" indent="0" shrinkToFit="false"/>
      <protection locked="true" hidden="false"/>
    </xf>
    <xf numFmtId="164" fontId="37" fillId="12" borderId="0" xfId="0" applyFont="true" applyBorder="false" applyAlignment="true" applyProtection="false">
      <alignment horizontal="left" vertical="bottom" textRotation="0" wrapText="false" indent="0" shrinkToFit="false"/>
      <protection locked="true" hidden="false"/>
    </xf>
    <xf numFmtId="164" fontId="26" fillId="12" borderId="10" xfId="0" applyFont="true" applyBorder="true" applyAlignment="true" applyProtection="false">
      <alignment horizontal="left" vertical="center" textRotation="0" wrapText="true" indent="0" shrinkToFit="false"/>
      <protection locked="true" hidden="false"/>
    </xf>
    <xf numFmtId="164" fontId="26" fillId="12" borderId="10" xfId="0" applyFont="true" applyBorder="true" applyAlignment="true" applyProtection="false">
      <alignment horizontal="center" vertical="center" textRotation="0" wrapText="false" indent="0" shrinkToFit="false"/>
      <protection locked="true" hidden="false"/>
    </xf>
    <xf numFmtId="168" fontId="26" fillId="12" borderId="10" xfId="0" applyFont="true" applyBorder="true" applyAlignment="true" applyProtection="false">
      <alignment horizontal="right" vertical="bottom" textRotation="0" wrapText="false" indent="0" shrinkToFit="false"/>
      <protection locked="true" hidden="false"/>
    </xf>
    <xf numFmtId="169" fontId="37" fillId="12" borderId="10" xfId="0" applyFont="true" applyBorder="true" applyAlignment="true" applyProtection="false">
      <alignment horizontal="center" vertical="center" textRotation="0" wrapText="false" indent="0" shrinkToFit="false"/>
      <protection locked="true" hidden="false"/>
    </xf>
    <xf numFmtId="168" fontId="37" fillId="12" borderId="10" xfId="0" applyFont="true" applyBorder="true" applyAlignment="true" applyProtection="false">
      <alignment horizontal="center" vertical="center" textRotation="0" wrapText="false" indent="0" shrinkToFit="false"/>
      <protection locked="true" hidden="false"/>
    </xf>
    <xf numFmtId="164" fontId="26" fillId="12" borderId="10" xfId="0" applyFont="true" applyBorder="true" applyAlignment="true" applyProtection="false">
      <alignment horizontal="right" vertical="center" textRotation="0" wrapText="false" indent="0" shrinkToFit="false"/>
      <protection locked="true" hidden="false"/>
    </xf>
  </cellXfs>
  <cellStyles count="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1" builtinId="53" customBuiltin="true"/>
    <cellStyle name="*unknown*" xfId="20" builtinId="8" customBuiltin="false"/>
  </cellStyles>
  <dxfs count="54">
    <dxf>
      <font>
        <b val="1"/>
        <i val="0"/>
      </font>
      <fill>
        <patternFill>
          <bgColor rgb="FFD9D9D9"/>
        </patternFill>
      </fill>
    </dxf>
    <dxf>
      <font>
        <color rgb="FFFFFFFF"/>
      </font>
    </dxf>
    <dxf>
      <fill>
        <patternFill>
          <bgColor rgb="FF00B0F0"/>
        </patternFill>
      </fill>
    </dxf>
    <dxf>
      <font>
        <b val="1"/>
        <i val="0"/>
      </font>
      <fill>
        <patternFill>
          <bgColor rgb="FFD9D9D9"/>
        </patternFill>
      </fill>
    </dxf>
    <dxf>
      <fill>
        <patternFill>
          <bgColor rgb="FF00B0F0"/>
        </patternFill>
      </fill>
    </dxf>
    <dxf>
      <font>
        <b val="1"/>
        <i val="0"/>
      </font>
      <fill>
        <patternFill>
          <bgColor rgb="FFD9D9D9"/>
        </patternFill>
      </fill>
    </dxf>
    <dxf>
      <fill>
        <patternFill>
          <bgColor rgb="FF00B0F0"/>
        </patternFill>
      </fill>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ill>
        <patternFill>
          <bgColor rgb="FF00B0F0"/>
        </patternFill>
      </fill>
    </dxf>
    <dxf>
      <font>
        <color rgb="FFFFFFFF"/>
      </font>
    </dxf>
    <dxf>
      <font>
        <b val="1"/>
        <i val="0"/>
      </font>
      <fill>
        <patternFill>
          <bgColor rgb="FFD9D9D9"/>
        </patternFill>
      </fill>
    </dxf>
    <dxf>
      <font>
        <name val="Calibri"/>
        <charset val="1"/>
        <family val="2"/>
        <color rgb="FF000000"/>
      </font>
      <alignment horizontal="general" vertical="bottom" textRotation="0" wrapText="false" indent="0" shrinkToFit="false"/>
    </dxf>
    <dxf>
      <fill>
        <patternFill>
          <bgColor rgb="FFFFC000"/>
        </patternFill>
      </fill>
    </dxf>
    <dxf>
      <fill>
        <patternFill>
          <bgColor rgb="FF00B0F0"/>
        </patternFill>
      </fill>
    </dxf>
    <dxf>
      <font>
        <b val="1"/>
        <i val="0"/>
      </font>
      <fill>
        <patternFill>
          <bgColor rgb="FFD9D9D9"/>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CCCCC"/>
      <rgbColor rgb="FF808080"/>
      <rgbColor rgb="FF9999FF"/>
      <rgbColor rgb="FF993366"/>
      <rgbColor rgb="FFFFF2CC"/>
      <rgbColor rgb="FFDAE3F3"/>
      <rgbColor rgb="FF660066"/>
      <rgbColor rgb="FFFF8080"/>
      <rgbColor rgb="FF0563C1"/>
      <rgbColor rgb="FFD9D9D9"/>
      <rgbColor rgb="FF000080"/>
      <rgbColor rgb="FFFF00FF"/>
      <rgbColor rgb="FFFFFF00"/>
      <rgbColor rgb="FF00FFFF"/>
      <rgbColor rgb="FF800080"/>
      <rgbColor rgb="FF800000"/>
      <rgbColor rgb="FF008080"/>
      <rgbColor rgb="FF0000FF"/>
      <rgbColor rgb="FF00B0F0"/>
      <rgbColor rgb="FFE6E6FF"/>
      <rgbColor rgb="FFE2F0D9"/>
      <rgbColor rgb="FFFBE5D6"/>
      <rgbColor rgb="FF99CCFF"/>
      <rgbColor rgb="FFFF99CC"/>
      <rgbColor rgb="FFCC99FF"/>
      <rgbColor rgb="FFFAC090"/>
      <rgbColor rgb="FF3366FF"/>
      <rgbColor rgb="FF33CCCC"/>
      <rgbColor rgb="FF99CC00"/>
      <rgbColor rgb="FFFFC000"/>
      <rgbColor rgb="FFFF9900"/>
      <rgbColor rgb="FFE46C0A"/>
      <rgbColor rgb="FF558ED5"/>
      <rgbColor rgb="FF969696"/>
      <rgbColor rgb="FF003366"/>
      <rgbColor rgb="FF00B050"/>
      <rgbColor rgb="FF003300"/>
      <rgbColor rgb="FF333300"/>
      <rgbColor rgb="FF993300"/>
      <rgbColor rgb="FF993366"/>
      <rgbColor rgb="FF333399"/>
      <rgbColor rgb="FF212529"/>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4.xml.rels><?xml version="1.0" encoding="UTF-8"?>
<Relationships xmlns="http://schemas.openxmlformats.org/package/2006/relationships"><Relationship Id="rId1" Type="http://schemas.openxmlformats.org/officeDocument/2006/relationships/image" Target="../media/image2.gif"/><Relationship Id="rId2" Type="http://schemas.openxmlformats.org/officeDocument/2006/relationships/image" Target="../media/image3.gif"/><Relationship Id="rId3" Type="http://schemas.openxmlformats.org/officeDocument/2006/relationships/image" Target="../media/image4.gif"/><Relationship Id="rId4" Type="http://schemas.openxmlformats.org/officeDocument/2006/relationships/image" Target="../media/image5.gif"/><Relationship Id="rId5" Type="http://schemas.openxmlformats.org/officeDocument/2006/relationships/image" Target="../media/image6.gif"/><Relationship Id="rId6" Type="http://schemas.openxmlformats.org/officeDocument/2006/relationships/image" Target="../media/image7.gif"/><Relationship Id="rId7" Type="http://schemas.openxmlformats.org/officeDocument/2006/relationships/image" Target="../media/image8.gif"/><Relationship Id="rId8" Type="http://schemas.openxmlformats.org/officeDocument/2006/relationships/image" Target="../media/image9.gif"/><Relationship Id="rId9" Type="http://schemas.openxmlformats.org/officeDocument/2006/relationships/image" Target="../media/image10.gif"/><Relationship Id="rId10" Type="http://schemas.openxmlformats.org/officeDocument/2006/relationships/image" Target="../media/image11.gif"/><Relationship Id="rId11" Type="http://schemas.openxmlformats.org/officeDocument/2006/relationships/image" Target="../media/image12.gif"/><Relationship Id="rId12" Type="http://schemas.openxmlformats.org/officeDocument/2006/relationships/image" Target="../media/image13.gif"/><Relationship Id="rId13" Type="http://schemas.openxmlformats.org/officeDocument/2006/relationships/image" Target="../media/image14.gif"/><Relationship Id="rId14" Type="http://schemas.openxmlformats.org/officeDocument/2006/relationships/image" Target="../media/image15.gif"/><Relationship Id="rId15" Type="http://schemas.openxmlformats.org/officeDocument/2006/relationships/image" Target="../media/image16.gif"/><Relationship Id="rId16" Type="http://schemas.openxmlformats.org/officeDocument/2006/relationships/image" Target="../media/image17.gif"/><Relationship Id="rId17" Type="http://schemas.openxmlformats.org/officeDocument/2006/relationships/image" Target="../media/image18.gif"/><Relationship Id="rId18" Type="http://schemas.openxmlformats.org/officeDocument/2006/relationships/image" Target="../media/image19.gif"/><Relationship Id="rId19" Type="http://schemas.openxmlformats.org/officeDocument/2006/relationships/image" Target="../media/image20.gif"/><Relationship Id="rId20" Type="http://schemas.openxmlformats.org/officeDocument/2006/relationships/image" Target="../media/image21.gif"/><Relationship Id="rId21" Type="http://schemas.openxmlformats.org/officeDocument/2006/relationships/image" Target="../media/image22.gif"/><Relationship Id="rId22" Type="http://schemas.openxmlformats.org/officeDocument/2006/relationships/image" Target="../media/image23.gif"/><Relationship Id="rId23" Type="http://schemas.openxmlformats.org/officeDocument/2006/relationships/image" Target="../media/image24.gif"/><Relationship Id="rId24" Type="http://schemas.openxmlformats.org/officeDocument/2006/relationships/image" Target="../media/image25.gif"/><Relationship Id="rId25" Type="http://schemas.openxmlformats.org/officeDocument/2006/relationships/image" Target="../media/image26.gif"/><Relationship Id="rId26" Type="http://schemas.openxmlformats.org/officeDocument/2006/relationships/image" Target="../media/image27.gif"/><Relationship Id="rId27" Type="http://schemas.openxmlformats.org/officeDocument/2006/relationships/image" Target="../media/image28.gif"/><Relationship Id="rId28" Type="http://schemas.openxmlformats.org/officeDocument/2006/relationships/image" Target="../media/image29.gif"/><Relationship Id="rId29" Type="http://schemas.openxmlformats.org/officeDocument/2006/relationships/image" Target="../media/image30.gif"/><Relationship Id="rId30" Type="http://schemas.openxmlformats.org/officeDocument/2006/relationships/image" Target="../media/image31.gif"/><Relationship Id="rId31" Type="http://schemas.openxmlformats.org/officeDocument/2006/relationships/image" Target="../media/image32.gif"/><Relationship Id="rId32" Type="http://schemas.openxmlformats.org/officeDocument/2006/relationships/image" Target="../media/image33.gif"/><Relationship Id="rId33" Type="http://schemas.openxmlformats.org/officeDocument/2006/relationships/image" Target="../media/image34.gif"/><Relationship Id="rId34" Type="http://schemas.openxmlformats.org/officeDocument/2006/relationships/image" Target="../media/image35.gif"/><Relationship Id="rId35" Type="http://schemas.openxmlformats.org/officeDocument/2006/relationships/image" Target="../media/image36.gif"/><Relationship Id="rId36" Type="http://schemas.openxmlformats.org/officeDocument/2006/relationships/image" Target="../media/image37.gif"/><Relationship Id="rId37" Type="http://schemas.openxmlformats.org/officeDocument/2006/relationships/image" Target="../media/image38.gif"/><Relationship Id="rId38" Type="http://schemas.openxmlformats.org/officeDocument/2006/relationships/image" Target="../media/image39.gif"/><Relationship Id="rId39" Type="http://schemas.openxmlformats.org/officeDocument/2006/relationships/image" Target="../media/image40.gif"/><Relationship Id="rId40" Type="http://schemas.openxmlformats.org/officeDocument/2006/relationships/image" Target="../media/image41.gif"/><Relationship Id="rId41" Type="http://schemas.openxmlformats.org/officeDocument/2006/relationships/image" Target="../media/image42.gif"/><Relationship Id="rId42" Type="http://schemas.openxmlformats.org/officeDocument/2006/relationships/image" Target="../media/image43.gif"/><Relationship Id="rId43" Type="http://schemas.openxmlformats.org/officeDocument/2006/relationships/image" Target="../media/image44.gif"/><Relationship Id="rId44" Type="http://schemas.openxmlformats.org/officeDocument/2006/relationships/image" Target="../media/image45.gif"/><Relationship Id="rId45" Type="http://schemas.openxmlformats.org/officeDocument/2006/relationships/image" Target="../media/image46.gif"/><Relationship Id="rId46" Type="http://schemas.openxmlformats.org/officeDocument/2006/relationships/image" Target="../media/image47.gif"/><Relationship Id="rId47" Type="http://schemas.openxmlformats.org/officeDocument/2006/relationships/image" Target="../media/image48.gif"/><Relationship Id="rId48" Type="http://schemas.openxmlformats.org/officeDocument/2006/relationships/image" Target="../media/image49.gif"/><Relationship Id="rId49" Type="http://schemas.openxmlformats.org/officeDocument/2006/relationships/image" Target="../media/image50.gif"/><Relationship Id="rId50" Type="http://schemas.openxmlformats.org/officeDocument/2006/relationships/image" Target="../media/image51.gif"/><Relationship Id="rId51" Type="http://schemas.openxmlformats.org/officeDocument/2006/relationships/image" Target="../media/image52.gif"/><Relationship Id="rId52" Type="http://schemas.openxmlformats.org/officeDocument/2006/relationships/image" Target="../media/image53.gif"/><Relationship Id="rId53" Type="http://schemas.openxmlformats.org/officeDocument/2006/relationships/image" Target="../media/image54.gif"/><Relationship Id="rId54" Type="http://schemas.openxmlformats.org/officeDocument/2006/relationships/image" Target="../media/image55.gif"/><Relationship Id="rId55" Type="http://schemas.openxmlformats.org/officeDocument/2006/relationships/image" Target="../media/image56.gif"/><Relationship Id="rId56" Type="http://schemas.openxmlformats.org/officeDocument/2006/relationships/image" Target="../media/image57.gif"/><Relationship Id="rId57" Type="http://schemas.openxmlformats.org/officeDocument/2006/relationships/image" Target="../media/image58.gif"/><Relationship Id="rId58" Type="http://schemas.openxmlformats.org/officeDocument/2006/relationships/image" Target="../media/image59.gif"/><Relationship Id="rId59" Type="http://schemas.openxmlformats.org/officeDocument/2006/relationships/image" Target="../media/image60.gif"/><Relationship Id="rId60" Type="http://schemas.openxmlformats.org/officeDocument/2006/relationships/image" Target="../media/image61.gif"/><Relationship Id="rId61" Type="http://schemas.openxmlformats.org/officeDocument/2006/relationships/image" Target="../media/image62.gif"/><Relationship Id="rId62" Type="http://schemas.openxmlformats.org/officeDocument/2006/relationships/image" Target="../media/image63.gif"/><Relationship Id="rId63" Type="http://schemas.openxmlformats.org/officeDocument/2006/relationships/image" Target="../media/image64.gif"/><Relationship Id="rId64" Type="http://schemas.openxmlformats.org/officeDocument/2006/relationships/image" Target="../media/image65.gif"/><Relationship Id="rId65" Type="http://schemas.openxmlformats.org/officeDocument/2006/relationships/image" Target="../media/image66.gif"/><Relationship Id="rId66" Type="http://schemas.openxmlformats.org/officeDocument/2006/relationships/image" Target="../media/image67.gif"/><Relationship Id="rId67" Type="http://schemas.openxmlformats.org/officeDocument/2006/relationships/image" Target="../media/image68.gif"/><Relationship Id="rId68" Type="http://schemas.openxmlformats.org/officeDocument/2006/relationships/image" Target="../media/image69.gif"/><Relationship Id="rId69" Type="http://schemas.openxmlformats.org/officeDocument/2006/relationships/image" Target="../media/image70.gif"/><Relationship Id="rId70" Type="http://schemas.openxmlformats.org/officeDocument/2006/relationships/image" Target="../media/image71.gif"/><Relationship Id="rId71" Type="http://schemas.openxmlformats.org/officeDocument/2006/relationships/image" Target="../media/image72.gif"/><Relationship Id="rId72" Type="http://schemas.openxmlformats.org/officeDocument/2006/relationships/image" Target="../media/image73.gif"/><Relationship Id="rId73" Type="http://schemas.openxmlformats.org/officeDocument/2006/relationships/image" Target="../media/image74.gif"/><Relationship Id="rId74" Type="http://schemas.openxmlformats.org/officeDocument/2006/relationships/image" Target="../media/image75.gif"/><Relationship Id="rId75" Type="http://schemas.openxmlformats.org/officeDocument/2006/relationships/image" Target="../media/image76.gif"/><Relationship Id="rId76" Type="http://schemas.openxmlformats.org/officeDocument/2006/relationships/image" Target="../media/image77.gif"/><Relationship Id="rId77" Type="http://schemas.openxmlformats.org/officeDocument/2006/relationships/image" Target="../media/image78.gif"/><Relationship Id="rId78" Type="http://schemas.openxmlformats.org/officeDocument/2006/relationships/image" Target="../media/image79.gif"/><Relationship Id="rId79" Type="http://schemas.openxmlformats.org/officeDocument/2006/relationships/image" Target="../media/image80.gif"/><Relationship Id="rId80" Type="http://schemas.openxmlformats.org/officeDocument/2006/relationships/image" Target="../media/image81.gif"/><Relationship Id="rId81" Type="http://schemas.openxmlformats.org/officeDocument/2006/relationships/image" Target="../media/image82.gif"/><Relationship Id="rId82" Type="http://schemas.openxmlformats.org/officeDocument/2006/relationships/image" Target="../media/image83.gif"/><Relationship Id="rId83" Type="http://schemas.openxmlformats.org/officeDocument/2006/relationships/image" Target="../media/image84.gif"/><Relationship Id="rId84" Type="http://schemas.openxmlformats.org/officeDocument/2006/relationships/image" Target="../media/image85.gif"/><Relationship Id="rId85" Type="http://schemas.openxmlformats.org/officeDocument/2006/relationships/image" Target="../media/image86.gif"/><Relationship Id="rId86" Type="http://schemas.openxmlformats.org/officeDocument/2006/relationships/image" Target="../media/image87.gif"/><Relationship Id="rId87" Type="http://schemas.openxmlformats.org/officeDocument/2006/relationships/image" Target="../media/image88.gif"/><Relationship Id="rId88" Type="http://schemas.openxmlformats.org/officeDocument/2006/relationships/image" Target="../media/image89.gif"/><Relationship Id="rId89" Type="http://schemas.openxmlformats.org/officeDocument/2006/relationships/image" Target="../media/image90.gif"/><Relationship Id="rId90" Type="http://schemas.openxmlformats.org/officeDocument/2006/relationships/image" Target="../media/image91.gif"/><Relationship Id="rId91" Type="http://schemas.openxmlformats.org/officeDocument/2006/relationships/image" Target="../media/image92.gif"/><Relationship Id="rId92" Type="http://schemas.openxmlformats.org/officeDocument/2006/relationships/image" Target="../media/image93.gif"/><Relationship Id="rId93" Type="http://schemas.openxmlformats.org/officeDocument/2006/relationships/image" Target="../media/image94.gif"/><Relationship Id="rId94" Type="http://schemas.openxmlformats.org/officeDocument/2006/relationships/image" Target="../media/image95.gif"/><Relationship Id="rId95" Type="http://schemas.openxmlformats.org/officeDocument/2006/relationships/image" Target="../media/image96.gif"/><Relationship Id="rId96" Type="http://schemas.openxmlformats.org/officeDocument/2006/relationships/image" Target="../media/image97.gif"/><Relationship Id="rId97" Type="http://schemas.openxmlformats.org/officeDocument/2006/relationships/image" Target="../media/image98.gif"/><Relationship Id="rId98" Type="http://schemas.openxmlformats.org/officeDocument/2006/relationships/image" Target="../media/image99.gif"/><Relationship Id="rId99" Type="http://schemas.openxmlformats.org/officeDocument/2006/relationships/image" Target="../media/image100.gif"/><Relationship Id="rId100" Type="http://schemas.openxmlformats.org/officeDocument/2006/relationships/image" Target="../media/image101.gif"/><Relationship Id="rId101" Type="http://schemas.openxmlformats.org/officeDocument/2006/relationships/image" Target="../media/image102.gif"/><Relationship Id="rId102" Type="http://schemas.openxmlformats.org/officeDocument/2006/relationships/image" Target="../media/image103.gif"/><Relationship Id="rId103" Type="http://schemas.openxmlformats.org/officeDocument/2006/relationships/image" Target="../media/image104.gif"/><Relationship Id="rId104" Type="http://schemas.openxmlformats.org/officeDocument/2006/relationships/image" Target="../media/image105.gif"/><Relationship Id="rId105" Type="http://schemas.openxmlformats.org/officeDocument/2006/relationships/image" Target="../media/image106.gif"/><Relationship Id="rId106" Type="http://schemas.openxmlformats.org/officeDocument/2006/relationships/image" Target="../media/image107.gif"/><Relationship Id="rId107" Type="http://schemas.openxmlformats.org/officeDocument/2006/relationships/image" Target="../media/image108.gif"/><Relationship Id="rId108" Type="http://schemas.openxmlformats.org/officeDocument/2006/relationships/image" Target="../media/image109.gif"/><Relationship Id="rId109" Type="http://schemas.openxmlformats.org/officeDocument/2006/relationships/image" Target="../media/image110.gif"/><Relationship Id="rId110" Type="http://schemas.openxmlformats.org/officeDocument/2006/relationships/image" Target="../media/image111.gif"/><Relationship Id="rId111" Type="http://schemas.openxmlformats.org/officeDocument/2006/relationships/image" Target="../media/image112.gif"/><Relationship Id="rId112" Type="http://schemas.openxmlformats.org/officeDocument/2006/relationships/image" Target="../media/image113.gif"/><Relationship Id="rId113" Type="http://schemas.openxmlformats.org/officeDocument/2006/relationships/image" Target="../media/image114.gif"/><Relationship Id="rId114" Type="http://schemas.openxmlformats.org/officeDocument/2006/relationships/image" Target="../media/image115.gif"/><Relationship Id="rId115" Type="http://schemas.openxmlformats.org/officeDocument/2006/relationships/image" Target="../media/image116.gif"/><Relationship Id="rId116" Type="http://schemas.openxmlformats.org/officeDocument/2006/relationships/image" Target="../media/image117.gif"/><Relationship Id="rId117" Type="http://schemas.openxmlformats.org/officeDocument/2006/relationships/image" Target="../media/image118.gif"/><Relationship Id="rId118" Type="http://schemas.openxmlformats.org/officeDocument/2006/relationships/image" Target="../media/image119.gif"/><Relationship Id="rId119" Type="http://schemas.openxmlformats.org/officeDocument/2006/relationships/image" Target="../media/image120.gif"/><Relationship Id="rId120" Type="http://schemas.openxmlformats.org/officeDocument/2006/relationships/image" Target="../media/image121.gif"/><Relationship Id="rId121" Type="http://schemas.openxmlformats.org/officeDocument/2006/relationships/image" Target="../media/image122.gif"/><Relationship Id="rId122" Type="http://schemas.openxmlformats.org/officeDocument/2006/relationships/image" Target="../media/image123.gif"/><Relationship Id="rId123" Type="http://schemas.openxmlformats.org/officeDocument/2006/relationships/image" Target="../media/image124.gif"/><Relationship Id="rId124" Type="http://schemas.openxmlformats.org/officeDocument/2006/relationships/image" Target="../media/image125.gif"/><Relationship Id="rId125" Type="http://schemas.openxmlformats.org/officeDocument/2006/relationships/image" Target="../media/image126.gif"/><Relationship Id="rId126" Type="http://schemas.openxmlformats.org/officeDocument/2006/relationships/image" Target="../media/image127.gif"/><Relationship Id="rId127" Type="http://schemas.openxmlformats.org/officeDocument/2006/relationships/image" Target="../media/image128.gif"/><Relationship Id="rId128" Type="http://schemas.openxmlformats.org/officeDocument/2006/relationships/image" Target="../media/image129.gif"/><Relationship Id="rId129" Type="http://schemas.openxmlformats.org/officeDocument/2006/relationships/image" Target="../media/image130.gif"/><Relationship Id="rId130" Type="http://schemas.openxmlformats.org/officeDocument/2006/relationships/image" Target="../media/image131.gif"/><Relationship Id="rId131" Type="http://schemas.openxmlformats.org/officeDocument/2006/relationships/image" Target="../media/image132.gif"/><Relationship Id="rId132" Type="http://schemas.openxmlformats.org/officeDocument/2006/relationships/image" Target="../media/image133.gif"/><Relationship Id="rId133" Type="http://schemas.openxmlformats.org/officeDocument/2006/relationships/image" Target="../media/image134.gif"/><Relationship Id="rId134" Type="http://schemas.openxmlformats.org/officeDocument/2006/relationships/image" Target="../media/image135.gif"/><Relationship Id="rId135" Type="http://schemas.openxmlformats.org/officeDocument/2006/relationships/image" Target="../media/image136.gif"/><Relationship Id="rId136" Type="http://schemas.openxmlformats.org/officeDocument/2006/relationships/image" Target="../media/image137.gif"/><Relationship Id="rId137" Type="http://schemas.openxmlformats.org/officeDocument/2006/relationships/image" Target="../media/image138.gif"/><Relationship Id="rId138" Type="http://schemas.openxmlformats.org/officeDocument/2006/relationships/image" Target="../media/image139.gif"/><Relationship Id="rId139" Type="http://schemas.openxmlformats.org/officeDocument/2006/relationships/image" Target="../media/image140.gif"/><Relationship Id="rId140" Type="http://schemas.openxmlformats.org/officeDocument/2006/relationships/image" Target="../media/image141.gif"/><Relationship Id="rId141" Type="http://schemas.openxmlformats.org/officeDocument/2006/relationships/image" Target="../media/image142.gif"/><Relationship Id="rId142" Type="http://schemas.openxmlformats.org/officeDocument/2006/relationships/image" Target="../media/image143.gif"/><Relationship Id="rId143" Type="http://schemas.openxmlformats.org/officeDocument/2006/relationships/image" Target="../media/image144.gif"/><Relationship Id="rId144" Type="http://schemas.openxmlformats.org/officeDocument/2006/relationships/image" Target="../media/image145.gif"/><Relationship Id="rId145" Type="http://schemas.openxmlformats.org/officeDocument/2006/relationships/image" Target="../media/image146.gif"/><Relationship Id="rId146" Type="http://schemas.openxmlformats.org/officeDocument/2006/relationships/image" Target="../media/image147.gif"/><Relationship Id="rId147" Type="http://schemas.openxmlformats.org/officeDocument/2006/relationships/image" Target="../media/image148.gif"/><Relationship Id="rId148" Type="http://schemas.openxmlformats.org/officeDocument/2006/relationships/image" Target="../media/image149.gif"/><Relationship Id="rId149" Type="http://schemas.openxmlformats.org/officeDocument/2006/relationships/image" Target="../media/image150.gif"/><Relationship Id="rId150" Type="http://schemas.openxmlformats.org/officeDocument/2006/relationships/image" Target="../media/image151.gif"/><Relationship Id="rId151" Type="http://schemas.openxmlformats.org/officeDocument/2006/relationships/image" Target="../media/image152.gif"/><Relationship Id="rId152" Type="http://schemas.openxmlformats.org/officeDocument/2006/relationships/image" Target="../media/image153.gif"/><Relationship Id="rId153" Type="http://schemas.openxmlformats.org/officeDocument/2006/relationships/image" Target="../media/image154.gif"/><Relationship Id="rId154" Type="http://schemas.openxmlformats.org/officeDocument/2006/relationships/image" Target="../media/image155.gif"/><Relationship Id="rId155" Type="http://schemas.openxmlformats.org/officeDocument/2006/relationships/image" Target="../media/image156.gif"/><Relationship Id="rId156" Type="http://schemas.openxmlformats.org/officeDocument/2006/relationships/image" Target="../media/image157.gif"/><Relationship Id="rId157" Type="http://schemas.openxmlformats.org/officeDocument/2006/relationships/image" Target="../media/image158.gif"/><Relationship Id="rId158" Type="http://schemas.openxmlformats.org/officeDocument/2006/relationships/image" Target="../media/image159.gif"/><Relationship Id="rId159" Type="http://schemas.openxmlformats.org/officeDocument/2006/relationships/image" Target="../media/image160.gif"/><Relationship Id="rId160" Type="http://schemas.openxmlformats.org/officeDocument/2006/relationships/image" Target="../media/image161.gif"/><Relationship Id="rId161" Type="http://schemas.openxmlformats.org/officeDocument/2006/relationships/image" Target="../media/image162.gif"/><Relationship Id="rId162" Type="http://schemas.openxmlformats.org/officeDocument/2006/relationships/image" Target="../media/image163.gif"/><Relationship Id="rId163" Type="http://schemas.openxmlformats.org/officeDocument/2006/relationships/image" Target="../media/image164.gif"/><Relationship Id="rId164" Type="http://schemas.openxmlformats.org/officeDocument/2006/relationships/image" Target="../media/image165.gif"/><Relationship Id="rId165" Type="http://schemas.openxmlformats.org/officeDocument/2006/relationships/image" Target="../media/image166.gif"/><Relationship Id="rId166" Type="http://schemas.openxmlformats.org/officeDocument/2006/relationships/image" Target="../media/image167.gif"/><Relationship Id="rId167" Type="http://schemas.openxmlformats.org/officeDocument/2006/relationships/image" Target="../media/image168.gif"/><Relationship Id="rId168" Type="http://schemas.openxmlformats.org/officeDocument/2006/relationships/image" Target="../media/image169.gif"/><Relationship Id="rId169" Type="http://schemas.openxmlformats.org/officeDocument/2006/relationships/image" Target="../media/image170.gif"/><Relationship Id="rId170" Type="http://schemas.openxmlformats.org/officeDocument/2006/relationships/image" Target="../media/image171.gif"/><Relationship Id="rId171" Type="http://schemas.openxmlformats.org/officeDocument/2006/relationships/image" Target="../media/image172.gif"/><Relationship Id="rId172" Type="http://schemas.openxmlformats.org/officeDocument/2006/relationships/image" Target="../media/image173.gif"/><Relationship Id="rId173" Type="http://schemas.openxmlformats.org/officeDocument/2006/relationships/image" Target="../media/image174.gif"/><Relationship Id="rId174" Type="http://schemas.openxmlformats.org/officeDocument/2006/relationships/image" Target="../media/image175.gif"/><Relationship Id="rId175" Type="http://schemas.openxmlformats.org/officeDocument/2006/relationships/image" Target="../media/image176.gif"/><Relationship Id="rId176" Type="http://schemas.openxmlformats.org/officeDocument/2006/relationships/image" Target="../media/image177.gif"/><Relationship Id="rId177" Type="http://schemas.openxmlformats.org/officeDocument/2006/relationships/image" Target="../media/image178.gif"/><Relationship Id="rId178" Type="http://schemas.openxmlformats.org/officeDocument/2006/relationships/image" Target="../media/image179.gif"/><Relationship Id="rId179" Type="http://schemas.openxmlformats.org/officeDocument/2006/relationships/image" Target="../media/image180.gif"/><Relationship Id="rId180" Type="http://schemas.openxmlformats.org/officeDocument/2006/relationships/image" Target="../media/image181.gif"/><Relationship Id="rId181" Type="http://schemas.openxmlformats.org/officeDocument/2006/relationships/image" Target="../media/image182.gif"/><Relationship Id="rId182" Type="http://schemas.openxmlformats.org/officeDocument/2006/relationships/image" Target="../media/image183.gif"/><Relationship Id="rId183" Type="http://schemas.openxmlformats.org/officeDocument/2006/relationships/image" Target="../media/image184.gif"/><Relationship Id="rId184" Type="http://schemas.openxmlformats.org/officeDocument/2006/relationships/image" Target="../media/image185.gif"/><Relationship Id="rId185" Type="http://schemas.openxmlformats.org/officeDocument/2006/relationships/image" Target="../media/image186.gif"/><Relationship Id="rId186" Type="http://schemas.openxmlformats.org/officeDocument/2006/relationships/image" Target="../media/image187.gif"/><Relationship Id="rId187" Type="http://schemas.openxmlformats.org/officeDocument/2006/relationships/image" Target="../media/image188.gif"/><Relationship Id="rId188" Type="http://schemas.openxmlformats.org/officeDocument/2006/relationships/image" Target="../media/image189.gif"/><Relationship Id="rId189" Type="http://schemas.openxmlformats.org/officeDocument/2006/relationships/image" Target="../media/image190.gif"/><Relationship Id="rId190" Type="http://schemas.openxmlformats.org/officeDocument/2006/relationships/image" Target="../media/image191.gif"/><Relationship Id="rId191" Type="http://schemas.openxmlformats.org/officeDocument/2006/relationships/image" Target="../media/image192.gif"/><Relationship Id="rId192" Type="http://schemas.openxmlformats.org/officeDocument/2006/relationships/image" Target="../media/image193.gif"/><Relationship Id="rId193" Type="http://schemas.openxmlformats.org/officeDocument/2006/relationships/image" Target="../media/image194.gif"/><Relationship Id="rId194" Type="http://schemas.openxmlformats.org/officeDocument/2006/relationships/image" Target="../media/image195.gif"/><Relationship Id="rId195" Type="http://schemas.openxmlformats.org/officeDocument/2006/relationships/image" Target="../media/image196.gif"/><Relationship Id="rId196" Type="http://schemas.openxmlformats.org/officeDocument/2006/relationships/image" Target="../media/image197.gif"/><Relationship Id="rId197" Type="http://schemas.openxmlformats.org/officeDocument/2006/relationships/image" Target="../media/image198.gif"/><Relationship Id="rId198" Type="http://schemas.openxmlformats.org/officeDocument/2006/relationships/image" Target="../media/image199.gif"/><Relationship Id="rId199" Type="http://schemas.openxmlformats.org/officeDocument/2006/relationships/image" Target="../media/image200.gif"/><Relationship Id="rId200" Type="http://schemas.openxmlformats.org/officeDocument/2006/relationships/image" Target="../media/image201.gif"/><Relationship Id="rId201" Type="http://schemas.openxmlformats.org/officeDocument/2006/relationships/image" Target="../media/image202.gif"/><Relationship Id="rId202" Type="http://schemas.openxmlformats.org/officeDocument/2006/relationships/image" Target="../media/image203.gif"/><Relationship Id="rId203" Type="http://schemas.openxmlformats.org/officeDocument/2006/relationships/image" Target="../media/image204.gif"/><Relationship Id="rId204" Type="http://schemas.openxmlformats.org/officeDocument/2006/relationships/image" Target="../media/image205.gif"/><Relationship Id="rId205" Type="http://schemas.openxmlformats.org/officeDocument/2006/relationships/image" Target="../media/image206.gif"/><Relationship Id="rId206" Type="http://schemas.openxmlformats.org/officeDocument/2006/relationships/image" Target="../media/image207.gif"/><Relationship Id="rId207" Type="http://schemas.openxmlformats.org/officeDocument/2006/relationships/image" Target="../media/image208.gif"/><Relationship Id="rId208" Type="http://schemas.openxmlformats.org/officeDocument/2006/relationships/image" Target="../media/image209.gif"/><Relationship Id="rId209" Type="http://schemas.openxmlformats.org/officeDocument/2006/relationships/image" Target="../media/image210.gif"/><Relationship Id="rId210" Type="http://schemas.openxmlformats.org/officeDocument/2006/relationships/image" Target="../media/image211.gif"/><Relationship Id="rId211" Type="http://schemas.openxmlformats.org/officeDocument/2006/relationships/image" Target="../media/image212.gif"/><Relationship Id="rId212" Type="http://schemas.openxmlformats.org/officeDocument/2006/relationships/image" Target="../media/image213.gif"/><Relationship Id="rId213" Type="http://schemas.openxmlformats.org/officeDocument/2006/relationships/image" Target="../media/image214.gif"/><Relationship Id="rId214" Type="http://schemas.openxmlformats.org/officeDocument/2006/relationships/image" Target="../media/image215.gif"/><Relationship Id="rId215" Type="http://schemas.openxmlformats.org/officeDocument/2006/relationships/image" Target="../media/image216.gif"/><Relationship Id="rId216" Type="http://schemas.openxmlformats.org/officeDocument/2006/relationships/image" Target="../media/image217.gif"/><Relationship Id="rId217" Type="http://schemas.openxmlformats.org/officeDocument/2006/relationships/image" Target="../media/image218.gif"/><Relationship Id="rId218" Type="http://schemas.openxmlformats.org/officeDocument/2006/relationships/image" Target="../media/image219.gif"/><Relationship Id="rId219" Type="http://schemas.openxmlformats.org/officeDocument/2006/relationships/image" Target="../media/image220.gif"/><Relationship Id="rId220" Type="http://schemas.openxmlformats.org/officeDocument/2006/relationships/image" Target="../media/image221.gif"/><Relationship Id="rId221" Type="http://schemas.openxmlformats.org/officeDocument/2006/relationships/image" Target="../media/image222.gif"/><Relationship Id="rId222" Type="http://schemas.openxmlformats.org/officeDocument/2006/relationships/image" Target="../media/image223.gif"/><Relationship Id="rId223" Type="http://schemas.openxmlformats.org/officeDocument/2006/relationships/image" Target="../media/image224.gif"/><Relationship Id="rId224" Type="http://schemas.openxmlformats.org/officeDocument/2006/relationships/image" Target="../media/image225.gif"/><Relationship Id="rId225" Type="http://schemas.openxmlformats.org/officeDocument/2006/relationships/image" Target="../media/image226.gif"/><Relationship Id="rId226" Type="http://schemas.openxmlformats.org/officeDocument/2006/relationships/image" Target="../media/image227.gif"/><Relationship Id="rId227" Type="http://schemas.openxmlformats.org/officeDocument/2006/relationships/image" Target="../media/image228.gif"/><Relationship Id="rId228" Type="http://schemas.openxmlformats.org/officeDocument/2006/relationships/image" Target="../media/image229.gif"/><Relationship Id="rId229" Type="http://schemas.openxmlformats.org/officeDocument/2006/relationships/image" Target="../media/image230.gif"/><Relationship Id="rId230" Type="http://schemas.openxmlformats.org/officeDocument/2006/relationships/image" Target="../media/image231.gif"/><Relationship Id="rId231" Type="http://schemas.openxmlformats.org/officeDocument/2006/relationships/image" Target="../media/image232.gif"/><Relationship Id="rId232" Type="http://schemas.openxmlformats.org/officeDocument/2006/relationships/image" Target="../media/image233.gif"/><Relationship Id="rId233" Type="http://schemas.openxmlformats.org/officeDocument/2006/relationships/image" Target="../media/image234.gif"/><Relationship Id="rId234" Type="http://schemas.openxmlformats.org/officeDocument/2006/relationships/image" Target="../media/image235.gif"/><Relationship Id="rId235" Type="http://schemas.openxmlformats.org/officeDocument/2006/relationships/image" Target="../media/image236.gif"/><Relationship Id="rId236" Type="http://schemas.openxmlformats.org/officeDocument/2006/relationships/image" Target="../media/image237.gif"/><Relationship Id="rId237" Type="http://schemas.openxmlformats.org/officeDocument/2006/relationships/image" Target="../media/image238.gif"/><Relationship Id="rId238" Type="http://schemas.openxmlformats.org/officeDocument/2006/relationships/image" Target="../media/image239.gif"/><Relationship Id="rId239" Type="http://schemas.openxmlformats.org/officeDocument/2006/relationships/image" Target="../media/image240.gif"/><Relationship Id="rId240" Type="http://schemas.openxmlformats.org/officeDocument/2006/relationships/image" Target="../media/image241.gif"/><Relationship Id="rId241" Type="http://schemas.openxmlformats.org/officeDocument/2006/relationships/image" Target="../media/image242.gif"/><Relationship Id="rId242" Type="http://schemas.openxmlformats.org/officeDocument/2006/relationships/image" Target="../media/image243.gif"/><Relationship Id="rId243" Type="http://schemas.openxmlformats.org/officeDocument/2006/relationships/image" Target="../media/image244.gif"/><Relationship Id="rId244" Type="http://schemas.openxmlformats.org/officeDocument/2006/relationships/image" Target="../media/image245.gif"/><Relationship Id="rId245" Type="http://schemas.openxmlformats.org/officeDocument/2006/relationships/image" Target="../media/image246.gif"/><Relationship Id="rId246" Type="http://schemas.openxmlformats.org/officeDocument/2006/relationships/image" Target="../media/image247.gif"/><Relationship Id="rId247" Type="http://schemas.openxmlformats.org/officeDocument/2006/relationships/image" Target="../media/image248.gif"/><Relationship Id="rId248" Type="http://schemas.openxmlformats.org/officeDocument/2006/relationships/image" Target="../media/image249.gif"/><Relationship Id="rId249" Type="http://schemas.openxmlformats.org/officeDocument/2006/relationships/image" Target="../media/image250.gif"/><Relationship Id="rId250" Type="http://schemas.openxmlformats.org/officeDocument/2006/relationships/image" Target="../media/image251.gif"/><Relationship Id="rId251" Type="http://schemas.openxmlformats.org/officeDocument/2006/relationships/image" Target="../media/image252.gif"/><Relationship Id="rId252" Type="http://schemas.openxmlformats.org/officeDocument/2006/relationships/image" Target="../media/image253.gif"/><Relationship Id="rId253" Type="http://schemas.openxmlformats.org/officeDocument/2006/relationships/image" Target="../media/image254.gif"/><Relationship Id="rId254" Type="http://schemas.openxmlformats.org/officeDocument/2006/relationships/image" Target="../media/image255.gif"/><Relationship Id="rId255" Type="http://schemas.openxmlformats.org/officeDocument/2006/relationships/image" Target="../media/image256.gif"/><Relationship Id="rId256" Type="http://schemas.openxmlformats.org/officeDocument/2006/relationships/image" Target="../media/image257.gif"/><Relationship Id="rId257" Type="http://schemas.openxmlformats.org/officeDocument/2006/relationships/image" Target="../media/image258.gif"/><Relationship Id="rId258" Type="http://schemas.openxmlformats.org/officeDocument/2006/relationships/image" Target="../media/image259.gif"/><Relationship Id="rId259" Type="http://schemas.openxmlformats.org/officeDocument/2006/relationships/image" Target="../media/image260.gif"/><Relationship Id="rId260" Type="http://schemas.openxmlformats.org/officeDocument/2006/relationships/image" Target="../media/image261.gif"/><Relationship Id="rId261" Type="http://schemas.openxmlformats.org/officeDocument/2006/relationships/image" Target="../media/image262.gif"/><Relationship Id="rId262" Type="http://schemas.openxmlformats.org/officeDocument/2006/relationships/image" Target="../media/image263.gif"/><Relationship Id="rId263" Type="http://schemas.openxmlformats.org/officeDocument/2006/relationships/image" Target="../media/image264.gif"/><Relationship Id="rId264" Type="http://schemas.openxmlformats.org/officeDocument/2006/relationships/image" Target="../media/image265.gif"/><Relationship Id="rId265" Type="http://schemas.openxmlformats.org/officeDocument/2006/relationships/image" Target="../media/image266.gif"/><Relationship Id="rId266" Type="http://schemas.openxmlformats.org/officeDocument/2006/relationships/image" Target="../media/image267.gif"/><Relationship Id="rId267" Type="http://schemas.openxmlformats.org/officeDocument/2006/relationships/image" Target="../media/image268.gif"/><Relationship Id="rId268" Type="http://schemas.openxmlformats.org/officeDocument/2006/relationships/image" Target="../media/image269.gif"/><Relationship Id="rId269" Type="http://schemas.openxmlformats.org/officeDocument/2006/relationships/image" Target="../media/image270.gif"/><Relationship Id="rId270" Type="http://schemas.openxmlformats.org/officeDocument/2006/relationships/image" Target="../media/image271.gif"/><Relationship Id="rId271" Type="http://schemas.openxmlformats.org/officeDocument/2006/relationships/image" Target="../media/image272.gif"/><Relationship Id="rId272" Type="http://schemas.openxmlformats.org/officeDocument/2006/relationships/image" Target="../media/image273.gif"/><Relationship Id="rId273" Type="http://schemas.openxmlformats.org/officeDocument/2006/relationships/image" Target="../media/image274.gif"/><Relationship Id="rId274" Type="http://schemas.openxmlformats.org/officeDocument/2006/relationships/image" Target="../media/image275.gif"/><Relationship Id="rId275" Type="http://schemas.openxmlformats.org/officeDocument/2006/relationships/image" Target="../media/image276.gif"/><Relationship Id="rId276" Type="http://schemas.openxmlformats.org/officeDocument/2006/relationships/image" Target="../media/image277.gif"/><Relationship Id="rId277" Type="http://schemas.openxmlformats.org/officeDocument/2006/relationships/image" Target="../media/image278.gif"/><Relationship Id="rId278" Type="http://schemas.openxmlformats.org/officeDocument/2006/relationships/image" Target="../media/image279.gif"/><Relationship Id="rId279" Type="http://schemas.openxmlformats.org/officeDocument/2006/relationships/image" Target="../media/image280.gif"/><Relationship Id="rId280" Type="http://schemas.openxmlformats.org/officeDocument/2006/relationships/image" Target="../media/image281.gif"/><Relationship Id="rId281" Type="http://schemas.openxmlformats.org/officeDocument/2006/relationships/image" Target="../media/image282.gif"/><Relationship Id="rId282" Type="http://schemas.openxmlformats.org/officeDocument/2006/relationships/image" Target="../media/image283.gif"/><Relationship Id="rId283" Type="http://schemas.openxmlformats.org/officeDocument/2006/relationships/image" Target="../media/image284.gif"/><Relationship Id="rId284" Type="http://schemas.openxmlformats.org/officeDocument/2006/relationships/image" Target="../media/image285.gif"/><Relationship Id="rId285" Type="http://schemas.openxmlformats.org/officeDocument/2006/relationships/image" Target="../media/image286.gif"/><Relationship Id="rId286" Type="http://schemas.openxmlformats.org/officeDocument/2006/relationships/image" Target="../media/image287.gif"/><Relationship Id="rId287" Type="http://schemas.openxmlformats.org/officeDocument/2006/relationships/image" Target="../media/image288.gif"/><Relationship Id="rId288" Type="http://schemas.openxmlformats.org/officeDocument/2006/relationships/image" Target="../media/image289.gif"/><Relationship Id="rId289" Type="http://schemas.openxmlformats.org/officeDocument/2006/relationships/image" Target="../media/image290.gif"/><Relationship Id="rId290" Type="http://schemas.openxmlformats.org/officeDocument/2006/relationships/image" Target="../media/image291.gif"/><Relationship Id="rId291" Type="http://schemas.openxmlformats.org/officeDocument/2006/relationships/image" Target="../media/image292.gif"/><Relationship Id="rId292" Type="http://schemas.openxmlformats.org/officeDocument/2006/relationships/image" Target="../media/image293.gif"/><Relationship Id="rId293" Type="http://schemas.openxmlformats.org/officeDocument/2006/relationships/image" Target="../media/image294.gif"/><Relationship Id="rId294" Type="http://schemas.openxmlformats.org/officeDocument/2006/relationships/image" Target="../media/image295.gif"/><Relationship Id="rId295" Type="http://schemas.openxmlformats.org/officeDocument/2006/relationships/image" Target="../media/image296.gif"/><Relationship Id="rId296" Type="http://schemas.openxmlformats.org/officeDocument/2006/relationships/image" Target="../media/image297.gif"/><Relationship Id="rId297" Type="http://schemas.openxmlformats.org/officeDocument/2006/relationships/image" Target="../media/image298.gif"/><Relationship Id="rId298" Type="http://schemas.openxmlformats.org/officeDocument/2006/relationships/image" Target="../media/image299.gif"/><Relationship Id="rId299" Type="http://schemas.openxmlformats.org/officeDocument/2006/relationships/image" Target="../media/image300.gif"/><Relationship Id="rId300" Type="http://schemas.openxmlformats.org/officeDocument/2006/relationships/image" Target="../media/image301.gif"/><Relationship Id="rId301" Type="http://schemas.openxmlformats.org/officeDocument/2006/relationships/image" Target="../media/image302.gif"/><Relationship Id="rId302" Type="http://schemas.openxmlformats.org/officeDocument/2006/relationships/image" Target="../media/image303.gif"/><Relationship Id="rId303" Type="http://schemas.openxmlformats.org/officeDocument/2006/relationships/image" Target="../media/image304.gif"/><Relationship Id="rId304" Type="http://schemas.openxmlformats.org/officeDocument/2006/relationships/image" Target="../media/image305.gif"/><Relationship Id="rId305" Type="http://schemas.openxmlformats.org/officeDocument/2006/relationships/image" Target="../media/image306.gif"/><Relationship Id="rId306" Type="http://schemas.openxmlformats.org/officeDocument/2006/relationships/image" Target="../media/image307.gif"/><Relationship Id="rId307" Type="http://schemas.openxmlformats.org/officeDocument/2006/relationships/image" Target="../media/image308.gif"/><Relationship Id="rId308" Type="http://schemas.openxmlformats.org/officeDocument/2006/relationships/image" Target="../media/image309.gif"/><Relationship Id="rId309" Type="http://schemas.openxmlformats.org/officeDocument/2006/relationships/image" Target="../media/image310.gif"/><Relationship Id="rId310" Type="http://schemas.openxmlformats.org/officeDocument/2006/relationships/image" Target="../media/image311.gif"/><Relationship Id="rId311" Type="http://schemas.openxmlformats.org/officeDocument/2006/relationships/image" Target="../media/image312.gif"/><Relationship Id="rId312" Type="http://schemas.openxmlformats.org/officeDocument/2006/relationships/image" Target="../media/image313.gif"/><Relationship Id="rId313" Type="http://schemas.openxmlformats.org/officeDocument/2006/relationships/image" Target="../media/image314.gif"/><Relationship Id="rId314" Type="http://schemas.openxmlformats.org/officeDocument/2006/relationships/image" Target="../media/image315.gif"/><Relationship Id="rId315" Type="http://schemas.openxmlformats.org/officeDocument/2006/relationships/image" Target="../media/image316.gif"/><Relationship Id="rId316" Type="http://schemas.openxmlformats.org/officeDocument/2006/relationships/image" Target="../media/image317.gif"/><Relationship Id="rId317" Type="http://schemas.openxmlformats.org/officeDocument/2006/relationships/image" Target="../media/image318.gif"/><Relationship Id="rId318" Type="http://schemas.openxmlformats.org/officeDocument/2006/relationships/image" Target="../media/image319.gif"/><Relationship Id="rId319" Type="http://schemas.openxmlformats.org/officeDocument/2006/relationships/image" Target="../media/image320.gif"/><Relationship Id="rId320" Type="http://schemas.openxmlformats.org/officeDocument/2006/relationships/image" Target="../media/image321.gif"/><Relationship Id="rId321" Type="http://schemas.openxmlformats.org/officeDocument/2006/relationships/image" Target="../media/image322.gif"/><Relationship Id="rId322" Type="http://schemas.openxmlformats.org/officeDocument/2006/relationships/image" Target="../media/image323.gif"/><Relationship Id="rId323" Type="http://schemas.openxmlformats.org/officeDocument/2006/relationships/image" Target="../media/image324.gif"/><Relationship Id="rId324" Type="http://schemas.openxmlformats.org/officeDocument/2006/relationships/image" Target="../media/image325.gif"/><Relationship Id="rId325" Type="http://schemas.openxmlformats.org/officeDocument/2006/relationships/image" Target="../media/image326.gif"/><Relationship Id="rId326" Type="http://schemas.openxmlformats.org/officeDocument/2006/relationships/image" Target="../media/image327.gif"/><Relationship Id="rId327" Type="http://schemas.openxmlformats.org/officeDocument/2006/relationships/image" Target="../media/image328.gif"/><Relationship Id="rId328" Type="http://schemas.openxmlformats.org/officeDocument/2006/relationships/image" Target="../media/image329.gif"/><Relationship Id="rId329" Type="http://schemas.openxmlformats.org/officeDocument/2006/relationships/image" Target="../media/image330.gif"/><Relationship Id="rId330" Type="http://schemas.openxmlformats.org/officeDocument/2006/relationships/image" Target="../media/image331.gif"/><Relationship Id="rId331" Type="http://schemas.openxmlformats.org/officeDocument/2006/relationships/image" Target="../media/image332.gif"/><Relationship Id="rId332" Type="http://schemas.openxmlformats.org/officeDocument/2006/relationships/image" Target="../media/image333.gif"/><Relationship Id="rId333" Type="http://schemas.openxmlformats.org/officeDocument/2006/relationships/image" Target="../media/image334.gif"/><Relationship Id="rId334" Type="http://schemas.openxmlformats.org/officeDocument/2006/relationships/image" Target="../media/image335.gif"/><Relationship Id="rId335" Type="http://schemas.openxmlformats.org/officeDocument/2006/relationships/image" Target="../media/image336.gif"/><Relationship Id="rId336" Type="http://schemas.openxmlformats.org/officeDocument/2006/relationships/image" Target="../media/image337.gif"/><Relationship Id="rId337" Type="http://schemas.openxmlformats.org/officeDocument/2006/relationships/image" Target="../media/image338.gif"/><Relationship Id="rId338" Type="http://schemas.openxmlformats.org/officeDocument/2006/relationships/image" Target="../media/image339.gif"/><Relationship Id="rId339" Type="http://schemas.openxmlformats.org/officeDocument/2006/relationships/image" Target="../media/image340.gif"/><Relationship Id="rId340" Type="http://schemas.openxmlformats.org/officeDocument/2006/relationships/image" Target="../media/image341.gif"/><Relationship Id="rId341" Type="http://schemas.openxmlformats.org/officeDocument/2006/relationships/image" Target="../media/image342.gif"/><Relationship Id="rId342" Type="http://schemas.openxmlformats.org/officeDocument/2006/relationships/image" Target="../media/image343.gif"/><Relationship Id="rId343" Type="http://schemas.openxmlformats.org/officeDocument/2006/relationships/image" Target="../media/image344.gif"/><Relationship Id="rId344" Type="http://schemas.openxmlformats.org/officeDocument/2006/relationships/image" Target="../media/image345.gif"/><Relationship Id="rId345" Type="http://schemas.openxmlformats.org/officeDocument/2006/relationships/image" Target="../media/image346.gif"/><Relationship Id="rId346" Type="http://schemas.openxmlformats.org/officeDocument/2006/relationships/image" Target="../media/image347.gif"/><Relationship Id="rId347" Type="http://schemas.openxmlformats.org/officeDocument/2006/relationships/image" Target="../media/image348.gif"/><Relationship Id="rId348" Type="http://schemas.openxmlformats.org/officeDocument/2006/relationships/image" Target="../media/image349.gif"/><Relationship Id="rId349" Type="http://schemas.openxmlformats.org/officeDocument/2006/relationships/image" Target="../media/image350.gif"/><Relationship Id="rId350" Type="http://schemas.openxmlformats.org/officeDocument/2006/relationships/image" Target="../media/image351.gif"/><Relationship Id="rId351" Type="http://schemas.openxmlformats.org/officeDocument/2006/relationships/image" Target="../media/image352.gif"/><Relationship Id="rId352" Type="http://schemas.openxmlformats.org/officeDocument/2006/relationships/image" Target="../media/image353.gif"/><Relationship Id="rId353" Type="http://schemas.openxmlformats.org/officeDocument/2006/relationships/image" Target="../media/image354.gif"/><Relationship Id="rId354" Type="http://schemas.openxmlformats.org/officeDocument/2006/relationships/image" Target="../media/image355.gif"/><Relationship Id="rId355" Type="http://schemas.openxmlformats.org/officeDocument/2006/relationships/image" Target="../media/image356.gif"/><Relationship Id="rId356" Type="http://schemas.openxmlformats.org/officeDocument/2006/relationships/image" Target="../media/image357.gif"/><Relationship Id="rId357" Type="http://schemas.openxmlformats.org/officeDocument/2006/relationships/image" Target="../media/image358.gif"/><Relationship Id="rId358" Type="http://schemas.openxmlformats.org/officeDocument/2006/relationships/image" Target="../media/image359.gif"/><Relationship Id="rId359" Type="http://schemas.openxmlformats.org/officeDocument/2006/relationships/image" Target="../media/image360.gif"/><Relationship Id="rId360" Type="http://schemas.openxmlformats.org/officeDocument/2006/relationships/image" Target="../media/image361.gif"/><Relationship Id="rId361" Type="http://schemas.openxmlformats.org/officeDocument/2006/relationships/image" Target="../media/image362.gif"/><Relationship Id="rId362" Type="http://schemas.openxmlformats.org/officeDocument/2006/relationships/image" Target="../media/image363.gif"/><Relationship Id="rId363" Type="http://schemas.openxmlformats.org/officeDocument/2006/relationships/image" Target="../media/image364.gif"/><Relationship Id="rId364" Type="http://schemas.openxmlformats.org/officeDocument/2006/relationships/image" Target="../media/image365.gif"/><Relationship Id="rId365" Type="http://schemas.openxmlformats.org/officeDocument/2006/relationships/image" Target="../media/image366.gif"/><Relationship Id="rId366" Type="http://schemas.openxmlformats.org/officeDocument/2006/relationships/image" Target="../media/image367.gif"/><Relationship Id="rId367" Type="http://schemas.openxmlformats.org/officeDocument/2006/relationships/image" Target="../media/image368.gif"/><Relationship Id="rId368" Type="http://schemas.openxmlformats.org/officeDocument/2006/relationships/image" Target="../media/image369.gif"/><Relationship Id="rId369" Type="http://schemas.openxmlformats.org/officeDocument/2006/relationships/image" Target="../media/image370.gif"/><Relationship Id="rId370" Type="http://schemas.openxmlformats.org/officeDocument/2006/relationships/image" Target="../media/image371.gif"/><Relationship Id="rId371" Type="http://schemas.openxmlformats.org/officeDocument/2006/relationships/image" Target="../media/image372.gif"/><Relationship Id="rId372" Type="http://schemas.openxmlformats.org/officeDocument/2006/relationships/image" Target="../media/image373.gif"/><Relationship Id="rId373" Type="http://schemas.openxmlformats.org/officeDocument/2006/relationships/image" Target="../media/image374.gif"/><Relationship Id="rId374" Type="http://schemas.openxmlformats.org/officeDocument/2006/relationships/image" Target="../media/image375.gif"/><Relationship Id="rId375" Type="http://schemas.openxmlformats.org/officeDocument/2006/relationships/image" Target="../media/image376.gif"/><Relationship Id="rId376" Type="http://schemas.openxmlformats.org/officeDocument/2006/relationships/image" Target="../media/image377.gif"/><Relationship Id="rId377" Type="http://schemas.openxmlformats.org/officeDocument/2006/relationships/image" Target="../media/image378.gif"/><Relationship Id="rId378" Type="http://schemas.openxmlformats.org/officeDocument/2006/relationships/image" Target="../media/image379.gif"/><Relationship Id="rId379" Type="http://schemas.openxmlformats.org/officeDocument/2006/relationships/image" Target="../media/image380.gif"/><Relationship Id="rId380" Type="http://schemas.openxmlformats.org/officeDocument/2006/relationships/image" Target="../media/image381.gif"/><Relationship Id="rId381" Type="http://schemas.openxmlformats.org/officeDocument/2006/relationships/image" Target="../media/image382.gif"/><Relationship Id="rId382" Type="http://schemas.openxmlformats.org/officeDocument/2006/relationships/image" Target="../media/image383.gif"/><Relationship Id="rId383" Type="http://schemas.openxmlformats.org/officeDocument/2006/relationships/image" Target="../media/image384.gif"/><Relationship Id="rId384" Type="http://schemas.openxmlformats.org/officeDocument/2006/relationships/image" Target="../media/image385.gif"/><Relationship Id="rId385" Type="http://schemas.openxmlformats.org/officeDocument/2006/relationships/image" Target="../media/image386.gif"/><Relationship Id="rId386" Type="http://schemas.openxmlformats.org/officeDocument/2006/relationships/image" Target="../media/image387.gif"/><Relationship Id="rId387" Type="http://schemas.openxmlformats.org/officeDocument/2006/relationships/image" Target="../media/image388.gif"/><Relationship Id="rId388" Type="http://schemas.openxmlformats.org/officeDocument/2006/relationships/image" Target="../media/image389.gif"/><Relationship Id="rId389" Type="http://schemas.openxmlformats.org/officeDocument/2006/relationships/image" Target="../media/image390.gif"/><Relationship Id="rId390" Type="http://schemas.openxmlformats.org/officeDocument/2006/relationships/image" Target="../media/image391.gif"/><Relationship Id="rId391" Type="http://schemas.openxmlformats.org/officeDocument/2006/relationships/image" Target="../media/image392.gif"/><Relationship Id="rId392" Type="http://schemas.openxmlformats.org/officeDocument/2006/relationships/image" Target="../media/image393.gif"/><Relationship Id="rId393" Type="http://schemas.openxmlformats.org/officeDocument/2006/relationships/image" Target="../media/image394.gif"/><Relationship Id="rId394" Type="http://schemas.openxmlformats.org/officeDocument/2006/relationships/image" Target="../media/image395.gif"/><Relationship Id="rId395" Type="http://schemas.openxmlformats.org/officeDocument/2006/relationships/image" Target="../media/image396.gif"/><Relationship Id="rId396" Type="http://schemas.openxmlformats.org/officeDocument/2006/relationships/image" Target="../media/image397.gif"/><Relationship Id="rId397" Type="http://schemas.openxmlformats.org/officeDocument/2006/relationships/image" Target="../media/image398.gif"/><Relationship Id="rId398" Type="http://schemas.openxmlformats.org/officeDocument/2006/relationships/image" Target="../media/image399.gif"/><Relationship Id="rId399" Type="http://schemas.openxmlformats.org/officeDocument/2006/relationships/image" Target="../media/image400.gif"/><Relationship Id="rId400" Type="http://schemas.openxmlformats.org/officeDocument/2006/relationships/image" Target="../media/image401.gif"/><Relationship Id="rId401" Type="http://schemas.openxmlformats.org/officeDocument/2006/relationships/image" Target="../media/image402.gif"/><Relationship Id="rId402" Type="http://schemas.openxmlformats.org/officeDocument/2006/relationships/image" Target="../media/image403.gif"/><Relationship Id="rId403" Type="http://schemas.openxmlformats.org/officeDocument/2006/relationships/image" Target="../media/image404.gif"/><Relationship Id="rId404" Type="http://schemas.openxmlformats.org/officeDocument/2006/relationships/image" Target="../media/image405.gif"/><Relationship Id="rId405" Type="http://schemas.openxmlformats.org/officeDocument/2006/relationships/image" Target="../media/image406.gif"/><Relationship Id="rId406" Type="http://schemas.openxmlformats.org/officeDocument/2006/relationships/image" Target="../media/image407.gif"/><Relationship Id="rId407" Type="http://schemas.openxmlformats.org/officeDocument/2006/relationships/image" Target="../media/image408.gif"/><Relationship Id="rId408" Type="http://schemas.openxmlformats.org/officeDocument/2006/relationships/image" Target="../media/image409.gif"/><Relationship Id="rId409" Type="http://schemas.openxmlformats.org/officeDocument/2006/relationships/image" Target="../media/image410.gif"/><Relationship Id="rId410" Type="http://schemas.openxmlformats.org/officeDocument/2006/relationships/image" Target="../media/image411.gif"/><Relationship Id="rId411" Type="http://schemas.openxmlformats.org/officeDocument/2006/relationships/image" Target="../media/image412.gif"/><Relationship Id="rId412" Type="http://schemas.openxmlformats.org/officeDocument/2006/relationships/image" Target="../media/image413.gif"/><Relationship Id="rId413" Type="http://schemas.openxmlformats.org/officeDocument/2006/relationships/image" Target="../media/image414.gif"/><Relationship Id="rId414" Type="http://schemas.openxmlformats.org/officeDocument/2006/relationships/image" Target="../media/image415.gif"/><Relationship Id="rId415" Type="http://schemas.openxmlformats.org/officeDocument/2006/relationships/image" Target="../media/image416.gif"/><Relationship Id="rId416" Type="http://schemas.openxmlformats.org/officeDocument/2006/relationships/image" Target="../media/image417.gif"/><Relationship Id="rId417" Type="http://schemas.openxmlformats.org/officeDocument/2006/relationships/image" Target="../media/image418.gif"/><Relationship Id="rId418" Type="http://schemas.openxmlformats.org/officeDocument/2006/relationships/image" Target="../media/image419.gif"/><Relationship Id="rId419" Type="http://schemas.openxmlformats.org/officeDocument/2006/relationships/image" Target="../media/image420.gif"/><Relationship Id="rId420" Type="http://schemas.openxmlformats.org/officeDocument/2006/relationships/image" Target="../media/image421.gif"/><Relationship Id="rId421" Type="http://schemas.openxmlformats.org/officeDocument/2006/relationships/image" Target="../media/image422.gif"/><Relationship Id="rId422" Type="http://schemas.openxmlformats.org/officeDocument/2006/relationships/image" Target="../media/image423.gif"/><Relationship Id="rId423" Type="http://schemas.openxmlformats.org/officeDocument/2006/relationships/image" Target="../media/image424.gif"/><Relationship Id="rId424" Type="http://schemas.openxmlformats.org/officeDocument/2006/relationships/image" Target="../media/image425.gif"/><Relationship Id="rId425" Type="http://schemas.openxmlformats.org/officeDocument/2006/relationships/image" Target="../media/image426.gif"/><Relationship Id="rId426" Type="http://schemas.openxmlformats.org/officeDocument/2006/relationships/image" Target="../media/image427.gif"/><Relationship Id="rId427" Type="http://schemas.openxmlformats.org/officeDocument/2006/relationships/image" Target="../media/image428.gif"/><Relationship Id="rId428" Type="http://schemas.openxmlformats.org/officeDocument/2006/relationships/image" Target="../media/image429.gif"/><Relationship Id="rId429" Type="http://schemas.openxmlformats.org/officeDocument/2006/relationships/image" Target="../media/image430.gif"/><Relationship Id="rId430" Type="http://schemas.openxmlformats.org/officeDocument/2006/relationships/image" Target="../media/image431.gif"/><Relationship Id="rId431" Type="http://schemas.openxmlformats.org/officeDocument/2006/relationships/image" Target="../media/image432.gif"/><Relationship Id="rId432" Type="http://schemas.openxmlformats.org/officeDocument/2006/relationships/image" Target="../media/image433.gif"/><Relationship Id="rId433" Type="http://schemas.openxmlformats.org/officeDocument/2006/relationships/image" Target="../media/image434.gif"/><Relationship Id="rId434" Type="http://schemas.openxmlformats.org/officeDocument/2006/relationships/image" Target="../media/image435.gif"/><Relationship Id="rId435" Type="http://schemas.openxmlformats.org/officeDocument/2006/relationships/image" Target="../media/image436.gif"/><Relationship Id="rId436" Type="http://schemas.openxmlformats.org/officeDocument/2006/relationships/image" Target="../media/image437.gif"/><Relationship Id="rId437" Type="http://schemas.openxmlformats.org/officeDocument/2006/relationships/image" Target="../media/image438.gif"/><Relationship Id="rId438" Type="http://schemas.openxmlformats.org/officeDocument/2006/relationships/image" Target="../media/image439.gif"/><Relationship Id="rId439" Type="http://schemas.openxmlformats.org/officeDocument/2006/relationships/image" Target="../media/image440.gif"/><Relationship Id="rId440" Type="http://schemas.openxmlformats.org/officeDocument/2006/relationships/image" Target="../media/image441.gif"/><Relationship Id="rId441" Type="http://schemas.openxmlformats.org/officeDocument/2006/relationships/image" Target="../media/image442.gif"/><Relationship Id="rId442" Type="http://schemas.openxmlformats.org/officeDocument/2006/relationships/image" Target="../media/image443.gif"/><Relationship Id="rId443" Type="http://schemas.openxmlformats.org/officeDocument/2006/relationships/image" Target="../media/image444.gif"/><Relationship Id="rId444" Type="http://schemas.openxmlformats.org/officeDocument/2006/relationships/image" Target="../media/image445.gif"/><Relationship Id="rId445" Type="http://schemas.openxmlformats.org/officeDocument/2006/relationships/image" Target="../media/image446.gif"/><Relationship Id="rId446" Type="http://schemas.openxmlformats.org/officeDocument/2006/relationships/image" Target="../media/image447.gif"/><Relationship Id="rId447" Type="http://schemas.openxmlformats.org/officeDocument/2006/relationships/image" Target="../media/image448.gif"/><Relationship Id="rId448" Type="http://schemas.openxmlformats.org/officeDocument/2006/relationships/image" Target="../media/image449.gif"/><Relationship Id="rId449" Type="http://schemas.openxmlformats.org/officeDocument/2006/relationships/image" Target="../media/image450.gif"/><Relationship Id="rId450" Type="http://schemas.openxmlformats.org/officeDocument/2006/relationships/image" Target="../media/image451.gif"/><Relationship Id="rId451" Type="http://schemas.openxmlformats.org/officeDocument/2006/relationships/image" Target="../media/image452.gif"/><Relationship Id="rId452" Type="http://schemas.openxmlformats.org/officeDocument/2006/relationships/image" Target="../media/image453.gif"/><Relationship Id="rId453" Type="http://schemas.openxmlformats.org/officeDocument/2006/relationships/image" Target="../media/image454.gif"/><Relationship Id="rId454" Type="http://schemas.openxmlformats.org/officeDocument/2006/relationships/image" Target="../media/image455.gif"/><Relationship Id="rId455" Type="http://schemas.openxmlformats.org/officeDocument/2006/relationships/image" Target="../media/image456.gif"/><Relationship Id="rId456" Type="http://schemas.openxmlformats.org/officeDocument/2006/relationships/image" Target="../media/image457.gif"/><Relationship Id="rId457" Type="http://schemas.openxmlformats.org/officeDocument/2006/relationships/image" Target="../media/image458.gif"/><Relationship Id="rId458" Type="http://schemas.openxmlformats.org/officeDocument/2006/relationships/image" Target="../media/image459.gif"/><Relationship Id="rId459" Type="http://schemas.openxmlformats.org/officeDocument/2006/relationships/image" Target="../media/image460.gif"/><Relationship Id="rId460" Type="http://schemas.openxmlformats.org/officeDocument/2006/relationships/image" Target="../media/image461.gif"/><Relationship Id="rId461" Type="http://schemas.openxmlformats.org/officeDocument/2006/relationships/image" Target="../media/image462.gif"/><Relationship Id="rId462" Type="http://schemas.openxmlformats.org/officeDocument/2006/relationships/image" Target="../media/image463.gif"/><Relationship Id="rId463" Type="http://schemas.openxmlformats.org/officeDocument/2006/relationships/image" Target="../media/image464.gif"/><Relationship Id="rId464" Type="http://schemas.openxmlformats.org/officeDocument/2006/relationships/image" Target="../media/image465.gif"/><Relationship Id="rId465" Type="http://schemas.openxmlformats.org/officeDocument/2006/relationships/image" Target="../media/image466.gif"/><Relationship Id="rId466" Type="http://schemas.openxmlformats.org/officeDocument/2006/relationships/image" Target="../media/image467.gif"/><Relationship Id="rId467" Type="http://schemas.openxmlformats.org/officeDocument/2006/relationships/image" Target="../media/image468.gif"/><Relationship Id="rId468" Type="http://schemas.openxmlformats.org/officeDocument/2006/relationships/image" Target="../media/image469.gif"/><Relationship Id="rId469" Type="http://schemas.openxmlformats.org/officeDocument/2006/relationships/image" Target="../media/image470.gif"/><Relationship Id="rId470" Type="http://schemas.openxmlformats.org/officeDocument/2006/relationships/image" Target="../media/image471.gif"/><Relationship Id="rId471" Type="http://schemas.openxmlformats.org/officeDocument/2006/relationships/image" Target="../media/image472.gif"/><Relationship Id="rId472" Type="http://schemas.openxmlformats.org/officeDocument/2006/relationships/image" Target="../media/image473.gif"/><Relationship Id="rId473" Type="http://schemas.openxmlformats.org/officeDocument/2006/relationships/image" Target="../media/image474.gif"/><Relationship Id="rId474" Type="http://schemas.openxmlformats.org/officeDocument/2006/relationships/image" Target="../media/image475.gif"/><Relationship Id="rId475" Type="http://schemas.openxmlformats.org/officeDocument/2006/relationships/image" Target="../media/image476.gif"/><Relationship Id="rId476" Type="http://schemas.openxmlformats.org/officeDocument/2006/relationships/image" Target="../media/image477.gif"/><Relationship Id="rId477" Type="http://schemas.openxmlformats.org/officeDocument/2006/relationships/image" Target="../media/image478.gif"/><Relationship Id="rId478" Type="http://schemas.openxmlformats.org/officeDocument/2006/relationships/image" Target="../media/image479.gif"/><Relationship Id="rId479" Type="http://schemas.openxmlformats.org/officeDocument/2006/relationships/image" Target="../media/image480.gif"/><Relationship Id="rId480" Type="http://schemas.openxmlformats.org/officeDocument/2006/relationships/image" Target="../media/image481.gif"/><Relationship Id="rId481" Type="http://schemas.openxmlformats.org/officeDocument/2006/relationships/image" Target="../media/image482.gif"/><Relationship Id="rId482" Type="http://schemas.openxmlformats.org/officeDocument/2006/relationships/image" Target="../media/image483.gif"/><Relationship Id="rId483" Type="http://schemas.openxmlformats.org/officeDocument/2006/relationships/image" Target="../media/image484.gif"/><Relationship Id="rId484" Type="http://schemas.openxmlformats.org/officeDocument/2006/relationships/image" Target="../media/image485.gif"/><Relationship Id="rId485" Type="http://schemas.openxmlformats.org/officeDocument/2006/relationships/image" Target="../media/image486.gif"/><Relationship Id="rId486" Type="http://schemas.openxmlformats.org/officeDocument/2006/relationships/image" Target="../media/image487.gif"/><Relationship Id="rId487" Type="http://schemas.openxmlformats.org/officeDocument/2006/relationships/image" Target="../media/image488.gif"/><Relationship Id="rId488" Type="http://schemas.openxmlformats.org/officeDocument/2006/relationships/image" Target="../media/image489.gif"/><Relationship Id="rId489" Type="http://schemas.openxmlformats.org/officeDocument/2006/relationships/image" Target="../media/image490.gif"/><Relationship Id="rId490" Type="http://schemas.openxmlformats.org/officeDocument/2006/relationships/image" Target="../media/image491.gif"/><Relationship Id="rId491" Type="http://schemas.openxmlformats.org/officeDocument/2006/relationships/image" Target="../media/image492.gif"/><Relationship Id="rId492" Type="http://schemas.openxmlformats.org/officeDocument/2006/relationships/image" Target="../media/image493.gif"/><Relationship Id="rId493" Type="http://schemas.openxmlformats.org/officeDocument/2006/relationships/image" Target="../media/image494.gif"/><Relationship Id="rId494" Type="http://schemas.openxmlformats.org/officeDocument/2006/relationships/image" Target="../media/image495.gif"/><Relationship Id="rId495" Type="http://schemas.openxmlformats.org/officeDocument/2006/relationships/image" Target="../media/image496.gif"/><Relationship Id="rId496" Type="http://schemas.openxmlformats.org/officeDocument/2006/relationships/image" Target="../media/image497.gif"/><Relationship Id="rId497" Type="http://schemas.openxmlformats.org/officeDocument/2006/relationships/image" Target="../media/image498.gif"/><Relationship Id="rId498" Type="http://schemas.openxmlformats.org/officeDocument/2006/relationships/image" Target="../media/image499.gif"/><Relationship Id="rId499" Type="http://schemas.openxmlformats.org/officeDocument/2006/relationships/image" Target="../media/image500.gif"/><Relationship Id="rId500" Type="http://schemas.openxmlformats.org/officeDocument/2006/relationships/image" Target="../media/image501.gif"/><Relationship Id="rId501" Type="http://schemas.openxmlformats.org/officeDocument/2006/relationships/image" Target="../media/image502.gif"/><Relationship Id="rId502" Type="http://schemas.openxmlformats.org/officeDocument/2006/relationships/image" Target="../media/image503.gif"/><Relationship Id="rId503" Type="http://schemas.openxmlformats.org/officeDocument/2006/relationships/image" Target="../media/image504.gif"/><Relationship Id="rId504" Type="http://schemas.openxmlformats.org/officeDocument/2006/relationships/image" Target="../media/image505.gif"/><Relationship Id="rId505" Type="http://schemas.openxmlformats.org/officeDocument/2006/relationships/image" Target="../media/image506.gif"/><Relationship Id="rId506" Type="http://schemas.openxmlformats.org/officeDocument/2006/relationships/image" Target="../media/image507.gif"/><Relationship Id="rId507" Type="http://schemas.openxmlformats.org/officeDocument/2006/relationships/image" Target="../media/image508.gif"/><Relationship Id="rId508" Type="http://schemas.openxmlformats.org/officeDocument/2006/relationships/image" Target="../media/image509.gif"/><Relationship Id="rId509" Type="http://schemas.openxmlformats.org/officeDocument/2006/relationships/image" Target="../media/image510.gif"/><Relationship Id="rId510" Type="http://schemas.openxmlformats.org/officeDocument/2006/relationships/image" Target="../media/image511.gif"/><Relationship Id="rId511" Type="http://schemas.openxmlformats.org/officeDocument/2006/relationships/image" Target="../media/image512.gif"/><Relationship Id="rId512" Type="http://schemas.openxmlformats.org/officeDocument/2006/relationships/image" Target="../media/image513.gif"/><Relationship Id="rId513" Type="http://schemas.openxmlformats.org/officeDocument/2006/relationships/image" Target="../media/image514.gif"/><Relationship Id="rId514" Type="http://schemas.openxmlformats.org/officeDocument/2006/relationships/image" Target="../media/image515.gif"/><Relationship Id="rId515" Type="http://schemas.openxmlformats.org/officeDocument/2006/relationships/image" Target="../media/image516.gif"/><Relationship Id="rId516" Type="http://schemas.openxmlformats.org/officeDocument/2006/relationships/image" Target="../media/image517.gif"/><Relationship Id="rId517" Type="http://schemas.openxmlformats.org/officeDocument/2006/relationships/image" Target="../media/image518.gif"/><Relationship Id="rId518" Type="http://schemas.openxmlformats.org/officeDocument/2006/relationships/image" Target="../media/image519.gif"/><Relationship Id="rId519" Type="http://schemas.openxmlformats.org/officeDocument/2006/relationships/image" Target="../media/image520.gif"/><Relationship Id="rId520" Type="http://schemas.openxmlformats.org/officeDocument/2006/relationships/image" Target="../media/image521.gif"/><Relationship Id="rId521" Type="http://schemas.openxmlformats.org/officeDocument/2006/relationships/image" Target="../media/image522.gif"/><Relationship Id="rId522" Type="http://schemas.openxmlformats.org/officeDocument/2006/relationships/image" Target="../media/image523.gif"/><Relationship Id="rId523" Type="http://schemas.openxmlformats.org/officeDocument/2006/relationships/image" Target="../media/image524.gif"/><Relationship Id="rId524" Type="http://schemas.openxmlformats.org/officeDocument/2006/relationships/image" Target="../media/image525.gif"/><Relationship Id="rId525" Type="http://schemas.openxmlformats.org/officeDocument/2006/relationships/image" Target="../media/image526.gif"/><Relationship Id="rId526" Type="http://schemas.openxmlformats.org/officeDocument/2006/relationships/image" Target="../media/image527.gif"/><Relationship Id="rId527" Type="http://schemas.openxmlformats.org/officeDocument/2006/relationships/image" Target="../media/image528.gif"/><Relationship Id="rId528" Type="http://schemas.openxmlformats.org/officeDocument/2006/relationships/image" Target="../media/image529.gif"/><Relationship Id="rId529" Type="http://schemas.openxmlformats.org/officeDocument/2006/relationships/image" Target="../media/image530.gif"/><Relationship Id="rId530" Type="http://schemas.openxmlformats.org/officeDocument/2006/relationships/image" Target="../media/image531.gif"/><Relationship Id="rId531" Type="http://schemas.openxmlformats.org/officeDocument/2006/relationships/image" Target="../media/image532.gif"/><Relationship Id="rId532" Type="http://schemas.openxmlformats.org/officeDocument/2006/relationships/image" Target="../media/image533.gif"/><Relationship Id="rId533" Type="http://schemas.openxmlformats.org/officeDocument/2006/relationships/image" Target="../media/image534.gif"/><Relationship Id="rId534" Type="http://schemas.openxmlformats.org/officeDocument/2006/relationships/image" Target="../media/image535.gif"/><Relationship Id="rId535" Type="http://schemas.openxmlformats.org/officeDocument/2006/relationships/image" Target="../media/image536.gif"/><Relationship Id="rId536" Type="http://schemas.openxmlformats.org/officeDocument/2006/relationships/image" Target="../media/image537.gif"/><Relationship Id="rId537" Type="http://schemas.openxmlformats.org/officeDocument/2006/relationships/image" Target="../media/image538.gif"/><Relationship Id="rId538" Type="http://schemas.openxmlformats.org/officeDocument/2006/relationships/image" Target="../media/image539.gif"/><Relationship Id="rId539" Type="http://schemas.openxmlformats.org/officeDocument/2006/relationships/image" Target="../media/image540.gif"/><Relationship Id="rId540" Type="http://schemas.openxmlformats.org/officeDocument/2006/relationships/image" Target="../media/image541.gif"/><Relationship Id="rId541" Type="http://schemas.openxmlformats.org/officeDocument/2006/relationships/image" Target="../media/image542.gif"/><Relationship Id="rId542" Type="http://schemas.openxmlformats.org/officeDocument/2006/relationships/image" Target="../media/image543.gif"/><Relationship Id="rId543" Type="http://schemas.openxmlformats.org/officeDocument/2006/relationships/image" Target="../media/image544.gif"/><Relationship Id="rId544" Type="http://schemas.openxmlformats.org/officeDocument/2006/relationships/image" Target="../media/image545.gif"/><Relationship Id="rId545" Type="http://schemas.openxmlformats.org/officeDocument/2006/relationships/image" Target="../media/image546.gif"/><Relationship Id="rId546" Type="http://schemas.openxmlformats.org/officeDocument/2006/relationships/image" Target="../media/image547.gif"/><Relationship Id="rId547" Type="http://schemas.openxmlformats.org/officeDocument/2006/relationships/image" Target="../media/image548.gif"/><Relationship Id="rId548" Type="http://schemas.openxmlformats.org/officeDocument/2006/relationships/image" Target="../media/image549.gif"/><Relationship Id="rId549" Type="http://schemas.openxmlformats.org/officeDocument/2006/relationships/image" Target="../media/image550.gif"/><Relationship Id="rId550" Type="http://schemas.openxmlformats.org/officeDocument/2006/relationships/image" Target="../media/image551.gif"/><Relationship Id="rId551" Type="http://schemas.openxmlformats.org/officeDocument/2006/relationships/image" Target="../media/image552.gif"/><Relationship Id="rId552" Type="http://schemas.openxmlformats.org/officeDocument/2006/relationships/image" Target="../media/image553.gif"/><Relationship Id="rId553" Type="http://schemas.openxmlformats.org/officeDocument/2006/relationships/image" Target="../media/image554.gif"/><Relationship Id="rId554" Type="http://schemas.openxmlformats.org/officeDocument/2006/relationships/image" Target="../media/image555.gif"/><Relationship Id="rId555" Type="http://schemas.openxmlformats.org/officeDocument/2006/relationships/image" Target="../media/image556.gif"/><Relationship Id="rId556" Type="http://schemas.openxmlformats.org/officeDocument/2006/relationships/image" Target="../media/image557.gif"/><Relationship Id="rId557" Type="http://schemas.openxmlformats.org/officeDocument/2006/relationships/image" Target="../media/image558.gif"/><Relationship Id="rId558" Type="http://schemas.openxmlformats.org/officeDocument/2006/relationships/image" Target="../media/image559.gif"/><Relationship Id="rId559" Type="http://schemas.openxmlformats.org/officeDocument/2006/relationships/image" Target="../media/image560.gif"/><Relationship Id="rId560" Type="http://schemas.openxmlformats.org/officeDocument/2006/relationships/image" Target="../media/image561.gif"/><Relationship Id="rId561" Type="http://schemas.openxmlformats.org/officeDocument/2006/relationships/image" Target="../media/image562.gif"/><Relationship Id="rId562" Type="http://schemas.openxmlformats.org/officeDocument/2006/relationships/image" Target="../media/image563.gif"/><Relationship Id="rId563" Type="http://schemas.openxmlformats.org/officeDocument/2006/relationships/image" Target="../media/image564.gif"/><Relationship Id="rId564" Type="http://schemas.openxmlformats.org/officeDocument/2006/relationships/image" Target="../media/image565.gif"/><Relationship Id="rId565" Type="http://schemas.openxmlformats.org/officeDocument/2006/relationships/image" Target="../media/image566.gif"/><Relationship Id="rId566" Type="http://schemas.openxmlformats.org/officeDocument/2006/relationships/image" Target="../media/image567.gif"/><Relationship Id="rId567" Type="http://schemas.openxmlformats.org/officeDocument/2006/relationships/image" Target="../media/image568.gif"/><Relationship Id="rId568" Type="http://schemas.openxmlformats.org/officeDocument/2006/relationships/image" Target="../media/image569.gif"/><Relationship Id="rId569" Type="http://schemas.openxmlformats.org/officeDocument/2006/relationships/image" Target="../media/image570.gif"/><Relationship Id="rId570" Type="http://schemas.openxmlformats.org/officeDocument/2006/relationships/image" Target="../media/image571.gif"/><Relationship Id="rId571" Type="http://schemas.openxmlformats.org/officeDocument/2006/relationships/image" Target="../media/image572.gif"/><Relationship Id="rId572" Type="http://schemas.openxmlformats.org/officeDocument/2006/relationships/image" Target="../media/image573.gif"/><Relationship Id="rId573" Type="http://schemas.openxmlformats.org/officeDocument/2006/relationships/image" Target="../media/image574.gif"/><Relationship Id="rId574" Type="http://schemas.openxmlformats.org/officeDocument/2006/relationships/image" Target="../media/image575.gif"/><Relationship Id="rId575" Type="http://schemas.openxmlformats.org/officeDocument/2006/relationships/image" Target="../media/image576.gif"/><Relationship Id="rId576" Type="http://schemas.openxmlformats.org/officeDocument/2006/relationships/image" Target="../media/image577.gif"/><Relationship Id="rId577" Type="http://schemas.openxmlformats.org/officeDocument/2006/relationships/image" Target="../media/image578.gif"/><Relationship Id="rId578" Type="http://schemas.openxmlformats.org/officeDocument/2006/relationships/image" Target="../media/image579.gif"/><Relationship Id="rId579" Type="http://schemas.openxmlformats.org/officeDocument/2006/relationships/image" Target="../media/image580.gif"/><Relationship Id="rId580" Type="http://schemas.openxmlformats.org/officeDocument/2006/relationships/image" Target="../media/image581.gif"/><Relationship Id="rId581" Type="http://schemas.openxmlformats.org/officeDocument/2006/relationships/image" Target="../media/image582.gif"/><Relationship Id="rId582" Type="http://schemas.openxmlformats.org/officeDocument/2006/relationships/image" Target="../media/image583.gif"/><Relationship Id="rId583" Type="http://schemas.openxmlformats.org/officeDocument/2006/relationships/image" Target="../media/image584.gif"/><Relationship Id="rId584" Type="http://schemas.openxmlformats.org/officeDocument/2006/relationships/image" Target="../media/image585.gif"/><Relationship Id="rId585" Type="http://schemas.openxmlformats.org/officeDocument/2006/relationships/image" Target="../media/image586.gif"/><Relationship Id="rId586" Type="http://schemas.openxmlformats.org/officeDocument/2006/relationships/image" Target="../media/image587.gif"/><Relationship Id="rId587" Type="http://schemas.openxmlformats.org/officeDocument/2006/relationships/image" Target="../media/image588.gif"/><Relationship Id="rId588" Type="http://schemas.openxmlformats.org/officeDocument/2006/relationships/image" Target="../media/image589.gif"/><Relationship Id="rId589" Type="http://schemas.openxmlformats.org/officeDocument/2006/relationships/image" Target="../media/image590.gif"/><Relationship Id="rId590" Type="http://schemas.openxmlformats.org/officeDocument/2006/relationships/image" Target="../media/image591.gif"/><Relationship Id="rId591" Type="http://schemas.openxmlformats.org/officeDocument/2006/relationships/image" Target="../media/image592.gif"/><Relationship Id="rId592" Type="http://schemas.openxmlformats.org/officeDocument/2006/relationships/image" Target="../media/image593.gif"/><Relationship Id="rId593" Type="http://schemas.openxmlformats.org/officeDocument/2006/relationships/image" Target="../media/image594.gif"/><Relationship Id="rId594" Type="http://schemas.openxmlformats.org/officeDocument/2006/relationships/image" Target="../media/image595.gif"/><Relationship Id="rId595" Type="http://schemas.openxmlformats.org/officeDocument/2006/relationships/image" Target="../media/image596.gif"/><Relationship Id="rId596" Type="http://schemas.openxmlformats.org/officeDocument/2006/relationships/image" Target="../media/image597.gif"/><Relationship Id="rId597" Type="http://schemas.openxmlformats.org/officeDocument/2006/relationships/image" Target="../media/image598.gif"/><Relationship Id="rId598" Type="http://schemas.openxmlformats.org/officeDocument/2006/relationships/image" Target="../media/image599.gif"/><Relationship Id="rId599" Type="http://schemas.openxmlformats.org/officeDocument/2006/relationships/image" Target="../media/image600.gif"/><Relationship Id="rId600" Type="http://schemas.openxmlformats.org/officeDocument/2006/relationships/image" Target="../media/image601.gif"/><Relationship Id="rId601" Type="http://schemas.openxmlformats.org/officeDocument/2006/relationships/image" Target="../media/image602.gif"/><Relationship Id="rId602" Type="http://schemas.openxmlformats.org/officeDocument/2006/relationships/image" Target="../media/image603.gif"/><Relationship Id="rId603" Type="http://schemas.openxmlformats.org/officeDocument/2006/relationships/image" Target="../media/image604.gif"/><Relationship Id="rId604" Type="http://schemas.openxmlformats.org/officeDocument/2006/relationships/image" Target="../media/image605.gif"/><Relationship Id="rId605" Type="http://schemas.openxmlformats.org/officeDocument/2006/relationships/image" Target="../media/image606.gif"/><Relationship Id="rId606" Type="http://schemas.openxmlformats.org/officeDocument/2006/relationships/image" Target="../media/image607.gif"/><Relationship Id="rId607" Type="http://schemas.openxmlformats.org/officeDocument/2006/relationships/image" Target="../media/image608.gif"/><Relationship Id="rId608" Type="http://schemas.openxmlformats.org/officeDocument/2006/relationships/image" Target="../media/image609.gif"/><Relationship Id="rId609" Type="http://schemas.openxmlformats.org/officeDocument/2006/relationships/image" Target="../media/image610.gif"/><Relationship Id="rId610" Type="http://schemas.openxmlformats.org/officeDocument/2006/relationships/image" Target="../media/image611.gif"/><Relationship Id="rId611" Type="http://schemas.openxmlformats.org/officeDocument/2006/relationships/image" Target="../media/image612.gif"/><Relationship Id="rId612" Type="http://schemas.openxmlformats.org/officeDocument/2006/relationships/image" Target="../media/image613.gif"/><Relationship Id="rId613" Type="http://schemas.openxmlformats.org/officeDocument/2006/relationships/image" Target="../media/image614.gif"/><Relationship Id="rId614" Type="http://schemas.openxmlformats.org/officeDocument/2006/relationships/image" Target="../media/image615.gif"/><Relationship Id="rId615" Type="http://schemas.openxmlformats.org/officeDocument/2006/relationships/image" Target="../media/image616.gif"/><Relationship Id="rId616" Type="http://schemas.openxmlformats.org/officeDocument/2006/relationships/image" Target="../media/image617.gif"/><Relationship Id="rId617" Type="http://schemas.openxmlformats.org/officeDocument/2006/relationships/image" Target="../media/image618.gif"/><Relationship Id="rId618" Type="http://schemas.openxmlformats.org/officeDocument/2006/relationships/image" Target="../media/image619.gif"/><Relationship Id="rId619" Type="http://schemas.openxmlformats.org/officeDocument/2006/relationships/image" Target="../media/image620.gif"/><Relationship Id="rId620" Type="http://schemas.openxmlformats.org/officeDocument/2006/relationships/image" Target="../media/image621.gif"/><Relationship Id="rId621" Type="http://schemas.openxmlformats.org/officeDocument/2006/relationships/image" Target="../media/image622.gif"/><Relationship Id="rId622" Type="http://schemas.openxmlformats.org/officeDocument/2006/relationships/image" Target="../media/image623.gif"/><Relationship Id="rId623" Type="http://schemas.openxmlformats.org/officeDocument/2006/relationships/image" Target="../media/image624.gif"/><Relationship Id="rId624" Type="http://schemas.openxmlformats.org/officeDocument/2006/relationships/image" Target="../media/image625.gif"/><Relationship Id="rId625" Type="http://schemas.openxmlformats.org/officeDocument/2006/relationships/image" Target="../media/image626.gif"/><Relationship Id="rId626" Type="http://schemas.openxmlformats.org/officeDocument/2006/relationships/image" Target="../media/image627.gif"/><Relationship Id="rId627" Type="http://schemas.openxmlformats.org/officeDocument/2006/relationships/image" Target="../media/image628.gif"/><Relationship Id="rId628" Type="http://schemas.openxmlformats.org/officeDocument/2006/relationships/image" Target="../media/image629.gif"/><Relationship Id="rId629" Type="http://schemas.openxmlformats.org/officeDocument/2006/relationships/image" Target="../media/image630.gif"/><Relationship Id="rId630" Type="http://schemas.openxmlformats.org/officeDocument/2006/relationships/image" Target="../media/image631.gif"/><Relationship Id="rId631" Type="http://schemas.openxmlformats.org/officeDocument/2006/relationships/image" Target="../media/image632.gif"/><Relationship Id="rId632" Type="http://schemas.openxmlformats.org/officeDocument/2006/relationships/image" Target="../media/image633.gif"/><Relationship Id="rId633" Type="http://schemas.openxmlformats.org/officeDocument/2006/relationships/image" Target="../media/image634.gif"/><Relationship Id="rId634" Type="http://schemas.openxmlformats.org/officeDocument/2006/relationships/image" Target="../media/image635.gif"/><Relationship Id="rId635" Type="http://schemas.openxmlformats.org/officeDocument/2006/relationships/image" Target="../media/image636.gif"/><Relationship Id="rId636" Type="http://schemas.openxmlformats.org/officeDocument/2006/relationships/image" Target="../media/image637.gif"/><Relationship Id="rId637" Type="http://schemas.openxmlformats.org/officeDocument/2006/relationships/image" Target="../media/image638.gif"/><Relationship Id="rId638" Type="http://schemas.openxmlformats.org/officeDocument/2006/relationships/image" Target="../media/image639.gif"/><Relationship Id="rId639" Type="http://schemas.openxmlformats.org/officeDocument/2006/relationships/image" Target="../media/image640.gif"/><Relationship Id="rId640" Type="http://schemas.openxmlformats.org/officeDocument/2006/relationships/image" Target="../media/image641.gif"/><Relationship Id="rId641" Type="http://schemas.openxmlformats.org/officeDocument/2006/relationships/image" Target="../media/image642.gif"/><Relationship Id="rId642" Type="http://schemas.openxmlformats.org/officeDocument/2006/relationships/image" Target="../media/image643.gif"/><Relationship Id="rId643" Type="http://schemas.openxmlformats.org/officeDocument/2006/relationships/image" Target="../media/image644.gif"/><Relationship Id="rId644" Type="http://schemas.openxmlformats.org/officeDocument/2006/relationships/image" Target="../media/image645.gif"/><Relationship Id="rId645" Type="http://schemas.openxmlformats.org/officeDocument/2006/relationships/image" Target="../media/image646.gif"/><Relationship Id="rId646" Type="http://schemas.openxmlformats.org/officeDocument/2006/relationships/image" Target="../media/image647.gif"/><Relationship Id="rId647" Type="http://schemas.openxmlformats.org/officeDocument/2006/relationships/image" Target="../media/image648.gif"/><Relationship Id="rId648" Type="http://schemas.openxmlformats.org/officeDocument/2006/relationships/image" Target="../media/image649.gif"/><Relationship Id="rId649" Type="http://schemas.openxmlformats.org/officeDocument/2006/relationships/image" Target="../media/image650.gif"/><Relationship Id="rId650" Type="http://schemas.openxmlformats.org/officeDocument/2006/relationships/image" Target="../media/image651.gif"/><Relationship Id="rId651" Type="http://schemas.openxmlformats.org/officeDocument/2006/relationships/image" Target="../media/image652.gif"/><Relationship Id="rId652" Type="http://schemas.openxmlformats.org/officeDocument/2006/relationships/image" Target="../media/image653.gif"/><Relationship Id="rId653" Type="http://schemas.openxmlformats.org/officeDocument/2006/relationships/image" Target="../media/image654.gif"/><Relationship Id="rId654" Type="http://schemas.openxmlformats.org/officeDocument/2006/relationships/image" Target="../media/image655.gif"/><Relationship Id="rId655" Type="http://schemas.openxmlformats.org/officeDocument/2006/relationships/image" Target="../media/image656.gif"/><Relationship Id="rId656" Type="http://schemas.openxmlformats.org/officeDocument/2006/relationships/image" Target="../media/image657.gif"/><Relationship Id="rId657" Type="http://schemas.openxmlformats.org/officeDocument/2006/relationships/image" Target="../media/image658.gif"/><Relationship Id="rId658" Type="http://schemas.openxmlformats.org/officeDocument/2006/relationships/image" Target="../media/image659.gif"/><Relationship Id="rId659" Type="http://schemas.openxmlformats.org/officeDocument/2006/relationships/image" Target="../media/image660.gif"/><Relationship Id="rId660" Type="http://schemas.openxmlformats.org/officeDocument/2006/relationships/image" Target="../media/image661.gif"/><Relationship Id="rId661" Type="http://schemas.openxmlformats.org/officeDocument/2006/relationships/image" Target="../media/image662.gif"/><Relationship Id="rId662" Type="http://schemas.openxmlformats.org/officeDocument/2006/relationships/image" Target="../media/image663.gif"/><Relationship Id="rId663" Type="http://schemas.openxmlformats.org/officeDocument/2006/relationships/image" Target="../media/image664.gif"/><Relationship Id="rId664" Type="http://schemas.openxmlformats.org/officeDocument/2006/relationships/image" Target="../media/image665.gif"/><Relationship Id="rId665" Type="http://schemas.openxmlformats.org/officeDocument/2006/relationships/image" Target="../media/image666.gif"/><Relationship Id="rId666" Type="http://schemas.openxmlformats.org/officeDocument/2006/relationships/image" Target="../media/image667.gif"/><Relationship Id="rId667" Type="http://schemas.openxmlformats.org/officeDocument/2006/relationships/image" Target="../media/image668.gif"/><Relationship Id="rId668" Type="http://schemas.openxmlformats.org/officeDocument/2006/relationships/image" Target="../media/image669.gif"/><Relationship Id="rId669" Type="http://schemas.openxmlformats.org/officeDocument/2006/relationships/image" Target="../media/image670.gif"/><Relationship Id="rId670" Type="http://schemas.openxmlformats.org/officeDocument/2006/relationships/image" Target="../media/image671.gif"/><Relationship Id="rId671" Type="http://schemas.openxmlformats.org/officeDocument/2006/relationships/image" Target="../media/image672.gif"/><Relationship Id="rId672" Type="http://schemas.openxmlformats.org/officeDocument/2006/relationships/image" Target="../media/image673.gif"/><Relationship Id="rId673" Type="http://schemas.openxmlformats.org/officeDocument/2006/relationships/image" Target="../media/image674.gif"/><Relationship Id="rId674" Type="http://schemas.openxmlformats.org/officeDocument/2006/relationships/image" Target="../media/image675.gif"/><Relationship Id="rId675" Type="http://schemas.openxmlformats.org/officeDocument/2006/relationships/image" Target="../media/image676.gif"/><Relationship Id="rId676" Type="http://schemas.openxmlformats.org/officeDocument/2006/relationships/image" Target="../media/image677.gif"/><Relationship Id="rId677" Type="http://schemas.openxmlformats.org/officeDocument/2006/relationships/image" Target="../media/image678.gif"/><Relationship Id="rId678" Type="http://schemas.openxmlformats.org/officeDocument/2006/relationships/image" Target="../media/image679.gif"/><Relationship Id="rId679" Type="http://schemas.openxmlformats.org/officeDocument/2006/relationships/image" Target="../media/image680.gif"/><Relationship Id="rId680" Type="http://schemas.openxmlformats.org/officeDocument/2006/relationships/image" Target="../media/image681.gif"/><Relationship Id="rId681" Type="http://schemas.openxmlformats.org/officeDocument/2006/relationships/image" Target="../media/image682.gif"/><Relationship Id="rId682" Type="http://schemas.openxmlformats.org/officeDocument/2006/relationships/image" Target="../media/image683.gif"/><Relationship Id="rId683" Type="http://schemas.openxmlformats.org/officeDocument/2006/relationships/image" Target="../media/image684.gif"/><Relationship Id="rId684" Type="http://schemas.openxmlformats.org/officeDocument/2006/relationships/image" Target="../media/image685.gif"/><Relationship Id="rId685" Type="http://schemas.openxmlformats.org/officeDocument/2006/relationships/image" Target="../media/image686.gif"/><Relationship Id="rId686" Type="http://schemas.openxmlformats.org/officeDocument/2006/relationships/image" Target="../media/image687.gif"/><Relationship Id="rId687" Type="http://schemas.openxmlformats.org/officeDocument/2006/relationships/image" Target="../media/image688.gif"/><Relationship Id="rId688" Type="http://schemas.openxmlformats.org/officeDocument/2006/relationships/image" Target="../media/image689.gif"/><Relationship Id="rId689" Type="http://schemas.openxmlformats.org/officeDocument/2006/relationships/image" Target="../media/image690.gif"/><Relationship Id="rId690" Type="http://schemas.openxmlformats.org/officeDocument/2006/relationships/image" Target="../media/image691.gif"/><Relationship Id="rId691" Type="http://schemas.openxmlformats.org/officeDocument/2006/relationships/image" Target="../media/image692.gif"/><Relationship Id="rId692" Type="http://schemas.openxmlformats.org/officeDocument/2006/relationships/image" Target="../media/image693.gif"/><Relationship Id="rId693" Type="http://schemas.openxmlformats.org/officeDocument/2006/relationships/image" Target="../media/image694.gif"/><Relationship Id="rId694" Type="http://schemas.openxmlformats.org/officeDocument/2006/relationships/image" Target="../media/image695.gif"/><Relationship Id="rId695" Type="http://schemas.openxmlformats.org/officeDocument/2006/relationships/image" Target="../media/image696.gif"/><Relationship Id="rId696" Type="http://schemas.openxmlformats.org/officeDocument/2006/relationships/image" Target="../media/image697.gif"/><Relationship Id="rId697" Type="http://schemas.openxmlformats.org/officeDocument/2006/relationships/image" Target="../media/image698.gif"/><Relationship Id="rId698" Type="http://schemas.openxmlformats.org/officeDocument/2006/relationships/image" Target="../media/image699.gif"/><Relationship Id="rId699" Type="http://schemas.openxmlformats.org/officeDocument/2006/relationships/image" Target="../media/image700.gif"/><Relationship Id="rId700" Type="http://schemas.openxmlformats.org/officeDocument/2006/relationships/image" Target="../media/image701.gif"/><Relationship Id="rId701" Type="http://schemas.openxmlformats.org/officeDocument/2006/relationships/image" Target="../media/image702.gif"/><Relationship Id="rId702" Type="http://schemas.openxmlformats.org/officeDocument/2006/relationships/image" Target="../media/image703.gif"/><Relationship Id="rId703" Type="http://schemas.openxmlformats.org/officeDocument/2006/relationships/image" Target="../media/image704.gif"/><Relationship Id="rId704" Type="http://schemas.openxmlformats.org/officeDocument/2006/relationships/image" Target="../media/image705.gif"/><Relationship Id="rId705" Type="http://schemas.openxmlformats.org/officeDocument/2006/relationships/image" Target="../media/image706.gif"/><Relationship Id="rId706" Type="http://schemas.openxmlformats.org/officeDocument/2006/relationships/image" Target="../media/image707.gif"/><Relationship Id="rId707" Type="http://schemas.openxmlformats.org/officeDocument/2006/relationships/image" Target="../media/image708.gif"/><Relationship Id="rId708" Type="http://schemas.openxmlformats.org/officeDocument/2006/relationships/image" Target="../media/image709.gif"/><Relationship Id="rId709" Type="http://schemas.openxmlformats.org/officeDocument/2006/relationships/image" Target="../media/image710.gif"/><Relationship Id="rId710" Type="http://schemas.openxmlformats.org/officeDocument/2006/relationships/image" Target="../media/image711.gif"/><Relationship Id="rId711" Type="http://schemas.openxmlformats.org/officeDocument/2006/relationships/image" Target="../media/image712.gif"/><Relationship Id="rId712" Type="http://schemas.openxmlformats.org/officeDocument/2006/relationships/image" Target="../media/image713.gif"/><Relationship Id="rId713" Type="http://schemas.openxmlformats.org/officeDocument/2006/relationships/image" Target="../media/image714.gif"/><Relationship Id="rId714" Type="http://schemas.openxmlformats.org/officeDocument/2006/relationships/image" Target="../media/image715.gif"/><Relationship Id="rId715" Type="http://schemas.openxmlformats.org/officeDocument/2006/relationships/image" Target="../media/image716.gif"/><Relationship Id="rId716" Type="http://schemas.openxmlformats.org/officeDocument/2006/relationships/image" Target="../media/image717.gif"/><Relationship Id="rId717" Type="http://schemas.openxmlformats.org/officeDocument/2006/relationships/image" Target="../media/image718.gif"/><Relationship Id="rId718" Type="http://schemas.openxmlformats.org/officeDocument/2006/relationships/image" Target="../media/image719.gif"/><Relationship Id="rId719" Type="http://schemas.openxmlformats.org/officeDocument/2006/relationships/image" Target="../media/image720.gif"/><Relationship Id="rId720" Type="http://schemas.openxmlformats.org/officeDocument/2006/relationships/image" Target="../media/image721.gif"/><Relationship Id="rId721" Type="http://schemas.openxmlformats.org/officeDocument/2006/relationships/image" Target="../media/image722.gif"/><Relationship Id="rId722" Type="http://schemas.openxmlformats.org/officeDocument/2006/relationships/image" Target="../media/image723.gif"/><Relationship Id="rId723" Type="http://schemas.openxmlformats.org/officeDocument/2006/relationships/image" Target="../media/image724.gif"/><Relationship Id="rId724" Type="http://schemas.openxmlformats.org/officeDocument/2006/relationships/image" Target="../media/image725.gif"/><Relationship Id="rId725" Type="http://schemas.openxmlformats.org/officeDocument/2006/relationships/image" Target="../media/image726.gif"/><Relationship Id="rId726" Type="http://schemas.openxmlformats.org/officeDocument/2006/relationships/image" Target="../media/image727.gif"/><Relationship Id="rId727" Type="http://schemas.openxmlformats.org/officeDocument/2006/relationships/image" Target="../media/image728.gif"/><Relationship Id="rId728" Type="http://schemas.openxmlformats.org/officeDocument/2006/relationships/image" Target="../media/image729.gif"/><Relationship Id="rId729" Type="http://schemas.openxmlformats.org/officeDocument/2006/relationships/image" Target="../media/image730.gif"/><Relationship Id="rId730" Type="http://schemas.openxmlformats.org/officeDocument/2006/relationships/image" Target="../media/image731.gif"/><Relationship Id="rId731" Type="http://schemas.openxmlformats.org/officeDocument/2006/relationships/image" Target="../media/image732.gif"/><Relationship Id="rId732" Type="http://schemas.openxmlformats.org/officeDocument/2006/relationships/image" Target="../media/image733.gif"/><Relationship Id="rId733" Type="http://schemas.openxmlformats.org/officeDocument/2006/relationships/image" Target="../media/image734.gif"/><Relationship Id="rId734" Type="http://schemas.openxmlformats.org/officeDocument/2006/relationships/image" Target="../media/image735.gif"/><Relationship Id="rId735" Type="http://schemas.openxmlformats.org/officeDocument/2006/relationships/image" Target="../media/image736.gif"/><Relationship Id="rId736" Type="http://schemas.openxmlformats.org/officeDocument/2006/relationships/image" Target="../media/image737.gif"/><Relationship Id="rId737" Type="http://schemas.openxmlformats.org/officeDocument/2006/relationships/image" Target="../media/image738.gif"/><Relationship Id="rId738" Type="http://schemas.openxmlformats.org/officeDocument/2006/relationships/image" Target="../media/image739.gif"/><Relationship Id="rId739" Type="http://schemas.openxmlformats.org/officeDocument/2006/relationships/image" Target="../media/image740.gif"/><Relationship Id="rId740" Type="http://schemas.openxmlformats.org/officeDocument/2006/relationships/image" Target="../media/image741.gif"/><Relationship Id="rId741" Type="http://schemas.openxmlformats.org/officeDocument/2006/relationships/image" Target="../media/image742.gif"/><Relationship Id="rId742" Type="http://schemas.openxmlformats.org/officeDocument/2006/relationships/image" Target="../media/image743.gif"/><Relationship Id="rId743" Type="http://schemas.openxmlformats.org/officeDocument/2006/relationships/image" Target="../media/image744.gif"/><Relationship Id="rId744" Type="http://schemas.openxmlformats.org/officeDocument/2006/relationships/image" Target="../media/image745.gif"/><Relationship Id="rId745" Type="http://schemas.openxmlformats.org/officeDocument/2006/relationships/image" Target="../media/image746.gif"/><Relationship Id="rId746" Type="http://schemas.openxmlformats.org/officeDocument/2006/relationships/image" Target="../media/image747.gif"/><Relationship Id="rId747" Type="http://schemas.openxmlformats.org/officeDocument/2006/relationships/image" Target="../media/image748.gif"/><Relationship Id="rId748" Type="http://schemas.openxmlformats.org/officeDocument/2006/relationships/image" Target="../media/image749.gif"/><Relationship Id="rId749" Type="http://schemas.openxmlformats.org/officeDocument/2006/relationships/image" Target="../media/image750.gif"/><Relationship Id="rId750" Type="http://schemas.openxmlformats.org/officeDocument/2006/relationships/image" Target="../media/image751.gif"/><Relationship Id="rId751" Type="http://schemas.openxmlformats.org/officeDocument/2006/relationships/image" Target="../media/image752.gif"/><Relationship Id="rId752" Type="http://schemas.openxmlformats.org/officeDocument/2006/relationships/image" Target="../media/image753.gif"/><Relationship Id="rId753" Type="http://schemas.openxmlformats.org/officeDocument/2006/relationships/image" Target="../media/image754.gif"/><Relationship Id="rId754" Type="http://schemas.openxmlformats.org/officeDocument/2006/relationships/image" Target="../media/image755.gif"/><Relationship Id="rId755" Type="http://schemas.openxmlformats.org/officeDocument/2006/relationships/image" Target="../media/image756.gif"/><Relationship Id="rId756" Type="http://schemas.openxmlformats.org/officeDocument/2006/relationships/image" Target="../media/image757.gif"/><Relationship Id="rId757" Type="http://schemas.openxmlformats.org/officeDocument/2006/relationships/image" Target="../media/image758.gif"/><Relationship Id="rId758" Type="http://schemas.openxmlformats.org/officeDocument/2006/relationships/image" Target="../media/image759.gif"/><Relationship Id="rId759" Type="http://schemas.openxmlformats.org/officeDocument/2006/relationships/image" Target="../media/image760.gif"/><Relationship Id="rId760" Type="http://schemas.openxmlformats.org/officeDocument/2006/relationships/image" Target="../media/image761.gif"/><Relationship Id="rId761" Type="http://schemas.openxmlformats.org/officeDocument/2006/relationships/image" Target="../media/image762.gif"/><Relationship Id="rId762" Type="http://schemas.openxmlformats.org/officeDocument/2006/relationships/image" Target="../media/image763.gif"/><Relationship Id="rId763" Type="http://schemas.openxmlformats.org/officeDocument/2006/relationships/image" Target="../media/image764.gif"/><Relationship Id="rId764" Type="http://schemas.openxmlformats.org/officeDocument/2006/relationships/image" Target="../media/image765.gif"/><Relationship Id="rId765" Type="http://schemas.openxmlformats.org/officeDocument/2006/relationships/image" Target="../media/image766.gif"/><Relationship Id="rId766" Type="http://schemas.openxmlformats.org/officeDocument/2006/relationships/image" Target="../media/image767.gif"/><Relationship Id="rId767" Type="http://schemas.openxmlformats.org/officeDocument/2006/relationships/image" Target="../media/image768.gif"/><Relationship Id="rId768" Type="http://schemas.openxmlformats.org/officeDocument/2006/relationships/image" Target="../media/image769.gif"/><Relationship Id="rId769" Type="http://schemas.openxmlformats.org/officeDocument/2006/relationships/image" Target="../media/image770.gif"/><Relationship Id="rId770" Type="http://schemas.openxmlformats.org/officeDocument/2006/relationships/image" Target="../media/image771.gif"/><Relationship Id="rId771" Type="http://schemas.openxmlformats.org/officeDocument/2006/relationships/image" Target="../media/image772.gif"/><Relationship Id="rId772" Type="http://schemas.openxmlformats.org/officeDocument/2006/relationships/image" Target="../media/image773.gif"/><Relationship Id="rId773" Type="http://schemas.openxmlformats.org/officeDocument/2006/relationships/image" Target="../media/image774.gif"/><Relationship Id="rId774" Type="http://schemas.openxmlformats.org/officeDocument/2006/relationships/image" Target="../media/image775.gif"/><Relationship Id="rId775" Type="http://schemas.openxmlformats.org/officeDocument/2006/relationships/image" Target="../media/image776.gif"/><Relationship Id="rId776" Type="http://schemas.openxmlformats.org/officeDocument/2006/relationships/image" Target="../media/image777.gif"/><Relationship Id="rId777" Type="http://schemas.openxmlformats.org/officeDocument/2006/relationships/image" Target="../media/image778.gif"/><Relationship Id="rId778" Type="http://schemas.openxmlformats.org/officeDocument/2006/relationships/image" Target="../media/image779.gif"/><Relationship Id="rId779" Type="http://schemas.openxmlformats.org/officeDocument/2006/relationships/image" Target="../media/image780.gif"/><Relationship Id="rId780" Type="http://schemas.openxmlformats.org/officeDocument/2006/relationships/image" Target="../media/image781.gif"/><Relationship Id="rId781" Type="http://schemas.openxmlformats.org/officeDocument/2006/relationships/image" Target="../media/image782.gif"/><Relationship Id="rId782" Type="http://schemas.openxmlformats.org/officeDocument/2006/relationships/image" Target="../media/image783.gif"/><Relationship Id="rId783" Type="http://schemas.openxmlformats.org/officeDocument/2006/relationships/image" Target="../media/image784.gif"/><Relationship Id="rId784" Type="http://schemas.openxmlformats.org/officeDocument/2006/relationships/image" Target="../media/image785.gif"/><Relationship Id="rId785" Type="http://schemas.openxmlformats.org/officeDocument/2006/relationships/image" Target="../media/image786.gif"/><Relationship Id="rId786" Type="http://schemas.openxmlformats.org/officeDocument/2006/relationships/image" Target="../media/image787.gif"/><Relationship Id="rId787" Type="http://schemas.openxmlformats.org/officeDocument/2006/relationships/image" Target="../media/image788.gif"/><Relationship Id="rId788" Type="http://schemas.openxmlformats.org/officeDocument/2006/relationships/image" Target="../media/image789.gif"/><Relationship Id="rId789" Type="http://schemas.openxmlformats.org/officeDocument/2006/relationships/image" Target="../media/image790.gif"/><Relationship Id="rId790" Type="http://schemas.openxmlformats.org/officeDocument/2006/relationships/image" Target="../media/image791.gif"/><Relationship Id="rId791" Type="http://schemas.openxmlformats.org/officeDocument/2006/relationships/image" Target="../media/image792.gif"/><Relationship Id="rId792" Type="http://schemas.openxmlformats.org/officeDocument/2006/relationships/image" Target="../media/image793.gif"/><Relationship Id="rId793" Type="http://schemas.openxmlformats.org/officeDocument/2006/relationships/image" Target="../media/image794.gif"/><Relationship Id="rId794" Type="http://schemas.openxmlformats.org/officeDocument/2006/relationships/image" Target="../media/image795.gif"/><Relationship Id="rId795" Type="http://schemas.openxmlformats.org/officeDocument/2006/relationships/image" Target="../media/image796.gif"/><Relationship Id="rId796" Type="http://schemas.openxmlformats.org/officeDocument/2006/relationships/image" Target="../media/image797.gif"/><Relationship Id="rId797" Type="http://schemas.openxmlformats.org/officeDocument/2006/relationships/image" Target="../media/image798.gif"/><Relationship Id="rId798" Type="http://schemas.openxmlformats.org/officeDocument/2006/relationships/image" Target="../media/image799.gif"/><Relationship Id="rId799" Type="http://schemas.openxmlformats.org/officeDocument/2006/relationships/image" Target="../media/image800.gif"/><Relationship Id="rId800" Type="http://schemas.openxmlformats.org/officeDocument/2006/relationships/image" Target="../media/image801.gif"/><Relationship Id="rId801" Type="http://schemas.openxmlformats.org/officeDocument/2006/relationships/image" Target="../media/image802.gif"/><Relationship Id="rId802" Type="http://schemas.openxmlformats.org/officeDocument/2006/relationships/image" Target="../media/image803.gif"/><Relationship Id="rId803" Type="http://schemas.openxmlformats.org/officeDocument/2006/relationships/image" Target="../media/image804.gif"/><Relationship Id="rId804" Type="http://schemas.openxmlformats.org/officeDocument/2006/relationships/image" Target="../media/image805.gif"/><Relationship Id="rId805" Type="http://schemas.openxmlformats.org/officeDocument/2006/relationships/image" Target="../media/image806.gif"/><Relationship Id="rId806" Type="http://schemas.openxmlformats.org/officeDocument/2006/relationships/image" Target="../media/image807.gif"/><Relationship Id="rId807" Type="http://schemas.openxmlformats.org/officeDocument/2006/relationships/image" Target="../media/image808.gif"/><Relationship Id="rId808" Type="http://schemas.openxmlformats.org/officeDocument/2006/relationships/image" Target="../media/image809.gif"/><Relationship Id="rId809" Type="http://schemas.openxmlformats.org/officeDocument/2006/relationships/image" Target="../media/image810.gif"/><Relationship Id="rId810" Type="http://schemas.openxmlformats.org/officeDocument/2006/relationships/image" Target="../media/image811.gif"/><Relationship Id="rId811" Type="http://schemas.openxmlformats.org/officeDocument/2006/relationships/image" Target="../media/image812.gif"/><Relationship Id="rId812" Type="http://schemas.openxmlformats.org/officeDocument/2006/relationships/image" Target="../media/image813.gif"/><Relationship Id="rId813" Type="http://schemas.openxmlformats.org/officeDocument/2006/relationships/image" Target="../media/image814.gif"/><Relationship Id="rId814" Type="http://schemas.openxmlformats.org/officeDocument/2006/relationships/image" Target="../media/image815.gif"/><Relationship Id="rId815" Type="http://schemas.openxmlformats.org/officeDocument/2006/relationships/image" Target="../media/image816.gif"/><Relationship Id="rId816" Type="http://schemas.openxmlformats.org/officeDocument/2006/relationships/image" Target="../media/image817.gif"/><Relationship Id="rId817" Type="http://schemas.openxmlformats.org/officeDocument/2006/relationships/image" Target="../media/image818.gif"/><Relationship Id="rId818" Type="http://schemas.openxmlformats.org/officeDocument/2006/relationships/image" Target="../media/image819.gif"/><Relationship Id="rId819" Type="http://schemas.openxmlformats.org/officeDocument/2006/relationships/image" Target="../media/image820.gif"/><Relationship Id="rId820" Type="http://schemas.openxmlformats.org/officeDocument/2006/relationships/image" Target="../media/image821.gif"/><Relationship Id="rId821" Type="http://schemas.openxmlformats.org/officeDocument/2006/relationships/image" Target="../media/image822.gif"/><Relationship Id="rId822" Type="http://schemas.openxmlformats.org/officeDocument/2006/relationships/image" Target="../media/image823.gif"/><Relationship Id="rId823" Type="http://schemas.openxmlformats.org/officeDocument/2006/relationships/image" Target="../media/image824.gif"/><Relationship Id="rId824" Type="http://schemas.openxmlformats.org/officeDocument/2006/relationships/image" Target="../media/image825.gif"/><Relationship Id="rId825" Type="http://schemas.openxmlformats.org/officeDocument/2006/relationships/image" Target="../media/image826.gif"/><Relationship Id="rId826" Type="http://schemas.openxmlformats.org/officeDocument/2006/relationships/image" Target="../media/image827.gif"/><Relationship Id="rId827" Type="http://schemas.openxmlformats.org/officeDocument/2006/relationships/image" Target="../media/image828.gif"/><Relationship Id="rId828" Type="http://schemas.openxmlformats.org/officeDocument/2006/relationships/image" Target="../media/image829.gif"/><Relationship Id="rId829" Type="http://schemas.openxmlformats.org/officeDocument/2006/relationships/image" Target="../media/image830.gif"/><Relationship Id="rId830" Type="http://schemas.openxmlformats.org/officeDocument/2006/relationships/image" Target="../media/image831.gif"/><Relationship Id="rId831" Type="http://schemas.openxmlformats.org/officeDocument/2006/relationships/image" Target="../media/image832.gif"/><Relationship Id="rId832" Type="http://schemas.openxmlformats.org/officeDocument/2006/relationships/image" Target="../media/image833.gif"/><Relationship Id="rId833" Type="http://schemas.openxmlformats.org/officeDocument/2006/relationships/image" Target="../media/image834.gif"/><Relationship Id="rId834" Type="http://schemas.openxmlformats.org/officeDocument/2006/relationships/image" Target="../media/image835.gif"/><Relationship Id="rId835" Type="http://schemas.openxmlformats.org/officeDocument/2006/relationships/image" Target="../media/image836.gif"/><Relationship Id="rId836" Type="http://schemas.openxmlformats.org/officeDocument/2006/relationships/image" Target="../media/image837.gif"/><Relationship Id="rId837" Type="http://schemas.openxmlformats.org/officeDocument/2006/relationships/image" Target="../media/image838.gif"/><Relationship Id="rId838" Type="http://schemas.openxmlformats.org/officeDocument/2006/relationships/image" Target="../media/image839.gif"/><Relationship Id="rId839" Type="http://schemas.openxmlformats.org/officeDocument/2006/relationships/image" Target="../media/image840.gif"/><Relationship Id="rId840" Type="http://schemas.openxmlformats.org/officeDocument/2006/relationships/image" Target="../media/image841.gif"/><Relationship Id="rId841" Type="http://schemas.openxmlformats.org/officeDocument/2006/relationships/image" Target="../media/image842.gif"/><Relationship Id="rId842" Type="http://schemas.openxmlformats.org/officeDocument/2006/relationships/image" Target="../media/image843.gif"/><Relationship Id="rId843" Type="http://schemas.openxmlformats.org/officeDocument/2006/relationships/image" Target="../media/image844.gif"/><Relationship Id="rId844" Type="http://schemas.openxmlformats.org/officeDocument/2006/relationships/image" Target="../media/image845.gif"/><Relationship Id="rId845" Type="http://schemas.openxmlformats.org/officeDocument/2006/relationships/image" Target="../media/image846.gif"/><Relationship Id="rId846" Type="http://schemas.openxmlformats.org/officeDocument/2006/relationships/image" Target="../media/image847.gif"/><Relationship Id="rId847" Type="http://schemas.openxmlformats.org/officeDocument/2006/relationships/image" Target="../media/image848.gif"/><Relationship Id="rId848" Type="http://schemas.openxmlformats.org/officeDocument/2006/relationships/image" Target="../media/image849.gif"/><Relationship Id="rId849" Type="http://schemas.openxmlformats.org/officeDocument/2006/relationships/image" Target="../media/image850.gif"/><Relationship Id="rId850" Type="http://schemas.openxmlformats.org/officeDocument/2006/relationships/image" Target="../media/image851.gif"/><Relationship Id="rId851" Type="http://schemas.openxmlformats.org/officeDocument/2006/relationships/image" Target="../media/image852.gif"/><Relationship Id="rId852" Type="http://schemas.openxmlformats.org/officeDocument/2006/relationships/image" Target="../media/image853.gif"/><Relationship Id="rId853" Type="http://schemas.openxmlformats.org/officeDocument/2006/relationships/image" Target="../media/image854.gif"/><Relationship Id="rId854" Type="http://schemas.openxmlformats.org/officeDocument/2006/relationships/image" Target="../media/image855.gif"/><Relationship Id="rId855" Type="http://schemas.openxmlformats.org/officeDocument/2006/relationships/image" Target="../media/image856.gif"/><Relationship Id="rId856" Type="http://schemas.openxmlformats.org/officeDocument/2006/relationships/image" Target="../media/image857.gif"/><Relationship Id="rId857" Type="http://schemas.openxmlformats.org/officeDocument/2006/relationships/image" Target="../media/image858.gif"/><Relationship Id="rId858" Type="http://schemas.openxmlformats.org/officeDocument/2006/relationships/image" Target="../media/image859.gif"/><Relationship Id="rId859" Type="http://schemas.openxmlformats.org/officeDocument/2006/relationships/image" Target="../media/image860.gif"/><Relationship Id="rId860" Type="http://schemas.openxmlformats.org/officeDocument/2006/relationships/image" Target="../media/image861.gif"/><Relationship Id="rId861" Type="http://schemas.openxmlformats.org/officeDocument/2006/relationships/image" Target="../media/image862.gif"/><Relationship Id="rId862" Type="http://schemas.openxmlformats.org/officeDocument/2006/relationships/image" Target="../media/image863.gif"/><Relationship Id="rId863" Type="http://schemas.openxmlformats.org/officeDocument/2006/relationships/image" Target="../media/image864.gif"/><Relationship Id="rId864" Type="http://schemas.openxmlformats.org/officeDocument/2006/relationships/image" Target="../media/image865.gif"/><Relationship Id="rId865" Type="http://schemas.openxmlformats.org/officeDocument/2006/relationships/image" Target="../media/image866.gif"/><Relationship Id="rId866" Type="http://schemas.openxmlformats.org/officeDocument/2006/relationships/image" Target="../media/image867.gif"/><Relationship Id="rId867" Type="http://schemas.openxmlformats.org/officeDocument/2006/relationships/image" Target="../media/image868.gif"/><Relationship Id="rId868" Type="http://schemas.openxmlformats.org/officeDocument/2006/relationships/image" Target="../media/image869.gif"/><Relationship Id="rId869" Type="http://schemas.openxmlformats.org/officeDocument/2006/relationships/image" Target="../media/image870.gif"/><Relationship Id="rId870" Type="http://schemas.openxmlformats.org/officeDocument/2006/relationships/image" Target="../media/image871.gif"/><Relationship Id="rId871" Type="http://schemas.openxmlformats.org/officeDocument/2006/relationships/image" Target="../media/image872.gif"/><Relationship Id="rId872" Type="http://schemas.openxmlformats.org/officeDocument/2006/relationships/image" Target="../media/image873.gif"/><Relationship Id="rId873" Type="http://schemas.openxmlformats.org/officeDocument/2006/relationships/image" Target="../media/image874.gif"/><Relationship Id="rId874" Type="http://schemas.openxmlformats.org/officeDocument/2006/relationships/image" Target="../media/image875.gif"/><Relationship Id="rId875" Type="http://schemas.openxmlformats.org/officeDocument/2006/relationships/image" Target="../media/image876.gif"/><Relationship Id="rId876" Type="http://schemas.openxmlformats.org/officeDocument/2006/relationships/image" Target="../media/image877.gif"/><Relationship Id="rId877" Type="http://schemas.openxmlformats.org/officeDocument/2006/relationships/image" Target="../media/image878.gif"/><Relationship Id="rId878" Type="http://schemas.openxmlformats.org/officeDocument/2006/relationships/image" Target="../media/image879.gif"/><Relationship Id="rId879" Type="http://schemas.openxmlformats.org/officeDocument/2006/relationships/image" Target="../media/image880.gif"/><Relationship Id="rId880" Type="http://schemas.openxmlformats.org/officeDocument/2006/relationships/image" Target="../media/image881.gif"/><Relationship Id="rId881" Type="http://schemas.openxmlformats.org/officeDocument/2006/relationships/image" Target="../media/image882.gif"/><Relationship Id="rId882" Type="http://schemas.openxmlformats.org/officeDocument/2006/relationships/image" Target="../media/image883.gif"/><Relationship Id="rId883" Type="http://schemas.openxmlformats.org/officeDocument/2006/relationships/image" Target="../media/image884.gif"/><Relationship Id="rId884" Type="http://schemas.openxmlformats.org/officeDocument/2006/relationships/image" Target="../media/image885.gif"/><Relationship Id="rId885" Type="http://schemas.openxmlformats.org/officeDocument/2006/relationships/image" Target="../media/image886.gif"/><Relationship Id="rId886" Type="http://schemas.openxmlformats.org/officeDocument/2006/relationships/image" Target="../media/image887.gif"/><Relationship Id="rId887" Type="http://schemas.openxmlformats.org/officeDocument/2006/relationships/image" Target="../media/image888.gif"/><Relationship Id="rId888" Type="http://schemas.openxmlformats.org/officeDocument/2006/relationships/image" Target="../media/image889.gif"/><Relationship Id="rId889" Type="http://schemas.openxmlformats.org/officeDocument/2006/relationships/image" Target="../media/image890.gif"/><Relationship Id="rId890" Type="http://schemas.openxmlformats.org/officeDocument/2006/relationships/image" Target="../media/image891.gif"/><Relationship Id="rId891" Type="http://schemas.openxmlformats.org/officeDocument/2006/relationships/image" Target="../media/image892.gif"/><Relationship Id="rId892" Type="http://schemas.openxmlformats.org/officeDocument/2006/relationships/image" Target="../media/image893.gif"/><Relationship Id="rId893" Type="http://schemas.openxmlformats.org/officeDocument/2006/relationships/image" Target="../media/image894.gif"/><Relationship Id="rId894" Type="http://schemas.openxmlformats.org/officeDocument/2006/relationships/image" Target="../media/image895.gif"/><Relationship Id="rId895" Type="http://schemas.openxmlformats.org/officeDocument/2006/relationships/image" Target="../media/image896.gif"/><Relationship Id="rId896" Type="http://schemas.openxmlformats.org/officeDocument/2006/relationships/image" Target="../media/image897.gif"/><Relationship Id="rId897" Type="http://schemas.openxmlformats.org/officeDocument/2006/relationships/image" Target="../media/image898.gif"/><Relationship Id="rId898" Type="http://schemas.openxmlformats.org/officeDocument/2006/relationships/image" Target="../media/image899.gif"/><Relationship Id="rId899" Type="http://schemas.openxmlformats.org/officeDocument/2006/relationships/image" Target="../media/image900.gif"/><Relationship Id="rId900" Type="http://schemas.openxmlformats.org/officeDocument/2006/relationships/image" Target="../media/image901.gif"/><Relationship Id="rId901" Type="http://schemas.openxmlformats.org/officeDocument/2006/relationships/image" Target="../media/image902.gif"/><Relationship Id="rId902" Type="http://schemas.openxmlformats.org/officeDocument/2006/relationships/image" Target="../media/image903.gif"/><Relationship Id="rId903" Type="http://schemas.openxmlformats.org/officeDocument/2006/relationships/image" Target="../media/image904.gif"/><Relationship Id="rId904" Type="http://schemas.openxmlformats.org/officeDocument/2006/relationships/image" Target="../media/image905.gif"/><Relationship Id="rId905" Type="http://schemas.openxmlformats.org/officeDocument/2006/relationships/image" Target="../media/image906.gif"/><Relationship Id="rId906" Type="http://schemas.openxmlformats.org/officeDocument/2006/relationships/image" Target="../media/image907.gif"/><Relationship Id="rId907" Type="http://schemas.openxmlformats.org/officeDocument/2006/relationships/image" Target="../media/image908.gif"/><Relationship Id="rId908" Type="http://schemas.openxmlformats.org/officeDocument/2006/relationships/image" Target="../media/image909.gif"/><Relationship Id="rId909" Type="http://schemas.openxmlformats.org/officeDocument/2006/relationships/image" Target="../media/image910.gif"/><Relationship Id="rId910" Type="http://schemas.openxmlformats.org/officeDocument/2006/relationships/image" Target="../media/image911.gif"/><Relationship Id="rId911" Type="http://schemas.openxmlformats.org/officeDocument/2006/relationships/image" Target="../media/image912.gif"/><Relationship Id="rId912" Type="http://schemas.openxmlformats.org/officeDocument/2006/relationships/image" Target="../media/image913.gif"/><Relationship Id="rId913" Type="http://schemas.openxmlformats.org/officeDocument/2006/relationships/image" Target="../media/image914.gif"/><Relationship Id="rId914" Type="http://schemas.openxmlformats.org/officeDocument/2006/relationships/image" Target="../media/image915.gif"/><Relationship Id="rId915" Type="http://schemas.openxmlformats.org/officeDocument/2006/relationships/image" Target="../media/image916.gif"/><Relationship Id="rId916" Type="http://schemas.openxmlformats.org/officeDocument/2006/relationships/image" Target="../media/image917.gif"/><Relationship Id="rId917" Type="http://schemas.openxmlformats.org/officeDocument/2006/relationships/image" Target="../media/image918.gif"/><Relationship Id="rId918" Type="http://schemas.openxmlformats.org/officeDocument/2006/relationships/image" Target="../media/image919.gif"/><Relationship Id="rId919" Type="http://schemas.openxmlformats.org/officeDocument/2006/relationships/image" Target="../media/image920.gif"/><Relationship Id="rId920" Type="http://schemas.openxmlformats.org/officeDocument/2006/relationships/image" Target="../media/image921.gif"/><Relationship Id="rId921" Type="http://schemas.openxmlformats.org/officeDocument/2006/relationships/image" Target="../media/image922.gif"/><Relationship Id="rId922" Type="http://schemas.openxmlformats.org/officeDocument/2006/relationships/image" Target="../media/image923.gif"/><Relationship Id="rId923" Type="http://schemas.openxmlformats.org/officeDocument/2006/relationships/image" Target="../media/image924.gif"/><Relationship Id="rId924" Type="http://schemas.openxmlformats.org/officeDocument/2006/relationships/image" Target="../media/image925.gif"/><Relationship Id="rId925" Type="http://schemas.openxmlformats.org/officeDocument/2006/relationships/image" Target="../media/image926.gif"/><Relationship Id="rId926" Type="http://schemas.openxmlformats.org/officeDocument/2006/relationships/image" Target="../media/image927.gif"/><Relationship Id="rId927" Type="http://schemas.openxmlformats.org/officeDocument/2006/relationships/image" Target="../media/image928.gif"/><Relationship Id="rId928" Type="http://schemas.openxmlformats.org/officeDocument/2006/relationships/image" Target="../media/image929.gif"/><Relationship Id="rId929" Type="http://schemas.openxmlformats.org/officeDocument/2006/relationships/image" Target="../media/image930.gif"/><Relationship Id="rId930" Type="http://schemas.openxmlformats.org/officeDocument/2006/relationships/image" Target="../media/image931.gif"/><Relationship Id="rId931" Type="http://schemas.openxmlformats.org/officeDocument/2006/relationships/image" Target="../media/image932.gif"/><Relationship Id="rId932" Type="http://schemas.openxmlformats.org/officeDocument/2006/relationships/image" Target="../media/image933.gif"/><Relationship Id="rId933" Type="http://schemas.openxmlformats.org/officeDocument/2006/relationships/image" Target="../media/image934.gif"/><Relationship Id="rId934" Type="http://schemas.openxmlformats.org/officeDocument/2006/relationships/image" Target="../media/image935.gif"/><Relationship Id="rId935" Type="http://schemas.openxmlformats.org/officeDocument/2006/relationships/image" Target="../media/image936.gif"/><Relationship Id="rId936" Type="http://schemas.openxmlformats.org/officeDocument/2006/relationships/image" Target="../media/image937.gif"/><Relationship Id="rId937" Type="http://schemas.openxmlformats.org/officeDocument/2006/relationships/image" Target="../media/image938.gif"/><Relationship Id="rId938" Type="http://schemas.openxmlformats.org/officeDocument/2006/relationships/image" Target="../media/image939.gif"/><Relationship Id="rId939" Type="http://schemas.openxmlformats.org/officeDocument/2006/relationships/image" Target="../media/image940.gif"/><Relationship Id="rId940" Type="http://schemas.openxmlformats.org/officeDocument/2006/relationships/image" Target="../media/image941.gif"/><Relationship Id="rId941" Type="http://schemas.openxmlformats.org/officeDocument/2006/relationships/image" Target="../media/image942.gif"/><Relationship Id="rId942" Type="http://schemas.openxmlformats.org/officeDocument/2006/relationships/image" Target="../media/image943.gif"/><Relationship Id="rId943" Type="http://schemas.openxmlformats.org/officeDocument/2006/relationships/image" Target="../media/image944.gif"/><Relationship Id="rId944" Type="http://schemas.openxmlformats.org/officeDocument/2006/relationships/image" Target="../media/image945.gif"/><Relationship Id="rId945" Type="http://schemas.openxmlformats.org/officeDocument/2006/relationships/image" Target="../media/image946.gif"/><Relationship Id="rId946" Type="http://schemas.openxmlformats.org/officeDocument/2006/relationships/image" Target="../media/image947.gif"/><Relationship Id="rId947" Type="http://schemas.openxmlformats.org/officeDocument/2006/relationships/image" Target="../media/image948.gif"/><Relationship Id="rId948" Type="http://schemas.openxmlformats.org/officeDocument/2006/relationships/image" Target="../media/image949.gif"/><Relationship Id="rId949" Type="http://schemas.openxmlformats.org/officeDocument/2006/relationships/image" Target="../media/image950.gif"/><Relationship Id="rId950" Type="http://schemas.openxmlformats.org/officeDocument/2006/relationships/image" Target="../media/image951.gif"/><Relationship Id="rId951" Type="http://schemas.openxmlformats.org/officeDocument/2006/relationships/image" Target="../media/image952.gif"/><Relationship Id="rId952" Type="http://schemas.openxmlformats.org/officeDocument/2006/relationships/image" Target="../media/image953.gif"/><Relationship Id="rId953" Type="http://schemas.openxmlformats.org/officeDocument/2006/relationships/image" Target="../media/image954.gif"/><Relationship Id="rId954" Type="http://schemas.openxmlformats.org/officeDocument/2006/relationships/image" Target="../media/image955.gif"/><Relationship Id="rId955" Type="http://schemas.openxmlformats.org/officeDocument/2006/relationships/image" Target="../media/image956.gif"/><Relationship Id="rId956" Type="http://schemas.openxmlformats.org/officeDocument/2006/relationships/image" Target="../media/image957.gif"/><Relationship Id="rId957" Type="http://schemas.openxmlformats.org/officeDocument/2006/relationships/image" Target="../media/image958.gif"/><Relationship Id="rId958" Type="http://schemas.openxmlformats.org/officeDocument/2006/relationships/image" Target="../media/image959.gif"/><Relationship Id="rId959" Type="http://schemas.openxmlformats.org/officeDocument/2006/relationships/image" Target="../media/image960.gif"/><Relationship Id="rId960" Type="http://schemas.openxmlformats.org/officeDocument/2006/relationships/image" Target="../media/image961.gif"/><Relationship Id="rId961" Type="http://schemas.openxmlformats.org/officeDocument/2006/relationships/image" Target="../media/image962.gif"/><Relationship Id="rId962" Type="http://schemas.openxmlformats.org/officeDocument/2006/relationships/image" Target="../media/image963.gif"/><Relationship Id="rId963" Type="http://schemas.openxmlformats.org/officeDocument/2006/relationships/image" Target="../media/image964.gif"/><Relationship Id="rId964" Type="http://schemas.openxmlformats.org/officeDocument/2006/relationships/image" Target="../media/image965.gif"/><Relationship Id="rId965" Type="http://schemas.openxmlformats.org/officeDocument/2006/relationships/image" Target="../media/image966.gif"/><Relationship Id="rId966" Type="http://schemas.openxmlformats.org/officeDocument/2006/relationships/image" Target="../media/image967.gif"/><Relationship Id="rId967" Type="http://schemas.openxmlformats.org/officeDocument/2006/relationships/image" Target="../media/image968.gif"/><Relationship Id="rId968" Type="http://schemas.openxmlformats.org/officeDocument/2006/relationships/image" Target="../media/image969.gif"/><Relationship Id="rId969" Type="http://schemas.openxmlformats.org/officeDocument/2006/relationships/image" Target="../media/image970.gif"/><Relationship Id="rId970" Type="http://schemas.openxmlformats.org/officeDocument/2006/relationships/image" Target="../media/image971.gif"/><Relationship Id="rId971" Type="http://schemas.openxmlformats.org/officeDocument/2006/relationships/image" Target="../media/image972.gif"/><Relationship Id="rId972" Type="http://schemas.openxmlformats.org/officeDocument/2006/relationships/image" Target="../media/image973.gif"/><Relationship Id="rId973" Type="http://schemas.openxmlformats.org/officeDocument/2006/relationships/image" Target="../media/image974.gif"/><Relationship Id="rId974" Type="http://schemas.openxmlformats.org/officeDocument/2006/relationships/image" Target="../media/image975.gif"/><Relationship Id="rId975" Type="http://schemas.openxmlformats.org/officeDocument/2006/relationships/image" Target="../media/image976.gif"/><Relationship Id="rId976" Type="http://schemas.openxmlformats.org/officeDocument/2006/relationships/image" Target="../media/image977.gif"/><Relationship Id="rId977" Type="http://schemas.openxmlformats.org/officeDocument/2006/relationships/image" Target="../media/image978.gif"/><Relationship Id="rId978" Type="http://schemas.openxmlformats.org/officeDocument/2006/relationships/image" Target="../media/image979.gif"/><Relationship Id="rId979" Type="http://schemas.openxmlformats.org/officeDocument/2006/relationships/image" Target="../media/image980.gif"/><Relationship Id="rId980" Type="http://schemas.openxmlformats.org/officeDocument/2006/relationships/image" Target="../media/image981.gif"/><Relationship Id="rId981" Type="http://schemas.openxmlformats.org/officeDocument/2006/relationships/image" Target="../media/image982.gif"/><Relationship Id="rId982" Type="http://schemas.openxmlformats.org/officeDocument/2006/relationships/image" Target="../media/image983.gif"/><Relationship Id="rId983" Type="http://schemas.openxmlformats.org/officeDocument/2006/relationships/image" Target="../media/image984.gif"/><Relationship Id="rId984" Type="http://schemas.openxmlformats.org/officeDocument/2006/relationships/image" Target="../media/image985.gif"/><Relationship Id="rId985" Type="http://schemas.openxmlformats.org/officeDocument/2006/relationships/image" Target="../media/image986.gif"/><Relationship Id="rId986" Type="http://schemas.openxmlformats.org/officeDocument/2006/relationships/image" Target="../media/image987.gif"/><Relationship Id="rId987" Type="http://schemas.openxmlformats.org/officeDocument/2006/relationships/image" Target="../media/image988.gif"/><Relationship Id="rId988" Type="http://schemas.openxmlformats.org/officeDocument/2006/relationships/image" Target="../media/image989.gif"/><Relationship Id="rId989" Type="http://schemas.openxmlformats.org/officeDocument/2006/relationships/image" Target="../media/image990.gif"/><Relationship Id="rId990" Type="http://schemas.openxmlformats.org/officeDocument/2006/relationships/image" Target="../media/image991.gif"/><Relationship Id="rId991" Type="http://schemas.openxmlformats.org/officeDocument/2006/relationships/image" Target="../media/image992.gif"/><Relationship Id="rId992" Type="http://schemas.openxmlformats.org/officeDocument/2006/relationships/image" Target="../media/image993.gif"/><Relationship Id="rId993" Type="http://schemas.openxmlformats.org/officeDocument/2006/relationships/image" Target="../media/image994.gif"/><Relationship Id="rId994" Type="http://schemas.openxmlformats.org/officeDocument/2006/relationships/image" Target="../media/image995.gif"/><Relationship Id="rId995" Type="http://schemas.openxmlformats.org/officeDocument/2006/relationships/image" Target="../media/image996.gif"/><Relationship Id="rId996" Type="http://schemas.openxmlformats.org/officeDocument/2006/relationships/image" Target="../media/image997.gif"/><Relationship Id="rId997" Type="http://schemas.openxmlformats.org/officeDocument/2006/relationships/image" Target="../media/image998.gif"/><Relationship Id="rId998" Type="http://schemas.openxmlformats.org/officeDocument/2006/relationships/image" Target="../media/image999.gif"/><Relationship Id="rId999" Type="http://schemas.openxmlformats.org/officeDocument/2006/relationships/image" Target="../media/image1000.gif"/><Relationship Id="rId1000" Type="http://schemas.openxmlformats.org/officeDocument/2006/relationships/image" Target="../media/image1001.gif"/><Relationship Id="rId1001" Type="http://schemas.openxmlformats.org/officeDocument/2006/relationships/image" Target="../media/image1002.gif"/><Relationship Id="rId1002" Type="http://schemas.openxmlformats.org/officeDocument/2006/relationships/image" Target="../media/image1003.gif"/><Relationship Id="rId1003" Type="http://schemas.openxmlformats.org/officeDocument/2006/relationships/image" Target="../media/image1004.gif"/><Relationship Id="rId1004" Type="http://schemas.openxmlformats.org/officeDocument/2006/relationships/image" Target="../media/image1005.gif"/><Relationship Id="rId1005" Type="http://schemas.openxmlformats.org/officeDocument/2006/relationships/image" Target="../media/image1006.gif"/><Relationship Id="rId1006" Type="http://schemas.openxmlformats.org/officeDocument/2006/relationships/image" Target="../media/image1007.gif"/><Relationship Id="rId1007" Type="http://schemas.openxmlformats.org/officeDocument/2006/relationships/image" Target="../media/image1008.gif"/><Relationship Id="rId1008" Type="http://schemas.openxmlformats.org/officeDocument/2006/relationships/image" Target="../media/image1009.gif"/><Relationship Id="rId1009" Type="http://schemas.openxmlformats.org/officeDocument/2006/relationships/image" Target="../media/image1010.gif"/><Relationship Id="rId1010" Type="http://schemas.openxmlformats.org/officeDocument/2006/relationships/image" Target="../media/image1011.gif"/><Relationship Id="rId1011" Type="http://schemas.openxmlformats.org/officeDocument/2006/relationships/image" Target="../media/image1012.gif"/><Relationship Id="rId1012" Type="http://schemas.openxmlformats.org/officeDocument/2006/relationships/image" Target="../media/image1013.gif"/><Relationship Id="rId1013" Type="http://schemas.openxmlformats.org/officeDocument/2006/relationships/image" Target="../media/image1014.gif"/><Relationship Id="rId1014" Type="http://schemas.openxmlformats.org/officeDocument/2006/relationships/image" Target="../media/image1015.gif"/><Relationship Id="rId1015" Type="http://schemas.openxmlformats.org/officeDocument/2006/relationships/image" Target="../media/image1016.gif"/><Relationship Id="rId1016" Type="http://schemas.openxmlformats.org/officeDocument/2006/relationships/image" Target="../media/image1017.gif"/><Relationship Id="rId1017" Type="http://schemas.openxmlformats.org/officeDocument/2006/relationships/image" Target="../media/image1018.gif"/><Relationship Id="rId1018" Type="http://schemas.openxmlformats.org/officeDocument/2006/relationships/image" Target="../media/image1019.gif"/><Relationship Id="rId1019" Type="http://schemas.openxmlformats.org/officeDocument/2006/relationships/image" Target="../media/image1020.gif"/><Relationship Id="rId1020" Type="http://schemas.openxmlformats.org/officeDocument/2006/relationships/image" Target="../media/image1021.gif"/><Relationship Id="rId1021" Type="http://schemas.openxmlformats.org/officeDocument/2006/relationships/image" Target="../media/image1022.gif"/><Relationship Id="rId1022" Type="http://schemas.openxmlformats.org/officeDocument/2006/relationships/image" Target="../media/image1023.gif"/><Relationship Id="rId1023" Type="http://schemas.openxmlformats.org/officeDocument/2006/relationships/image" Target="../media/image1024.gif"/><Relationship Id="rId1024" Type="http://schemas.openxmlformats.org/officeDocument/2006/relationships/image" Target="../media/image1025.gif"/><Relationship Id="rId1025" Type="http://schemas.openxmlformats.org/officeDocument/2006/relationships/image" Target="../media/image1026.gif"/><Relationship Id="rId1026" Type="http://schemas.openxmlformats.org/officeDocument/2006/relationships/image" Target="../media/image1027.gif"/><Relationship Id="rId1027" Type="http://schemas.openxmlformats.org/officeDocument/2006/relationships/image" Target="../media/image1028.gif"/><Relationship Id="rId1028" Type="http://schemas.openxmlformats.org/officeDocument/2006/relationships/image" Target="../media/image1029.gif"/><Relationship Id="rId1029" Type="http://schemas.openxmlformats.org/officeDocument/2006/relationships/image" Target="../media/image1030.gif"/><Relationship Id="rId1030" Type="http://schemas.openxmlformats.org/officeDocument/2006/relationships/image" Target="../media/image1031.gif"/><Relationship Id="rId1031" Type="http://schemas.openxmlformats.org/officeDocument/2006/relationships/image" Target="../media/image1032.gif"/><Relationship Id="rId1032" Type="http://schemas.openxmlformats.org/officeDocument/2006/relationships/image" Target="../media/image1033.gif"/><Relationship Id="rId1033" Type="http://schemas.openxmlformats.org/officeDocument/2006/relationships/image" Target="../media/image1034.gif"/><Relationship Id="rId1034" Type="http://schemas.openxmlformats.org/officeDocument/2006/relationships/image" Target="../media/image1035.gif"/><Relationship Id="rId1035" Type="http://schemas.openxmlformats.org/officeDocument/2006/relationships/image" Target="../media/image1036.gif"/><Relationship Id="rId1036" Type="http://schemas.openxmlformats.org/officeDocument/2006/relationships/image" Target="../media/image1037.gif"/><Relationship Id="rId1037" Type="http://schemas.openxmlformats.org/officeDocument/2006/relationships/image" Target="../media/image1038.gif"/><Relationship Id="rId1038" Type="http://schemas.openxmlformats.org/officeDocument/2006/relationships/image" Target="../media/image1039.gif"/><Relationship Id="rId1039" Type="http://schemas.openxmlformats.org/officeDocument/2006/relationships/image" Target="../media/image1040.gif"/><Relationship Id="rId1040" Type="http://schemas.openxmlformats.org/officeDocument/2006/relationships/image" Target="../media/image1041.gif"/><Relationship Id="rId1041" Type="http://schemas.openxmlformats.org/officeDocument/2006/relationships/image" Target="../media/image1042.gif"/><Relationship Id="rId1042" Type="http://schemas.openxmlformats.org/officeDocument/2006/relationships/image" Target="../media/image1043.gif"/><Relationship Id="rId1043" Type="http://schemas.openxmlformats.org/officeDocument/2006/relationships/image" Target="../media/image1044.gif"/><Relationship Id="rId1044" Type="http://schemas.openxmlformats.org/officeDocument/2006/relationships/image" Target="../media/image1045.gif"/><Relationship Id="rId1045" Type="http://schemas.openxmlformats.org/officeDocument/2006/relationships/image" Target="../media/image1046.gif"/><Relationship Id="rId1046" Type="http://schemas.openxmlformats.org/officeDocument/2006/relationships/image" Target="../media/image1047.gif"/><Relationship Id="rId1047" Type="http://schemas.openxmlformats.org/officeDocument/2006/relationships/image" Target="../media/image1048.gif"/><Relationship Id="rId1048" Type="http://schemas.openxmlformats.org/officeDocument/2006/relationships/image" Target="../media/image1049.gif"/><Relationship Id="rId1049" Type="http://schemas.openxmlformats.org/officeDocument/2006/relationships/image" Target="../media/image1050.gif"/><Relationship Id="rId1050" Type="http://schemas.openxmlformats.org/officeDocument/2006/relationships/image" Target="../media/image1051.gif"/><Relationship Id="rId1051" Type="http://schemas.openxmlformats.org/officeDocument/2006/relationships/image" Target="../media/image1052.gif"/><Relationship Id="rId1052" Type="http://schemas.openxmlformats.org/officeDocument/2006/relationships/image" Target="../media/image1053.gif"/><Relationship Id="rId1053" Type="http://schemas.openxmlformats.org/officeDocument/2006/relationships/image" Target="../media/image1054.gif"/><Relationship Id="rId1054" Type="http://schemas.openxmlformats.org/officeDocument/2006/relationships/image" Target="../media/image1055.gif"/><Relationship Id="rId1055" Type="http://schemas.openxmlformats.org/officeDocument/2006/relationships/image" Target="../media/image1056.gif"/><Relationship Id="rId1056" Type="http://schemas.openxmlformats.org/officeDocument/2006/relationships/image" Target="../media/image1057.gif"/><Relationship Id="rId1057" Type="http://schemas.openxmlformats.org/officeDocument/2006/relationships/image" Target="../media/image1058.gif"/><Relationship Id="rId1058" Type="http://schemas.openxmlformats.org/officeDocument/2006/relationships/image" Target="../media/image1059.gif"/><Relationship Id="rId1059" Type="http://schemas.openxmlformats.org/officeDocument/2006/relationships/image" Target="../media/image1060.gif"/><Relationship Id="rId1060" Type="http://schemas.openxmlformats.org/officeDocument/2006/relationships/image" Target="../media/image1061.gif"/><Relationship Id="rId1061" Type="http://schemas.openxmlformats.org/officeDocument/2006/relationships/image" Target="../media/image1062.gif"/><Relationship Id="rId1062" Type="http://schemas.openxmlformats.org/officeDocument/2006/relationships/image" Target="../media/image1063.gif"/><Relationship Id="rId1063" Type="http://schemas.openxmlformats.org/officeDocument/2006/relationships/image" Target="../media/image1064.gif"/><Relationship Id="rId1064" Type="http://schemas.openxmlformats.org/officeDocument/2006/relationships/image" Target="../media/image1065.gif"/><Relationship Id="rId1065" Type="http://schemas.openxmlformats.org/officeDocument/2006/relationships/image" Target="../media/image1066.gif"/><Relationship Id="rId1066" Type="http://schemas.openxmlformats.org/officeDocument/2006/relationships/image" Target="../media/image1067.gif"/><Relationship Id="rId1067" Type="http://schemas.openxmlformats.org/officeDocument/2006/relationships/image" Target="../media/image1068.gif"/><Relationship Id="rId1068" Type="http://schemas.openxmlformats.org/officeDocument/2006/relationships/image" Target="../media/image1069.gif"/><Relationship Id="rId1069" Type="http://schemas.openxmlformats.org/officeDocument/2006/relationships/image" Target="../media/image1070.gif"/><Relationship Id="rId1070" Type="http://schemas.openxmlformats.org/officeDocument/2006/relationships/image" Target="../media/image1071.gif"/><Relationship Id="rId1071" Type="http://schemas.openxmlformats.org/officeDocument/2006/relationships/image" Target="../media/image1072.gif"/><Relationship Id="rId1072" Type="http://schemas.openxmlformats.org/officeDocument/2006/relationships/image" Target="../media/image1073.gif"/><Relationship Id="rId1073" Type="http://schemas.openxmlformats.org/officeDocument/2006/relationships/image" Target="../media/image1074.gif"/><Relationship Id="rId1074" Type="http://schemas.openxmlformats.org/officeDocument/2006/relationships/image" Target="../media/image1075.gif"/><Relationship Id="rId1075" Type="http://schemas.openxmlformats.org/officeDocument/2006/relationships/image" Target="../media/image1076.gif"/><Relationship Id="rId1076" Type="http://schemas.openxmlformats.org/officeDocument/2006/relationships/image" Target="../media/image1077.gif"/><Relationship Id="rId1077" Type="http://schemas.openxmlformats.org/officeDocument/2006/relationships/image" Target="../media/image1078.gif"/><Relationship Id="rId1078" Type="http://schemas.openxmlformats.org/officeDocument/2006/relationships/image" Target="../media/image1079.gif"/><Relationship Id="rId1079" Type="http://schemas.openxmlformats.org/officeDocument/2006/relationships/image" Target="../media/image1080.gif"/><Relationship Id="rId1080" Type="http://schemas.openxmlformats.org/officeDocument/2006/relationships/image" Target="../media/image1081.gif"/><Relationship Id="rId1081" Type="http://schemas.openxmlformats.org/officeDocument/2006/relationships/image" Target="../media/image1082.gif"/><Relationship Id="rId1082" Type="http://schemas.openxmlformats.org/officeDocument/2006/relationships/image" Target="../media/image1083.gif"/><Relationship Id="rId1083" Type="http://schemas.openxmlformats.org/officeDocument/2006/relationships/image" Target="../media/image1084.gif"/><Relationship Id="rId1084" Type="http://schemas.openxmlformats.org/officeDocument/2006/relationships/image" Target="../media/image1085.gif"/><Relationship Id="rId1085" Type="http://schemas.openxmlformats.org/officeDocument/2006/relationships/image" Target="../media/image1086.gif"/><Relationship Id="rId1086" Type="http://schemas.openxmlformats.org/officeDocument/2006/relationships/image" Target="../media/image1087.gif"/><Relationship Id="rId1087" Type="http://schemas.openxmlformats.org/officeDocument/2006/relationships/image" Target="../media/image1088.gif"/><Relationship Id="rId1088" Type="http://schemas.openxmlformats.org/officeDocument/2006/relationships/image" Target="../media/image1089.gif"/><Relationship Id="rId1089" Type="http://schemas.openxmlformats.org/officeDocument/2006/relationships/image" Target="../media/image1090.gif"/><Relationship Id="rId1090" Type="http://schemas.openxmlformats.org/officeDocument/2006/relationships/image" Target="../media/image1091.gif"/><Relationship Id="rId1091" Type="http://schemas.openxmlformats.org/officeDocument/2006/relationships/image" Target="../media/image1092.gif"/><Relationship Id="rId1092" Type="http://schemas.openxmlformats.org/officeDocument/2006/relationships/image" Target="../media/image1093.gif"/><Relationship Id="rId1093" Type="http://schemas.openxmlformats.org/officeDocument/2006/relationships/image" Target="../media/image1094.gif"/><Relationship Id="rId1094" Type="http://schemas.openxmlformats.org/officeDocument/2006/relationships/image" Target="../media/image1095.gif"/><Relationship Id="rId1095" Type="http://schemas.openxmlformats.org/officeDocument/2006/relationships/image" Target="../media/image1096.gif"/><Relationship Id="rId1096" Type="http://schemas.openxmlformats.org/officeDocument/2006/relationships/image" Target="../media/image1097.gif"/><Relationship Id="rId1097" Type="http://schemas.openxmlformats.org/officeDocument/2006/relationships/image" Target="../media/image1098.gif"/><Relationship Id="rId1098" Type="http://schemas.openxmlformats.org/officeDocument/2006/relationships/image" Target="../media/image1099.gif"/><Relationship Id="rId1099" Type="http://schemas.openxmlformats.org/officeDocument/2006/relationships/image" Target="../media/image1100.gif"/><Relationship Id="rId1100" Type="http://schemas.openxmlformats.org/officeDocument/2006/relationships/image" Target="../media/image1101.gif"/><Relationship Id="rId1101" Type="http://schemas.openxmlformats.org/officeDocument/2006/relationships/image" Target="../media/image1102.gif"/><Relationship Id="rId1102" Type="http://schemas.openxmlformats.org/officeDocument/2006/relationships/image" Target="../media/image1103.gif"/><Relationship Id="rId1103" Type="http://schemas.openxmlformats.org/officeDocument/2006/relationships/image" Target="../media/image1104.gif"/><Relationship Id="rId1104" Type="http://schemas.openxmlformats.org/officeDocument/2006/relationships/image" Target="../media/image1105.gif"/><Relationship Id="rId1105" Type="http://schemas.openxmlformats.org/officeDocument/2006/relationships/image" Target="../media/image1106.gif"/><Relationship Id="rId1106" Type="http://schemas.openxmlformats.org/officeDocument/2006/relationships/image" Target="../media/image1107.gif"/><Relationship Id="rId1107" Type="http://schemas.openxmlformats.org/officeDocument/2006/relationships/image" Target="../media/image1108.gif"/><Relationship Id="rId1108" Type="http://schemas.openxmlformats.org/officeDocument/2006/relationships/image" Target="../media/image1109.gif"/><Relationship Id="rId1109" Type="http://schemas.openxmlformats.org/officeDocument/2006/relationships/image" Target="../media/image1110.gif"/><Relationship Id="rId1110" Type="http://schemas.openxmlformats.org/officeDocument/2006/relationships/image" Target="../media/image1111.gif"/><Relationship Id="rId1111" Type="http://schemas.openxmlformats.org/officeDocument/2006/relationships/image" Target="../media/image1112.gif"/><Relationship Id="rId1112" Type="http://schemas.openxmlformats.org/officeDocument/2006/relationships/image" Target="../media/image1113.gif"/><Relationship Id="rId1113" Type="http://schemas.openxmlformats.org/officeDocument/2006/relationships/image" Target="../media/image1114.gif"/><Relationship Id="rId1114" Type="http://schemas.openxmlformats.org/officeDocument/2006/relationships/image" Target="../media/image1115.gif"/><Relationship Id="rId1115" Type="http://schemas.openxmlformats.org/officeDocument/2006/relationships/image" Target="../media/image1116.gif"/><Relationship Id="rId1116" Type="http://schemas.openxmlformats.org/officeDocument/2006/relationships/image" Target="../media/image1117.gif"/><Relationship Id="rId1117" Type="http://schemas.openxmlformats.org/officeDocument/2006/relationships/image" Target="../media/image1118.gif"/><Relationship Id="rId1118" Type="http://schemas.openxmlformats.org/officeDocument/2006/relationships/image" Target="../media/image1119.gif"/><Relationship Id="rId1119" Type="http://schemas.openxmlformats.org/officeDocument/2006/relationships/image" Target="../media/image1120.gif"/><Relationship Id="rId1120" Type="http://schemas.openxmlformats.org/officeDocument/2006/relationships/image" Target="../media/image1121.gif"/><Relationship Id="rId1121" Type="http://schemas.openxmlformats.org/officeDocument/2006/relationships/image" Target="../media/image1122.gif"/><Relationship Id="rId1122" Type="http://schemas.openxmlformats.org/officeDocument/2006/relationships/image" Target="../media/image1123.gif"/><Relationship Id="rId1123" Type="http://schemas.openxmlformats.org/officeDocument/2006/relationships/image" Target="../media/image1124.gif"/><Relationship Id="rId1124" Type="http://schemas.openxmlformats.org/officeDocument/2006/relationships/image" Target="../media/image1125.gif"/><Relationship Id="rId1125" Type="http://schemas.openxmlformats.org/officeDocument/2006/relationships/image" Target="../media/image1126.gif"/><Relationship Id="rId1126" Type="http://schemas.openxmlformats.org/officeDocument/2006/relationships/image" Target="../media/image1127.gif"/><Relationship Id="rId1127" Type="http://schemas.openxmlformats.org/officeDocument/2006/relationships/image" Target="../media/image1128.gif"/><Relationship Id="rId1128" Type="http://schemas.openxmlformats.org/officeDocument/2006/relationships/image" Target="../media/image1129.gif"/><Relationship Id="rId1129" Type="http://schemas.openxmlformats.org/officeDocument/2006/relationships/image" Target="../media/image1130.gif"/><Relationship Id="rId1130" Type="http://schemas.openxmlformats.org/officeDocument/2006/relationships/image" Target="../media/image1131.gif"/><Relationship Id="rId1131" Type="http://schemas.openxmlformats.org/officeDocument/2006/relationships/image" Target="../media/image1132.gif"/><Relationship Id="rId1132" Type="http://schemas.openxmlformats.org/officeDocument/2006/relationships/image" Target="../media/image1133.gif"/><Relationship Id="rId1133" Type="http://schemas.openxmlformats.org/officeDocument/2006/relationships/image" Target="../media/image1134.gif"/><Relationship Id="rId1134" Type="http://schemas.openxmlformats.org/officeDocument/2006/relationships/image" Target="../media/image1135.gif"/><Relationship Id="rId1135" Type="http://schemas.openxmlformats.org/officeDocument/2006/relationships/image" Target="../media/image1136.gif"/><Relationship Id="rId1136" Type="http://schemas.openxmlformats.org/officeDocument/2006/relationships/image" Target="../media/image1137.gif"/><Relationship Id="rId1137" Type="http://schemas.openxmlformats.org/officeDocument/2006/relationships/image" Target="../media/image1138.gif"/><Relationship Id="rId1138" Type="http://schemas.openxmlformats.org/officeDocument/2006/relationships/image" Target="../media/image1139.gif"/><Relationship Id="rId1139" Type="http://schemas.openxmlformats.org/officeDocument/2006/relationships/image" Target="../media/image1140.gif"/><Relationship Id="rId1140" Type="http://schemas.openxmlformats.org/officeDocument/2006/relationships/image" Target="../media/image1141.gif"/><Relationship Id="rId1141" Type="http://schemas.openxmlformats.org/officeDocument/2006/relationships/image" Target="../media/image1142.gif"/><Relationship Id="rId1142" Type="http://schemas.openxmlformats.org/officeDocument/2006/relationships/image" Target="../media/image1143.gif"/><Relationship Id="rId1143" Type="http://schemas.openxmlformats.org/officeDocument/2006/relationships/image" Target="../media/image1144.gif"/><Relationship Id="rId1144" Type="http://schemas.openxmlformats.org/officeDocument/2006/relationships/image" Target="../media/image1145.gif"/><Relationship Id="rId1145" Type="http://schemas.openxmlformats.org/officeDocument/2006/relationships/image" Target="../media/image1146.gif"/><Relationship Id="rId1146" Type="http://schemas.openxmlformats.org/officeDocument/2006/relationships/image" Target="../media/image1147.gif"/><Relationship Id="rId1147" Type="http://schemas.openxmlformats.org/officeDocument/2006/relationships/image" Target="../media/image1148.gif"/><Relationship Id="rId1148" Type="http://schemas.openxmlformats.org/officeDocument/2006/relationships/image" Target="../media/image1149.gif"/><Relationship Id="rId1149" Type="http://schemas.openxmlformats.org/officeDocument/2006/relationships/image" Target="../media/image1150.gif"/><Relationship Id="rId1150" Type="http://schemas.openxmlformats.org/officeDocument/2006/relationships/image" Target="../media/image1151.gif"/><Relationship Id="rId1151" Type="http://schemas.openxmlformats.org/officeDocument/2006/relationships/image" Target="../media/image1152.gif"/><Relationship Id="rId1152" Type="http://schemas.openxmlformats.org/officeDocument/2006/relationships/image" Target="../media/image1153.gif"/><Relationship Id="rId1153" Type="http://schemas.openxmlformats.org/officeDocument/2006/relationships/image" Target="../media/image1154.gif"/><Relationship Id="rId1154" Type="http://schemas.openxmlformats.org/officeDocument/2006/relationships/image" Target="../media/image1155.gif"/><Relationship Id="rId1155" Type="http://schemas.openxmlformats.org/officeDocument/2006/relationships/image" Target="../media/image1156.gif"/><Relationship Id="rId1156" Type="http://schemas.openxmlformats.org/officeDocument/2006/relationships/image" Target="../media/image1157.gif"/><Relationship Id="rId1157" Type="http://schemas.openxmlformats.org/officeDocument/2006/relationships/image" Target="../media/image1158.gif"/><Relationship Id="rId1158" Type="http://schemas.openxmlformats.org/officeDocument/2006/relationships/image" Target="../media/image1159.gif"/><Relationship Id="rId1159" Type="http://schemas.openxmlformats.org/officeDocument/2006/relationships/image" Target="../media/image1160.gif"/><Relationship Id="rId1160" Type="http://schemas.openxmlformats.org/officeDocument/2006/relationships/image" Target="../media/image1161.gif"/><Relationship Id="rId1161" Type="http://schemas.openxmlformats.org/officeDocument/2006/relationships/image" Target="../media/image1162.gif"/><Relationship Id="rId1162" Type="http://schemas.openxmlformats.org/officeDocument/2006/relationships/image" Target="../media/image1163.gif"/><Relationship Id="rId1163" Type="http://schemas.openxmlformats.org/officeDocument/2006/relationships/image" Target="../media/image1164.gif"/><Relationship Id="rId1164" Type="http://schemas.openxmlformats.org/officeDocument/2006/relationships/image" Target="../media/image1165.gif"/><Relationship Id="rId1165" Type="http://schemas.openxmlformats.org/officeDocument/2006/relationships/image" Target="../media/image1166.gif"/><Relationship Id="rId1166" Type="http://schemas.openxmlformats.org/officeDocument/2006/relationships/image" Target="../media/image1167.gif"/><Relationship Id="rId1167" Type="http://schemas.openxmlformats.org/officeDocument/2006/relationships/image" Target="../media/image1168.gif"/><Relationship Id="rId1168" Type="http://schemas.openxmlformats.org/officeDocument/2006/relationships/image" Target="../media/image1169.gif"/><Relationship Id="rId1169" Type="http://schemas.openxmlformats.org/officeDocument/2006/relationships/image" Target="../media/image1170.gif"/><Relationship Id="rId1170" Type="http://schemas.openxmlformats.org/officeDocument/2006/relationships/image" Target="../media/image1171.gif"/><Relationship Id="rId1171" Type="http://schemas.openxmlformats.org/officeDocument/2006/relationships/image" Target="../media/image1172.gif"/><Relationship Id="rId1172" Type="http://schemas.openxmlformats.org/officeDocument/2006/relationships/image" Target="../media/image1173.gif"/><Relationship Id="rId1173" Type="http://schemas.openxmlformats.org/officeDocument/2006/relationships/image" Target="../media/image1174.gif"/><Relationship Id="rId1174" Type="http://schemas.openxmlformats.org/officeDocument/2006/relationships/image" Target="../media/image1175.gif"/><Relationship Id="rId1175" Type="http://schemas.openxmlformats.org/officeDocument/2006/relationships/image" Target="../media/image1176.gif"/><Relationship Id="rId1176" Type="http://schemas.openxmlformats.org/officeDocument/2006/relationships/image" Target="../media/image1177.gif"/><Relationship Id="rId1177" Type="http://schemas.openxmlformats.org/officeDocument/2006/relationships/image" Target="../media/image1178.gif"/><Relationship Id="rId1178" Type="http://schemas.openxmlformats.org/officeDocument/2006/relationships/image" Target="../media/image1179.gif"/><Relationship Id="rId1179" Type="http://schemas.openxmlformats.org/officeDocument/2006/relationships/image" Target="../media/image1180.gif"/><Relationship Id="rId1180" Type="http://schemas.openxmlformats.org/officeDocument/2006/relationships/image" Target="../media/image1181.gif"/><Relationship Id="rId1181" Type="http://schemas.openxmlformats.org/officeDocument/2006/relationships/image" Target="../media/image1182.gif"/><Relationship Id="rId1182" Type="http://schemas.openxmlformats.org/officeDocument/2006/relationships/image" Target="../media/image1183.gif"/><Relationship Id="rId1183" Type="http://schemas.openxmlformats.org/officeDocument/2006/relationships/image" Target="../media/image1184.gif"/><Relationship Id="rId1184" Type="http://schemas.openxmlformats.org/officeDocument/2006/relationships/image" Target="../media/image1185.gif"/><Relationship Id="rId1185" Type="http://schemas.openxmlformats.org/officeDocument/2006/relationships/image" Target="../media/image1186.gif"/><Relationship Id="rId1186" Type="http://schemas.openxmlformats.org/officeDocument/2006/relationships/image" Target="../media/image1187.gif"/><Relationship Id="rId1187" Type="http://schemas.openxmlformats.org/officeDocument/2006/relationships/image" Target="../media/image1188.gif"/><Relationship Id="rId1188" Type="http://schemas.openxmlformats.org/officeDocument/2006/relationships/image" Target="../media/image1189.gif"/><Relationship Id="rId1189" Type="http://schemas.openxmlformats.org/officeDocument/2006/relationships/image" Target="../media/image1190.gif"/><Relationship Id="rId1190" Type="http://schemas.openxmlformats.org/officeDocument/2006/relationships/image" Target="../media/image1191.gif"/><Relationship Id="rId1191" Type="http://schemas.openxmlformats.org/officeDocument/2006/relationships/image" Target="../media/image1192.gif"/><Relationship Id="rId1192" Type="http://schemas.openxmlformats.org/officeDocument/2006/relationships/image" Target="../media/image1193.gif"/><Relationship Id="rId1193" Type="http://schemas.openxmlformats.org/officeDocument/2006/relationships/image" Target="../media/image1194.gif"/><Relationship Id="rId1194" Type="http://schemas.openxmlformats.org/officeDocument/2006/relationships/image" Target="../media/image1195.gif"/><Relationship Id="rId1195" Type="http://schemas.openxmlformats.org/officeDocument/2006/relationships/image" Target="../media/image1196.gif"/><Relationship Id="rId1196" Type="http://schemas.openxmlformats.org/officeDocument/2006/relationships/image" Target="../media/image1197.gif"/><Relationship Id="rId1197" Type="http://schemas.openxmlformats.org/officeDocument/2006/relationships/image" Target="../media/image1198.gif"/><Relationship Id="rId1198" Type="http://schemas.openxmlformats.org/officeDocument/2006/relationships/image" Target="../media/image1199.gif"/><Relationship Id="rId1199" Type="http://schemas.openxmlformats.org/officeDocument/2006/relationships/image" Target="../media/image1200.gif"/><Relationship Id="rId1200" Type="http://schemas.openxmlformats.org/officeDocument/2006/relationships/image" Target="../media/image1201.gif"/><Relationship Id="rId1201" Type="http://schemas.openxmlformats.org/officeDocument/2006/relationships/image" Target="../media/image1202.gif"/><Relationship Id="rId1202" Type="http://schemas.openxmlformats.org/officeDocument/2006/relationships/image" Target="../media/image1203.gif"/><Relationship Id="rId1203" Type="http://schemas.openxmlformats.org/officeDocument/2006/relationships/image" Target="../media/image1204.gif"/><Relationship Id="rId1204" Type="http://schemas.openxmlformats.org/officeDocument/2006/relationships/image" Target="../media/image1205.gif"/><Relationship Id="rId1205" Type="http://schemas.openxmlformats.org/officeDocument/2006/relationships/image" Target="../media/image1206.gif"/><Relationship Id="rId1206" Type="http://schemas.openxmlformats.org/officeDocument/2006/relationships/image" Target="../media/image1207.gif"/><Relationship Id="rId1207" Type="http://schemas.openxmlformats.org/officeDocument/2006/relationships/image" Target="../media/image1208.gif"/><Relationship Id="rId1208" Type="http://schemas.openxmlformats.org/officeDocument/2006/relationships/image" Target="../media/image1209.gif"/><Relationship Id="rId1209" Type="http://schemas.openxmlformats.org/officeDocument/2006/relationships/image" Target="../media/image1210.gif"/><Relationship Id="rId1210" Type="http://schemas.openxmlformats.org/officeDocument/2006/relationships/image" Target="../media/image1211.gif"/><Relationship Id="rId1211" Type="http://schemas.openxmlformats.org/officeDocument/2006/relationships/image" Target="../media/image1212.gif"/><Relationship Id="rId1212" Type="http://schemas.openxmlformats.org/officeDocument/2006/relationships/image" Target="../media/image1213.gif"/><Relationship Id="rId1213" Type="http://schemas.openxmlformats.org/officeDocument/2006/relationships/image" Target="../media/image1214.gif"/><Relationship Id="rId1214" Type="http://schemas.openxmlformats.org/officeDocument/2006/relationships/image" Target="../media/image1215.gif"/><Relationship Id="rId1215" Type="http://schemas.openxmlformats.org/officeDocument/2006/relationships/image" Target="../media/image1216.gif"/><Relationship Id="rId1216" Type="http://schemas.openxmlformats.org/officeDocument/2006/relationships/image" Target="../media/image1217.gif"/><Relationship Id="rId1217" Type="http://schemas.openxmlformats.org/officeDocument/2006/relationships/image" Target="../media/image1218.gif"/><Relationship Id="rId1218" Type="http://schemas.openxmlformats.org/officeDocument/2006/relationships/image" Target="../media/image1219.gif"/><Relationship Id="rId1219" Type="http://schemas.openxmlformats.org/officeDocument/2006/relationships/image" Target="../media/image1220.gif"/><Relationship Id="rId1220" Type="http://schemas.openxmlformats.org/officeDocument/2006/relationships/image" Target="../media/image1221.gif"/><Relationship Id="rId1221" Type="http://schemas.openxmlformats.org/officeDocument/2006/relationships/image" Target="../media/image1222.gif"/><Relationship Id="rId1222" Type="http://schemas.openxmlformats.org/officeDocument/2006/relationships/image" Target="../media/image1223.gif"/><Relationship Id="rId1223" Type="http://schemas.openxmlformats.org/officeDocument/2006/relationships/image" Target="../media/image1224.gif"/><Relationship Id="rId1224" Type="http://schemas.openxmlformats.org/officeDocument/2006/relationships/image" Target="../media/image1225.gif"/><Relationship Id="rId1225" Type="http://schemas.openxmlformats.org/officeDocument/2006/relationships/image" Target="../media/image1226.gif"/><Relationship Id="rId1226" Type="http://schemas.openxmlformats.org/officeDocument/2006/relationships/image" Target="../media/image1227.gif"/><Relationship Id="rId1227" Type="http://schemas.openxmlformats.org/officeDocument/2006/relationships/image" Target="../media/image1228.gif"/><Relationship Id="rId1228" Type="http://schemas.openxmlformats.org/officeDocument/2006/relationships/image" Target="../media/image1229.gif"/><Relationship Id="rId1229" Type="http://schemas.openxmlformats.org/officeDocument/2006/relationships/image" Target="../media/image1230.gif"/><Relationship Id="rId1230" Type="http://schemas.openxmlformats.org/officeDocument/2006/relationships/image" Target="../media/image1231.gif"/><Relationship Id="rId1231" Type="http://schemas.openxmlformats.org/officeDocument/2006/relationships/image" Target="../media/image1232.gif"/><Relationship Id="rId1232" Type="http://schemas.openxmlformats.org/officeDocument/2006/relationships/image" Target="../media/image1233.gif"/><Relationship Id="rId1233" Type="http://schemas.openxmlformats.org/officeDocument/2006/relationships/image" Target="../media/image1234.gif"/><Relationship Id="rId1234" Type="http://schemas.openxmlformats.org/officeDocument/2006/relationships/image" Target="../media/image1235.gif"/><Relationship Id="rId1235" Type="http://schemas.openxmlformats.org/officeDocument/2006/relationships/image" Target="../media/image1236.gif"/><Relationship Id="rId1236" Type="http://schemas.openxmlformats.org/officeDocument/2006/relationships/image" Target="../media/image1237.gif"/><Relationship Id="rId1237" Type="http://schemas.openxmlformats.org/officeDocument/2006/relationships/image" Target="../media/image1238.gif"/><Relationship Id="rId1238" Type="http://schemas.openxmlformats.org/officeDocument/2006/relationships/image" Target="../media/image1239.gif"/><Relationship Id="rId1239" Type="http://schemas.openxmlformats.org/officeDocument/2006/relationships/image" Target="../media/image1240.gif"/><Relationship Id="rId1240" Type="http://schemas.openxmlformats.org/officeDocument/2006/relationships/image" Target="../media/image1241.gif"/><Relationship Id="rId1241" Type="http://schemas.openxmlformats.org/officeDocument/2006/relationships/image" Target="../media/image1242.gif"/><Relationship Id="rId1242" Type="http://schemas.openxmlformats.org/officeDocument/2006/relationships/image" Target="../media/image1243.gif"/><Relationship Id="rId1243" Type="http://schemas.openxmlformats.org/officeDocument/2006/relationships/image" Target="../media/image1244.gif"/><Relationship Id="rId1244" Type="http://schemas.openxmlformats.org/officeDocument/2006/relationships/image" Target="../media/image1245.gif"/><Relationship Id="rId1245" Type="http://schemas.openxmlformats.org/officeDocument/2006/relationships/image" Target="../media/image1246.gif"/><Relationship Id="rId1246" Type="http://schemas.openxmlformats.org/officeDocument/2006/relationships/image" Target="../media/image1247.gif"/><Relationship Id="rId1247" Type="http://schemas.openxmlformats.org/officeDocument/2006/relationships/image" Target="../media/image1248.gif"/><Relationship Id="rId1248" Type="http://schemas.openxmlformats.org/officeDocument/2006/relationships/image" Target="../media/image1249.gif"/><Relationship Id="rId1249" Type="http://schemas.openxmlformats.org/officeDocument/2006/relationships/image" Target="../media/image1250.gif"/><Relationship Id="rId1250" Type="http://schemas.openxmlformats.org/officeDocument/2006/relationships/image" Target="../media/image1251.gif"/><Relationship Id="rId1251" Type="http://schemas.openxmlformats.org/officeDocument/2006/relationships/image" Target="../media/image1252.gif"/><Relationship Id="rId1252" Type="http://schemas.openxmlformats.org/officeDocument/2006/relationships/image" Target="../media/image1253.gif"/><Relationship Id="rId1253" Type="http://schemas.openxmlformats.org/officeDocument/2006/relationships/image" Target="../media/image1254.gif"/><Relationship Id="rId1254" Type="http://schemas.openxmlformats.org/officeDocument/2006/relationships/image" Target="../media/image1255.gif"/><Relationship Id="rId1255" Type="http://schemas.openxmlformats.org/officeDocument/2006/relationships/image" Target="../media/image1256.gif"/><Relationship Id="rId1256" Type="http://schemas.openxmlformats.org/officeDocument/2006/relationships/image" Target="../media/image1257.gif"/><Relationship Id="rId1257" Type="http://schemas.openxmlformats.org/officeDocument/2006/relationships/image" Target="../media/image1258.gif"/><Relationship Id="rId1258" Type="http://schemas.openxmlformats.org/officeDocument/2006/relationships/image" Target="../media/image1259.gif"/><Relationship Id="rId1259" Type="http://schemas.openxmlformats.org/officeDocument/2006/relationships/image" Target="../media/image1260.gif"/><Relationship Id="rId1260" Type="http://schemas.openxmlformats.org/officeDocument/2006/relationships/image" Target="../media/image1261.gif"/><Relationship Id="rId1261" Type="http://schemas.openxmlformats.org/officeDocument/2006/relationships/image" Target="../media/image1262.gif"/><Relationship Id="rId1262" Type="http://schemas.openxmlformats.org/officeDocument/2006/relationships/image" Target="../media/image1263.gif"/><Relationship Id="rId1263" Type="http://schemas.openxmlformats.org/officeDocument/2006/relationships/image" Target="../media/image1264.gif"/><Relationship Id="rId1264" Type="http://schemas.openxmlformats.org/officeDocument/2006/relationships/image" Target="../media/image1265.gif"/><Relationship Id="rId1265" Type="http://schemas.openxmlformats.org/officeDocument/2006/relationships/image" Target="../media/image1266.gif"/><Relationship Id="rId1266" Type="http://schemas.openxmlformats.org/officeDocument/2006/relationships/image" Target="../media/image1267.gif"/><Relationship Id="rId1267" Type="http://schemas.openxmlformats.org/officeDocument/2006/relationships/image" Target="../media/image1268.gif"/><Relationship Id="rId1268" Type="http://schemas.openxmlformats.org/officeDocument/2006/relationships/image" Target="../media/image1269.gif"/><Relationship Id="rId1269" Type="http://schemas.openxmlformats.org/officeDocument/2006/relationships/image" Target="../media/image1270.gif"/><Relationship Id="rId1270" Type="http://schemas.openxmlformats.org/officeDocument/2006/relationships/image" Target="../media/image1271.gif"/><Relationship Id="rId1271" Type="http://schemas.openxmlformats.org/officeDocument/2006/relationships/image" Target="../media/image1272.gif"/><Relationship Id="rId1272" Type="http://schemas.openxmlformats.org/officeDocument/2006/relationships/image" Target="../media/image1273.gif"/><Relationship Id="rId1273" Type="http://schemas.openxmlformats.org/officeDocument/2006/relationships/image" Target="../media/image1274.gif"/><Relationship Id="rId1274" Type="http://schemas.openxmlformats.org/officeDocument/2006/relationships/image" Target="../media/image1275.gif"/><Relationship Id="rId1275" Type="http://schemas.openxmlformats.org/officeDocument/2006/relationships/image" Target="../media/image1276.gif"/><Relationship Id="rId1276" Type="http://schemas.openxmlformats.org/officeDocument/2006/relationships/image" Target="../media/image1277.gif"/><Relationship Id="rId1277" Type="http://schemas.openxmlformats.org/officeDocument/2006/relationships/image" Target="../media/image1278.gif"/><Relationship Id="rId1278" Type="http://schemas.openxmlformats.org/officeDocument/2006/relationships/image" Target="../media/image1279.gif"/><Relationship Id="rId1279" Type="http://schemas.openxmlformats.org/officeDocument/2006/relationships/image" Target="../media/image1280.gif"/><Relationship Id="rId1280" Type="http://schemas.openxmlformats.org/officeDocument/2006/relationships/image" Target="../media/image1281.gif"/><Relationship Id="rId1281" Type="http://schemas.openxmlformats.org/officeDocument/2006/relationships/image" Target="../media/image1282.gif"/><Relationship Id="rId1282" Type="http://schemas.openxmlformats.org/officeDocument/2006/relationships/image" Target="../media/image1283.gif"/><Relationship Id="rId1283" Type="http://schemas.openxmlformats.org/officeDocument/2006/relationships/image" Target="../media/image1284.gif"/><Relationship Id="rId1284" Type="http://schemas.openxmlformats.org/officeDocument/2006/relationships/image" Target="../media/image1285.gif"/><Relationship Id="rId1285" Type="http://schemas.openxmlformats.org/officeDocument/2006/relationships/image" Target="../media/image1286.gif"/><Relationship Id="rId1286" Type="http://schemas.openxmlformats.org/officeDocument/2006/relationships/image" Target="../media/image1287.gif"/><Relationship Id="rId1287" Type="http://schemas.openxmlformats.org/officeDocument/2006/relationships/image" Target="../media/image1288.gif"/><Relationship Id="rId1288" Type="http://schemas.openxmlformats.org/officeDocument/2006/relationships/image" Target="../media/image1289.gif"/><Relationship Id="rId1289" Type="http://schemas.openxmlformats.org/officeDocument/2006/relationships/image" Target="../media/image1290.gif"/><Relationship Id="rId1290" Type="http://schemas.openxmlformats.org/officeDocument/2006/relationships/image" Target="../media/image1291.gif"/><Relationship Id="rId1291" Type="http://schemas.openxmlformats.org/officeDocument/2006/relationships/image" Target="../media/image1292.gif"/><Relationship Id="rId1292" Type="http://schemas.openxmlformats.org/officeDocument/2006/relationships/image" Target="../media/image1293.gif"/><Relationship Id="rId1293" Type="http://schemas.openxmlformats.org/officeDocument/2006/relationships/image" Target="../media/image1294.gif"/><Relationship Id="rId1294" Type="http://schemas.openxmlformats.org/officeDocument/2006/relationships/image" Target="../media/image1295.gif"/><Relationship Id="rId1295" Type="http://schemas.openxmlformats.org/officeDocument/2006/relationships/image" Target="../media/image1296.gif"/><Relationship Id="rId1296" Type="http://schemas.openxmlformats.org/officeDocument/2006/relationships/image" Target="../media/image1297.gif"/><Relationship Id="rId1297" Type="http://schemas.openxmlformats.org/officeDocument/2006/relationships/image" Target="../media/image1298.gif"/><Relationship Id="rId1298" Type="http://schemas.openxmlformats.org/officeDocument/2006/relationships/image" Target="../media/image1299.gif"/><Relationship Id="rId1299" Type="http://schemas.openxmlformats.org/officeDocument/2006/relationships/image" Target="../media/image1300.gif"/><Relationship Id="rId1300" Type="http://schemas.openxmlformats.org/officeDocument/2006/relationships/image" Target="../media/image1301.gif"/><Relationship Id="rId1301" Type="http://schemas.openxmlformats.org/officeDocument/2006/relationships/image" Target="../media/image1302.gif"/><Relationship Id="rId1302" Type="http://schemas.openxmlformats.org/officeDocument/2006/relationships/image" Target="../media/image1303.gif"/><Relationship Id="rId1303" Type="http://schemas.openxmlformats.org/officeDocument/2006/relationships/image" Target="../media/image1304.gif"/><Relationship Id="rId1304" Type="http://schemas.openxmlformats.org/officeDocument/2006/relationships/image" Target="../media/image1305.gif"/><Relationship Id="rId1305" Type="http://schemas.openxmlformats.org/officeDocument/2006/relationships/image" Target="../media/image1306.gif"/><Relationship Id="rId1306" Type="http://schemas.openxmlformats.org/officeDocument/2006/relationships/image" Target="../media/image1307.gif"/><Relationship Id="rId1307" Type="http://schemas.openxmlformats.org/officeDocument/2006/relationships/image" Target="../media/image1308.gif"/><Relationship Id="rId1308" Type="http://schemas.openxmlformats.org/officeDocument/2006/relationships/image" Target="../media/image1309.gif"/><Relationship Id="rId1309" Type="http://schemas.openxmlformats.org/officeDocument/2006/relationships/image" Target="../media/image1310.gif"/><Relationship Id="rId1310" Type="http://schemas.openxmlformats.org/officeDocument/2006/relationships/image" Target="../media/image1311.gif"/><Relationship Id="rId1311" Type="http://schemas.openxmlformats.org/officeDocument/2006/relationships/image" Target="../media/image1312.gif"/><Relationship Id="rId1312" Type="http://schemas.openxmlformats.org/officeDocument/2006/relationships/image" Target="../media/image1313.gif"/><Relationship Id="rId1313" Type="http://schemas.openxmlformats.org/officeDocument/2006/relationships/image" Target="../media/image1314.gif"/><Relationship Id="rId1314" Type="http://schemas.openxmlformats.org/officeDocument/2006/relationships/image" Target="../media/image1315.gif"/><Relationship Id="rId1315" Type="http://schemas.openxmlformats.org/officeDocument/2006/relationships/image" Target="../media/image1316.gif"/><Relationship Id="rId1316" Type="http://schemas.openxmlformats.org/officeDocument/2006/relationships/image" Target="../media/image1317.gif"/><Relationship Id="rId1317" Type="http://schemas.openxmlformats.org/officeDocument/2006/relationships/image" Target="../media/image1318.gif"/><Relationship Id="rId1318" Type="http://schemas.openxmlformats.org/officeDocument/2006/relationships/image" Target="../media/image1319.gif"/><Relationship Id="rId1319" Type="http://schemas.openxmlformats.org/officeDocument/2006/relationships/image" Target="../media/image1320.gif"/><Relationship Id="rId1320" Type="http://schemas.openxmlformats.org/officeDocument/2006/relationships/image" Target="../media/image1321.gif"/><Relationship Id="rId1321" Type="http://schemas.openxmlformats.org/officeDocument/2006/relationships/image" Target="../media/image1322.gif"/><Relationship Id="rId1322" Type="http://schemas.openxmlformats.org/officeDocument/2006/relationships/image" Target="../media/image1323.gif"/><Relationship Id="rId1323" Type="http://schemas.openxmlformats.org/officeDocument/2006/relationships/image" Target="../media/image1324.gif"/><Relationship Id="rId1324" Type="http://schemas.openxmlformats.org/officeDocument/2006/relationships/image" Target="../media/image1325.gif"/><Relationship Id="rId1325" Type="http://schemas.openxmlformats.org/officeDocument/2006/relationships/image" Target="../media/image1326.gif"/><Relationship Id="rId1326" Type="http://schemas.openxmlformats.org/officeDocument/2006/relationships/image" Target="../media/image1327.gif"/><Relationship Id="rId1327" Type="http://schemas.openxmlformats.org/officeDocument/2006/relationships/image" Target="../media/image1328.gif"/><Relationship Id="rId1328" Type="http://schemas.openxmlformats.org/officeDocument/2006/relationships/image" Target="../media/image1329.gif"/><Relationship Id="rId1329" Type="http://schemas.openxmlformats.org/officeDocument/2006/relationships/image" Target="../media/image1330.gif"/><Relationship Id="rId1330" Type="http://schemas.openxmlformats.org/officeDocument/2006/relationships/image" Target="../media/image1331.gif"/><Relationship Id="rId1331" Type="http://schemas.openxmlformats.org/officeDocument/2006/relationships/image" Target="../media/image1332.gif"/><Relationship Id="rId1332" Type="http://schemas.openxmlformats.org/officeDocument/2006/relationships/image" Target="../media/image1333.gif"/><Relationship Id="rId1333" Type="http://schemas.openxmlformats.org/officeDocument/2006/relationships/image" Target="../media/image1334.gif"/><Relationship Id="rId1334" Type="http://schemas.openxmlformats.org/officeDocument/2006/relationships/image" Target="../media/image1335.gif"/><Relationship Id="rId1335" Type="http://schemas.openxmlformats.org/officeDocument/2006/relationships/image" Target="../media/image1336.gif"/><Relationship Id="rId1336" Type="http://schemas.openxmlformats.org/officeDocument/2006/relationships/image" Target="../media/image1337.gif"/><Relationship Id="rId1337" Type="http://schemas.openxmlformats.org/officeDocument/2006/relationships/image" Target="../media/image1338.gif"/><Relationship Id="rId1338" Type="http://schemas.openxmlformats.org/officeDocument/2006/relationships/image" Target="../media/image1339.gif"/><Relationship Id="rId1339" Type="http://schemas.openxmlformats.org/officeDocument/2006/relationships/image" Target="../media/image1340.gif"/><Relationship Id="rId1340" Type="http://schemas.openxmlformats.org/officeDocument/2006/relationships/image" Target="../media/image1341.gif"/><Relationship Id="rId1341" Type="http://schemas.openxmlformats.org/officeDocument/2006/relationships/image" Target="../media/image1342.gif"/><Relationship Id="rId1342" Type="http://schemas.openxmlformats.org/officeDocument/2006/relationships/image" Target="../media/image1343.gif"/><Relationship Id="rId1343" Type="http://schemas.openxmlformats.org/officeDocument/2006/relationships/image" Target="../media/image1344.gif"/><Relationship Id="rId1344" Type="http://schemas.openxmlformats.org/officeDocument/2006/relationships/image" Target="../media/image1345.gif"/><Relationship Id="rId1345" Type="http://schemas.openxmlformats.org/officeDocument/2006/relationships/image" Target="../media/image1346.gif"/><Relationship Id="rId1346" Type="http://schemas.openxmlformats.org/officeDocument/2006/relationships/image" Target="../media/image1347.gif"/><Relationship Id="rId1347" Type="http://schemas.openxmlformats.org/officeDocument/2006/relationships/image" Target="../media/image1348.gif"/><Relationship Id="rId1348" Type="http://schemas.openxmlformats.org/officeDocument/2006/relationships/image" Target="../media/image1349.gif"/><Relationship Id="rId1349" Type="http://schemas.openxmlformats.org/officeDocument/2006/relationships/image" Target="../media/image1350.gif"/><Relationship Id="rId1350" Type="http://schemas.openxmlformats.org/officeDocument/2006/relationships/image" Target="../media/image1351.gif"/><Relationship Id="rId1351" Type="http://schemas.openxmlformats.org/officeDocument/2006/relationships/image" Target="../media/image1352.gif"/><Relationship Id="rId1352" Type="http://schemas.openxmlformats.org/officeDocument/2006/relationships/image" Target="../media/image1353.gif"/><Relationship Id="rId1353" Type="http://schemas.openxmlformats.org/officeDocument/2006/relationships/image" Target="../media/image1354.gif"/><Relationship Id="rId1354" Type="http://schemas.openxmlformats.org/officeDocument/2006/relationships/image" Target="../media/image1355.gif"/><Relationship Id="rId1355" Type="http://schemas.openxmlformats.org/officeDocument/2006/relationships/image" Target="../media/image1356.gif"/><Relationship Id="rId1356" Type="http://schemas.openxmlformats.org/officeDocument/2006/relationships/image" Target="../media/image1357.gif"/><Relationship Id="rId1357" Type="http://schemas.openxmlformats.org/officeDocument/2006/relationships/image" Target="../media/image1358.gif"/><Relationship Id="rId1358" Type="http://schemas.openxmlformats.org/officeDocument/2006/relationships/image" Target="../media/image1359.gif"/><Relationship Id="rId1359" Type="http://schemas.openxmlformats.org/officeDocument/2006/relationships/image" Target="../media/image1360.gif"/><Relationship Id="rId1360" Type="http://schemas.openxmlformats.org/officeDocument/2006/relationships/image" Target="../media/image1361.gif"/><Relationship Id="rId1361" Type="http://schemas.openxmlformats.org/officeDocument/2006/relationships/image" Target="../media/image1362.gif"/><Relationship Id="rId1362" Type="http://schemas.openxmlformats.org/officeDocument/2006/relationships/image" Target="../media/image1363.gif"/><Relationship Id="rId1363" Type="http://schemas.openxmlformats.org/officeDocument/2006/relationships/image" Target="../media/image1364.gif"/><Relationship Id="rId1364" Type="http://schemas.openxmlformats.org/officeDocument/2006/relationships/image" Target="../media/image1365.gif"/><Relationship Id="rId1365" Type="http://schemas.openxmlformats.org/officeDocument/2006/relationships/image" Target="../media/image1366.gif"/><Relationship Id="rId1366" Type="http://schemas.openxmlformats.org/officeDocument/2006/relationships/image" Target="../media/image1367.gif"/><Relationship Id="rId1367" Type="http://schemas.openxmlformats.org/officeDocument/2006/relationships/image" Target="../media/image1368.gif"/><Relationship Id="rId1368" Type="http://schemas.openxmlformats.org/officeDocument/2006/relationships/image" Target="../media/image1369.gif"/><Relationship Id="rId1369" Type="http://schemas.openxmlformats.org/officeDocument/2006/relationships/image" Target="../media/image1370.gif"/><Relationship Id="rId1370" Type="http://schemas.openxmlformats.org/officeDocument/2006/relationships/image" Target="../media/image1371.gif"/><Relationship Id="rId1371" Type="http://schemas.openxmlformats.org/officeDocument/2006/relationships/image" Target="../media/image1372.gif"/><Relationship Id="rId1372" Type="http://schemas.openxmlformats.org/officeDocument/2006/relationships/image" Target="../media/image1373.gif"/><Relationship Id="rId1373" Type="http://schemas.openxmlformats.org/officeDocument/2006/relationships/image" Target="../media/image1374.gif"/><Relationship Id="rId1374" Type="http://schemas.openxmlformats.org/officeDocument/2006/relationships/image" Target="../media/image1375.gif"/><Relationship Id="rId1375" Type="http://schemas.openxmlformats.org/officeDocument/2006/relationships/image" Target="../media/image1376.gif"/><Relationship Id="rId1376" Type="http://schemas.openxmlformats.org/officeDocument/2006/relationships/image" Target="../media/image1377.gif"/><Relationship Id="rId1377" Type="http://schemas.openxmlformats.org/officeDocument/2006/relationships/image" Target="../media/image1378.gif"/><Relationship Id="rId1378" Type="http://schemas.openxmlformats.org/officeDocument/2006/relationships/image" Target="../media/image1379.gif"/><Relationship Id="rId1379" Type="http://schemas.openxmlformats.org/officeDocument/2006/relationships/image" Target="../media/image1380.gif"/><Relationship Id="rId1380" Type="http://schemas.openxmlformats.org/officeDocument/2006/relationships/image" Target="../media/image1381.gif"/><Relationship Id="rId1381" Type="http://schemas.openxmlformats.org/officeDocument/2006/relationships/image" Target="../media/image1382.gif"/><Relationship Id="rId1382" Type="http://schemas.openxmlformats.org/officeDocument/2006/relationships/image" Target="../media/image1383.gif"/><Relationship Id="rId1383" Type="http://schemas.openxmlformats.org/officeDocument/2006/relationships/image" Target="../media/image1384.gif"/><Relationship Id="rId1384" Type="http://schemas.openxmlformats.org/officeDocument/2006/relationships/image" Target="../media/image1385.gif"/><Relationship Id="rId1385" Type="http://schemas.openxmlformats.org/officeDocument/2006/relationships/image" Target="../media/image1386.gif"/><Relationship Id="rId1386" Type="http://schemas.openxmlformats.org/officeDocument/2006/relationships/image" Target="../media/image1387.gif"/><Relationship Id="rId1387" Type="http://schemas.openxmlformats.org/officeDocument/2006/relationships/image" Target="../media/image1388.gif"/><Relationship Id="rId1388" Type="http://schemas.openxmlformats.org/officeDocument/2006/relationships/image" Target="../media/image1389.gif"/><Relationship Id="rId1389" Type="http://schemas.openxmlformats.org/officeDocument/2006/relationships/image" Target="../media/image1390.gif"/><Relationship Id="rId1390" Type="http://schemas.openxmlformats.org/officeDocument/2006/relationships/image" Target="../media/image1391.gif"/><Relationship Id="rId1391" Type="http://schemas.openxmlformats.org/officeDocument/2006/relationships/image" Target="../media/image1392.gif"/><Relationship Id="rId1392" Type="http://schemas.openxmlformats.org/officeDocument/2006/relationships/image" Target="../media/image1393.gif"/><Relationship Id="rId1393" Type="http://schemas.openxmlformats.org/officeDocument/2006/relationships/image" Target="../media/image1394.gif"/><Relationship Id="rId1394" Type="http://schemas.openxmlformats.org/officeDocument/2006/relationships/image" Target="../media/image1395.gif"/><Relationship Id="rId1395" Type="http://schemas.openxmlformats.org/officeDocument/2006/relationships/image" Target="../media/image1396.gif"/><Relationship Id="rId1396" Type="http://schemas.openxmlformats.org/officeDocument/2006/relationships/image" Target="../media/image1397.gif"/><Relationship Id="rId1397" Type="http://schemas.openxmlformats.org/officeDocument/2006/relationships/image" Target="../media/image1398.gif"/><Relationship Id="rId1398" Type="http://schemas.openxmlformats.org/officeDocument/2006/relationships/image" Target="../media/image1399.gif"/><Relationship Id="rId1399" Type="http://schemas.openxmlformats.org/officeDocument/2006/relationships/image" Target="../media/image1400.gif"/><Relationship Id="rId1400" Type="http://schemas.openxmlformats.org/officeDocument/2006/relationships/image" Target="../media/image1401.gif"/><Relationship Id="rId1401" Type="http://schemas.openxmlformats.org/officeDocument/2006/relationships/image" Target="../media/image1402.gif"/><Relationship Id="rId1402" Type="http://schemas.openxmlformats.org/officeDocument/2006/relationships/image" Target="../media/image1403.gif"/><Relationship Id="rId1403" Type="http://schemas.openxmlformats.org/officeDocument/2006/relationships/image" Target="../media/image1404.gif"/><Relationship Id="rId1404" Type="http://schemas.openxmlformats.org/officeDocument/2006/relationships/image" Target="../media/image1405.gif"/><Relationship Id="rId1405" Type="http://schemas.openxmlformats.org/officeDocument/2006/relationships/image" Target="../media/image1406.gif"/><Relationship Id="rId1406" Type="http://schemas.openxmlformats.org/officeDocument/2006/relationships/image" Target="../media/image1407.gif"/><Relationship Id="rId1407" Type="http://schemas.openxmlformats.org/officeDocument/2006/relationships/image" Target="../media/image1408.gif"/><Relationship Id="rId1408" Type="http://schemas.openxmlformats.org/officeDocument/2006/relationships/image" Target="../media/image1409.gif"/><Relationship Id="rId1409" Type="http://schemas.openxmlformats.org/officeDocument/2006/relationships/image" Target="../media/image1410.gif"/><Relationship Id="rId1410" Type="http://schemas.openxmlformats.org/officeDocument/2006/relationships/image" Target="../media/image1411.gif"/><Relationship Id="rId1411" Type="http://schemas.openxmlformats.org/officeDocument/2006/relationships/image" Target="../media/image1412.gif"/><Relationship Id="rId1412" Type="http://schemas.openxmlformats.org/officeDocument/2006/relationships/image" Target="../media/image1413.gif"/><Relationship Id="rId1413" Type="http://schemas.openxmlformats.org/officeDocument/2006/relationships/image" Target="../media/image1414.gif"/><Relationship Id="rId1414" Type="http://schemas.openxmlformats.org/officeDocument/2006/relationships/image" Target="../media/image1415.gif"/><Relationship Id="rId1415" Type="http://schemas.openxmlformats.org/officeDocument/2006/relationships/image" Target="../media/image1416.gif"/><Relationship Id="rId1416" Type="http://schemas.openxmlformats.org/officeDocument/2006/relationships/image" Target="../media/image1417.gif"/><Relationship Id="rId1417" Type="http://schemas.openxmlformats.org/officeDocument/2006/relationships/image" Target="../media/image1418.gif"/><Relationship Id="rId1418" Type="http://schemas.openxmlformats.org/officeDocument/2006/relationships/image" Target="../media/image1419.gif"/><Relationship Id="rId1419" Type="http://schemas.openxmlformats.org/officeDocument/2006/relationships/image" Target="../media/image1420.gif"/><Relationship Id="rId1420" Type="http://schemas.openxmlformats.org/officeDocument/2006/relationships/image" Target="../media/image1421.gif"/><Relationship Id="rId1421" Type="http://schemas.openxmlformats.org/officeDocument/2006/relationships/image" Target="../media/image1422.gif"/><Relationship Id="rId1422" Type="http://schemas.openxmlformats.org/officeDocument/2006/relationships/image" Target="../media/image1423.gif"/><Relationship Id="rId1423" Type="http://schemas.openxmlformats.org/officeDocument/2006/relationships/image" Target="../media/image1424.gif"/><Relationship Id="rId1424" Type="http://schemas.openxmlformats.org/officeDocument/2006/relationships/image" Target="../media/image1425.gif"/><Relationship Id="rId1425" Type="http://schemas.openxmlformats.org/officeDocument/2006/relationships/image" Target="../media/image1426.gif"/><Relationship Id="rId1426" Type="http://schemas.openxmlformats.org/officeDocument/2006/relationships/image" Target="../media/image1427.gif"/><Relationship Id="rId1427" Type="http://schemas.openxmlformats.org/officeDocument/2006/relationships/image" Target="../media/image1428.gif"/><Relationship Id="rId1428" Type="http://schemas.openxmlformats.org/officeDocument/2006/relationships/image" Target="../media/image1429.gif"/><Relationship Id="rId1429" Type="http://schemas.openxmlformats.org/officeDocument/2006/relationships/image" Target="../media/image1430.gif"/><Relationship Id="rId1430" Type="http://schemas.openxmlformats.org/officeDocument/2006/relationships/image" Target="../media/image1431.gif"/><Relationship Id="rId1431" Type="http://schemas.openxmlformats.org/officeDocument/2006/relationships/image" Target="../media/image1432.gif"/><Relationship Id="rId1432" Type="http://schemas.openxmlformats.org/officeDocument/2006/relationships/image" Target="../media/image1433.gif"/><Relationship Id="rId1433" Type="http://schemas.openxmlformats.org/officeDocument/2006/relationships/image" Target="../media/image1434.gif"/><Relationship Id="rId1434" Type="http://schemas.openxmlformats.org/officeDocument/2006/relationships/image" Target="../media/image1435.gif"/><Relationship Id="rId1435" Type="http://schemas.openxmlformats.org/officeDocument/2006/relationships/image" Target="../media/image1436.gif"/><Relationship Id="rId1436" Type="http://schemas.openxmlformats.org/officeDocument/2006/relationships/image" Target="../media/image1437.gif"/><Relationship Id="rId1437" Type="http://schemas.openxmlformats.org/officeDocument/2006/relationships/image" Target="../media/image1438.gif"/><Relationship Id="rId1438" Type="http://schemas.openxmlformats.org/officeDocument/2006/relationships/image" Target="../media/image1439.gif"/><Relationship Id="rId1439" Type="http://schemas.openxmlformats.org/officeDocument/2006/relationships/image" Target="../media/image1440.gif"/><Relationship Id="rId1440" Type="http://schemas.openxmlformats.org/officeDocument/2006/relationships/image" Target="../media/image1441.gif"/><Relationship Id="rId1441" Type="http://schemas.openxmlformats.org/officeDocument/2006/relationships/image" Target="../media/image1442.gif"/><Relationship Id="rId1442" Type="http://schemas.openxmlformats.org/officeDocument/2006/relationships/image" Target="../media/image1443.gif"/><Relationship Id="rId1443" Type="http://schemas.openxmlformats.org/officeDocument/2006/relationships/image" Target="../media/image1444.gif"/><Relationship Id="rId1444" Type="http://schemas.openxmlformats.org/officeDocument/2006/relationships/image" Target="../media/image1445.gif"/><Relationship Id="rId1445" Type="http://schemas.openxmlformats.org/officeDocument/2006/relationships/image" Target="../media/image1446.gif"/><Relationship Id="rId1446" Type="http://schemas.openxmlformats.org/officeDocument/2006/relationships/image" Target="../media/image1447.gif"/><Relationship Id="rId1447" Type="http://schemas.openxmlformats.org/officeDocument/2006/relationships/image" Target="../media/image1448.gif"/><Relationship Id="rId1448" Type="http://schemas.openxmlformats.org/officeDocument/2006/relationships/image" Target="../media/image1449.gif"/><Relationship Id="rId1449" Type="http://schemas.openxmlformats.org/officeDocument/2006/relationships/image" Target="../media/image1450.gif"/><Relationship Id="rId1450" Type="http://schemas.openxmlformats.org/officeDocument/2006/relationships/image" Target="../media/image1451.gif"/><Relationship Id="rId1451" Type="http://schemas.openxmlformats.org/officeDocument/2006/relationships/image" Target="../media/image1452.gif"/><Relationship Id="rId1452" Type="http://schemas.openxmlformats.org/officeDocument/2006/relationships/image" Target="../media/image1453.gif"/><Relationship Id="rId1453" Type="http://schemas.openxmlformats.org/officeDocument/2006/relationships/image" Target="../media/image1454.gif"/><Relationship Id="rId1454" Type="http://schemas.openxmlformats.org/officeDocument/2006/relationships/image" Target="../media/image1455.gif"/><Relationship Id="rId1455" Type="http://schemas.openxmlformats.org/officeDocument/2006/relationships/image" Target="../media/image1456.gif"/><Relationship Id="rId1456" Type="http://schemas.openxmlformats.org/officeDocument/2006/relationships/image" Target="../media/image1457.gif"/><Relationship Id="rId1457" Type="http://schemas.openxmlformats.org/officeDocument/2006/relationships/image" Target="../media/image1458.gif"/><Relationship Id="rId1458" Type="http://schemas.openxmlformats.org/officeDocument/2006/relationships/image" Target="../media/image1459.gif"/><Relationship Id="rId1459" Type="http://schemas.openxmlformats.org/officeDocument/2006/relationships/image" Target="../media/image1460.gif"/><Relationship Id="rId1460" Type="http://schemas.openxmlformats.org/officeDocument/2006/relationships/image" Target="../media/image1461.gif"/><Relationship Id="rId1461" Type="http://schemas.openxmlformats.org/officeDocument/2006/relationships/image" Target="../media/image1462.gif"/><Relationship Id="rId1462" Type="http://schemas.openxmlformats.org/officeDocument/2006/relationships/image" Target="../media/image1463.gif"/><Relationship Id="rId1463" Type="http://schemas.openxmlformats.org/officeDocument/2006/relationships/image" Target="../media/image1464.gif"/><Relationship Id="rId1464" Type="http://schemas.openxmlformats.org/officeDocument/2006/relationships/image" Target="../media/image1465.gif"/><Relationship Id="rId1465" Type="http://schemas.openxmlformats.org/officeDocument/2006/relationships/image" Target="../media/image1466.gif"/><Relationship Id="rId1466" Type="http://schemas.openxmlformats.org/officeDocument/2006/relationships/image" Target="../media/image1467.gif"/><Relationship Id="rId1467" Type="http://schemas.openxmlformats.org/officeDocument/2006/relationships/image" Target="../media/image1468.gif"/><Relationship Id="rId1468" Type="http://schemas.openxmlformats.org/officeDocument/2006/relationships/image" Target="../media/image1469.gif"/><Relationship Id="rId1469" Type="http://schemas.openxmlformats.org/officeDocument/2006/relationships/image" Target="../media/image1470.gif"/><Relationship Id="rId1470" Type="http://schemas.openxmlformats.org/officeDocument/2006/relationships/image" Target="../media/image1471.gif"/><Relationship Id="rId1471" Type="http://schemas.openxmlformats.org/officeDocument/2006/relationships/image" Target="../media/image1472.gif"/><Relationship Id="rId1472" Type="http://schemas.openxmlformats.org/officeDocument/2006/relationships/image" Target="../media/image1473.gif"/><Relationship Id="rId1473" Type="http://schemas.openxmlformats.org/officeDocument/2006/relationships/image" Target="../media/image1474.gif"/><Relationship Id="rId1474" Type="http://schemas.openxmlformats.org/officeDocument/2006/relationships/image" Target="../media/image1475.gif"/><Relationship Id="rId1475" Type="http://schemas.openxmlformats.org/officeDocument/2006/relationships/image" Target="../media/image1476.gif"/><Relationship Id="rId1476" Type="http://schemas.openxmlformats.org/officeDocument/2006/relationships/image" Target="../media/image1477.gif"/><Relationship Id="rId1477" Type="http://schemas.openxmlformats.org/officeDocument/2006/relationships/image" Target="../media/image1478.gif"/><Relationship Id="rId1478" Type="http://schemas.openxmlformats.org/officeDocument/2006/relationships/image" Target="../media/image1479.gif"/><Relationship Id="rId1479" Type="http://schemas.openxmlformats.org/officeDocument/2006/relationships/image" Target="../media/image1480.gif"/><Relationship Id="rId1480" Type="http://schemas.openxmlformats.org/officeDocument/2006/relationships/image" Target="../media/image1481.gif"/><Relationship Id="rId1481" Type="http://schemas.openxmlformats.org/officeDocument/2006/relationships/image" Target="../media/image1482.gif"/><Relationship Id="rId1482" Type="http://schemas.openxmlformats.org/officeDocument/2006/relationships/image" Target="../media/image1483.gif"/><Relationship Id="rId1483" Type="http://schemas.openxmlformats.org/officeDocument/2006/relationships/image" Target="../media/image1484.gif"/><Relationship Id="rId1484" Type="http://schemas.openxmlformats.org/officeDocument/2006/relationships/image" Target="../media/image1485.gif"/><Relationship Id="rId1485" Type="http://schemas.openxmlformats.org/officeDocument/2006/relationships/image" Target="../media/image1486.gif"/><Relationship Id="rId1486" Type="http://schemas.openxmlformats.org/officeDocument/2006/relationships/image" Target="../media/image1487.gif"/><Relationship Id="rId1487" Type="http://schemas.openxmlformats.org/officeDocument/2006/relationships/image" Target="../media/image1488.gif"/><Relationship Id="rId1488" Type="http://schemas.openxmlformats.org/officeDocument/2006/relationships/image" Target="../media/image1489.gif"/><Relationship Id="rId1489" Type="http://schemas.openxmlformats.org/officeDocument/2006/relationships/image" Target="../media/image1490.gif"/><Relationship Id="rId1490" Type="http://schemas.openxmlformats.org/officeDocument/2006/relationships/image" Target="../media/image1491.gif"/><Relationship Id="rId1491" Type="http://schemas.openxmlformats.org/officeDocument/2006/relationships/image" Target="../media/image1492.gif"/><Relationship Id="rId1492" Type="http://schemas.openxmlformats.org/officeDocument/2006/relationships/image" Target="../media/image1493.gif"/><Relationship Id="rId1493" Type="http://schemas.openxmlformats.org/officeDocument/2006/relationships/image" Target="../media/image1494.gif"/><Relationship Id="rId1494" Type="http://schemas.openxmlformats.org/officeDocument/2006/relationships/image" Target="../media/image1495.gif"/><Relationship Id="rId1495" Type="http://schemas.openxmlformats.org/officeDocument/2006/relationships/image" Target="../media/image1496.gif"/><Relationship Id="rId1496" Type="http://schemas.openxmlformats.org/officeDocument/2006/relationships/image" Target="../media/image1497.gif"/><Relationship Id="rId1497" Type="http://schemas.openxmlformats.org/officeDocument/2006/relationships/image" Target="../media/image1498.gif"/><Relationship Id="rId1498" Type="http://schemas.openxmlformats.org/officeDocument/2006/relationships/image" Target="../media/image1499.gif"/><Relationship Id="rId1499" Type="http://schemas.openxmlformats.org/officeDocument/2006/relationships/image" Target="../media/image1500.gif"/><Relationship Id="rId1500" Type="http://schemas.openxmlformats.org/officeDocument/2006/relationships/image" Target="../media/image1501.gif"/><Relationship Id="rId1501" Type="http://schemas.openxmlformats.org/officeDocument/2006/relationships/image" Target="../media/image1502.gif"/><Relationship Id="rId1502" Type="http://schemas.openxmlformats.org/officeDocument/2006/relationships/image" Target="../media/image1503.gif"/><Relationship Id="rId1503" Type="http://schemas.openxmlformats.org/officeDocument/2006/relationships/image" Target="../media/image1504.gif"/><Relationship Id="rId1504" Type="http://schemas.openxmlformats.org/officeDocument/2006/relationships/image" Target="../media/image1505.gif"/><Relationship Id="rId1505" Type="http://schemas.openxmlformats.org/officeDocument/2006/relationships/image" Target="../media/image1506.gif"/><Relationship Id="rId1506" Type="http://schemas.openxmlformats.org/officeDocument/2006/relationships/image" Target="../media/image1507.gif"/><Relationship Id="rId1507" Type="http://schemas.openxmlformats.org/officeDocument/2006/relationships/image" Target="../media/image1508.gif"/><Relationship Id="rId1508" Type="http://schemas.openxmlformats.org/officeDocument/2006/relationships/image" Target="../media/image1509.gif"/><Relationship Id="rId1509" Type="http://schemas.openxmlformats.org/officeDocument/2006/relationships/image" Target="../media/image1510.gif"/><Relationship Id="rId1510" Type="http://schemas.openxmlformats.org/officeDocument/2006/relationships/image" Target="../media/image1511.gif"/><Relationship Id="rId1511" Type="http://schemas.openxmlformats.org/officeDocument/2006/relationships/image" Target="../media/image1512.gif"/><Relationship Id="rId1512" Type="http://schemas.openxmlformats.org/officeDocument/2006/relationships/image" Target="../media/image1513.gif"/><Relationship Id="rId1513" Type="http://schemas.openxmlformats.org/officeDocument/2006/relationships/image" Target="../media/image1514.gif"/><Relationship Id="rId1514" Type="http://schemas.openxmlformats.org/officeDocument/2006/relationships/image" Target="../media/image1515.gif"/><Relationship Id="rId1515" Type="http://schemas.openxmlformats.org/officeDocument/2006/relationships/image" Target="../media/image1516.gif"/><Relationship Id="rId1516" Type="http://schemas.openxmlformats.org/officeDocument/2006/relationships/image" Target="../media/image1517.gif"/><Relationship Id="rId1517" Type="http://schemas.openxmlformats.org/officeDocument/2006/relationships/image" Target="../media/image1518.gif"/><Relationship Id="rId1518" Type="http://schemas.openxmlformats.org/officeDocument/2006/relationships/image" Target="../media/image1519.gif"/><Relationship Id="rId1519" Type="http://schemas.openxmlformats.org/officeDocument/2006/relationships/image" Target="../media/image1520.gif"/><Relationship Id="rId1520" Type="http://schemas.openxmlformats.org/officeDocument/2006/relationships/image" Target="../media/image1521.gif"/><Relationship Id="rId1521" Type="http://schemas.openxmlformats.org/officeDocument/2006/relationships/image" Target="../media/image1522.gif"/><Relationship Id="rId1522" Type="http://schemas.openxmlformats.org/officeDocument/2006/relationships/image" Target="../media/image1523.gif"/><Relationship Id="rId1523" Type="http://schemas.openxmlformats.org/officeDocument/2006/relationships/image" Target="../media/image1524.gif"/><Relationship Id="rId1524" Type="http://schemas.openxmlformats.org/officeDocument/2006/relationships/image" Target="../media/image1525.gif"/><Relationship Id="rId1525" Type="http://schemas.openxmlformats.org/officeDocument/2006/relationships/image" Target="../media/image1526.gif"/><Relationship Id="rId1526" Type="http://schemas.openxmlformats.org/officeDocument/2006/relationships/image" Target="../media/image1527.gif"/><Relationship Id="rId1527" Type="http://schemas.openxmlformats.org/officeDocument/2006/relationships/image" Target="../media/image1528.gif"/><Relationship Id="rId1528" Type="http://schemas.openxmlformats.org/officeDocument/2006/relationships/image" Target="../media/image1529.gif"/><Relationship Id="rId1529" Type="http://schemas.openxmlformats.org/officeDocument/2006/relationships/image" Target="../media/image1530.gif"/><Relationship Id="rId1530" Type="http://schemas.openxmlformats.org/officeDocument/2006/relationships/image" Target="../media/image1531.gif"/><Relationship Id="rId1531" Type="http://schemas.openxmlformats.org/officeDocument/2006/relationships/image" Target="../media/image1532.gif"/><Relationship Id="rId1532" Type="http://schemas.openxmlformats.org/officeDocument/2006/relationships/image" Target="../media/image1533.gif"/><Relationship Id="rId1533" Type="http://schemas.openxmlformats.org/officeDocument/2006/relationships/image" Target="../media/image1534.gif"/><Relationship Id="rId1534" Type="http://schemas.openxmlformats.org/officeDocument/2006/relationships/image" Target="../media/image1535.gif"/><Relationship Id="rId1535" Type="http://schemas.openxmlformats.org/officeDocument/2006/relationships/image" Target="../media/image1536.gif"/><Relationship Id="rId1536" Type="http://schemas.openxmlformats.org/officeDocument/2006/relationships/image" Target="../media/image1537.gif"/><Relationship Id="rId1537" Type="http://schemas.openxmlformats.org/officeDocument/2006/relationships/image" Target="../media/image1538.gif"/><Relationship Id="rId1538" Type="http://schemas.openxmlformats.org/officeDocument/2006/relationships/image" Target="../media/image1539.gif"/><Relationship Id="rId1539" Type="http://schemas.openxmlformats.org/officeDocument/2006/relationships/image" Target="../media/image1540.gif"/><Relationship Id="rId1540" Type="http://schemas.openxmlformats.org/officeDocument/2006/relationships/image" Target="../media/image1541.gif"/><Relationship Id="rId1541" Type="http://schemas.openxmlformats.org/officeDocument/2006/relationships/image" Target="../media/image1542.gif"/><Relationship Id="rId1542" Type="http://schemas.openxmlformats.org/officeDocument/2006/relationships/image" Target="../media/image1543.gif"/><Relationship Id="rId1543" Type="http://schemas.openxmlformats.org/officeDocument/2006/relationships/image" Target="../media/image1544.gif"/><Relationship Id="rId1544" Type="http://schemas.openxmlformats.org/officeDocument/2006/relationships/image" Target="../media/image1545.gif"/><Relationship Id="rId1545" Type="http://schemas.openxmlformats.org/officeDocument/2006/relationships/image" Target="../media/image1546.gif"/><Relationship Id="rId1546" Type="http://schemas.openxmlformats.org/officeDocument/2006/relationships/image" Target="../media/image1547.gif"/><Relationship Id="rId1547" Type="http://schemas.openxmlformats.org/officeDocument/2006/relationships/image" Target="../media/image1548.gif"/><Relationship Id="rId1548" Type="http://schemas.openxmlformats.org/officeDocument/2006/relationships/image" Target="../media/image1549.gif"/><Relationship Id="rId1549" Type="http://schemas.openxmlformats.org/officeDocument/2006/relationships/image" Target="../media/image1550.gif"/><Relationship Id="rId1550" Type="http://schemas.openxmlformats.org/officeDocument/2006/relationships/image" Target="../media/image1551.gif"/><Relationship Id="rId1551" Type="http://schemas.openxmlformats.org/officeDocument/2006/relationships/image" Target="../media/image1552.gif"/><Relationship Id="rId1552" Type="http://schemas.openxmlformats.org/officeDocument/2006/relationships/image" Target="../media/image1553.gif"/><Relationship Id="rId1553" Type="http://schemas.openxmlformats.org/officeDocument/2006/relationships/image" Target="../media/image1554.gif"/><Relationship Id="rId1554" Type="http://schemas.openxmlformats.org/officeDocument/2006/relationships/image" Target="../media/image1555.gif"/><Relationship Id="rId1555" Type="http://schemas.openxmlformats.org/officeDocument/2006/relationships/image" Target="../media/image1556.gif"/><Relationship Id="rId1556" Type="http://schemas.openxmlformats.org/officeDocument/2006/relationships/image" Target="../media/image1557.gif"/><Relationship Id="rId1557" Type="http://schemas.openxmlformats.org/officeDocument/2006/relationships/image" Target="../media/image1558.gif"/><Relationship Id="rId1558" Type="http://schemas.openxmlformats.org/officeDocument/2006/relationships/image" Target="../media/image1559.gif"/><Relationship Id="rId1559" Type="http://schemas.openxmlformats.org/officeDocument/2006/relationships/image" Target="../media/image1560.gif"/><Relationship Id="rId1560" Type="http://schemas.openxmlformats.org/officeDocument/2006/relationships/image" Target="../media/image1561.gif"/><Relationship Id="rId1561" Type="http://schemas.openxmlformats.org/officeDocument/2006/relationships/image" Target="../media/image1562.gif"/><Relationship Id="rId1562" Type="http://schemas.openxmlformats.org/officeDocument/2006/relationships/image" Target="../media/image1563.gif"/><Relationship Id="rId1563" Type="http://schemas.openxmlformats.org/officeDocument/2006/relationships/image" Target="../media/image1564.gif"/><Relationship Id="rId1564" Type="http://schemas.openxmlformats.org/officeDocument/2006/relationships/image" Target="../media/image1565.gif"/><Relationship Id="rId1565" Type="http://schemas.openxmlformats.org/officeDocument/2006/relationships/image" Target="../media/image1566.gif"/><Relationship Id="rId1566" Type="http://schemas.openxmlformats.org/officeDocument/2006/relationships/image" Target="../media/image1567.gif"/><Relationship Id="rId1567" Type="http://schemas.openxmlformats.org/officeDocument/2006/relationships/image" Target="../media/image1568.gif"/><Relationship Id="rId1568" Type="http://schemas.openxmlformats.org/officeDocument/2006/relationships/image" Target="../media/image1569.gif"/><Relationship Id="rId1569" Type="http://schemas.openxmlformats.org/officeDocument/2006/relationships/image" Target="../media/image1570.gif"/><Relationship Id="rId1570" Type="http://schemas.openxmlformats.org/officeDocument/2006/relationships/image" Target="../media/image1571.gif"/><Relationship Id="rId1571" Type="http://schemas.openxmlformats.org/officeDocument/2006/relationships/image" Target="../media/image1572.gif"/><Relationship Id="rId1572" Type="http://schemas.openxmlformats.org/officeDocument/2006/relationships/image" Target="../media/image1573.gif"/><Relationship Id="rId1573" Type="http://schemas.openxmlformats.org/officeDocument/2006/relationships/image" Target="../media/image1574.gif"/><Relationship Id="rId1574" Type="http://schemas.openxmlformats.org/officeDocument/2006/relationships/image" Target="../media/image1575.gif"/><Relationship Id="rId1575" Type="http://schemas.openxmlformats.org/officeDocument/2006/relationships/image" Target="../media/image1576.gif"/><Relationship Id="rId1576" Type="http://schemas.openxmlformats.org/officeDocument/2006/relationships/image" Target="../media/image1577.gif"/><Relationship Id="rId1577" Type="http://schemas.openxmlformats.org/officeDocument/2006/relationships/image" Target="../media/image1578.gif"/><Relationship Id="rId1578" Type="http://schemas.openxmlformats.org/officeDocument/2006/relationships/image" Target="../media/image1579.gif"/><Relationship Id="rId1579" Type="http://schemas.openxmlformats.org/officeDocument/2006/relationships/image" Target="../media/image1580.gif"/><Relationship Id="rId1580" Type="http://schemas.openxmlformats.org/officeDocument/2006/relationships/image" Target="../media/image1581.gif"/><Relationship Id="rId1581" Type="http://schemas.openxmlformats.org/officeDocument/2006/relationships/image" Target="../media/image1582.gif"/><Relationship Id="rId1582" Type="http://schemas.openxmlformats.org/officeDocument/2006/relationships/image" Target="../media/image1583.gif"/><Relationship Id="rId1583" Type="http://schemas.openxmlformats.org/officeDocument/2006/relationships/image" Target="../media/image1584.gif"/><Relationship Id="rId1584" Type="http://schemas.openxmlformats.org/officeDocument/2006/relationships/image" Target="../media/image1585.gif"/><Relationship Id="rId1585" Type="http://schemas.openxmlformats.org/officeDocument/2006/relationships/image" Target="../media/image1586.gif"/><Relationship Id="rId1586" Type="http://schemas.openxmlformats.org/officeDocument/2006/relationships/image" Target="../media/image1587.gif"/><Relationship Id="rId1587" Type="http://schemas.openxmlformats.org/officeDocument/2006/relationships/image" Target="../media/image1588.gif"/><Relationship Id="rId1588" Type="http://schemas.openxmlformats.org/officeDocument/2006/relationships/image" Target="../media/image1589.gif"/><Relationship Id="rId1589" Type="http://schemas.openxmlformats.org/officeDocument/2006/relationships/image" Target="../media/image1590.gif"/><Relationship Id="rId1590" Type="http://schemas.openxmlformats.org/officeDocument/2006/relationships/image" Target="../media/image1591.gif"/><Relationship Id="rId1591" Type="http://schemas.openxmlformats.org/officeDocument/2006/relationships/image" Target="../media/image1592.gif"/><Relationship Id="rId1592" Type="http://schemas.openxmlformats.org/officeDocument/2006/relationships/image" Target="../media/image1593.gif"/><Relationship Id="rId1593" Type="http://schemas.openxmlformats.org/officeDocument/2006/relationships/image" Target="../media/image1594.gif"/><Relationship Id="rId1594" Type="http://schemas.openxmlformats.org/officeDocument/2006/relationships/image" Target="../media/image1595.gif"/><Relationship Id="rId1595" Type="http://schemas.openxmlformats.org/officeDocument/2006/relationships/image" Target="../media/image1596.gif"/><Relationship Id="rId1596" Type="http://schemas.openxmlformats.org/officeDocument/2006/relationships/image" Target="../media/image1597.gif"/><Relationship Id="rId1597" Type="http://schemas.openxmlformats.org/officeDocument/2006/relationships/image" Target="../media/image1598.gif"/><Relationship Id="rId1598" Type="http://schemas.openxmlformats.org/officeDocument/2006/relationships/image" Target="../media/image1599.gif"/><Relationship Id="rId1599" Type="http://schemas.openxmlformats.org/officeDocument/2006/relationships/image" Target="../media/image1600.gif"/><Relationship Id="rId1600" Type="http://schemas.openxmlformats.org/officeDocument/2006/relationships/image" Target="../media/image1601.gif"/><Relationship Id="rId1601" Type="http://schemas.openxmlformats.org/officeDocument/2006/relationships/image" Target="../media/image1602.gif"/><Relationship Id="rId1602" Type="http://schemas.openxmlformats.org/officeDocument/2006/relationships/image" Target="../media/image1603.gif"/><Relationship Id="rId1603" Type="http://schemas.openxmlformats.org/officeDocument/2006/relationships/image" Target="../media/image1604.gif"/><Relationship Id="rId1604" Type="http://schemas.openxmlformats.org/officeDocument/2006/relationships/image" Target="../media/image1605.gif"/><Relationship Id="rId1605" Type="http://schemas.openxmlformats.org/officeDocument/2006/relationships/image" Target="../media/image1606.gif"/><Relationship Id="rId1606" Type="http://schemas.openxmlformats.org/officeDocument/2006/relationships/image" Target="../media/image1607.gif"/><Relationship Id="rId1607" Type="http://schemas.openxmlformats.org/officeDocument/2006/relationships/image" Target="../media/image1608.gif"/><Relationship Id="rId1608" Type="http://schemas.openxmlformats.org/officeDocument/2006/relationships/image" Target="../media/image1609.gif"/><Relationship Id="rId1609" Type="http://schemas.openxmlformats.org/officeDocument/2006/relationships/image" Target="../media/image1610.gif"/><Relationship Id="rId1610" Type="http://schemas.openxmlformats.org/officeDocument/2006/relationships/image" Target="../media/image1611.gif"/><Relationship Id="rId1611" Type="http://schemas.openxmlformats.org/officeDocument/2006/relationships/image" Target="../media/image1612.gif"/><Relationship Id="rId1612" Type="http://schemas.openxmlformats.org/officeDocument/2006/relationships/image" Target="../media/image1613.gif"/><Relationship Id="rId1613" Type="http://schemas.openxmlformats.org/officeDocument/2006/relationships/image" Target="../media/image1614.gif"/><Relationship Id="rId1614" Type="http://schemas.openxmlformats.org/officeDocument/2006/relationships/image" Target="../media/image1615.gif"/><Relationship Id="rId1615" Type="http://schemas.openxmlformats.org/officeDocument/2006/relationships/image" Target="../media/image1616.gif"/><Relationship Id="rId1616" Type="http://schemas.openxmlformats.org/officeDocument/2006/relationships/image" Target="../media/image1617.gif"/><Relationship Id="rId1617" Type="http://schemas.openxmlformats.org/officeDocument/2006/relationships/image" Target="../media/image1618.gif"/><Relationship Id="rId1618" Type="http://schemas.openxmlformats.org/officeDocument/2006/relationships/image" Target="../media/image1619.gif"/><Relationship Id="rId1619" Type="http://schemas.openxmlformats.org/officeDocument/2006/relationships/image" Target="../media/image1620.gif"/><Relationship Id="rId1620" Type="http://schemas.openxmlformats.org/officeDocument/2006/relationships/image" Target="../media/image1621.gif"/><Relationship Id="rId1621" Type="http://schemas.openxmlformats.org/officeDocument/2006/relationships/image" Target="../media/image1622.gif"/><Relationship Id="rId1622" Type="http://schemas.openxmlformats.org/officeDocument/2006/relationships/image" Target="../media/image1623.gif"/><Relationship Id="rId1623" Type="http://schemas.openxmlformats.org/officeDocument/2006/relationships/image" Target="../media/image1624.gif"/><Relationship Id="rId1624" Type="http://schemas.openxmlformats.org/officeDocument/2006/relationships/image" Target="../media/image1625.gif"/><Relationship Id="rId1625" Type="http://schemas.openxmlformats.org/officeDocument/2006/relationships/image" Target="../media/image1626.gif"/><Relationship Id="rId1626" Type="http://schemas.openxmlformats.org/officeDocument/2006/relationships/image" Target="../media/image1627.gif"/><Relationship Id="rId1627" Type="http://schemas.openxmlformats.org/officeDocument/2006/relationships/image" Target="../media/image1628.gif"/><Relationship Id="rId1628" Type="http://schemas.openxmlformats.org/officeDocument/2006/relationships/image" Target="../media/image1629.gif"/><Relationship Id="rId1629" Type="http://schemas.openxmlformats.org/officeDocument/2006/relationships/image" Target="../media/image1630.gif"/><Relationship Id="rId1630" Type="http://schemas.openxmlformats.org/officeDocument/2006/relationships/image" Target="../media/image1631.gif"/><Relationship Id="rId1631" Type="http://schemas.openxmlformats.org/officeDocument/2006/relationships/image" Target="../media/image1632.gif"/><Relationship Id="rId1632" Type="http://schemas.openxmlformats.org/officeDocument/2006/relationships/image" Target="../media/image1633.gif"/><Relationship Id="rId1633" Type="http://schemas.openxmlformats.org/officeDocument/2006/relationships/image" Target="../media/image1634.gif"/><Relationship Id="rId1634" Type="http://schemas.openxmlformats.org/officeDocument/2006/relationships/image" Target="../media/image1635.gif"/><Relationship Id="rId1635" Type="http://schemas.openxmlformats.org/officeDocument/2006/relationships/image" Target="../media/image1636.gif"/><Relationship Id="rId1636" Type="http://schemas.openxmlformats.org/officeDocument/2006/relationships/image" Target="../media/image1637.gif"/><Relationship Id="rId1637" Type="http://schemas.openxmlformats.org/officeDocument/2006/relationships/image" Target="../media/image1638.gif"/><Relationship Id="rId1638" Type="http://schemas.openxmlformats.org/officeDocument/2006/relationships/image" Target="../media/image1639.gif"/><Relationship Id="rId1639" Type="http://schemas.openxmlformats.org/officeDocument/2006/relationships/image" Target="../media/image1640.gif"/><Relationship Id="rId1640" Type="http://schemas.openxmlformats.org/officeDocument/2006/relationships/image" Target="../media/image1641.gif"/><Relationship Id="rId1641" Type="http://schemas.openxmlformats.org/officeDocument/2006/relationships/image" Target="../media/image1642.gif"/><Relationship Id="rId1642" Type="http://schemas.openxmlformats.org/officeDocument/2006/relationships/image" Target="../media/image1643.gif"/><Relationship Id="rId1643" Type="http://schemas.openxmlformats.org/officeDocument/2006/relationships/image" Target="../media/image1644.gif"/><Relationship Id="rId1644" Type="http://schemas.openxmlformats.org/officeDocument/2006/relationships/image" Target="../media/image1645.gif"/><Relationship Id="rId1645" Type="http://schemas.openxmlformats.org/officeDocument/2006/relationships/image" Target="../media/image1646.gif"/><Relationship Id="rId1646" Type="http://schemas.openxmlformats.org/officeDocument/2006/relationships/image" Target="../media/image1647.gif"/><Relationship Id="rId1647" Type="http://schemas.openxmlformats.org/officeDocument/2006/relationships/image" Target="../media/image1648.gif"/><Relationship Id="rId1648" Type="http://schemas.openxmlformats.org/officeDocument/2006/relationships/image" Target="../media/image1649.gif"/><Relationship Id="rId1649" Type="http://schemas.openxmlformats.org/officeDocument/2006/relationships/image" Target="../media/image1650.gif"/><Relationship Id="rId1650" Type="http://schemas.openxmlformats.org/officeDocument/2006/relationships/image" Target="../media/image1651.gif"/><Relationship Id="rId1651" Type="http://schemas.openxmlformats.org/officeDocument/2006/relationships/image" Target="../media/image1652.gif"/><Relationship Id="rId1652" Type="http://schemas.openxmlformats.org/officeDocument/2006/relationships/image" Target="../media/image1653.gif"/><Relationship Id="rId1653" Type="http://schemas.openxmlformats.org/officeDocument/2006/relationships/image" Target="../media/image1654.gif"/><Relationship Id="rId1654" Type="http://schemas.openxmlformats.org/officeDocument/2006/relationships/image" Target="../media/image1655.gif"/><Relationship Id="rId1655" Type="http://schemas.openxmlformats.org/officeDocument/2006/relationships/image" Target="../media/image1656.gif"/><Relationship Id="rId1656" Type="http://schemas.openxmlformats.org/officeDocument/2006/relationships/image" Target="../media/image1657.gif"/><Relationship Id="rId1657" Type="http://schemas.openxmlformats.org/officeDocument/2006/relationships/image" Target="../media/image1658.gif"/><Relationship Id="rId1658" Type="http://schemas.openxmlformats.org/officeDocument/2006/relationships/image" Target="../media/image1659.gif"/><Relationship Id="rId1659" Type="http://schemas.openxmlformats.org/officeDocument/2006/relationships/image" Target="../media/image1660.gif"/><Relationship Id="rId1660" Type="http://schemas.openxmlformats.org/officeDocument/2006/relationships/image" Target="../media/image1661.gif"/><Relationship Id="rId1661" Type="http://schemas.openxmlformats.org/officeDocument/2006/relationships/image" Target="../media/image1662.gif"/><Relationship Id="rId1662" Type="http://schemas.openxmlformats.org/officeDocument/2006/relationships/image" Target="../media/image1663.gif"/><Relationship Id="rId1663" Type="http://schemas.openxmlformats.org/officeDocument/2006/relationships/image" Target="../media/image1664.gif"/><Relationship Id="rId1664" Type="http://schemas.openxmlformats.org/officeDocument/2006/relationships/image" Target="../media/image1665.gif"/><Relationship Id="rId1665" Type="http://schemas.openxmlformats.org/officeDocument/2006/relationships/image" Target="../media/image1666.gif"/><Relationship Id="rId1666" Type="http://schemas.openxmlformats.org/officeDocument/2006/relationships/image" Target="../media/image1667.gif"/><Relationship Id="rId1667" Type="http://schemas.openxmlformats.org/officeDocument/2006/relationships/image" Target="../media/image1668.gif"/><Relationship Id="rId1668" Type="http://schemas.openxmlformats.org/officeDocument/2006/relationships/image" Target="../media/image1669.gif"/><Relationship Id="rId1669" Type="http://schemas.openxmlformats.org/officeDocument/2006/relationships/image" Target="../media/image1670.gif"/><Relationship Id="rId1670" Type="http://schemas.openxmlformats.org/officeDocument/2006/relationships/image" Target="../media/image1671.gif"/><Relationship Id="rId1671" Type="http://schemas.openxmlformats.org/officeDocument/2006/relationships/image" Target="../media/image1672.gif"/><Relationship Id="rId1672" Type="http://schemas.openxmlformats.org/officeDocument/2006/relationships/image" Target="../media/image1673.gif"/><Relationship Id="rId1673" Type="http://schemas.openxmlformats.org/officeDocument/2006/relationships/image" Target="../media/image1674.gif"/><Relationship Id="rId1674" Type="http://schemas.openxmlformats.org/officeDocument/2006/relationships/image" Target="../media/image1675.gif"/><Relationship Id="rId1675" Type="http://schemas.openxmlformats.org/officeDocument/2006/relationships/image" Target="../media/image1676.gif"/><Relationship Id="rId1676" Type="http://schemas.openxmlformats.org/officeDocument/2006/relationships/image" Target="../media/image1677.gif"/><Relationship Id="rId1677" Type="http://schemas.openxmlformats.org/officeDocument/2006/relationships/image" Target="../media/image1678.gif"/><Relationship Id="rId1678" Type="http://schemas.openxmlformats.org/officeDocument/2006/relationships/image" Target="../media/image1679.gif"/><Relationship Id="rId1679" Type="http://schemas.openxmlformats.org/officeDocument/2006/relationships/image" Target="../media/image1680.gif"/><Relationship Id="rId1680" Type="http://schemas.openxmlformats.org/officeDocument/2006/relationships/image" Target="../media/image1681.gif"/><Relationship Id="rId1681" Type="http://schemas.openxmlformats.org/officeDocument/2006/relationships/image" Target="../media/image1682.gif"/><Relationship Id="rId1682" Type="http://schemas.openxmlformats.org/officeDocument/2006/relationships/image" Target="../media/image1683.gif"/><Relationship Id="rId1683" Type="http://schemas.openxmlformats.org/officeDocument/2006/relationships/image" Target="../media/image1684.gif"/><Relationship Id="rId1684" Type="http://schemas.openxmlformats.org/officeDocument/2006/relationships/image" Target="../media/image1685.gif"/><Relationship Id="rId1685" Type="http://schemas.openxmlformats.org/officeDocument/2006/relationships/image" Target="../media/image1686.gif"/><Relationship Id="rId1686" Type="http://schemas.openxmlformats.org/officeDocument/2006/relationships/image" Target="../media/image1687.gif"/><Relationship Id="rId1687" Type="http://schemas.openxmlformats.org/officeDocument/2006/relationships/image" Target="../media/image1688.gif"/><Relationship Id="rId1688" Type="http://schemas.openxmlformats.org/officeDocument/2006/relationships/image" Target="../media/image1689.gif"/><Relationship Id="rId1689" Type="http://schemas.openxmlformats.org/officeDocument/2006/relationships/image" Target="../media/image1690.gif"/><Relationship Id="rId1690" Type="http://schemas.openxmlformats.org/officeDocument/2006/relationships/image" Target="../media/image1691.gif"/><Relationship Id="rId1691" Type="http://schemas.openxmlformats.org/officeDocument/2006/relationships/image" Target="../media/image1692.gif"/><Relationship Id="rId1692" Type="http://schemas.openxmlformats.org/officeDocument/2006/relationships/image" Target="../media/image1693.gif"/><Relationship Id="rId1693" Type="http://schemas.openxmlformats.org/officeDocument/2006/relationships/image" Target="../media/image1694.gif"/><Relationship Id="rId1694" Type="http://schemas.openxmlformats.org/officeDocument/2006/relationships/image" Target="../media/image1695.gif"/><Relationship Id="rId1695" Type="http://schemas.openxmlformats.org/officeDocument/2006/relationships/image" Target="../media/image1696.gif"/><Relationship Id="rId1696" Type="http://schemas.openxmlformats.org/officeDocument/2006/relationships/image" Target="../media/image1697.gif"/><Relationship Id="rId1697" Type="http://schemas.openxmlformats.org/officeDocument/2006/relationships/image" Target="../media/image1698.gif"/><Relationship Id="rId1698" Type="http://schemas.openxmlformats.org/officeDocument/2006/relationships/image" Target="../media/image1699.gif"/><Relationship Id="rId1699" Type="http://schemas.openxmlformats.org/officeDocument/2006/relationships/image" Target="../media/image1700.gif"/><Relationship Id="rId1700" Type="http://schemas.openxmlformats.org/officeDocument/2006/relationships/image" Target="../media/image1701.gif"/><Relationship Id="rId1701" Type="http://schemas.openxmlformats.org/officeDocument/2006/relationships/image" Target="../media/image1702.gif"/><Relationship Id="rId1702" Type="http://schemas.openxmlformats.org/officeDocument/2006/relationships/image" Target="../media/image1703.gif"/><Relationship Id="rId1703" Type="http://schemas.openxmlformats.org/officeDocument/2006/relationships/image" Target="../media/image1704.gif"/><Relationship Id="rId1704" Type="http://schemas.openxmlformats.org/officeDocument/2006/relationships/image" Target="../media/image1705.gif"/><Relationship Id="rId1705" Type="http://schemas.openxmlformats.org/officeDocument/2006/relationships/image" Target="../media/image1706.gif"/><Relationship Id="rId1706" Type="http://schemas.openxmlformats.org/officeDocument/2006/relationships/image" Target="../media/image1707.gif"/><Relationship Id="rId1707" Type="http://schemas.openxmlformats.org/officeDocument/2006/relationships/image" Target="../media/image1708.gif"/><Relationship Id="rId1708" Type="http://schemas.openxmlformats.org/officeDocument/2006/relationships/image" Target="../media/image1709.gif"/><Relationship Id="rId1709" Type="http://schemas.openxmlformats.org/officeDocument/2006/relationships/image" Target="../media/image1710.gif"/><Relationship Id="rId1710" Type="http://schemas.openxmlformats.org/officeDocument/2006/relationships/image" Target="../media/image1711.gif"/><Relationship Id="rId1711" Type="http://schemas.openxmlformats.org/officeDocument/2006/relationships/image" Target="../media/image1712.gif"/><Relationship Id="rId1712" Type="http://schemas.openxmlformats.org/officeDocument/2006/relationships/image" Target="../media/image1713.gif"/><Relationship Id="rId1713" Type="http://schemas.openxmlformats.org/officeDocument/2006/relationships/image" Target="../media/image1714.gif"/><Relationship Id="rId1714" Type="http://schemas.openxmlformats.org/officeDocument/2006/relationships/image" Target="../media/image1715.gif"/>
</Relationships>
</file>

<file path=xl/drawings/_rels/drawing7.xml.rels><?xml version="1.0" encoding="UTF-8"?>
<Relationships xmlns="http://schemas.openxmlformats.org/package/2006/relationships"><Relationship Id="rId1" Type="http://schemas.openxmlformats.org/officeDocument/2006/relationships/image" Target="../media/image171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685800</xdr:colOff>
      <xdr:row>1</xdr:row>
      <xdr:rowOff>57240</xdr:rowOff>
    </xdr:from>
    <xdr:to>
      <xdr:col>5</xdr:col>
      <xdr:colOff>542160</xdr:colOff>
      <xdr:row>1</xdr:row>
      <xdr:rowOff>630360</xdr:rowOff>
    </xdr:to>
    <xdr:pic>
      <xdr:nvPicPr>
        <xdr:cNvPr id="0" name="Imagem 1" descr=""/>
        <xdr:cNvPicPr/>
      </xdr:nvPicPr>
      <xdr:blipFill>
        <a:blip r:embed="rId1"/>
        <a:stretch/>
      </xdr:blipFill>
      <xdr:spPr>
        <a:xfrm>
          <a:off x="3950640" y="247680"/>
          <a:ext cx="612000" cy="57312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81720</xdr:colOff>
      <xdr:row>960</xdr:row>
      <xdr:rowOff>27360</xdr:rowOff>
    </xdr:from>
    <xdr:to>
      <xdr:col>9</xdr:col>
      <xdr:colOff>1026360</xdr:colOff>
      <xdr:row>972</xdr:row>
      <xdr:rowOff>167040</xdr:rowOff>
    </xdr:to>
    <xdr:sp>
      <xdr:nvSpPr>
        <xdr:cNvPr id="1" name="CustomShape 1"/>
        <xdr:cNvSpPr/>
      </xdr:nvSpPr>
      <xdr:spPr>
        <a:xfrm>
          <a:off x="81720" y="387428040"/>
          <a:ext cx="13119840" cy="2330280"/>
        </a:xfrm>
        <a:prstGeom prst="rect">
          <a:avLst/>
        </a:prstGeom>
        <a:noFill/>
        <a:ln w="9360">
          <a:noFill/>
        </a:ln>
      </xdr:spPr>
      <xdr:style>
        <a:lnRef idx="0"/>
        <a:fillRef idx="0"/>
        <a:effectRef idx="0"/>
        <a:fontRef idx="minor"/>
      </xdr:style>
      <xdr:txBody>
        <a:bodyPr lIns="90000" rIns="90000" tIns="45000" bIns="45000"/>
        <a:p>
          <a:pPr algn="just">
            <a:lnSpc>
              <a:spcPct val="100000"/>
            </a:lnSpc>
          </a:pPr>
          <a:r>
            <a:rPr b="1" lang="pt-BR" sz="1000" spc="-1" strike="noStrike">
              <a:solidFill>
                <a:srgbClr val="000000"/>
              </a:solidFill>
              <a:latin typeface="Arial"/>
            </a:rPr>
            <a:t>NOTAS</a:t>
          </a:r>
          <a:endParaRPr b="0" lang="pt-BR" sz="1000" spc="-1" strike="noStrike">
            <a:latin typeface="Times New Roman"/>
          </a:endParaRPr>
        </a:p>
        <a:p>
          <a:pPr algn="just">
            <a:lnSpc>
              <a:spcPct val="150000"/>
            </a:lnSpc>
          </a:pPr>
          <a:r>
            <a:rPr b="0" lang="pt-BR" sz="1000" spc="-1" strike="noStrike">
              <a:solidFill>
                <a:srgbClr val="000000"/>
              </a:solidFill>
              <a:latin typeface="Arial"/>
            </a:rPr>
            <a:t>1 - O local deverá  ser vistoriado previamente, para a constatação de peculiaridades dos serviços e programação da execução dos mesmos, devendo esta, ser apresentada também previamente. </a:t>
          </a:r>
          <a:endParaRPr b="0" lang="pt-BR" sz="1000" spc="-1" strike="noStrike">
            <a:latin typeface="Times New Roman"/>
          </a:endParaRPr>
        </a:p>
        <a:p>
          <a:pPr algn="just">
            <a:lnSpc>
              <a:spcPct val="150000"/>
            </a:lnSpc>
          </a:pPr>
          <a:r>
            <a:rPr b="0" lang="pt-BR" sz="1000" spc="-1" strike="noStrike">
              <a:solidFill>
                <a:srgbClr val="000000"/>
              </a:solidFill>
              <a:latin typeface="Arial"/>
            </a:rPr>
            <a:t>2 - O local de execução dos serviços deverá ser suficientemente protegido (equipamentos, utensílios, mobiliários, etc.). Todas as partes afetadas deverão ser inteiramente recompostas. </a:t>
          </a:r>
          <a:endParaRPr b="0" lang="pt-BR" sz="1000" spc="-1" strike="noStrike">
            <a:latin typeface="Times New Roman"/>
          </a:endParaRPr>
        </a:p>
        <a:p>
          <a:pPr algn="just">
            <a:lnSpc>
              <a:spcPct val="150000"/>
            </a:lnSpc>
          </a:pPr>
          <a:r>
            <a:rPr b="0" lang="pt-BR" sz="1000" spc="-1" strike="noStrike">
              <a:solidFill>
                <a:srgbClr val="000000"/>
              </a:solidFill>
              <a:latin typeface="Arial"/>
            </a:rPr>
            <a:t>3 - Os quantitativos e os custos desta planilha orçamentária estão compatíveis com os quantitativos do Projeto Básico / Executivo</a:t>
          </a:r>
          <a:endParaRPr b="0" lang="pt-BR" sz="1000" spc="-1" strike="noStrike">
            <a:latin typeface="Times New Roman"/>
          </a:endParaRPr>
        </a:p>
        <a:p>
          <a:pPr algn="just">
            <a:lnSpc>
              <a:spcPct val="150000"/>
            </a:lnSpc>
          </a:pPr>
          <a:r>
            <a:rPr b="0" lang="pt-BR" sz="1000" spc="-1" strike="noStrike">
              <a:solidFill>
                <a:srgbClr val="000000"/>
              </a:solidFill>
              <a:latin typeface="Arial"/>
            </a:rPr>
            <a:t>4 - Prazo provável de execução de até </a:t>
          </a:r>
          <a:r>
            <a:rPr b="1" lang="pt-BR" sz="1000" spc="-1" strike="noStrike">
              <a:solidFill>
                <a:srgbClr val="000000"/>
              </a:solidFill>
              <a:latin typeface="Arial"/>
            </a:rPr>
            <a:t>480 (noventa dias corridos)</a:t>
          </a:r>
          <a:endParaRPr b="0" lang="pt-BR" sz="1000" spc="-1" strike="noStrike">
            <a:latin typeface="Times New Roman"/>
          </a:endParaRPr>
        </a:p>
        <a:p>
          <a:pPr algn="just">
            <a:lnSpc>
              <a:spcPct val="150000"/>
            </a:lnSpc>
          </a:pPr>
          <a:r>
            <a:rPr b="0" lang="pt-BR" sz="1000" spc="-1" strike="noStrike">
              <a:solidFill>
                <a:srgbClr val="000000"/>
              </a:solidFill>
              <a:latin typeface="Arial"/>
            </a:rPr>
            <a:t>5 - O Sistema de Custos empregado atende ao Decreto 7983/13 e às recomendações TCU, CNJ e CSJT mais recentes e encontra-se descrito no Caderno Técnico, tópico "Sistema de Custos".</a:t>
          </a:r>
          <a:endParaRPr b="0" lang="pt-BR" sz="1000" spc="-1" strike="noStrike">
            <a:latin typeface="Times New Roman"/>
          </a:endParaRPr>
        </a:p>
        <a:p>
          <a:pPr algn="just">
            <a:lnSpc>
              <a:spcPct val="100000"/>
            </a:lnSpc>
          </a:pPr>
          <a:r>
            <a:rPr b="0" lang="pt-BR" sz="1000" spc="-1" strike="noStrike">
              <a:solidFill>
                <a:srgbClr val="000000"/>
              </a:solidFill>
              <a:latin typeface="Arial"/>
            </a:rPr>
            <a:t>6 - ENCARGOS SOCIAIS / COM DESONERAÇÃO</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87,82% (Horista - UTILIZADA PARA MÃO DE OBRA DIRETAMENTE LIGADA A EXECUÇÃO DE SERVIÇOS)</a:t>
          </a:r>
          <a:endParaRPr b="0" lang="pt-BR" sz="1000" spc="-1" strike="noStrike">
            <a:latin typeface="Times New Roman"/>
          </a:endParaRPr>
        </a:p>
        <a:p>
          <a:pPr algn="just">
            <a:lnSpc>
              <a:spcPct val="100000"/>
            </a:lnSpc>
          </a:pPr>
          <a:r>
            <a:rPr b="0" lang="pt-BR" sz="1000" spc="-1" strike="noStrike">
              <a:solidFill>
                <a:srgbClr val="000000"/>
              </a:solidFill>
              <a:latin typeface="Arial"/>
            </a:rPr>
            <a:t>                 </a:t>
          </a:r>
          <a:r>
            <a:rPr b="0" lang="pt-BR" sz="1000" spc="-1" strike="noStrike">
              <a:solidFill>
                <a:srgbClr val="000000"/>
              </a:solidFill>
              <a:latin typeface="Arial"/>
            </a:rPr>
            <a:t>50,32% (Mensalista - UTILIZADA PARA MÃO DE OBRA INDIRETA)</a:t>
          </a:r>
          <a:endParaRPr b="0" lang="pt-BR" sz="1000" spc="-1" strike="noStrike">
            <a:latin typeface="Times New Roman"/>
          </a:endParaRPr>
        </a:p>
        <a:p>
          <a:pPr algn="just">
            <a:lnSpc>
              <a:spcPct val="100000"/>
            </a:lnSpc>
          </a:pPr>
          <a:r>
            <a:rPr b="0" lang="pt-BR" sz="1000" spc="-1" strike="noStrike">
              <a:solidFill>
                <a:srgbClr val="000000"/>
              </a:solidFill>
              <a:latin typeface="Arial"/>
            </a:rPr>
            <a:t>7 - Os itens identificados com " </a:t>
          </a:r>
          <a:r>
            <a:rPr b="1" lang="pt-BR" sz="1000" spc="-1" strike="noStrike">
              <a:solidFill>
                <a:srgbClr val="000000"/>
              </a:solidFill>
              <a:latin typeface="Arial"/>
            </a:rPr>
            <a:t>*</a:t>
          </a:r>
          <a:r>
            <a:rPr b="0" lang="pt-BR" sz="1000" spc="-1" strike="noStrike">
              <a:solidFill>
                <a:srgbClr val="000000"/>
              </a:solidFill>
              <a:latin typeface="Arial"/>
            </a:rPr>
            <a:t> " antes do numero indicam a incidência de BDI reduzido nos termos do decreto 7983/13</a:t>
          </a:r>
          <a:endParaRPr b="0" lang="pt-BR" sz="1000" spc="-1" strike="noStrike">
            <a:latin typeface="Times New Roman"/>
          </a:endParaRPr>
        </a:p>
        <a:p>
          <a:pPr algn="just">
            <a:lnSpc>
              <a:spcPct val="100000"/>
            </a:lnSpc>
          </a:pPr>
          <a:r>
            <a:rPr b="0" lang="pt-BR" sz="1000" spc="-1" strike="noStrike">
              <a:solidFill>
                <a:srgbClr val="000000"/>
              </a:solidFill>
              <a:latin typeface="Arial"/>
            </a:rPr>
            <a:t>8 -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b="0" lang="pt-BR" sz="10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6</xdr:col>
      <xdr:colOff>95040</xdr:colOff>
      <xdr:row>60</xdr:row>
      <xdr:rowOff>142560</xdr:rowOff>
    </xdr:to>
    <xdr:sp>
      <xdr:nvSpPr>
        <xdr:cNvPr id="2" name="CustomShape 1" hidden="1"/>
        <xdr:cNvSpPr/>
      </xdr:nvSpPr>
      <xdr:spPr>
        <a:xfrm>
          <a:off x="0" y="0"/>
          <a:ext cx="7684560" cy="11810520"/>
        </a:xfrm>
        <a:prstGeom prst="rect">
          <a:avLst/>
        </a:prstGeom>
        <a:solidFill>
          <a:srgbClr val="ffffff"/>
        </a:solidFill>
        <a:ln w="9360">
          <a:solidFill>
            <a:srgbClr val="000000"/>
          </a:solidFill>
          <a:miter/>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0</xdr:rowOff>
    </xdr:from>
    <xdr:to>
      <xdr:col>0</xdr:col>
      <xdr:colOff>8640</xdr:colOff>
      <xdr:row>48</xdr:row>
      <xdr:rowOff>118800</xdr:rowOff>
    </xdr:to>
    <xdr:pic>
      <xdr:nvPicPr>
        <xdr:cNvPr id="3" name="Imagem 1" descr=""/>
        <xdr:cNvPicPr/>
      </xdr:nvPicPr>
      <xdr:blipFill>
        <a:blip r:embed="rId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 name="Imagem 2" descr=""/>
        <xdr:cNvPicPr/>
      </xdr:nvPicPr>
      <xdr:blipFill>
        <a:blip r:embed="rId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 name="Imagem 3" descr=""/>
        <xdr:cNvPicPr/>
      </xdr:nvPicPr>
      <xdr:blipFill>
        <a:blip r:embed="rId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 name="Imagem 4" descr=""/>
        <xdr:cNvPicPr/>
      </xdr:nvPicPr>
      <xdr:blipFill>
        <a:blip r:embed="rId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 name="Imagem 5" descr=""/>
        <xdr:cNvPicPr/>
      </xdr:nvPicPr>
      <xdr:blipFill>
        <a:blip r:embed="rId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 name="Imagem 6" descr=""/>
        <xdr:cNvPicPr/>
      </xdr:nvPicPr>
      <xdr:blipFill>
        <a:blip r:embed="rId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 name="Imagem 7" descr=""/>
        <xdr:cNvPicPr/>
      </xdr:nvPicPr>
      <xdr:blipFill>
        <a:blip r:embed="rId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 name="Imagem 8" descr=""/>
        <xdr:cNvPicPr/>
      </xdr:nvPicPr>
      <xdr:blipFill>
        <a:blip r:embed="rId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 name="Imagem 9" descr=""/>
        <xdr:cNvPicPr/>
      </xdr:nvPicPr>
      <xdr:blipFill>
        <a:blip r:embed="rId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 name="Imagem 10" descr=""/>
        <xdr:cNvPicPr/>
      </xdr:nvPicPr>
      <xdr:blipFill>
        <a:blip r:embed="rId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 name="Imagem 11" descr=""/>
        <xdr:cNvPicPr/>
      </xdr:nvPicPr>
      <xdr:blipFill>
        <a:blip r:embed="rId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 name="Imagem 12" descr=""/>
        <xdr:cNvPicPr/>
      </xdr:nvPicPr>
      <xdr:blipFill>
        <a:blip r:embed="rId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 name="Imagem 13" descr=""/>
        <xdr:cNvPicPr/>
      </xdr:nvPicPr>
      <xdr:blipFill>
        <a:blip r:embed="rId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 name="Imagem 14" descr=""/>
        <xdr:cNvPicPr/>
      </xdr:nvPicPr>
      <xdr:blipFill>
        <a:blip r:embed="rId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 name="Imagem 15" descr=""/>
        <xdr:cNvPicPr/>
      </xdr:nvPicPr>
      <xdr:blipFill>
        <a:blip r:embed="rId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 name="Imagem 16" descr=""/>
        <xdr:cNvPicPr/>
      </xdr:nvPicPr>
      <xdr:blipFill>
        <a:blip r:embed="rId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 name="Imagem 17" descr=""/>
        <xdr:cNvPicPr/>
      </xdr:nvPicPr>
      <xdr:blipFill>
        <a:blip r:embed="rId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 name="Imagem 18" descr=""/>
        <xdr:cNvPicPr/>
      </xdr:nvPicPr>
      <xdr:blipFill>
        <a:blip r:embed="rId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 name="Imagem 19" descr=""/>
        <xdr:cNvPicPr/>
      </xdr:nvPicPr>
      <xdr:blipFill>
        <a:blip r:embed="rId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 name="Imagem 20" descr=""/>
        <xdr:cNvPicPr/>
      </xdr:nvPicPr>
      <xdr:blipFill>
        <a:blip r:embed="rId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 name="Imagem 21" descr=""/>
        <xdr:cNvPicPr/>
      </xdr:nvPicPr>
      <xdr:blipFill>
        <a:blip r:embed="rId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 name="Imagem 22" descr=""/>
        <xdr:cNvPicPr/>
      </xdr:nvPicPr>
      <xdr:blipFill>
        <a:blip r:embed="rId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 name="Imagem 23" descr=""/>
        <xdr:cNvPicPr/>
      </xdr:nvPicPr>
      <xdr:blipFill>
        <a:blip r:embed="rId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 name="Imagem 24" descr=""/>
        <xdr:cNvPicPr/>
      </xdr:nvPicPr>
      <xdr:blipFill>
        <a:blip r:embed="rId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 name="Imagem 25" descr=""/>
        <xdr:cNvPicPr/>
      </xdr:nvPicPr>
      <xdr:blipFill>
        <a:blip r:embed="rId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 name="Imagem 26" descr=""/>
        <xdr:cNvPicPr/>
      </xdr:nvPicPr>
      <xdr:blipFill>
        <a:blip r:embed="rId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 name="Imagem 27" descr=""/>
        <xdr:cNvPicPr/>
      </xdr:nvPicPr>
      <xdr:blipFill>
        <a:blip r:embed="rId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 name="Imagem 28" descr=""/>
        <xdr:cNvPicPr/>
      </xdr:nvPicPr>
      <xdr:blipFill>
        <a:blip r:embed="rId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 name="Imagem 29" descr=""/>
        <xdr:cNvPicPr/>
      </xdr:nvPicPr>
      <xdr:blipFill>
        <a:blip r:embed="rId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 name="Imagem 30" descr=""/>
        <xdr:cNvPicPr/>
      </xdr:nvPicPr>
      <xdr:blipFill>
        <a:blip r:embed="rId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 name="Imagem 31" descr=""/>
        <xdr:cNvPicPr/>
      </xdr:nvPicPr>
      <xdr:blipFill>
        <a:blip r:embed="rId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 name="Imagem 32" descr=""/>
        <xdr:cNvPicPr/>
      </xdr:nvPicPr>
      <xdr:blipFill>
        <a:blip r:embed="rId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 name="Imagem 33" descr=""/>
        <xdr:cNvPicPr/>
      </xdr:nvPicPr>
      <xdr:blipFill>
        <a:blip r:embed="rId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 name="Imagem 34" descr=""/>
        <xdr:cNvPicPr/>
      </xdr:nvPicPr>
      <xdr:blipFill>
        <a:blip r:embed="rId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 name="Imagem 35" descr=""/>
        <xdr:cNvPicPr/>
      </xdr:nvPicPr>
      <xdr:blipFill>
        <a:blip r:embed="rId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 name="Imagem 36" descr=""/>
        <xdr:cNvPicPr/>
      </xdr:nvPicPr>
      <xdr:blipFill>
        <a:blip r:embed="rId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 name="Imagem 37" descr=""/>
        <xdr:cNvPicPr/>
      </xdr:nvPicPr>
      <xdr:blipFill>
        <a:blip r:embed="rId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 name="Imagem 38" descr=""/>
        <xdr:cNvPicPr/>
      </xdr:nvPicPr>
      <xdr:blipFill>
        <a:blip r:embed="rId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 name="Imagem 39" descr=""/>
        <xdr:cNvPicPr/>
      </xdr:nvPicPr>
      <xdr:blipFill>
        <a:blip r:embed="rId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 name="Imagem 40" descr=""/>
        <xdr:cNvPicPr/>
      </xdr:nvPicPr>
      <xdr:blipFill>
        <a:blip r:embed="rId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 name="Imagem 41" descr=""/>
        <xdr:cNvPicPr/>
      </xdr:nvPicPr>
      <xdr:blipFill>
        <a:blip r:embed="rId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 name="Imagem 42" descr=""/>
        <xdr:cNvPicPr/>
      </xdr:nvPicPr>
      <xdr:blipFill>
        <a:blip r:embed="rId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 name="Imagem 43" descr=""/>
        <xdr:cNvPicPr/>
      </xdr:nvPicPr>
      <xdr:blipFill>
        <a:blip r:embed="rId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 name="Imagem 44" descr=""/>
        <xdr:cNvPicPr/>
      </xdr:nvPicPr>
      <xdr:blipFill>
        <a:blip r:embed="rId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 name="Imagem 45" descr=""/>
        <xdr:cNvPicPr/>
      </xdr:nvPicPr>
      <xdr:blipFill>
        <a:blip r:embed="rId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 name="Imagem 46" descr=""/>
        <xdr:cNvPicPr/>
      </xdr:nvPicPr>
      <xdr:blipFill>
        <a:blip r:embed="rId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 name="Imagem 47" descr=""/>
        <xdr:cNvPicPr/>
      </xdr:nvPicPr>
      <xdr:blipFill>
        <a:blip r:embed="rId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 name="Imagem 48" descr=""/>
        <xdr:cNvPicPr/>
      </xdr:nvPicPr>
      <xdr:blipFill>
        <a:blip r:embed="rId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 name="Imagem 49" descr=""/>
        <xdr:cNvPicPr/>
      </xdr:nvPicPr>
      <xdr:blipFill>
        <a:blip r:embed="rId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 name="Imagem 50" descr=""/>
        <xdr:cNvPicPr/>
      </xdr:nvPicPr>
      <xdr:blipFill>
        <a:blip r:embed="rId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 name="Imagem 51" descr=""/>
        <xdr:cNvPicPr/>
      </xdr:nvPicPr>
      <xdr:blipFill>
        <a:blip r:embed="rId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 name="Imagem 52" descr=""/>
        <xdr:cNvPicPr/>
      </xdr:nvPicPr>
      <xdr:blipFill>
        <a:blip r:embed="rId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 name="Imagem 53" descr=""/>
        <xdr:cNvPicPr/>
      </xdr:nvPicPr>
      <xdr:blipFill>
        <a:blip r:embed="rId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 name="Imagem 54" descr=""/>
        <xdr:cNvPicPr/>
      </xdr:nvPicPr>
      <xdr:blipFill>
        <a:blip r:embed="rId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 name="Imagem 55" descr=""/>
        <xdr:cNvPicPr/>
      </xdr:nvPicPr>
      <xdr:blipFill>
        <a:blip r:embed="rId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 name="Imagem 56" descr=""/>
        <xdr:cNvPicPr/>
      </xdr:nvPicPr>
      <xdr:blipFill>
        <a:blip r:embed="rId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 name="Imagem 57" descr=""/>
        <xdr:cNvPicPr/>
      </xdr:nvPicPr>
      <xdr:blipFill>
        <a:blip r:embed="rId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 name="Imagem 58" descr=""/>
        <xdr:cNvPicPr/>
      </xdr:nvPicPr>
      <xdr:blipFill>
        <a:blip r:embed="rId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 name="Imagem 59" descr=""/>
        <xdr:cNvPicPr/>
      </xdr:nvPicPr>
      <xdr:blipFill>
        <a:blip r:embed="rId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 name="Imagem 60" descr=""/>
        <xdr:cNvPicPr/>
      </xdr:nvPicPr>
      <xdr:blipFill>
        <a:blip r:embed="rId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 name="Imagem 61" descr=""/>
        <xdr:cNvPicPr/>
      </xdr:nvPicPr>
      <xdr:blipFill>
        <a:blip r:embed="rId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 name="Imagem 62" descr=""/>
        <xdr:cNvPicPr/>
      </xdr:nvPicPr>
      <xdr:blipFill>
        <a:blip r:embed="rId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 name="Imagem 63" descr=""/>
        <xdr:cNvPicPr/>
      </xdr:nvPicPr>
      <xdr:blipFill>
        <a:blip r:embed="rId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 name="Imagem 64" descr=""/>
        <xdr:cNvPicPr/>
      </xdr:nvPicPr>
      <xdr:blipFill>
        <a:blip r:embed="rId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 name="Imagem 65" descr=""/>
        <xdr:cNvPicPr/>
      </xdr:nvPicPr>
      <xdr:blipFill>
        <a:blip r:embed="rId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 name="Imagem 66" descr=""/>
        <xdr:cNvPicPr/>
      </xdr:nvPicPr>
      <xdr:blipFill>
        <a:blip r:embed="rId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 name="Imagem 67" descr=""/>
        <xdr:cNvPicPr/>
      </xdr:nvPicPr>
      <xdr:blipFill>
        <a:blip r:embed="rId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 name="Imagem 68" descr=""/>
        <xdr:cNvPicPr/>
      </xdr:nvPicPr>
      <xdr:blipFill>
        <a:blip r:embed="rId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 name="Imagem 69" descr=""/>
        <xdr:cNvPicPr/>
      </xdr:nvPicPr>
      <xdr:blipFill>
        <a:blip r:embed="rId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 name="Imagem 70" descr=""/>
        <xdr:cNvPicPr/>
      </xdr:nvPicPr>
      <xdr:blipFill>
        <a:blip r:embed="rId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 name="Imagem 71" descr=""/>
        <xdr:cNvPicPr/>
      </xdr:nvPicPr>
      <xdr:blipFill>
        <a:blip r:embed="rId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 name="Imagem 72" descr=""/>
        <xdr:cNvPicPr/>
      </xdr:nvPicPr>
      <xdr:blipFill>
        <a:blip r:embed="rId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 name="Imagem 73" descr=""/>
        <xdr:cNvPicPr/>
      </xdr:nvPicPr>
      <xdr:blipFill>
        <a:blip r:embed="rId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 name="Imagem 74" descr=""/>
        <xdr:cNvPicPr/>
      </xdr:nvPicPr>
      <xdr:blipFill>
        <a:blip r:embed="rId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 name="Imagem 75" descr=""/>
        <xdr:cNvPicPr/>
      </xdr:nvPicPr>
      <xdr:blipFill>
        <a:blip r:embed="rId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 name="Imagem 76" descr=""/>
        <xdr:cNvPicPr/>
      </xdr:nvPicPr>
      <xdr:blipFill>
        <a:blip r:embed="rId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 name="Imagem 77" descr=""/>
        <xdr:cNvPicPr/>
      </xdr:nvPicPr>
      <xdr:blipFill>
        <a:blip r:embed="rId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 name="Imagem 78" descr=""/>
        <xdr:cNvPicPr/>
      </xdr:nvPicPr>
      <xdr:blipFill>
        <a:blip r:embed="rId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 name="Imagem 79" descr=""/>
        <xdr:cNvPicPr/>
      </xdr:nvPicPr>
      <xdr:blipFill>
        <a:blip r:embed="rId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 name="Imagem 80" descr=""/>
        <xdr:cNvPicPr/>
      </xdr:nvPicPr>
      <xdr:blipFill>
        <a:blip r:embed="rId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 name="Imagem 81" descr=""/>
        <xdr:cNvPicPr/>
      </xdr:nvPicPr>
      <xdr:blipFill>
        <a:blip r:embed="rId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 name="Imagem 82" descr=""/>
        <xdr:cNvPicPr/>
      </xdr:nvPicPr>
      <xdr:blipFill>
        <a:blip r:embed="rId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 name="Imagem 83" descr=""/>
        <xdr:cNvPicPr/>
      </xdr:nvPicPr>
      <xdr:blipFill>
        <a:blip r:embed="rId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 name="Imagem 84" descr=""/>
        <xdr:cNvPicPr/>
      </xdr:nvPicPr>
      <xdr:blipFill>
        <a:blip r:embed="rId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 name="Imagem 85" descr=""/>
        <xdr:cNvPicPr/>
      </xdr:nvPicPr>
      <xdr:blipFill>
        <a:blip r:embed="rId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 name="Imagem 86" descr=""/>
        <xdr:cNvPicPr/>
      </xdr:nvPicPr>
      <xdr:blipFill>
        <a:blip r:embed="rId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 name="Imagem 87" descr=""/>
        <xdr:cNvPicPr/>
      </xdr:nvPicPr>
      <xdr:blipFill>
        <a:blip r:embed="rId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 name="Imagem 88" descr=""/>
        <xdr:cNvPicPr/>
      </xdr:nvPicPr>
      <xdr:blipFill>
        <a:blip r:embed="rId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 name="Imagem 89" descr=""/>
        <xdr:cNvPicPr/>
      </xdr:nvPicPr>
      <xdr:blipFill>
        <a:blip r:embed="rId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 name="Imagem 90" descr=""/>
        <xdr:cNvPicPr/>
      </xdr:nvPicPr>
      <xdr:blipFill>
        <a:blip r:embed="rId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 name="Imagem 91" descr=""/>
        <xdr:cNvPicPr/>
      </xdr:nvPicPr>
      <xdr:blipFill>
        <a:blip r:embed="rId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 name="Imagem 92" descr=""/>
        <xdr:cNvPicPr/>
      </xdr:nvPicPr>
      <xdr:blipFill>
        <a:blip r:embed="rId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 name="Imagem 93" descr=""/>
        <xdr:cNvPicPr/>
      </xdr:nvPicPr>
      <xdr:blipFill>
        <a:blip r:embed="rId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 name="Imagem 94" descr=""/>
        <xdr:cNvPicPr/>
      </xdr:nvPicPr>
      <xdr:blipFill>
        <a:blip r:embed="rId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 name="Imagem 95" descr=""/>
        <xdr:cNvPicPr/>
      </xdr:nvPicPr>
      <xdr:blipFill>
        <a:blip r:embed="rId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 name="Imagem 96" descr=""/>
        <xdr:cNvPicPr/>
      </xdr:nvPicPr>
      <xdr:blipFill>
        <a:blip r:embed="rId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 name="Imagem 97" descr=""/>
        <xdr:cNvPicPr/>
      </xdr:nvPicPr>
      <xdr:blipFill>
        <a:blip r:embed="rId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 name="Imagem 98" descr=""/>
        <xdr:cNvPicPr/>
      </xdr:nvPicPr>
      <xdr:blipFill>
        <a:blip r:embed="rId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 name="Imagem 99" descr=""/>
        <xdr:cNvPicPr/>
      </xdr:nvPicPr>
      <xdr:blipFill>
        <a:blip r:embed="rId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 name="Imagem 100" descr=""/>
        <xdr:cNvPicPr/>
      </xdr:nvPicPr>
      <xdr:blipFill>
        <a:blip r:embed="rId1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 name="Imagem 101" descr=""/>
        <xdr:cNvPicPr/>
      </xdr:nvPicPr>
      <xdr:blipFill>
        <a:blip r:embed="rId1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 name="Imagem 102" descr=""/>
        <xdr:cNvPicPr/>
      </xdr:nvPicPr>
      <xdr:blipFill>
        <a:blip r:embed="rId1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 name="Imagem 103" descr=""/>
        <xdr:cNvPicPr/>
      </xdr:nvPicPr>
      <xdr:blipFill>
        <a:blip r:embed="rId1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 name="Imagem 104" descr=""/>
        <xdr:cNvPicPr/>
      </xdr:nvPicPr>
      <xdr:blipFill>
        <a:blip r:embed="rId1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 name="Imagem 105" descr=""/>
        <xdr:cNvPicPr/>
      </xdr:nvPicPr>
      <xdr:blipFill>
        <a:blip r:embed="rId1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 name="Imagem 106" descr=""/>
        <xdr:cNvPicPr/>
      </xdr:nvPicPr>
      <xdr:blipFill>
        <a:blip r:embed="rId1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 name="Imagem 107" descr=""/>
        <xdr:cNvPicPr/>
      </xdr:nvPicPr>
      <xdr:blipFill>
        <a:blip r:embed="rId1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 name="Imagem 108" descr=""/>
        <xdr:cNvPicPr/>
      </xdr:nvPicPr>
      <xdr:blipFill>
        <a:blip r:embed="rId1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 name="Imagem 109" descr=""/>
        <xdr:cNvPicPr/>
      </xdr:nvPicPr>
      <xdr:blipFill>
        <a:blip r:embed="rId1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 name="Imagem 110" descr=""/>
        <xdr:cNvPicPr/>
      </xdr:nvPicPr>
      <xdr:blipFill>
        <a:blip r:embed="rId1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 name="Imagem 111" descr=""/>
        <xdr:cNvPicPr/>
      </xdr:nvPicPr>
      <xdr:blipFill>
        <a:blip r:embed="rId1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 name="Imagem 112" descr=""/>
        <xdr:cNvPicPr/>
      </xdr:nvPicPr>
      <xdr:blipFill>
        <a:blip r:embed="rId1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 name="Imagem 113" descr=""/>
        <xdr:cNvPicPr/>
      </xdr:nvPicPr>
      <xdr:blipFill>
        <a:blip r:embed="rId1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 name="Imagem 114" descr=""/>
        <xdr:cNvPicPr/>
      </xdr:nvPicPr>
      <xdr:blipFill>
        <a:blip r:embed="rId1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 name="Imagem 115" descr=""/>
        <xdr:cNvPicPr/>
      </xdr:nvPicPr>
      <xdr:blipFill>
        <a:blip r:embed="rId1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 name="Imagem 116" descr=""/>
        <xdr:cNvPicPr/>
      </xdr:nvPicPr>
      <xdr:blipFill>
        <a:blip r:embed="rId1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 name="Imagem 117" descr=""/>
        <xdr:cNvPicPr/>
      </xdr:nvPicPr>
      <xdr:blipFill>
        <a:blip r:embed="rId1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 name="Imagem 118" descr=""/>
        <xdr:cNvPicPr/>
      </xdr:nvPicPr>
      <xdr:blipFill>
        <a:blip r:embed="rId1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 name="Imagem 119" descr=""/>
        <xdr:cNvPicPr/>
      </xdr:nvPicPr>
      <xdr:blipFill>
        <a:blip r:embed="rId1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 name="Imagem 120" descr=""/>
        <xdr:cNvPicPr/>
      </xdr:nvPicPr>
      <xdr:blipFill>
        <a:blip r:embed="rId1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 name="Imagem 121" descr=""/>
        <xdr:cNvPicPr/>
      </xdr:nvPicPr>
      <xdr:blipFill>
        <a:blip r:embed="rId1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 name="Imagem 122" descr=""/>
        <xdr:cNvPicPr/>
      </xdr:nvPicPr>
      <xdr:blipFill>
        <a:blip r:embed="rId1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 name="Imagem 123" descr=""/>
        <xdr:cNvPicPr/>
      </xdr:nvPicPr>
      <xdr:blipFill>
        <a:blip r:embed="rId1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 name="Imagem 124" descr=""/>
        <xdr:cNvPicPr/>
      </xdr:nvPicPr>
      <xdr:blipFill>
        <a:blip r:embed="rId1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 name="Imagem 125" descr=""/>
        <xdr:cNvPicPr/>
      </xdr:nvPicPr>
      <xdr:blipFill>
        <a:blip r:embed="rId1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 name="Imagem 126" descr=""/>
        <xdr:cNvPicPr/>
      </xdr:nvPicPr>
      <xdr:blipFill>
        <a:blip r:embed="rId1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 name="Imagem 127" descr=""/>
        <xdr:cNvPicPr/>
      </xdr:nvPicPr>
      <xdr:blipFill>
        <a:blip r:embed="rId1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 name="Imagem 128" descr=""/>
        <xdr:cNvPicPr/>
      </xdr:nvPicPr>
      <xdr:blipFill>
        <a:blip r:embed="rId1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 name="Imagem 129" descr=""/>
        <xdr:cNvPicPr/>
      </xdr:nvPicPr>
      <xdr:blipFill>
        <a:blip r:embed="rId1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 name="Imagem 130" descr=""/>
        <xdr:cNvPicPr/>
      </xdr:nvPicPr>
      <xdr:blipFill>
        <a:blip r:embed="rId1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 name="Imagem 131" descr=""/>
        <xdr:cNvPicPr/>
      </xdr:nvPicPr>
      <xdr:blipFill>
        <a:blip r:embed="rId1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 name="Imagem 132" descr=""/>
        <xdr:cNvPicPr/>
      </xdr:nvPicPr>
      <xdr:blipFill>
        <a:blip r:embed="rId1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 name="Imagem 133" descr=""/>
        <xdr:cNvPicPr/>
      </xdr:nvPicPr>
      <xdr:blipFill>
        <a:blip r:embed="rId1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 name="Imagem 134" descr=""/>
        <xdr:cNvPicPr/>
      </xdr:nvPicPr>
      <xdr:blipFill>
        <a:blip r:embed="rId1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 name="Imagem 135" descr=""/>
        <xdr:cNvPicPr/>
      </xdr:nvPicPr>
      <xdr:blipFill>
        <a:blip r:embed="rId1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 name="Imagem 136" descr=""/>
        <xdr:cNvPicPr/>
      </xdr:nvPicPr>
      <xdr:blipFill>
        <a:blip r:embed="rId1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 name="Imagem 137" descr=""/>
        <xdr:cNvPicPr/>
      </xdr:nvPicPr>
      <xdr:blipFill>
        <a:blip r:embed="rId1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 name="Imagem 138" descr=""/>
        <xdr:cNvPicPr/>
      </xdr:nvPicPr>
      <xdr:blipFill>
        <a:blip r:embed="rId1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 name="Imagem 139" descr=""/>
        <xdr:cNvPicPr/>
      </xdr:nvPicPr>
      <xdr:blipFill>
        <a:blip r:embed="rId1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 name="Imagem 140" descr=""/>
        <xdr:cNvPicPr/>
      </xdr:nvPicPr>
      <xdr:blipFill>
        <a:blip r:embed="rId1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 name="Imagem 141" descr=""/>
        <xdr:cNvPicPr/>
      </xdr:nvPicPr>
      <xdr:blipFill>
        <a:blip r:embed="rId1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 name="Imagem 142" descr=""/>
        <xdr:cNvPicPr/>
      </xdr:nvPicPr>
      <xdr:blipFill>
        <a:blip r:embed="rId1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 name="Imagem 143" descr=""/>
        <xdr:cNvPicPr/>
      </xdr:nvPicPr>
      <xdr:blipFill>
        <a:blip r:embed="rId1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 name="Imagem 144" descr=""/>
        <xdr:cNvPicPr/>
      </xdr:nvPicPr>
      <xdr:blipFill>
        <a:blip r:embed="rId1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 name="Imagem 145" descr=""/>
        <xdr:cNvPicPr/>
      </xdr:nvPicPr>
      <xdr:blipFill>
        <a:blip r:embed="rId1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 name="Imagem 146" descr=""/>
        <xdr:cNvPicPr/>
      </xdr:nvPicPr>
      <xdr:blipFill>
        <a:blip r:embed="rId1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 name="Imagem 147" descr=""/>
        <xdr:cNvPicPr/>
      </xdr:nvPicPr>
      <xdr:blipFill>
        <a:blip r:embed="rId1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 name="Imagem 148" descr=""/>
        <xdr:cNvPicPr/>
      </xdr:nvPicPr>
      <xdr:blipFill>
        <a:blip r:embed="rId1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 name="Imagem 149" descr=""/>
        <xdr:cNvPicPr/>
      </xdr:nvPicPr>
      <xdr:blipFill>
        <a:blip r:embed="rId1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 name="Imagem 150" descr=""/>
        <xdr:cNvPicPr/>
      </xdr:nvPicPr>
      <xdr:blipFill>
        <a:blip r:embed="rId1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 name="Imagem 151" descr=""/>
        <xdr:cNvPicPr/>
      </xdr:nvPicPr>
      <xdr:blipFill>
        <a:blip r:embed="rId1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 name="Imagem 152" descr=""/>
        <xdr:cNvPicPr/>
      </xdr:nvPicPr>
      <xdr:blipFill>
        <a:blip r:embed="rId1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 name="Imagem 153" descr=""/>
        <xdr:cNvPicPr/>
      </xdr:nvPicPr>
      <xdr:blipFill>
        <a:blip r:embed="rId1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 name="Imagem 154" descr=""/>
        <xdr:cNvPicPr/>
      </xdr:nvPicPr>
      <xdr:blipFill>
        <a:blip r:embed="rId1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 name="Imagem 155" descr=""/>
        <xdr:cNvPicPr/>
      </xdr:nvPicPr>
      <xdr:blipFill>
        <a:blip r:embed="rId1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 name="Imagem 156" descr=""/>
        <xdr:cNvPicPr/>
      </xdr:nvPicPr>
      <xdr:blipFill>
        <a:blip r:embed="rId1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 name="Imagem 157" descr=""/>
        <xdr:cNvPicPr/>
      </xdr:nvPicPr>
      <xdr:blipFill>
        <a:blip r:embed="rId1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 name="Imagem 158" descr=""/>
        <xdr:cNvPicPr/>
      </xdr:nvPicPr>
      <xdr:blipFill>
        <a:blip r:embed="rId1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 name="Imagem 159" descr=""/>
        <xdr:cNvPicPr/>
      </xdr:nvPicPr>
      <xdr:blipFill>
        <a:blip r:embed="rId1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 name="Imagem 160" descr=""/>
        <xdr:cNvPicPr/>
      </xdr:nvPicPr>
      <xdr:blipFill>
        <a:blip r:embed="rId1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3" name="Imagem 161" descr=""/>
        <xdr:cNvPicPr/>
      </xdr:nvPicPr>
      <xdr:blipFill>
        <a:blip r:embed="rId1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4" name="Imagem 162" descr=""/>
        <xdr:cNvPicPr/>
      </xdr:nvPicPr>
      <xdr:blipFill>
        <a:blip r:embed="rId1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5" name="Imagem 163" descr=""/>
        <xdr:cNvPicPr/>
      </xdr:nvPicPr>
      <xdr:blipFill>
        <a:blip r:embed="rId1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6" name="Imagem 164" descr=""/>
        <xdr:cNvPicPr/>
      </xdr:nvPicPr>
      <xdr:blipFill>
        <a:blip r:embed="rId1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7" name="Imagem 165" descr=""/>
        <xdr:cNvPicPr/>
      </xdr:nvPicPr>
      <xdr:blipFill>
        <a:blip r:embed="rId1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8" name="Imagem 166" descr=""/>
        <xdr:cNvPicPr/>
      </xdr:nvPicPr>
      <xdr:blipFill>
        <a:blip r:embed="rId1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9" name="Imagem 167" descr=""/>
        <xdr:cNvPicPr/>
      </xdr:nvPicPr>
      <xdr:blipFill>
        <a:blip r:embed="rId1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0" name="Imagem 168" descr=""/>
        <xdr:cNvPicPr/>
      </xdr:nvPicPr>
      <xdr:blipFill>
        <a:blip r:embed="rId1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1" name="Imagem 169" descr=""/>
        <xdr:cNvPicPr/>
      </xdr:nvPicPr>
      <xdr:blipFill>
        <a:blip r:embed="rId1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2" name="Imagem 170" descr=""/>
        <xdr:cNvPicPr/>
      </xdr:nvPicPr>
      <xdr:blipFill>
        <a:blip r:embed="rId1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3" name="Imagem 171" descr=""/>
        <xdr:cNvPicPr/>
      </xdr:nvPicPr>
      <xdr:blipFill>
        <a:blip r:embed="rId1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4" name="Imagem 172" descr=""/>
        <xdr:cNvPicPr/>
      </xdr:nvPicPr>
      <xdr:blipFill>
        <a:blip r:embed="rId1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5" name="Imagem 173" descr=""/>
        <xdr:cNvPicPr/>
      </xdr:nvPicPr>
      <xdr:blipFill>
        <a:blip r:embed="rId1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6" name="Imagem 174" descr=""/>
        <xdr:cNvPicPr/>
      </xdr:nvPicPr>
      <xdr:blipFill>
        <a:blip r:embed="rId1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7" name="Imagem 175" descr=""/>
        <xdr:cNvPicPr/>
      </xdr:nvPicPr>
      <xdr:blipFill>
        <a:blip r:embed="rId1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8" name="Imagem 176" descr=""/>
        <xdr:cNvPicPr/>
      </xdr:nvPicPr>
      <xdr:blipFill>
        <a:blip r:embed="rId1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79" name="Imagem 177" descr=""/>
        <xdr:cNvPicPr/>
      </xdr:nvPicPr>
      <xdr:blipFill>
        <a:blip r:embed="rId1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0" name="Imagem 178" descr=""/>
        <xdr:cNvPicPr/>
      </xdr:nvPicPr>
      <xdr:blipFill>
        <a:blip r:embed="rId1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1" name="Imagem 179" descr=""/>
        <xdr:cNvPicPr/>
      </xdr:nvPicPr>
      <xdr:blipFill>
        <a:blip r:embed="rId1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2" name="Imagem 180" descr=""/>
        <xdr:cNvPicPr/>
      </xdr:nvPicPr>
      <xdr:blipFill>
        <a:blip r:embed="rId1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3" name="Imagem 181" descr=""/>
        <xdr:cNvPicPr/>
      </xdr:nvPicPr>
      <xdr:blipFill>
        <a:blip r:embed="rId1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4" name="Imagem 182" descr=""/>
        <xdr:cNvPicPr/>
      </xdr:nvPicPr>
      <xdr:blipFill>
        <a:blip r:embed="rId1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5" name="Imagem 183" descr=""/>
        <xdr:cNvPicPr/>
      </xdr:nvPicPr>
      <xdr:blipFill>
        <a:blip r:embed="rId1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6" name="Imagem 184" descr=""/>
        <xdr:cNvPicPr/>
      </xdr:nvPicPr>
      <xdr:blipFill>
        <a:blip r:embed="rId1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7" name="Imagem 185" descr=""/>
        <xdr:cNvPicPr/>
      </xdr:nvPicPr>
      <xdr:blipFill>
        <a:blip r:embed="rId1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8" name="Imagem 186" descr=""/>
        <xdr:cNvPicPr/>
      </xdr:nvPicPr>
      <xdr:blipFill>
        <a:blip r:embed="rId1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89" name="Imagem 187" descr=""/>
        <xdr:cNvPicPr/>
      </xdr:nvPicPr>
      <xdr:blipFill>
        <a:blip r:embed="rId1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0" name="Imagem 188" descr=""/>
        <xdr:cNvPicPr/>
      </xdr:nvPicPr>
      <xdr:blipFill>
        <a:blip r:embed="rId1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1" name="Imagem 189" descr=""/>
        <xdr:cNvPicPr/>
      </xdr:nvPicPr>
      <xdr:blipFill>
        <a:blip r:embed="rId1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2" name="Imagem 190" descr=""/>
        <xdr:cNvPicPr/>
      </xdr:nvPicPr>
      <xdr:blipFill>
        <a:blip r:embed="rId1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3" name="Imagem 191" descr=""/>
        <xdr:cNvPicPr/>
      </xdr:nvPicPr>
      <xdr:blipFill>
        <a:blip r:embed="rId1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4" name="Imagem 192" descr=""/>
        <xdr:cNvPicPr/>
      </xdr:nvPicPr>
      <xdr:blipFill>
        <a:blip r:embed="rId1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5" name="Imagem 193" descr=""/>
        <xdr:cNvPicPr/>
      </xdr:nvPicPr>
      <xdr:blipFill>
        <a:blip r:embed="rId1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6" name="Imagem 194" descr=""/>
        <xdr:cNvPicPr/>
      </xdr:nvPicPr>
      <xdr:blipFill>
        <a:blip r:embed="rId1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7" name="Imagem 195" descr=""/>
        <xdr:cNvPicPr/>
      </xdr:nvPicPr>
      <xdr:blipFill>
        <a:blip r:embed="rId1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8" name="Imagem 196" descr=""/>
        <xdr:cNvPicPr/>
      </xdr:nvPicPr>
      <xdr:blipFill>
        <a:blip r:embed="rId1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99" name="Imagem 197" descr=""/>
        <xdr:cNvPicPr/>
      </xdr:nvPicPr>
      <xdr:blipFill>
        <a:blip r:embed="rId1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0" name="Imagem 198" descr=""/>
        <xdr:cNvPicPr/>
      </xdr:nvPicPr>
      <xdr:blipFill>
        <a:blip r:embed="rId1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1" name="Imagem 199" descr=""/>
        <xdr:cNvPicPr/>
      </xdr:nvPicPr>
      <xdr:blipFill>
        <a:blip r:embed="rId1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2" name="Imagem 200" descr=""/>
        <xdr:cNvPicPr/>
      </xdr:nvPicPr>
      <xdr:blipFill>
        <a:blip r:embed="rId2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3" name="Imagem 201" descr=""/>
        <xdr:cNvPicPr/>
      </xdr:nvPicPr>
      <xdr:blipFill>
        <a:blip r:embed="rId2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4" name="Imagem 202" descr=""/>
        <xdr:cNvPicPr/>
      </xdr:nvPicPr>
      <xdr:blipFill>
        <a:blip r:embed="rId2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5" name="Imagem 203" descr=""/>
        <xdr:cNvPicPr/>
      </xdr:nvPicPr>
      <xdr:blipFill>
        <a:blip r:embed="rId2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6" name="Imagem 204" descr=""/>
        <xdr:cNvPicPr/>
      </xdr:nvPicPr>
      <xdr:blipFill>
        <a:blip r:embed="rId2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7" name="Imagem 205" descr=""/>
        <xdr:cNvPicPr/>
      </xdr:nvPicPr>
      <xdr:blipFill>
        <a:blip r:embed="rId2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8" name="Imagem 206" descr=""/>
        <xdr:cNvPicPr/>
      </xdr:nvPicPr>
      <xdr:blipFill>
        <a:blip r:embed="rId2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09" name="Imagem 207" descr=""/>
        <xdr:cNvPicPr/>
      </xdr:nvPicPr>
      <xdr:blipFill>
        <a:blip r:embed="rId2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0" name="Imagem 208" descr=""/>
        <xdr:cNvPicPr/>
      </xdr:nvPicPr>
      <xdr:blipFill>
        <a:blip r:embed="rId2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1" name="Imagem 209" descr=""/>
        <xdr:cNvPicPr/>
      </xdr:nvPicPr>
      <xdr:blipFill>
        <a:blip r:embed="rId2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2" name="Imagem 210" descr=""/>
        <xdr:cNvPicPr/>
      </xdr:nvPicPr>
      <xdr:blipFill>
        <a:blip r:embed="rId2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3" name="Imagem 211" descr=""/>
        <xdr:cNvPicPr/>
      </xdr:nvPicPr>
      <xdr:blipFill>
        <a:blip r:embed="rId2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4" name="Imagem 212" descr=""/>
        <xdr:cNvPicPr/>
      </xdr:nvPicPr>
      <xdr:blipFill>
        <a:blip r:embed="rId2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5" name="Imagem 213" descr=""/>
        <xdr:cNvPicPr/>
      </xdr:nvPicPr>
      <xdr:blipFill>
        <a:blip r:embed="rId2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6" name="Imagem 214" descr=""/>
        <xdr:cNvPicPr/>
      </xdr:nvPicPr>
      <xdr:blipFill>
        <a:blip r:embed="rId2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7" name="Imagem 215" descr=""/>
        <xdr:cNvPicPr/>
      </xdr:nvPicPr>
      <xdr:blipFill>
        <a:blip r:embed="rId2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8" name="Imagem 216" descr=""/>
        <xdr:cNvPicPr/>
      </xdr:nvPicPr>
      <xdr:blipFill>
        <a:blip r:embed="rId2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19" name="Imagem 217" descr=""/>
        <xdr:cNvPicPr/>
      </xdr:nvPicPr>
      <xdr:blipFill>
        <a:blip r:embed="rId2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0" name="Imagem 218" descr=""/>
        <xdr:cNvPicPr/>
      </xdr:nvPicPr>
      <xdr:blipFill>
        <a:blip r:embed="rId2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1" name="Imagem 219" descr=""/>
        <xdr:cNvPicPr/>
      </xdr:nvPicPr>
      <xdr:blipFill>
        <a:blip r:embed="rId2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2" name="Imagem 220" descr=""/>
        <xdr:cNvPicPr/>
      </xdr:nvPicPr>
      <xdr:blipFill>
        <a:blip r:embed="rId2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3" name="Imagem 221" descr=""/>
        <xdr:cNvPicPr/>
      </xdr:nvPicPr>
      <xdr:blipFill>
        <a:blip r:embed="rId2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4" name="Imagem 222" descr=""/>
        <xdr:cNvPicPr/>
      </xdr:nvPicPr>
      <xdr:blipFill>
        <a:blip r:embed="rId2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5" name="Imagem 223" descr=""/>
        <xdr:cNvPicPr/>
      </xdr:nvPicPr>
      <xdr:blipFill>
        <a:blip r:embed="rId2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6" name="Imagem 224" descr=""/>
        <xdr:cNvPicPr/>
      </xdr:nvPicPr>
      <xdr:blipFill>
        <a:blip r:embed="rId2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7" name="Imagem 225" descr=""/>
        <xdr:cNvPicPr/>
      </xdr:nvPicPr>
      <xdr:blipFill>
        <a:blip r:embed="rId2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8" name="Imagem 226" descr=""/>
        <xdr:cNvPicPr/>
      </xdr:nvPicPr>
      <xdr:blipFill>
        <a:blip r:embed="rId2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29" name="Imagem 227" descr=""/>
        <xdr:cNvPicPr/>
      </xdr:nvPicPr>
      <xdr:blipFill>
        <a:blip r:embed="rId2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0" name="Imagem 228" descr=""/>
        <xdr:cNvPicPr/>
      </xdr:nvPicPr>
      <xdr:blipFill>
        <a:blip r:embed="rId2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1" name="Imagem 229" descr=""/>
        <xdr:cNvPicPr/>
      </xdr:nvPicPr>
      <xdr:blipFill>
        <a:blip r:embed="rId2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2" name="Imagem 230" descr=""/>
        <xdr:cNvPicPr/>
      </xdr:nvPicPr>
      <xdr:blipFill>
        <a:blip r:embed="rId2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3" name="Imagem 231" descr=""/>
        <xdr:cNvPicPr/>
      </xdr:nvPicPr>
      <xdr:blipFill>
        <a:blip r:embed="rId2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4" name="Imagem 232" descr=""/>
        <xdr:cNvPicPr/>
      </xdr:nvPicPr>
      <xdr:blipFill>
        <a:blip r:embed="rId2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5" name="Imagem 233" descr=""/>
        <xdr:cNvPicPr/>
      </xdr:nvPicPr>
      <xdr:blipFill>
        <a:blip r:embed="rId2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6" name="Imagem 234" descr=""/>
        <xdr:cNvPicPr/>
      </xdr:nvPicPr>
      <xdr:blipFill>
        <a:blip r:embed="rId2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7" name="Imagem 235" descr=""/>
        <xdr:cNvPicPr/>
      </xdr:nvPicPr>
      <xdr:blipFill>
        <a:blip r:embed="rId2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8" name="Imagem 236" descr=""/>
        <xdr:cNvPicPr/>
      </xdr:nvPicPr>
      <xdr:blipFill>
        <a:blip r:embed="rId2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39" name="Imagem 237" descr=""/>
        <xdr:cNvPicPr/>
      </xdr:nvPicPr>
      <xdr:blipFill>
        <a:blip r:embed="rId2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0" name="Imagem 238" descr=""/>
        <xdr:cNvPicPr/>
      </xdr:nvPicPr>
      <xdr:blipFill>
        <a:blip r:embed="rId2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1" name="Imagem 239" descr=""/>
        <xdr:cNvPicPr/>
      </xdr:nvPicPr>
      <xdr:blipFill>
        <a:blip r:embed="rId2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2" name="Imagem 240" descr=""/>
        <xdr:cNvPicPr/>
      </xdr:nvPicPr>
      <xdr:blipFill>
        <a:blip r:embed="rId2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3" name="Imagem 241" descr=""/>
        <xdr:cNvPicPr/>
      </xdr:nvPicPr>
      <xdr:blipFill>
        <a:blip r:embed="rId2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4" name="Imagem 242" descr=""/>
        <xdr:cNvPicPr/>
      </xdr:nvPicPr>
      <xdr:blipFill>
        <a:blip r:embed="rId2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5" name="Imagem 243" descr=""/>
        <xdr:cNvPicPr/>
      </xdr:nvPicPr>
      <xdr:blipFill>
        <a:blip r:embed="rId2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6" name="Imagem 244" descr=""/>
        <xdr:cNvPicPr/>
      </xdr:nvPicPr>
      <xdr:blipFill>
        <a:blip r:embed="rId2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7" name="Imagem 245" descr=""/>
        <xdr:cNvPicPr/>
      </xdr:nvPicPr>
      <xdr:blipFill>
        <a:blip r:embed="rId2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8" name="Imagem 246" descr=""/>
        <xdr:cNvPicPr/>
      </xdr:nvPicPr>
      <xdr:blipFill>
        <a:blip r:embed="rId2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49" name="Imagem 247" descr=""/>
        <xdr:cNvPicPr/>
      </xdr:nvPicPr>
      <xdr:blipFill>
        <a:blip r:embed="rId2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0" name="Imagem 248" descr=""/>
        <xdr:cNvPicPr/>
      </xdr:nvPicPr>
      <xdr:blipFill>
        <a:blip r:embed="rId2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1" name="Imagem 249" descr=""/>
        <xdr:cNvPicPr/>
      </xdr:nvPicPr>
      <xdr:blipFill>
        <a:blip r:embed="rId2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2" name="Imagem 250" descr=""/>
        <xdr:cNvPicPr/>
      </xdr:nvPicPr>
      <xdr:blipFill>
        <a:blip r:embed="rId2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3" name="Imagem 251" descr=""/>
        <xdr:cNvPicPr/>
      </xdr:nvPicPr>
      <xdr:blipFill>
        <a:blip r:embed="rId2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4" name="Imagem 252" descr=""/>
        <xdr:cNvPicPr/>
      </xdr:nvPicPr>
      <xdr:blipFill>
        <a:blip r:embed="rId2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5" name="Imagem 253" descr=""/>
        <xdr:cNvPicPr/>
      </xdr:nvPicPr>
      <xdr:blipFill>
        <a:blip r:embed="rId2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6" name="Imagem 254" descr=""/>
        <xdr:cNvPicPr/>
      </xdr:nvPicPr>
      <xdr:blipFill>
        <a:blip r:embed="rId2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7" name="Imagem 255" descr=""/>
        <xdr:cNvPicPr/>
      </xdr:nvPicPr>
      <xdr:blipFill>
        <a:blip r:embed="rId2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8" name="Imagem 256" descr=""/>
        <xdr:cNvPicPr/>
      </xdr:nvPicPr>
      <xdr:blipFill>
        <a:blip r:embed="rId2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59" name="Imagem 257" descr=""/>
        <xdr:cNvPicPr/>
      </xdr:nvPicPr>
      <xdr:blipFill>
        <a:blip r:embed="rId2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0" name="Imagem 258" descr=""/>
        <xdr:cNvPicPr/>
      </xdr:nvPicPr>
      <xdr:blipFill>
        <a:blip r:embed="rId2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1" name="Imagem 259" descr=""/>
        <xdr:cNvPicPr/>
      </xdr:nvPicPr>
      <xdr:blipFill>
        <a:blip r:embed="rId2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2" name="Imagem 260" descr=""/>
        <xdr:cNvPicPr/>
      </xdr:nvPicPr>
      <xdr:blipFill>
        <a:blip r:embed="rId2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3" name="Imagem 261" descr=""/>
        <xdr:cNvPicPr/>
      </xdr:nvPicPr>
      <xdr:blipFill>
        <a:blip r:embed="rId2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4" name="Imagem 262" descr=""/>
        <xdr:cNvPicPr/>
      </xdr:nvPicPr>
      <xdr:blipFill>
        <a:blip r:embed="rId2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5" name="Imagem 263" descr=""/>
        <xdr:cNvPicPr/>
      </xdr:nvPicPr>
      <xdr:blipFill>
        <a:blip r:embed="rId2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6" name="Imagem 264" descr=""/>
        <xdr:cNvPicPr/>
      </xdr:nvPicPr>
      <xdr:blipFill>
        <a:blip r:embed="rId2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7" name="Imagem 265" descr=""/>
        <xdr:cNvPicPr/>
      </xdr:nvPicPr>
      <xdr:blipFill>
        <a:blip r:embed="rId2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8" name="Imagem 266" descr=""/>
        <xdr:cNvPicPr/>
      </xdr:nvPicPr>
      <xdr:blipFill>
        <a:blip r:embed="rId2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69" name="Imagem 267" descr=""/>
        <xdr:cNvPicPr/>
      </xdr:nvPicPr>
      <xdr:blipFill>
        <a:blip r:embed="rId2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0" name="Imagem 268" descr=""/>
        <xdr:cNvPicPr/>
      </xdr:nvPicPr>
      <xdr:blipFill>
        <a:blip r:embed="rId2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1" name="Imagem 269" descr=""/>
        <xdr:cNvPicPr/>
      </xdr:nvPicPr>
      <xdr:blipFill>
        <a:blip r:embed="rId2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2" name="Imagem 270" descr=""/>
        <xdr:cNvPicPr/>
      </xdr:nvPicPr>
      <xdr:blipFill>
        <a:blip r:embed="rId2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3" name="Imagem 271" descr=""/>
        <xdr:cNvPicPr/>
      </xdr:nvPicPr>
      <xdr:blipFill>
        <a:blip r:embed="rId2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4" name="Imagem 272" descr=""/>
        <xdr:cNvPicPr/>
      </xdr:nvPicPr>
      <xdr:blipFill>
        <a:blip r:embed="rId2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5" name="Imagem 273" descr=""/>
        <xdr:cNvPicPr/>
      </xdr:nvPicPr>
      <xdr:blipFill>
        <a:blip r:embed="rId2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6" name="Imagem 274" descr=""/>
        <xdr:cNvPicPr/>
      </xdr:nvPicPr>
      <xdr:blipFill>
        <a:blip r:embed="rId2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7" name="Imagem 275" descr=""/>
        <xdr:cNvPicPr/>
      </xdr:nvPicPr>
      <xdr:blipFill>
        <a:blip r:embed="rId2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8" name="Imagem 276" descr=""/>
        <xdr:cNvPicPr/>
      </xdr:nvPicPr>
      <xdr:blipFill>
        <a:blip r:embed="rId2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79" name="Imagem 277" descr=""/>
        <xdr:cNvPicPr/>
      </xdr:nvPicPr>
      <xdr:blipFill>
        <a:blip r:embed="rId2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0" name="Imagem 278" descr=""/>
        <xdr:cNvPicPr/>
      </xdr:nvPicPr>
      <xdr:blipFill>
        <a:blip r:embed="rId2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1" name="Imagem 279" descr=""/>
        <xdr:cNvPicPr/>
      </xdr:nvPicPr>
      <xdr:blipFill>
        <a:blip r:embed="rId2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2" name="Imagem 280" descr=""/>
        <xdr:cNvPicPr/>
      </xdr:nvPicPr>
      <xdr:blipFill>
        <a:blip r:embed="rId2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3" name="Imagem 281" descr=""/>
        <xdr:cNvPicPr/>
      </xdr:nvPicPr>
      <xdr:blipFill>
        <a:blip r:embed="rId2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4" name="Imagem 282" descr=""/>
        <xdr:cNvPicPr/>
      </xdr:nvPicPr>
      <xdr:blipFill>
        <a:blip r:embed="rId2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5" name="Imagem 283" descr=""/>
        <xdr:cNvPicPr/>
      </xdr:nvPicPr>
      <xdr:blipFill>
        <a:blip r:embed="rId2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6" name="Imagem 284" descr=""/>
        <xdr:cNvPicPr/>
      </xdr:nvPicPr>
      <xdr:blipFill>
        <a:blip r:embed="rId2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7" name="Imagem 285" descr=""/>
        <xdr:cNvPicPr/>
      </xdr:nvPicPr>
      <xdr:blipFill>
        <a:blip r:embed="rId2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8" name="Imagem 286" descr=""/>
        <xdr:cNvPicPr/>
      </xdr:nvPicPr>
      <xdr:blipFill>
        <a:blip r:embed="rId2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89" name="Imagem 287" descr=""/>
        <xdr:cNvPicPr/>
      </xdr:nvPicPr>
      <xdr:blipFill>
        <a:blip r:embed="rId2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0" name="Imagem 288" descr=""/>
        <xdr:cNvPicPr/>
      </xdr:nvPicPr>
      <xdr:blipFill>
        <a:blip r:embed="rId2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1" name="Imagem 289" descr=""/>
        <xdr:cNvPicPr/>
      </xdr:nvPicPr>
      <xdr:blipFill>
        <a:blip r:embed="rId2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2" name="Imagem 290" descr=""/>
        <xdr:cNvPicPr/>
      </xdr:nvPicPr>
      <xdr:blipFill>
        <a:blip r:embed="rId2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3" name="Imagem 291" descr=""/>
        <xdr:cNvPicPr/>
      </xdr:nvPicPr>
      <xdr:blipFill>
        <a:blip r:embed="rId2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4" name="Imagem 292" descr=""/>
        <xdr:cNvPicPr/>
      </xdr:nvPicPr>
      <xdr:blipFill>
        <a:blip r:embed="rId2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5" name="Imagem 293" descr=""/>
        <xdr:cNvPicPr/>
      </xdr:nvPicPr>
      <xdr:blipFill>
        <a:blip r:embed="rId2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6" name="Imagem 294" descr=""/>
        <xdr:cNvPicPr/>
      </xdr:nvPicPr>
      <xdr:blipFill>
        <a:blip r:embed="rId2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7" name="Imagem 295" descr=""/>
        <xdr:cNvPicPr/>
      </xdr:nvPicPr>
      <xdr:blipFill>
        <a:blip r:embed="rId2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8" name="Imagem 296" descr=""/>
        <xdr:cNvPicPr/>
      </xdr:nvPicPr>
      <xdr:blipFill>
        <a:blip r:embed="rId2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299" name="Imagem 297" descr=""/>
        <xdr:cNvPicPr/>
      </xdr:nvPicPr>
      <xdr:blipFill>
        <a:blip r:embed="rId2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0" name="Imagem 298" descr=""/>
        <xdr:cNvPicPr/>
      </xdr:nvPicPr>
      <xdr:blipFill>
        <a:blip r:embed="rId2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1" name="Imagem 299" descr=""/>
        <xdr:cNvPicPr/>
      </xdr:nvPicPr>
      <xdr:blipFill>
        <a:blip r:embed="rId2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2" name="Imagem 300" descr=""/>
        <xdr:cNvPicPr/>
      </xdr:nvPicPr>
      <xdr:blipFill>
        <a:blip r:embed="rId3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3" name="Imagem 301" descr=""/>
        <xdr:cNvPicPr/>
      </xdr:nvPicPr>
      <xdr:blipFill>
        <a:blip r:embed="rId3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4" name="Imagem 302" descr=""/>
        <xdr:cNvPicPr/>
      </xdr:nvPicPr>
      <xdr:blipFill>
        <a:blip r:embed="rId3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5" name="Imagem 303" descr=""/>
        <xdr:cNvPicPr/>
      </xdr:nvPicPr>
      <xdr:blipFill>
        <a:blip r:embed="rId3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6" name="Imagem 304" descr=""/>
        <xdr:cNvPicPr/>
      </xdr:nvPicPr>
      <xdr:blipFill>
        <a:blip r:embed="rId3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7" name="Imagem 305" descr=""/>
        <xdr:cNvPicPr/>
      </xdr:nvPicPr>
      <xdr:blipFill>
        <a:blip r:embed="rId3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8" name="Imagem 306" descr=""/>
        <xdr:cNvPicPr/>
      </xdr:nvPicPr>
      <xdr:blipFill>
        <a:blip r:embed="rId3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09" name="Imagem 307" descr=""/>
        <xdr:cNvPicPr/>
      </xdr:nvPicPr>
      <xdr:blipFill>
        <a:blip r:embed="rId3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0" name="Imagem 308" descr=""/>
        <xdr:cNvPicPr/>
      </xdr:nvPicPr>
      <xdr:blipFill>
        <a:blip r:embed="rId3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1" name="Imagem 309" descr=""/>
        <xdr:cNvPicPr/>
      </xdr:nvPicPr>
      <xdr:blipFill>
        <a:blip r:embed="rId3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2" name="Imagem 310" descr=""/>
        <xdr:cNvPicPr/>
      </xdr:nvPicPr>
      <xdr:blipFill>
        <a:blip r:embed="rId3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3" name="Imagem 311" descr=""/>
        <xdr:cNvPicPr/>
      </xdr:nvPicPr>
      <xdr:blipFill>
        <a:blip r:embed="rId3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4" name="Imagem 312" descr=""/>
        <xdr:cNvPicPr/>
      </xdr:nvPicPr>
      <xdr:blipFill>
        <a:blip r:embed="rId3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5" name="Imagem 313" descr=""/>
        <xdr:cNvPicPr/>
      </xdr:nvPicPr>
      <xdr:blipFill>
        <a:blip r:embed="rId3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6" name="Imagem 314" descr=""/>
        <xdr:cNvPicPr/>
      </xdr:nvPicPr>
      <xdr:blipFill>
        <a:blip r:embed="rId3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7" name="Imagem 315" descr=""/>
        <xdr:cNvPicPr/>
      </xdr:nvPicPr>
      <xdr:blipFill>
        <a:blip r:embed="rId3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8" name="Imagem 316" descr=""/>
        <xdr:cNvPicPr/>
      </xdr:nvPicPr>
      <xdr:blipFill>
        <a:blip r:embed="rId3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19" name="Imagem 317" descr=""/>
        <xdr:cNvPicPr/>
      </xdr:nvPicPr>
      <xdr:blipFill>
        <a:blip r:embed="rId3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0" name="Imagem 318" descr=""/>
        <xdr:cNvPicPr/>
      </xdr:nvPicPr>
      <xdr:blipFill>
        <a:blip r:embed="rId3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1" name="Imagem 319" descr=""/>
        <xdr:cNvPicPr/>
      </xdr:nvPicPr>
      <xdr:blipFill>
        <a:blip r:embed="rId3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2" name="Imagem 320" descr=""/>
        <xdr:cNvPicPr/>
      </xdr:nvPicPr>
      <xdr:blipFill>
        <a:blip r:embed="rId3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3" name="Imagem 321" descr=""/>
        <xdr:cNvPicPr/>
      </xdr:nvPicPr>
      <xdr:blipFill>
        <a:blip r:embed="rId3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4" name="Imagem 322" descr=""/>
        <xdr:cNvPicPr/>
      </xdr:nvPicPr>
      <xdr:blipFill>
        <a:blip r:embed="rId3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5" name="Imagem 323" descr=""/>
        <xdr:cNvPicPr/>
      </xdr:nvPicPr>
      <xdr:blipFill>
        <a:blip r:embed="rId3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6" name="Imagem 324" descr=""/>
        <xdr:cNvPicPr/>
      </xdr:nvPicPr>
      <xdr:blipFill>
        <a:blip r:embed="rId3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7" name="Imagem 325" descr=""/>
        <xdr:cNvPicPr/>
      </xdr:nvPicPr>
      <xdr:blipFill>
        <a:blip r:embed="rId3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8" name="Imagem 326" descr=""/>
        <xdr:cNvPicPr/>
      </xdr:nvPicPr>
      <xdr:blipFill>
        <a:blip r:embed="rId3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29" name="Imagem 327" descr=""/>
        <xdr:cNvPicPr/>
      </xdr:nvPicPr>
      <xdr:blipFill>
        <a:blip r:embed="rId3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0" name="Imagem 328" descr=""/>
        <xdr:cNvPicPr/>
      </xdr:nvPicPr>
      <xdr:blipFill>
        <a:blip r:embed="rId3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1" name="Imagem 329" descr=""/>
        <xdr:cNvPicPr/>
      </xdr:nvPicPr>
      <xdr:blipFill>
        <a:blip r:embed="rId3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2" name="Imagem 330" descr=""/>
        <xdr:cNvPicPr/>
      </xdr:nvPicPr>
      <xdr:blipFill>
        <a:blip r:embed="rId3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3" name="Imagem 331" descr=""/>
        <xdr:cNvPicPr/>
      </xdr:nvPicPr>
      <xdr:blipFill>
        <a:blip r:embed="rId3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4" name="Imagem 332" descr=""/>
        <xdr:cNvPicPr/>
      </xdr:nvPicPr>
      <xdr:blipFill>
        <a:blip r:embed="rId3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5" name="Imagem 333" descr=""/>
        <xdr:cNvPicPr/>
      </xdr:nvPicPr>
      <xdr:blipFill>
        <a:blip r:embed="rId3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6" name="Imagem 334" descr=""/>
        <xdr:cNvPicPr/>
      </xdr:nvPicPr>
      <xdr:blipFill>
        <a:blip r:embed="rId3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7" name="Imagem 335" descr=""/>
        <xdr:cNvPicPr/>
      </xdr:nvPicPr>
      <xdr:blipFill>
        <a:blip r:embed="rId3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8" name="Imagem 336" descr=""/>
        <xdr:cNvPicPr/>
      </xdr:nvPicPr>
      <xdr:blipFill>
        <a:blip r:embed="rId3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39" name="Imagem 337" descr=""/>
        <xdr:cNvPicPr/>
      </xdr:nvPicPr>
      <xdr:blipFill>
        <a:blip r:embed="rId3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0" name="Imagem 338" descr=""/>
        <xdr:cNvPicPr/>
      </xdr:nvPicPr>
      <xdr:blipFill>
        <a:blip r:embed="rId3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1" name="Imagem 339" descr=""/>
        <xdr:cNvPicPr/>
      </xdr:nvPicPr>
      <xdr:blipFill>
        <a:blip r:embed="rId3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2" name="Imagem 340" descr=""/>
        <xdr:cNvPicPr/>
      </xdr:nvPicPr>
      <xdr:blipFill>
        <a:blip r:embed="rId3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3" name="Imagem 341" descr=""/>
        <xdr:cNvPicPr/>
      </xdr:nvPicPr>
      <xdr:blipFill>
        <a:blip r:embed="rId3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4" name="Imagem 342" descr=""/>
        <xdr:cNvPicPr/>
      </xdr:nvPicPr>
      <xdr:blipFill>
        <a:blip r:embed="rId3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5" name="Imagem 343" descr=""/>
        <xdr:cNvPicPr/>
      </xdr:nvPicPr>
      <xdr:blipFill>
        <a:blip r:embed="rId3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6" name="Imagem 344" descr=""/>
        <xdr:cNvPicPr/>
      </xdr:nvPicPr>
      <xdr:blipFill>
        <a:blip r:embed="rId3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7" name="Imagem 345" descr=""/>
        <xdr:cNvPicPr/>
      </xdr:nvPicPr>
      <xdr:blipFill>
        <a:blip r:embed="rId3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8" name="Imagem 346" descr=""/>
        <xdr:cNvPicPr/>
      </xdr:nvPicPr>
      <xdr:blipFill>
        <a:blip r:embed="rId3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49" name="Imagem 347" descr=""/>
        <xdr:cNvPicPr/>
      </xdr:nvPicPr>
      <xdr:blipFill>
        <a:blip r:embed="rId3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0" name="Imagem 348" descr=""/>
        <xdr:cNvPicPr/>
      </xdr:nvPicPr>
      <xdr:blipFill>
        <a:blip r:embed="rId3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1" name="Imagem 349" descr=""/>
        <xdr:cNvPicPr/>
      </xdr:nvPicPr>
      <xdr:blipFill>
        <a:blip r:embed="rId3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2" name="Imagem 350" descr=""/>
        <xdr:cNvPicPr/>
      </xdr:nvPicPr>
      <xdr:blipFill>
        <a:blip r:embed="rId3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3" name="Imagem 351" descr=""/>
        <xdr:cNvPicPr/>
      </xdr:nvPicPr>
      <xdr:blipFill>
        <a:blip r:embed="rId3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4" name="Imagem 352" descr=""/>
        <xdr:cNvPicPr/>
      </xdr:nvPicPr>
      <xdr:blipFill>
        <a:blip r:embed="rId3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5" name="Imagem 353" descr=""/>
        <xdr:cNvPicPr/>
      </xdr:nvPicPr>
      <xdr:blipFill>
        <a:blip r:embed="rId3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6" name="Imagem 354" descr=""/>
        <xdr:cNvPicPr/>
      </xdr:nvPicPr>
      <xdr:blipFill>
        <a:blip r:embed="rId3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7" name="Imagem 355" descr=""/>
        <xdr:cNvPicPr/>
      </xdr:nvPicPr>
      <xdr:blipFill>
        <a:blip r:embed="rId3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8" name="Imagem 356" descr=""/>
        <xdr:cNvPicPr/>
      </xdr:nvPicPr>
      <xdr:blipFill>
        <a:blip r:embed="rId3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59" name="Imagem 357" descr=""/>
        <xdr:cNvPicPr/>
      </xdr:nvPicPr>
      <xdr:blipFill>
        <a:blip r:embed="rId3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0" name="Imagem 358" descr=""/>
        <xdr:cNvPicPr/>
      </xdr:nvPicPr>
      <xdr:blipFill>
        <a:blip r:embed="rId3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1" name="Imagem 359" descr=""/>
        <xdr:cNvPicPr/>
      </xdr:nvPicPr>
      <xdr:blipFill>
        <a:blip r:embed="rId3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2" name="Imagem 360" descr=""/>
        <xdr:cNvPicPr/>
      </xdr:nvPicPr>
      <xdr:blipFill>
        <a:blip r:embed="rId3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3" name="Imagem 361" descr=""/>
        <xdr:cNvPicPr/>
      </xdr:nvPicPr>
      <xdr:blipFill>
        <a:blip r:embed="rId3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4" name="Imagem 362" descr=""/>
        <xdr:cNvPicPr/>
      </xdr:nvPicPr>
      <xdr:blipFill>
        <a:blip r:embed="rId3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5" name="Imagem 363" descr=""/>
        <xdr:cNvPicPr/>
      </xdr:nvPicPr>
      <xdr:blipFill>
        <a:blip r:embed="rId3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6" name="Imagem 364" descr=""/>
        <xdr:cNvPicPr/>
      </xdr:nvPicPr>
      <xdr:blipFill>
        <a:blip r:embed="rId3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7" name="Imagem 365" descr=""/>
        <xdr:cNvPicPr/>
      </xdr:nvPicPr>
      <xdr:blipFill>
        <a:blip r:embed="rId3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8" name="Imagem 366" descr=""/>
        <xdr:cNvPicPr/>
      </xdr:nvPicPr>
      <xdr:blipFill>
        <a:blip r:embed="rId3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69" name="Imagem 367" descr=""/>
        <xdr:cNvPicPr/>
      </xdr:nvPicPr>
      <xdr:blipFill>
        <a:blip r:embed="rId3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0" name="Imagem 368" descr=""/>
        <xdr:cNvPicPr/>
      </xdr:nvPicPr>
      <xdr:blipFill>
        <a:blip r:embed="rId3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1" name="Imagem 369" descr=""/>
        <xdr:cNvPicPr/>
      </xdr:nvPicPr>
      <xdr:blipFill>
        <a:blip r:embed="rId3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2" name="Imagem 370" descr=""/>
        <xdr:cNvPicPr/>
      </xdr:nvPicPr>
      <xdr:blipFill>
        <a:blip r:embed="rId3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3" name="Imagem 371" descr=""/>
        <xdr:cNvPicPr/>
      </xdr:nvPicPr>
      <xdr:blipFill>
        <a:blip r:embed="rId3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4" name="Imagem 372" descr=""/>
        <xdr:cNvPicPr/>
      </xdr:nvPicPr>
      <xdr:blipFill>
        <a:blip r:embed="rId3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5" name="Imagem 373" descr=""/>
        <xdr:cNvPicPr/>
      </xdr:nvPicPr>
      <xdr:blipFill>
        <a:blip r:embed="rId3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6" name="Imagem 374" descr=""/>
        <xdr:cNvPicPr/>
      </xdr:nvPicPr>
      <xdr:blipFill>
        <a:blip r:embed="rId3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7" name="Imagem 375" descr=""/>
        <xdr:cNvPicPr/>
      </xdr:nvPicPr>
      <xdr:blipFill>
        <a:blip r:embed="rId3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8" name="Imagem 376" descr=""/>
        <xdr:cNvPicPr/>
      </xdr:nvPicPr>
      <xdr:blipFill>
        <a:blip r:embed="rId3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79" name="Imagem 377" descr=""/>
        <xdr:cNvPicPr/>
      </xdr:nvPicPr>
      <xdr:blipFill>
        <a:blip r:embed="rId3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0" name="Imagem 378" descr=""/>
        <xdr:cNvPicPr/>
      </xdr:nvPicPr>
      <xdr:blipFill>
        <a:blip r:embed="rId3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1" name="Imagem 379" descr=""/>
        <xdr:cNvPicPr/>
      </xdr:nvPicPr>
      <xdr:blipFill>
        <a:blip r:embed="rId3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2" name="Imagem 380" descr=""/>
        <xdr:cNvPicPr/>
      </xdr:nvPicPr>
      <xdr:blipFill>
        <a:blip r:embed="rId3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3" name="Imagem 381" descr=""/>
        <xdr:cNvPicPr/>
      </xdr:nvPicPr>
      <xdr:blipFill>
        <a:blip r:embed="rId3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4" name="Imagem 382" descr=""/>
        <xdr:cNvPicPr/>
      </xdr:nvPicPr>
      <xdr:blipFill>
        <a:blip r:embed="rId3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5" name="Imagem 383" descr=""/>
        <xdr:cNvPicPr/>
      </xdr:nvPicPr>
      <xdr:blipFill>
        <a:blip r:embed="rId3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6" name="Imagem 384" descr=""/>
        <xdr:cNvPicPr/>
      </xdr:nvPicPr>
      <xdr:blipFill>
        <a:blip r:embed="rId3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7" name="Imagem 385" descr=""/>
        <xdr:cNvPicPr/>
      </xdr:nvPicPr>
      <xdr:blipFill>
        <a:blip r:embed="rId3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8" name="Imagem 386" descr=""/>
        <xdr:cNvPicPr/>
      </xdr:nvPicPr>
      <xdr:blipFill>
        <a:blip r:embed="rId3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89" name="Imagem 387" descr=""/>
        <xdr:cNvPicPr/>
      </xdr:nvPicPr>
      <xdr:blipFill>
        <a:blip r:embed="rId3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0" name="Imagem 388" descr=""/>
        <xdr:cNvPicPr/>
      </xdr:nvPicPr>
      <xdr:blipFill>
        <a:blip r:embed="rId3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1" name="Imagem 389" descr=""/>
        <xdr:cNvPicPr/>
      </xdr:nvPicPr>
      <xdr:blipFill>
        <a:blip r:embed="rId3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2" name="Imagem 390" descr=""/>
        <xdr:cNvPicPr/>
      </xdr:nvPicPr>
      <xdr:blipFill>
        <a:blip r:embed="rId3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3" name="Imagem 391" descr=""/>
        <xdr:cNvPicPr/>
      </xdr:nvPicPr>
      <xdr:blipFill>
        <a:blip r:embed="rId3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4" name="Imagem 392" descr=""/>
        <xdr:cNvPicPr/>
      </xdr:nvPicPr>
      <xdr:blipFill>
        <a:blip r:embed="rId3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5" name="Imagem 393" descr=""/>
        <xdr:cNvPicPr/>
      </xdr:nvPicPr>
      <xdr:blipFill>
        <a:blip r:embed="rId3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6" name="Imagem 394" descr=""/>
        <xdr:cNvPicPr/>
      </xdr:nvPicPr>
      <xdr:blipFill>
        <a:blip r:embed="rId3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7" name="Imagem 395" descr=""/>
        <xdr:cNvPicPr/>
      </xdr:nvPicPr>
      <xdr:blipFill>
        <a:blip r:embed="rId3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8" name="Imagem 396" descr=""/>
        <xdr:cNvPicPr/>
      </xdr:nvPicPr>
      <xdr:blipFill>
        <a:blip r:embed="rId3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399" name="Imagem 397" descr=""/>
        <xdr:cNvPicPr/>
      </xdr:nvPicPr>
      <xdr:blipFill>
        <a:blip r:embed="rId3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0" name="Imagem 398" descr=""/>
        <xdr:cNvPicPr/>
      </xdr:nvPicPr>
      <xdr:blipFill>
        <a:blip r:embed="rId3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1" name="Imagem 399" descr=""/>
        <xdr:cNvPicPr/>
      </xdr:nvPicPr>
      <xdr:blipFill>
        <a:blip r:embed="rId3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2" name="Imagem 400" descr=""/>
        <xdr:cNvPicPr/>
      </xdr:nvPicPr>
      <xdr:blipFill>
        <a:blip r:embed="rId4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3" name="Imagem 401" descr=""/>
        <xdr:cNvPicPr/>
      </xdr:nvPicPr>
      <xdr:blipFill>
        <a:blip r:embed="rId4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4" name="Imagem 402" descr=""/>
        <xdr:cNvPicPr/>
      </xdr:nvPicPr>
      <xdr:blipFill>
        <a:blip r:embed="rId4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5" name="Imagem 403" descr=""/>
        <xdr:cNvPicPr/>
      </xdr:nvPicPr>
      <xdr:blipFill>
        <a:blip r:embed="rId4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6" name="Imagem 404" descr=""/>
        <xdr:cNvPicPr/>
      </xdr:nvPicPr>
      <xdr:blipFill>
        <a:blip r:embed="rId4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7" name="Imagem 405" descr=""/>
        <xdr:cNvPicPr/>
      </xdr:nvPicPr>
      <xdr:blipFill>
        <a:blip r:embed="rId4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8" name="Imagem 406" descr=""/>
        <xdr:cNvPicPr/>
      </xdr:nvPicPr>
      <xdr:blipFill>
        <a:blip r:embed="rId4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09" name="Imagem 407" descr=""/>
        <xdr:cNvPicPr/>
      </xdr:nvPicPr>
      <xdr:blipFill>
        <a:blip r:embed="rId4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0" name="Imagem 408" descr=""/>
        <xdr:cNvPicPr/>
      </xdr:nvPicPr>
      <xdr:blipFill>
        <a:blip r:embed="rId4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1" name="Imagem 409" descr=""/>
        <xdr:cNvPicPr/>
      </xdr:nvPicPr>
      <xdr:blipFill>
        <a:blip r:embed="rId4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2" name="Imagem 410" descr=""/>
        <xdr:cNvPicPr/>
      </xdr:nvPicPr>
      <xdr:blipFill>
        <a:blip r:embed="rId4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3" name="Imagem 411" descr=""/>
        <xdr:cNvPicPr/>
      </xdr:nvPicPr>
      <xdr:blipFill>
        <a:blip r:embed="rId4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4" name="Imagem 412" descr=""/>
        <xdr:cNvPicPr/>
      </xdr:nvPicPr>
      <xdr:blipFill>
        <a:blip r:embed="rId4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5" name="Imagem 413" descr=""/>
        <xdr:cNvPicPr/>
      </xdr:nvPicPr>
      <xdr:blipFill>
        <a:blip r:embed="rId4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6" name="Imagem 414" descr=""/>
        <xdr:cNvPicPr/>
      </xdr:nvPicPr>
      <xdr:blipFill>
        <a:blip r:embed="rId4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7" name="Imagem 415" descr=""/>
        <xdr:cNvPicPr/>
      </xdr:nvPicPr>
      <xdr:blipFill>
        <a:blip r:embed="rId4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8" name="Imagem 416" descr=""/>
        <xdr:cNvPicPr/>
      </xdr:nvPicPr>
      <xdr:blipFill>
        <a:blip r:embed="rId4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19" name="Imagem 417" descr=""/>
        <xdr:cNvPicPr/>
      </xdr:nvPicPr>
      <xdr:blipFill>
        <a:blip r:embed="rId4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0" name="Imagem 418" descr=""/>
        <xdr:cNvPicPr/>
      </xdr:nvPicPr>
      <xdr:blipFill>
        <a:blip r:embed="rId4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1" name="Imagem 419" descr=""/>
        <xdr:cNvPicPr/>
      </xdr:nvPicPr>
      <xdr:blipFill>
        <a:blip r:embed="rId4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2" name="Imagem 420" descr=""/>
        <xdr:cNvPicPr/>
      </xdr:nvPicPr>
      <xdr:blipFill>
        <a:blip r:embed="rId4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3" name="Imagem 421" descr=""/>
        <xdr:cNvPicPr/>
      </xdr:nvPicPr>
      <xdr:blipFill>
        <a:blip r:embed="rId4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4" name="Imagem 422" descr=""/>
        <xdr:cNvPicPr/>
      </xdr:nvPicPr>
      <xdr:blipFill>
        <a:blip r:embed="rId4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5" name="Imagem 423" descr=""/>
        <xdr:cNvPicPr/>
      </xdr:nvPicPr>
      <xdr:blipFill>
        <a:blip r:embed="rId4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6" name="Imagem 424" descr=""/>
        <xdr:cNvPicPr/>
      </xdr:nvPicPr>
      <xdr:blipFill>
        <a:blip r:embed="rId4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7" name="Imagem 425" descr=""/>
        <xdr:cNvPicPr/>
      </xdr:nvPicPr>
      <xdr:blipFill>
        <a:blip r:embed="rId4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8" name="Imagem 426" descr=""/>
        <xdr:cNvPicPr/>
      </xdr:nvPicPr>
      <xdr:blipFill>
        <a:blip r:embed="rId4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29" name="Imagem 427" descr=""/>
        <xdr:cNvPicPr/>
      </xdr:nvPicPr>
      <xdr:blipFill>
        <a:blip r:embed="rId4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0" name="Imagem 428" descr=""/>
        <xdr:cNvPicPr/>
      </xdr:nvPicPr>
      <xdr:blipFill>
        <a:blip r:embed="rId4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1" name="Imagem 429" descr=""/>
        <xdr:cNvPicPr/>
      </xdr:nvPicPr>
      <xdr:blipFill>
        <a:blip r:embed="rId4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2" name="Imagem 430" descr=""/>
        <xdr:cNvPicPr/>
      </xdr:nvPicPr>
      <xdr:blipFill>
        <a:blip r:embed="rId4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3" name="Imagem 431" descr=""/>
        <xdr:cNvPicPr/>
      </xdr:nvPicPr>
      <xdr:blipFill>
        <a:blip r:embed="rId4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4" name="Imagem 432" descr=""/>
        <xdr:cNvPicPr/>
      </xdr:nvPicPr>
      <xdr:blipFill>
        <a:blip r:embed="rId4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5" name="Imagem 433" descr=""/>
        <xdr:cNvPicPr/>
      </xdr:nvPicPr>
      <xdr:blipFill>
        <a:blip r:embed="rId4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6" name="Imagem 434" descr=""/>
        <xdr:cNvPicPr/>
      </xdr:nvPicPr>
      <xdr:blipFill>
        <a:blip r:embed="rId4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7" name="Imagem 435" descr=""/>
        <xdr:cNvPicPr/>
      </xdr:nvPicPr>
      <xdr:blipFill>
        <a:blip r:embed="rId4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8" name="Imagem 436" descr=""/>
        <xdr:cNvPicPr/>
      </xdr:nvPicPr>
      <xdr:blipFill>
        <a:blip r:embed="rId4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39" name="Imagem 437" descr=""/>
        <xdr:cNvPicPr/>
      </xdr:nvPicPr>
      <xdr:blipFill>
        <a:blip r:embed="rId4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0" name="Imagem 438" descr=""/>
        <xdr:cNvPicPr/>
      </xdr:nvPicPr>
      <xdr:blipFill>
        <a:blip r:embed="rId4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1" name="Imagem 439" descr=""/>
        <xdr:cNvPicPr/>
      </xdr:nvPicPr>
      <xdr:blipFill>
        <a:blip r:embed="rId4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2" name="Imagem 440" descr=""/>
        <xdr:cNvPicPr/>
      </xdr:nvPicPr>
      <xdr:blipFill>
        <a:blip r:embed="rId4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3" name="Imagem 441" descr=""/>
        <xdr:cNvPicPr/>
      </xdr:nvPicPr>
      <xdr:blipFill>
        <a:blip r:embed="rId4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4" name="Imagem 442" descr=""/>
        <xdr:cNvPicPr/>
      </xdr:nvPicPr>
      <xdr:blipFill>
        <a:blip r:embed="rId4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5" name="Imagem 443" descr=""/>
        <xdr:cNvPicPr/>
      </xdr:nvPicPr>
      <xdr:blipFill>
        <a:blip r:embed="rId4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6" name="Imagem 444" descr=""/>
        <xdr:cNvPicPr/>
      </xdr:nvPicPr>
      <xdr:blipFill>
        <a:blip r:embed="rId4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7" name="Imagem 445" descr=""/>
        <xdr:cNvPicPr/>
      </xdr:nvPicPr>
      <xdr:blipFill>
        <a:blip r:embed="rId4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8" name="Imagem 446" descr=""/>
        <xdr:cNvPicPr/>
      </xdr:nvPicPr>
      <xdr:blipFill>
        <a:blip r:embed="rId4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49" name="Imagem 447" descr=""/>
        <xdr:cNvPicPr/>
      </xdr:nvPicPr>
      <xdr:blipFill>
        <a:blip r:embed="rId4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0" name="Imagem 448" descr=""/>
        <xdr:cNvPicPr/>
      </xdr:nvPicPr>
      <xdr:blipFill>
        <a:blip r:embed="rId4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1" name="Imagem 449" descr=""/>
        <xdr:cNvPicPr/>
      </xdr:nvPicPr>
      <xdr:blipFill>
        <a:blip r:embed="rId4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2" name="Imagem 450" descr=""/>
        <xdr:cNvPicPr/>
      </xdr:nvPicPr>
      <xdr:blipFill>
        <a:blip r:embed="rId4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3" name="Imagem 451" descr=""/>
        <xdr:cNvPicPr/>
      </xdr:nvPicPr>
      <xdr:blipFill>
        <a:blip r:embed="rId4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4" name="Imagem 452" descr=""/>
        <xdr:cNvPicPr/>
      </xdr:nvPicPr>
      <xdr:blipFill>
        <a:blip r:embed="rId4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5" name="Imagem 453" descr=""/>
        <xdr:cNvPicPr/>
      </xdr:nvPicPr>
      <xdr:blipFill>
        <a:blip r:embed="rId4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6" name="Imagem 454" descr=""/>
        <xdr:cNvPicPr/>
      </xdr:nvPicPr>
      <xdr:blipFill>
        <a:blip r:embed="rId4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7" name="Imagem 455" descr=""/>
        <xdr:cNvPicPr/>
      </xdr:nvPicPr>
      <xdr:blipFill>
        <a:blip r:embed="rId4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8" name="Imagem 456" descr=""/>
        <xdr:cNvPicPr/>
      </xdr:nvPicPr>
      <xdr:blipFill>
        <a:blip r:embed="rId4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59" name="Imagem 457" descr=""/>
        <xdr:cNvPicPr/>
      </xdr:nvPicPr>
      <xdr:blipFill>
        <a:blip r:embed="rId4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0" name="Imagem 458" descr=""/>
        <xdr:cNvPicPr/>
      </xdr:nvPicPr>
      <xdr:blipFill>
        <a:blip r:embed="rId4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1" name="Imagem 459" descr=""/>
        <xdr:cNvPicPr/>
      </xdr:nvPicPr>
      <xdr:blipFill>
        <a:blip r:embed="rId4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2" name="Imagem 460" descr=""/>
        <xdr:cNvPicPr/>
      </xdr:nvPicPr>
      <xdr:blipFill>
        <a:blip r:embed="rId4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3" name="Imagem 461" descr=""/>
        <xdr:cNvPicPr/>
      </xdr:nvPicPr>
      <xdr:blipFill>
        <a:blip r:embed="rId4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4" name="Imagem 462" descr=""/>
        <xdr:cNvPicPr/>
      </xdr:nvPicPr>
      <xdr:blipFill>
        <a:blip r:embed="rId4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5" name="Imagem 463" descr=""/>
        <xdr:cNvPicPr/>
      </xdr:nvPicPr>
      <xdr:blipFill>
        <a:blip r:embed="rId4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6" name="Imagem 464" descr=""/>
        <xdr:cNvPicPr/>
      </xdr:nvPicPr>
      <xdr:blipFill>
        <a:blip r:embed="rId4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7" name="Imagem 465" descr=""/>
        <xdr:cNvPicPr/>
      </xdr:nvPicPr>
      <xdr:blipFill>
        <a:blip r:embed="rId4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8" name="Imagem 466" descr=""/>
        <xdr:cNvPicPr/>
      </xdr:nvPicPr>
      <xdr:blipFill>
        <a:blip r:embed="rId4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69" name="Imagem 467" descr=""/>
        <xdr:cNvPicPr/>
      </xdr:nvPicPr>
      <xdr:blipFill>
        <a:blip r:embed="rId4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0" name="Imagem 468" descr=""/>
        <xdr:cNvPicPr/>
      </xdr:nvPicPr>
      <xdr:blipFill>
        <a:blip r:embed="rId4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1" name="Imagem 469" descr=""/>
        <xdr:cNvPicPr/>
      </xdr:nvPicPr>
      <xdr:blipFill>
        <a:blip r:embed="rId4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2" name="Imagem 470" descr=""/>
        <xdr:cNvPicPr/>
      </xdr:nvPicPr>
      <xdr:blipFill>
        <a:blip r:embed="rId4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3" name="Imagem 471" descr=""/>
        <xdr:cNvPicPr/>
      </xdr:nvPicPr>
      <xdr:blipFill>
        <a:blip r:embed="rId4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4" name="Imagem 472" descr=""/>
        <xdr:cNvPicPr/>
      </xdr:nvPicPr>
      <xdr:blipFill>
        <a:blip r:embed="rId4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5" name="Imagem 473" descr=""/>
        <xdr:cNvPicPr/>
      </xdr:nvPicPr>
      <xdr:blipFill>
        <a:blip r:embed="rId4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6" name="Imagem 474" descr=""/>
        <xdr:cNvPicPr/>
      </xdr:nvPicPr>
      <xdr:blipFill>
        <a:blip r:embed="rId4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7" name="Imagem 475" descr=""/>
        <xdr:cNvPicPr/>
      </xdr:nvPicPr>
      <xdr:blipFill>
        <a:blip r:embed="rId4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8" name="Imagem 476" descr=""/>
        <xdr:cNvPicPr/>
      </xdr:nvPicPr>
      <xdr:blipFill>
        <a:blip r:embed="rId4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79" name="Imagem 477" descr=""/>
        <xdr:cNvPicPr/>
      </xdr:nvPicPr>
      <xdr:blipFill>
        <a:blip r:embed="rId4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0" name="Imagem 478" descr=""/>
        <xdr:cNvPicPr/>
      </xdr:nvPicPr>
      <xdr:blipFill>
        <a:blip r:embed="rId4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1" name="Imagem 479" descr=""/>
        <xdr:cNvPicPr/>
      </xdr:nvPicPr>
      <xdr:blipFill>
        <a:blip r:embed="rId4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2" name="Imagem 480" descr=""/>
        <xdr:cNvPicPr/>
      </xdr:nvPicPr>
      <xdr:blipFill>
        <a:blip r:embed="rId4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3" name="Imagem 481" descr=""/>
        <xdr:cNvPicPr/>
      </xdr:nvPicPr>
      <xdr:blipFill>
        <a:blip r:embed="rId4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4" name="Imagem 482" descr=""/>
        <xdr:cNvPicPr/>
      </xdr:nvPicPr>
      <xdr:blipFill>
        <a:blip r:embed="rId4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5" name="Imagem 483" descr=""/>
        <xdr:cNvPicPr/>
      </xdr:nvPicPr>
      <xdr:blipFill>
        <a:blip r:embed="rId4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6" name="Imagem 484" descr=""/>
        <xdr:cNvPicPr/>
      </xdr:nvPicPr>
      <xdr:blipFill>
        <a:blip r:embed="rId4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7" name="Imagem 485" descr=""/>
        <xdr:cNvPicPr/>
      </xdr:nvPicPr>
      <xdr:blipFill>
        <a:blip r:embed="rId4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8" name="Imagem 486" descr=""/>
        <xdr:cNvPicPr/>
      </xdr:nvPicPr>
      <xdr:blipFill>
        <a:blip r:embed="rId4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89" name="Imagem 487" descr=""/>
        <xdr:cNvPicPr/>
      </xdr:nvPicPr>
      <xdr:blipFill>
        <a:blip r:embed="rId4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0" name="Imagem 488" descr=""/>
        <xdr:cNvPicPr/>
      </xdr:nvPicPr>
      <xdr:blipFill>
        <a:blip r:embed="rId4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1" name="Imagem 489" descr=""/>
        <xdr:cNvPicPr/>
      </xdr:nvPicPr>
      <xdr:blipFill>
        <a:blip r:embed="rId4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2" name="Imagem 490" descr=""/>
        <xdr:cNvPicPr/>
      </xdr:nvPicPr>
      <xdr:blipFill>
        <a:blip r:embed="rId4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3" name="Imagem 491" descr=""/>
        <xdr:cNvPicPr/>
      </xdr:nvPicPr>
      <xdr:blipFill>
        <a:blip r:embed="rId4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4" name="Imagem 492" descr=""/>
        <xdr:cNvPicPr/>
      </xdr:nvPicPr>
      <xdr:blipFill>
        <a:blip r:embed="rId4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5" name="Imagem 493" descr=""/>
        <xdr:cNvPicPr/>
      </xdr:nvPicPr>
      <xdr:blipFill>
        <a:blip r:embed="rId4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6" name="Imagem 494" descr=""/>
        <xdr:cNvPicPr/>
      </xdr:nvPicPr>
      <xdr:blipFill>
        <a:blip r:embed="rId4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7" name="Imagem 495" descr=""/>
        <xdr:cNvPicPr/>
      </xdr:nvPicPr>
      <xdr:blipFill>
        <a:blip r:embed="rId4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8" name="Imagem 496" descr=""/>
        <xdr:cNvPicPr/>
      </xdr:nvPicPr>
      <xdr:blipFill>
        <a:blip r:embed="rId4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499" name="Imagem 497" descr=""/>
        <xdr:cNvPicPr/>
      </xdr:nvPicPr>
      <xdr:blipFill>
        <a:blip r:embed="rId4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0" name="Imagem 498" descr=""/>
        <xdr:cNvPicPr/>
      </xdr:nvPicPr>
      <xdr:blipFill>
        <a:blip r:embed="rId4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1" name="Imagem 499" descr=""/>
        <xdr:cNvPicPr/>
      </xdr:nvPicPr>
      <xdr:blipFill>
        <a:blip r:embed="rId4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2" name="Imagem 500" descr=""/>
        <xdr:cNvPicPr/>
      </xdr:nvPicPr>
      <xdr:blipFill>
        <a:blip r:embed="rId5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3" name="Imagem 501" descr=""/>
        <xdr:cNvPicPr/>
      </xdr:nvPicPr>
      <xdr:blipFill>
        <a:blip r:embed="rId5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4" name="Imagem 502" descr=""/>
        <xdr:cNvPicPr/>
      </xdr:nvPicPr>
      <xdr:blipFill>
        <a:blip r:embed="rId5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5" name="Imagem 503" descr=""/>
        <xdr:cNvPicPr/>
      </xdr:nvPicPr>
      <xdr:blipFill>
        <a:blip r:embed="rId5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6" name="Imagem 504" descr=""/>
        <xdr:cNvPicPr/>
      </xdr:nvPicPr>
      <xdr:blipFill>
        <a:blip r:embed="rId5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7" name="Imagem 505" descr=""/>
        <xdr:cNvPicPr/>
      </xdr:nvPicPr>
      <xdr:blipFill>
        <a:blip r:embed="rId5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8" name="Imagem 506" descr=""/>
        <xdr:cNvPicPr/>
      </xdr:nvPicPr>
      <xdr:blipFill>
        <a:blip r:embed="rId5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09" name="Imagem 507" descr=""/>
        <xdr:cNvPicPr/>
      </xdr:nvPicPr>
      <xdr:blipFill>
        <a:blip r:embed="rId5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0" name="Imagem 508" descr=""/>
        <xdr:cNvPicPr/>
      </xdr:nvPicPr>
      <xdr:blipFill>
        <a:blip r:embed="rId5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1" name="Imagem 509" descr=""/>
        <xdr:cNvPicPr/>
      </xdr:nvPicPr>
      <xdr:blipFill>
        <a:blip r:embed="rId5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2" name="Imagem 510" descr=""/>
        <xdr:cNvPicPr/>
      </xdr:nvPicPr>
      <xdr:blipFill>
        <a:blip r:embed="rId5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3" name="Imagem 511" descr=""/>
        <xdr:cNvPicPr/>
      </xdr:nvPicPr>
      <xdr:blipFill>
        <a:blip r:embed="rId5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4" name="Imagem 512" descr=""/>
        <xdr:cNvPicPr/>
      </xdr:nvPicPr>
      <xdr:blipFill>
        <a:blip r:embed="rId5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5" name="Imagem 513" descr=""/>
        <xdr:cNvPicPr/>
      </xdr:nvPicPr>
      <xdr:blipFill>
        <a:blip r:embed="rId5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6" name="Imagem 514" descr=""/>
        <xdr:cNvPicPr/>
      </xdr:nvPicPr>
      <xdr:blipFill>
        <a:blip r:embed="rId5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7" name="Imagem 515" descr=""/>
        <xdr:cNvPicPr/>
      </xdr:nvPicPr>
      <xdr:blipFill>
        <a:blip r:embed="rId5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8" name="Imagem 516" descr=""/>
        <xdr:cNvPicPr/>
      </xdr:nvPicPr>
      <xdr:blipFill>
        <a:blip r:embed="rId5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19" name="Imagem 517" descr=""/>
        <xdr:cNvPicPr/>
      </xdr:nvPicPr>
      <xdr:blipFill>
        <a:blip r:embed="rId5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0" name="Imagem 518" descr=""/>
        <xdr:cNvPicPr/>
      </xdr:nvPicPr>
      <xdr:blipFill>
        <a:blip r:embed="rId5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1" name="Imagem 519" descr=""/>
        <xdr:cNvPicPr/>
      </xdr:nvPicPr>
      <xdr:blipFill>
        <a:blip r:embed="rId5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2" name="Imagem 520" descr=""/>
        <xdr:cNvPicPr/>
      </xdr:nvPicPr>
      <xdr:blipFill>
        <a:blip r:embed="rId5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3" name="Imagem 521" descr=""/>
        <xdr:cNvPicPr/>
      </xdr:nvPicPr>
      <xdr:blipFill>
        <a:blip r:embed="rId5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4" name="Imagem 522" descr=""/>
        <xdr:cNvPicPr/>
      </xdr:nvPicPr>
      <xdr:blipFill>
        <a:blip r:embed="rId5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5" name="Imagem 523" descr=""/>
        <xdr:cNvPicPr/>
      </xdr:nvPicPr>
      <xdr:blipFill>
        <a:blip r:embed="rId5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6" name="Imagem 524" descr=""/>
        <xdr:cNvPicPr/>
      </xdr:nvPicPr>
      <xdr:blipFill>
        <a:blip r:embed="rId5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7" name="Imagem 525" descr=""/>
        <xdr:cNvPicPr/>
      </xdr:nvPicPr>
      <xdr:blipFill>
        <a:blip r:embed="rId5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8" name="Imagem 526" descr=""/>
        <xdr:cNvPicPr/>
      </xdr:nvPicPr>
      <xdr:blipFill>
        <a:blip r:embed="rId5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29" name="Imagem 527" descr=""/>
        <xdr:cNvPicPr/>
      </xdr:nvPicPr>
      <xdr:blipFill>
        <a:blip r:embed="rId5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0" name="Imagem 528" descr=""/>
        <xdr:cNvPicPr/>
      </xdr:nvPicPr>
      <xdr:blipFill>
        <a:blip r:embed="rId5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1" name="Imagem 529" descr=""/>
        <xdr:cNvPicPr/>
      </xdr:nvPicPr>
      <xdr:blipFill>
        <a:blip r:embed="rId5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2" name="Imagem 530" descr=""/>
        <xdr:cNvPicPr/>
      </xdr:nvPicPr>
      <xdr:blipFill>
        <a:blip r:embed="rId5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3" name="Imagem 531" descr=""/>
        <xdr:cNvPicPr/>
      </xdr:nvPicPr>
      <xdr:blipFill>
        <a:blip r:embed="rId5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4" name="Imagem 532" descr=""/>
        <xdr:cNvPicPr/>
      </xdr:nvPicPr>
      <xdr:blipFill>
        <a:blip r:embed="rId5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5" name="Imagem 533" descr=""/>
        <xdr:cNvPicPr/>
      </xdr:nvPicPr>
      <xdr:blipFill>
        <a:blip r:embed="rId5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6" name="Imagem 534" descr=""/>
        <xdr:cNvPicPr/>
      </xdr:nvPicPr>
      <xdr:blipFill>
        <a:blip r:embed="rId5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7" name="Imagem 535" descr=""/>
        <xdr:cNvPicPr/>
      </xdr:nvPicPr>
      <xdr:blipFill>
        <a:blip r:embed="rId5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8" name="Imagem 536" descr=""/>
        <xdr:cNvPicPr/>
      </xdr:nvPicPr>
      <xdr:blipFill>
        <a:blip r:embed="rId5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39" name="Imagem 537" descr=""/>
        <xdr:cNvPicPr/>
      </xdr:nvPicPr>
      <xdr:blipFill>
        <a:blip r:embed="rId5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0" name="Imagem 538" descr=""/>
        <xdr:cNvPicPr/>
      </xdr:nvPicPr>
      <xdr:blipFill>
        <a:blip r:embed="rId5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1" name="Imagem 539" descr=""/>
        <xdr:cNvPicPr/>
      </xdr:nvPicPr>
      <xdr:blipFill>
        <a:blip r:embed="rId5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2" name="Imagem 540" descr=""/>
        <xdr:cNvPicPr/>
      </xdr:nvPicPr>
      <xdr:blipFill>
        <a:blip r:embed="rId5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3" name="Imagem 541" descr=""/>
        <xdr:cNvPicPr/>
      </xdr:nvPicPr>
      <xdr:blipFill>
        <a:blip r:embed="rId5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4" name="Imagem 542" descr=""/>
        <xdr:cNvPicPr/>
      </xdr:nvPicPr>
      <xdr:blipFill>
        <a:blip r:embed="rId5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5" name="Imagem 543" descr=""/>
        <xdr:cNvPicPr/>
      </xdr:nvPicPr>
      <xdr:blipFill>
        <a:blip r:embed="rId5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6" name="Imagem 544" descr=""/>
        <xdr:cNvPicPr/>
      </xdr:nvPicPr>
      <xdr:blipFill>
        <a:blip r:embed="rId5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7" name="Imagem 545" descr=""/>
        <xdr:cNvPicPr/>
      </xdr:nvPicPr>
      <xdr:blipFill>
        <a:blip r:embed="rId5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8" name="Imagem 546" descr=""/>
        <xdr:cNvPicPr/>
      </xdr:nvPicPr>
      <xdr:blipFill>
        <a:blip r:embed="rId5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49" name="Imagem 547" descr=""/>
        <xdr:cNvPicPr/>
      </xdr:nvPicPr>
      <xdr:blipFill>
        <a:blip r:embed="rId5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0" name="Imagem 548" descr=""/>
        <xdr:cNvPicPr/>
      </xdr:nvPicPr>
      <xdr:blipFill>
        <a:blip r:embed="rId5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1" name="Imagem 549" descr=""/>
        <xdr:cNvPicPr/>
      </xdr:nvPicPr>
      <xdr:blipFill>
        <a:blip r:embed="rId5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2" name="Imagem 550" descr=""/>
        <xdr:cNvPicPr/>
      </xdr:nvPicPr>
      <xdr:blipFill>
        <a:blip r:embed="rId5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3" name="Imagem 551" descr=""/>
        <xdr:cNvPicPr/>
      </xdr:nvPicPr>
      <xdr:blipFill>
        <a:blip r:embed="rId5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4" name="Imagem 552" descr=""/>
        <xdr:cNvPicPr/>
      </xdr:nvPicPr>
      <xdr:blipFill>
        <a:blip r:embed="rId5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5" name="Imagem 553" descr=""/>
        <xdr:cNvPicPr/>
      </xdr:nvPicPr>
      <xdr:blipFill>
        <a:blip r:embed="rId5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6" name="Imagem 554" descr=""/>
        <xdr:cNvPicPr/>
      </xdr:nvPicPr>
      <xdr:blipFill>
        <a:blip r:embed="rId5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7" name="Imagem 555" descr=""/>
        <xdr:cNvPicPr/>
      </xdr:nvPicPr>
      <xdr:blipFill>
        <a:blip r:embed="rId5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8" name="Imagem 556" descr=""/>
        <xdr:cNvPicPr/>
      </xdr:nvPicPr>
      <xdr:blipFill>
        <a:blip r:embed="rId5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59" name="Imagem 557" descr=""/>
        <xdr:cNvPicPr/>
      </xdr:nvPicPr>
      <xdr:blipFill>
        <a:blip r:embed="rId5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0" name="Imagem 558" descr=""/>
        <xdr:cNvPicPr/>
      </xdr:nvPicPr>
      <xdr:blipFill>
        <a:blip r:embed="rId5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1" name="Imagem 559" descr=""/>
        <xdr:cNvPicPr/>
      </xdr:nvPicPr>
      <xdr:blipFill>
        <a:blip r:embed="rId5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2" name="Imagem 560" descr=""/>
        <xdr:cNvPicPr/>
      </xdr:nvPicPr>
      <xdr:blipFill>
        <a:blip r:embed="rId5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3" name="Imagem 561" descr=""/>
        <xdr:cNvPicPr/>
      </xdr:nvPicPr>
      <xdr:blipFill>
        <a:blip r:embed="rId5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4" name="Imagem 562" descr=""/>
        <xdr:cNvPicPr/>
      </xdr:nvPicPr>
      <xdr:blipFill>
        <a:blip r:embed="rId5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5" name="Imagem 563" descr=""/>
        <xdr:cNvPicPr/>
      </xdr:nvPicPr>
      <xdr:blipFill>
        <a:blip r:embed="rId5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6" name="Imagem 564" descr=""/>
        <xdr:cNvPicPr/>
      </xdr:nvPicPr>
      <xdr:blipFill>
        <a:blip r:embed="rId5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7" name="Imagem 565" descr=""/>
        <xdr:cNvPicPr/>
      </xdr:nvPicPr>
      <xdr:blipFill>
        <a:blip r:embed="rId5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8" name="Imagem 566" descr=""/>
        <xdr:cNvPicPr/>
      </xdr:nvPicPr>
      <xdr:blipFill>
        <a:blip r:embed="rId5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69" name="Imagem 567" descr=""/>
        <xdr:cNvPicPr/>
      </xdr:nvPicPr>
      <xdr:blipFill>
        <a:blip r:embed="rId5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0" name="Imagem 568" descr=""/>
        <xdr:cNvPicPr/>
      </xdr:nvPicPr>
      <xdr:blipFill>
        <a:blip r:embed="rId5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1" name="Imagem 569" descr=""/>
        <xdr:cNvPicPr/>
      </xdr:nvPicPr>
      <xdr:blipFill>
        <a:blip r:embed="rId5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2" name="Imagem 570" descr=""/>
        <xdr:cNvPicPr/>
      </xdr:nvPicPr>
      <xdr:blipFill>
        <a:blip r:embed="rId5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3" name="Imagem 571" descr=""/>
        <xdr:cNvPicPr/>
      </xdr:nvPicPr>
      <xdr:blipFill>
        <a:blip r:embed="rId5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4" name="Imagem 572" descr=""/>
        <xdr:cNvPicPr/>
      </xdr:nvPicPr>
      <xdr:blipFill>
        <a:blip r:embed="rId5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5" name="Imagem 573" descr=""/>
        <xdr:cNvPicPr/>
      </xdr:nvPicPr>
      <xdr:blipFill>
        <a:blip r:embed="rId5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6" name="Imagem 574" descr=""/>
        <xdr:cNvPicPr/>
      </xdr:nvPicPr>
      <xdr:blipFill>
        <a:blip r:embed="rId5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7" name="Imagem 575" descr=""/>
        <xdr:cNvPicPr/>
      </xdr:nvPicPr>
      <xdr:blipFill>
        <a:blip r:embed="rId5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8" name="Imagem 576" descr=""/>
        <xdr:cNvPicPr/>
      </xdr:nvPicPr>
      <xdr:blipFill>
        <a:blip r:embed="rId5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79" name="Imagem 577" descr=""/>
        <xdr:cNvPicPr/>
      </xdr:nvPicPr>
      <xdr:blipFill>
        <a:blip r:embed="rId5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0" name="Imagem 578" descr=""/>
        <xdr:cNvPicPr/>
      </xdr:nvPicPr>
      <xdr:blipFill>
        <a:blip r:embed="rId5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1" name="Imagem 579" descr=""/>
        <xdr:cNvPicPr/>
      </xdr:nvPicPr>
      <xdr:blipFill>
        <a:blip r:embed="rId5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2" name="Imagem 580" descr=""/>
        <xdr:cNvPicPr/>
      </xdr:nvPicPr>
      <xdr:blipFill>
        <a:blip r:embed="rId5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3" name="Imagem 581" descr=""/>
        <xdr:cNvPicPr/>
      </xdr:nvPicPr>
      <xdr:blipFill>
        <a:blip r:embed="rId5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4" name="Imagem 582" descr=""/>
        <xdr:cNvPicPr/>
      </xdr:nvPicPr>
      <xdr:blipFill>
        <a:blip r:embed="rId5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5" name="Imagem 583" descr=""/>
        <xdr:cNvPicPr/>
      </xdr:nvPicPr>
      <xdr:blipFill>
        <a:blip r:embed="rId5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6" name="Imagem 584" descr=""/>
        <xdr:cNvPicPr/>
      </xdr:nvPicPr>
      <xdr:blipFill>
        <a:blip r:embed="rId5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7" name="Imagem 585" descr=""/>
        <xdr:cNvPicPr/>
      </xdr:nvPicPr>
      <xdr:blipFill>
        <a:blip r:embed="rId5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8" name="Imagem 586" descr=""/>
        <xdr:cNvPicPr/>
      </xdr:nvPicPr>
      <xdr:blipFill>
        <a:blip r:embed="rId5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89" name="Imagem 587" descr=""/>
        <xdr:cNvPicPr/>
      </xdr:nvPicPr>
      <xdr:blipFill>
        <a:blip r:embed="rId5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0" name="Imagem 588" descr=""/>
        <xdr:cNvPicPr/>
      </xdr:nvPicPr>
      <xdr:blipFill>
        <a:blip r:embed="rId5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1" name="Imagem 589" descr=""/>
        <xdr:cNvPicPr/>
      </xdr:nvPicPr>
      <xdr:blipFill>
        <a:blip r:embed="rId5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2" name="Imagem 590" descr=""/>
        <xdr:cNvPicPr/>
      </xdr:nvPicPr>
      <xdr:blipFill>
        <a:blip r:embed="rId5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3" name="Imagem 591" descr=""/>
        <xdr:cNvPicPr/>
      </xdr:nvPicPr>
      <xdr:blipFill>
        <a:blip r:embed="rId5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4" name="Imagem 592" descr=""/>
        <xdr:cNvPicPr/>
      </xdr:nvPicPr>
      <xdr:blipFill>
        <a:blip r:embed="rId5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5" name="Imagem 593" descr=""/>
        <xdr:cNvPicPr/>
      </xdr:nvPicPr>
      <xdr:blipFill>
        <a:blip r:embed="rId5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6" name="Imagem 594" descr=""/>
        <xdr:cNvPicPr/>
      </xdr:nvPicPr>
      <xdr:blipFill>
        <a:blip r:embed="rId5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7" name="Imagem 595" descr=""/>
        <xdr:cNvPicPr/>
      </xdr:nvPicPr>
      <xdr:blipFill>
        <a:blip r:embed="rId5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8" name="Imagem 596" descr=""/>
        <xdr:cNvPicPr/>
      </xdr:nvPicPr>
      <xdr:blipFill>
        <a:blip r:embed="rId5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599" name="Imagem 597" descr=""/>
        <xdr:cNvPicPr/>
      </xdr:nvPicPr>
      <xdr:blipFill>
        <a:blip r:embed="rId5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0" name="Imagem 598" descr=""/>
        <xdr:cNvPicPr/>
      </xdr:nvPicPr>
      <xdr:blipFill>
        <a:blip r:embed="rId5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1" name="Imagem 599" descr=""/>
        <xdr:cNvPicPr/>
      </xdr:nvPicPr>
      <xdr:blipFill>
        <a:blip r:embed="rId5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2" name="Imagem 600" descr=""/>
        <xdr:cNvPicPr/>
      </xdr:nvPicPr>
      <xdr:blipFill>
        <a:blip r:embed="rId6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3" name="Imagem 601" descr=""/>
        <xdr:cNvPicPr/>
      </xdr:nvPicPr>
      <xdr:blipFill>
        <a:blip r:embed="rId6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4" name="Imagem 602" descr=""/>
        <xdr:cNvPicPr/>
      </xdr:nvPicPr>
      <xdr:blipFill>
        <a:blip r:embed="rId6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5" name="Imagem 603" descr=""/>
        <xdr:cNvPicPr/>
      </xdr:nvPicPr>
      <xdr:blipFill>
        <a:blip r:embed="rId6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6" name="Imagem 604" descr=""/>
        <xdr:cNvPicPr/>
      </xdr:nvPicPr>
      <xdr:blipFill>
        <a:blip r:embed="rId6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7" name="Imagem 605" descr=""/>
        <xdr:cNvPicPr/>
      </xdr:nvPicPr>
      <xdr:blipFill>
        <a:blip r:embed="rId6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8" name="Imagem 606" descr=""/>
        <xdr:cNvPicPr/>
      </xdr:nvPicPr>
      <xdr:blipFill>
        <a:blip r:embed="rId6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09" name="Imagem 607" descr=""/>
        <xdr:cNvPicPr/>
      </xdr:nvPicPr>
      <xdr:blipFill>
        <a:blip r:embed="rId6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0" name="Imagem 608" descr=""/>
        <xdr:cNvPicPr/>
      </xdr:nvPicPr>
      <xdr:blipFill>
        <a:blip r:embed="rId6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1" name="Imagem 609" descr=""/>
        <xdr:cNvPicPr/>
      </xdr:nvPicPr>
      <xdr:blipFill>
        <a:blip r:embed="rId6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2" name="Imagem 610" descr=""/>
        <xdr:cNvPicPr/>
      </xdr:nvPicPr>
      <xdr:blipFill>
        <a:blip r:embed="rId6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3" name="Imagem 611" descr=""/>
        <xdr:cNvPicPr/>
      </xdr:nvPicPr>
      <xdr:blipFill>
        <a:blip r:embed="rId6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4" name="Imagem 612" descr=""/>
        <xdr:cNvPicPr/>
      </xdr:nvPicPr>
      <xdr:blipFill>
        <a:blip r:embed="rId6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5" name="Imagem 613" descr=""/>
        <xdr:cNvPicPr/>
      </xdr:nvPicPr>
      <xdr:blipFill>
        <a:blip r:embed="rId6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6" name="Imagem 614" descr=""/>
        <xdr:cNvPicPr/>
      </xdr:nvPicPr>
      <xdr:blipFill>
        <a:blip r:embed="rId6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7" name="Imagem 615" descr=""/>
        <xdr:cNvPicPr/>
      </xdr:nvPicPr>
      <xdr:blipFill>
        <a:blip r:embed="rId6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8" name="Imagem 616" descr=""/>
        <xdr:cNvPicPr/>
      </xdr:nvPicPr>
      <xdr:blipFill>
        <a:blip r:embed="rId6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19" name="Imagem 617" descr=""/>
        <xdr:cNvPicPr/>
      </xdr:nvPicPr>
      <xdr:blipFill>
        <a:blip r:embed="rId6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0" name="Imagem 618" descr=""/>
        <xdr:cNvPicPr/>
      </xdr:nvPicPr>
      <xdr:blipFill>
        <a:blip r:embed="rId6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1" name="Imagem 619" descr=""/>
        <xdr:cNvPicPr/>
      </xdr:nvPicPr>
      <xdr:blipFill>
        <a:blip r:embed="rId6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2" name="Imagem 620" descr=""/>
        <xdr:cNvPicPr/>
      </xdr:nvPicPr>
      <xdr:blipFill>
        <a:blip r:embed="rId6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3" name="Imagem 621" descr=""/>
        <xdr:cNvPicPr/>
      </xdr:nvPicPr>
      <xdr:blipFill>
        <a:blip r:embed="rId6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4" name="Imagem 622" descr=""/>
        <xdr:cNvPicPr/>
      </xdr:nvPicPr>
      <xdr:blipFill>
        <a:blip r:embed="rId6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5" name="Imagem 623" descr=""/>
        <xdr:cNvPicPr/>
      </xdr:nvPicPr>
      <xdr:blipFill>
        <a:blip r:embed="rId6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6" name="Imagem 624" descr=""/>
        <xdr:cNvPicPr/>
      </xdr:nvPicPr>
      <xdr:blipFill>
        <a:blip r:embed="rId6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7" name="Imagem 625" descr=""/>
        <xdr:cNvPicPr/>
      </xdr:nvPicPr>
      <xdr:blipFill>
        <a:blip r:embed="rId6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8" name="Imagem 626" descr=""/>
        <xdr:cNvPicPr/>
      </xdr:nvPicPr>
      <xdr:blipFill>
        <a:blip r:embed="rId6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29" name="Imagem 627" descr=""/>
        <xdr:cNvPicPr/>
      </xdr:nvPicPr>
      <xdr:blipFill>
        <a:blip r:embed="rId6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0" name="Imagem 628" descr=""/>
        <xdr:cNvPicPr/>
      </xdr:nvPicPr>
      <xdr:blipFill>
        <a:blip r:embed="rId6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1" name="Imagem 629" descr=""/>
        <xdr:cNvPicPr/>
      </xdr:nvPicPr>
      <xdr:blipFill>
        <a:blip r:embed="rId6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2" name="Imagem 630" descr=""/>
        <xdr:cNvPicPr/>
      </xdr:nvPicPr>
      <xdr:blipFill>
        <a:blip r:embed="rId6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3" name="Imagem 631" descr=""/>
        <xdr:cNvPicPr/>
      </xdr:nvPicPr>
      <xdr:blipFill>
        <a:blip r:embed="rId6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4" name="Imagem 632" descr=""/>
        <xdr:cNvPicPr/>
      </xdr:nvPicPr>
      <xdr:blipFill>
        <a:blip r:embed="rId6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5" name="Imagem 633" descr=""/>
        <xdr:cNvPicPr/>
      </xdr:nvPicPr>
      <xdr:blipFill>
        <a:blip r:embed="rId6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6" name="Imagem 634" descr=""/>
        <xdr:cNvPicPr/>
      </xdr:nvPicPr>
      <xdr:blipFill>
        <a:blip r:embed="rId6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7" name="Imagem 635" descr=""/>
        <xdr:cNvPicPr/>
      </xdr:nvPicPr>
      <xdr:blipFill>
        <a:blip r:embed="rId6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8" name="Imagem 636" descr=""/>
        <xdr:cNvPicPr/>
      </xdr:nvPicPr>
      <xdr:blipFill>
        <a:blip r:embed="rId6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39" name="Imagem 637" descr=""/>
        <xdr:cNvPicPr/>
      </xdr:nvPicPr>
      <xdr:blipFill>
        <a:blip r:embed="rId6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0" name="Imagem 638" descr=""/>
        <xdr:cNvPicPr/>
      </xdr:nvPicPr>
      <xdr:blipFill>
        <a:blip r:embed="rId6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1" name="Imagem 639" descr=""/>
        <xdr:cNvPicPr/>
      </xdr:nvPicPr>
      <xdr:blipFill>
        <a:blip r:embed="rId6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2" name="Imagem 640" descr=""/>
        <xdr:cNvPicPr/>
      </xdr:nvPicPr>
      <xdr:blipFill>
        <a:blip r:embed="rId6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3" name="Imagem 641" descr=""/>
        <xdr:cNvPicPr/>
      </xdr:nvPicPr>
      <xdr:blipFill>
        <a:blip r:embed="rId6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4" name="Imagem 642" descr=""/>
        <xdr:cNvPicPr/>
      </xdr:nvPicPr>
      <xdr:blipFill>
        <a:blip r:embed="rId6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5" name="Imagem 643" descr=""/>
        <xdr:cNvPicPr/>
      </xdr:nvPicPr>
      <xdr:blipFill>
        <a:blip r:embed="rId6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6" name="Imagem 644" descr=""/>
        <xdr:cNvPicPr/>
      </xdr:nvPicPr>
      <xdr:blipFill>
        <a:blip r:embed="rId6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7" name="Imagem 645" descr=""/>
        <xdr:cNvPicPr/>
      </xdr:nvPicPr>
      <xdr:blipFill>
        <a:blip r:embed="rId6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8" name="Imagem 646" descr=""/>
        <xdr:cNvPicPr/>
      </xdr:nvPicPr>
      <xdr:blipFill>
        <a:blip r:embed="rId6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49" name="Imagem 647" descr=""/>
        <xdr:cNvPicPr/>
      </xdr:nvPicPr>
      <xdr:blipFill>
        <a:blip r:embed="rId6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0" name="Imagem 648" descr=""/>
        <xdr:cNvPicPr/>
      </xdr:nvPicPr>
      <xdr:blipFill>
        <a:blip r:embed="rId6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1" name="Imagem 649" descr=""/>
        <xdr:cNvPicPr/>
      </xdr:nvPicPr>
      <xdr:blipFill>
        <a:blip r:embed="rId6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2" name="Imagem 650" descr=""/>
        <xdr:cNvPicPr/>
      </xdr:nvPicPr>
      <xdr:blipFill>
        <a:blip r:embed="rId6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3" name="Imagem 651" descr=""/>
        <xdr:cNvPicPr/>
      </xdr:nvPicPr>
      <xdr:blipFill>
        <a:blip r:embed="rId6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4" name="Imagem 652" descr=""/>
        <xdr:cNvPicPr/>
      </xdr:nvPicPr>
      <xdr:blipFill>
        <a:blip r:embed="rId6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5" name="Imagem 653" descr=""/>
        <xdr:cNvPicPr/>
      </xdr:nvPicPr>
      <xdr:blipFill>
        <a:blip r:embed="rId6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6" name="Imagem 654" descr=""/>
        <xdr:cNvPicPr/>
      </xdr:nvPicPr>
      <xdr:blipFill>
        <a:blip r:embed="rId6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7" name="Imagem 655" descr=""/>
        <xdr:cNvPicPr/>
      </xdr:nvPicPr>
      <xdr:blipFill>
        <a:blip r:embed="rId6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8" name="Imagem 656" descr=""/>
        <xdr:cNvPicPr/>
      </xdr:nvPicPr>
      <xdr:blipFill>
        <a:blip r:embed="rId6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59" name="Imagem 657" descr=""/>
        <xdr:cNvPicPr/>
      </xdr:nvPicPr>
      <xdr:blipFill>
        <a:blip r:embed="rId6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0" name="Imagem 658" descr=""/>
        <xdr:cNvPicPr/>
      </xdr:nvPicPr>
      <xdr:blipFill>
        <a:blip r:embed="rId6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1" name="Imagem 659" descr=""/>
        <xdr:cNvPicPr/>
      </xdr:nvPicPr>
      <xdr:blipFill>
        <a:blip r:embed="rId6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2" name="Imagem 660" descr=""/>
        <xdr:cNvPicPr/>
      </xdr:nvPicPr>
      <xdr:blipFill>
        <a:blip r:embed="rId6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3" name="Imagem 661" descr=""/>
        <xdr:cNvPicPr/>
      </xdr:nvPicPr>
      <xdr:blipFill>
        <a:blip r:embed="rId6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4" name="Imagem 662" descr=""/>
        <xdr:cNvPicPr/>
      </xdr:nvPicPr>
      <xdr:blipFill>
        <a:blip r:embed="rId6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5" name="Imagem 663" descr=""/>
        <xdr:cNvPicPr/>
      </xdr:nvPicPr>
      <xdr:blipFill>
        <a:blip r:embed="rId6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6" name="Imagem 664" descr=""/>
        <xdr:cNvPicPr/>
      </xdr:nvPicPr>
      <xdr:blipFill>
        <a:blip r:embed="rId6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7" name="Imagem 665" descr=""/>
        <xdr:cNvPicPr/>
      </xdr:nvPicPr>
      <xdr:blipFill>
        <a:blip r:embed="rId6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8" name="Imagem 666" descr=""/>
        <xdr:cNvPicPr/>
      </xdr:nvPicPr>
      <xdr:blipFill>
        <a:blip r:embed="rId6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69" name="Imagem 667" descr=""/>
        <xdr:cNvPicPr/>
      </xdr:nvPicPr>
      <xdr:blipFill>
        <a:blip r:embed="rId6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0" name="Imagem 668" descr=""/>
        <xdr:cNvPicPr/>
      </xdr:nvPicPr>
      <xdr:blipFill>
        <a:blip r:embed="rId6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1" name="Imagem 669" descr=""/>
        <xdr:cNvPicPr/>
      </xdr:nvPicPr>
      <xdr:blipFill>
        <a:blip r:embed="rId6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2" name="Imagem 670" descr=""/>
        <xdr:cNvPicPr/>
      </xdr:nvPicPr>
      <xdr:blipFill>
        <a:blip r:embed="rId6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3" name="Imagem 671" descr=""/>
        <xdr:cNvPicPr/>
      </xdr:nvPicPr>
      <xdr:blipFill>
        <a:blip r:embed="rId6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4" name="Imagem 672" descr=""/>
        <xdr:cNvPicPr/>
      </xdr:nvPicPr>
      <xdr:blipFill>
        <a:blip r:embed="rId6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5" name="Imagem 673" descr=""/>
        <xdr:cNvPicPr/>
      </xdr:nvPicPr>
      <xdr:blipFill>
        <a:blip r:embed="rId6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6" name="Imagem 674" descr=""/>
        <xdr:cNvPicPr/>
      </xdr:nvPicPr>
      <xdr:blipFill>
        <a:blip r:embed="rId6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7" name="Imagem 675" descr=""/>
        <xdr:cNvPicPr/>
      </xdr:nvPicPr>
      <xdr:blipFill>
        <a:blip r:embed="rId6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8" name="Imagem 676" descr=""/>
        <xdr:cNvPicPr/>
      </xdr:nvPicPr>
      <xdr:blipFill>
        <a:blip r:embed="rId6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79" name="Imagem 677" descr=""/>
        <xdr:cNvPicPr/>
      </xdr:nvPicPr>
      <xdr:blipFill>
        <a:blip r:embed="rId6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0" name="Imagem 678" descr=""/>
        <xdr:cNvPicPr/>
      </xdr:nvPicPr>
      <xdr:blipFill>
        <a:blip r:embed="rId6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1" name="Imagem 679" descr=""/>
        <xdr:cNvPicPr/>
      </xdr:nvPicPr>
      <xdr:blipFill>
        <a:blip r:embed="rId6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2" name="Imagem 680" descr=""/>
        <xdr:cNvPicPr/>
      </xdr:nvPicPr>
      <xdr:blipFill>
        <a:blip r:embed="rId6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3" name="Imagem 681" descr=""/>
        <xdr:cNvPicPr/>
      </xdr:nvPicPr>
      <xdr:blipFill>
        <a:blip r:embed="rId6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4" name="Imagem 682" descr=""/>
        <xdr:cNvPicPr/>
      </xdr:nvPicPr>
      <xdr:blipFill>
        <a:blip r:embed="rId6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5" name="Imagem 683" descr=""/>
        <xdr:cNvPicPr/>
      </xdr:nvPicPr>
      <xdr:blipFill>
        <a:blip r:embed="rId6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6" name="Imagem 684" descr=""/>
        <xdr:cNvPicPr/>
      </xdr:nvPicPr>
      <xdr:blipFill>
        <a:blip r:embed="rId6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7" name="Imagem 685" descr=""/>
        <xdr:cNvPicPr/>
      </xdr:nvPicPr>
      <xdr:blipFill>
        <a:blip r:embed="rId6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8" name="Imagem 686" descr=""/>
        <xdr:cNvPicPr/>
      </xdr:nvPicPr>
      <xdr:blipFill>
        <a:blip r:embed="rId6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89" name="Imagem 687" descr=""/>
        <xdr:cNvPicPr/>
      </xdr:nvPicPr>
      <xdr:blipFill>
        <a:blip r:embed="rId6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0" name="Imagem 688" descr=""/>
        <xdr:cNvPicPr/>
      </xdr:nvPicPr>
      <xdr:blipFill>
        <a:blip r:embed="rId6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1" name="Imagem 689" descr=""/>
        <xdr:cNvPicPr/>
      </xdr:nvPicPr>
      <xdr:blipFill>
        <a:blip r:embed="rId6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2" name="Imagem 690" descr=""/>
        <xdr:cNvPicPr/>
      </xdr:nvPicPr>
      <xdr:blipFill>
        <a:blip r:embed="rId6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3" name="Imagem 691" descr=""/>
        <xdr:cNvPicPr/>
      </xdr:nvPicPr>
      <xdr:blipFill>
        <a:blip r:embed="rId6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4" name="Imagem 692" descr=""/>
        <xdr:cNvPicPr/>
      </xdr:nvPicPr>
      <xdr:blipFill>
        <a:blip r:embed="rId6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5" name="Imagem 693" descr=""/>
        <xdr:cNvPicPr/>
      </xdr:nvPicPr>
      <xdr:blipFill>
        <a:blip r:embed="rId6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6" name="Imagem 694" descr=""/>
        <xdr:cNvPicPr/>
      </xdr:nvPicPr>
      <xdr:blipFill>
        <a:blip r:embed="rId6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7" name="Imagem 695" descr=""/>
        <xdr:cNvPicPr/>
      </xdr:nvPicPr>
      <xdr:blipFill>
        <a:blip r:embed="rId6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8" name="Imagem 696" descr=""/>
        <xdr:cNvPicPr/>
      </xdr:nvPicPr>
      <xdr:blipFill>
        <a:blip r:embed="rId6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699" name="Imagem 697" descr=""/>
        <xdr:cNvPicPr/>
      </xdr:nvPicPr>
      <xdr:blipFill>
        <a:blip r:embed="rId6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0" name="Imagem 698" descr=""/>
        <xdr:cNvPicPr/>
      </xdr:nvPicPr>
      <xdr:blipFill>
        <a:blip r:embed="rId6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1" name="Imagem 699" descr=""/>
        <xdr:cNvPicPr/>
      </xdr:nvPicPr>
      <xdr:blipFill>
        <a:blip r:embed="rId6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2" name="Imagem 700" descr=""/>
        <xdr:cNvPicPr/>
      </xdr:nvPicPr>
      <xdr:blipFill>
        <a:blip r:embed="rId7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3" name="Imagem 701" descr=""/>
        <xdr:cNvPicPr/>
      </xdr:nvPicPr>
      <xdr:blipFill>
        <a:blip r:embed="rId7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4" name="Imagem 702" descr=""/>
        <xdr:cNvPicPr/>
      </xdr:nvPicPr>
      <xdr:blipFill>
        <a:blip r:embed="rId7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5" name="Imagem 703" descr=""/>
        <xdr:cNvPicPr/>
      </xdr:nvPicPr>
      <xdr:blipFill>
        <a:blip r:embed="rId7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6" name="Imagem 704" descr=""/>
        <xdr:cNvPicPr/>
      </xdr:nvPicPr>
      <xdr:blipFill>
        <a:blip r:embed="rId7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7" name="Imagem 705" descr=""/>
        <xdr:cNvPicPr/>
      </xdr:nvPicPr>
      <xdr:blipFill>
        <a:blip r:embed="rId7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8" name="Imagem 706" descr=""/>
        <xdr:cNvPicPr/>
      </xdr:nvPicPr>
      <xdr:blipFill>
        <a:blip r:embed="rId7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09" name="Imagem 707" descr=""/>
        <xdr:cNvPicPr/>
      </xdr:nvPicPr>
      <xdr:blipFill>
        <a:blip r:embed="rId7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0" name="Imagem 708" descr=""/>
        <xdr:cNvPicPr/>
      </xdr:nvPicPr>
      <xdr:blipFill>
        <a:blip r:embed="rId7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1" name="Imagem 709" descr=""/>
        <xdr:cNvPicPr/>
      </xdr:nvPicPr>
      <xdr:blipFill>
        <a:blip r:embed="rId7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2" name="Imagem 710" descr=""/>
        <xdr:cNvPicPr/>
      </xdr:nvPicPr>
      <xdr:blipFill>
        <a:blip r:embed="rId7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3" name="Imagem 711" descr=""/>
        <xdr:cNvPicPr/>
      </xdr:nvPicPr>
      <xdr:blipFill>
        <a:blip r:embed="rId7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4" name="Imagem 712" descr=""/>
        <xdr:cNvPicPr/>
      </xdr:nvPicPr>
      <xdr:blipFill>
        <a:blip r:embed="rId7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5" name="Imagem 713" descr=""/>
        <xdr:cNvPicPr/>
      </xdr:nvPicPr>
      <xdr:blipFill>
        <a:blip r:embed="rId7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6" name="Imagem 714" descr=""/>
        <xdr:cNvPicPr/>
      </xdr:nvPicPr>
      <xdr:blipFill>
        <a:blip r:embed="rId7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7" name="Imagem 715" descr=""/>
        <xdr:cNvPicPr/>
      </xdr:nvPicPr>
      <xdr:blipFill>
        <a:blip r:embed="rId7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8" name="Imagem 716" descr=""/>
        <xdr:cNvPicPr/>
      </xdr:nvPicPr>
      <xdr:blipFill>
        <a:blip r:embed="rId7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19" name="Imagem 717" descr=""/>
        <xdr:cNvPicPr/>
      </xdr:nvPicPr>
      <xdr:blipFill>
        <a:blip r:embed="rId7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0" name="Imagem 718" descr=""/>
        <xdr:cNvPicPr/>
      </xdr:nvPicPr>
      <xdr:blipFill>
        <a:blip r:embed="rId7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1" name="Imagem 719" descr=""/>
        <xdr:cNvPicPr/>
      </xdr:nvPicPr>
      <xdr:blipFill>
        <a:blip r:embed="rId7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2" name="Imagem 720" descr=""/>
        <xdr:cNvPicPr/>
      </xdr:nvPicPr>
      <xdr:blipFill>
        <a:blip r:embed="rId7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3" name="Imagem 721" descr=""/>
        <xdr:cNvPicPr/>
      </xdr:nvPicPr>
      <xdr:blipFill>
        <a:blip r:embed="rId7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4" name="Imagem 722" descr=""/>
        <xdr:cNvPicPr/>
      </xdr:nvPicPr>
      <xdr:blipFill>
        <a:blip r:embed="rId7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5" name="Imagem 723" descr=""/>
        <xdr:cNvPicPr/>
      </xdr:nvPicPr>
      <xdr:blipFill>
        <a:blip r:embed="rId7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6" name="Imagem 724" descr=""/>
        <xdr:cNvPicPr/>
      </xdr:nvPicPr>
      <xdr:blipFill>
        <a:blip r:embed="rId7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7" name="Imagem 725" descr=""/>
        <xdr:cNvPicPr/>
      </xdr:nvPicPr>
      <xdr:blipFill>
        <a:blip r:embed="rId7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8" name="Imagem 726" descr=""/>
        <xdr:cNvPicPr/>
      </xdr:nvPicPr>
      <xdr:blipFill>
        <a:blip r:embed="rId7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29" name="Imagem 727" descr=""/>
        <xdr:cNvPicPr/>
      </xdr:nvPicPr>
      <xdr:blipFill>
        <a:blip r:embed="rId7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0" name="Imagem 728" descr=""/>
        <xdr:cNvPicPr/>
      </xdr:nvPicPr>
      <xdr:blipFill>
        <a:blip r:embed="rId7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1" name="Imagem 729" descr=""/>
        <xdr:cNvPicPr/>
      </xdr:nvPicPr>
      <xdr:blipFill>
        <a:blip r:embed="rId7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2" name="Imagem 730" descr=""/>
        <xdr:cNvPicPr/>
      </xdr:nvPicPr>
      <xdr:blipFill>
        <a:blip r:embed="rId7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3" name="Imagem 731" descr=""/>
        <xdr:cNvPicPr/>
      </xdr:nvPicPr>
      <xdr:blipFill>
        <a:blip r:embed="rId7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4" name="Imagem 732" descr=""/>
        <xdr:cNvPicPr/>
      </xdr:nvPicPr>
      <xdr:blipFill>
        <a:blip r:embed="rId7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5" name="Imagem 733" descr=""/>
        <xdr:cNvPicPr/>
      </xdr:nvPicPr>
      <xdr:blipFill>
        <a:blip r:embed="rId7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6" name="Imagem 734" descr=""/>
        <xdr:cNvPicPr/>
      </xdr:nvPicPr>
      <xdr:blipFill>
        <a:blip r:embed="rId7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7" name="Imagem 735" descr=""/>
        <xdr:cNvPicPr/>
      </xdr:nvPicPr>
      <xdr:blipFill>
        <a:blip r:embed="rId7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8" name="Imagem 736" descr=""/>
        <xdr:cNvPicPr/>
      </xdr:nvPicPr>
      <xdr:blipFill>
        <a:blip r:embed="rId7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39" name="Imagem 737" descr=""/>
        <xdr:cNvPicPr/>
      </xdr:nvPicPr>
      <xdr:blipFill>
        <a:blip r:embed="rId7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0" name="Imagem 738" descr=""/>
        <xdr:cNvPicPr/>
      </xdr:nvPicPr>
      <xdr:blipFill>
        <a:blip r:embed="rId7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1" name="Imagem 739" descr=""/>
        <xdr:cNvPicPr/>
      </xdr:nvPicPr>
      <xdr:blipFill>
        <a:blip r:embed="rId7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2" name="Imagem 740" descr=""/>
        <xdr:cNvPicPr/>
      </xdr:nvPicPr>
      <xdr:blipFill>
        <a:blip r:embed="rId7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3" name="Imagem 741" descr=""/>
        <xdr:cNvPicPr/>
      </xdr:nvPicPr>
      <xdr:blipFill>
        <a:blip r:embed="rId7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4" name="Imagem 742" descr=""/>
        <xdr:cNvPicPr/>
      </xdr:nvPicPr>
      <xdr:blipFill>
        <a:blip r:embed="rId7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5" name="Imagem 743" descr=""/>
        <xdr:cNvPicPr/>
      </xdr:nvPicPr>
      <xdr:blipFill>
        <a:blip r:embed="rId7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6" name="Imagem 744" descr=""/>
        <xdr:cNvPicPr/>
      </xdr:nvPicPr>
      <xdr:blipFill>
        <a:blip r:embed="rId7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7" name="Imagem 745" descr=""/>
        <xdr:cNvPicPr/>
      </xdr:nvPicPr>
      <xdr:blipFill>
        <a:blip r:embed="rId7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8" name="Imagem 746" descr=""/>
        <xdr:cNvPicPr/>
      </xdr:nvPicPr>
      <xdr:blipFill>
        <a:blip r:embed="rId7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49" name="Imagem 747" descr=""/>
        <xdr:cNvPicPr/>
      </xdr:nvPicPr>
      <xdr:blipFill>
        <a:blip r:embed="rId7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0" name="Imagem 748" descr=""/>
        <xdr:cNvPicPr/>
      </xdr:nvPicPr>
      <xdr:blipFill>
        <a:blip r:embed="rId7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1" name="Imagem 749" descr=""/>
        <xdr:cNvPicPr/>
      </xdr:nvPicPr>
      <xdr:blipFill>
        <a:blip r:embed="rId7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2" name="Imagem 750" descr=""/>
        <xdr:cNvPicPr/>
      </xdr:nvPicPr>
      <xdr:blipFill>
        <a:blip r:embed="rId7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3" name="Imagem 751" descr=""/>
        <xdr:cNvPicPr/>
      </xdr:nvPicPr>
      <xdr:blipFill>
        <a:blip r:embed="rId7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4" name="Imagem 752" descr=""/>
        <xdr:cNvPicPr/>
      </xdr:nvPicPr>
      <xdr:blipFill>
        <a:blip r:embed="rId7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5" name="Imagem 753" descr=""/>
        <xdr:cNvPicPr/>
      </xdr:nvPicPr>
      <xdr:blipFill>
        <a:blip r:embed="rId7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6" name="Imagem 754" descr=""/>
        <xdr:cNvPicPr/>
      </xdr:nvPicPr>
      <xdr:blipFill>
        <a:blip r:embed="rId7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7" name="Imagem 755" descr=""/>
        <xdr:cNvPicPr/>
      </xdr:nvPicPr>
      <xdr:blipFill>
        <a:blip r:embed="rId7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8" name="Imagem 756" descr=""/>
        <xdr:cNvPicPr/>
      </xdr:nvPicPr>
      <xdr:blipFill>
        <a:blip r:embed="rId7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59" name="Imagem 757" descr=""/>
        <xdr:cNvPicPr/>
      </xdr:nvPicPr>
      <xdr:blipFill>
        <a:blip r:embed="rId7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0" name="Imagem 758" descr=""/>
        <xdr:cNvPicPr/>
      </xdr:nvPicPr>
      <xdr:blipFill>
        <a:blip r:embed="rId7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1" name="Imagem 759" descr=""/>
        <xdr:cNvPicPr/>
      </xdr:nvPicPr>
      <xdr:blipFill>
        <a:blip r:embed="rId7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2" name="Imagem 760" descr=""/>
        <xdr:cNvPicPr/>
      </xdr:nvPicPr>
      <xdr:blipFill>
        <a:blip r:embed="rId7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3" name="Imagem 761" descr=""/>
        <xdr:cNvPicPr/>
      </xdr:nvPicPr>
      <xdr:blipFill>
        <a:blip r:embed="rId7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4" name="Imagem 762" descr=""/>
        <xdr:cNvPicPr/>
      </xdr:nvPicPr>
      <xdr:blipFill>
        <a:blip r:embed="rId7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5" name="Imagem 763" descr=""/>
        <xdr:cNvPicPr/>
      </xdr:nvPicPr>
      <xdr:blipFill>
        <a:blip r:embed="rId7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6" name="Imagem 764" descr=""/>
        <xdr:cNvPicPr/>
      </xdr:nvPicPr>
      <xdr:blipFill>
        <a:blip r:embed="rId7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7" name="Imagem 765" descr=""/>
        <xdr:cNvPicPr/>
      </xdr:nvPicPr>
      <xdr:blipFill>
        <a:blip r:embed="rId7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8" name="Imagem 766" descr=""/>
        <xdr:cNvPicPr/>
      </xdr:nvPicPr>
      <xdr:blipFill>
        <a:blip r:embed="rId7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69" name="Imagem 767" descr=""/>
        <xdr:cNvPicPr/>
      </xdr:nvPicPr>
      <xdr:blipFill>
        <a:blip r:embed="rId7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0" name="Imagem 768" descr=""/>
        <xdr:cNvPicPr/>
      </xdr:nvPicPr>
      <xdr:blipFill>
        <a:blip r:embed="rId7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1" name="Imagem 769" descr=""/>
        <xdr:cNvPicPr/>
      </xdr:nvPicPr>
      <xdr:blipFill>
        <a:blip r:embed="rId7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2" name="Imagem 770" descr=""/>
        <xdr:cNvPicPr/>
      </xdr:nvPicPr>
      <xdr:blipFill>
        <a:blip r:embed="rId7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3" name="Imagem 771" descr=""/>
        <xdr:cNvPicPr/>
      </xdr:nvPicPr>
      <xdr:blipFill>
        <a:blip r:embed="rId7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4" name="Imagem 772" descr=""/>
        <xdr:cNvPicPr/>
      </xdr:nvPicPr>
      <xdr:blipFill>
        <a:blip r:embed="rId7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5" name="Imagem 773" descr=""/>
        <xdr:cNvPicPr/>
      </xdr:nvPicPr>
      <xdr:blipFill>
        <a:blip r:embed="rId7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6" name="Imagem 774" descr=""/>
        <xdr:cNvPicPr/>
      </xdr:nvPicPr>
      <xdr:blipFill>
        <a:blip r:embed="rId7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7" name="Imagem 775" descr=""/>
        <xdr:cNvPicPr/>
      </xdr:nvPicPr>
      <xdr:blipFill>
        <a:blip r:embed="rId7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8" name="Imagem 776" descr=""/>
        <xdr:cNvPicPr/>
      </xdr:nvPicPr>
      <xdr:blipFill>
        <a:blip r:embed="rId7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79" name="Imagem 777" descr=""/>
        <xdr:cNvPicPr/>
      </xdr:nvPicPr>
      <xdr:blipFill>
        <a:blip r:embed="rId7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0" name="Imagem 778" descr=""/>
        <xdr:cNvPicPr/>
      </xdr:nvPicPr>
      <xdr:blipFill>
        <a:blip r:embed="rId7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1" name="Imagem 779" descr=""/>
        <xdr:cNvPicPr/>
      </xdr:nvPicPr>
      <xdr:blipFill>
        <a:blip r:embed="rId7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2" name="Imagem 780" descr=""/>
        <xdr:cNvPicPr/>
      </xdr:nvPicPr>
      <xdr:blipFill>
        <a:blip r:embed="rId7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3" name="Imagem 781" descr=""/>
        <xdr:cNvPicPr/>
      </xdr:nvPicPr>
      <xdr:blipFill>
        <a:blip r:embed="rId7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4" name="Imagem 782" descr=""/>
        <xdr:cNvPicPr/>
      </xdr:nvPicPr>
      <xdr:blipFill>
        <a:blip r:embed="rId7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5" name="Imagem 783" descr=""/>
        <xdr:cNvPicPr/>
      </xdr:nvPicPr>
      <xdr:blipFill>
        <a:blip r:embed="rId7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6" name="Imagem 784" descr=""/>
        <xdr:cNvPicPr/>
      </xdr:nvPicPr>
      <xdr:blipFill>
        <a:blip r:embed="rId7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7" name="Imagem 785" descr=""/>
        <xdr:cNvPicPr/>
      </xdr:nvPicPr>
      <xdr:blipFill>
        <a:blip r:embed="rId7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8" name="Imagem 786" descr=""/>
        <xdr:cNvPicPr/>
      </xdr:nvPicPr>
      <xdr:blipFill>
        <a:blip r:embed="rId7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89" name="Imagem 787" descr=""/>
        <xdr:cNvPicPr/>
      </xdr:nvPicPr>
      <xdr:blipFill>
        <a:blip r:embed="rId7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0" name="Imagem 788" descr=""/>
        <xdr:cNvPicPr/>
      </xdr:nvPicPr>
      <xdr:blipFill>
        <a:blip r:embed="rId7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1" name="Imagem 789" descr=""/>
        <xdr:cNvPicPr/>
      </xdr:nvPicPr>
      <xdr:blipFill>
        <a:blip r:embed="rId7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2" name="Imagem 790" descr=""/>
        <xdr:cNvPicPr/>
      </xdr:nvPicPr>
      <xdr:blipFill>
        <a:blip r:embed="rId7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3" name="Imagem 791" descr=""/>
        <xdr:cNvPicPr/>
      </xdr:nvPicPr>
      <xdr:blipFill>
        <a:blip r:embed="rId7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4" name="Imagem 792" descr=""/>
        <xdr:cNvPicPr/>
      </xdr:nvPicPr>
      <xdr:blipFill>
        <a:blip r:embed="rId7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5" name="Imagem 793" descr=""/>
        <xdr:cNvPicPr/>
      </xdr:nvPicPr>
      <xdr:blipFill>
        <a:blip r:embed="rId7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6" name="Imagem 794" descr=""/>
        <xdr:cNvPicPr/>
      </xdr:nvPicPr>
      <xdr:blipFill>
        <a:blip r:embed="rId7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7" name="Imagem 795" descr=""/>
        <xdr:cNvPicPr/>
      </xdr:nvPicPr>
      <xdr:blipFill>
        <a:blip r:embed="rId7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8" name="Imagem 796" descr=""/>
        <xdr:cNvPicPr/>
      </xdr:nvPicPr>
      <xdr:blipFill>
        <a:blip r:embed="rId7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799" name="Imagem 797" descr=""/>
        <xdr:cNvPicPr/>
      </xdr:nvPicPr>
      <xdr:blipFill>
        <a:blip r:embed="rId7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0" name="Imagem 798" descr=""/>
        <xdr:cNvPicPr/>
      </xdr:nvPicPr>
      <xdr:blipFill>
        <a:blip r:embed="rId7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1" name="Imagem 799" descr=""/>
        <xdr:cNvPicPr/>
      </xdr:nvPicPr>
      <xdr:blipFill>
        <a:blip r:embed="rId7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2" name="Imagem 800" descr=""/>
        <xdr:cNvPicPr/>
      </xdr:nvPicPr>
      <xdr:blipFill>
        <a:blip r:embed="rId8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3" name="Imagem 801" descr=""/>
        <xdr:cNvPicPr/>
      </xdr:nvPicPr>
      <xdr:blipFill>
        <a:blip r:embed="rId8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4" name="Imagem 802" descr=""/>
        <xdr:cNvPicPr/>
      </xdr:nvPicPr>
      <xdr:blipFill>
        <a:blip r:embed="rId8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5" name="Imagem 803" descr=""/>
        <xdr:cNvPicPr/>
      </xdr:nvPicPr>
      <xdr:blipFill>
        <a:blip r:embed="rId8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6" name="Imagem 804" descr=""/>
        <xdr:cNvPicPr/>
      </xdr:nvPicPr>
      <xdr:blipFill>
        <a:blip r:embed="rId8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7" name="Imagem 805" descr=""/>
        <xdr:cNvPicPr/>
      </xdr:nvPicPr>
      <xdr:blipFill>
        <a:blip r:embed="rId8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8" name="Imagem 806" descr=""/>
        <xdr:cNvPicPr/>
      </xdr:nvPicPr>
      <xdr:blipFill>
        <a:blip r:embed="rId8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09" name="Imagem 807" descr=""/>
        <xdr:cNvPicPr/>
      </xdr:nvPicPr>
      <xdr:blipFill>
        <a:blip r:embed="rId8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0" name="Imagem 808" descr=""/>
        <xdr:cNvPicPr/>
      </xdr:nvPicPr>
      <xdr:blipFill>
        <a:blip r:embed="rId8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1" name="Imagem 809" descr=""/>
        <xdr:cNvPicPr/>
      </xdr:nvPicPr>
      <xdr:blipFill>
        <a:blip r:embed="rId8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2" name="Imagem 810" descr=""/>
        <xdr:cNvPicPr/>
      </xdr:nvPicPr>
      <xdr:blipFill>
        <a:blip r:embed="rId8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3" name="Imagem 811" descr=""/>
        <xdr:cNvPicPr/>
      </xdr:nvPicPr>
      <xdr:blipFill>
        <a:blip r:embed="rId8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4" name="Imagem 812" descr=""/>
        <xdr:cNvPicPr/>
      </xdr:nvPicPr>
      <xdr:blipFill>
        <a:blip r:embed="rId8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5" name="Imagem 813" descr=""/>
        <xdr:cNvPicPr/>
      </xdr:nvPicPr>
      <xdr:blipFill>
        <a:blip r:embed="rId8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6" name="Imagem 814" descr=""/>
        <xdr:cNvPicPr/>
      </xdr:nvPicPr>
      <xdr:blipFill>
        <a:blip r:embed="rId8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7" name="Imagem 815" descr=""/>
        <xdr:cNvPicPr/>
      </xdr:nvPicPr>
      <xdr:blipFill>
        <a:blip r:embed="rId8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8" name="Imagem 816" descr=""/>
        <xdr:cNvPicPr/>
      </xdr:nvPicPr>
      <xdr:blipFill>
        <a:blip r:embed="rId8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19" name="Imagem 817" descr=""/>
        <xdr:cNvPicPr/>
      </xdr:nvPicPr>
      <xdr:blipFill>
        <a:blip r:embed="rId8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0" name="Imagem 818" descr=""/>
        <xdr:cNvPicPr/>
      </xdr:nvPicPr>
      <xdr:blipFill>
        <a:blip r:embed="rId8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1" name="Imagem 819" descr=""/>
        <xdr:cNvPicPr/>
      </xdr:nvPicPr>
      <xdr:blipFill>
        <a:blip r:embed="rId8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2" name="Imagem 820" descr=""/>
        <xdr:cNvPicPr/>
      </xdr:nvPicPr>
      <xdr:blipFill>
        <a:blip r:embed="rId8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3" name="Imagem 821" descr=""/>
        <xdr:cNvPicPr/>
      </xdr:nvPicPr>
      <xdr:blipFill>
        <a:blip r:embed="rId8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4" name="Imagem 822" descr=""/>
        <xdr:cNvPicPr/>
      </xdr:nvPicPr>
      <xdr:blipFill>
        <a:blip r:embed="rId8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5" name="Imagem 823" descr=""/>
        <xdr:cNvPicPr/>
      </xdr:nvPicPr>
      <xdr:blipFill>
        <a:blip r:embed="rId8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6" name="Imagem 824" descr=""/>
        <xdr:cNvPicPr/>
      </xdr:nvPicPr>
      <xdr:blipFill>
        <a:blip r:embed="rId8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7" name="Imagem 825" descr=""/>
        <xdr:cNvPicPr/>
      </xdr:nvPicPr>
      <xdr:blipFill>
        <a:blip r:embed="rId8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8" name="Imagem 826" descr=""/>
        <xdr:cNvPicPr/>
      </xdr:nvPicPr>
      <xdr:blipFill>
        <a:blip r:embed="rId8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29" name="Imagem 827" descr=""/>
        <xdr:cNvPicPr/>
      </xdr:nvPicPr>
      <xdr:blipFill>
        <a:blip r:embed="rId8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0" name="Imagem 828" descr=""/>
        <xdr:cNvPicPr/>
      </xdr:nvPicPr>
      <xdr:blipFill>
        <a:blip r:embed="rId8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1" name="Imagem 829" descr=""/>
        <xdr:cNvPicPr/>
      </xdr:nvPicPr>
      <xdr:blipFill>
        <a:blip r:embed="rId8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2" name="Imagem 830" descr=""/>
        <xdr:cNvPicPr/>
      </xdr:nvPicPr>
      <xdr:blipFill>
        <a:blip r:embed="rId8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3" name="Imagem 831" descr=""/>
        <xdr:cNvPicPr/>
      </xdr:nvPicPr>
      <xdr:blipFill>
        <a:blip r:embed="rId8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4" name="Imagem 832" descr=""/>
        <xdr:cNvPicPr/>
      </xdr:nvPicPr>
      <xdr:blipFill>
        <a:blip r:embed="rId8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5" name="Imagem 833" descr=""/>
        <xdr:cNvPicPr/>
      </xdr:nvPicPr>
      <xdr:blipFill>
        <a:blip r:embed="rId8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6" name="Imagem 834" descr=""/>
        <xdr:cNvPicPr/>
      </xdr:nvPicPr>
      <xdr:blipFill>
        <a:blip r:embed="rId8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7" name="Imagem 835" descr=""/>
        <xdr:cNvPicPr/>
      </xdr:nvPicPr>
      <xdr:blipFill>
        <a:blip r:embed="rId8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8" name="Imagem 836" descr=""/>
        <xdr:cNvPicPr/>
      </xdr:nvPicPr>
      <xdr:blipFill>
        <a:blip r:embed="rId8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39" name="Imagem 837" descr=""/>
        <xdr:cNvPicPr/>
      </xdr:nvPicPr>
      <xdr:blipFill>
        <a:blip r:embed="rId8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0" name="Imagem 838" descr=""/>
        <xdr:cNvPicPr/>
      </xdr:nvPicPr>
      <xdr:blipFill>
        <a:blip r:embed="rId8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1" name="Imagem 839" descr=""/>
        <xdr:cNvPicPr/>
      </xdr:nvPicPr>
      <xdr:blipFill>
        <a:blip r:embed="rId8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2" name="Imagem 840" descr=""/>
        <xdr:cNvPicPr/>
      </xdr:nvPicPr>
      <xdr:blipFill>
        <a:blip r:embed="rId8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3" name="Imagem 841" descr=""/>
        <xdr:cNvPicPr/>
      </xdr:nvPicPr>
      <xdr:blipFill>
        <a:blip r:embed="rId8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4" name="Imagem 842" descr=""/>
        <xdr:cNvPicPr/>
      </xdr:nvPicPr>
      <xdr:blipFill>
        <a:blip r:embed="rId8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5" name="Imagem 843" descr=""/>
        <xdr:cNvPicPr/>
      </xdr:nvPicPr>
      <xdr:blipFill>
        <a:blip r:embed="rId8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6" name="Imagem 844" descr=""/>
        <xdr:cNvPicPr/>
      </xdr:nvPicPr>
      <xdr:blipFill>
        <a:blip r:embed="rId8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7" name="Imagem 845" descr=""/>
        <xdr:cNvPicPr/>
      </xdr:nvPicPr>
      <xdr:blipFill>
        <a:blip r:embed="rId8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8" name="Imagem 846" descr=""/>
        <xdr:cNvPicPr/>
      </xdr:nvPicPr>
      <xdr:blipFill>
        <a:blip r:embed="rId8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49" name="Imagem 847" descr=""/>
        <xdr:cNvPicPr/>
      </xdr:nvPicPr>
      <xdr:blipFill>
        <a:blip r:embed="rId8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0" name="Imagem 848" descr=""/>
        <xdr:cNvPicPr/>
      </xdr:nvPicPr>
      <xdr:blipFill>
        <a:blip r:embed="rId8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1" name="Imagem 849" descr=""/>
        <xdr:cNvPicPr/>
      </xdr:nvPicPr>
      <xdr:blipFill>
        <a:blip r:embed="rId8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2" name="Imagem 850" descr=""/>
        <xdr:cNvPicPr/>
      </xdr:nvPicPr>
      <xdr:blipFill>
        <a:blip r:embed="rId8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3" name="Imagem 851" descr=""/>
        <xdr:cNvPicPr/>
      </xdr:nvPicPr>
      <xdr:blipFill>
        <a:blip r:embed="rId8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4" name="Imagem 852" descr=""/>
        <xdr:cNvPicPr/>
      </xdr:nvPicPr>
      <xdr:blipFill>
        <a:blip r:embed="rId8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5" name="Imagem 853" descr=""/>
        <xdr:cNvPicPr/>
      </xdr:nvPicPr>
      <xdr:blipFill>
        <a:blip r:embed="rId8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6" name="Imagem 854" descr=""/>
        <xdr:cNvPicPr/>
      </xdr:nvPicPr>
      <xdr:blipFill>
        <a:blip r:embed="rId8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7" name="Imagem 855" descr=""/>
        <xdr:cNvPicPr/>
      </xdr:nvPicPr>
      <xdr:blipFill>
        <a:blip r:embed="rId8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8" name="Imagem 856" descr=""/>
        <xdr:cNvPicPr/>
      </xdr:nvPicPr>
      <xdr:blipFill>
        <a:blip r:embed="rId8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59" name="Imagem 857" descr=""/>
        <xdr:cNvPicPr/>
      </xdr:nvPicPr>
      <xdr:blipFill>
        <a:blip r:embed="rId8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0" name="Imagem 858" descr=""/>
        <xdr:cNvPicPr/>
      </xdr:nvPicPr>
      <xdr:blipFill>
        <a:blip r:embed="rId8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1" name="Imagem 859" descr=""/>
        <xdr:cNvPicPr/>
      </xdr:nvPicPr>
      <xdr:blipFill>
        <a:blip r:embed="rId8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2" name="Imagem 860" descr=""/>
        <xdr:cNvPicPr/>
      </xdr:nvPicPr>
      <xdr:blipFill>
        <a:blip r:embed="rId8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3" name="Imagem 861" descr=""/>
        <xdr:cNvPicPr/>
      </xdr:nvPicPr>
      <xdr:blipFill>
        <a:blip r:embed="rId8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4" name="Imagem 862" descr=""/>
        <xdr:cNvPicPr/>
      </xdr:nvPicPr>
      <xdr:blipFill>
        <a:blip r:embed="rId8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5" name="Imagem 863" descr=""/>
        <xdr:cNvPicPr/>
      </xdr:nvPicPr>
      <xdr:blipFill>
        <a:blip r:embed="rId8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6" name="Imagem 864" descr=""/>
        <xdr:cNvPicPr/>
      </xdr:nvPicPr>
      <xdr:blipFill>
        <a:blip r:embed="rId8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7" name="Imagem 865" descr=""/>
        <xdr:cNvPicPr/>
      </xdr:nvPicPr>
      <xdr:blipFill>
        <a:blip r:embed="rId8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8" name="Imagem 866" descr=""/>
        <xdr:cNvPicPr/>
      </xdr:nvPicPr>
      <xdr:blipFill>
        <a:blip r:embed="rId8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69" name="Imagem 867" descr=""/>
        <xdr:cNvPicPr/>
      </xdr:nvPicPr>
      <xdr:blipFill>
        <a:blip r:embed="rId8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0" name="Imagem 868" descr=""/>
        <xdr:cNvPicPr/>
      </xdr:nvPicPr>
      <xdr:blipFill>
        <a:blip r:embed="rId8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1" name="Imagem 869" descr=""/>
        <xdr:cNvPicPr/>
      </xdr:nvPicPr>
      <xdr:blipFill>
        <a:blip r:embed="rId8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2" name="Imagem 870" descr=""/>
        <xdr:cNvPicPr/>
      </xdr:nvPicPr>
      <xdr:blipFill>
        <a:blip r:embed="rId8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3" name="Imagem 871" descr=""/>
        <xdr:cNvPicPr/>
      </xdr:nvPicPr>
      <xdr:blipFill>
        <a:blip r:embed="rId8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4" name="Imagem 872" descr=""/>
        <xdr:cNvPicPr/>
      </xdr:nvPicPr>
      <xdr:blipFill>
        <a:blip r:embed="rId8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5" name="Imagem 873" descr=""/>
        <xdr:cNvPicPr/>
      </xdr:nvPicPr>
      <xdr:blipFill>
        <a:blip r:embed="rId8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6" name="Imagem 874" descr=""/>
        <xdr:cNvPicPr/>
      </xdr:nvPicPr>
      <xdr:blipFill>
        <a:blip r:embed="rId8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7" name="Imagem 875" descr=""/>
        <xdr:cNvPicPr/>
      </xdr:nvPicPr>
      <xdr:blipFill>
        <a:blip r:embed="rId8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8" name="Imagem 876" descr=""/>
        <xdr:cNvPicPr/>
      </xdr:nvPicPr>
      <xdr:blipFill>
        <a:blip r:embed="rId8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79" name="Imagem 877" descr=""/>
        <xdr:cNvPicPr/>
      </xdr:nvPicPr>
      <xdr:blipFill>
        <a:blip r:embed="rId8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0" name="Imagem 878" descr=""/>
        <xdr:cNvPicPr/>
      </xdr:nvPicPr>
      <xdr:blipFill>
        <a:blip r:embed="rId8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1" name="Imagem 879" descr=""/>
        <xdr:cNvPicPr/>
      </xdr:nvPicPr>
      <xdr:blipFill>
        <a:blip r:embed="rId8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2" name="Imagem 880" descr=""/>
        <xdr:cNvPicPr/>
      </xdr:nvPicPr>
      <xdr:blipFill>
        <a:blip r:embed="rId8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3" name="Imagem 881" descr=""/>
        <xdr:cNvPicPr/>
      </xdr:nvPicPr>
      <xdr:blipFill>
        <a:blip r:embed="rId8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4" name="Imagem 882" descr=""/>
        <xdr:cNvPicPr/>
      </xdr:nvPicPr>
      <xdr:blipFill>
        <a:blip r:embed="rId8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5" name="Imagem 883" descr=""/>
        <xdr:cNvPicPr/>
      </xdr:nvPicPr>
      <xdr:blipFill>
        <a:blip r:embed="rId8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6" name="Imagem 884" descr=""/>
        <xdr:cNvPicPr/>
      </xdr:nvPicPr>
      <xdr:blipFill>
        <a:blip r:embed="rId8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7" name="Imagem 885" descr=""/>
        <xdr:cNvPicPr/>
      </xdr:nvPicPr>
      <xdr:blipFill>
        <a:blip r:embed="rId8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8" name="Imagem 886" descr=""/>
        <xdr:cNvPicPr/>
      </xdr:nvPicPr>
      <xdr:blipFill>
        <a:blip r:embed="rId8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89" name="Imagem 887" descr=""/>
        <xdr:cNvPicPr/>
      </xdr:nvPicPr>
      <xdr:blipFill>
        <a:blip r:embed="rId8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0" name="Imagem 888" descr=""/>
        <xdr:cNvPicPr/>
      </xdr:nvPicPr>
      <xdr:blipFill>
        <a:blip r:embed="rId8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1" name="Imagem 889" descr=""/>
        <xdr:cNvPicPr/>
      </xdr:nvPicPr>
      <xdr:blipFill>
        <a:blip r:embed="rId8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2" name="Imagem 890" descr=""/>
        <xdr:cNvPicPr/>
      </xdr:nvPicPr>
      <xdr:blipFill>
        <a:blip r:embed="rId8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3" name="Imagem 891" descr=""/>
        <xdr:cNvPicPr/>
      </xdr:nvPicPr>
      <xdr:blipFill>
        <a:blip r:embed="rId8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4" name="Imagem 892" descr=""/>
        <xdr:cNvPicPr/>
      </xdr:nvPicPr>
      <xdr:blipFill>
        <a:blip r:embed="rId8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5" name="Imagem 893" descr=""/>
        <xdr:cNvPicPr/>
      </xdr:nvPicPr>
      <xdr:blipFill>
        <a:blip r:embed="rId8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6" name="Imagem 894" descr=""/>
        <xdr:cNvPicPr/>
      </xdr:nvPicPr>
      <xdr:blipFill>
        <a:blip r:embed="rId8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7" name="Imagem 895" descr=""/>
        <xdr:cNvPicPr/>
      </xdr:nvPicPr>
      <xdr:blipFill>
        <a:blip r:embed="rId8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8" name="Imagem 896" descr=""/>
        <xdr:cNvPicPr/>
      </xdr:nvPicPr>
      <xdr:blipFill>
        <a:blip r:embed="rId8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899" name="Imagem 897" descr=""/>
        <xdr:cNvPicPr/>
      </xdr:nvPicPr>
      <xdr:blipFill>
        <a:blip r:embed="rId8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0" name="Imagem 898" descr=""/>
        <xdr:cNvPicPr/>
      </xdr:nvPicPr>
      <xdr:blipFill>
        <a:blip r:embed="rId8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1" name="Imagem 899" descr=""/>
        <xdr:cNvPicPr/>
      </xdr:nvPicPr>
      <xdr:blipFill>
        <a:blip r:embed="rId8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2" name="Imagem 900" descr=""/>
        <xdr:cNvPicPr/>
      </xdr:nvPicPr>
      <xdr:blipFill>
        <a:blip r:embed="rId9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3" name="Imagem 901" descr=""/>
        <xdr:cNvPicPr/>
      </xdr:nvPicPr>
      <xdr:blipFill>
        <a:blip r:embed="rId9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4" name="Imagem 902" descr=""/>
        <xdr:cNvPicPr/>
      </xdr:nvPicPr>
      <xdr:blipFill>
        <a:blip r:embed="rId9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5" name="Imagem 903" descr=""/>
        <xdr:cNvPicPr/>
      </xdr:nvPicPr>
      <xdr:blipFill>
        <a:blip r:embed="rId9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6" name="Imagem 904" descr=""/>
        <xdr:cNvPicPr/>
      </xdr:nvPicPr>
      <xdr:blipFill>
        <a:blip r:embed="rId9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7" name="Imagem 905" descr=""/>
        <xdr:cNvPicPr/>
      </xdr:nvPicPr>
      <xdr:blipFill>
        <a:blip r:embed="rId9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8" name="Imagem 906" descr=""/>
        <xdr:cNvPicPr/>
      </xdr:nvPicPr>
      <xdr:blipFill>
        <a:blip r:embed="rId9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09" name="Imagem 907" descr=""/>
        <xdr:cNvPicPr/>
      </xdr:nvPicPr>
      <xdr:blipFill>
        <a:blip r:embed="rId9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0" name="Imagem 908" descr=""/>
        <xdr:cNvPicPr/>
      </xdr:nvPicPr>
      <xdr:blipFill>
        <a:blip r:embed="rId9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1" name="Imagem 909" descr=""/>
        <xdr:cNvPicPr/>
      </xdr:nvPicPr>
      <xdr:blipFill>
        <a:blip r:embed="rId9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2" name="Imagem 910" descr=""/>
        <xdr:cNvPicPr/>
      </xdr:nvPicPr>
      <xdr:blipFill>
        <a:blip r:embed="rId9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3" name="Imagem 911" descr=""/>
        <xdr:cNvPicPr/>
      </xdr:nvPicPr>
      <xdr:blipFill>
        <a:blip r:embed="rId9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4" name="Imagem 912" descr=""/>
        <xdr:cNvPicPr/>
      </xdr:nvPicPr>
      <xdr:blipFill>
        <a:blip r:embed="rId9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5" name="Imagem 913" descr=""/>
        <xdr:cNvPicPr/>
      </xdr:nvPicPr>
      <xdr:blipFill>
        <a:blip r:embed="rId9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6" name="Imagem 914" descr=""/>
        <xdr:cNvPicPr/>
      </xdr:nvPicPr>
      <xdr:blipFill>
        <a:blip r:embed="rId9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7" name="Imagem 915" descr=""/>
        <xdr:cNvPicPr/>
      </xdr:nvPicPr>
      <xdr:blipFill>
        <a:blip r:embed="rId9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8" name="Imagem 916" descr=""/>
        <xdr:cNvPicPr/>
      </xdr:nvPicPr>
      <xdr:blipFill>
        <a:blip r:embed="rId9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19" name="Imagem 917" descr=""/>
        <xdr:cNvPicPr/>
      </xdr:nvPicPr>
      <xdr:blipFill>
        <a:blip r:embed="rId9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0" name="Imagem 918" descr=""/>
        <xdr:cNvPicPr/>
      </xdr:nvPicPr>
      <xdr:blipFill>
        <a:blip r:embed="rId9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1" name="Imagem 919" descr=""/>
        <xdr:cNvPicPr/>
      </xdr:nvPicPr>
      <xdr:blipFill>
        <a:blip r:embed="rId9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2" name="Imagem 920" descr=""/>
        <xdr:cNvPicPr/>
      </xdr:nvPicPr>
      <xdr:blipFill>
        <a:blip r:embed="rId9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3" name="Imagem 921" descr=""/>
        <xdr:cNvPicPr/>
      </xdr:nvPicPr>
      <xdr:blipFill>
        <a:blip r:embed="rId9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4" name="Imagem 922" descr=""/>
        <xdr:cNvPicPr/>
      </xdr:nvPicPr>
      <xdr:blipFill>
        <a:blip r:embed="rId9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5" name="Imagem 923" descr=""/>
        <xdr:cNvPicPr/>
      </xdr:nvPicPr>
      <xdr:blipFill>
        <a:blip r:embed="rId9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6" name="Imagem 924" descr=""/>
        <xdr:cNvPicPr/>
      </xdr:nvPicPr>
      <xdr:blipFill>
        <a:blip r:embed="rId9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7" name="Imagem 925" descr=""/>
        <xdr:cNvPicPr/>
      </xdr:nvPicPr>
      <xdr:blipFill>
        <a:blip r:embed="rId9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8" name="Imagem 926" descr=""/>
        <xdr:cNvPicPr/>
      </xdr:nvPicPr>
      <xdr:blipFill>
        <a:blip r:embed="rId9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29" name="Imagem 927" descr=""/>
        <xdr:cNvPicPr/>
      </xdr:nvPicPr>
      <xdr:blipFill>
        <a:blip r:embed="rId9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0" name="Imagem 928" descr=""/>
        <xdr:cNvPicPr/>
      </xdr:nvPicPr>
      <xdr:blipFill>
        <a:blip r:embed="rId9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1" name="Imagem 929" descr=""/>
        <xdr:cNvPicPr/>
      </xdr:nvPicPr>
      <xdr:blipFill>
        <a:blip r:embed="rId9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2" name="Imagem 930" descr=""/>
        <xdr:cNvPicPr/>
      </xdr:nvPicPr>
      <xdr:blipFill>
        <a:blip r:embed="rId9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3" name="Imagem 931" descr=""/>
        <xdr:cNvPicPr/>
      </xdr:nvPicPr>
      <xdr:blipFill>
        <a:blip r:embed="rId9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4" name="Imagem 932" descr=""/>
        <xdr:cNvPicPr/>
      </xdr:nvPicPr>
      <xdr:blipFill>
        <a:blip r:embed="rId9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5" name="Imagem 933" descr=""/>
        <xdr:cNvPicPr/>
      </xdr:nvPicPr>
      <xdr:blipFill>
        <a:blip r:embed="rId9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6" name="Imagem 934" descr=""/>
        <xdr:cNvPicPr/>
      </xdr:nvPicPr>
      <xdr:blipFill>
        <a:blip r:embed="rId9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7" name="Imagem 935" descr=""/>
        <xdr:cNvPicPr/>
      </xdr:nvPicPr>
      <xdr:blipFill>
        <a:blip r:embed="rId9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8" name="Imagem 936" descr=""/>
        <xdr:cNvPicPr/>
      </xdr:nvPicPr>
      <xdr:blipFill>
        <a:blip r:embed="rId9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39" name="Imagem 937" descr=""/>
        <xdr:cNvPicPr/>
      </xdr:nvPicPr>
      <xdr:blipFill>
        <a:blip r:embed="rId9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0" name="Imagem 938" descr=""/>
        <xdr:cNvPicPr/>
      </xdr:nvPicPr>
      <xdr:blipFill>
        <a:blip r:embed="rId9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1" name="Imagem 939" descr=""/>
        <xdr:cNvPicPr/>
      </xdr:nvPicPr>
      <xdr:blipFill>
        <a:blip r:embed="rId9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2" name="Imagem 940" descr=""/>
        <xdr:cNvPicPr/>
      </xdr:nvPicPr>
      <xdr:blipFill>
        <a:blip r:embed="rId9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3" name="Imagem 941" descr=""/>
        <xdr:cNvPicPr/>
      </xdr:nvPicPr>
      <xdr:blipFill>
        <a:blip r:embed="rId9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4" name="Imagem 942" descr=""/>
        <xdr:cNvPicPr/>
      </xdr:nvPicPr>
      <xdr:blipFill>
        <a:blip r:embed="rId9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5" name="Imagem 943" descr=""/>
        <xdr:cNvPicPr/>
      </xdr:nvPicPr>
      <xdr:blipFill>
        <a:blip r:embed="rId9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6" name="Imagem 944" descr=""/>
        <xdr:cNvPicPr/>
      </xdr:nvPicPr>
      <xdr:blipFill>
        <a:blip r:embed="rId9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7" name="Imagem 945" descr=""/>
        <xdr:cNvPicPr/>
      </xdr:nvPicPr>
      <xdr:blipFill>
        <a:blip r:embed="rId9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8" name="Imagem 946" descr=""/>
        <xdr:cNvPicPr/>
      </xdr:nvPicPr>
      <xdr:blipFill>
        <a:blip r:embed="rId9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49" name="Imagem 947" descr=""/>
        <xdr:cNvPicPr/>
      </xdr:nvPicPr>
      <xdr:blipFill>
        <a:blip r:embed="rId9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0" name="Imagem 948" descr=""/>
        <xdr:cNvPicPr/>
      </xdr:nvPicPr>
      <xdr:blipFill>
        <a:blip r:embed="rId9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1" name="Imagem 949" descr=""/>
        <xdr:cNvPicPr/>
      </xdr:nvPicPr>
      <xdr:blipFill>
        <a:blip r:embed="rId9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2" name="Imagem 950" descr=""/>
        <xdr:cNvPicPr/>
      </xdr:nvPicPr>
      <xdr:blipFill>
        <a:blip r:embed="rId9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3" name="Imagem 951" descr=""/>
        <xdr:cNvPicPr/>
      </xdr:nvPicPr>
      <xdr:blipFill>
        <a:blip r:embed="rId9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4" name="Imagem 952" descr=""/>
        <xdr:cNvPicPr/>
      </xdr:nvPicPr>
      <xdr:blipFill>
        <a:blip r:embed="rId9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5" name="Imagem 953" descr=""/>
        <xdr:cNvPicPr/>
      </xdr:nvPicPr>
      <xdr:blipFill>
        <a:blip r:embed="rId9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6" name="Imagem 954" descr=""/>
        <xdr:cNvPicPr/>
      </xdr:nvPicPr>
      <xdr:blipFill>
        <a:blip r:embed="rId9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7" name="Imagem 955" descr=""/>
        <xdr:cNvPicPr/>
      </xdr:nvPicPr>
      <xdr:blipFill>
        <a:blip r:embed="rId9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8" name="Imagem 956" descr=""/>
        <xdr:cNvPicPr/>
      </xdr:nvPicPr>
      <xdr:blipFill>
        <a:blip r:embed="rId9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59" name="Imagem 957" descr=""/>
        <xdr:cNvPicPr/>
      </xdr:nvPicPr>
      <xdr:blipFill>
        <a:blip r:embed="rId9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0" name="Imagem 958" descr=""/>
        <xdr:cNvPicPr/>
      </xdr:nvPicPr>
      <xdr:blipFill>
        <a:blip r:embed="rId9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1" name="Imagem 959" descr=""/>
        <xdr:cNvPicPr/>
      </xdr:nvPicPr>
      <xdr:blipFill>
        <a:blip r:embed="rId9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2" name="Imagem 960" descr=""/>
        <xdr:cNvPicPr/>
      </xdr:nvPicPr>
      <xdr:blipFill>
        <a:blip r:embed="rId9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3" name="Imagem 961" descr=""/>
        <xdr:cNvPicPr/>
      </xdr:nvPicPr>
      <xdr:blipFill>
        <a:blip r:embed="rId9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4" name="Imagem 962" descr=""/>
        <xdr:cNvPicPr/>
      </xdr:nvPicPr>
      <xdr:blipFill>
        <a:blip r:embed="rId9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5" name="Imagem 963" descr=""/>
        <xdr:cNvPicPr/>
      </xdr:nvPicPr>
      <xdr:blipFill>
        <a:blip r:embed="rId9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6" name="Imagem 964" descr=""/>
        <xdr:cNvPicPr/>
      </xdr:nvPicPr>
      <xdr:blipFill>
        <a:blip r:embed="rId9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7" name="Imagem 965" descr=""/>
        <xdr:cNvPicPr/>
      </xdr:nvPicPr>
      <xdr:blipFill>
        <a:blip r:embed="rId9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8" name="Imagem 966" descr=""/>
        <xdr:cNvPicPr/>
      </xdr:nvPicPr>
      <xdr:blipFill>
        <a:blip r:embed="rId9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69" name="Imagem 967" descr=""/>
        <xdr:cNvPicPr/>
      </xdr:nvPicPr>
      <xdr:blipFill>
        <a:blip r:embed="rId9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0" name="Imagem 968" descr=""/>
        <xdr:cNvPicPr/>
      </xdr:nvPicPr>
      <xdr:blipFill>
        <a:blip r:embed="rId9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1" name="Imagem 969" descr=""/>
        <xdr:cNvPicPr/>
      </xdr:nvPicPr>
      <xdr:blipFill>
        <a:blip r:embed="rId9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2" name="Imagem 970" descr=""/>
        <xdr:cNvPicPr/>
      </xdr:nvPicPr>
      <xdr:blipFill>
        <a:blip r:embed="rId9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3" name="Imagem 971" descr=""/>
        <xdr:cNvPicPr/>
      </xdr:nvPicPr>
      <xdr:blipFill>
        <a:blip r:embed="rId9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4" name="Imagem 972" descr=""/>
        <xdr:cNvPicPr/>
      </xdr:nvPicPr>
      <xdr:blipFill>
        <a:blip r:embed="rId9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5" name="Imagem 973" descr=""/>
        <xdr:cNvPicPr/>
      </xdr:nvPicPr>
      <xdr:blipFill>
        <a:blip r:embed="rId9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6" name="Imagem 974" descr=""/>
        <xdr:cNvPicPr/>
      </xdr:nvPicPr>
      <xdr:blipFill>
        <a:blip r:embed="rId9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7" name="Imagem 975" descr=""/>
        <xdr:cNvPicPr/>
      </xdr:nvPicPr>
      <xdr:blipFill>
        <a:blip r:embed="rId9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8" name="Imagem 976" descr=""/>
        <xdr:cNvPicPr/>
      </xdr:nvPicPr>
      <xdr:blipFill>
        <a:blip r:embed="rId9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79" name="Imagem 977" descr=""/>
        <xdr:cNvPicPr/>
      </xdr:nvPicPr>
      <xdr:blipFill>
        <a:blip r:embed="rId9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0" name="Imagem 978" descr=""/>
        <xdr:cNvPicPr/>
      </xdr:nvPicPr>
      <xdr:blipFill>
        <a:blip r:embed="rId9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1" name="Imagem 979" descr=""/>
        <xdr:cNvPicPr/>
      </xdr:nvPicPr>
      <xdr:blipFill>
        <a:blip r:embed="rId9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2" name="Imagem 980" descr=""/>
        <xdr:cNvPicPr/>
      </xdr:nvPicPr>
      <xdr:blipFill>
        <a:blip r:embed="rId9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3" name="Imagem 981" descr=""/>
        <xdr:cNvPicPr/>
      </xdr:nvPicPr>
      <xdr:blipFill>
        <a:blip r:embed="rId9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4" name="Imagem 982" descr=""/>
        <xdr:cNvPicPr/>
      </xdr:nvPicPr>
      <xdr:blipFill>
        <a:blip r:embed="rId9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5" name="Imagem 983" descr=""/>
        <xdr:cNvPicPr/>
      </xdr:nvPicPr>
      <xdr:blipFill>
        <a:blip r:embed="rId9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6" name="Imagem 984" descr=""/>
        <xdr:cNvPicPr/>
      </xdr:nvPicPr>
      <xdr:blipFill>
        <a:blip r:embed="rId9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7" name="Imagem 985" descr=""/>
        <xdr:cNvPicPr/>
      </xdr:nvPicPr>
      <xdr:blipFill>
        <a:blip r:embed="rId9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8" name="Imagem 986" descr=""/>
        <xdr:cNvPicPr/>
      </xdr:nvPicPr>
      <xdr:blipFill>
        <a:blip r:embed="rId9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89" name="Imagem 987" descr=""/>
        <xdr:cNvPicPr/>
      </xdr:nvPicPr>
      <xdr:blipFill>
        <a:blip r:embed="rId9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0" name="Imagem 988" descr=""/>
        <xdr:cNvPicPr/>
      </xdr:nvPicPr>
      <xdr:blipFill>
        <a:blip r:embed="rId9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1" name="Imagem 989" descr=""/>
        <xdr:cNvPicPr/>
      </xdr:nvPicPr>
      <xdr:blipFill>
        <a:blip r:embed="rId9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2" name="Imagem 990" descr=""/>
        <xdr:cNvPicPr/>
      </xdr:nvPicPr>
      <xdr:blipFill>
        <a:blip r:embed="rId9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3" name="Imagem 991" descr=""/>
        <xdr:cNvPicPr/>
      </xdr:nvPicPr>
      <xdr:blipFill>
        <a:blip r:embed="rId9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4" name="Imagem 992" descr=""/>
        <xdr:cNvPicPr/>
      </xdr:nvPicPr>
      <xdr:blipFill>
        <a:blip r:embed="rId9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5" name="Imagem 993" descr=""/>
        <xdr:cNvPicPr/>
      </xdr:nvPicPr>
      <xdr:blipFill>
        <a:blip r:embed="rId9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6" name="Imagem 994" descr=""/>
        <xdr:cNvPicPr/>
      </xdr:nvPicPr>
      <xdr:blipFill>
        <a:blip r:embed="rId9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7" name="Imagem 995" descr=""/>
        <xdr:cNvPicPr/>
      </xdr:nvPicPr>
      <xdr:blipFill>
        <a:blip r:embed="rId9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8" name="Imagem 996" descr=""/>
        <xdr:cNvPicPr/>
      </xdr:nvPicPr>
      <xdr:blipFill>
        <a:blip r:embed="rId9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999" name="Imagem 997" descr=""/>
        <xdr:cNvPicPr/>
      </xdr:nvPicPr>
      <xdr:blipFill>
        <a:blip r:embed="rId9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0" name="Imagem 998" descr=""/>
        <xdr:cNvPicPr/>
      </xdr:nvPicPr>
      <xdr:blipFill>
        <a:blip r:embed="rId9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1" name="Imagem 999" descr=""/>
        <xdr:cNvPicPr/>
      </xdr:nvPicPr>
      <xdr:blipFill>
        <a:blip r:embed="rId9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2" name="Imagem 1000" descr=""/>
        <xdr:cNvPicPr/>
      </xdr:nvPicPr>
      <xdr:blipFill>
        <a:blip r:embed="rId10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3" name="Imagem 1001" descr=""/>
        <xdr:cNvPicPr/>
      </xdr:nvPicPr>
      <xdr:blipFill>
        <a:blip r:embed="rId10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4" name="Imagem 1002" descr=""/>
        <xdr:cNvPicPr/>
      </xdr:nvPicPr>
      <xdr:blipFill>
        <a:blip r:embed="rId10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5" name="Imagem 1003" descr=""/>
        <xdr:cNvPicPr/>
      </xdr:nvPicPr>
      <xdr:blipFill>
        <a:blip r:embed="rId10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6" name="Imagem 1004" descr=""/>
        <xdr:cNvPicPr/>
      </xdr:nvPicPr>
      <xdr:blipFill>
        <a:blip r:embed="rId10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7" name="Imagem 1005" descr=""/>
        <xdr:cNvPicPr/>
      </xdr:nvPicPr>
      <xdr:blipFill>
        <a:blip r:embed="rId10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8" name="Imagem 1006" descr=""/>
        <xdr:cNvPicPr/>
      </xdr:nvPicPr>
      <xdr:blipFill>
        <a:blip r:embed="rId10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09" name="Imagem 1007" descr=""/>
        <xdr:cNvPicPr/>
      </xdr:nvPicPr>
      <xdr:blipFill>
        <a:blip r:embed="rId10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0" name="Imagem 1008" descr=""/>
        <xdr:cNvPicPr/>
      </xdr:nvPicPr>
      <xdr:blipFill>
        <a:blip r:embed="rId10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1" name="Imagem 1009" descr=""/>
        <xdr:cNvPicPr/>
      </xdr:nvPicPr>
      <xdr:blipFill>
        <a:blip r:embed="rId10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2" name="Imagem 1010" descr=""/>
        <xdr:cNvPicPr/>
      </xdr:nvPicPr>
      <xdr:blipFill>
        <a:blip r:embed="rId10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3" name="Imagem 1011" descr=""/>
        <xdr:cNvPicPr/>
      </xdr:nvPicPr>
      <xdr:blipFill>
        <a:blip r:embed="rId10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4" name="Imagem 1012" descr=""/>
        <xdr:cNvPicPr/>
      </xdr:nvPicPr>
      <xdr:blipFill>
        <a:blip r:embed="rId10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5" name="Imagem 1013" descr=""/>
        <xdr:cNvPicPr/>
      </xdr:nvPicPr>
      <xdr:blipFill>
        <a:blip r:embed="rId10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6" name="Imagem 1014" descr=""/>
        <xdr:cNvPicPr/>
      </xdr:nvPicPr>
      <xdr:blipFill>
        <a:blip r:embed="rId10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7" name="Imagem 1015" descr=""/>
        <xdr:cNvPicPr/>
      </xdr:nvPicPr>
      <xdr:blipFill>
        <a:blip r:embed="rId10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8" name="Imagem 1016" descr=""/>
        <xdr:cNvPicPr/>
      </xdr:nvPicPr>
      <xdr:blipFill>
        <a:blip r:embed="rId10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19" name="Imagem 1017" descr=""/>
        <xdr:cNvPicPr/>
      </xdr:nvPicPr>
      <xdr:blipFill>
        <a:blip r:embed="rId10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0" name="Imagem 1018" descr=""/>
        <xdr:cNvPicPr/>
      </xdr:nvPicPr>
      <xdr:blipFill>
        <a:blip r:embed="rId10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1" name="Imagem 1019" descr=""/>
        <xdr:cNvPicPr/>
      </xdr:nvPicPr>
      <xdr:blipFill>
        <a:blip r:embed="rId10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2" name="Imagem 1020" descr=""/>
        <xdr:cNvPicPr/>
      </xdr:nvPicPr>
      <xdr:blipFill>
        <a:blip r:embed="rId10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3" name="Imagem 1021" descr=""/>
        <xdr:cNvPicPr/>
      </xdr:nvPicPr>
      <xdr:blipFill>
        <a:blip r:embed="rId10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4" name="Imagem 1022" descr=""/>
        <xdr:cNvPicPr/>
      </xdr:nvPicPr>
      <xdr:blipFill>
        <a:blip r:embed="rId10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5" name="Imagem 1023" descr=""/>
        <xdr:cNvPicPr/>
      </xdr:nvPicPr>
      <xdr:blipFill>
        <a:blip r:embed="rId10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6" name="Imagem 1024" descr=""/>
        <xdr:cNvPicPr/>
      </xdr:nvPicPr>
      <xdr:blipFill>
        <a:blip r:embed="rId10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7" name="Imagem 1025" descr=""/>
        <xdr:cNvPicPr/>
      </xdr:nvPicPr>
      <xdr:blipFill>
        <a:blip r:embed="rId10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8" name="Imagem 1026" descr=""/>
        <xdr:cNvPicPr/>
      </xdr:nvPicPr>
      <xdr:blipFill>
        <a:blip r:embed="rId10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29" name="Imagem 1027" descr=""/>
        <xdr:cNvPicPr/>
      </xdr:nvPicPr>
      <xdr:blipFill>
        <a:blip r:embed="rId10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0" name="Imagem 1028" descr=""/>
        <xdr:cNvPicPr/>
      </xdr:nvPicPr>
      <xdr:blipFill>
        <a:blip r:embed="rId10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1" name="Imagem 1029" descr=""/>
        <xdr:cNvPicPr/>
      </xdr:nvPicPr>
      <xdr:blipFill>
        <a:blip r:embed="rId10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2" name="Imagem 1030" descr=""/>
        <xdr:cNvPicPr/>
      </xdr:nvPicPr>
      <xdr:blipFill>
        <a:blip r:embed="rId10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3" name="Imagem 1031" descr=""/>
        <xdr:cNvPicPr/>
      </xdr:nvPicPr>
      <xdr:blipFill>
        <a:blip r:embed="rId10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4" name="Imagem 1032" descr=""/>
        <xdr:cNvPicPr/>
      </xdr:nvPicPr>
      <xdr:blipFill>
        <a:blip r:embed="rId10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5" name="Imagem 1033" descr=""/>
        <xdr:cNvPicPr/>
      </xdr:nvPicPr>
      <xdr:blipFill>
        <a:blip r:embed="rId10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6" name="Imagem 1034" descr=""/>
        <xdr:cNvPicPr/>
      </xdr:nvPicPr>
      <xdr:blipFill>
        <a:blip r:embed="rId10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7" name="Imagem 1035" descr=""/>
        <xdr:cNvPicPr/>
      </xdr:nvPicPr>
      <xdr:blipFill>
        <a:blip r:embed="rId10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8" name="Imagem 1036" descr=""/>
        <xdr:cNvPicPr/>
      </xdr:nvPicPr>
      <xdr:blipFill>
        <a:blip r:embed="rId10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39" name="Imagem 1037" descr=""/>
        <xdr:cNvPicPr/>
      </xdr:nvPicPr>
      <xdr:blipFill>
        <a:blip r:embed="rId10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0" name="Imagem 1038" descr=""/>
        <xdr:cNvPicPr/>
      </xdr:nvPicPr>
      <xdr:blipFill>
        <a:blip r:embed="rId10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1" name="Imagem 1039" descr=""/>
        <xdr:cNvPicPr/>
      </xdr:nvPicPr>
      <xdr:blipFill>
        <a:blip r:embed="rId10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2" name="Imagem 1040" descr=""/>
        <xdr:cNvPicPr/>
      </xdr:nvPicPr>
      <xdr:blipFill>
        <a:blip r:embed="rId10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3" name="Imagem 1041" descr=""/>
        <xdr:cNvPicPr/>
      </xdr:nvPicPr>
      <xdr:blipFill>
        <a:blip r:embed="rId10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4" name="Imagem 1042" descr=""/>
        <xdr:cNvPicPr/>
      </xdr:nvPicPr>
      <xdr:blipFill>
        <a:blip r:embed="rId10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5" name="Imagem 1043" descr=""/>
        <xdr:cNvPicPr/>
      </xdr:nvPicPr>
      <xdr:blipFill>
        <a:blip r:embed="rId10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6" name="Imagem 1044" descr=""/>
        <xdr:cNvPicPr/>
      </xdr:nvPicPr>
      <xdr:blipFill>
        <a:blip r:embed="rId10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7" name="Imagem 1045" descr=""/>
        <xdr:cNvPicPr/>
      </xdr:nvPicPr>
      <xdr:blipFill>
        <a:blip r:embed="rId10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8" name="Imagem 1046" descr=""/>
        <xdr:cNvPicPr/>
      </xdr:nvPicPr>
      <xdr:blipFill>
        <a:blip r:embed="rId10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49" name="Imagem 1047" descr=""/>
        <xdr:cNvPicPr/>
      </xdr:nvPicPr>
      <xdr:blipFill>
        <a:blip r:embed="rId10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0" name="Imagem 1048" descr=""/>
        <xdr:cNvPicPr/>
      </xdr:nvPicPr>
      <xdr:blipFill>
        <a:blip r:embed="rId10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1" name="Imagem 1049" descr=""/>
        <xdr:cNvPicPr/>
      </xdr:nvPicPr>
      <xdr:blipFill>
        <a:blip r:embed="rId10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2" name="Imagem 1050" descr=""/>
        <xdr:cNvPicPr/>
      </xdr:nvPicPr>
      <xdr:blipFill>
        <a:blip r:embed="rId10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3" name="Imagem 1051" descr=""/>
        <xdr:cNvPicPr/>
      </xdr:nvPicPr>
      <xdr:blipFill>
        <a:blip r:embed="rId10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4" name="Imagem 1052" descr=""/>
        <xdr:cNvPicPr/>
      </xdr:nvPicPr>
      <xdr:blipFill>
        <a:blip r:embed="rId10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5" name="Imagem 1053" descr=""/>
        <xdr:cNvPicPr/>
      </xdr:nvPicPr>
      <xdr:blipFill>
        <a:blip r:embed="rId10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6" name="Imagem 1054" descr=""/>
        <xdr:cNvPicPr/>
      </xdr:nvPicPr>
      <xdr:blipFill>
        <a:blip r:embed="rId10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7" name="Imagem 1055" descr=""/>
        <xdr:cNvPicPr/>
      </xdr:nvPicPr>
      <xdr:blipFill>
        <a:blip r:embed="rId10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8" name="Imagem 1056" descr=""/>
        <xdr:cNvPicPr/>
      </xdr:nvPicPr>
      <xdr:blipFill>
        <a:blip r:embed="rId10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59" name="Imagem 1057" descr=""/>
        <xdr:cNvPicPr/>
      </xdr:nvPicPr>
      <xdr:blipFill>
        <a:blip r:embed="rId10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0" name="Imagem 1058" descr=""/>
        <xdr:cNvPicPr/>
      </xdr:nvPicPr>
      <xdr:blipFill>
        <a:blip r:embed="rId10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1" name="Imagem 1059" descr=""/>
        <xdr:cNvPicPr/>
      </xdr:nvPicPr>
      <xdr:blipFill>
        <a:blip r:embed="rId10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2" name="Imagem 1060" descr=""/>
        <xdr:cNvPicPr/>
      </xdr:nvPicPr>
      <xdr:blipFill>
        <a:blip r:embed="rId10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3" name="Imagem 1061" descr=""/>
        <xdr:cNvPicPr/>
      </xdr:nvPicPr>
      <xdr:blipFill>
        <a:blip r:embed="rId10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4" name="Imagem 1062" descr=""/>
        <xdr:cNvPicPr/>
      </xdr:nvPicPr>
      <xdr:blipFill>
        <a:blip r:embed="rId10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5" name="Imagem 1063" descr=""/>
        <xdr:cNvPicPr/>
      </xdr:nvPicPr>
      <xdr:blipFill>
        <a:blip r:embed="rId10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6" name="Imagem 1064" descr=""/>
        <xdr:cNvPicPr/>
      </xdr:nvPicPr>
      <xdr:blipFill>
        <a:blip r:embed="rId10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7" name="Imagem 1065" descr=""/>
        <xdr:cNvPicPr/>
      </xdr:nvPicPr>
      <xdr:blipFill>
        <a:blip r:embed="rId10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8" name="Imagem 1066" descr=""/>
        <xdr:cNvPicPr/>
      </xdr:nvPicPr>
      <xdr:blipFill>
        <a:blip r:embed="rId10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69" name="Imagem 1067" descr=""/>
        <xdr:cNvPicPr/>
      </xdr:nvPicPr>
      <xdr:blipFill>
        <a:blip r:embed="rId10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0" name="Imagem 1068" descr=""/>
        <xdr:cNvPicPr/>
      </xdr:nvPicPr>
      <xdr:blipFill>
        <a:blip r:embed="rId10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1" name="Imagem 1069" descr=""/>
        <xdr:cNvPicPr/>
      </xdr:nvPicPr>
      <xdr:blipFill>
        <a:blip r:embed="rId10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2" name="Imagem 1070" descr=""/>
        <xdr:cNvPicPr/>
      </xdr:nvPicPr>
      <xdr:blipFill>
        <a:blip r:embed="rId10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3" name="Imagem 1071" descr=""/>
        <xdr:cNvPicPr/>
      </xdr:nvPicPr>
      <xdr:blipFill>
        <a:blip r:embed="rId10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4" name="Imagem 1072" descr=""/>
        <xdr:cNvPicPr/>
      </xdr:nvPicPr>
      <xdr:blipFill>
        <a:blip r:embed="rId10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5" name="Imagem 1073" descr=""/>
        <xdr:cNvPicPr/>
      </xdr:nvPicPr>
      <xdr:blipFill>
        <a:blip r:embed="rId10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6" name="Imagem 1074" descr=""/>
        <xdr:cNvPicPr/>
      </xdr:nvPicPr>
      <xdr:blipFill>
        <a:blip r:embed="rId10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7" name="Imagem 1075" descr=""/>
        <xdr:cNvPicPr/>
      </xdr:nvPicPr>
      <xdr:blipFill>
        <a:blip r:embed="rId10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8" name="Imagem 1076" descr=""/>
        <xdr:cNvPicPr/>
      </xdr:nvPicPr>
      <xdr:blipFill>
        <a:blip r:embed="rId10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79" name="Imagem 1077" descr=""/>
        <xdr:cNvPicPr/>
      </xdr:nvPicPr>
      <xdr:blipFill>
        <a:blip r:embed="rId10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0" name="Imagem 1078" descr=""/>
        <xdr:cNvPicPr/>
      </xdr:nvPicPr>
      <xdr:blipFill>
        <a:blip r:embed="rId10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1" name="Imagem 1079" descr=""/>
        <xdr:cNvPicPr/>
      </xdr:nvPicPr>
      <xdr:blipFill>
        <a:blip r:embed="rId10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2" name="Imagem 1080" descr=""/>
        <xdr:cNvPicPr/>
      </xdr:nvPicPr>
      <xdr:blipFill>
        <a:blip r:embed="rId10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3" name="Imagem 1081" descr=""/>
        <xdr:cNvPicPr/>
      </xdr:nvPicPr>
      <xdr:blipFill>
        <a:blip r:embed="rId10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4" name="Imagem 1082" descr=""/>
        <xdr:cNvPicPr/>
      </xdr:nvPicPr>
      <xdr:blipFill>
        <a:blip r:embed="rId10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5" name="Imagem 1083" descr=""/>
        <xdr:cNvPicPr/>
      </xdr:nvPicPr>
      <xdr:blipFill>
        <a:blip r:embed="rId10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6" name="Imagem 1084" descr=""/>
        <xdr:cNvPicPr/>
      </xdr:nvPicPr>
      <xdr:blipFill>
        <a:blip r:embed="rId10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7" name="Imagem 1085" descr=""/>
        <xdr:cNvPicPr/>
      </xdr:nvPicPr>
      <xdr:blipFill>
        <a:blip r:embed="rId10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8" name="Imagem 1086" descr=""/>
        <xdr:cNvPicPr/>
      </xdr:nvPicPr>
      <xdr:blipFill>
        <a:blip r:embed="rId10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89" name="Imagem 1087" descr=""/>
        <xdr:cNvPicPr/>
      </xdr:nvPicPr>
      <xdr:blipFill>
        <a:blip r:embed="rId10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0" name="Imagem 1088" descr=""/>
        <xdr:cNvPicPr/>
      </xdr:nvPicPr>
      <xdr:blipFill>
        <a:blip r:embed="rId10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1" name="Imagem 1089" descr=""/>
        <xdr:cNvPicPr/>
      </xdr:nvPicPr>
      <xdr:blipFill>
        <a:blip r:embed="rId10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2" name="Imagem 1090" descr=""/>
        <xdr:cNvPicPr/>
      </xdr:nvPicPr>
      <xdr:blipFill>
        <a:blip r:embed="rId10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3" name="Imagem 1091" descr=""/>
        <xdr:cNvPicPr/>
      </xdr:nvPicPr>
      <xdr:blipFill>
        <a:blip r:embed="rId10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4" name="Imagem 1092" descr=""/>
        <xdr:cNvPicPr/>
      </xdr:nvPicPr>
      <xdr:blipFill>
        <a:blip r:embed="rId10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5" name="Imagem 1093" descr=""/>
        <xdr:cNvPicPr/>
      </xdr:nvPicPr>
      <xdr:blipFill>
        <a:blip r:embed="rId10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6" name="Imagem 1094" descr=""/>
        <xdr:cNvPicPr/>
      </xdr:nvPicPr>
      <xdr:blipFill>
        <a:blip r:embed="rId10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7" name="Imagem 1095" descr=""/>
        <xdr:cNvPicPr/>
      </xdr:nvPicPr>
      <xdr:blipFill>
        <a:blip r:embed="rId10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8" name="Imagem 1096" descr=""/>
        <xdr:cNvPicPr/>
      </xdr:nvPicPr>
      <xdr:blipFill>
        <a:blip r:embed="rId10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099" name="Imagem 1097" descr=""/>
        <xdr:cNvPicPr/>
      </xdr:nvPicPr>
      <xdr:blipFill>
        <a:blip r:embed="rId10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0" name="Imagem 1098" descr=""/>
        <xdr:cNvPicPr/>
      </xdr:nvPicPr>
      <xdr:blipFill>
        <a:blip r:embed="rId10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1" name="Imagem 1099" descr=""/>
        <xdr:cNvPicPr/>
      </xdr:nvPicPr>
      <xdr:blipFill>
        <a:blip r:embed="rId10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2" name="Imagem 1100" descr=""/>
        <xdr:cNvPicPr/>
      </xdr:nvPicPr>
      <xdr:blipFill>
        <a:blip r:embed="rId11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3" name="Imagem 1101" descr=""/>
        <xdr:cNvPicPr/>
      </xdr:nvPicPr>
      <xdr:blipFill>
        <a:blip r:embed="rId11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4" name="Imagem 1102" descr=""/>
        <xdr:cNvPicPr/>
      </xdr:nvPicPr>
      <xdr:blipFill>
        <a:blip r:embed="rId11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5" name="Imagem 1103" descr=""/>
        <xdr:cNvPicPr/>
      </xdr:nvPicPr>
      <xdr:blipFill>
        <a:blip r:embed="rId11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6" name="Imagem 1104" descr=""/>
        <xdr:cNvPicPr/>
      </xdr:nvPicPr>
      <xdr:blipFill>
        <a:blip r:embed="rId11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7" name="Imagem 1105" descr=""/>
        <xdr:cNvPicPr/>
      </xdr:nvPicPr>
      <xdr:blipFill>
        <a:blip r:embed="rId11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8" name="Imagem 1106" descr=""/>
        <xdr:cNvPicPr/>
      </xdr:nvPicPr>
      <xdr:blipFill>
        <a:blip r:embed="rId11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09" name="Imagem 1107" descr=""/>
        <xdr:cNvPicPr/>
      </xdr:nvPicPr>
      <xdr:blipFill>
        <a:blip r:embed="rId11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0" name="Imagem 1108" descr=""/>
        <xdr:cNvPicPr/>
      </xdr:nvPicPr>
      <xdr:blipFill>
        <a:blip r:embed="rId11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1" name="Imagem 1109" descr=""/>
        <xdr:cNvPicPr/>
      </xdr:nvPicPr>
      <xdr:blipFill>
        <a:blip r:embed="rId11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2" name="Imagem 1110" descr=""/>
        <xdr:cNvPicPr/>
      </xdr:nvPicPr>
      <xdr:blipFill>
        <a:blip r:embed="rId11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3" name="Imagem 1111" descr=""/>
        <xdr:cNvPicPr/>
      </xdr:nvPicPr>
      <xdr:blipFill>
        <a:blip r:embed="rId11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4" name="Imagem 1112" descr=""/>
        <xdr:cNvPicPr/>
      </xdr:nvPicPr>
      <xdr:blipFill>
        <a:blip r:embed="rId11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5" name="Imagem 1113" descr=""/>
        <xdr:cNvPicPr/>
      </xdr:nvPicPr>
      <xdr:blipFill>
        <a:blip r:embed="rId11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6" name="Imagem 1114" descr=""/>
        <xdr:cNvPicPr/>
      </xdr:nvPicPr>
      <xdr:blipFill>
        <a:blip r:embed="rId11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7" name="Imagem 1115" descr=""/>
        <xdr:cNvPicPr/>
      </xdr:nvPicPr>
      <xdr:blipFill>
        <a:blip r:embed="rId11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8" name="Imagem 1116" descr=""/>
        <xdr:cNvPicPr/>
      </xdr:nvPicPr>
      <xdr:blipFill>
        <a:blip r:embed="rId11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19" name="Imagem 1117" descr=""/>
        <xdr:cNvPicPr/>
      </xdr:nvPicPr>
      <xdr:blipFill>
        <a:blip r:embed="rId11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0" name="Imagem 1118" descr=""/>
        <xdr:cNvPicPr/>
      </xdr:nvPicPr>
      <xdr:blipFill>
        <a:blip r:embed="rId11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1" name="Imagem 1119" descr=""/>
        <xdr:cNvPicPr/>
      </xdr:nvPicPr>
      <xdr:blipFill>
        <a:blip r:embed="rId11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2" name="Imagem 1120" descr=""/>
        <xdr:cNvPicPr/>
      </xdr:nvPicPr>
      <xdr:blipFill>
        <a:blip r:embed="rId11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3" name="Imagem 1121" descr=""/>
        <xdr:cNvPicPr/>
      </xdr:nvPicPr>
      <xdr:blipFill>
        <a:blip r:embed="rId11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4" name="Imagem 1122" descr=""/>
        <xdr:cNvPicPr/>
      </xdr:nvPicPr>
      <xdr:blipFill>
        <a:blip r:embed="rId11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5" name="Imagem 1123" descr=""/>
        <xdr:cNvPicPr/>
      </xdr:nvPicPr>
      <xdr:blipFill>
        <a:blip r:embed="rId11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6" name="Imagem 1124" descr=""/>
        <xdr:cNvPicPr/>
      </xdr:nvPicPr>
      <xdr:blipFill>
        <a:blip r:embed="rId11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7" name="Imagem 1125" descr=""/>
        <xdr:cNvPicPr/>
      </xdr:nvPicPr>
      <xdr:blipFill>
        <a:blip r:embed="rId11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8" name="Imagem 1126" descr=""/>
        <xdr:cNvPicPr/>
      </xdr:nvPicPr>
      <xdr:blipFill>
        <a:blip r:embed="rId11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29" name="Imagem 1127" descr=""/>
        <xdr:cNvPicPr/>
      </xdr:nvPicPr>
      <xdr:blipFill>
        <a:blip r:embed="rId11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0" name="Imagem 1128" descr=""/>
        <xdr:cNvPicPr/>
      </xdr:nvPicPr>
      <xdr:blipFill>
        <a:blip r:embed="rId11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1" name="Imagem 1129" descr=""/>
        <xdr:cNvPicPr/>
      </xdr:nvPicPr>
      <xdr:blipFill>
        <a:blip r:embed="rId11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2" name="Imagem 1130" descr=""/>
        <xdr:cNvPicPr/>
      </xdr:nvPicPr>
      <xdr:blipFill>
        <a:blip r:embed="rId11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3" name="Imagem 1131" descr=""/>
        <xdr:cNvPicPr/>
      </xdr:nvPicPr>
      <xdr:blipFill>
        <a:blip r:embed="rId11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4" name="Imagem 1132" descr=""/>
        <xdr:cNvPicPr/>
      </xdr:nvPicPr>
      <xdr:blipFill>
        <a:blip r:embed="rId11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5" name="Imagem 1133" descr=""/>
        <xdr:cNvPicPr/>
      </xdr:nvPicPr>
      <xdr:blipFill>
        <a:blip r:embed="rId11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6" name="Imagem 1134" descr=""/>
        <xdr:cNvPicPr/>
      </xdr:nvPicPr>
      <xdr:blipFill>
        <a:blip r:embed="rId11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7" name="Imagem 1135" descr=""/>
        <xdr:cNvPicPr/>
      </xdr:nvPicPr>
      <xdr:blipFill>
        <a:blip r:embed="rId11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8" name="Imagem 1136" descr=""/>
        <xdr:cNvPicPr/>
      </xdr:nvPicPr>
      <xdr:blipFill>
        <a:blip r:embed="rId11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39" name="Imagem 1137" descr=""/>
        <xdr:cNvPicPr/>
      </xdr:nvPicPr>
      <xdr:blipFill>
        <a:blip r:embed="rId11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0" name="Imagem 1138" descr=""/>
        <xdr:cNvPicPr/>
      </xdr:nvPicPr>
      <xdr:blipFill>
        <a:blip r:embed="rId11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1" name="Imagem 1139" descr=""/>
        <xdr:cNvPicPr/>
      </xdr:nvPicPr>
      <xdr:blipFill>
        <a:blip r:embed="rId11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2" name="Imagem 1140" descr=""/>
        <xdr:cNvPicPr/>
      </xdr:nvPicPr>
      <xdr:blipFill>
        <a:blip r:embed="rId11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3" name="Imagem 1141" descr=""/>
        <xdr:cNvPicPr/>
      </xdr:nvPicPr>
      <xdr:blipFill>
        <a:blip r:embed="rId11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4" name="Imagem 1142" descr=""/>
        <xdr:cNvPicPr/>
      </xdr:nvPicPr>
      <xdr:blipFill>
        <a:blip r:embed="rId11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5" name="Imagem 1143" descr=""/>
        <xdr:cNvPicPr/>
      </xdr:nvPicPr>
      <xdr:blipFill>
        <a:blip r:embed="rId11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6" name="Imagem 1144" descr=""/>
        <xdr:cNvPicPr/>
      </xdr:nvPicPr>
      <xdr:blipFill>
        <a:blip r:embed="rId11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7" name="Imagem 1145" descr=""/>
        <xdr:cNvPicPr/>
      </xdr:nvPicPr>
      <xdr:blipFill>
        <a:blip r:embed="rId11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8" name="Imagem 1146" descr=""/>
        <xdr:cNvPicPr/>
      </xdr:nvPicPr>
      <xdr:blipFill>
        <a:blip r:embed="rId11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49" name="Imagem 1147" descr=""/>
        <xdr:cNvPicPr/>
      </xdr:nvPicPr>
      <xdr:blipFill>
        <a:blip r:embed="rId11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0" name="Imagem 1148" descr=""/>
        <xdr:cNvPicPr/>
      </xdr:nvPicPr>
      <xdr:blipFill>
        <a:blip r:embed="rId11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1" name="Imagem 1149" descr=""/>
        <xdr:cNvPicPr/>
      </xdr:nvPicPr>
      <xdr:blipFill>
        <a:blip r:embed="rId11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2" name="Imagem 1150" descr=""/>
        <xdr:cNvPicPr/>
      </xdr:nvPicPr>
      <xdr:blipFill>
        <a:blip r:embed="rId11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3" name="Imagem 1151" descr=""/>
        <xdr:cNvPicPr/>
      </xdr:nvPicPr>
      <xdr:blipFill>
        <a:blip r:embed="rId11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4" name="Imagem 1152" descr=""/>
        <xdr:cNvPicPr/>
      </xdr:nvPicPr>
      <xdr:blipFill>
        <a:blip r:embed="rId11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5" name="Imagem 1153" descr=""/>
        <xdr:cNvPicPr/>
      </xdr:nvPicPr>
      <xdr:blipFill>
        <a:blip r:embed="rId11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6" name="Imagem 1154" descr=""/>
        <xdr:cNvPicPr/>
      </xdr:nvPicPr>
      <xdr:blipFill>
        <a:blip r:embed="rId11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7" name="Imagem 1155" descr=""/>
        <xdr:cNvPicPr/>
      </xdr:nvPicPr>
      <xdr:blipFill>
        <a:blip r:embed="rId11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8" name="Imagem 1156" descr=""/>
        <xdr:cNvPicPr/>
      </xdr:nvPicPr>
      <xdr:blipFill>
        <a:blip r:embed="rId11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59" name="Imagem 1157" descr=""/>
        <xdr:cNvPicPr/>
      </xdr:nvPicPr>
      <xdr:blipFill>
        <a:blip r:embed="rId11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0" name="Imagem 1158" descr=""/>
        <xdr:cNvPicPr/>
      </xdr:nvPicPr>
      <xdr:blipFill>
        <a:blip r:embed="rId11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1" name="Imagem 1159" descr=""/>
        <xdr:cNvPicPr/>
      </xdr:nvPicPr>
      <xdr:blipFill>
        <a:blip r:embed="rId11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2" name="Imagem 1160" descr=""/>
        <xdr:cNvPicPr/>
      </xdr:nvPicPr>
      <xdr:blipFill>
        <a:blip r:embed="rId11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3" name="Imagem 1161" descr=""/>
        <xdr:cNvPicPr/>
      </xdr:nvPicPr>
      <xdr:blipFill>
        <a:blip r:embed="rId11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4" name="Imagem 1162" descr=""/>
        <xdr:cNvPicPr/>
      </xdr:nvPicPr>
      <xdr:blipFill>
        <a:blip r:embed="rId11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5" name="Imagem 1163" descr=""/>
        <xdr:cNvPicPr/>
      </xdr:nvPicPr>
      <xdr:blipFill>
        <a:blip r:embed="rId11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6" name="Imagem 1164" descr=""/>
        <xdr:cNvPicPr/>
      </xdr:nvPicPr>
      <xdr:blipFill>
        <a:blip r:embed="rId11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7" name="Imagem 1165" descr=""/>
        <xdr:cNvPicPr/>
      </xdr:nvPicPr>
      <xdr:blipFill>
        <a:blip r:embed="rId11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8" name="Imagem 1166" descr=""/>
        <xdr:cNvPicPr/>
      </xdr:nvPicPr>
      <xdr:blipFill>
        <a:blip r:embed="rId11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69" name="Imagem 1167" descr=""/>
        <xdr:cNvPicPr/>
      </xdr:nvPicPr>
      <xdr:blipFill>
        <a:blip r:embed="rId11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0" name="Imagem 1168" descr=""/>
        <xdr:cNvPicPr/>
      </xdr:nvPicPr>
      <xdr:blipFill>
        <a:blip r:embed="rId11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1" name="Imagem 1169" descr=""/>
        <xdr:cNvPicPr/>
      </xdr:nvPicPr>
      <xdr:blipFill>
        <a:blip r:embed="rId11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2" name="Imagem 1170" descr=""/>
        <xdr:cNvPicPr/>
      </xdr:nvPicPr>
      <xdr:blipFill>
        <a:blip r:embed="rId11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3" name="Imagem 1171" descr=""/>
        <xdr:cNvPicPr/>
      </xdr:nvPicPr>
      <xdr:blipFill>
        <a:blip r:embed="rId11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4" name="Imagem 1172" descr=""/>
        <xdr:cNvPicPr/>
      </xdr:nvPicPr>
      <xdr:blipFill>
        <a:blip r:embed="rId11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5" name="Imagem 1173" descr=""/>
        <xdr:cNvPicPr/>
      </xdr:nvPicPr>
      <xdr:blipFill>
        <a:blip r:embed="rId11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6" name="Imagem 1174" descr=""/>
        <xdr:cNvPicPr/>
      </xdr:nvPicPr>
      <xdr:blipFill>
        <a:blip r:embed="rId11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7" name="Imagem 1175" descr=""/>
        <xdr:cNvPicPr/>
      </xdr:nvPicPr>
      <xdr:blipFill>
        <a:blip r:embed="rId11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8" name="Imagem 1176" descr=""/>
        <xdr:cNvPicPr/>
      </xdr:nvPicPr>
      <xdr:blipFill>
        <a:blip r:embed="rId11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79" name="Imagem 1177" descr=""/>
        <xdr:cNvPicPr/>
      </xdr:nvPicPr>
      <xdr:blipFill>
        <a:blip r:embed="rId11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0" name="Imagem 1178" descr=""/>
        <xdr:cNvPicPr/>
      </xdr:nvPicPr>
      <xdr:blipFill>
        <a:blip r:embed="rId11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1" name="Imagem 1179" descr=""/>
        <xdr:cNvPicPr/>
      </xdr:nvPicPr>
      <xdr:blipFill>
        <a:blip r:embed="rId11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2" name="Imagem 1180" descr=""/>
        <xdr:cNvPicPr/>
      </xdr:nvPicPr>
      <xdr:blipFill>
        <a:blip r:embed="rId11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3" name="Imagem 1181" descr=""/>
        <xdr:cNvPicPr/>
      </xdr:nvPicPr>
      <xdr:blipFill>
        <a:blip r:embed="rId11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4" name="Imagem 1182" descr=""/>
        <xdr:cNvPicPr/>
      </xdr:nvPicPr>
      <xdr:blipFill>
        <a:blip r:embed="rId11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5" name="Imagem 1183" descr=""/>
        <xdr:cNvPicPr/>
      </xdr:nvPicPr>
      <xdr:blipFill>
        <a:blip r:embed="rId11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6" name="Imagem 1184" descr=""/>
        <xdr:cNvPicPr/>
      </xdr:nvPicPr>
      <xdr:blipFill>
        <a:blip r:embed="rId11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7" name="Imagem 1185" descr=""/>
        <xdr:cNvPicPr/>
      </xdr:nvPicPr>
      <xdr:blipFill>
        <a:blip r:embed="rId11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8" name="Imagem 1186" descr=""/>
        <xdr:cNvPicPr/>
      </xdr:nvPicPr>
      <xdr:blipFill>
        <a:blip r:embed="rId11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89" name="Imagem 1187" descr=""/>
        <xdr:cNvPicPr/>
      </xdr:nvPicPr>
      <xdr:blipFill>
        <a:blip r:embed="rId11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0" name="Imagem 1188" descr=""/>
        <xdr:cNvPicPr/>
      </xdr:nvPicPr>
      <xdr:blipFill>
        <a:blip r:embed="rId11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1" name="Imagem 1189" descr=""/>
        <xdr:cNvPicPr/>
      </xdr:nvPicPr>
      <xdr:blipFill>
        <a:blip r:embed="rId11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2" name="Imagem 1190" descr=""/>
        <xdr:cNvPicPr/>
      </xdr:nvPicPr>
      <xdr:blipFill>
        <a:blip r:embed="rId11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3" name="Imagem 1191" descr=""/>
        <xdr:cNvPicPr/>
      </xdr:nvPicPr>
      <xdr:blipFill>
        <a:blip r:embed="rId11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4" name="Imagem 1192" descr=""/>
        <xdr:cNvPicPr/>
      </xdr:nvPicPr>
      <xdr:blipFill>
        <a:blip r:embed="rId11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5" name="Imagem 1193" descr=""/>
        <xdr:cNvPicPr/>
      </xdr:nvPicPr>
      <xdr:blipFill>
        <a:blip r:embed="rId11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6" name="Imagem 1194" descr=""/>
        <xdr:cNvPicPr/>
      </xdr:nvPicPr>
      <xdr:blipFill>
        <a:blip r:embed="rId11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7" name="Imagem 1195" descr=""/>
        <xdr:cNvPicPr/>
      </xdr:nvPicPr>
      <xdr:blipFill>
        <a:blip r:embed="rId11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8" name="Imagem 1196" descr=""/>
        <xdr:cNvPicPr/>
      </xdr:nvPicPr>
      <xdr:blipFill>
        <a:blip r:embed="rId11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199" name="Imagem 1197" descr=""/>
        <xdr:cNvPicPr/>
      </xdr:nvPicPr>
      <xdr:blipFill>
        <a:blip r:embed="rId11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0" name="Imagem 1198" descr=""/>
        <xdr:cNvPicPr/>
      </xdr:nvPicPr>
      <xdr:blipFill>
        <a:blip r:embed="rId11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1" name="Imagem 1199" descr=""/>
        <xdr:cNvPicPr/>
      </xdr:nvPicPr>
      <xdr:blipFill>
        <a:blip r:embed="rId11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2" name="Imagem 1200" descr=""/>
        <xdr:cNvPicPr/>
      </xdr:nvPicPr>
      <xdr:blipFill>
        <a:blip r:embed="rId12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3" name="Imagem 1201" descr=""/>
        <xdr:cNvPicPr/>
      </xdr:nvPicPr>
      <xdr:blipFill>
        <a:blip r:embed="rId12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4" name="Imagem 1202" descr=""/>
        <xdr:cNvPicPr/>
      </xdr:nvPicPr>
      <xdr:blipFill>
        <a:blip r:embed="rId12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5" name="Imagem 1203" descr=""/>
        <xdr:cNvPicPr/>
      </xdr:nvPicPr>
      <xdr:blipFill>
        <a:blip r:embed="rId12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6" name="Imagem 1204" descr=""/>
        <xdr:cNvPicPr/>
      </xdr:nvPicPr>
      <xdr:blipFill>
        <a:blip r:embed="rId12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7" name="Imagem 1205" descr=""/>
        <xdr:cNvPicPr/>
      </xdr:nvPicPr>
      <xdr:blipFill>
        <a:blip r:embed="rId12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8" name="Imagem 1206" descr=""/>
        <xdr:cNvPicPr/>
      </xdr:nvPicPr>
      <xdr:blipFill>
        <a:blip r:embed="rId12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09" name="Imagem 1207" descr=""/>
        <xdr:cNvPicPr/>
      </xdr:nvPicPr>
      <xdr:blipFill>
        <a:blip r:embed="rId12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0" name="Imagem 1208" descr=""/>
        <xdr:cNvPicPr/>
      </xdr:nvPicPr>
      <xdr:blipFill>
        <a:blip r:embed="rId12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1" name="Imagem 1209" descr=""/>
        <xdr:cNvPicPr/>
      </xdr:nvPicPr>
      <xdr:blipFill>
        <a:blip r:embed="rId12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2" name="Imagem 1210" descr=""/>
        <xdr:cNvPicPr/>
      </xdr:nvPicPr>
      <xdr:blipFill>
        <a:blip r:embed="rId12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3" name="Imagem 1211" descr=""/>
        <xdr:cNvPicPr/>
      </xdr:nvPicPr>
      <xdr:blipFill>
        <a:blip r:embed="rId12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4" name="Imagem 1212" descr=""/>
        <xdr:cNvPicPr/>
      </xdr:nvPicPr>
      <xdr:blipFill>
        <a:blip r:embed="rId12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5" name="Imagem 1213" descr=""/>
        <xdr:cNvPicPr/>
      </xdr:nvPicPr>
      <xdr:blipFill>
        <a:blip r:embed="rId12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6" name="Imagem 1214" descr=""/>
        <xdr:cNvPicPr/>
      </xdr:nvPicPr>
      <xdr:blipFill>
        <a:blip r:embed="rId12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7" name="Imagem 1215" descr=""/>
        <xdr:cNvPicPr/>
      </xdr:nvPicPr>
      <xdr:blipFill>
        <a:blip r:embed="rId12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8" name="Imagem 1216" descr=""/>
        <xdr:cNvPicPr/>
      </xdr:nvPicPr>
      <xdr:blipFill>
        <a:blip r:embed="rId12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19" name="Imagem 1217" descr=""/>
        <xdr:cNvPicPr/>
      </xdr:nvPicPr>
      <xdr:blipFill>
        <a:blip r:embed="rId12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0" name="Imagem 1218" descr=""/>
        <xdr:cNvPicPr/>
      </xdr:nvPicPr>
      <xdr:blipFill>
        <a:blip r:embed="rId12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1" name="Imagem 1219" descr=""/>
        <xdr:cNvPicPr/>
      </xdr:nvPicPr>
      <xdr:blipFill>
        <a:blip r:embed="rId12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2" name="Imagem 1220" descr=""/>
        <xdr:cNvPicPr/>
      </xdr:nvPicPr>
      <xdr:blipFill>
        <a:blip r:embed="rId12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3" name="Imagem 1221" descr=""/>
        <xdr:cNvPicPr/>
      </xdr:nvPicPr>
      <xdr:blipFill>
        <a:blip r:embed="rId12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4" name="Imagem 1222" descr=""/>
        <xdr:cNvPicPr/>
      </xdr:nvPicPr>
      <xdr:blipFill>
        <a:blip r:embed="rId12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5" name="Imagem 1223" descr=""/>
        <xdr:cNvPicPr/>
      </xdr:nvPicPr>
      <xdr:blipFill>
        <a:blip r:embed="rId12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6" name="Imagem 1224" descr=""/>
        <xdr:cNvPicPr/>
      </xdr:nvPicPr>
      <xdr:blipFill>
        <a:blip r:embed="rId12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7" name="Imagem 1225" descr=""/>
        <xdr:cNvPicPr/>
      </xdr:nvPicPr>
      <xdr:blipFill>
        <a:blip r:embed="rId12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8" name="Imagem 1226" descr=""/>
        <xdr:cNvPicPr/>
      </xdr:nvPicPr>
      <xdr:blipFill>
        <a:blip r:embed="rId12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29" name="Imagem 1227" descr=""/>
        <xdr:cNvPicPr/>
      </xdr:nvPicPr>
      <xdr:blipFill>
        <a:blip r:embed="rId12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0" name="Imagem 1228" descr=""/>
        <xdr:cNvPicPr/>
      </xdr:nvPicPr>
      <xdr:blipFill>
        <a:blip r:embed="rId12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1" name="Imagem 1229" descr=""/>
        <xdr:cNvPicPr/>
      </xdr:nvPicPr>
      <xdr:blipFill>
        <a:blip r:embed="rId12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2" name="Imagem 1230" descr=""/>
        <xdr:cNvPicPr/>
      </xdr:nvPicPr>
      <xdr:blipFill>
        <a:blip r:embed="rId12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3" name="Imagem 1231" descr=""/>
        <xdr:cNvPicPr/>
      </xdr:nvPicPr>
      <xdr:blipFill>
        <a:blip r:embed="rId12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4" name="Imagem 1232" descr=""/>
        <xdr:cNvPicPr/>
      </xdr:nvPicPr>
      <xdr:blipFill>
        <a:blip r:embed="rId12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5" name="Imagem 1233" descr=""/>
        <xdr:cNvPicPr/>
      </xdr:nvPicPr>
      <xdr:blipFill>
        <a:blip r:embed="rId12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6" name="Imagem 1234" descr=""/>
        <xdr:cNvPicPr/>
      </xdr:nvPicPr>
      <xdr:blipFill>
        <a:blip r:embed="rId12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7" name="Imagem 1235" descr=""/>
        <xdr:cNvPicPr/>
      </xdr:nvPicPr>
      <xdr:blipFill>
        <a:blip r:embed="rId12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8" name="Imagem 1236" descr=""/>
        <xdr:cNvPicPr/>
      </xdr:nvPicPr>
      <xdr:blipFill>
        <a:blip r:embed="rId12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39" name="Imagem 1237" descr=""/>
        <xdr:cNvPicPr/>
      </xdr:nvPicPr>
      <xdr:blipFill>
        <a:blip r:embed="rId12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0" name="Imagem 1238" descr=""/>
        <xdr:cNvPicPr/>
      </xdr:nvPicPr>
      <xdr:blipFill>
        <a:blip r:embed="rId12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1" name="Imagem 1239" descr=""/>
        <xdr:cNvPicPr/>
      </xdr:nvPicPr>
      <xdr:blipFill>
        <a:blip r:embed="rId12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2" name="Imagem 1240" descr=""/>
        <xdr:cNvPicPr/>
      </xdr:nvPicPr>
      <xdr:blipFill>
        <a:blip r:embed="rId12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3" name="Imagem 1241" descr=""/>
        <xdr:cNvPicPr/>
      </xdr:nvPicPr>
      <xdr:blipFill>
        <a:blip r:embed="rId12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4" name="Imagem 1242" descr=""/>
        <xdr:cNvPicPr/>
      </xdr:nvPicPr>
      <xdr:blipFill>
        <a:blip r:embed="rId12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5" name="Imagem 1243" descr=""/>
        <xdr:cNvPicPr/>
      </xdr:nvPicPr>
      <xdr:blipFill>
        <a:blip r:embed="rId12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6" name="Imagem 1244" descr=""/>
        <xdr:cNvPicPr/>
      </xdr:nvPicPr>
      <xdr:blipFill>
        <a:blip r:embed="rId12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7" name="Imagem 1245" descr=""/>
        <xdr:cNvPicPr/>
      </xdr:nvPicPr>
      <xdr:blipFill>
        <a:blip r:embed="rId12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8" name="Imagem 1246" descr=""/>
        <xdr:cNvPicPr/>
      </xdr:nvPicPr>
      <xdr:blipFill>
        <a:blip r:embed="rId12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49" name="Imagem 1247" descr=""/>
        <xdr:cNvPicPr/>
      </xdr:nvPicPr>
      <xdr:blipFill>
        <a:blip r:embed="rId12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0" name="Imagem 1248" descr=""/>
        <xdr:cNvPicPr/>
      </xdr:nvPicPr>
      <xdr:blipFill>
        <a:blip r:embed="rId12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1" name="Imagem 1249" descr=""/>
        <xdr:cNvPicPr/>
      </xdr:nvPicPr>
      <xdr:blipFill>
        <a:blip r:embed="rId12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2" name="Imagem 1250" descr=""/>
        <xdr:cNvPicPr/>
      </xdr:nvPicPr>
      <xdr:blipFill>
        <a:blip r:embed="rId12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3" name="Imagem 1251" descr=""/>
        <xdr:cNvPicPr/>
      </xdr:nvPicPr>
      <xdr:blipFill>
        <a:blip r:embed="rId12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4" name="Imagem 1252" descr=""/>
        <xdr:cNvPicPr/>
      </xdr:nvPicPr>
      <xdr:blipFill>
        <a:blip r:embed="rId12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5" name="Imagem 1253" descr=""/>
        <xdr:cNvPicPr/>
      </xdr:nvPicPr>
      <xdr:blipFill>
        <a:blip r:embed="rId12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6" name="Imagem 1254" descr=""/>
        <xdr:cNvPicPr/>
      </xdr:nvPicPr>
      <xdr:blipFill>
        <a:blip r:embed="rId12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7" name="Imagem 1255" descr=""/>
        <xdr:cNvPicPr/>
      </xdr:nvPicPr>
      <xdr:blipFill>
        <a:blip r:embed="rId12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8" name="Imagem 1256" descr=""/>
        <xdr:cNvPicPr/>
      </xdr:nvPicPr>
      <xdr:blipFill>
        <a:blip r:embed="rId12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59" name="Imagem 1257" descr=""/>
        <xdr:cNvPicPr/>
      </xdr:nvPicPr>
      <xdr:blipFill>
        <a:blip r:embed="rId12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0" name="Imagem 1258" descr=""/>
        <xdr:cNvPicPr/>
      </xdr:nvPicPr>
      <xdr:blipFill>
        <a:blip r:embed="rId12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1" name="Imagem 1259" descr=""/>
        <xdr:cNvPicPr/>
      </xdr:nvPicPr>
      <xdr:blipFill>
        <a:blip r:embed="rId12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2" name="Imagem 1260" descr=""/>
        <xdr:cNvPicPr/>
      </xdr:nvPicPr>
      <xdr:blipFill>
        <a:blip r:embed="rId12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3" name="Imagem 1261" descr=""/>
        <xdr:cNvPicPr/>
      </xdr:nvPicPr>
      <xdr:blipFill>
        <a:blip r:embed="rId12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4" name="Imagem 1262" descr=""/>
        <xdr:cNvPicPr/>
      </xdr:nvPicPr>
      <xdr:blipFill>
        <a:blip r:embed="rId12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5" name="Imagem 1263" descr=""/>
        <xdr:cNvPicPr/>
      </xdr:nvPicPr>
      <xdr:blipFill>
        <a:blip r:embed="rId12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6" name="Imagem 1264" descr=""/>
        <xdr:cNvPicPr/>
      </xdr:nvPicPr>
      <xdr:blipFill>
        <a:blip r:embed="rId12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7" name="Imagem 1265" descr=""/>
        <xdr:cNvPicPr/>
      </xdr:nvPicPr>
      <xdr:blipFill>
        <a:blip r:embed="rId12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8" name="Imagem 1266" descr=""/>
        <xdr:cNvPicPr/>
      </xdr:nvPicPr>
      <xdr:blipFill>
        <a:blip r:embed="rId12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69" name="Imagem 1267" descr=""/>
        <xdr:cNvPicPr/>
      </xdr:nvPicPr>
      <xdr:blipFill>
        <a:blip r:embed="rId12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0" name="Imagem 1268" descr=""/>
        <xdr:cNvPicPr/>
      </xdr:nvPicPr>
      <xdr:blipFill>
        <a:blip r:embed="rId12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1" name="Imagem 1269" descr=""/>
        <xdr:cNvPicPr/>
      </xdr:nvPicPr>
      <xdr:blipFill>
        <a:blip r:embed="rId12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2" name="Imagem 1270" descr=""/>
        <xdr:cNvPicPr/>
      </xdr:nvPicPr>
      <xdr:blipFill>
        <a:blip r:embed="rId12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3" name="Imagem 1271" descr=""/>
        <xdr:cNvPicPr/>
      </xdr:nvPicPr>
      <xdr:blipFill>
        <a:blip r:embed="rId12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4" name="Imagem 1272" descr=""/>
        <xdr:cNvPicPr/>
      </xdr:nvPicPr>
      <xdr:blipFill>
        <a:blip r:embed="rId12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5" name="Imagem 1273" descr=""/>
        <xdr:cNvPicPr/>
      </xdr:nvPicPr>
      <xdr:blipFill>
        <a:blip r:embed="rId12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6" name="Imagem 1274" descr=""/>
        <xdr:cNvPicPr/>
      </xdr:nvPicPr>
      <xdr:blipFill>
        <a:blip r:embed="rId12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7" name="Imagem 1275" descr=""/>
        <xdr:cNvPicPr/>
      </xdr:nvPicPr>
      <xdr:blipFill>
        <a:blip r:embed="rId12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8" name="Imagem 1276" descr=""/>
        <xdr:cNvPicPr/>
      </xdr:nvPicPr>
      <xdr:blipFill>
        <a:blip r:embed="rId12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79" name="Imagem 1277" descr=""/>
        <xdr:cNvPicPr/>
      </xdr:nvPicPr>
      <xdr:blipFill>
        <a:blip r:embed="rId12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0" name="Imagem 1278" descr=""/>
        <xdr:cNvPicPr/>
      </xdr:nvPicPr>
      <xdr:blipFill>
        <a:blip r:embed="rId12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1" name="Imagem 1279" descr=""/>
        <xdr:cNvPicPr/>
      </xdr:nvPicPr>
      <xdr:blipFill>
        <a:blip r:embed="rId12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2" name="Imagem 1280" descr=""/>
        <xdr:cNvPicPr/>
      </xdr:nvPicPr>
      <xdr:blipFill>
        <a:blip r:embed="rId12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3" name="Imagem 1281" descr=""/>
        <xdr:cNvPicPr/>
      </xdr:nvPicPr>
      <xdr:blipFill>
        <a:blip r:embed="rId12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4" name="Imagem 1282" descr=""/>
        <xdr:cNvPicPr/>
      </xdr:nvPicPr>
      <xdr:blipFill>
        <a:blip r:embed="rId12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5" name="Imagem 1283" descr=""/>
        <xdr:cNvPicPr/>
      </xdr:nvPicPr>
      <xdr:blipFill>
        <a:blip r:embed="rId12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6" name="Imagem 1284" descr=""/>
        <xdr:cNvPicPr/>
      </xdr:nvPicPr>
      <xdr:blipFill>
        <a:blip r:embed="rId12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7" name="Imagem 1285" descr=""/>
        <xdr:cNvPicPr/>
      </xdr:nvPicPr>
      <xdr:blipFill>
        <a:blip r:embed="rId12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8" name="Imagem 1286" descr=""/>
        <xdr:cNvPicPr/>
      </xdr:nvPicPr>
      <xdr:blipFill>
        <a:blip r:embed="rId12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89" name="Imagem 1287" descr=""/>
        <xdr:cNvPicPr/>
      </xdr:nvPicPr>
      <xdr:blipFill>
        <a:blip r:embed="rId12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0" name="Imagem 1288" descr=""/>
        <xdr:cNvPicPr/>
      </xdr:nvPicPr>
      <xdr:blipFill>
        <a:blip r:embed="rId12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1" name="Imagem 1289" descr=""/>
        <xdr:cNvPicPr/>
      </xdr:nvPicPr>
      <xdr:blipFill>
        <a:blip r:embed="rId12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2" name="Imagem 1290" descr=""/>
        <xdr:cNvPicPr/>
      </xdr:nvPicPr>
      <xdr:blipFill>
        <a:blip r:embed="rId12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3" name="Imagem 1291" descr=""/>
        <xdr:cNvPicPr/>
      </xdr:nvPicPr>
      <xdr:blipFill>
        <a:blip r:embed="rId12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4" name="Imagem 1292" descr=""/>
        <xdr:cNvPicPr/>
      </xdr:nvPicPr>
      <xdr:blipFill>
        <a:blip r:embed="rId12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5" name="Imagem 1293" descr=""/>
        <xdr:cNvPicPr/>
      </xdr:nvPicPr>
      <xdr:blipFill>
        <a:blip r:embed="rId12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6" name="Imagem 1294" descr=""/>
        <xdr:cNvPicPr/>
      </xdr:nvPicPr>
      <xdr:blipFill>
        <a:blip r:embed="rId12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7" name="Imagem 1295" descr=""/>
        <xdr:cNvPicPr/>
      </xdr:nvPicPr>
      <xdr:blipFill>
        <a:blip r:embed="rId12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8" name="Imagem 1296" descr=""/>
        <xdr:cNvPicPr/>
      </xdr:nvPicPr>
      <xdr:blipFill>
        <a:blip r:embed="rId12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299" name="Imagem 1297" descr=""/>
        <xdr:cNvPicPr/>
      </xdr:nvPicPr>
      <xdr:blipFill>
        <a:blip r:embed="rId12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0" name="Imagem 1298" descr=""/>
        <xdr:cNvPicPr/>
      </xdr:nvPicPr>
      <xdr:blipFill>
        <a:blip r:embed="rId12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1" name="Imagem 1299" descr=""/>
        <xdr:cNvPicPr/>
      </xdr:nvPicPr>
      <xdr:blipFill>
        <a:blip r:embed="rId12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2" name="Imagem 1300" descr=""/>
        <xdr:cNvPicPr/>
      </xdr:nvPicPr>
      <xdr:blipFill>
        <a:blip r:embed="rId13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3" name="Imagem 1301" descr=""/>
        <xdr:cNvPicPr/>
      </xdr:nvPicPr>
      <xdr:blipFill>
        <a:blip r:embed="rId13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4" name="Imagem 1302" descr=""/>
        <xdr:cNvPicPr/>
      </xdr:nvPicPr>
      <xdr:blipFill>
        <a:blip r:embed="rId13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5" name="Imagem 1303" descr=""/>
        <xdr:cNvPicPr/>
      </xdr:nvPicPr>
      <xdr:blipFill>
        <a:blip r:embed="rId13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6" name="Imagem 1304" descr=""/>
        <xdr:cNvPicPr/>
      </xdr:nvPicPr>
      <xdr:blipFill>
        <a:blip r:embed="rId13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7" name="Imagem 1305" descr=""/>
        <xdr:cNvPicPr/>
      </xdr:nvPicPr>
      <xdr:blipFill>
        <a:blip r:embed="rId13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8" name="Imagem 1306" descr=""/>
        <xdr:cNvPicPr/>
      </xdr:nvPicPr>
      <xdr:blipFill>
        <a:blip r:embed="rId13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09" name="Imagem 1307" descr=""/>
        <xdr:cNvPicPr/>
      </xdr:nvPicPr>
      <xdr:blipFill>
        <a:blip r:embed="rId13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0" name="Imagem 1308" descr=""/>
        <xdr:cNvPicPr/>
      </xdr:nvPicPr>
      <xdr:blipFill>
        <a:blip r:embed="rId13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1" name="Imagem 1309" descr=""/>
        <xdr:cNvPicPr/>
      </xdr:nvPicPr>
      <xdr:blipFill>
        <a:blip r:embed="rId13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2" name="Imagem 1310" descr=""/>
        <xdr:cNvPicPr/>
      </xdr:nvPicPr>
      <xdr:blipFill>
        <a:blip r:embed="rId13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3" name="Imagem 1311" descr=""/>
        <xdr:cNvPicPr/>
      </xdr:nvPicPr>
      <xdr:blipFill>
        <a:blip r:embed="rId13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4" name="Imagem 1312" descr=""/>
        <xdr:cNvPicPr/>
      </xdr:nvPicPr>
      <xdr:blipFill>
        <a:blip r:embed="rId13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5" name="Imagem 1313" descr=""/>
        <xdr:cNvPicPr/>
      </xdr:nvPicPr>
      <xdr:blipFill>
        <a:blip r:embed="rId13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6" name="Imagem 1314" descr=""/>
        <xdr:cNvPicPr/>
      </xdr:nvPicPr>
      <xdr:blipFill>
        <a:blip r:embed="rId13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7" name="Imagem 1315" descr=""/>
        <xdr:cNvPicPr/>
      </xdr:nvPicPr>
      <xdr:blipFill>
        <a:blip r:embed="rId13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8" name="Imagem 1316" descr=""/>
        <xdr:cNvPicPr/>
      </xdr:nvPicPr>
      <xdr:blipFill>
        <a:blip r:embed="rId13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19" name="Imagem 1317" descr=""/>
        <xdr:cNvPicPr/>
      </xdr:nvPicPr>
      <xdr:blipFill>
        <a:blip r:embed="rId13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0" name="Imagem 1318" descr=""/>
        <xdr:cNvPicPr/>
      </xdr:nvPicPr>
      <xdr:blipFill>
        <a:blip r:embed="rId13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1" name="Imagem 1319" descr=""/>
        <xdr:cNvPicPr/>
      </xdr:nvPicPr>
      <xdr:blipFill>
        <a:blip r:embed="rId13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2" name="Imagem 1320" descr=""/>
        <xdr:cNvPicPr/>
      </xdr:nvPicPr>
      <xdr:blipFill>
        <a:blip r:embed="rId13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3" name="Imagem 1321" descr=""/>
        <xdr:cNvPicPr/>
      </xdr:nvPicPr>
      <xdr:blipFill>
        <a:blip r:embed="rId13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4" name="Imagem 1322" descr=""/>
        <xdr:cNvPicPr/>
      </xdr:nvPicPr>
      <xdr:blipFill>
        <a:blip r:embed="rId13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5" name="Imagem 1323" descr=""/>
        <xdr:cNvPicPr/>
      </xdr:nvPicPr>
      <xdr:blipFill>
        <a:blip r:embed="rId13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6" name="Imagem 1324" descr=""/>
        <xdr:cNvPicPr/>
      </xdr:nvPicPr>
      <xdr:blipFill>
        <a:blip r:embed="rId13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7" name="Imagem 1325" descr=""/>
        <xdr:cNvPicPr/>
      </xdr:nvPicPr>
      <xdr:blipFill>
        <a:blip r:embed="rId13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8" name="Imagem 1326" descr=""/>
        <xdr:cNvPicPr/>
      </xdr:nvPicPr>
      <xdr:blipFill>
        <a:blip r:embed="rId13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29" name="Imagem 1327" descr=""/>
        <xdr:cNvPicPr/>
      </xdr:nvPicPr>
      <xdr:blipFill>
        <a:blip r:embed="rId13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0" name="Imagem 1328" descr=""/>
        <xdr:cNvPicPr/>
      </xdr:nvPicPr>
      <xdr:blipFill>
        <a:blip r:embed="rId13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1" name="Imagem 1329" descr=""/>
        <xdr:cNvPicPr/>
      </xdr:nvPicPr>
      <xdr:blipFill>
        <a:blip r:embed="rId13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2" name="Imagem 1330" descr=""/>
        <xdr:cNvPicPr/>
      </xdr:nvPicPr>
      <xdr:blipFill>
        <a:blip r:embed="rId13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3" name="Imagem 1331" descr=""/>
        <xdr:cNvPicPr/>
      </xdr:nvPicPr>
      <xdr:blipFill>
        <a:blip r:embed="rId13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4" name="Imagem 1332" descr=""/>
        <xdr:cNvPicPr/>
      </xdr:nvPicPr>
      <xdr:blipFill>
        <a:blip r:embed="rId13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5" name="Imagem 1333" descr=""/>
        <xdr:cNvPicPr/>
      </xdr:nvPicPr>
      <xdr:blipFill>
        <a:blip r:embed="rId13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6" name="Imagem 1334" descr=""/>
        <xdr:cNvPicPr/>
      </xdr:nvPicPr>
      <xdr:blipFill>
        <a:blip r:embed="rId13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7" name="Imagem 1335" descr=""/>
        <xdr:cNvPicPr/>
      </xdr:nvPicPr>
      <xdr:blipFill>
        <a:blip r:embed="rId13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8" name="Imagem 1336" descr=""/>
        <xdr:cNvPicPr/>
      </xdr:nvPicPr>
      <xdr:blipFill>
        <a:blip r:embed="rId13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39" name="Imagem 1337" descr=""/>
        <xdr:cNvPicPr/>
      </xdr:nvPicPr>
      <xdr:blipFill>
        <a:blip r:embed="rId13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0" name="Imagem 1338" descr=""/>
        <xdr:cNvPicPr/>
      </xdr:nvPicPr>
      <xdr:blipFill>
        <a:blip r:embed="rId13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1" name="Imagem 1339" descr=""/>
        <xdr:cNvPicPr/>
      </xdr:nvPicPr>
      <xdr:blipFill>
        <a:blip r:embed="rId13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2" name="Imagem 1340" descr=""/>
        <xdr:cNvPicPr/>
      </xdr:nvPicPr>
      <xdr:blipFill>
        <a:blip r:embed="rId13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3" name="Imagem 1341" descr=""/>
        <xdr:cNvPicPr/>
      </xdr:nvPicPr>
      <xdr:blipFill>
        <a:blip r:embed="rId13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4" name="Imagem 1342" descr=""/>
        <xdr:cNvPicPr/>
      </xdr:nvPicPr>
      <xdr:blipFill>
        <a:blip r:embed="rId13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5" name="Imagem 1343" descr=""/>
        <xdr:cNvPicPr/>
      </xdr:nvPicPr>
      <xdr:blipFill>
        <a:blip r:embed="rId13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6" name="Imagem 1344" descr=""/>
        <xdr:cNvPicPr/>
      </xdr:nvPicPr>
      <xdr:blipFill>
        <a:blip r:embed="rId13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7" name="Imagem 1345" descr=""/>
        <xdr:cNvPicPr/>
      </xdr:nvPicPr>
      <xdr:blipFill>
        <a:blip r:embed="rId13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8" name="Imagem 1346" descr=""/>
        <xdr:cNvPicPr/>
      </xdr:nvPicPr>
      <xdr:blipFill>
        <a:blip r:embed="rId13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49" name="Imagem 1347" descr=""/>
        <xdr:cNvPicPr/>
      </xdr:nvPicPr>
      <xdr:blipFill>
        <a:blip r:embed="rId13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0" name="Imagem 1348" descr=""/>
        <xdr:cNvPicPr/>
      </xdr:nvPicPr>
      <xdr:blipFill>
        <a:blip r:embed="rId13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1" name="Imagem 1349" descr=""/>
        <xdr:cNvPicPr/>
      </xdr:nvPicPr>
      <xdr:blipFill>
        <a:blip r:embed="rId13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2" name="Imagem 1350" descr=""/>
        <xdr:cNvPicPr/>
      </xdr:nvPicPr>
      <xdr:blipFill>
        <a:blip r:embed="rId13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3" name="Imagem 1351" descr=""/>
        <xdr:cNvPicPr/>
      </xdr:nvPicPr>
      <xdr:blipFill>
        <a:blip r:embed="rId13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4" name="Imagem 1352" descr=""/>
        <xdr:cNvPicPr/>
      </xdr:nvPicPr>
      <xdr:blipFill>
        <a:blip r:embed="rId13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5" name="Imagem 1353" descr=""/>
        <xdr:cNvPicPr/>
      </xdr:nvPicPr>
      <xdr:blipFill>
        <a:blip r:embed="rId13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6" name="Imagem 1354" descr=""/>
        <xdr:cNvPicPr/>
      </xdr:nvPicPr>
      <xdr:blipFill>
        <a:blip r:embed="rId13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7" name="Imagem 1355" descr=""/>
        <xdr:cNvPicPr/>
      </xdr:nvPicPr>
      <xdr:blipFill>
        <a:blip r:embed="rId13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8" name="Imagem 1356" descr=""/>
        <xdr:cNvPicPr/>
      </xdr:nvPicPr>
      <xdr:blipFill>
        <a:blip r:embed="rId13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59" name="Imagem 1357" descr=""/>
        <xdr:cNvPicPr/>
      </xdr:nvPicPr>
      <xdr:blipFill>
        <a:blip r:embed="rId13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0" name="Imagem 1358" descr=""/>
        <xdr:cNvPicPr/>
      </xdr:nvPicPr>
      <xdr:blipFill>
        <a:blip r:embed="rId13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1" name="Imagem 1359" descr=""/>
        <xdr:cNvPicPr/>
      </xdr:nvPicPr>
      <xdr:blipFill>
        <a:blip r:embed="rId13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2" name="Imagem 1360" descr=""/>
        <xdr:cNvPicPr/>
      </xdr:nvPicPr>
      <xdr:blipFill>
        <a:blip r:embed="rId13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3" name="Imagem 1361" descr=""/>
        <xdr:cNvPicPr/>
      </xdr:nvPicPr>
      <xdr:blipFill>
        <a:blip r:embed="rId13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4" name="Imagem 1362" descr=""/>
        <xdr:cNvPicPr/>
      </xdr:nvPicPr>
      <xdr:blipFill>
        <a:blip r:embed="rId13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5" name="Imagem 1363" descr=""/>
        <xdr:cNvPicPr/>
      </xdr:nvPicPr>
      <xdr:blipFill>
        <a:blip r:embed="rId13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6" name="Imagem 1364" descr=""/>
        <xdr:cNvPicPr/>
      </xdr:nvPicPr>
      <xdr:blipFill>
        <a:blip r:embed="rId13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7" name="Imagem 1365" descr=""/>
        <xdr:cNvPicPr/>
      </xdr:nvPicPr>
      <xdr:blipFill>
        <a:blip r:embed="rId13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8" name="Imagem 1366" descr=""/>
        <xdr:cNvPicPr/>
      </xdr:nvPicPr>
      <xdr:blipFill>
        <a:blip r:embed="rId13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69" name="Imagem 1367" descr=""/>
        <xdr:cNvPicPr/>
      </xdr:nvPicPr>
      <xdr:blipFill>
        <a:blip r:embed="rId13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0" name="Imagem 1368" descr=""/>
        <xdr:cNvPicPr/>
      </xdr:nvPicPr>
      <xdr:blipFill>
        <a:blip r:embed="rId13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1" name="Imagem 1369" descr=""/>
        <xdr:cNvPicPr/>
      </xdr:nvPicPr>
      <xdr:blipFill>
        <a:blip r:embed="rId13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2" name="Imagem 1370" descr=""/>
        <xdr:cNvPicPr/>
      </xdr:nvPicPr>
      <xdr:blipFill>
        <a:blip r:embed="rId13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3" name="Imagem 1371" descr=""/>
        <xdr:cNvPicPr/>
      </xdr:nvPicPr>
      <xdr:blipFill>
        <a:blip r:embed="rId13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4" name="Imagem 1372" descr=""/>
        <xdr:cNvPicPr/>
      </xdr:nvPicPr>
      <xdr:blipFill>
        <a:blip r:embed="rId13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5" name="Imagem 1373" descr=""/>
        <xdr:cNvPicPr/>
      </xdr:nvPicPr>
      <xdr:blipFill>
        <a:blip r:embed="rId13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6" name="Imagem 1374" descr=""/>
        <xdr:cNvPicPr/>
      </xdr:nvPicPr>
      <xdr:blipFill>
        <a:blip r:embed="rId13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7" name="Imagem 1375" descr=""/>
        <xdr:cNvPicPr/>
      </xdr:nvPicPr>
      <xdr:blipFill>
        <a:blip r:embed="rId13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8" name="Imagem 1376" descr=""/>
        <xdr:cNvPicPr/>
      </xdr:nvPicPr>
      <xdr:blipFill>
        <a:blip r:embed="rId13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79" name="Imagem 1377" descr=""/>
        <xdr:cNvPicPr/>
      </xdr:nvPicPr>
      <xdr:blipFill>
        <a:blip r:embed="rId13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0" name="Imagem 1378" descr=""/>
        <xdr:cNvPicPr/>
      </xdr:nvPicPr>
      <xdr:blipFill>
        <a:blip r:embed="rId13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1" name="Imagem 1379" descr=""/>
        <xdr:cNvPicPr/>
      </xdr:nvPicPr>
      <xdr:blipFill>
        <a:blip r:embed="rId13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2" name="Imagem 1380" descr=""/>
        <xdr:cNvPicPr/>
      </xdr:nvPicPr>
      <xdr:blipFill>
        <a:blip r:embed="rId13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3" name="Imagem 1381" descr=""/>
        <xdr:cNvPicPr/>
      </xdr:nvPicPr>
      <xdr:blipFill>
        <a:blip r:embed="rId13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4" name="Imagem 1382" descr=""/>
        <xdr:cNvPicPr/>
      </xdr:nvPicPr>
      <xdr:blipFill>
        <a:blip r:embed="rId13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5" name="Imagem 1383" descr=""/>
        <xdr:cNvPicPr/>
      </xdr:nvPicPr>
      <xdr:blipFill>
        <a:blip r:embed="rId13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6" name="Imagem 1384" descr=""/>
        <xdr:cNvPicPr/>
      </xdr:nvPicPr>
      <xdr:blipFill>
        <a:blip r:embed="rId13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7" name="Imagem 1385" descr=""/>
        <xdr:cNvPicPr/>
      </xdr:nvPicPr>
      <xdr:blipFill>
        <a:blip r:embed="rId13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8" name="Imagem 1386" descr=""/>
        <xdr:cNvPicPr/>
      </xdr:nvPicPr>
      <xdr:blipFill>
        <a:blip r:embed="rId13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89" name="Imagem 1387" descr=""/>
        <xdr:cNvPicPr/>
      </xdr:nvPicPr>
      <xdr:blipFill>
        <a:blip r:embed="rId13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0" name="Imagem 1388" descr=""/>
        <xdr:cNvPicPr/>
      </xdr:nvPicPr>
      <xdr:blipFill>
        <a:blip r:embed="rId13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1" name="Imagem 1389" descr=""/>
        <xdr:cNvPicPr/>
      </xdr:nvPicPr>
      <xdr:blipFill>
        <a:blip r:embed="rId13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2" name="Imagem 1390" descr=""/>
        <xdr:cNvPicPr/>
      </xdr:nvPicPr>
      <xdr:blipFill>
        <a:blip r:embed="rId13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3" name="Imagem 1391" descr=""/>
        <xdr:cNvPicPr/>
      </xdr:nvPicPr>
      <xdr:blipFill>
        <a:blip r:embed="rId13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4" name="Imagem 1392" descr=""/>
        <xdr:cNvPicPr/>
      </xdr:nvPicPr>
      <xdr:blipFill>
        <a:blip r:embed="rId13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5" name="Imagem 1393" descr=""/>
        <xdr:cNvPicPr/>
      </xdr:nvPicPr>
      <xdr:blipFill>
        <a:blip r:embed="rId13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6" name="Imagem 1394" descr=""/>
        <xdr:cNvPicPr/>
      </xdr:nvPicPr>
      <xdr:blipFill>
        <a:blip r:embed="rId13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7" name="Imagem 1395" descr=""/>
        <xdr:cNvPicPr/>
      </xdr:nvPicPr>
      <xdr:blipFill>
        <a:blip r:embed="rId13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8" name="Imagem 1396" descr=""/>
        <xdr:cNvPicPr/>
      </xdr:nvPicPr>
      <xdr:blipFill>
        <a:blip r:embed="rId13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399" name="Imagem 1397" descr=""/>
        <xdr:cNvPicPr/>
      </xdr:nvPicPr>
      <xdr:blipFill>
        <a:blip r:embed="rId13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0" name="Imagem 1398" descr=""/>
        <xdr:cNvPicPr/>
      </xdr:nvPicPr>
      <xdr:blipFill>
        <a:blip r:embed="rId13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1" name="Imagem 1399" descr=""/>
        <xdr:cNvPicPr/>
      </xdr:nvPicPr>
      <xdr:blipFill>
        <a:blip r:embed="rId13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2" name="Imagem 1400" descr=""/>
        <xdr:cNvPicPr/>
      </xdr:nvPicPr>
      <xdr:blipFill>
        <a:blip r:embed="rId14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3" name="Imagem 1401" descr=""/>
        <xdr:cNvPicPr/>
      </xdr:nvPicPr>
      <xdr:blipFill>
        <a:blip r:embed="rId14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4" name="Imagem 1402" descr=""/>
        <xdr:cNvPicPr/>
      </xdr:nvPicPr>
      <xdr:blipFill>
        <a:blip r:embed="rId14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5" name="Imagem 1403" descr=""/>
        <xdr:cNvPicPr/>
      </xdr:nvPicPr>
      <xdr:blipFill>
        <a:blip r:embed="rId14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6" name="Imagem 1404" descr=""/>
        <xdr:cNvPicPr/>
      </xdr:nvPicPr>
      <xdr:blipFill>
        <a:blip r:embed="rId14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7" name="Imagem 1405" descr=""/>
        <xdr:cNvPicPr/>
      </xdr:nvPicPr>
      <xdr:blipFill>
        <a:blip r:embed="rId14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8" name="Imagem 1406" descr=""/>
        <xdr:cNvPicPr/>
      </xdr:nvPicPr>
      <xdr:blipFill>
        <a:blip r:embed="rId14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09" name="Imagem 1407" descr=""/>
        <xdr:cNvPicPr/>
      </xdr:nvPicPr>
      <xdr:blipFill>
        <a:blip r:embed="rId14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0" name="Imagem 1408" descr=""/>
        <xdr:cNvPicPr/>
      </xdr:nvPicPr>
      <xdr:blipFill>
        <a:blip r:embed="rId14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1" name="Imagem 1409" descr=""/>
        <xdr:cNvPicPr/>
      </xdr:nvPicPr>
      <xdr:blipFill>
        <a:blip r:embed="rId14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2" name="Imagem 1410" descr=""/>
        <xdr:cNvPicPr/>
      </xdr:nvPicPr>
      <xdr:blipFill>
        <a:blip r:embed="rId14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3" name="Imagem 1411" descr=""/>
        <xdr:cNvPicPr/>
      </xdr:nvPicPr>
      <xdr:blipFill>
        <a:blip r:embed="rId14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4" name="Imagem 1412" descr=""/>
        <xdr:cNvPicPr/>
      </xdr:nvPicPr>
      <xdr:blipFill>
        <a:blip r:embed="rId14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5" name="Imagem 1413" descr=""/>
        <xdr:cNvPicPr/>
      </xdr:nvPicPr>
      <xdr:blipFill>
        <a:blip r:embed="rId14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6" name="Imagem 1414" descr=""/>
        <xdr:cNvPicPr/>
      </xdr:nvPicPr>
      <xdr:blipFill>
        <a:blip r:embed="rId14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7" name="Imagem 1415" descr=""/>
        <xdr:cNvPicPr/>
      </xdr:nvPicPr>
      <xdr:blipFill>
        <a:blip r:embed="rId14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8" name="Imagem 1416" descr=""/>
        <xdr:cNvPicPr/>
      </xdr:nvPicPr>
      <xdr:blipFill>
        <a:blip r:embed="rId14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19" name="Imagem 1417" descr=""/>
        <xdr:cNvPicPr/>
      </xdr:nvPicPr>
      <xdr:blipFill>
        <a:blip r:embed="rId14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0" name="Imagem 1418" descr=""/>
        <xdr:cNvPicPr/>
      </xdr:nvPicPr>
      <xdr:blipFill>
        <a:blip r:embed="rId14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1" name="Imagem 1419" descr=""/>
        <xdr:cNvPicPr/>
      </xdr:nvPicPr>
      <xdr:blipFill>
        <a:blip r:embed="rId14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2" name="Imagem 1420" descr=""/>
        <xdr:cNvPicPr/>
      </xdr:nvPicPr>
      <xdr:blipFill>
        <a:blip r:embed="rId14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3" name="Imagem 1421" descr=""/>
        <xdr:cNvPicPr/>
      </xdr:nvPicPr>
      <xdr:blipFill>
        <a:blip r:embed="rId14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4" name="Imagem 1624" descr=""/>
        <xdr:cNvPicPr/>
      </xdr:nvPicPr>
      <xdr:blipFill>
        <a:blip r:embed="rId14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5" name="Imagem 1625" descr=""/>
        <xdr:cNvPicPr/>
      </xdr:nvPicPr>
      <xdr:blipFill>
        <a:blip r:embed="rId14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6" name="Imagem 1626" descr=""/>
        <xdr:cNvPicPr/>
      </xdr:nvPicPr>
      <xdr:blipFill>
        <a:blip r:embed="rId14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7" name="Imagem 1627" descr=""/>
        <xdr:cNvPicPr/>
      </xdr:nvPicPr>
      <xdr:blipFill>
        <a:blip r:embed="rId14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8" name="Imagem 1628" descr=""/>
        <xdr:cNvPicPr/>
      </xdr:nvPicPr>
      <xdr:blipFill>
        <a:blip r:embed="rId14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29" name="Imagem 1629" descr=""/>
        <xdr:cNvPicPr/>
      </xdr:nvPicPr>
      <xdr:blipFill>
        <a:blip r:embed="rId14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0" name="Imagem 1630" descr=""/>
        <xdr:cNvPicPr/>
      </xdr:nvPicPr>
      <xdr:blipFill>
        <a:blip r:embed="rId14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1" name="Imagem 1631" descr=""/>
        <xdr:cNvPicPr/>
      </xdr:nvPicPr>
      <xdr:blipFill>
        <a:blip r:embed="rId14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2" name="Imagem 1632" descr=""/>
        <xdr:cNvPicPr/>
      </xdr:nvPicPr>
      <xdr:blipFill>
        <a:blip r:embed="rId14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3" name="Imagem 1633" descr=""/>
        <xdr:cNvPicPr/>
      </xdr:nvPicPr>
      <xdr:blipFill>
        <a:blip r:embed="rId14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4" name="Imagem 1634" descr=""/>
        <xdr:cNvPicPr/>
      </xdr:nvPicPr>
      <xdr:blipFill>
        <a:blip r:embed="rId14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5" name="Imagem 1635" descr=""/>
        <xdr:cNvPicPr/>
      </xdr:nvPicPr>
      <xdr:blipFill>
        <a:blip r:embed="rId14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6" name="Imagem 1636" descr=""/>
        <xdr:cNvPicPr/>
      </xdr:nvPicPr>
      <xdr:blipFill>
        <a:blip r:embed="rId14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7" name="Imagem 1637" descr=""/>
        <xdr:cNvPicPr/>
      </xdr:nvPicPr>
      <xdr:blipFill>
        <a:blip r:embed="rId14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8" name="Imagem 1638" descr=""/>
        <xdr:cNvPicPr/>
      </xdr:nvPicPr>
      <xdr:blipFill>
        <a:blip r:embed="rId14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39" name="Imagem 1639" descr=""/>
        <xdr:cNvPicPr/>
      </xdr:nvPicPr>
      <xdr:blipFill>
        <a:blip r:embed="rId14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0" name="Imagem 1640" descr=""/>
        <xdr:cNvPicPr/>
      </xdr:nvPicPr>
      <xdr:blipFill>
        <a:blip r:embed="rId14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1" name="Imagem 1641" descr=""/>
        <xdr:cNvPicPr/>
      </xdr:nvPicPr>
      <xdr:blipFill>
        <a:blip r:embed="rId14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2" name="Imagem 1642" descr=""/>
        <xdr:cNvPicPr/>
      </xdr:nvPicPr>
      <xdr:blipFill>
        <a:blip r:embed="rId14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3" name="Imagem 1643" descr=""/>
        <xdr:cNvPicPr/>
      </xdr:nvPicPr>
      <xdr:blipFill>
        <a:blip r:embed="rId14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4" name="Imagem 1644" descr=""/>
        <xdr:cNvPicPr/>
      </xdr:nvPicPr>
      <xdr:blipFill>
        <a:blip r:embed="rId14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5" name="Imagem 1645" descr=""/>
        <xdr:cNvPicPr/>
      </xdr:nvPicPr>
      <xdr:blipFill>
        <a:blip r:embed="rId14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6" name="Imagem 1646" descr=""/>
        <xdr:cNvPicPr/>
      </xdr:nvPicPr>
      <xdr:blipFill>
        <a:blip r:embed="rId14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7" name="Imagem 1647" descr=""/>
        <xdr:cNvPicPr/>
      </xdr:nvPicPr>
      <xdr:blipFill>
        <a:blip r:embed="rId14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8" name="Imagem 1648" descr=""/>
        <xdr:cNvPicPr/>
      </xdr:nvPicPr>
      <xdr:blipFill>
        <a:blip r:embed="rId14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49" name="Imagem 1649" descr=""/>
        <xdr:cNvPicPr/>
      </xdr:nvPicPr>
      <xdr:blipFill>
        <a:blip r:embed="rId14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0" name="Imagem 1650" descr=""/>
        <xdr:cNvPicPr/>
      </xdr:nvPicPr>
      <xdr:blipFill>
        <a:blip r:embed="rId14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1" name="Imagem 1651" descr=""/>
        <xdr:cNvPicPr/>
      </xdr:nvPicPr>
      <xdr:blipFill>
        <a:blip r:embed="rId14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2" name="Imagem 1652" descr=""/>
        <xdr:cNvPicPr/>
      </xdr:nvPicPr>
      <xdr:blipFill>
        <a:blip r:embed="rId14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3" name="Imagem 1653" descr=""/>
        <xdr:cNvPicPr/>
      </xdr:nvPicPr>
      <xdr:blipFill>
        <a:blip r:embed="rId14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4" name="Imagem 1654" descr=""/>
        <xdr:cNvPicPr/>
      </xdr:nvPicPr>
      <xdr:blipFill>
        <a:blip r:embed="rId14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5" name="Imagem 1655" descr=""/>
        <xdr:cNvPicPr/>
      </xdr:nvPicPr>
      <xdr:blipFill>
        <a:blip r:embed="rId14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6" name="Imagem 1656" descr=""/>
        <xdr:cNvPicPr/>
      </xdr:nvPicPr>
      <xdr:blipFill>
        <a:blip r:embed="rId14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7" name="Imagem 1657" descr=""/>
        <xdr:cNvPicPr/>
      </xdr:nvPicPr>
      <xdr:blipFill>
        <a:blip r:embed="rId14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8" name="Imagem 1658" descr=""/>
        <xdr:cNvPicPr/>
      </xdr:nvPicPr>
      <xdr:blipFill>
        <a:blip r:embed="rId14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59" name="Imagem 1659" descr=""/>
        <xdr:cNvPicPr/>
      </xdr:nvPicPr>
      <xdr:blipFill>
        <a:blip r:embed="rId14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0" name="Imagem 1660" descr=""/>
        <xdr:cNvPicPr/>
      </xdr:nvPicPr>
      <xdr:blipFill>
        <a:blip r:embed="rId14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1" name="Imagem 1661" descr=""/>
        <xdr:cNvPicPr/>
      </xdr:nvPicPr>
      <xdr:blipFill>
        <a:blip r:embed="rId14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2" name="Imagem 1662" descr=""/>
        <xdr:cNvPicPr/>
      </xdr:nvPicPr>
      <xdr:blipFill>
        <a:blip r:embed="rId14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3" name="Imagem 1663" descr=""/>
        <xdr:cNvPicPr/>
      </xdr:nvPicPr>
      <xdr:blipFill>
        <a:blip r:embed="rId14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4" name="Imagem 1664" descr=""/>
        <xdr:cNvPicPr/>
      </xdr:nvPicPr>
      <xdr:blipFill>
        <a:blip r:embed="rId14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5" name="Imagem 1665" descr=""/>
        <xdr:cNvPicPr/>
      </xdr:nvPicPr>
      <xdr:blipFill>
        <a:blip r:embed="rId14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6" name="Imagem 1666" descr=""/>
        <xdr:cNvPicPr/>
      </xdr:nvPicPr>
      <xdr:blipFill>
        <a:blip r:embed="rId14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7" name="Imagem 1667" descr=""/>
        <xdr:cNvPicPr/>
      </xdr:nvPicPr>
      <xdr:blipFill>
        <a:blip r:embed="rId14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8" name="Imagem 1668" descr=""/>
        <xdr:cNvPicPr/>
      </xdr:nvPicPr>
      <xdr:blipFill>
        <a:blip r:embed="rId14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69" name="Imagem 1669" descr=""/>
        <xdr:cNvPicPr/>
      </xdr:nvPicPr>
      <xdr:blipFill>
        <a:blip r:embed="rId14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0" name="Imagem 1670" descr=""/>
        <xdr:cNvPicPr/>
      </xdr:nvPicPr>
      <xdr:blipFill>
        <a:blip r:embed="rId14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1" name="Imagem 1671" descr=""/>
        <xdr:cNvPicPr/>
      </xdr:nvPicPr>
      <xdr:blipFill>
        <a:blip r:embed="rId14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2" name="Imagem 1672" descr=""/>
        <xdr:cNvPicPr/>
      </xdr:nvPicPr>
      <xdr:blipFill>
        <a:blip r:embed="rId14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3" name="Imagem 1673" descr=""/>
        <xdr:cNvPicPr/>
      </xdr:nvPicPr>
      <xdr:blipFill>
        <a:blip r:embed="rId14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4" name="Imagem 1674" descr=""/>
        <xdr:cNvPicPr/>
      </xdr:nvPicPr>
      <xdr:blipFill>
        <a:blip r:embed="rId14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5" name="Imagem 1675" descr=""/>
        <xdr:cNvPicPr/>
      </xdr:nvPicPr>
      <xdr:blipFill>
        <a:blip r:embed="rId14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6" name="Imagem 1676" descr=""/>
        <xdr:cNvPicPr/>
      </xdr:nvPicPr>
      <xdr:blipFill>
        <a:blip r:embed="rId14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7" name="Imagem 1677" descr=""/>
        <xdr:cNvPicPr/>
      </xdr:nvPicPr>
      <xdr:blipFill>
        <a:blip r:embed="rId14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8" name="Imagem 1678" descr=""/>
        <xdr:cNvPicPr/>
      </xdr:nvPicPr>
      <xdr:blipFill>
        <a:blip r:embed="rId14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79" name="Imagem 1679" descr=""/>
        <xdr:cNvPicPr/>
      </xdr:nvPicPr>
      <xdr:blipFill>
        <a:blip r:embed="rId14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0" name="Imagem 1680" descr=""/>
        <xdr:cNvPicPr/>
      </xdr:nvPicPr>
      <xdr:blipFill>
        <a:blip r:embed="rId14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1" name="Imagem 1681" descr=""/>
        <xdr:cNvPicPr/>
      </xdr:nvPicPr>
      <xdr:blipFill>
        <a:blip r:embed="rId14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2" name="Imagem 1682" descr=""/>
        <xdr:cNvPicPr/>
      </xdr:nvPicPr>
      <xdr:blipFill>
        <a:blip r:embed="rId14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3" name="Imagem 1683" descr=""/>
        <xdr:cNvPicPr/>
      </xdr:nvPicPr>
      <xdr:blipFill>
        <a:blip r:embed="rId14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4" name="Imagem 1684" descr=""/>
        <xdr:cNvPicPr/>
      </xdr:nvPicPr>
      <xdr:blipFill>
        <a:blip r:embed="rId14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5" name="Imagem 1685" descr=""/>
        <xdr:cNvPicPr/>
      </xdr:nvPicPr>
      <xdr:blipFill>
        <a:blip r:embed="rId14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6" name="Imagem 1686" descr=""/>
        <xdr:cNvPicPr/>
      </xdr:nvPicPr>
      <xdr:blipFill>
        <a:blip r:embed="rId14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7" name="Imagem 1687" descr=""/>
        <xdr:cNvPicPr/>
      </xdr:nvPicPr>
      <xdr:blipFill>
        <a:blip r:embed="rId14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8" name="Imagem 1688" descr=""/>
        <xdr:cNvPicPr/>
      </xdr:nvPicPr>
      <xdr:blipFill>
        <a:blip r:embed="rId14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89" name="Imagem 1689" descr=""/>
        <xdr:cNvPicPr/>
      </xdr:nvPicPr>
      <xdr:blipFill>
        <a:blip r:embed="rId14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0" name="Imagem 1690" descr=""/>
        <xdr:cNvPicPr/>
      </xdr:nvPicPr>
      <xdr:blipFill>
        <a:blip r:embed="rId14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1" name="Imagem 1691" descr=""/>
        <xdr:cNvPicPr/>
      </xdr:nvPicPr>
      <xdr:blipFill>
        <a:blip r:embed="rId14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2" name="Imagem 1692" descr=""/>
        <xdr:cNvPicPr/>
      </xdr:nvPicPr>
      <xdr:blipFill>
        <a:blip r:embed="rId14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3" name="Imagem 1693" descr=""/>
        <xdr:cNvPicPr/>
      </xdr:nvPicPr>
      <xdr:blipFill>
        <a:blip r:embed="rId14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4" name="Imagem 1694" descr=""/>
        <xdr:cNvPicPr/>
      </xdr:nvPicPr>
      <xdr:blipFill>
        <a:blip r:embed="rId14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5" name="Imagem 1695" descr=""/>
        <xdr:cNvPicPr/>
      </xdr:nvPicPr>
      <xdr:blipFill>
        <a:blip r:embed="rId14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6" name="Imagem 1696" descr=""/>
        <xdr:cNvPicPr/>
      </xdr:nvPicPr>
      <xdr:blipFill>
        <a:blip r:embed="rId14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7" name="Imagem 1697" descr=""/>
        <xdr:cNvPicPr/>
      </xdr:nvPicPr>
      <xdr:blipFill>
        <a:blip r:embed="rId14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8" name="Imagem 1698" descr=""/>
        <xdr:cNvPicPr/>
      </xdr:nvPicPr>
      <xdr:blipFill>
        <a:blip r:embed="rId14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499" name="Imagem 1699" descr=""/>
        <xdr:cNvPicPr/>
      </xdr:nvPicPr>
      <xdr:blipFill>
        <a:blip r:embed="rId14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0" name="Imagem 1700" descr=""/>
        <xdr:cNvPicPr/>
      </xdr:nvPicPr>
      <xdr:blipFill>
        <a:blip r:embed="rId14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1" name="Imagem 1701" descr=""/>
        <xdr:cNvPicPr/>
      </xdr:nvPicPr>
      <xdr:blipFill>
        <a:blip r:embed="rId14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2" name="Imagem 1702" descr=""/>
        <xdr:cNvPicPr/>
      </xdr:nvPicPr>
      <xdr:blipFill>
        <a:blip r:embed="rId15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3" name="Imagem 1703" descr=""/>
        <xdr:cNvPicPr/>
      </xdr:nvPicPr>
      <xdr:blipFill>
        <a:blip r:embed="rId15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4" name="Imagem 1704" descr=""/>
        <xdr:cNvPicPr/>
      </xdr:nvPicPr>
      <xdr:blipFill>
        <a:blip r:embed="rId15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5" name="Imagem 1705" descr=""/>
        <xdr:cNvPicPr/>
      </xdr:nvPicPr>
      <xdr:blipFill>
        <a:blip r:embed="rId15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6" name="Imagem 1706" descr=""/>
        <xdr:cNvPicPr/>
      </xdr:nvPicPr>
      <xdr:blipFill>
        <a:blip r:embed="rId15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7" name="Imagem 1707" descr=""/>
        <xdr:cNvPicPr/>
      </xdr:nvPicPr>
      <xdr:blipFill>
        <a:blip r:embed="rId15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8" name="Imagem 1708" descr=""/>
        <xdr:cNvPicPr/>
      </xdr:nvPicPr>
      <xdr:blipFill>
        <a:blip r:embed="rId15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09" name="Imagem 1709" descr=""/>
        <xdr:cNvPicPr/>
      </xdr:nvPicPr>
      <xdr:blipFill>
        <a:blip r:embed="rId15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0" name="Imagem 1710" descr=""/>
        <xdr:cNvPicPr/>
      </xdr:nvPicPr>
      <xdr:blipFill>
        <a:blip r:embed="rId15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1" name="Imagem 1711" descr=""/>
        <xdr:cNvPicPr/>
      </xdr:nvPicPr>
      <xdr:blipFill>
        <a:blip r:embed="rId15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2" name="Imagem 1712" descr=""/>
        <xdr:cNvPicPr/>
      </xdr:nvPicPr>
      <xdr:blipFill>
        <a:blip r:embed="rId15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3" name="Imagem 1713" descr=""/>
        <xdr:cNvPicPr/>
      </xdr:nvPicPr>
      <xdr:blipFill>
        <a:blip r:embed="rId15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4" name="Imagem 1714" descr=""/>
        <xdr:cNvPicPr/>
      </xdr:nvPicPr>
      <xdr:blipFill>
        <a:blip r:embed="rId15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5" name="Imagem 1715" descr=""/>
        <xdr:cNvPicPr/>
      </xdr:nvPicPr>
      <xdr:blipFill>
        <a:blip r:embed="rId15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6" name="Imagem 1716" descr=""/>
        <xdr:cNvPicPr/>
      </xdr:nvPicPr>
      <xdr:blipFill>
        <a:blip r:embed="rId15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7" name="Imagem 1717" descr=""/>
        <xdr:cNvPicPr/>
      </xdr:nvPicPr>
      <xdr:blipFill>
        <a:blip r:embed="rId15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8" name="Imagem 1718" descr=""/>
        <xdr:cNvPicPr/>
      </xdr:nvPicPr>
      <xdr:blipFill>
        <a:blip r:embed="rId15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19" name="Imagem 1719" descr=""/>
        <xdr:cNvPicPr/>
      </xdr:nvPicPr>
      <xdr:blipFill>
        <a:blip r:embed="rId15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0" name="Imagem 1720" descr=""/>
        <xdr:cNvPicPr/>
      </xdr:nvPicPr>
      <xdr:blipFill>
        <a:blip r:embed="rId15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1" name="Imagem 1721" descr=""/>
        <xdr:cNvPicPr/>
      </xdr:nvPicPr>
      <xdr:blipFill>
        <a:blip r:embed="rId15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2" name="Imagem 1722" descr=""/>
        <xdr:cNvPicPr/>
      </xdr:nvPicPr>
      <xdr:blipFill>
        <a:blip r:embed="rId15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3" name="Imagem 1723" descr=""/>
        <xdr:cNvPicPr/>
      </xdr:nvPicPr>
      <xdr:blipFill>
        <a:blip r:embed="rId15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4" name="Imagem 1724" descr=""/>
        <xdr:cNvPicPr/>
      </xdr:nvPicPr>
      <xdr:blipFill>
        <a:blip r:embed="rId15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5" name="Imagem 1725" descr=""/>
        <xdr:cNvPicPr/>
      </xdr:nvPicPr>
      <xdr:blipFill>
        <a:blip r:embed="rId152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6" name="Imagem 1726" descr=""/>
        <xdr:cNvPicPr/>
      </xdr:nvPicPr>
      <xdr:blipFill>
        <a:blip r:embed="rId152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7" name="Imagem 1727" descr=""/>
        <xdr:cNvPicPr/>
      </xdr:nvPicPr>
      <xdr:blipFill>
        <a:blip r:embed="rId152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8" name="Imagem 1728" descr=""/>
        <xdr:cNvPicPr/>
      </xdr:nvPicPr>
      <xdr:blipFill>
        <a:blip r:embed="rId152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29" name="Imagem 1729" descr=""/>
        <xdr:cNvPicPr/>
      </xdr:nvPicPr>
      <xdr:blipFill>
        <a:blip r:embed="rId152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0" name="Imagem 1730" descr=""/>
        <xdr:cNvPicPr/>
      </xdr:nvPicPr>
      <xdr:blipFill>
        <a:blip r:embed="rId152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1" name="Imagem 1731" descr=""/>
        <xdr:cNvPicPr/>
      </xdr:nvPicPr>
      <xdr:blipFill>
        <a:blip r:embed="rId152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2" name="Imagem 1732" descr=""/>
        <xdr:cNvPicPr/>
      </xdr:nvPicPr>
      <xdr:blipFill>
        <a:blip r:embed="rId153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3" name="Imagem 1733" descr=""/>
        <xdr:cNvPicPr/>
      </xdr:nvPicPr>
      <xdr:blipFill>
        <a:blip r:embed="rId153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4" name="Imagem 1734" descr=""/>
        <xdr:cNvPicPr/>
      </xdr:nvPicPr>
      <xdr:blipFill>
        <a:blip r:embed="rId153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5" name="Imagem 1735" descr=""/>
        <xdr:cNvPicPr/>
      </xdr:nvPicPr>
      <xdr:blipFill>
        <a:blip r:embed="rId153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6" name="Imagem 1736" descr=""/>
        <xdr:cNvPicPr/>
      </xdr:nvPicPr>
      <xdr:blipFill>
        <a:blip r:embed="rId153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7" name="Imagem 1737" descr=""/>
        <xdr:cNvPicPr/>
      </xdr:nvPicPr>
      <xdr:blipFill>
        <a:blip r:embed="rId153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8" name="Imagem 1738" descr=""/>
        <xdr:cNvPicPr/>
      </xdr:nvPicPr>
      <xdr:blipFill>
        <a:blip r:embed="rId153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39" name="Imagem 1739" descr=""/>
        <xdr:cNvPicPr/>
      </xdr:nvPicPr>
      <xdr:blipFill>
        <a:blip r:embed="rId153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0" name="Imagem 1740" descr=""/>
        <xdr:cNvPicPr/>
      </xdr:nvPicPr>
      <xdr:blipFill>
        <a:blip r:embed="rId153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1" name="Imagem 1741" descr=""/>
        <xdr:cNvPicPr/>
      </xdr:nvPicPr>
      <xdr:blipFill>
        <a:blip r:embed="rId153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2" name="Imagem 1742" descr=""/>
        <xdr:cNvPicPr/>
      </xdr:nvPicPr>
      <xdr:blipFill>
        <a:blip r:embed="rId154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3" name="Imagem 1743" descr=""/>
        <xdr:cNvPicPr/>
      </xdr:nvPicPr>
      <xdr:blipFill>
        <a:blip r:embed="rId154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4" name="Imagem 1744" descr=""/>
        <xdr:cNvPicPr/>
      </xdr:nvPicPr>
      <xdr:blipFill>
        <a:blip r:embed="rId154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5" name="Imagem 1745" descr=""/>
        <xdr:cNvPicPr/>
      </xdr:nvPicPr>
      <xdr:blipFill>
        <a:blip r:embed="rId154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6" name="Imagem 1746" descr=""/>
        <xdr:cNvPicPr/>
      </xdr:nvPicPr>
      <xdr:blipFill>
        <a:blip r:embed="rId154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7" name="Imagem 1747" descr=""/>
        <xdr:cNvPicPr/>
      </xdr:nvPicPr>
      <xdr:blipFill>
        <a:blip r:embed="rId154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8" name="Imagem 1748" descr=""/>
        <xdr:cNvPicPr/>
      </xdr:nvPicPr>
      <xdr:blipFill>
        <a:blip r:embed="rId154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49" name="Imagem 1749" descr=""/>
        <xdr:cNvPicPr/>
      </xdr:nvPicPr>
      <xdr:blipFill>
        <a:blip r:embed="rId154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0" name="Imagem 1750" descr=""/>
        <xdr:cNvPicPr/>
      </xdr:nvPicPr>
      <xdr:blipFill>
        <a:blip r:embed="rId154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1" name="Imagem 1751" descr=""/>
        <xdr:cNvPicPr/>
      </xdr:nvPicPr>
      <xdr:blipFill>
        <a:blip r:embed="rId154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2" name="Imagem 1752" descr=""/>
        <xdr:cNvPicPr/>
      </xdr:nvPicPr>
      <xdr:blipFill>
        <a:blip r:embed="rId155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3" name="Imagem 1753" descr=""/>
        <xdr:cNvPicPr/>
      </xdr:nvPicPr>
      <xdr:blipFill>
        <a:blip r:embed="rId155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4" name="Imagem 1754" descr=""/>
        <xdr:cNvPicPr/>
      </xdr:nvPicPr>
      <xdr:blipFill>
        <a:blip r:embed="rId155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5" name="Imagem 1755" descr=""/>
        <xdr:cNvPicPr/>
      </xdr:nvPicPr>
      <xdr:blipFill>
        <a:blip r:embed="rId155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6" name="Imagem 1756" descr=""/>
        <xdr:cNvPicPr/>
      </xdr:nvPicPr>
      <xdr:blipFill>
        <a:blip r:embed="rId155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7" name="Imagem 1757" descr=""/>
        <xdr:cNvPicPr/>
      </xdr:nvPicPr>
      <xdr:blipFill>
        <a:blip r:embed="rId155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8" name="Imagem 1758" descr=""/>
        <xdr:cNvPicPr/>
      </xdr:nvPicPr>
      <xdr:blipFill>
        <a:blip r:embed="rId155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59" name="Imagem 1759" descr=""/>
        <xdr:cNvPicPr/>
      </xdr:nvPicPr>
      <xdr:blipFill>
        <a:blip r:embed="rId155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0" name="Imagem 1760" descr=""/>
        <xdr:cNvPicPr/>
      </xdr:nvPicPr>
      <xdr:blipFill>
        <a:blip r:embed="rId155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1" name="Imagem 1761" descr=""/>
        <xdr:cNvPicPr/>
      </xdr:nvPicPr>
      <xdr:blipFill>
        <a:blip r:embed="rId155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2" name="Imagem 1762" descr=""/>
        <xdr:cNvPicPr/>
      </xdr:nvPicPr>
      <xdr:blipFill>
        <a:blip r:embed="rId156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3" name="Imagem 1763" descr=""/>
        <xdr:cNvPicPr/>
      </xdr:nvPicPr>
      <xdr:blipFill>
        <a:blip r:embed="rId156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4" name="Imagem 1764" descr=""/>
        <xdr:cNvPicPr/>
      </xdr:nvPicPr>
      <xdr:blipFill>
        <a:blip r:embed="rId156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5" name="Imagem 1765" descr=""/>
        <xdr:cNvPicPr/>
      </xdr:nvPicPr>
      <xdr:blipFill>
        <a:blip r:embed="rId156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6" name="Imagem 1766" descr=""/>
        <xdr:cNvPicPr/>
      </xdr:nvPicPr>
      <xdr:blipFill>
        <a:blip r:embed="rId156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7" name="Imagem 1767" descr=""/>
        <xdr:cNvPicPr/>
      </xdr:nvPicPr>
      <xdr:blipFill>
        <a:blip r:embed="rId156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8" name="Imagem 1768" descr=""/>
        <xdr:cNvPicPr/>
      </xdr:nvPicPr>
      <xdr:blipFill>
        <a:blip r:embed="rId156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69" name="Imagem 1769" descr=""/>
        <xdr:cNvPicPr/>
      </xdr:nvPicPr>
      <xdr:blipFill>
        <a:blip r:embed="rId156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0" name="Imagem 1770" descr=""/>
        <xdr:cNvPicPr/>
      </xdr:nvPicPr>
      <xdr:blipFill>
        <a:blip r:embed="rId156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1" name="Imagem 1771" descr=""/>
        <xdr:cNvPicPr/>
      </xdr:nvPicPr>
      <xdr:blipFill>
        <a:blip r:embed="rId156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2" name="Imagem 1772" descr=""/>
        <xdr:cNvPicPr/>
      </xdr:nvPicPr>
      <xdr:blipFill>
        <a:blip r:embed="rId157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3" name="Imagem 1773" descr=""/>
        <xdr:cNvPicPr/>
      </xdr:nvPicPr>
      <xdr:blipFill>
        <a:blip r:embed="rId157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4" name="Imagem 1774" descr=""/>
        <xdr:cNvPicPr/>
      </xdr:nvPicPr>
      <xdr:blipFill>
        <a:blip r:embed="rId157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5" name="Imagem 1775" descr=""/>
        <xdr:cNvPicPr/>
      </xdr:nvPicPr>
      <xdr:blipFill>
        <a:blip r:embed="rId157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6" name="Imagem 1776" descr=""/>
        <xdr:cNvPicPr/>
      </xdr:nvPicPr>
      <xdr:blipFill>
        <a:blip r:embed="rId157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7" name="Imagem 1777" descr=""/>
        <xdr:cNvPicPr/>
      </xdr:nvPicPr>
      <xdr:blipFill>
        <a:blip r:embed="rId157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8" name="Imagem 1778" descr=""/>
        <xdr:cNvPicPr/>
      </xdr:nvPicPr>
      <xdr:blipFill>
        <a:blip r:embed="rId157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79" name="Imagem 1779" descr=""/>
        <xdr:cNvPicPr/>
      </xdr:nvPicPr>
      <xdr:blipFill>
        <a:blip r:embed="rId157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0" name="Imagem 1780" descr=""/>
        <xdr:cNvPicPr/>
      </xdr:nvPicPr>
      <xdr:blipFill>
        <a:blip r:embed="rId157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1" name="Imagem 1781" descr=""/>
        <xdr:cNvPicPr/>
      </xdr:nvPicPr>
      <xdr:blipFill>
        <a:blip r:embed="rId157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2" name="Imagem 1782" descr=""/>
        <xdr:cNvPicPr/>
      </xdr:nvPicPr>
      <xdr:blipFill>
        <a:blip r:embed="rId158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3" name="Imagem 1783" descr=""/>
        <xdr:cNvPicPr/>
      </xdr:nvPicPr>
      <xdr:blipFill>
        <a:blip r:embed="rId158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4" name="Imagem 1784" descr=""/>
        <xdr:cNvPicPr/>
      </xdr:nvPicPr>
      <xdr:blipFill>
        <a:blip r:embed="rId158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5" name="Imagem 1785" descr=""/>
        <xdr:cNvPicPr/>
      </xdr:nvPicPr>
      <xdr:blipFill>
        <a:blip r:embed="rId158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6" name="Imagem 1786" descr=""/>
        <xdr:cNvPicPr/>
      </xdr:nvPicPr>
      <xdr:blipFill>
        <a:blip r:embed="rId158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7" name="Imagem 1787" descr=""/>
        <xdr:cNvPicPr/>
      </xdr:nvPicPr>
      <xdr:blipFill>
        <a:blip r:embed="rId158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8" name="Imagem 1788" descr=""/>
        <xdr:cNvPicPr/>
      </xdr:nvPicPr>
      <xdr:blipFill>
        <a:blip r:embed="rId158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89" name="Imagem 1789" descr=""/>
        <xdr:cNvPicPr/>
      </xdr:nvPicPr>
      <xdr:blipFill>
        <a:blip r:embed="rId158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0" name="Imagem 1790" descr=""/>
        <xdr:cNvPicPr/>
      </xdr:nvPicPr>
      <xdr:blipFill>
        <a:blip r:embed="rId158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1" name="Imagem 1791" descr=""/>
        <xdr:cNvPicPr/>
      </xdr:nvPicPr>
      <xdr:blipFill>
        <a:blip r:embed="rId158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2" name="Imagem 1792" descr=""/>
        <xdr:cNvPicPr/>
      </xdr:nvPicPr>
      <xdr:blipFill>
        <a:blip r:embed="rId159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3" name="Imagem 1793" descr=""/>
        <xdr:cNvPicPr/>
      </xdr:nvPicPr>
      <xdr:blipFill>
        <a:blip r:embed="rId159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4" name="Imagem 1794" descr=""/>
        <xdr:cNvPicPr/>
      </xdr:nvPicPr>
      <xdr:blipFill>
        <a:blip r:embed="rId159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5" name="Imagem 1795" descr=""/>
        <xdr:cNvPicPr/>
      </xdr:nvPicPr>
      <xdr:blipFill>
        <a:blip r:embed="rId159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6" name="Imagem 1796" descr=""/>
        <xdr:cNvPicPr/>
      </xdr:nvPicPr>
      <xdr:blipFill>
        <a:blip r:embed="rId159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7" name="Imagem 1797" descr=""/>
        <xdr:cNvPicPr/>
      </xdr:nvPicPr>
      <xdr:blipFill>
        <a:blip r:embed="rId159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8" name="Imagem 1798" descr=""/>
        <xdr:cNvPicPr/>
      </xdr:nvPicPr>
      <xdr:blipFill>
        <a:blip r:embed="rId159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599" name="Imagem 1799" descr=""/>
        <xdr:cNvPicPr/>
      </xdr:nvPicPr>
      <xdr:blipFill>
        <a:blip r:embed="rId159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0" name="Imagem 1800" descr=""/>
        <xdr:cNvPicPr/>
      </xdr:nvPicPr>
      <xdr:blipFill>
        <a:blip r:embed="rId159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1" name="Imagem 1801" descr=""/>
        <xdr:cNvPicPr/>
      </xdr:nvPicPr>
      <xdr:blipFill>
        <a:blip r:embed="rId159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2" name="Imagem 1802" descr=""/>
        <xdr:cNvPicPr/>
      </xdr:nvPicPr>
      <xdr:blipFill>
        <a:blip r:embed="rId160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3" name="Imagem 1803" descr=""/>
        <xdr:cNvPicPr/>
      </xdr:nvPicPr>
      <xdr:blipFill>
        <a:blip r:embed="rId160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4" name="Imagem 1804" descr=""/>
        <xdr:cNvPicPr/>
      </xdr:nvPicPr>
      <xdr:blipFill>
        <a:blip r:embed="rId160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5" name="Imagem 1805" descr=""/>
        <xdr:cNvPicPr/>
      </xdr:nvPicPr>
      <xdr:blipFill>
        <a:blip r:embed="rId160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6" name="Imagem 1806" descr=""/>
        <xdr:cNvPicPr/>
      </xdr:nvPicPr>
      <xdr:blipFill>
        <a:blip r:embed="rId160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7" name="Imagem 1807" descr=""/>
        <xdr:cNvPicPr/>
      </xdr:nvPicPr>
      <xdr:blipFill>
        <a:blip r:embed="rId160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8" name="Imagem 1808" descr=""/>
        <xdr:cNvPicPr/>
      </xdr:nvPicPr>
      <xdr:blipFill>
        <a:blip r:embed="rId160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09" name="Imagem 1809" descr=""/>
        <xdr:cNvPicPr/>
      </xdr:nvPicPr>
      <xdr:blipFill>
        <a:blip r:embed="rId160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0" name="Imagem 1810" descr=""/>
        <xdr:cNvPicPr/>
      </xdr:nvPicPr>
      <xdr:blipFill>
        <a:blip r:embed="rId160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1" name="Imagem 1811" descr=""/>
        <xdr:cNvPicPr/>
      </xdr:nvPicPr>
      <xdr:blipFill>
        <a:blip r:embed="rId160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2" name="Imagem 1812" descr=""/>
        <xdr:cNvPicPr/>
      </xdr:nvPicPr>
      <xdr:blipFill>
        <a:blip r:embed="rId161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3" name="Imagem 1813" descr=""/>
        <xdr:cNvPicPr/>
      </xdr:nvPicPr>
      <xdr:blipFill>
        <a:blip r:embed="rId161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4" name="Imagem 1814" descr=""/>
        <xdr:cNvPicPr/>
      </xdr:nvPicPr>
      <xdr:blipFill>
        <a:blip r:embed="rId161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5" name="Imagem 1815" descr=""/>
        <xdr:cNvPicPr/>
      </xdr:nvPicPr>
      <xdr:blipFill>
        <a:blip r:embed="rId1613"/>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6" name="Imagem 1816" descr=""/>
        <xdr:cNvPicPr/>
      </xdr:nvPicPr>
      <xdr:blipFill>
        <a:blip r:embed="rId1614"/>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7" name="Imagem 1817" descr=""/>
        <xdr:cNvPicPr/>
      </xdr:nvPicPr>
      <xdr:blipFill>
        <a:blip r:embed="rId1615"/>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8" name="Imagem 1818" descr=""/>
        <xdr:cNvPicPr/>
      </xdr:nvPicPr>
      <xdr:blipFill>
        <a:blip r:embed="rId1616"/>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19" name="Imagem 1819" descr=""/>
        <xdr:cNvPicPr/>
      </xdr:nvPicPr>
      <xdr:blipFill>
        <a:blip r:embed="rId1617"/>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0" name="Imagem 1820" descr=""/>
        <xdr:cNvPicPr/>
      </xdr:nvPicPr>
      <xdr:blipFill>
        <a:blip r:embed="rId1618"/>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1" name="Imagem 1821" descr=""/>
        <xdr:cNvPicPr/>
      </xdr:nvPicPr>
      <xdr:blipFill>
        <a:blip r:embed="rId1619"/>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2" name="Imagem 1822" descr=""/>
        <xdr:cNvPicPr/>
      </xdr:nvPicPr>
      <xdr:blipFill>
        <a:blip r:embed="rId1620"/>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3" name="Imagem 1823" descr=""/>
        <xdr:cNvPicPr/>
      </xdr:nvPicPr>
      <xdr:blipFill>
        <a:blip r:embed="rId1621"/>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4" name="Imagem 1824" descr=""/>
        <xdr:cNvPicPr/>
      </xdr:nvPicPr>
      <xdr:blipFill>
        <a:blip r:embed="rId1622"/>
        <a:stretch/>
      </xdr:blipFill>
      <xdr:spPr>
        <a:xfrm>
          <a:off x="0" y="761760"/>
          <a:ext cx="8640" cy="11339280"/>
        </a:xfrm>
        <a:prstGeom prst="rect">
          <a:avLst/>
        </a:prstGeom>
        <a:ln>
          <a:noFill/>
        </a:ln>
      </xdr:spPr>
    </xdr:pic>
    <xdr:clientData/>
  </xdr:twoCellAnchor>
  <xdr:twoCellAnchor editAs="oneCell">
    <xdr:from>
      <xdr:col>0</xdr:col>
      <xdr:colOff>0</xdr:colOff>
      <xdr:row>3</xdr:row>
      <xdr:rowOff>0</xdr:rowOff>
    </xdr:from>
    <xdr:to>
      <xdr:col>0</xdr:col>
      <xdr:colOff>8640</xdr:colOff>
      <xdr:row>48</xdr:row>
      <xdr:rowOff>118800</xdr:rowOff>
    </xdr:to>
    <xdr:pic>
      <xdr:nvPicPr>
        <xdr:cNvPr id="1625" name="Imagem 1825" descr=""/>
        <xdr:cNvPicPr/>
      </xdr:nvPicPr>
      <xdr:blipFill>
        <a:blip r:embed="rId1623"/>
        <a:stretch/>
      </xdr:blipFill>
      <xdr:spPr>
        <a:xfrm>
          <a:off x="0" y="761760"/>
          <a:ext cx="8640" cy="11339280"/>
        </a:xfrm>
        <a:prstGeom prst="rect">
          <a:avLst/>
        </a:prstGeom>
        <a:ln>
          <a:noFill/>
        </a:ln>
      </xdr:spPr>
    </xdr:pic>
    <xdr:clientData/>
  </xdr:twoCellAnchor>
  <xdr:twoCellAnchor editAs="oneCell">
    <xdr:from>
      <xdr:col>0</xdr:col>
      <xdr:colOff>0</xdr:colOff>
      <xdr:row>4</xdr:row>
      <xdr:rowOff>0</xdr:rowOff>
    </xdr:from>
    <xdr:to>
      <xdr:col>0</xdr:col>
      <xdr:colOff>6840</xdr:colOff>
      <xdr:row>50</xdr:row>
      <xdr:rowOff>149040</xdr:rowOff>
    </xdr:to>
    <xdr:pic>
      <xdr:nvPicPr>
        <xdr:cNvPr id="1626" name="Imagem 1826" descr=""/>
        <xdr:cNvPicPr/>
      </xdr:nvPicPr>
      <xdr:blipFill>
        <a:blip r:embed="rId1624"/>
        <a:stretch/>
      </xdr:blipFill>
      <xdr:spPr>
        <a:xfrm>
          <a:off x="0" y="952200"/>
          <a:ext cx="6840" cy="11712600"/>
        </a:xfrm>
        <a:prstGeom prst="rect">
          <a:avLst/>
        </a:prstGeom>
        <a:ln>
          <a:noFill/>
        </a:ln>
      </xdr:spPr>
    </xdr:pic>
    <xdr:clientData/>
  </xdr:twoCellAnchor>
  <xdr:twoCellAnchor editAs="oneCell">
    <xdr:from>
      <xdr:col>0</xdr:col>
      <xdr:colOff>0</xdr:colOff>
      <xdr:row>4</xdr:row>
      <xdr:rowOff>0</xdr:rowOff>
    </xdr:from>
    <xdr:to>
      <xdr:col>0</xdr:col>
      <xdr:colOff>6840</xdr:colOff>
      <xdr:row>55</xdr:row>
      <xdr:rowOff>117000</xdr:rowOff>
    </xdr:to>
    <xdr:pic>
      <xdr:nvPicPr>
        <xdr:cNvPr id="1627" name="Imagem 1827" descr=""/>
        <xdr:cNvPicPr/>
      </xdr:nvPicPr>
      <xdr:blipFill>
        <a:blip r:embed="rId1625"/>
        <a:stretch/>
      </xdr:blipFill>
      <xdr:spPr>
        <a:xfrm>
          <a:off x="0" y="952200"/>
          <a:ext cx="6840" cy="13014000"/>
        </a:xfrm>
        <a:prstGeom prst="rect">
          <a:avLst/>
        </a:prstGeom>
        <a:ln>
          <a:noFill/>
        </a:ln>
      </xdr:spPr>
    </xdr:pic>
    <xdr:clientData/>
  </xdr:twoCellAnchor>
  <xdr:twoCellAnchor editAs="oneCell">
    <xdr:from>
      <xdr:col>0</xdr:col>
      <xdr:colOff>0</xdr:colOff>
      <xdr:row>4</xdr:row>
      <xdr:rowOff>0</xdr:rowOff>
    </xdr:from>
    <xdr:to>
      <xdr:col>0</xdr:col>
      <xdr:colOff>6840</xdr:colOff>
      <xdr:row>60</xdr:row>
      <xdr:rowOff>75960</xdr:rowOff>
    </xdr:to>
    <xdr:pic>
      <xdr:nvPicPr>
        <xdr:cNvPr id="1628" name="Imagem 1828" descr=""/>
        <xdr:cNvPicPr/>
      </xdr:nvPicPr>
      <xdr:blipFill>
        <a:blip r:embed="rId1626"/>
        <a:stretch/>
      </xdr:blipFill>
      <xdr:spPr>
        <a:xfrm>
          <a:off x="0" y="952200"/>
          <a:ext cx="6840" cy="14306400"/>
        </a:xfrm>
        <a:prstGeom prst="rect">
          <a:avLst/>
        </a:prstGeom>
        <a:ln>
          <a:noFill/>
        </a:ln>
      </xdr:spPr>
    </xdr:pic>
    <xdr:clientData/>
  </xdr:twoCellAnchor>
  <xdr:twoCellAnchor editAs="oneCell">
    <xdr:from>
      <xdr:col>0</xdr:col>
      <xdr:colOff>0</xdr:colOff>
      <xdr:row>4</xdr:row>
      <xdr:rowOff>0</xdr:rowOff>
    </xdr:from>
    <xdr:to>
      <xdr:col>0</xdr:col>
      <xdr:colOff>6840</xdr:colOff>
      <xdr:row>64</xdr:row>
      <xdr:rowOff>32040</xdr:rowOff>
    </xdr:to>
    <xdr:pic>
      <xdr:nvPicPr>
        <xdr:cNvPr id="1629" name="Imagem 1829" descr=""/>
        <xdr:cNvPicPr/>
      </xdr:nvPicPr>
      <xdr:blipFill>
        <a:blip r:embed="rId1627"/>
        <a:stretch/>
      </xdr:blipFill>
      <xdr:spPr>
        <a:xfrm>
          <a:off x="0" y="952200"/>
          <a:ext cx="6840" cy="15024600"/>
        </a:xfrm>
        <a:prstGeom prst="rect">
          <a:avLst/>
        </a:prstGeom>
        <a:ln>
          <a:noFill/>
        </a:ln>
      </xdr:spPr>
    </xdr:pic>
    <xdr:clientData/>
  </xdr:twoCellAnchor>
  <xdr:twoCellAnchor editAs="oneCell">
    <xdr:from>
      <xdr:col>0</xdr:col>
      <xdr:colOff>0</xdr:colOff>
      <xdr:row>4</xdr:row>
      <xdr:rowOff>0</xdr:rowOff>
    </xdr:from>
    <xdr:to>
      <xdr:col>0</xdr:col>
      <xdr:colOff>6840</xdr:colOff>
      <xdr:row>66</xdr:row>
      <xdr:rowOff>92520</xdr:rowOff>
    </xdr:to>
    <xdr:pic>
      <xdr:nvPicPr>
        <xdr:cNvPr id="1630" name="Imagem 1830" descr=""/>
        <xdr:cNvPicPr/>
      </xdr:nvPicPr>
      <xdr:blipFill>
        <a:blip r:embed="rId1628"/>
        <a:stretch/>
      </xdr:blipFill>
      <xdr:spPr>
        <a:xfrm>
          <a:off x="0" y="952200"/>
          <a:ext cx="6840" cy="15618240"/>
        </a:xfrm>
        <a:prstGeom prst="rect">
          <a:avLst/>
        </a:prstGeom>
        <a:ln>
          <a:noFill/>
        </a:ln>
      </xdr:spPr>
    </xdr:pic>
    <xdr:clientData/>
  </xdr:twoCellAnchor>
  <xdr:twoCellAnchor editAs="oneCell">
    <xdr:from>
      <xdr:col>0</xdr:col>
      <xdr:colOff>0</xdr:colOff>
      <xdr:row>4</xdr:row>
      <xdr:rowOff>0</xdr:rowOff>
    </xdr:from>
    <xdr:to>
      <xdr:col>0</xdr:col>
      <xdr:colOff>6840</xdr:colOff>
      <xdr:row>67</xdr:row>
      <xdr:rowOff>77760</xdr:rowOff>
    </xdr:to>
    <xdr:pic>
      <xdr:nvPicPr>
        <xdr:cNvPr id="1631" name="Imagem 1831" descr=""/>
        <xdr:cNvPicPr/>
      </xdr:nvPicPr>
      <xdr:blipFill>
        <a:blip r:embed="rId1629"/>
        <a:stretch/>
      </xdr:blipFill>
      <xdr:spPr>
        <a:xfrm>
          <a:off x="0" y="952200"/>
          <a:ext cx="6840" cy="15870240"/>
        </a:xfrm>
        <a:prstGeom prst="rect">
          <a:avLst/>
        </a:prstGeom>
        <a:ln>
          <a:noFill/>
        </a:ln>
      </xdr:spPr>
    </xdr:pic>
    <xdr:clientData/>
  </xdr:twoCellAnchor>
  <xdr:twoCellAnchor editAs="oneCell">
    <xdr:from>
      <xdr:col>0</xdr:col>
      <xdr:colOff>0</xdr:colOff>
      <xdr:row>14</xdr:row>
      <xdr:rowOff>0</xdr:rowOff>
    </xdr:from>
    <xdr:to>
      <xdr:col>0</xdr:col>
      <xdr:colOff>6840</xdr:colOff>
      <xdr:row>96</xdr:row>
      <xdr:rowOff>171360</xdr:rowOff>
    </xdr:to>
    <xdr:pic>
      <xdr:nvPicPr>
        <xdr:cNvPr id="1632" name="Imagem 1832" descr=""/>
        <xdr:cNvPicPr/>
      </xdr:nvPicPr>
      <xdr:blipFill>
        <a:blip r:embed="rId1630"/>
        <a:stretch/>
      </xdr:blipFill>
      <xdr:spPr>
        <a:xfrm>
          <a:off x="0" y="3466800"/>
          <a:ext cx="6840" cy="20783520"/>
        </a:xfrm>
        <a:prstGeom prst="rect">
          <a:avLst/>
        </a:prstGeom>
        <a:ln>
          <a:noFill/>
        </a:ln>
      </xdr:spPr>
    </xdr:pic>
    <xdr:clientData/>
  </xdr:twoCellAnchor>
  <xdr:twoCellAnchor editAs="oneCell">
    <xdr:from>
      <xdr:col>0</xdr:col>
      <xdr:colOff>0</xdr:colOff>
      <xdr:row>14</xdr:row>
      <xdr:rowOff>0</xdr:rowOff>
    </xdr:from>
    <xdr:to>
      <xdr:col>0</xdr:col>
      <xdr:colOff>6840</xdr:colOff>
      <xdr:row>101</xdr:row>
      <xdr:rowOff>255600</xdr:rowOff>
    </xdr:to>
    <xdr:pic>
      <xdr:nvPicPr>
        <xdr:cNvPr id="1633" name="Imagem 1833" descr=""/>
        <xdr:cNvPicPr/>
      </xdr:nvPicPr>
      <xdr:blipFill>
        <a:blip r:embed="rId1631"/>
        <a:stretch/>
      </xdr:blipFill>
      <xdr:spPr>
        <a:xfrm>
          <a:off x="0" y="3466800"/>
          <a:ext cx="6840" cy="22392000"/>
        </a:xfrm>
        <a:prstGeom prst="rect">
          <a:avLst/>
        </a:prstGeom>
        <a:ln>
          <a:noFill/>
        </a:ln>
      </xdr:spPr>
    </xdr:pic>
    <xdr:clientData/>
  </xdr:twoCellAnchor>
  <xdr:twoCellAnchor editAs="oneCell">
    <xdr:from>
      <xdr:col>0</xdr:col>
      <xdr:colOff>0</xdr:colOff>
      <xdr:row>14</xdr:row>
      <xdr:rowOff>0</xdr:rowOff>
    </xdr:from>
    <xdr:to>
      <xdr:col>0</xdr:col>
      <xdr:colOff>6840</xdr:colOff>
      <xdr:row>109</xdr:row>
      <xdr:rowOff>86760</xdr:rowOff>
    </xdr:to>
    <xdr:pic>
      <xdr:nvPicPr>
        <xdr:cNvPr id="1634" name="Imagem 1834" descr=""/>
        <xdr:cNvPicPr/>
      </xdr:nvPicPr>
      <xdr:blipFill>
        <a:blip r:embed="rId1632"/>
        <a:stretch/>
      </xdr:blipFill>
      <xdr:spPr>
        <a:xfrm>
          <a:off x="0" y="3466800"/>
          <a:ext cx="6840" cy="24337440"/>
        </a:xfrm>
        <a:prstGeom prst="rect">
          <a:avLst/>
        </a:prstGeom>
        <a:ln>
          <a:noFill/>
        </a:ln>
      </xdr:spPr>
    </xdr:pic>
    <xdr:clientData/>
  </xdr:twoCellAnchor>
  <xdr:twoCellAnchor editAs="oneCell">
    <xdr:from>
      <xdr:col>0</xdr:col>
      <xdr:colOff>0</xdr:colOff>
      <xdr:row>14</xdr:row>
      <xdr:rowOff>0</xdr:rowOff>
    </xdr:from>
    <xdr:to>
      <xdr:col>0</xdr:col>
      <xdr:colOff>6840</xdr:colOff>
      <xdr:row>110</xdr:row>
      <xdr:rowOff>255960</xdr:rowOff>
    </xdr:to>
    <xdr:pic>
      <xdr:nvPicPr>
        <xdr:cNvPr id="1635" name="Imagem 1835" descr=""/>
        <xdr:cNvPicPr/>
      </xdr:nvPicPr>
      <xdr:blipFill>
        <a:blip r:embed="rId1633"/>
        <a:stretch/>
      </xdr:blipFill>
      <xdr:spPr>
        <a:xfrm>
          <a:off x="0" y="3466800"/>
          <a:ext cx="6840" cy="24697080"/>
        </a:xfrm>
        <a:prstGeom prst="rect">
          <a:avLst/>
        </a:prstGeom>
        <a:ln>
          <a:noFill/>
        </a:ln>
      </xdr:spPr>
    </xdr:pic>
    <xdr:clientData/>
  </xdr:twoCellAnchor>
  <xdr:twoCellAnchor editAs="oneCell">
    <xdr:from>
      <xdr:col>0</xdr:col>
      <xdr:colOff>0</xdr:colOff>
      <xdr:row>14</xdr:row>
      <xdr:rowOff>0</xdr:rowOff>
    </xdr:from>
    <xdr:to>
      <xdr:col>0</xdr:col>
      <xdr:colOff>6840</xdr:colOff>
      <xdr:row>119</xdr:row>
      <xdr:rowOff>51840</xdr:rowOff>
    </xdr:to>
    <xdr:pic>
      <xdr:nvPicPr>
        <xdr:cNvPr id="1636" name="Imagem 1836" descr=""/>
        <xdr:cNvPicPr/>
      </xdr:nvPicPr>
      <xdr:blipFill>
        <a:blip r:embed="rId1634"/>
        <a:stretch/>
      </xdr:blipFill>
      <xdr:spPr>
        <a:xfrm>
          <a:off x="0" y="3466800"/>
          <a:ext cx="6840" cy="26893440"/>
        </a:xfrm>
        <a:prstGeom prst="rect">
          <a:avLst/>
        </a:prstGeom>
        <a:ln>
          <a:noFill/>
        </a:ln>
      </xdr:spPr>
    </xdr:pic>
    <xdr:clientData/>
  </xdr:twoCellAnchor>
  <xdr:twoCellAnchor editAs="oneCell">
    <xdr:from>
      <xdr:col>0</xdr:col>
      <xdr:colOff>0</xdr:colOff>
      <xdr:row>14</xdr:row>
      <xdr:rowOff>0</xdr:rowOff>
    </xdr:from>
    <xdr:to>
      <xdr:col>0</xdr:col>
      <xdr:colOff>6840</xdr:colOff>
      <xdr:row>129</xdr:row>
      <xdr:rowOff>31680</xdr:rowOff>
    </xdr:to>
    <xdr:pic>
      <xdr:nvPicPr>
        <xdr:cNvPr id="1637" name="Imagem 1837" descr=""/>
        <xdr:cNvPicPr/>
      </xdr:nvPicPr>
      <xdr:blipFill>
        <a:blip r:embed="rId1635"/>
        <a:stretch/>
      </xdr:blipFill>
      <xdr:spPr>
        <a:xfrm>
          <a:off x="0" y="3466800"/>
          <a:ext cx="6840" cy="29387880"/>
        </a:xfrm>
        <a:prstGeom prst="rect">
          <a:avLst/>
        </a:prstGeom>
        <a:ln>
          <a:noFill/>
        </a:ln>
      </xdr:spPr>
    </xdr:pic>
    <xdr:clientData/>
  </xdr:twoCellAnchor>
  <xdr:twoCellAnchor editAs="oneCell">
    <xdr:from>
      <xdr:col>0</xdr:col>
      <xdr:colOff>0</xdr:colOff>
      <xdr:row>14</xdr:row>
      <xdr:rowOff>0</xdr:rowOff>
    </xdr:from>
    <xdr:to>
      <xdr:col>0</xdr:col>
      <xdr:colOff>6840</xdr:colOff>
      <xdr:row>138</xdr:row>
      <xdr:rowOff>142200</xdr:rowOff>
    </xdr:to>
    <xdr:pic>
      <xdr:nvPicPr>
        <xdr:cNvPr id="1638" name="Imagem 1838" descr=""/>
        <xdr:cNvPicPr/>
      </xdr:nvPicPr>
      <xdr:blipFill>
        <a:blip r:embed="rId1636"/>
        <a:stretch/>
      </xdr:blipFill>
      <xdr:spPr>
        <a:xfrm>
          <a:off x="0" y="3466800"/>
          <a:ext cx="6840" cy="31746240"/>
        </a:xfrm>
        <a:prstGeom prst="rect">
          <a:avLst/>
        </a:prstGeom>
        <a:ln>
          <a:noFill/>
        </a:ln>
      </xdr:spPr>
    </xdr:pic>
    <xdr:clientData/>
  </xdr:twoCellAnchor>
  <xdr:twoCellAnchor editAs="oneCell">
    <xdr:from>
      <xdr:col>0</xdr:col>
      <xdr:colOff>0</xdr:colOff>
      <xdr:row>14</xdr:row>
      <xdr:rowOff>0</xdr:rowOff>
    </xdr:from>
    <xdr:to>
      <xdr:col>0</xdr:col>
      <xdr:colOff>6840</xdr:colOff>
      <xdr:row>147</xdr:row>
      <xdr:rowOff>100080</xdr:rowOff>
    </xdr:to>
    <xdr:pic>
      <xdr:nvPicPr>
        <xdr:cNvPr id="1639" name="Imagem 1839" descr=""/>
        <xdr:cNvPicPr/>
      </xdr:nvPicPr>
      <xdr:blipFill>
        <a:blip r:embed="rId1637"/>
        <a:stretch/>
      </xdr:blipFill>
      <xdr:spPr>
        <a:xfrm>
          <a:off x="0" y="3466800"/>
          <a:ext cx="6840" cy="33951960"/>
        </a:xfrm>
        <a:prstGeom prst="rect">
          <a:avLst/>
        </a:prstGeom>
        <a:ln>
          <a:noFill/>
        </a:ln>
      </xdr:spPr>
    </xdr:pic>
    <xdr:clientData/>
  </xdr:twoCellAnchor>
  <xdr:twoCellAnchor editAs="oneCell">
    <xdr:from>
      <xdr:col>0</xdr:col>
      <xdr:colOff>0</xdr:colOff>
      <xdr:row>14</xdr:row>
      <xdr:rowOff>0</xdr:rowOff>
    </xdr:from>
    <xdr:to>
      <xdr:col>0</xdr:col>
      <xdr:colOff>6840</xdr:colOff>
      <xdr:row>157</xdr:row>
      <xdr:rowOff>157320</xdr:rowOff>
    </xdr:to>
    <xdr:pic>
      <xdr:nvPicPr>
        <xdr:cNvPr id="1640" name="Imagem 1840" descr=""/>
        <xdr:cNvPicPr/>
      </xdr:nvPicPr>
      <xdr:blipFill>
        <a:blip r:embed="rId1638"/>
        <a:stretch/>
      </xdr:blipFill>
      <xdr:spPr>
        <a:xfrm>
          <a:off x="0" y="3466800"/>
          <a:ext cx="6840" cy="36523800"/>
        </a:xfrm>
        <a:prstGeom prst="rect">
          <a:avLst/>
        </a:prstGeom>
        <a:ln>
          <a:noFill/>
        </a:ln>
      </xdr:spPr>
    </xdr:pic>
    <xdr:clientData/>
  </xdr:twoCellAnchor>
  <xdr:twoCellAnchor editAs="oneCell">
    <xdr:from>
      <xdr:col>0</xdr:col>
      <xdr:colOff>0</xdr:colOff>
      <xdr:row>14</xdr:row>
      <xdr:rowOff>0</xdr:rowOff>
    </xdr:from>
    <xdr:to>
      <xdr:col>0</xdr:col>
      <xdr:colOff>6840</xdr:colOff>
      <xdr:row>166</xdr:row>
      <xdr:rowOff>128160</xdr:rowOff>
    </xdr:to>
    <xdr:pic>
      <xdr:nvPicPr>
        <xdr:cNvPr id="1641" name="Imagem 1841" descr=""/>
        <xdr:cNvPicPr/>
      </xdr:nvPicPr>
      <xdr:blipFill>
        <a:blip r:embed="rId1639"/>
        <a:stretch/>
      </xdr:blipFill>
      <xdr:spPr>
        <a:xfrm>
          <a:off x="0" y="3466800"/>
          <a:ext cx="6840" cy="38742480"/>
        </a:xfrm>
        <a:prstGeom prst="rect">
          <a:avLst/>
        </a:prstGeom>
        <a:ln>
          <a:noFill/>
        </a:ln>
      </xdr:spPr>
    </xdr:pic>
    <xdr:clientData/>
  </xdr:twoCellAnchor>
  <xdr:twoCellAnchor editAs="oneCell">
    <xdr:from>
      <xdr:col>0</xdr:col>
      <xdr:colOff>0</xdr:colOff>
      <xdr:row>14</xdr:row>
      <xdr:rowOff>0</xdr:rowOff>
    </xdr:from>
    <xdr:to>
      <xdr:col>0</xdr:col>
      <xdr:colOff>6840</xdr:colOff>
      <xdr:row>174</xdr:row>
      <xdr:rowOff>137160</xdr:rowOff>
    </xdr:to>
    <xdr:pic>
      <xdr:nvPicPr>
        <xdr:cNvPr id="1642" name="Imagem 1842" descr=""/>
        <xdr:cNvPicPr/>
      </xdr:nvPicPr>
      <xdr:blipFill>
        <a:blip r:embed="rId1640"/>
        <a:stretch/>
      </xdr:blipFill>
      <xdr:spPr>
        <a:xfrm>
          <a:off x="0" y="3466800"/>
          <a:ext cx="6840" cy="40885200"/>
        </a:xfrm>
        <a:prstGeom prst="rect">
          <a:avLst/>
        </a:prstGeom>
        <a:ln>
          <a:noFill/>
        </a:ln>
      </xdr:spPr>
    </xdr:pic>
    <xdr:clientData/>
  </xdr:twoCellAnchor>
  <xdr:twoCellAnchor editAs="oneCell">
    <xdr:from>
      <xdr:col>0</xdr:col>
      <xdr:colOff>0</xdr:colOff>
      <xdr:row>14</xdr:row>
      <xdr:rowOff>0</xdr:rowOff>
    </xdr:from>
    <xdr:to>
      <xdr:col>0</xdr:col>
      <xdr:colOff>6840</xdr:colOff>
      <xdr:row>188</xdr:row>
      <xdr:rowOff>140040</xdr:rowOff>
    </xdr:to>
    <xdr:pic>
      <xdr:nvPicPr>
        <xdr:cNvPr id="1643" name="Imagem 1843" descr=""/>
        <xdr:cNvPicPr/>
      </xdr:nvPicPr>
      <xdr:blipFill>
        <a:blip r:embed="rId1641"/>
        <a:stretch/>
      </xdr:blipFill>
      <xdr:spPr>
        <a:xfrm>
          <a:off x="0" y="3466800"/>
          <a:ext cx="6840" cy="44450640"/>
        </a:xfrm>
        <a:prstGeom prst="rect">
          <a:avLst/>
        </a:prstGeom>
        <a:ln>
          <a:noFill/>
        </a:ln>
      </xdr:spPr>
    </xdr:pic>
    <xdr:clientData/>
  </xdr:twoCellAnchor>
  <xdr:twoCellAnchor editAs="oneCell">
    <xdr:from>
      <xdr:col>0</xdr:col>
      <xdr:colOff>0</xdr:colOff>
      <xdr:row>14</xdr:row>
      <xdr:rowOff>0</xdr:rowOff>
    </xdr:from>
    <xdr:to>
      <xdr:col>0</xdr:col>
      <xdr:colOff>6840</xdr:colOff>
      <xdr:row>198</xdr:row>
      <xdr:rowOff>42480</xdr:rowOff>
    </xdr:to>
    <xdr:pic>
      <xdr:nvPicPr>
        <xdr:cNvPr id="1644" name="Imagem 1844" descr=""/>
        <xdr:cNvPicPr/>
      </xdr:nvPicPr>
      <xdr:blipFill>
        <a:blip r:embed="rId1642"/>
        <a:stretch/>
      </xdr:blipFill>
      <xdr:spPr>
        <a:xfrm>
          <a:off x="0" y="3466800"/>
          <a:ext cx="6840" cy="47019960"/>
        </a:xfrm>
        <a:prstGeom prst="rect">
          <a:avLst/>
        </a:prstGeom>
        <a:ln>
          <a:noFill/>
        </a:ln>
      </xdr:spPr>
    </xdr:pic>
    <xdr:clientData/>
  </xdr:twoCellAnchor>
  <xdr:twoCellAnchor editAs="oneCell">
    <xdr:from>
      <xdr:col>0</xdr:col>
      <xdr:colOff>0</xdr:colOff>
      <xdr:row>14</xdr:row>
      <xdr:rowOff>0</xdr:rowOff>
    </xdr:from>
    <xdr:to>
      <xdr:col>0</xdr:col>
      <xdr:colOff>6840</xdr:colOff>
      <xdr:row>198</xdr:row>
      <xdr:rowOff>414000</xdr:rowOff>
    </xdr:to>
    <xdr:pic>
      <xdr:nvPicPr>
        <xdr:cNvPr id="1645" name="Imagem 1845" descr=""/>
        <xdr:cNvPicPr/>
      </xdr:nvPicPr>
      <xdr:blipFill>
        <a:blip r:embed="rId1643"/>
        <a:stretch/>
      </xdr:blipFill>
      <xdr:spPr>
        <a:xfrm>
          <a:off x="0" y="3466800"/>
          <a:ext cx="6840" cy="47391480"/>
        </a:xfrm>
        <a:prstGeom prst="rect">
          <a:avLst/>
        </a:prstGeom>
        <a:ln>
          <a:noFill/>
        </a:ln>
      </xdr:spPr>
    </xdr:pic>
    <xdr:clientData/>
  </xdr:twoCellAnchor>
  <xdr:twoCellAnchor editAs="oneCell">
    <xdr:from>
      <xdr:col>0</xdr:col>
      <xdr:colOff>0</xdr:colOff>
      <xdr:row>14</xdr:row>
      <xdr:rowOff>0</xdr:rowOff>
    </xdr:from>
    <xdr:to>
      <xdr:col>0</xdr:col>
      <xdr:colOff>6840</xdr:colOff>
      <xdr:row>200</xdr:row>
      <xdr:rowOff>114840</xdr:rowOff>
    </xdr:to>
    <xdr:pic>
      <xdr:nvPicPr>
        <xdr:cNvPr id="1646" name="Imagem 1846" descr=""/>
        <xdr:cNvPicPr/>
      </xdr:nvPicPr>
      <xdr:blipFill>
        <a:blip r:embed="rId1644"/>
        <a:stretch/>
      </xdr:blipFill>
      <xdr:spPr>
        <a:xfrm>
          <a:off x="0" y="3466800"/>
          <a:ext cx="6840" cy="47949480"/>
        </a:xfrm>
        <a:prstGeom prst="rect">
          <a:avLst/>
        </a:prstGeom>
        <a:ln>
          <a:noFill/>
        </a:ln>
      </xdr:spPr>
    </xdr:pic>
    <xdr:clientData/>
  </xdr:twoCellAnchor>
  <xdr:twoCellAnchor editAs="oneCell">
    <xdr:from>
      <xdr:col>0</xdr:col>
      <xdr:colOff>0</xdr:colOff>
      <xdr:row>15</xdr:row>
      <xdr:rowOff>0</xdr:rowOff>
    </xdr:from>
    <xdr:to>
      <xdr:col>0</xdr:col>
      <xdr:colOff>6840</xdr:colOff>
      <xdr:row>208</xdr:row>
      <xdr:rowOff>239040</xdr:rowOff>
    </xdr:to>
    <xdr:pic>
      <xdr:nvPicPr>
        <xdr:cNvPr id="1647" name="Imagem 1847" descr=""/>
        <xdr:cNvPicPr/>
      </xdr:nvPicPr>
      <xdr:blipFill>
        <a:blip r:embed="rId1645"/>
        <a:stretch/>
      </xdr:blipFill>
      <xdr:spPr>
        <a:xfrm>
          <a:off x="0" y="3733560"/>
          <a:ext cx="6840" cy="50112000"/>
        </a:xfrm>
        <a:prstGeom prst="rect">
          <a:avLst/>
        </a:prstGeom>
        <a:ln>
          <a:noFill/>
        </a:ln>
      </xdr:spPr>
    </xdr:pic>
    <xdr:clientData/>
  </xdr:twoCellAnchor>
  <xdr:twoCellAnchor editAs="oneCell">
    <xdr:from>
      <xdr:col>0</xdr:col>
      <xdr:colOff>0</xdr:colOff>
      <xdr:row>17</xdr:row>
      <xdr:rowOff>0</xdr:rowOff>
    </xdr:from>
    <xdr:to>
      <xdr:col>0</xdr:col>
      <xdr:colOff>6840</xdr:colOff>
      <xdr:row>212</xdr:row>
      <xdr:rowOff>261000</xdr:rowOff>
    </xdr:to>
    <xdr:pic>
      <xdr:nvPicPr>
        <xdr:cNvPr id="1648" name="Imagem 1848" descr=""/>
        <xdr:cNvPicPr/>
      </xdr:nvPicPr>
      <xdr:blipFill>
        <a:blip r:embed="rId1646"/>
        <a:stretch/>
      </xdr:blipFill>
      <xdr:spPr>
        <a:xfrm>
          <a:off x="0" y="4190760"/>
          <a:ext cx="6840" cy="50743440"/>
        </a:xfrm>
        <a:prstGeom prst="rect">
          <a:avLst/>
        </a:prstGeom>
        <a:ln>
          <a:noFill/>
        </a:ln>
      </xdr:spPr>
    </xdr:pic>
    <xdr:clientData/>
  </xdr:twoCellAnchor>
  <xdr:twoCellAnchor editAs="oneCell">
    <xdr:from>
      <xdr:col>0</xdr:col>
      <xdr:colOff>0</xdr:colOff>
      <xdr:row>31</xdr:row>
      <xdr:rowOff>0</xdr:rowOff>
    </xdr:from>
    <xdr:to>
      <xdr:col>0</xdr:col>
      <xdr:colOff>6840</xdr:colOff>
      <xdr:row>238</xdr:row>
      <xdr:rowOff>162360</xdr:rowOff>
    </xdr:to>
    <xdr:pic>
      <xdr:nvPicPr>
        <xdr:cNvPr id="1649" name="Imagem 1849" descr=""/>
        <xdr:cNvPicPr/>
      </xdr:nvPicPr>
      <xdr:blipFill>
        <a:blip r:embed="rId1647"/>
        <a:stretch/>
      </xdr:blipFill>
      <xdr:spPr>
        <a:xfrm>
          <a:off x="0" y="7619760"/>
          <a:ext cx="6840" cy="54797760"/>
        </a:xfrm>
        <a:prstGeom prst="rect">
          <a:avLst/>
        </a:prstGeom>
        <a:ln>
          <a:noFill/>
        </a:ln>
      </xdr:spPr>
    </xdr:pic>
    <xdr:clientData/>
  </xdr:twoCellAnchor>
  <xdr:twoCellAnchor editAs="oneCell">
    <xdr:from>
      <xdr:col>0</xdr:col>
      <xdr:colOff>0</xdr:colOff>
      <xdr:row>42</xdr:row>
      <xdr:rowOff>0</xdr:rowOff>
    </xdr:from>
    <xdr:to>
      <xdr:col>0</xdr:col>
      <xdr:colOff>6840</xdr:colOff>
      <xdr:row>267</xdr:row>
      <xdr:rowOff>95040</xdr:rowOff>
    </xdr:to>
    <xdr:pic>
      <xdr:nvPicPr>
        <xdr:cNvPr id="1650" name="Imagem 1850" descr=""/>
        <xdr:cNvPicPr/>
      </xdr:nvPicPr>
      <xdr:blipFill>
        <a:blip r:embed="rId1648"/>
        <a:stretch/>
      </xdr:blipFill>
      <xdr:spPr>
        <a:xfrm>
          <a:off x="0" y="10401120"/>
          <a:ext cx="6840" cy="59759640"/>
        </a:xfrm>
        <a:prstGeom prst="rect">
          <a:avLst/>
        </a:prstGeom>
        <a:ln>
          <a:noFill/>
        </a:ln>
      </xdr:spPr>
    </xdr:pic>
    <xdr:clientData/>
  </xdr:twoCellAnchor>
  <xdr:twoCellAnchor editAs="oneCell">
    <xdr:from>
      <xdr:col>0</xdr:col>
      <xdr:colOff>0</xdr:colOff>
      <xdr:row>45</xdr:row>
      <xdr:rowOff>0</xdr:rowOff>
    </xdr:from>
    <xdr:to>
      <xdr:col>0</xdr:col>
      <xdr:colOff>6840</xdr:colOff>
      <xdr:row>279</xdr:row>
      <xdr:rowOff>72720</xdr:rowOff>
    </xdr:to>
    <xdr:pic>
      <xdr:nvPicPr>
        <xdr:cNvPr id="1651" name="Imagem 1851" descr=""/>
        <xdr:cNvPicPr/>
      </xdr:nvPicPr>
      <xdr:blipFill>
        <a:blip r:embed="rId1649"/>
        <a:stretch/>
      </xdr:blipFill>
      <xdr:spPr>
        <a:xfrm>
          <a:off x="0" y="11334600"/>
          <a:ext cx="6840" cy="61756560"/>
        </a:xfrm>
        <a:prstGeom prst="rect">
          <a:avLst/>
        </a:prstGeom>
        <a:ln>
          <a:noFill/>
        </a:ln>
      </xdr:spPr>
    </xdr:pic>
    <xdr:clientData/>
  </xdr:twoCellAnchor>
  <xdr:twoCellAnchor editAs="oneCell">
    <xdr:from>
      <xdr:col>0</xdr:col>
      <xdr:colOff>0</xdr:colOff>
      <xdr:row>48</xdr:row>
      <xdr:rowOff>0</xdr:rowOff>
    </xdr:from>
    <xdr:to>
      <xdr:col>0</xdr:col>
      <xdr:colOff>6840</xdr:colOff>
      <xdr:row>290</xdr:row>
      <xdr:rowOff>36360</xdr:rowOff>
    </xdr:to>
    <xdr:pic>
      <xdr:nvPicPr>
        <xdr:cNvPr id="1652" name="Imagem 1852" descr=""/>
        <xdr:cNvPicPr/>
      </xdr:nvPicPr>
      <xdr:blipFill>
        <a:blip r:embed="rId1650"/>
        <a:stretch/>
      </xdr:blipFill>
      <xdr:spPr>
        <a:xfrm>
          <a:off x="0" y="11982240"/>
          <a:ext cx="6840" cy="64120680"/>
        </a:xfrm>
        <a:prstGeom prst="rect">
          <a:avLst/>
        </a:prstGeom>
        <a:ln>
          <a:noFill/>
        </a:ln>
      </xdr:spPr>
    </xdr:pic>
    <xdr:clientData/>
  </xdr:twoCellAnchor>
  <xdr:twoCellAnchor editAs="oneCell">
    <xdr:from>
      <xdr:col>0</xdr:col>
      <xdr:colOff>0</xdr:colOff>
      <xdr:row>48</xdr:row>
      <xdr:rowOff>0</xdr:rowOff>
    </xdr:from>
    <xdr:to>
      <xdr:col>0</xdr:col>
      <xdr:colOff>6840</xdr:colOff>
      <xdr:row>301</xdr:row>
      <xdr:rowOff>13320</xdr:rowOff>
    </xdr:to>
    <xdr:pic>
      <xdr:nvPicPr>
        <xdr:cNvPr id="1653" name="Imagem 1853" descr=""/>
        <xdr:cNvPicPr/>
      </xdr:nvPicPr>
      <xdr:blipFill>
        <a:blip r:embed="rId1651"/>
        <a:stretch/>
      </xdr:blipFill>
      <xdr:spPr>
        <a:xfrm>
          <a:off x="0" y="11982240"/>
          <a:ext cx="6840" cy="66935880"/>
        </a:xfrm>
        <a:prstGeom prst="rect">
          <a:avLst/>
        </a:prstGeom>
        <a:ln>
          <a:noFill/>
        </a:ln>
      </xdr:spPr>
    </xdr:pic>
    <xdr:clientData/>
  </xdr:twoCellAnchor>
  <xdr:twoCellAnchor editAs="oneCell">
    <xdr:from>
      <xdr:col>0</xdr:col>
      <xdr:colOff>0</xdr:colOff>
      <xdr:row>49</xdr:row>
      <xdr:rowOff>0</xdr:rowOff>
    </xdr:from>
    <xdr:to>
      <xdr:col>0</xdr:col>
      <xdr:colOff>6840</xdr:colOff>
      <xdr:row>312</xdr:row>
      <xdr:rowOff>208440</xdr:rowOff>
    </xdr:to>
    <xdr:pic>
      <xdr:nvPicPr>
        <xdr:cNvPr id="1654" name="Imagem 1854" descr=""/>
        <xdr:cNvPicPr/>
      </xdr:nvPicPr>
      <xdr:blipFill>
        <a:blip r:embed="rId1652"/>
        <a:stretch/>
      </xdr:blipFill>
      <xdr:spPr>
        <a:xfrm>
          <a:off x="0" y="12249000"/>
          <a:ext cx="6840" cy="69798240"/>
        </a:xfrm>
        <a:prstGeom prst="rect">
          <a:avLst/>
        </a:prstGeom>
        <a:ln>
          <a:noFill/>
        </a:ln>
      </xdr:spPr>
    </xdr:pic>
    <xdr:clientData/>
  </xdr:twoCellAnchor>
  <xdr:twoCellAnchor editAs="oneCell">
    <xdr:from>
      <xdr:col>0</xdr:col>
      <xdr:colOff>0</xdr:colOff>
      <xdr:row>51</xdr:row>
      <xdr:rowOff>0</xdr:rowOff>
    </xdr:from>
    <xdr:to>
      <xdr:col>0</xdr:col>
      <xdr:colOff>6840</xdr:colOff>
      <xdr:row>315</xdr:row>
      <xdr:rowOff>134640</xdr:rowOff>
    </xdr:to>
    <xdr:pic>
      <xdr:nvPicPr>
        <xdr:cNvPr id="1655" name="Imagem 1855" descr=""/>
        <xdr:cNvPicPr/>
      </xdr:nvPicPr>
      <xdr:blipFill>
        <a:blip r:embed="rId1653"/>
        <a:stretch/>
      </xdr:blipFill>
      <xdr:spPr>
        <a:xfrm>
          <a:off x="0" y="12782520"/>
          <a:ext cx="6840" cy="70124040"/>
        </a:xfrm>
        <a:prstGeom prst="rect">
          <a:avLst/>
        </a:prstGeom>
        <a:ln>
          <a:noFill/>
        </a:ln>
      </xdr:spPr>
    </xdr:pic>
    <xdr:clientData/>
  </xdr:twoCellAnchor>
  <xdr:twoCellAnchor editAs="oneCell">
    <xdr:from>
      <xdr:col>0</xdr:col>
      <xdr:colOff>0</xdr:colOff>
      <xdr:row>55</xdr:row>
      <xdr:rowOff>0</xdr:rowOff>
    </xdr:from>
    <xdr:to>
      <xdr:col>0</xdr:col>
      <xdr:colOff>6840</xdr:colOff>
      <xdr:row>327</xdr:row>
      <xdr:rowOff>117000</xdr:rowOff>
    </xdr:to>
    <xdr:pic>
      <xdr:nvPicPr>
        <xdr:cNvPr id="1656" name="Imagem 1856" descr=""/>
        <xdr:cNvPicPr/>
      </xdr:nvPicPr>
      <xdr:blipFill>
        <a:blip r:embed="rId1654"/>
        <a:stretch/>
      </xdr:blipFill>
      <xdr:spPr>
        <a:xfrm>
          <a:off x="0" y="13849200"/>
          <a:ext cx="6840" cy="72888120"/>
        </a:xfrm>
        <a:prstGeom prst="rect">
          <a:avLst/>
        </a:prstGeom>
        <a:ln>
          <a:noFill/>
        </a:ln>
      </xdr:spPr>
    </xdr:pic>
    <xdr:clientData/>
  </xdr:twoCellAnchor>
  <xdr:twoCellAnchor editAs="oneCell">
    <xdr:from>
      <xdr:col>0</xdr:col>
      <xdr:colOff>0</xdr:colOff>
      <xdr:row>55</xdr:row>
      <xdr:rowOff>0</xdr:rowOff>
    </xdr:from>
    <xdr:to>
      <xdr:col>0</xdr:col>
      <xdr:colOff>6840</xdr:colOff>
      <xdr:row>333</xdr:row>
      <xdr:rowOff>242640</xdr:rowOff>
    </xdr:to>
    <xdr:pic>
      <xdr:nvPicPr>
        <xdr:cNvPr id="1657" name="Imagem 1857" descr=""/>
        <xdr:cNvPicPr/>
      </xdr:nvPicPr>
      <xdr:blipFill>
        <a:blip r:embed="rId1655"/>
        <a:stretch/>
      </xdr:blipFill>
      <xdr:spPr>
        <a:xfrm>
          <a:off x="0" y="13849200"/>
          <a:ext cx="6840" cy="74461320"/>
        </a:xfrm>
        <a:prstGeom prst="rect">
          <a:avLst/>
        </a:prstGeom>
        <a:ln>
          <a:noFill/>
        </a:ln>
      </xdr:spPr>
    </xdr:pic>
    <xdr:clientData/>
  </xdr:twoCellAnchor>
  <xdr:twoCellAnchor editAs="oneCell">
    <xdr:from>
      <xdr:col>0</xdr:col>
      <xdr:colOff>0</xdr:colOff>
      <xdr:row>55</xdr:row>
      <xdr:rowOff>0</xdr:rowOff>
    </xdr:from>
    <xdr:to>
      <xdr:col>0</xdr:col>
      <xdr:colOff>6840</xdr:colOff>
      <xdr:row>336</xdr:row>
      <xdr:rowOff>99360</xdr:rowOff>
    </xdr:to>
    <xdr:pic>
      <xdr:nvPicPr>
        <xdr:cNvPr id="1658" name="Imagem 1858" descr=""/>
        <xdr:cNvPicPr/>
      </xdr:nvPicPr>
      <xdr:blipFill>
        <a:blip r:embed="rId1656"/>
        <a:stretch/>
      </xdr:blipFill>
      <xdr:spPr>
        <a:xfrm>
          <a:off x="0" y="13849200"/>
          <a:ext cx="6840" cy="74965680"/>
        </a:xfrm>
        <a:prstGeom prst="rect">
          <a:avLst/>
        </a:prstGeom>
        <a:ln>
          <a:noFill/>
        </a:ln>
      </xdr:spPr>
    </xdr:pic>
    <xdr:clientData/>
  </xdr:twoCellAnchor>
  <xdr:twoCellAnchor editAs="oneCell">
    <xdr:from>
      <xdr:col>0</xdr:col>
      <xdr:colOff>0</xdr:colOff>
      <xdr:row>55</xdr:row>
      <xdr:rowOff>0</xdr:rowOff>
    </xdr:from>
    <xdr:to>
      <xdr:col>0</xdr:col>
      <xdr:colOff>6840</xdr:colOff>
      <xdr:row>345</xdr:row>
      <xdr:rowOff>143640</xdr:rowOff>
    </xdr:to>
    <xdr:pic>
      <xdr:nvPicPr>
        <xdr:cNvPr id="1659" name="Imagem 1859" descr=""/>
        <xdr:cNvPicPr/>
      </xdr:nvPicPr>
      <xdr:blipFill>
        <a:blip r:embed="rId1657"/>
        <a:stretch/>
      </xdr:blipFill>
      <xdr:spPr>
        <a:xfrm>
          <a:off x="0" y="13849200"/>
          <a:ext cx="6840" cy="77220000"/>
        </a:xfrm>
        <a:prstGeom prst="rect">
          <a:avLst/>
        </a:prstGeom>
        <a:ln>
          <a:noFill/>
        </a:ln>
      </xdr:spPr>
    </xdr:pic>
    <xdr:clientData/>
  </xdr:twoCellAnchor>
  <xdr:twoCellAnchor editAs="oneCell">
    <xdr:from>
      <xdr:col>0</xdr:col>
      <xdr:colOff>0</xdr:colOff>
      <xdr:row>55</xdr:row>
      <xdr:rowOff>0</xdr:rowOff>
    </xdr:from>
    <xdr:to>
      <xdr:col>0</xdr:col>
      <xdr:colOff>6840</xdr:colOff>
      <xdr:row>356</xdr:row>
      <xdr:rowOff>170640</xdr:rowOff>
    </xdr:to>
    <xdr:pic>
      <xdr:nvPicPr>
        <xdr:cNvPr id="1660" name="Imagem 1860" descr=""/>
        <xdr:cNvPicPr/>
      </xdr:nvPicPr>
      <xdr:blipFill>
        <a:blip r:embed="rId1658"/>
        <a:stretch/>
      </xdr:blipFill>
      <xdr:spPr>
        <a:xfrm>
          <a:off x="0" y="13849200"/>
          <a:ext cx="6840" cy="79913880"/>
        </a:xfrm>
        <a:prstGeom prst="rect">
          <a:avLst/>
        </a:prstGeom>
        <a:ln>
          <a:noFill/>
        </a:ln>
      </xdr:spPr>
    </xdr:pic>
    <xdr:clientData/>
  </xdr:twoCellAnchor>
  <xdr:twoCellAnchor editAs="oneCell">
    <xdr:from>
      <xdr:col>0</xdr:col>
      <xdr:colOff>0</xdr:colOff>
      <xdr:row>55</xdr:row>
      <xdr:rowOff>0</xdr:rowOff>
    </xdr:from>
    <xdr:to>
      <xdr:col>0</xdr:col>
      <xdr:colOff>6840</xdr:colOff>
      <xdr:row>366</xdr:row>
      <xdr:rowOff>483120</xdr:rowOff>
    </xdr:to>
    <xdr:pic>
      <xdr:nvPicPr>
        <xdr:cNvPr id="1661" name="Imagem 1861" descr=""/>
        <xdr:cNvPicPr/>
      </xdr:nvPicPr>
      <xdr:blipFill>
        <a:blip r:embed="rId1659"/>
        <a:stretch/>
      </xdr:blipFill>
      <xdr:spPr>
        <a:xfrm>
          <a:off x="0" y="13849200"/>
          <a:ext cx="6840" cy="83160000"/>
        </a:xfrm>
        <a:prstGeom prst="rect">
          <a:avLst/>
        </a:prstGeom>
        <a:ln>
          <a:noFill/>
        </a:ln>
      </xdr:spPr>
    </xdr:pic>
    <xdr:clientData/>
  </xdr:twoCellAnchor>
  <xdr:twoCellAnchor editAs="oneCell">
    <xdr:from>
      <xdr:col>0</xdr:col>
      <xdr:colOff>0</xdr:colOff>
      <xdr:row>56</xdr:row>
      <xdr:rowOff>0</xdr:rowOff>
    </xdr:from>
    <xdr:to>
      <xdr:col>0</xdr:col>
      <xdr:colOff>6840</xdr:colOff>
      <xdr:row>383</xdr:row>
      <xdr:rowOff>38160</xdr:rowOff>
    </xdr:to>
    <xdr:pic>
      <xdr:nvPicPr>
        <xdr:cNvPr id="1662" name="Imagem 1862" descr=""/>
        <xdr:cNvPicPr/>
      </xdr:nvPicPr>
      <xdr:blipFill>
        <a:blip r:embed="rId1660"/>
        <a:stretch/>
      </xdr:blipFill>
      <xdr:spPr>
        <a:xfrm>
          <a:off x="0" y="14115960"/>
          <a:ext cx="6840" cy="87553800"/>
        </a:xfrm>
        <a:prstGeom prst="rect">
          <a:avLst/>
        </a:prstGeom>
        <a:ln>
          <a:noFill/>
        </a:ln>
      </xdr:spPr>
    </xdr:pic>
    <xdr:clientData/>
  </xdr:twoCellAnchor>
  <xdr:twoCellAnchor editAs="oneCell">
    <xdr:from>
      <xdr:col>0</xdr:col>
      <xdr:colOff>0</xdr:colOff>
      <xdr:row>65</xdr:row>
      <xdr:rowOff>0</xdr:rowOff>
    </xdr:from>
    <xdr:to>
      <xdr:col>0</xdr:col>
      <xdr:colOff>6840</xdr:colOff>
      <xdr:row>403</xdr:row>
      <xdr:rowOff>78480</xdr:rowOff>
    </xdr:to>
    <xdr:pic>
      <xdr:nvPicPr>
        <xdr:cNvPr id="1663" name="Imagem 1863" descr=""/>
        <xdr:cNvPicPr/>
      </xdr:nvPicPr>
      <xdr:blipFill>
        <a:blip r:embed="rId1661"/>
        <a:stretch/>
      </xdr:blipFill>
      <xdr:spPr>
        <a:xfrm>
          <a:off x="0" y="16211520"/>
          <a:ext cx="6840" cy="90870480"/>
        </a:xfrm>
        <a:prstGeom prst="rect">
          <a:avLst/>
        </a:prstGeom>
        <a:ln>
          <a:noFill/>
        </a:ln>
      </xdr:spPr>
    </xdr:pic>
    <xdr:clientData/>
  </xdr:twoCellAnchor>
  <xdr:twoCellAnchor editAs="oneCell">
    <xdr:from>
      <xdr:col>0</xdr:col>
      <xdr:colOff>0</xdr:colOff>
      <xdr:row>77</xdr:row>
      <xdr:rowOff>0</xdr:rowOff>
    </xdr:from>
    <xdr:to>
      <xdr:col>0</xdr:col>
      <xdr:colOff>6840</xdr:colOff>
      <xdr:row>429</xdr:row>
      <xdr:rowOff>2160</xdr:rowOff>
    </xdr:to>
    <xdr:pic>
      <xdr:nvPicPr>
        <xdr:cNvPr id="1664" name="Imagem 1864" descr=""/>
        <xdr:cNvPicPr/>
      </xdr:nvPicPr>
      <xdr:blipFill>
        <a:blip r:embed="rId1662"/>
        <a:stretch/>
      </xdr:blipFill>
      <xdr:spPr>
        <a:xfrm>
          <a:off x="0" y="19468800"/>
          <a:ext cx="6840" cy="94185360"/>
        </a:xfrm>
        <a:prstGeom prst="rect">
          <a:avLst/>
        </a:prstGeom>
        <a:ln>
          <a:noFill/>
        </a:ln>
      </xdr:spPr>
    </xdr:pic>
    <xdr:clientData/>
  </xdr:twoCellAnchor>
  <xdr:twoCellAnchor editAs="oneCell">
    <xdr:from>
      <xdr:col>0</xdr:col>
      <xdr:colOff>0</xdr:colOff>
      <xdr:row>88</xdr:row>
      <xdr:rowOff>0</xdr:rowOff>
    </xdr:from>
    <xdr:to>
      <xdr:col>0</xdr:col>
      <xdr:colOff>6840</xdr:colOff>
      <xdr:row>451</xdr:row>
      <xdr:rowOff>28800</xdr:rowOff>
    </xdr:to>
    <xdr:pic>
      <xdr:nvPicPr>
        <xdr:cNvPr id="1665" name="Imagem 1865" descr=""/>
        <xdr:cNvPicPr/>
      </xdr:nvPicPr>
      <xdr:blipFill>
        <a:blip r:embed="rId1663"/>
        <a:stretch/>
      </xdr:blipFill>
      <xdr:spPr>
        <a:xfrm>
          <a:off x="0" y="22174200"/>
          <a:ext cx="6840" cy="97545600"/>
        </a:xfrm>
        <a:prstGeom prst="rect">
          <a:avLst/>
        </a:prstGeom>
        <a:ln>
          <a:noFill/>
        </a:ln>
      </xdr:spPr>
    </xdr:pic>
    <xdr:clientData/>
  </xdr:twoCellAnchor>
  <xdr:twoCellAnchor editAs="oneCell">
    <xdr:from>
      <xdr:col>0</xdr:col>
      <xdr:colOff>0</xdr:colOff>
      <xdr:row>88</xdr:row>
      <xdr:rowOff>0</xdr:rowOff>
    </xdr:from>
    <xdr:to>
      <xdr:col>0</xdr:col>
      <xdr:colOff>6840</xdr:colOff>
      <xdr:row>460</xdr:row>
      <xdr:rowOff>71280</xdr:rowOff>
    </xdr:to>
    <xdr:pic>
      <xdr:nvPicPr>
        <xdr:cNvPr id="1666" name="Imagem 1866" descr=""/>
        <xdr:cNvPicPr/>
      </xdr:nvPicPr>
      <xdr:blipFill>
        <a:blip r:embed="rId1664"/>
        <a:stretch/>
      </xdr:blipFill>
      <xdr:spPr>
        <a:xfrm>
          <a:off x="0" y="22174200"/>
          <a:ext cx="6840" cy="99893160"/>
        </a:xfrm>
        <a:prstGeom prst="rect">
          <a:avLst/>
        </a:prstGeom>
        <a:ln>
          <a:noFill/>
        </a:ln>
      </xdr:spPr>
    </xdr:pic>
    <xdr:clientData/>
  </xdr:twoCellAnchor>
  <xdr:twoCellAnchor editAs="oneCell">
    <xdr:from>
      <xdr:col>0</xdr:col>
      <xdr:colOff>0</xdr:colOff>
      <xdr:row>88</xdr:row>
      <xdr:rowOff>0</xdr:rowOff>
    </xdr:from>
    <xdr:to>
      <xdr:col>0</xdr:col>
      <xdr:colOff>6840</xdr:colOff>
      <xdr:row>461</xdr:row>
      <xdr:rowOff>179280</xdr:rowOff>
    </xdr:to>
    <xdr:pic>
      <xdr:nvPicPr>
        <xdr:cNvPr id="1667" name="Imagem 1867" descr=""/>
        <xdr:cNvPicPr/>
      </xdr:nvPicPr>
      <xdr:blipFill>
        <a:blip r:embed="rId1665"/>
        <a:stretch/>
      </xdr:blipFill>
      <xdr:spPr>
        <a:xfrm>
          <a:off x="0" y="22174200"/>
          <a:ext cx="6840" cy="100267920"/>
        </a:xfrm>
        <a:prstGeom prst="rect">
          <a:avLst/>
        </a:prstGeom>
        <a:ln>
          <a:noFill/>
        </a:ln>
      </xdr:spPr>
    </xdr:pic>
    <xdr:clientData/>
  </xdr:twoCellAnchor>
  <xdr:twoCellAnchor editAs="oneCell">
    <xdr:from>
      <xdr:col>0</xdr:col>
      <xdr:colOff>0</xdr:colOff>
      <xdr:row>88</xdr:row>
      <xdr:rowOff>0</xdr:rowOff>
    </xdr:from>
    <xdr:to>
      <xdr:col>0</xdr:col>
      <xdr:colOff>6840</xdr:colOff>
      <xdr:row>483</xdr:row>
      <xdr:rowOff>182520</xdr:rowOff>
    </xdr:to>
    <xdr:pic>
      <xdr:nvPicPr>
        <xdr:cNvPr id="1668" name="Imagem 1868" descr=""/>
        <xdr:cNvPicPr/>
      </xdr:nvPicPr>
      <xdr:blipFill>
        <a:blip r:embed="rId1666"/>
        <a:stretch/>
      </xdr:blipFill>
      <xdr:spPr>
        <a:xfrm>
          <a:off x="0" y="22174200"/>
          <a:ext cx="6840" cy="105604920"/>
        </a:xfrm>
        <a:prstGeom prst="rect">
          <a:avLst/>
        </a:prstGeom>
        <a:ln>
          <a:noFill/>
        </a:ln>
      </xdr:spPr>
    </xdr:pic>
    <xdr:clientData/>
  </xdr:twoCellAnchor>
  <xdr:twoCellAnchor editAs="oneCell">
    <xdr:from>
      <xdr:col>0</xdr:col>
      <xdr:colOff>0</xdr:colOff>
      <xdr:row>88</xdr:row>
      <xdr:rowOff>0</xdr:rowOff>
    </xdr:from>
    <xdr:to>
      <xdr:col>0</xdr:col>
      <xdr:colOff>6840</xdr:colOff>
      <xdr:row>497</xdr:row>
      <xdr:rowOff>252360</xdr:rowOff>
    </xdr:to>
    <xdr:pic>
      <xdr:nvPicPr>
        <xdr:cNvPr id="1669" name="Imagem 1869" descr=""/>
        <xdr:cNvPicPr/>
      </xdr:nvPicPr>
      <xdr:blipFill>
        <a:blip r:embed="rId1667"/>
        <a:stretch/>
      </xdr:blipFill>
      <xdr:spPr>
        <a:xfrm>
          <a:off x="0" y="22174200"/>
          <a:ext cx="6840" cy="109446840"/>
        </a:xfrm>
        <a:prstGeom prst="rect">
          <a:avLst/>
        </a:prstGeom>
        <a:ln>
          <a:noFill/>
        </a:ln>
      </xdr:spPr>
    </xdr:pic>
    <xdr:clientData/>
  </xdr:twoCellAnchor>
  <xdr:twoCellAnchor editAs="oneCell">
    <xdr:from>
      <xdr:col>0</xdr:col>
      <xdr:colOff>0</xdr:colOff>
      <xdr:row>88</xdr:row>
      <xdr:rowOff>0</xdr:rowOff>
    </xdr:from>
    <xdr:to>
      <xdr:col>0</xdr:col>
      <xdr:colOff>6840</xdr:colOff>
      <xdr:row>499</xdr:row>
      <xdr:rowOff>17280</xdr:rowOff>
    </xdr:to>
    <xdr:pic>
      <xdr:nvPicPr>
        <xdr:cNvPr id="1670" name="Imagem 1870" descr=""/>
        <xdr:cNvPicPr/>
      </xdr:nvPicPr>
      <xdr:blipFill>
        <a:blip r:embed="rId1668"/>
        <a:stretch/>
      </xdr:blipFill>
      <xdr:spPr>
        <a:xfrm>
          <a:off x="0" y="22174200"/>
          <a:ext cx="6840" cy="109745280"/>
        </a:xfrm>
        <a:prstGeom prst="rect">
          <a:avLst/>
        </a:prstGeom>
        <a:ln>
          <a:noFill/>
        </a:ln>
      </xdr:spPr>
    </xdr:pic>
    <xdr:clientData/>
  </xdr:twoCellAnchor>
  <xdr:twoCellAnchor editAs="oneCell">
    <xdr:from>
      <xdr:col>0</xdr:col>
      <xdr:colOff>0</xdr:colOff>
      <xdr:row>88</xdr:row>
      <xdr:rowOff>0</xdr:rowOff>
    </xdr:from>
    <xdr:to>
      <xdr:col>0</xdr:col>
      <xdr:colOff>6840</xdr:colOff>
      <xdr:row>506</xdr:row>
      <xdr:rowOff>172440</xdr:rowOff>
    </xdr:to>
    <xdr:pic>
      <xdr:nvPicPr>
        <xdr:cNvPr id="1671" name="Imagem 1871" descr=""/>
        <xdr:cNvPicPr/>
      </xdr:nvPicPr>
      <xdr:blipFill>
        <a:blip r:embed="rId1669"/>
        <a:stretch/>
      </xdr:blipFill>
      <xdr:spPr>
        <a:xfrm>
          <a:off x="0" y="22174200"/>
          <a:ext cx="6840" cy="111900600"/>
        </a:xfrm>
        <a:prstGeom prst="rect">
          <a:avLst/>
        </a:prstGeom>
        <a:ln>
          <a:noFill/>
        </a:ln>
      </xdr:spPr>
    </xdr:pic>
    <xdr:clientData/>
  </xdr:twoCellAnchor>
  <xdr:twoCellAnchor editAs="oneCell">
    <xdr:from>
      <xdr:col>0</xdr:col>
      <xdr:colOff>0</xdr:colOff>
      <xdr:row>88</xdr:row>
      <xdr:rowOff>0</xdr:rowOff>
    </xdr:from>
    <xdr:to>
      <xdr:col>0</xdr:col>
      <xdr:colOff>6840</xdr:colOff>
      <xdr:row>519</xdr:row>
      <xdr:rowOff>99000</xdr:rowOff>
    </xdr:to>
    <xdr:pic>
      <xdr:nvPicPr>
        <xdr:cNvPr id="1672" name="Imagem 1872" descr=""/>
        <xdr:cNvPicPr/>
      </xdr:nvPicPr>
      <xdr:blipFill>
        <a:blip r:embed="rId1670"/>
        <a:stretch/>
      </xdr:blipFill>
      <xdr:spPr>
        <a:xfrm>
          <a:off x="0" y="22174200"/>
          <a:ext cx="6840" cy="115218000"/>
        </a:xfrm>
        <a:prstGeom prst="rect">
          <a:avLst/>
        </a:prstGeom>
        <a:ln>
          <a:noFill/>
        </a:ln>
      </xdr:spPr>
    </xdr:pic>
    <xdr:clientData/>
  </xdr:twoCellAnchor>
  <xdr:twoCellAnchor editAs="oneCell">
    <xdr:from>
      <xdr:col>0</xdr:col>
      <xdr:colOff>0</xdr:colOff>
      <xdr:row>88</xdr:row>
      <xdr:rowOff>0</xdr:rowOff>
    </xdr:from>
    <xdr:to>
      <xdr:col>0</xdr:col>
      <xdr:colOff>6840</xdr:colOff>
      <xdr:row>531</xdr:row>
      <xdr:rowOff>254520</xdr:rowOff>
    </xdr:to>
    <xdr:pic>
      <xdr:nvPicPr>
        <xdr:cNvPr id="1673" name="Imagem 1873" descr=""/>
        <xdr:cNvPicPr/>
      </xdr:nvPicPr>
      <xdr:blipFill>
        <a:blip r:embed="rId1671"/>
        <a:stretch/>
      </xdr:blipFill>
      <xdr:spPr>
        <a:xfrm>
          <a:off x="0" y="22174200"/>
          <a:ext cx="6840" cy="118554840"/>
        </a:xfrm>
        <a:prstGeom prst="rect">
          <a:avLst/>
        </a:prstGeom>
        <a:ln>
          <a:noFill/>
        </a:ln>
      </xdr:spPr>
    </xdr:pic>
    <xdr:clientData/>
  </xdr:twoCellAnchor>
  <xdr:twoCellAnchor editAs="oneCell">
    <xdr:from>
      <xdr:col>0</xdr:col>
      <xdr:colOff>0</xdr:colOff>
      <xdr:row>88</xdr:row>
      <xdr:rowOff>0</xdr:rowOff>
    </xdr:from>
    <xdr:to>
      <xdr:col>0</xdr:col>
      <xdr:colOff>6840</xdr:colOff>
      <xdr:row>544</xdr:row>
      <xdr:rowOff>141120</xdr:rowOff>
    </xdr:to>
    <xdr:pic>
      <xdr:nvPicPr>
        <xdr:cNvPr id="1674" name="Imagem 1874" descr=""/>
        <xdr:cNvPicPr/>
      </xdr:nvPicPr>
      <xdr:blipFill>
        <a:blip r:embed="rId1672"/>
        <a:stretch/>
      </xdr:blipFill>
      <xdr:spPr>
        <a:xfrm>
          <a:off x="0" y="22174200"/>
          <a:ext cx="6840" cy="122137200"/>
        </a:xfrm>
        <a:prstGeom prst="rect">
          <a:avLst/>
        </a:prstGeom>
        <a:ln>
          <a:noFill/>
        </a:ln>
      </xdr:spPr>
    </xdr:pic>
    <xdr:clientData/>
  </xdr:twoCellAnchor>
  <xdr:twoCellAnchor editAs="oneCell">
    <xdr:from>
      <xdr:col>0</xdr:col>
      <xdr:colOff>0</xdr:colOff>
      <xdr:row>88</xdr:row>
      <xdr:rowOff>0</xdr:rowOff>
    </xdr:from>
    <xdr:to>
      <xdr:col>0</xdr:col>
      <xdr:colOff>6840</xdr:colOff>
      <xdr:row>555</xdr:row>
      <xdr:rowOff>82440</xdr:rowOff>
    </xdr:to>
    <xdr:pic>
      <xdr:nvPicPr>
        <xdr:cNvPr id="1675" name="Imagem 1875" descr=""/>
        <xdr:cNvPicPr/>
      </xdr:nvPicPr>
      <xdr:blipFill>
        <a:blip r:embed="rId1673"/>
        <a:stretch/>
      </xdr:blipFill>
      <xdr:spPr>
        <a:xfrm>
          <a:off x="0" y="22174200"/>
          <a:ext cx="6840" cy="124783560"/>
        </a:xfrm>
        <a:prstGeom prst="rect">
          <a:avLst/>
        </a:prstGeom>
        <a:ln>
          <a:noFill/>
        </a:ln>
      </xdr:spPr>
    </xdr:pic>
    <xdr:clientData/>
  </xdr:twoCellAnchor>
  <xdr:twoCellAnchor editAs="oneCell">
    <xdr:from>
      <xdr:col>0</xdr:col>
      <xdr:colOff>0</xdr:colOff>
      <xdr:row>88</xdr:row>
      <xdr:rowOff>0</xdr:rowOff>
    </xdr:from>
    <xdr:to>
      <xdr:col>0</xdr:col>
      <xdr:colOff>6840</xdr:colOff>
      <xdr:row>566</xdr:row>
      <xdr:rowOff>70200</xdr:rowOff>
    </xdr:to>
    <xdr:pic>
      <xdr:nvPicPr>
        <xdr:cNvPr id="1676" name="Imagem 1876" descr=""/>
        <xdr:cNvPicPr/>
      </xdr:nvPicPr>
      <xdr:blipFill>
        <a:blip r:embed="rId1674"/>
        <a:stretch/>
      </xdr:blipFill>
      <xdr:spPr>
        <a:xfrm>
          <a:off x="0" y="22174200"/>
          <a:ext cx="6840" cy="127552680"/>
        </a:xfrm>
        <a:prstGeom prst="rect">
          <a:avLst/>
        </a:prstGeom>
        <a:ln>
          <a:noFill/>
        </a:ln>
      </xdr:spPr>
    </xdr:pic>
    <xdr:clientData/>
  </xdr:twoCellAnchor>
  <xdr:twoCellAnchor editAs="oneCell">
    <xdr:from>
      <xdr:col>0</xdr:col>
      <xdr:colOff>0</xdr:colOff>
      <xdr:row>89</xdr:row>
      <xdr:rowOff>0</xdr:rowOff>
    </xdr:from>
    <xdr:to>
      <xdr:col>0</xdr:col>
      <xdr:colOff>6840</xdr:colOff>
      <xdr:row>580</xdr:row>
      <xdr:rowOff>232920</xdr:rowOff>
    </xdr:to>
    <xdr:pic>
      <xdr:nvPicPr>
        <xdr:cNvPr id="1677" name="Imagem 1877" descr=""/>
        <xdr:cNvPicPr/>
      </xdr:nvPicPr>
      <xdr:blipFill>
        <a:blip r:embed="rId1675"/>
        <a:stretch/>
      </xdr:blipFill>
      <xdr:spPr>
        <a:xfrm>
          <a:off x="0" y="22440600"/>
          <a:ext cx="6840" cy="131144760"/>
        </a:xfrm>
        <a:prstGeom prst="rect">
          <a:avLst/>
        </a:prstGeom>
        <a:ln>
          <a:noFill/>
        </a:ln>
      </xdr:spPr>
    </xdr:pic>
    <xdr:clientData/>
  </xdr:twoCellAnchor>
  <xdr:twoCellAnchor editAs="oneCell">
    <xdr:from>
      <xdr:col>0</xdr:col>
      <xdr:colOff>0</xdr:colOff>
      <xdr:row>94</xdr:row>
      <xdr:rowOff>0</xdr:rowOff>
    </xdr:from>
    <xdr:to>
      <xdr:col>0</xdr:col>
      <xdr:colOff>6840</xdr:colOff>
      <xdr:row>594</xdr:row>
      <xdr:rowOff>127440</xdr:rowOff>
    </xdr:to>
    <xdr:pic>
      <xdr:nvPicPr>
        <xdr:cNvPr id="1678" name="Imagem 1878" descr=""/>
        <xdr:cNvPicPr/>
      </xdr:nvPicPr>
      <xdr:blipFill>
        <a:blip r:embed="rId1676"/>
        <a:stretch/>
      </xdr:blipFill>
      <xdr:spPr>
        <a:xfrm>
          <a:off x="0" y="23698080"/>
          <a:ext cx="6840" cy="133286760"/>
        </a:xfrm>
        <a:prstGeom prst="rect">
          <a:avLst/>
        </a:prstGeom>
        <a:ln>
          <a:noFill/>
        </a:ln>
      </xdr:spPr>
    </xdr:pic>
    <xdr:clientData/>
  </xdr:twoCellAnchor>
  <xdr:twoCellAnchor editAs="oneCell">
    <xdr:from>
      <xdr:col>0</xdr:col>
      <xdr:colOff>0</xdr:colOff>
      <xdr:row>94</xdr:row>
      <xdr:rowOff>0</xdr:rowOff>
    </xdr:from>
    <xdr:to>
      <xdr:col>0</xdr:col>
      <xdr:colOff>6840</xdr:colOff>
      <xdr:row>606</xdr:row>
      <xdr:rowOff>135720</xdr:rowOff>
    </xdr:to>
    <xdr:pic>
      <xdr:nvPicPr>
        <xdr:cNvPr id="1679" name="Imagem 1879" descr=""/>
        <xdr:cNvPicPr/>
      </xdr:nvPicPr>
      <xdr:blipFill>
        <a:blip r:embed="rId1677"/>
        <a:stretch/>
      </xdr:blipFill>
      <xdr:spPr>
        <a:xfrm>
          <a:off x="0" y="23698080"/>
          <a:ext cx="6840" cy="136266840"/>
        </a:xfrm>
        <a:prstGeom prst="rect">
          <a:avLst/>
        </a:prstGeom>
        <a:ln>
          <a:noFill/>
        </a:ln>
      </xdr:spPr>
    </xdr:pic>
    <xdr:clientData/>
  </xdr:twoCellAnchor>
  <xdr:twoCellAnchor editAs="oneCell">
    <xdr:from>
      <xdr:col>0</xdr:col>
      <xdr:colOff>0</xdr:colOff>
      <xdr:row>94</xdr:row>
      <xdr:rowOff>0</xdr:rowOff>
    </xdr:from>
    <xdr:to>
      <xdr:col>0</xdr:col>
      <xdr:colOff>6840</xdr:colOff>
      <xdr:row>614</xdr:row>
      <xdr:rowOff>72720</xdr:rowOff>
    </xdr:to>
    <xdr:pic>
      <xdr:nvPicPr>
        <xdr:cNvPr id="1680" name="Imagem 1880" descr=""/>
        <xdr:cNvPicPr/>
      </xdr:nvPicPr>
      <xdr:blipFill>
        <a:blip r:embed="rId1678"/>
        <a:stretch/>
      </xdr:blipFill>
      <xdr:spPr>
        <a:xfrm>
          <a:off x="0" y="23698080"/>
          <a:ext cx="6840" cy="138185280"/>
        </a:xfrm>
        <a:prstGeom prst="rect">
          <a:avLst/>
        </a:prstGeom>
        <a:ln>
          <a:noFill/>
        </a:ln>
      </xdr:spPr>
    </xdr:pic>
    <xdr:clientData/>
  </xdr:twoCellAnchor>
  <xdr:twoCellAnchor editAs="oneCell">
    <xdr:from>
      <xdr:col>0</xdr:col>
      <xdr:colOff>0</xdr:colOff>
      <xdr:row>100</xdr:row>
      <xdr:rowOff>0</xdr:rowOff>
    </xdr:from>
    <xdr:to>
      <xdr:col>0</xdr:col>
      <xdr:colOff>6840</xdr:colOff>
      <xdr:row>631</xdr:row>
      <xdr:rowOff>194760</xdr:rowOff>
    </xdr:to>
    <xdr:pic>
      <xdr:nvPicPr>
        <xdr:cNvPr id="1681" name="Imagem 1881" descr=""/>
        <xdr:cNvPicPr/>
      </xdr:nvPicPr>
      <xdr:blipFill>
        <a:blip r:embed="rId1679"/>
        <a:stretch/>
      </xdr:blipFill>
      <xdr:spPr>
        <a:xfrm>
          <a:off x="0" y="25336440"/>
          <a:ext cx="6840" cy="141031440"/>
        </a:xfrm>
        <a:prstGeom prst="rect">
          <a:avLst/>
        </a:prstGeom>
        <a:ln>
          <a:noFill/>
        </a:ln>
      </xdr:spPr>
    </xdr:pic>
    <xdr:clientData/>
  </xdr:twoCellAnchor>
  <xdr:twoCellAnchor editAs="oneCell">
    <xdr:from>
      <xdr:col>0</xdr:col>
      <xdr:colOff>0</xdr:colOff>
      <xdr:row>100</xdr:row>
      <xdr:rowOff>0</xdr:rowOff>
    </xdr:from>
    <xdr:to>
      <xdr:col>0</xdr:col>
      <xdr:colOff>6840</xdr:colOff>
      <xdr:row>641</xdr:row>
      <xdr:rowOff>88560</xdr:rowOff>
    </xdr:to>
    <xdr:pic>
      <xdr:nvPicPr>
        <xdr:cNvPr id="1682" name="Imagem 1882" descr=""/>
        <xdr:cNvPicPr/>
      </xdr:nvPicPr>
      <xdr:blipFill>
        <a:blip r:embed="rId1680"/>
        <a:stretch/>
      </xdr:blipFill>
      <xdr:spPr>
        <a:xfrm>
          <a:off x="0" y="25336440"/>
          <a:ext cx="6840" cy="143706240"/>
        </a:xfrm>
        <a:prstGeom prst="rect">
          <a:avLst/>
        </a:prstGeom>
        <a:ln>
          <a:noFill/>
        </a:ln>
      </xdr:spPr>
    </xdr:pic>
    <xdr:clientData/>
  </xdr:twoCellAnchor>
  <xdr:twoCellAnchor editAs="oneCell">
    <xdr:from>
      <xdr:col>0</xdr:col>
      <xdr:colOff>0</xdr:colOff>
      <xdr:row>100</xdr:row>
      <xdr:rowOff>0</xdr:rowOff>
    </xdr:from>
    <xdr:to>
      <xdr:col>0</xdr:col>
      <xdr:colOff>6840</xdr:colOff>
      <xdr:row>654</xdr:row>
      <xdr:rowOff>104040</xdr:rowOff>
    </xdr:to>
    <xdr:pic>
      <xdr:nvPicPr>
        <xdr:cNvPr id="1683" name="Imagem 1883" descr=""/>
        <xdr:cNvPicPr/>
      </xdr:nvPicPr>
      <xdr:blipFill>
        <a:blip r:embed="rId1681"/>
        <a:stretch/>
      </xdr:blipFill>
      <xdr:spPr>
        <a:xfrm>
          <a:off x="0" y="25336440"/>
          <a:ext cx="6840" cy="147227040"/>
        </a:xfrm>
        <a:prstGeom prst="rect">
          <a:avLst/>
        </a:prstGeom>
        <a:ln>
          <a:noFill/>
        </a:ln>
      </xdr:spPr>
    </xdr:pic>
    <xdr:clientData/>
  </xdr:twoCellAnchor>
  <xdr:twoCellAnchor editAs="oneCell">
    <xdr:from>
      <xdr:col>0</xdr:col>
      <xdr:colOff>0</xdr:colOff>
      <xdr:row>100</xdr:row>
      <xdr:rowOff>0</xdr:rowOff>
    </xdr:from>
    <xdr:to>
      <xdr:col>0</xdr:col>
      <xdr:colOff>6840</xdr:colOff>
      <xdr:row>664</xdr:row>
      <xdr:rowOff>159480</xdr:rowOff>
    </xdr:to>
    <xdr:pic>
      <xdr:nvPicPr>
        <xdr:cNvPr id="1684" name="Imagem 1884" descr=""/>
        <xdr:cNvPicPr/>
      </xdr:nvPicPr>
      <xdr:blipFill>
        <a:blip r:embed="rId1682"/>
        <a:stretch/>
      </xdr:blipFill>
      <xdr:spPr>
        <a:xfrm>
          <a:off x="0" y="25336440"/>
          <a:ext cx="6840" cy="149797080"/>
        </a:xfrm>
        <a:prstGeom prst="rect">
          <a:avLst/>
        </a:prstGeom>
        <a:ln>
          <a:noFill/>
        </a:ln>
      </xdr:spPr>
    </xdr:pic>
    <xdr:clientData/>
  </xdr:twoCellAnchor>
  <xdr:twoCellAnchor editAs="oneCell">
    <xdr:from>
      <xdr:col>0</xdr:col>
      <xdr:colOff>0</xdr:colOff>
      <xdr:row>104</xdr:row>
      <xdr:rowOff>0</xdr:rowOff>
    </xdr:from>
    <xdr:to>
      <xdr:col>0</xdr:col>
      <xdr:colOff>6840</xdr:colOff>
      <xdr:row>680</xdr:row>
      <xdr:rowOff>91440</xdr:rowOff>
    </xdr:to>
    <xdr:pic>
      <xdr:nvPicPr>
        <xdr:cNvPr id="1685" name="Imagem 1885" descr=""/>
        <xdr:cNvPicPr/>
      </xdr:nvPicPr>
      <xdr:blipFill>
        <a:blip r:embed="rId1683"/>
        <a:stretch/>
      </xdr:blipFill>
      <xdr:spPr>
        <a:xfrm>
          <a:off x="0" y="26403120"/>
          <a:ext cx="6840" cy="152891640"/>
        </a:xfrm>
        <a:prstGeom prst="rect">
          <a:avLst/>
        </a:prstGeom>
        <a:ln>
          <a:noFill/>
        </a:ln>
      </xdr:spPr>
    </xdr:pic>
    <xdr:clientData/>
  </xdr:twoCellAnchor>
  <xdr:twoCellAnchor editAs="oneCell">
    <xdr:from>
      <xdr:col>0</xdr:col>
      <xdr:colOff>0</xdr:colOff>
      <xdr:row>116</xdr:row>
      <xdr:rowOff>0</xdr:rowOff>
    </xdr:from>
    <xdr:to>
      <xdr:col>0</xdr:col>
      <xdr:colOff>6840</xdr:colOff>
      <xdr:row>698</xdr:row>
      <xdr:rowOff>246240</xdr:rowOff>
    </xdr:to>
    <xdr:pic>
      <xdr:nvPicPr>
        <xdr:cNvPr id="1686" name="Imagem 1886" descr=""/>
        <xdr:cNvPicPr/>
      </xdr:nvPicPr>
      <xdr:blipFill>
        <a:blip r:embed="rId1684"/>
        <a:stretch/>
      </xdr:blipFill>
      <xdr:spPr>
        <a:xfrm>
          <a:off x="0" y="29508120"/>
          <a:ext cx="6840" cy="154418040"/>
        </a:xfrm>
        <a:prstGeom prst="rect">
          <a:avLst/>
        </a:prstGeom>
        <a:ln>
          <a:noFill/>
        </a:ln>
      </xdr:spPr>
    </xdr:pic>
    <xdr:clientData/>
  </xdr:twoCellAnchor>
  <xdr:twoCellAnchor editAs="oneCell">
    <xdr:from>
      <xdr:col>0</xdr:col>
      <xdr:colOff>0</xdr:colOff>
      <xdr:row>128</xdr:row>
      <xdr:rowOff>0</xdr:rowOff>
    </xdr:from>
    <xdr:to>
      <xdr:col>0</xdr:col>
      <xdr:colOff>6840</xdr:colOff>
      <xdr:row>721</xdr:row>
      <xdr:rowOff>173880</xdr:rowOff>
    </xdr:to>
    <xdr:pic>
      <xdr:nvPicPr>
        <xdr:cNvPr id="1687" name="Imagem 1887" descr=""/>
        <xdr:cNvPicPr/>
      </xdr:nvPicPr>
      <xdr:blipFill>
        <a:blip r:embed="rId1685"/>
        <a:stretch/>
      </xdr:blipFill>
      <xdr:spPr>
        <a:xfrm>
          <a:off x="0" y="32556240"/>
          <a:ext cx="6840" cy="157317480"/>
        </a:xfrm>
        <a:prstGeom prst="rect">
          <a:avLst/>
        </a:prstGeom>
        <a:ln>
          <a:noFill/>
        </a:ln>
      </xdr:spPr>
    </xdr:pic>
    <xdr:clientData/>
  </xdr:twoCellAnchor>
  <xdr:twoCellAnchor editAs="oneCell">
    <xdr:from>
      <xdr:col>0</xdr:col>
      <xdr:colOff>0</xdr:colOff>
      <xdr:row>140</xdr:row>
      <xdr:rowOff>0</xdr:rowOff>
    </xdr:from>
    <xdr:to>
      <xdr:col>0</xdr:col>
      <xdr:colOff>6840</xdr:colOff>
      <xdr:row>742</xdr:row>
      <xdr:rowOff>60840</xdr:rowOff>
    </xdr:to>
    <xdr:pic>
      <xdr:nvPicPr>
        <xdr:cNvPr id="1688" name="Imagem 1888" descr=""/>
        <xdr:cNvPicPr/>
      </xdr:nvPicPr>
      <xdr:blipFill>
        <a:blip r:embed="rId1686"/>
        <a:stretch/>
      </xdr:blipFill>
      <xdr:spPr>
        <a:xfrm>
          <a:off x="0" y="35604360"/>
          <a:ext cx="6840" cy="159642720"/>
        </a:xfrm>
        <a:prstGeom prst="rect">
          <a:avLst/>
        </a:prstGeom>
        <a:ln>
          <a:noFill/>
        </a:ln>
      </xdr:spPr>
    </xdr:pic>
    <xdr:clientData/>
  </xdr:twoCellAnchor>
  <xdr:twoCellAnchor editAs="oneCell">
    <xdr:from>
      <xdr:col>0</xdr:col>
      <xdr:colOff>0</xdr:colOff>
      <xdr:row>153</xdr:row>
      <xdr:rowOff>0</xdr:rowOff>
    </xdr:from>
    <xdr:to>
      <xdr:col>0</xdr:col>
      <xdr:colOff>6840</xdr:colOff>
      <xdr:row>764</xdr:row>
      <xdr:rowOff>83880</xdr:rowOff>
    </xdr:to>
    <xdr:pic>
      <xdr:nvPicPr>
        <xdr:cNvPr id="1689" name="Imagem 1889" descr=""/>
        <xdr:cNvPicPr/>
      </xdr:nvPicPr>
      <xdr:blipFill>
        <a:blip r:embed="rId1687"/>
        <a:stretch/>
      </xdr:blipFill>
      <xdr:spPr>
        <a:xfrm>
          <a:off x="0" y="38842920"/>
          <a:ext cx="6840" cy="161913600"/>
        </a:xfrm>
        <a:prstGeom prst="rect">
          <a:avLst/>
        </a:prstGeom>
        <a:ln>
          <a:noFill/>
        </a:ln>
      </xdr:spPr>
    </xdr:pic>
    <xdr:clientData/>
  </xdr:twoCellAnchor>
  <xdr:twoCellAnchor editAs="oneCell">
    <xdr:from>
      <xdr:col>0</xdr:col>
      <xdr:colOff>0</xdr:colOff>
      <xdr:row>156</xdr:row>
      <xdr:rowOff>0</xdr:rowOff>
    </xdr:from>
    <xdr:to>
      <xdr:col>0</xdr:col>
      <xdr:colOff>6840</xdr:colOff>
      <xdr:row>775</xdr:row>
      <xdr:rowOff>29160</xdr:rowOff>
    </xdr:to>
    <xdr:pic>
      <xdr:nvPicPr>
        <xdr:cNvPr id="1690" name="Imagem 1890" descr=""/>
        <xdr:cNvPicPr/>
      </xdr:nvPicPr>
      <xdr:blipFill>
        <a:blip r:embed="rId1688"/>
        <a:stretch/>
      </xdr:blipFill>
      <xdr:spPr>
        <a:xfrm>
          <a:off x="0" y="39566520"/>
          <a:ext cx="6840" cy="164107080"/>
        </a:xfrm>
        <a:prstGeom prst="rect">
          <a:avLst/>
        </a:prstGeom>
        <a:ln>
          <a:noFill/>
        </a:ln>
      </xdr:spPr>
    </xdr:pic>
    <xdr:clientData/>
  </xdr:twoCellAnchor>
  <xdr:twoCellAnchor editAs="oneCell">
    <xdr:from>
      <xdr:col>0</xdr:col>
      <xdr:colOff>0</xdr:colOff>
      <xdr:row>156</xdr:row>
      <xdr:rowOff>0</xdr:rowOff>
    </xdr:from>
    <xdr:to>
      <xdr:col>0</xdr:col>
      <xdr:colOff>6840</xdr:colOff>
      <xdr:row>782</xdr:row>
      <xdr:rowOff>150480</xdr:rowOff>
    </xdr:to>
    <xdr:pic>
      <xdr:nvPicPr>
        <xdr:cNvPr id="1691" name="Imagem 1891" descr=""/>
        <xdr:cNvPicPr/>
      </xdr:nvPicPr>
      <xdr:blipFill>
        <a:blip r:embed="rId1689"/>
        <a:stretch/>
      </xdr:blipFill>
      <xdr:spPr>
        <a:xfrm>
          <a:off x="0" y="39566520"/>
          <a:ext cx="6840" cy="166019040"/>
        </a:xfrm>
        <a:prstGeom prst="rect">
          <a:avLst/>
        </a:prstGeom>
        <a:ln>
          <a:noFill/>
        </a:ln>
      </xdr:spPr>
    </xdr:pic>
    <xdr:clientData/>
  </xdr:twoCellAnchor>
  <xdr:twoCellAnchor editAs="oneCell">
    <xdr:from>
      <xdr:col>0</xdr:col>
      <xdr:colOff>0</xdr:colOff>
      <xdr:row>156</xdr:row>
      <xdr:rowOff>0</xdr:rowOff>
    </xdr:from>
    <xdr:to>
      <xdr:col>0</xdr:col>
      <xdr:colOff>6840</xdr:colOff>
      <xdr:row>792</xdr:row>
      <xdr:rowOff>112680</xdr:rowOff>
    </xdr:to>
    <xdr:pic>
      <xdr:nvPicPr>
        <xdr:cNvPr id="1692" name="Imagem 1892" descr=""/>
        <xdr:cNvPicPr/>
      </xdr:nvPicPr>
      <xdr:blipFill>
        <a:blip r:embed="rId1690"/>
        <a:stretch/>
      </xdr:blipFill>
      <xdr:spPr>
        <a:xfrm>
          <a:off x="0" y="39566520"/>
          <a:ext cx="6840" cy="168419520"/>
        </a:xfrm>
        <a:prstGeom prst="rect">
          <a:avLst/>
        </a:prstGeom>
        <a:ln>
          <a:noFill/>
        </a:ln>
      </xdr:spPr>
    </xdr:pic>
    <xdr:clientData/>
  </xdr:twoCellAnchor>
  <xdr:twoCellAnchor editAs="oneCell">
    <xdr:from>
      <xdr:col>0</xdr:col>
      <xdr:colOff>0</xdr:colOff>
      <xdr:row>156</xdr:row>
      <xdr:rowOff>0</xdr:rowOff>
    </xdr:from>
    <xdr:to>
      <xdr:col>0</xdr:col>
      <xdr:colOff>6840</xdr:colOff>
      <xdr:row>800</xdr:row>
      <xdr:rowOff>248400</xdr:rowOff>
    </xdr:to>
    <xdr:pic>
      <xdr:nvPicPr>
        <xdr:cNvPr id="1693" name="Imagem 1893" descr=""/>
        <xdr:cNvPicPr/>
      </xdr:nvPicPr>
      <xdr:blipFill>
        <a:blip r:embed="rId1691"/>
        <a:stretch/>
      </xdr:blipFill>
      <xdr:spPr>
        <a:xfrm>
          <a:off x="0" y="39566520"/>
          <a:ext cx="6840" cy="170536680"/>
        </a:xfrm>
        <a:prstGeom prst="rect">
          <a:avLst/>
        </a:prstGeom>
        <a:ln>
          <a:noFill/>
        </a:ln>
      </xdr:spPr>
    </xdr:pic>
    <xdr:clientData/>
  </xdr:twoCellAnchor>
  <xdr:twoCellAnchor editAs="oneCell">
    <xdr:from>
      <xdr:col>0</xdr:col>
      <xdr:colOff>0</xdr:colOff>
      <xdr:row>156</xdr:row>
      <xdr:rowOff>0</xdr:rowOff>
    </xdr:from>
    <xdr:to>
      <xdr:col>0</xdr:col>
      <xdr:colOff>6840</xdr:colOff>
      <xdr:row>814</xdr:row>
      <xdr:rowOff>38160</xdr:rowOff>
    </xdr:to>
    <xdr:pic>
      <xdr:nvPicPr>
        <xdr:cNvPr id="1694" name="Imagem 1894" descr=""/>
        <xdr:cNvPicPr/>
      </xdr:nvPicPr>
      <xdr:blipFill>
        <a:blip r:embed="rId1692"/>
        <a:stretch/>
      </xdr:blipFill>
      <xdr:spPr>
        <a:xfrm>
          <a:off x="0" y="39566520"/>
          <a:ext cx="6840" cy="173831400"/>
        </a:xfrm>
        <a:prstGeom prst="rect">
          <a:avLst/>
        </a:prstGeom>
        <a:ln>
          <a:noFill/>
        </a:ln>
      </xdr:spPr>
    </xdr:pic>
    <xdr:clientData/>
  </xdr:twoCellAnchor>
  <xdr:twoCellAnchor editAs="oneCell">
    <xdr:from>
      <xdr:col>0</xdr:col>
      <xdr:colOff>0</xdr:colOff>
      <xdr:row>156</xdr:row>
      <xdr:rowOff>0</xdr:rowOff>
    </xdr:from>
    <xdr:to>
      <xdr:col>0</xdr:col>
      <xdr:colOff>6840</xdr:colOff>
      <xdr:row>822</xdr:row>
      <xdr:rowOff>96840</xdr:rowOff>
    </xdr:to>
    <xdr:pic>
      <xdr:nvPicPr>
        <xdr:cNvPr id="1695" name="Imagem 1895" descr=""/>
        <xdr:cNvPicPr/>
      </xdr:nvPicPr>
      <xdr:blipFill>
        <a:blip r:embed="rId1693"/>
        <a:stretch/>
      </xdr:blipFill>
      <xdr:spPr>
        <a:xfrm>
          <a:off x="0" y="39566520"/>
          <a:ext cx="6840" cy="175928400"/>
        </a:xfrm>
        <a:prstGeom prst="rect">
          <a:avLst/>
        </a:prstGeom>
        <a:ln>
          <a:noFill/>
        </a:ln>
      </xdr:spPr>
    </xdr:pic>
    <xdr:clientData/>
  </xdr:twoCellAnchor>
  <xdr:twoCellAnchor editAs="oneCell">
    <xdr:from>
      <xdr:col>0</xdr:col>
      <xdr:colOff>0</xdr:colOff>
      <xdr:row>156</xdr:row>
      <xdr:rowOff>0</xdr:rowOff>
    </xdr:from>
    <xdr:to>
      <xdr:col>0</xdr:col>
      <xdr:colOff>6840</xdr:colOff>
      <xdr:row>831</xdr:row>
      <xdr:rowOff>145080</xdr:rowOff>
    </xdr:to>
    <xdr:pic>
      <xdr:nvPicPr>
        <xdr:cNvPr id="1696" name="Imagem 1896" descr=""/>
        <xdr:cNvPicPr/>
      </xdr:nvPicPr>
      <xdr:blipFill>
        <a:blip r:embed="rId1694"/>
        <a:stretch/>
      </xdr:blipFill>
      <xdr:spPr>
        <a:xfrm>
          <a:off x="0" y="39566520"/>
          <a:ext cx="6840" cy="178224480"/>
        </a:xfrm>
        <a:prstGeom prst="rect">
          <a:avLst/>
        </a:prstGeom>
        <a:ln>
          <a:noFill/>
        </a:ln>
      </xdr:spPr>
    </xdr:pic>
    <xdr:clientData/>
  </xdr:twoCellAnchor>
  <xdr:twoCellAnchor editAs="oneCell">
    <xdr:from>
      <xdr:col>0</xdr:col>
      <xdr:colOff>0</xdr:colOff>
      <xdr:row>156</xdr:row>
      <xdr:rowOff>0</xdr:rowOff>
    </xdr:from>
    <xdr:to>
      <xdr:col>0</xdr:col>
      <xdr:colOff>6840</xdr:colOff>
      <xdr:row>840</xdr:row>
      <xdr:rowOff>118080</xdr:rowOff>
    </xdr:to>
    <xdr:pic>
      <xdr:nvPicPr>
        <xdr:cNvPr id="1697" name="Imagem 1897" descr=""/>
        <xdr:cNvPicPr/>
      </xdr:nvPicPr>
      <xdr:blipFill>
        <a:blip r:embed="rId1695"/>
        <a:stretch/>
      </xdr:blipFill>
      <xdr:spPr>
        <a:xfrm>
          <a:off x="0" y="39566520"/>
          <a:ext cx="6840" cy="180521640"/>
        </a:xfrm>
        <a:prstGeom prst="rect">
          <a:avLst/>
        </a:prstGeom>
        <a:ln>
          <a:noFill/>
        </a:ln>
      </xdr:spPr>
    </xdr:pic>
    <xdr:clientData/>
  </xdr:twoCellAnchor>
  <xdr:twoCellAnchor editAs="oneCell">
    <xdr:from>
      <xdr:col>0</xdr:col>
      <xdr:colOff>0</xdr:colOff>
      <xdr:row>156</xdr:row>
      <xdr:rowOff>0</xdr:rowOff>
    </xdr:from>
    <xdr:to>
      <xdr:col>0</xdr:col>
      <xdr:colOff>6840</xdr:colOff>
      <xdr:row>849</xdr:row>
      <xdr:rowOff>179280</xdr:rowOff>
    </xdr:to>
    <xdr:pic>
      <xdr:nvPicPr>
        <xdr:cNvPr id="1698" name="Imagem 1898" descr=""/>
        <xdr:cNvPicPr/>
      </xdr:nvPicPr>
      <xdr:blipFill>
        <a:blip r:embed="rId1696"/>
        <a:stretch/>
      </xdr:blipFill>
      <xdr:spPr>
        <a:xfrm>
          <a:off x="0" y="39566520"/>
          <a:ext cx="6840" cy="183097440"/>
        </a:xfrm>
        <a:prstGeom prst="rect">
          <a:avLst/>
        </a:prstGeom>
        <a:ln>
          <a:noFill/>
        </a:ln>
      </xdr:spPr>
    </xdr:pic>
    <xdr:clientData/>
  </xdr:twoCellAnchor>
  <xdr:twoCellAnchor editAs="oneCell">
    <xdr:from>
      <xdr:col>0</xdr:col>
      <xdr:colOff>0</xdr:colOff>
      <xdr:row>156</xdr:row>
      <xdr:rowOff>0</xdr:rowOff>
    </xdr:from>
    <xdr:to>
      <xdr:col>0</xdr:col>
      <xdr:colOff>6840</xdr:colOff>
      <xdr:row>858</xdr:row>
      <xdr:rowOff>65520</xdr:rowOff>
    </xdr:to>
    <xdr:pic>
      <xdr:nvPicPr>
        <xdr:cNvPr id="1699" name="Imagem 1899" descr=""/>
        <xdr:cNvPicPr/>
      </xdr:nvPicPr>
      <xdr:blipFill>
        <a:blip r:embed="rId1697"/>
        <a:stretch/>
      </xdr:blipFill>
      <xdr:spPr>
        <a:xfrm>
          <a:off x="0" y="39566520"/>
          <a:ext cx="6840" cy="185155560"/>
        </a:xfrm>
        <a:prstGeom prst="rect">
          <a:avLst/>
        </a:prstGeom>
        <a:ln>
          <a:noFill/>
        </a:ln>
      </xdr:spPr>
    </xdr:pic>
    <xdr:clientData/>
  </xdr:twoCellAnchor>
  <xdr:twoCellAnchor editAs="oneCell">
    <xdr:from>
      <xdr:col>0</xdr:col>
      <xdr:colOff>0</xdr:colOff>
      <xdr:row>157</xdr:row>
      <xdr:rowOff>0</xdr:rowOff>
    </xdr:from>
    <xdr:to>
      <xdr:col>0</xdr:col>
      <xdr:colOff>6840</xdr:colOff>
      <xdr:row>868</xdr:row>
      <xdr:rowOff>72720</xdr:rowOff>
    </xdr:to>
    <xdr:pic>
      <xdr:nvPicPr>
        <xdr:cNvPr id="1700" name="Imagem 1900" descr=""/>
        <xdr:cNvPicPr/>
      </xdr:nvPicPr>
      <xdr:blipFill>
        <a:blip r:embed="rId1698"/>
        <a:stretch/>
      </xdr:blipFill>
      <xdr:spPr>
        <a:xfrm>
          <a:off x="0" y="39833280"/>
          <a:ext cx="6840" cy="187334280"/>
        </a:xfrm>
        <a:prstGeom prst="rect">
          <a:avLst/>
        </a:prstGeom>
        <a:ln>
          <a:noFill/>
        </a:ln>
      </xdr:spPr>
    </xdr:pic>
    <xdr:clientData/>
  </xdr:twoCellAnchor>
  <xdr:twoCellAnchor editAs="oneCell">
    <xdr:from>
      <xdr:col>0</xdr:col>
      <xdr:colOff>0</xdr:colOff>
      <xdr:row>157</xdr:row>
      <xdr:rowOff>0</xdr:rowOff>
    </xdr:from>
    <xdr:to>
      <xdr:col>0</xdr:col>
      <xdr:colOff>6840</xdr:colOff>
      <xdr:row>869</xdr:row>
      <xdr:rowOff>183240</xdr:rowOff>
    </xdr:to>
    <xdr:pic>
      <xdr:nvPicPr>
        <xdr:cNvPr id="1701" name="Imagem 1901" descr=""/>
        <xdr:cNvPicPr/>
      </xdr:nvPicPr>
      <xdr:blipFill>
        <a:blip r:embed="rId1699"/>
        <a:stretch/>
      </xdr:blipFill>
      <xdr:spPr>
        <a:xfrm>
          <a:off x="0" y="39833280"/>
          <a:ext cx="6840" cy="187711560"/>
        </a:xfrm>
        <a:prstGeom prst="rect">
          <a:avLst/>
        </a:prstGeom>
        <a:ln>
          <a:noFill/>
        </a:ln>
      </xdr:spPr>
    </xdr:pic>
    <xdr:clientData/>
  </xdr:twoCellAnchor>
  <xdr:twoCellAnchor editAs="oneCell">
    <xdr:from>
      <xdr:col>0</xdr:col>
      <xdr:colOff>0</xdr:colOff>
      <xdr:row>160</xdr:row>
      <xdr:rowOff>0</xdr:rowOff>
    </xdr:from>
    <xdr:to>
      <xdr:col>0</xdr:col>
      <xdr:colOff>6840</xdr:colOff>
      <xdr:row>877</xdr:row>
      <xdr:rowOff>46080</xdr:rowOff>
    </xdr:to>
    <xdr:pic>
      <xdr:nvPicPr>
        <xdr:cNvPr id="1702" name="Imagem 1902" descr=""/>
        <xdr:cNvPicPr/>
      </xdr:nvPicPr>
      <xdr:blipFill>
        <a:blip r:embed="rId1700"/>
        <a:stretch/>
      </xdr:blipFill>
      <xdr:spPr>
        <a:xfrm>
          <a:off x="0" y="40633560"/>
          <a:ext cx="6840" cy="188831520"/>
        </a:xfrm>
        <a:prstGeom prst="rect">
          <a:avLst/>
        </a:prstGeom>
        <a:ln>
          <a:noFill/>
        </a:ln>
      </xdr:spPr>
    </xdr:pic>
    <xdr:clientData/>
  </xdr:twoCellAnchor>
  <xdr:twoCellAnchor editAs="oneCell">
    <xdr:from>
      <xdr:col>0</xdr:col>
      <xdr:colOff>0</xdr:colOff>
      <xdr:row>162</xdr:row>
      <xdr:rowOff>0</xdr:rowOff>
    </xdr:from>
    <xdr:to>
      <xdr:col>0</xdr:col>
      <xdr:colOff>6840</xdr:colOff>
      <xdr:row>881</xdr:row>
      <xdr:rowOff>61200</xdr:rowOff>
    </xdr:to>
    <xdr:pic>
      <xdr:nvPicPr>
        <xdr:cNvPr id="1703" name="Imagem 1903" descr=""/>
        <xdr:cNvPicPr/>
      </xdr:nvPicPr>
      <xdr:blipFill>
        <a:blip r:embed="rId1701"/>
        <a:stretch/>
      </xdr:blipFill>
      <xdr:spPr>
        <a:xfrm>
          <a:off x="0" y="41166720"/>
          <a:ext cx="6840" cy="189361080"/>
        </a:xfrm>
        <a:prstGeom prst="rect">
          <a:avLst/>
        </a:prstGeom>
        <a:ln>
          <a:noFill/>
        </a:ln>
      </xdr:spPr>
    </xdr:pic>
    <xdr:clientData/>
  </xdr:twoCellAnchor>
  <xdr:twoCellAnchor editAs="oneCell">
    <xdr:from>
      <xdr:col>0</xdr:col>
      <xdr:colOff>0</xdr:colOff>
      <xdr:row>164</xdr:row>
      <xdr:rowOff>0</xdr:rowOff>
    </xdr:from>
    <xdr:to>
      <xdr:col>0</xdr:col>
      <xdr:colOff>6840</xdr:colOff>
      <xdr:row>893</xdr:row>
      <xdr:rowOff>142560</xdr:rowOff>
    </xdr:to>
    <xdr:pic>
      <xdr:nvPicPr>
        <xdr:cNvPr id="1704" name="Imagem 1904" descr=""/>
        <xdr:cNvPicPr/>
      </xdr:nvPicPr>
      <xdr:blipFill>
        <a:blip r:embed="rId1702"/>
        <a:stretch/>
      </xdr:blipFill>
      <xdr:spPr>
        <a:xfrm>
          <a:off x="0" y="41623920"/>
          <a:ext cx="6840" cy="192319200"/>
        </a:xfrm>
        <a:prstGeom prst="rect">
          <a:avLst/>
        </a:prstGeom>
        <a:ln>
          <a:noFill/>
        </a:ln>
      </xdr:spPr>
    </xdr:pic>
    <xdr:clientData/>
  </xdr:twoCellAnchor>
  <xdr:twoCellAnchor editAs="oneCell">
    <xdr:from>
      <xdr:col>0</xdr:col>
      <xdr:colOff>0</xdr:colOff>
      <xdr:row>164</xdr:row>
      <xdr:rowOff>0</xdr:rowOff>
    </xdr:from>
    <xdr:to>
      <xdr:col>0</xdr:col>
      <xdr:colOff>6840</xdr:colOff>
      <xdr:row>905</xdr:row>
      <xdr:rowOff>156600</xdr:rowOff>
    </xdr:to>
    <xdr:pic>
      <xdr:nvPicPr>
        <xdr:cNvPr id="1705" name="Imagem 1905" descr=""/>
        <xdr:cNvPicPr/>
      </xdr:nvPicPr>
      <xdr:blipFill>
        <a:blip r:embed="rId1703"/>
        <a:stretch/>
      </xdr:blipFill>
      <xdr:spPr>
        <a:xfrm>
          <a:off x="0" y="41623920"/>
          <a:ext cx="6840" cy="195362280"/>
        </a:xfrm>
        <a:prstGeom prst="rect">
          <a:avLst/>
        </a:prstGeom>
        <a:ln>
          <a:noFill/>
        </a:ln>
      </xdr:spPr>
    </xdr:pic>
    <xdr:clientData/>
  </xdr:twoCellAnchor>
  <xdr:twoCellAnchor editAs="oneCell">
    <xdr:from>
      <xdr:col>0</xdr:col>
      <xdr:colOff>0</xdr:colOff>
      <xdr:row>171</xdr:row>
      <xdr:rowOff>0</xdr:rowOff>
    </xdr:from>
    <xdr:to>
      <xdr:col>0</xdr:col>
      <xdr:colOff>6840</xdr:colOff>
      <xdr:row>925</xdr:row>
      <xdr:rowOff>33480</xdr:rowOff>
    </xdr:to>
    <xdr:pic>
      <xdr:nvPicPr>
        <xdr:cNvPr id="1706" name="Imagem 1906" descr=""/>
        <xdr:cNvPicPr/>
      </xdr:nvPicPr>
      <xdr:blipFill>
        <a:blip r:embed="rId1704"/>
        <a:stretch/>
      </xdr:blipFill>
      <xdr:spPr>
        <a:xfrm>
          <a:off x="0" y="43414920"/>
          <a:ext cx="6840" cy="198801000"/>
        </a:xfrm>
        <a:prstGeom prst="rect">
          <a:avLst/>
        </a:prstGeom>
        <a:ln>
          <a:noFill/>
        </a:ln>
      </xdr:spPr>
    </xdr:pic>
    <xdr:clientData/>
  </xdr:twoCellAnchor>
  <xdr:twoCellAnchor editAs="oneCell">
    <xdr:from>
      <xdr:col>0</xdr:col>
      <xdr:colOff>0</xdr:colOff>
      <xdr:row>171</xdr:row>
      <xdr:rowOff>0</xdr:rowOff>
    </xdr:from>
    <xdr:to>
      <xdr:col>0</xdr:col>
      <xdr:colOff>6840</xdr:colOff>
      <xdr:row>926</xdr:row>
      <xdr:rowOff>8640</xdr:rowOff>
    </xdr:to>
    <xdr:pic>
      <xdr:nvPicPr>
        <xdr:cNvPr id="1707" name="Imagem 1907" descr=""/>
        <xdr:cNvPicPr/>
      </xdr:nvPicPr>
      <xdr:blipFill>
        <a:blip r:embed="rId1705"/>
        <a:stretch/>
      </xdr:blipFill>
      <xdr:spPr>
        <a:xfrm>
          <a:off x="0" y="43414920"/>
          <a:ext cx="6840" cy="199042920"/>
        </a:xfrm>
        <a:prstGeom prst="rect">
          <a:avLst/>
        </a:prstGeom>
        <a:ln>
          <a:noFill/>
        </a:ln>
      </xdr:spPr>
    </xdr:pic>
    <xdr:clientData/>
  </xdr:twoCellAnchor>
  <xdr:twoCellAnchor editAs="oneCell">
    <xdr:from>
      <xdr:col>0</xdr:col>
      <xdr:colOff>0</xdr:colOff>
      <xdr:row>174</xdr:row>
      <xdr:rowOff>0</xdr:rowOff>
    </xdr:from>
    <xdr:to>
      <xdr:col>0</xdr:col>
      <xdr:colOff>6840</xdr:colOff>
      <xdr:row>944</xdr:row>
      <xdr:rowOff>103680</xdr:rowOff>
    </xdr:to>
    <xdr:pic>
      <xdr:nvPicPr>
        <xdr:cNvPr id="1708" name="Imagem 1908" descr=""/>
        <xdr:cNvPicPr/>
      </xdr:nvPicPr>
      <xdr:blipFill>
        <a:blip r:embed="rId1706"/>
        <a:stretch/>
      </xdr:blipFill>
      <xdr:spPr>
        <a:xfrm>
          <a:off x="0" y="44214840"/>
          <a:ext cx="6840" cy="202967280"/>
        </a:xfrm>
        <a:prstGeom prst="rect">
          <a:avLst/>
        </a:prstGeom>
        <a:ln>
          <a:noFill/>
        </a:ln>
      </xdr:spPr>
    </xdr:pic>
    <xdr:clientData/>
  </xdr:twoCellAnchor>
  <xdr:twoCellAnchor editAs="oneCell">
    <xdr:from>
      <xdr:col>0</xdr:col>
      <xdr:colOff>0</xdr:colOff>
      <xdr:row>177</xdr:row>
      <xdr:rowOff>0</xdr:rowOff>
    </xdr:from>
    <xdr:to>
      <xdr:col>0</xdr:col>
      <xdr:colOff>6840</xdr:colOff>
      <xdr:row>955</xdr:row>
      <xdr:rowOff>98640</xdr:rowOff>
    </xdr:to>
    <xdr:pic>
      <xdr:nvPicPr>
        <xdr:cNvPr id="1709" name="Imagem 1909" descr=""/>
        <xdr:cNvPicPr/>
      </xdr:nvPicPr>
      <xdr:blipFill>
        <a:blip r:embed="rId1707"/>
        <a:stretch/>
      </xdr:blipFill>
      <xdr:spPr>
        <a:xfrm>
          <a:off x="0" y="44862480"/>
          <a:ext cx="6840" cy="205229160"/>
        </a:xfrm>
        <a:prstGeom prst="rect">
          <a:avLst/>
        </a:prstGeom>
        <a:ln>
          <a:noFill/>
        </a:ln>
      </xdr:spPr>
    </xdr:pic>
    <xdr:clientData/>
  </xdr:twoCellAnchor>
  <xdr:twoCellAnchor editAs="oneCell">
    <xdr:from>
      <xdr:col>0</xdr:col>
      <xdr:colOff>0</xdr:colOff>
      <xdr:row>184</xdr:row>
      <xdr:rowOff>0</xdr:rowOff>
    </xdr:from>
    <xdr:to>
      <xdr:col>0</xdr:col>
      <xdr:colOff>6840</xdr:colOff>
      <xdr:row>973</xdr:row>
      <xdr:rowOff>326520</xdr:rowOff>
    </xdr:to>
    <xdr:pic>
      <xdr:nvPicPr>
        <xdr:cNvPr id="1710" name="Imagem 1910" descr=""/>
        <xdr:cNvPicPr/>
      </xdr:nvPicPr>
      <xdr:blipFill>
        <a:blip r:embed="rId1708"/>
        <a:stretch/>
      </xdr:blipFill>
      <xdr:spPr>
        <a:xfrm>
          <a:off x="0" y="46729440"/>
          <a:ext cx="6840" cy="208219320"/>
        </a:xfrm>
        <a:prstGeom prst="rect">
          <a:avLst/>
        </a:prstGeom>
        <a:ln>
          <a:noFill/>
        </a:ln>
      </xdr:spPr>
    </xdr:pic>
    <xdr:clientData/>
  </xdr:twoCellAnchor>
  <xdr:twoCellAnchor editAs="oneCell">
    <xdr:from>
      <xdr:col>0</xdr:col>
      <xdr:colOff>0</xdr:colOff>
      <xdr:row>186</xdr:row>
      <xdr:rowOff>0</xdr:rowOff>
    </xdr:from>
    <xdr:to>
      <xdr:col>0</xdr:col>
      <xdr:colOff>6840</xdr:colOff>
      <xdr:row>977</xdr:row>
      <xdr:rowOff>297360</xdr:rowOff>
    </xdr:to>
    <xdr:pic>
      <xdr:nvPicPr>
        <xdr:cNvPr id="1711" name="Imagem 1911" descr=""/>
        <xdr:cNvPicPr/>
      </xdr:nvPicPr>
      <xdr:blipFill>
        <a:blip r:embed="rId1709"/>
        <a:stretch/>
      </xdr:blipFill>
      <xdr:spPr>
        <a:xfrm>
          <a:off x="0" y="47186640"/>
          <a:ext cx="6840" cy="208704240"/>
        </a:xfrm>
        <a:prstGeom prst="rect">
          <a:avLst/>
        </a:prstGeom>
        <a:ln>
          <a:noFill/>
        </a:ln>
      </xdr:spPr>
    </xdr:pic>
    <xdr:clientData/>
  </xdr:twoCellAnchor>
  <xdr:twoCellAnchor editAs="oneCell">
    <xdr:from>
      <xdr:col>0</xdr:col>
      <xdr:colOff>0</xdr:colOff>
      <xdr:row>190</xdr:row>
      <xdr:rowOff>0</xdr:rowOff>
    </xdr:from>
    <xdr:to>
      <xdr:col>0</xdr:col>
      <xdr:colOff>6840</xdr:colOff>
      <xdr:row>989</xdr:row>
      <xdr:rowOff>135000</xdr:rowOff>
    </xdr:to>
    <xdr:pic>
      <xdr:nvPicPr>
        <xdr:cNvPr id="1712" name="Imagem 1912" descr=""/>
        <xdr:cNvPicPr/>
      </xdr:nvPicPr>
      <xdr:blipFill>
        <a:blip r:embed="rId1710"/>
        <a:stretch/>
      </xdr:blipFill>
      <xdr:spPr>
        <a:xfrm>
          <a:off x="0" y="48310560"/>
          <a:ext cx="6840" cy="211018680"/>
        </a:xfrm>
        <a:prstGeom prst="rect">
          <a:avLst/>
        </a:prstGeom>
        <a:ln>
          <a:noFill/>
        </a:ln>
      </xdr:spPr>
    </xdr:pic>
    <xdr:clientData/>
  </xdr:twoCellAnchor>
  <xdr:twoCellAnchor editAs="oneCell">
    <xdr:from>
      <xdr:col>0</xdr:col>
      <xdr:colOff>0</xdr:colOff>
      <xdr:row>190</xdr:row>
      <xdr:rowOff>0</xdr:rowOff>
    </xdr:from>
    <xdr:to>
      <xdr:col>0</xdr:col>
      <xdr:colOff>6840</xdr:colOff>
      <xdr:row>998</xdr:row>
      <xdr:rowOff>169920</xdr:rowOff>
    </xdr:to>
    <xdr:pic>
      <xdr:nvPicPr>
        <xdr:cNvPr id="1713" name="Imagem 1913" descr=""/>
        <xdr:cNvPicPr/>
      </xdr:nvPicPr>
      <xdr:blipFill>
        <a:blip r:embed="rId1711"/>
        <a:stretch/>
      </xdr:blipFill>
      <xdr:spPr>
        <a:xfrm>
          <a:off x="0" y="48310560"/>
          <a:ext cx="6840" cy="213491880"/>
        </a:xfrm>
        <a:prstGeom prst="rect">
          <a:avLst/>
        </a:prstGeom>
        <a:ln>
          <a:noFill/>
        </a:ln>
      </xdr:spPr>
    </xdr:pic>
    <xdr:clientData/>
  </xdr:twoCellAnchor>
  <xdr:twoCellAnchor editAs="oneCell">
    <xdr:from>
      <xdr:col>0</xdr:col>
      <xdr:colOff>0</xdr:colOff>
      <xdr:row>190</xdr:row>
      <xdr:rowOff>0</xdr:rowOff>
    </xdr:from>
    <xdr:to>
      <xdr:col>0</xdr:col>
      <xdr:colOff>6840</xdr:colOff>
      <xdr:row>1001</xdr:row>
      <xdr:rowOff>208440</xdr:rowOff>
    </xdr:to>
    <xdr:pic>
      <xdr:nvPicPr>
        <xdr:cNvPr id="1714" name="Imagem 1914" descr=""/>
        <xdr:cNvPicPr/>
      </xdr:nvPicPr>
      <xdr:blipFill>
        <a:blip r:embed="rId1712"/>
        <a:stretch/>
      </xdr:blipFill>
      <xdr:spPr>
        <a:xfrm>
          <a:off x="0" y="48310560"/>
          <a:ext cx="6840" cy="214178040"/>
        </a:xfrm>
        <a:prstGeom prst="rect">
          <a:avLst/>
        </a:prstGeom>
        <a:ln>
          <a:noFill/>
        </a:ln>
      </xdr:spPr>
    </xdr:pic>
    <xdr:clientData/>
  </xdr:twoCellAnchor>
  <xdr:twoCellAnchor editAs="oneCell">
    <xdr:from>
      <xdr:col>0</xdr:col>
      <xdr:colOff>0</xdr:colOff>
      <xdr:row>190</xdr:row>
      <xdr:rowOff>0</xdr:rowOff>
    </xdr:from>
    <xdr:to>
      <xdr:col>0</xdr:col>
      <xdr:colOff>6840</xdr:colOff>
      <xdr:row>1018</xdr:row>
      <xdr:rowOff>385920</xdr:rowOff>
    </xdr:to>
    <xdr:pic>
      <xdr:nvPicPr>
        <xdr:cNvPr id="1715" name="Imagem 1915" descr=""/>
        <xdr:cNvPicPr/>
      </xdr:nvPicPr>
      <xdr:blipFill>
        <a:blip r:embed="rId1713"/>
        <a:stretch/>
      </xdr:blipFill>
      <xdr:spPr>
        <a:xfrm>
          <a:off x="0" y="48310560"/>
          <a:ext cx="6840" cy="218946600"/>
        </a:xfrm>
        <a:prstGeom prst="rect">
          <a:avLst/>
        </a:prstGeom>
        <a:ln>
          <a:noFill/>
        </a:ln>
      </xdr:spPr>
    </xdr:pic>
    <xdr:clientData/>
  </xdr:twoCellAnchor>
  <xdr:twoCellAnchor editAs="oneCell">
    <xdr:from>
      <xdr:col>0</xdr:col>
      <xdr:colOff>0</xdr:colOff>
      <xdr:row>190</xdr:row>
      <xdr:rowOff>0</xdr:rowOff>
    </xdr:from>
    <xdr:to>
      <xdr:col>0</xdr:col>
      <xdr:colOff>6840</xdr:colOff>
      <xdr:row>1025</xdr:row>
      <xdr:rowOff>156960</xdr:rowOff>
    </xdr:to>
    <xdr:pic>
      <xdr:nvPicPr>
        <xdr:cNvPr id="1716" name="Imagem 1916" descr=""/>
        <xdr:cNvPicPr/>
      </xdr:nvPicPr>
      <xdr:blipFill>
        <a:blip r:embed="rId1714"/>
        <a:stretch/>
      </xdr:blipFill>
      <xdr:spPr>
        <a:xfrm>
          <a:off x="0" y="48310560"/>
          <a:ext cx="6840" cy="2209654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2521080</xdr:colOff>
      <xdr:row>30</xdr:row>
      <xdr:rowOff>47880</xdr:rowOff>
    </xdr:from>
    <xdr:to>
      <xdr:col>3</xdr:col>
      <xdr:colOff>839520</xdr:colOff>
      <xdr:row>38</xdr:row>
      <xdr:rowOff>10440</xdr:rowOff>
    </xdr:to>
    <xdr:sp>
      <xdr:nvSpPr>
        <xdr:cNvPr id="1717" name="CustomShape 1"/>
        <xdr:cNvSpPr/>
      </xdr:nvSpPr>
      <xdr:spPr>
        <a:xfrm>
          <a:off x="2773080" y="6924600"/>
          <a:ext cx="4044240" cy="1486800"/>
        </a:xfrm>
        <a:prstGeom prst="rect">
          <a:avLst/>
        </a:prstGeom>
        <a:noFill/>
        <a:ln>
          <a:noFill/>
        </a:ln>
      </xdr:spPr>
      <xdr:style>
        <a:lnRef idx="0"/>
        <a:fillRef idx="0"/>
        <a:effectRef idx="0"/>
        <a:fontRef idx="minor"/>
      </xdr:style>
      <xdr:txBody>
        <a:bodyPr lIns="90000" rIns="90000" tIns="45000" bIns="45000"/>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 (1+(𝐴𝐶+𝑆+𝑅+𝐺))(1+𝐷𝐹)(1+𝐿)/((1−𝐼))−1]𝑥100</a:t>
          </a:r>
          <a:endParaRPr b="0" lang="pt-BR" sz="1100" spc="-1" strike="noStrike">
            <a:latin typeface="Times New Roman"/>
          </a:endParaRPr>
        </a:p>
        <a:p>
          <a:pPr>
            <a:lnSpc>
              <a:spcPct val="100000"/>
            </a:lnSpc>
          </a:pPr>
          <a:r>
            <a:rPr b="0" lang="pt-BR" sz="1100" spc="-1" strike="noStrike">
              <a:solidFill>
                <a:srgbClr val="000000"/>
              </a:solidFill>
              <a:latin typeface="Calibri"/>
            </a:rPr>
            <a:t>Em que:</a:t>
          </a:r>
          <a:endParaRPr b="0" lang="pt-BR" sz="1100" spc="-1" strike="noStrike">
            <a:latin typeface="Times New Roman"/>
          </a:endParaRPr>
        </a:p>
        <a:p>
          <a:pPr>
            <a:lnSpc>
              <a:spcPct val="100000"/>
            </a:lnSpc>
          </a:pPr>
          <a:r>
            <a:rPr b="0" lang="pt-BR" sz="1100" spc="-1" strike="noStrike">
              <a:solidFill>
                <a:srgbClr val="000000"/>
              </a:solidFill>
              <a:latin typeface="Calibri"/>
            </a:rPr>
            <a:t>AC  é a taxa de rateio da administração central;</a:t>
          </a:r>
          <a:endParaRPr b="0" lang="pt-BR" sz="1100" spc="-1" strike="noStrike">
            <a:latin typeface="Times New Roman"/>
          </a:endParaRPr>
        </a:p>
        <a:p>
          <a:pPr>
            <a:lnSpc>
              <a:spcPct val="100000"/>
            </a:lnSpc>
          </a:pPr>
          <a:r>
            <a:rPr b="0" lang="pt-BR" sz="1100" spc="-1" strike="noStrike">
              <a:solidFill>
                <a:srgbClr val="000000"/>
              </a:solidFill>
              <a:latin typeface="Calibri"/>
            </a:rPr>
            <a:t>S é uma taxa representativa de seguros;</a:t>
          </a:r>
          <a:endParaRPr b="0" lang="pt-BR" sz="1100" spc="-1" strike="noStrike">
            <a:latin typeface="Times New Roman"/>
          </a:endParaRPr>
        </a:p>
        <a:p>
          <a:pPr>
            <a:lnSpc>
              <a:spcPct val="100000"/>
            </a:lnSpc>
          </a:pPr>
          <a:r>
            <a:rPr b="0" lang="pt-BR" sz="1100" spc="-1" strike="noStrike">
              <a:solidFill>
                <a:srgbClr val="000000"/>
              </a:solidFill>
              <a:latin typeface="Calibri"/>
            </a:rPr>
            <a:t>R corresponde aos riscos e imprevistos;</a:t>
          </a:r>
          <a:endParaRPr b="0" lang="pt-BR" sz="1100" spc="-1" strike="noStrike">
            <a:latin typeface="Times New Roman"/>
          </a:endParaRPr>
        </a:p>
        <a:p>
          <a:pPr>
            <a:lnSpc>
              <a:spcPct val="100000"/>
            </a:lnSpc>
          </a:pPr>
          <a:r>
            <a:rPr b="0" lang="pt-BR" sz="1100" spc="-1" strike="noStrike">
              <a:solidFill>
                <a:srgbClr val="000000"/>
              </a:solidFill>
              <a:latin typeface="Calibri"/>
            </a:rPr>
            <a:t>G é a taxa que representa o ônus das garantias exigidas em edital;</a:t>
          </a:r>
          <a:endParaRPr b="0" lang="pt-BR" sz="1100" spc="-1" strike="noStrike">
            <a:latin typeface="Times New Roman"/>
          </a:endParaRPr>
        </a:p>
        <a:p>
          <a:pPr>
            <a:lnSpc>
              <a:spcPct val="100000"/>
            </a:lnSpc>
          </a:pPr>
          <a:r>
            <a:rPr b="0" lang="pt-BR" sz="1100" spc="-1" strike="noStrike">
              <a:solidFill>
                <a:srgbClr val="000000"/>
              </a:solidFill>
              <a:latin typeface="Calibri"/>
            </a:rPr>
            <a:t>DF é a taxa representativa das despesas financeiras;</a:t>
          </a:r>
          <a:endParaRPr b="0" lang="pt-BR" sz="1100" spc="-1" strike="noStrike">
            <a:latin typeface="Times New Roman"/>
          </a:endParaRPr>
        </a:p>
        <a:p>
          <a:pPr>
            <a:lnSpc>
              <a:spcPct val="100000"/>
            </a:lnSpc>
          </a:pPr>
          <a:r>
            <a:rPr b="0" lang="pt-BR" sz="1100" spc="-1" strike="noStrike">
              <a:solidFill>
                <a:srgbClr val="000000"/>
              </a:solidFill>
              <a:latin typeface="Calibri"/>
            </a:rPr>
            <a:t>L corresponde à remuneração bruta do construtor;</a:t>
          </a:r>
          <a:endParaRPr b="0" lang="pt-BR" sz="1100" spc="-1" strike="noStrike">
            <a:latin typeface="Times New Roman"/>
          </a:endParaRPr>
        </a:p>
        <a:p>
          <a:pPr>
            <a:lnSpc>
              <a:spcPct val="100000"/>
            </a:lnSpc>
          </a:pPr>
          <a:r>
            <a:rPr b="0" lang="pt-BR" sz="1100" spc="-1" strike="noStrike">
              <a:solidFill>
                <a:srgbClr val="000000"/>
              </a:solidFill>
              <a:latin typeface="Calibri"/>
            </a:rPr>
            <a:t>I é a taxa representativa dos tributos incidentes sobre o preço de venda (PIS, Cofins, CPRB e ISS)</a:t>
          </a:r>
          <a:endParaRPr b="0" lang="pt-BR" sz="1100" spc="-1" strike="noStrike">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571680</xdr:colOff>
      <xdr:row>7</xdr:row>
      <xdr:rowOff>11880</xdr:rowOff>
    </xdr:from>
    <xdr:to>
      <xdr:col>6</xdr:col>
      <xdr:colOff>606600</xdr:colOff>
      <xdr:row>53</xdr:row>
      <xdr:rowOff>35280</xdr:rowOff>
    </xdr:to>
    <xdr:pic>
      <xdr:nvPicPr>
        <xdr:cNvPr id="1718" name="Imagem 2" descr=""/>
        <xdr:cNvPicPr/>
      </xdr:nvPicPr>
      <xdr:blipFill>
        <a:blip r:embed="rId1"/>
        <a:stretch/>
      </xdr:blipFill>
      <xdr:spPr>
        <a:xfrm>
          <a:off x="571680" y="1345320"/>
          <a:ext cx="7020360" cy="8786160"/>
        </a:xfrm>
        <a:prstGeom prst="rect">
          <a:avLst/>
        </a:prstGeom>
        <a:ln>
          <a:noFill/>
        </a:ln>
      </xdr:spPr>
    </xdr:pic>
    <xdr:clientData/>
  </xdr:twoCellAnchor>
  <xdr:twoCellAnchor editAs="oneCell">
    <xdr:from>
      <xdr:col>3</xdr:col>
      <xdr:colOff>226080</xdr:colOff>
      <xdr:row>10</xdr:row>
      <xdr:rowOff>154800</xdr:rowOff>
    </xdr:from>
    <xdr:to>
      <xdr:col>4</xdr:col>
      <xdr:colOff>1047960</xdr:colOff>
      <xdr:row>53</xdr:row>
      <xdr:rowOff>70920</xdr:rowOff>
    </xdr:to>
    <xdr:sp>
      <xdr:nvSpPr>
        <xdr:cNvPr id="1719" name="CustomShape 1"/>
        <xdr:cNvSpPr/>
      </xdr:nvSpPr>
      <xdr:spPr>
        <a:xfrm>
          <a:off x="4066560" y="2059560"/>
          <a:ext cx="1870200" cy="8107560"/>
        </a:xfrm>
        <a:prstGeom prst="rect">
          <a:avLst/>
        </a:prstGeom>
        <a:noFill/>
        <a:ln w="57240">
          <a:solidFill>
            <a:srgbClr val="ff0000"/>
          </a:solidFill>
          <a:custDash>
            <a:ds d="400000" sp="300000"/>
          </a:custDash>
        </a:ln>
      </xdr:spPr>
      <xdr:style>
        <a:lnRef idx="2">
          <a:schemeClr val="accent1">
            <a:shade val="15000"/>
          </a:schemeClr>
        </a:lnRef>
        <a:fillRef idx="1">
          <a:schemeClr val="accent1"/>
        </a:fillRef>
        <a:effectRef idx="0">
          <a:schemeClr val="accent1"/>
        </a:effectRef>
        <a:fontRef idx="minor"/>
      </xdr:style>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1.v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www.crea-go.org.br/" TargetMode="External"/><Relationship Id="rId2" Type="http://schemas.openxmlformats.org/officeDocument/2006/relationships/hyperlink" Target="https://www.tocmix.com/arandela-teto-alto-falante-jbl-6co2r-branco/p/MLB16013975?pdp_filters=category%3AMLB11507%7Cseller_id%3A468017720%7Citem_id%3AMLB2142407703" TargetMode="External"/><Relationship Id="rId3" Type="http://schemas.openxmlformats.org/officeDocument/2006/relationships/hyperlink" Target="https://www.amazon.com.br/Caixa-som-ac&#250;stica-Arandela-Selenium/dp/B075B1TMFY/ref=asc_df_B075B1TMFY/?tag=googleshopp00-20&amp;linkCode=df0&amp;hvadid=709964502926&amp;hvpos=&amp;hvnetw=g&amp;hvrand=465966003081598924&amp;hvpone=&amp;hvptwo=&amp;hvqmt=&amp;hvdev=c&amp;hvdvcmdl=&amp;hvlocint=&amp;hvlocphy" TargetMode="External"/><Relationship Id="rId4" Type="http://schemas.openxmlformats.org/officeDocument/2006/relationships/hyperlink" Target="https://www.magazineluiza.com.br/arandela-para-som-ambiente-jbl-6co2r/p/ce5jce5155/cj/lzar/?seller_id=lojashureoficial&amp;srsltid=AfmBOoqXKBSY-lrIdHfVgvh159FiLYj9d_4FYsl2xRkGKwBW17KONT4nPJQ" TargetMode="External"/><Relationship Id="rId5"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6"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7" Type="http://schemas.openxmlformats.org/officeDocument/2006/relationships/hyperlink" Target="https://www.google.com/search?q=rg+entulhos&amp;safe=active&amp;biw=1920&amp;bih=969&amp;tbm=lcl&amp;ei=8Jj6YcPuLubW5OUPw7OP-AM&amp;oq=rg+entulhos&amp;gs_l=psy-ab.3..0i512k1l2j38.225170.227155.0.227273.11.10.0.0.0.0.388.1142.0j1j1j2.4.0....0...1c.1.64.psy-ab..7.4.1141...0i512i433i13" TargetMode="External"/><Relationship Id="rId8" Type="http://schemas.openxmlformats.org/officeDocument/2006/relationships/hyperlink" Target="http://www.watplast.com.br/" TargetMode="External"/><Relationship Id="rId9" Type="http://schemas.openxmlformats.org/officeDocument/2006/relationships/hyperlink" Target="https://www.google.com/search?q=nova+op&#231;&#227;o+inox&amp;safe=active&amp;ei=Gcj6YaqjEeq15OUP98S1wAg&amp;ved=0ahUKEwjqk4_-zeH1AhXqGrkGHXdiDYgQ4dUDCA4&amp;uact=5&amp;oq=nova+op&#231;&#227;o+inox&amp;gs_lcp=Cgdnd3Mtd2l6EANKBAhBGABKBAhGGABQAFj9FGDwFWgAcAJ4BYABAIgBAJIBAJgBAKABAcABAQ&amp;sclient=gws-wiz" TargetMode="External"/><Relationship Id="rId10"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11" Type="http://schemas.openxmlformats.org/officeDocument/2006/relationships/hyperlink" Target="https://www.terwal.com.br/bombas-de-agua/bombas-centrifugas/bomba-centrifuga-thebe-para-incendio-thsi-18-r-5-cv-220380440v-trifasica-diametro-do-rotor-163mm?srsltid=AfmBOor-GEXZvT_PZUiIq5UNZu0nk-TNglsazw98pAc-KlF4sP4AvIGc8X0" TargetMode="External"/><Relationship Id="rId12" Type="http://schemas.openxmlformats.org/officeDocument/2006/relationships/hyperlink" Target="https://centraldaeletricasolar.com.br/produto/bomba-de-incendio-thebe-thsi-18r-75-cv-trifasica-220v-380v-440v-168mm-2/?gad_source=4&amp;gclid=Cj0KCQiA7se8BhCAARIsAKnF3rx48mKTEqeBplAD0H27pPV8RaJkeijJLpXjqxqBNMXdkwcQjTq_SA0aAgynEALw_wcB" TargetMode="External"/><Relationship Id="rId13" Type="http://schemas.openxmlformats.org/officeDocument/2006/relationships/hyperlink" Target="https://www.meritocomercial.com.br/bomba-de-incendio-thebe-thsi-18r-75-cv-163mm-trifasica-220v380v440v-5001001000301-p1058324?tsid=75&amp;gad_source=4&amp;gclid=Cj0KCQiA7se8BhCAARIsAKnF3rz5cFPxuYuFR1UKRk_1N8jeIEv5FcqiXXv3pSqNhpzWFZDfQFMKLrsaAkUbEALw_wcB" TargetMode="External"/><Relationship Id="rId14" Type="http://schemas.openxmlformats.org/officeDocument/2006/relationships/hyperlink" Target="https://www.rckaudio.com.br/cabo-de-microfone-santo-angelo-x30-100-metros?parceiro=1127&amp;gad_source=4&amp;gclid=Cj0KCQjw1Yy5BhD-ARIsAI0RbXZRyXBqeMTVrkdHw8nhJPhQxnYnjL-0RjqQQYDxlp9KHsPQFn5KxokaAnPrEALw_wcB" TargetMode="External"/><Relationship Id="rId15" Type="http://schemas.openxmlformats.org/officeDocument/2006/relationships/hyperlink" Target="https://cabossp.mercadoshops.com.br/MLB-1178403327-promocao-100-metros-cabo-microfonedmx-2x030mm-balanceado-_JM?variation=35313031621&amp;utm_source=google&amp;utm_medium=cpc&amp;utm_campaign=darwin_ss&amp;gad_source=4&amp;gclid=Cj0KCQjw1Yy5BhD-ARIsAI0RbXauOk0cVbJ8Wu21sbQFGy" TargetMode="External"/><Relationship Id="rId16" Type="http://schemas.openxmlformats.org/officeDocument/2006/relationships/hyperlink" Target="https://www.koalamusic.com.br/MLB-2834864534-rolo-de-cabo-para-microfone-santo-angelo-x30-100m-_JM?gad_source=4&amp;gclid=Cj0KCQjw1Yy5BhD-ARIsAI0RbXY6iswB9XIOTEGxtM8lun7yvOCyqkwvMNMqnEiVr9jADs8_x38DaXoaAs8sEALw_wcB" TargetMode="External"/><Relationship Id="rId17"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18"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19"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20" Type="http://schemas.openxmlformats.org/officeDocument/2006/relationships/hyperlink" Target="https://www.madeiramadeira.com.br/elemento-tatil-alerta-inox-adesivado-430567782.html?origem=pla-430567782&amp;utm_source=google&amp;utm_medium=cpc&amp;utm_content=sinalizadores-5741&amp;utm_term=&amp;utm_id=17610861995&amp;gad_source=4&amp;gclid=Cj0KCQiAy8K8BhCZARIsAKJ8sfSKsgQvBBKv" TargetMode="External"/><Relationship Id="rId21" Type="http://schemas.openxmlformats.org/officeDocument/2006/relationships/hyperlink" Target="https://www.leroymerlin.com.br/elemento-tatil-alerta-inox--adesivado_1570479629?region=outros&amp;gad_source=4&amp;gclid=Cj0KCQiAy8K8BhCZARIsAKJ8sfSdk4_fz0D68O6xsDnagPFE2L5_hHRDNp2z0NLEOX4duU3UT50dwcoaAhnYEALw_wcB" TargetMode="External"/><Relationship Id="rId22" Type="http://schemas.openxmlformats.org/officeDocument/2006/relationships/hyperlink" Target="https://www.magazineluiza.com.br/elemento-tatil-alerta-inox-adesivado-lagge-acessibilidade/p/jb0g708cc0/md/cnsr/?&amp;seller_id=laggeacessibilidade&amp;utm_source=google&amp;utm_medium=cpc&amp;utm_term=76938&amp;utm_campaign=google_eco_per_ven_pla_md_sor_3p_md-ccd-b&amp;utm_cont" TargetMode="External"/><Relationship Id="rId23" Type="http://schemas.openxmlformats.org/officeDocument/2006/relationships/hyperlink" Target="https://www.madeiramadeira.com.br/elemento-tatil-direcional-inox-adesivado-745950438.html?origem=pla-745950438&amp;seller=16025&amp;utm_source=google&amp;utm_medium=cpc&amp;utm_content=sinalizadores-5741&amp;utm_term=&amp;utm_id=17610861995&amp;gad_source=4&amp;gclid=Cj0KCQiAy8K8BhCZARI" TargetMode="External"/><Relationship Id="rId24" Type="http://schemas.openxmlformats.org/officeDocument/2006/relationships/hyperlink" Target="https://www.leroymerlin.com.br/elemento-tatil-direcional-inox--adesivado_1570477957?region=outros&amp;gad_source=4&amp;gclid=Cj0KCQiAy8K8BhCZARIsAKJ8sfRhl9VWWm0A2mBm0bSUqLG7kOJXXwOKaJDATORwhU7OQb3_9gUDARIaAh5sEALw_wcB" TargetMode="External"/><Relationship Id="rId25" Type="http://schemas.openxmlformats.org/officeDocument/2006/relationships/hyperlink" Target="https://www.magazineluiza.com.br/elemento-tatil-alerta-e-direcional-inox-adesivado-lagge-acessibilidade/p/ke775fe007/md/cnsr/?&amp;seller_id=laggedecorar&amp;utm_source=google&amp;utm_medium=cpc&amp;utm_term=76938&amp;utm_campaign=google_eco_per_ven_pla_md_sor_3p_md-ccd-b&amp;ut" TargetMode="External"/><Relationship Id="rId26" Type="http://schemas.openxmlformats.org/officeDocument/2006/relationships/hyperlink" Target="https://www.magazineluiza.com.br/tubo-de-drenagem-bravo-corrugado-preto-2-1-2-x-50m-rcd/p/gej923c0j5/cj/tuch/?&amp;seller_id=rcdeletrica2&amp;utm_source=google&amp;utm_medium=cpc&amp;utm_term=76920&amp;utm_campaign=google_eco_per_ven_pla_ca_sor_3p_ci-cj-fs-b&amp;utm_content=&amp;par" TargetMode="External"/><Relationship Id="rId27" Type="http://schemas.openxmlformats.org/officeDocument/2006/relationships/hyperlink" Target="https://www.teky.com.br/646a5b79d496504d21e0abe6/tubo-pead-corrugado-212%22x50m-kanadren-preto-drenagem-kanaflex?gad_source=4&amp;gclid=Cj0KCQiAy8K8BhCZARIsAKJ8sfRlcYCZZxlW-TwFitV2HBZ0l09KKEHA6WxUwwPSrdzV1-02g3D1KMwaAuJOEALw_wcB" TargetMode="External"/><Relationship Id="rId28" Type="http://schemas.openxmlformats.org/officeDocument/2006/relationships/hyperlink" Target="https://www.superproatacado.com.br/conduite-flexivel-2-1-2-25m-preto-ibira-234140/p?utm_source=google&amp;utm_medium=cpc&amp;utm_campaign=21000286230&amp;kwd=&amp;matchtype=&amp;adset_id=&amp;device=c&amp;gad_source=4&amp;gclid=Cj0KCQiAy8K8BhCZARIsAKJ8sfRBYBSwKHEDv7wP22ENzwSCu8TC_m30bKa" TargetMode="External"/><Relationship Id="rId29"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30" Type="http://schemas.openxmlformats.org/officeDocument/2006/relationships/hyperlink" Target="https://palaciodasferramentas.com.br/gerador-a-diesel-7-5-kva-silencioso-trifasico-partida-eletrica-tdg8500sle3xp-251-075-toyama?gad_source=4&amp;gclid=Cj0KCQiA7se8BhCAARIsAKnF3rwlj72RBtH16CSRTSrjghS1Nu7AEuLX3YbN6whJm0ZJL14hgTlFhUYaAvoPEALw_wcB" TargetMode="External"/><Relationship Id="rId31" Type="http://schemas.openxmlformats.org/officeDocument/2006/relationships/hyperlink" Target="https://www.lovamaquinas.com.br/gerador-de-energia-a-diesel-trifasico-tdg8500sle3xp-380v-toyama?variation=12555079&amp;gad_source=4&amp;gclid=Cj0KCQiA7se8BhCAARIsAKnF3rzNH-6bMz3oIj9slIanbnCm_7qrZTgS1WbqvmZNOPMs5NuyhH3Ohr0aAkQDEALw_wcB" TargetMode="External"/><Relationship Id="rId32" Type="http://schemas.openxmlformats.org/officeDocument/2006/relationships/hyperlink" Target="https://www.lojadomecanico.com.br/produto/122471/33/326/Gerador-de-Energia-Cabinado-a-Diesel-TDG8500SLE3XP-4T-498cc-75KVA-Trifasico-380V-Partida-Eletrica/153/?utm_source=google&amp;utm_medium=cpc&amp;utm_campaign=%5BPMAX%5D%5BROAS%5D+-+TeleVendas%7E80%25GMV&amp;gad_s" TargetMode="External"/><Relationship Id="rId33" Type="http://schemas.openxmlformats.org/officeDocument/2006/relationships/hyperlink" Target="https://www.inspirehome.com.br/lampada-led-bulbo-e27-6500k-15w-bivolt-germany-blumenau-iluminac-o-3157016/p?utm_source=google&amp;utm_medium=cpc&amp;utm_campaign=Pmax_Revenda_Importado&amp;gad_source=4&amp;gclid=Cj0KCQiAy8K8BhCZARIsAKJ8sfRYuqaU2MVkYSEjjyqkkYRqtGXLolGYKuv" TargetMode="External"/><Relationship Id="rId34" Type="http://schemas.openxmlformats.org/officeDocument/2006/relationships/hyperlink" Target="https://www.dimensional.com.br/lampada-led-a70-e27-6500k-bivolt-15w-20390-ourolux/p?idsku=954584&amp;gad_source=4&amp;gclid=Cj0KCQiAy8K8BhCZARIsAKJ8sfR--GcGu5zYOZ4Jw-gCYWoME8VbxzUw64bs95YjGP2I3VxOFI2VJe4aAlp4EALw_wcB" TargetMode="External"/><Relationship Id="rId35" Type="http://schemas.openxmlformats.org/officeDocument/2006/relationships/hyperlink" Target="https://www.lfmaquinaseferramentas.com.br/lampada-led-bulbo-e27-ledvance-6500k/p?idsku=125470&amp;gad_source=4&amp;gclid=Cj0KCQiAy8K8BhCZARIsAKJ8sfTMU82W81K4Y7K-4bAIpTC2FiXdGQujPWwXDy2kWT1hDo-lSQRmeAcaAse5EALw_wcB" TargetMode="External"/><Relationship Id="rId36" Type="http://schemas.openxmlformats.org/officeDocument/2006/relationships/hyperlink" Target="https://www.mundomax.com.br/mesa-de-som-12-canais-xenyx-x1222usb-behringer?srsltid=AfmBOorA3Ff5FTfD0VXi3xbkHeNkLTLFNj47LGFxgELlO3rQnxez6bULlDY" TargetMode="External"/><Relationship Id="rId37" Type="http://schemas.openxmlformats.org/officeDocument/2006/relationships/hyperlink" Target="https://www.serenatanet.com.br/mesa-de-audio-behringer-xenyx-x1222-com-usb-12-canais-analogica/p?idsku=2066" TargetMode="External"/><Relationship Id="rId38" Type="http://schemas.openxmlformats.org/officeDocument/2006/relationships/hyperlink" Target="https://www.audiodriver.com.br/produto/mixer-mesa-de-som-xenyx-x1222usb-behringer.html?utm_source=Site&amp;utm_medium=GoogleMerchant&amp;utm_campaign=GoogleMerchant&amp;srsltid=AfmBOornBxXupXz2GUDOGYPXuo1KDR3Y_p6cv0-k7lb-o2X-JNAEHIcBKM4" TargetMode="External"/><Relationship Id="rId39" Type="http://schemas.openxmlformats.org/officeDocument/2006/relationships/hyperlink" Target="mailto:contato@energiaextra.com.br" TargetMode="External"/><Relationship Id="rId40" Type="http://schemas.openxmlformats.org/officeDocument/2006/relationships/hyperlink" Target="mailto:contato@ifontech.com.br" TargetMode="External"/><Relationship Id="rId41" Type="http://schemas.openxmlformats.org/officeDocument/2006/relationships/hyperlink" Target="mailto:sac@processtec.com.br" TargetMode="External"/><Relationship Id="rId42" Type="http://schemas.openxmlformats.org/officeDocument/2006/relationships/hyperlink" Target="http://www.watplast.com.br/" TargetMode="External"/><Relationship Id="rId43" Type="http://schemas.openxmlformats.org/officeDocument/2006/relationships/hyperlink" Target="http://www.watplast.com.br/" TargetMode="External"/><Relationship Id="rId44" Type="http://schemas.openxmlformats.org/officeDocument/2006/relationships/hyperlink" Target="https://www.magazineluiza.com.br/plug-xlr-canon-par-macho-e-femea-berto-corpo-metalico-berto/p/jj7b3j2h43/cj/plad/?seller_id=showdamusica2&amp;srsltid=AfmBOorvOmrxNCtYLdOicl-DILGMOZurce7IEOc3jRjn-aPVKboPyuEhJ1E" TargetMode="External"/><Relationship Id="rId45" Type="http://schemas.openxmlformats.org/officeDocument/2006/relationships/hyperlink" Target="https://www.americanas.com.br/produto/7492525325/plug-conector-xlr-canon-de-linha-par-macho-femea?offerId=6615570a17c6b5c0e1c78e61&amp;opn=YSMESP&amp;srsltid=AfmBOopLBp74sw0eyppvEkOxAfiTf7VqsQAUrAcg0_EAdZcKxEAMxWjjmzk" TargetMode="External"/><Relationship Id="rId46" Type="http://schemas.openxmlformats.org/officeDocument/2006/relationships/hyperlink" Target="https://www.msaudioparts.com/10-plug-conector-linha-xlr-macho-fmea-santo-angelo-p-cabo/p/MLB27769547" TargetMode="External"/><Relationship Id="rId47" Type="http://schemas.openxmlformats.org/officeDocument/2006/relationships/hyperlink" Target="https://www.mundomax.com.br/plug-3-pinos-90o-10a-pld10-3-preto-margirius?gad_source=4&amp;gclid=EAIaIQobChMI3eeF--SxigMVg1dIAB2k1hTpEAQYByABEgK64_D_BwE" TargetMode="External"/><Relationship Id="rId48" Type="http://schemas.openxmlformats.org/officeDocument/2006/relationships/hyperlink" Target="https://produto.mercadolivre.com.br/MLB-4449512496-quadro-de-distribuico-70-disjuntores-emb-kit-trifasico-250a-_JM?matt_tool=18956390&amp;utm_source=google_shopping&amp;utm_medium=organic" TargetMode="External"/><Relationship Id="rId49" Type="http://schemas.openxmlformats.org/officeDocument/2006/relationships/hyperlink" Target="https://loja.bsepaineis.com.br/quadros-de-distribuicao/quadros-com-barramento/quadros-de-distribuicao-250a-embutir/quadro-de-distribuicao-de-embutir-trifasico-250a-72-disjuntores?srsltid=AfmBOor2_d0c7PIVA8eLbpguXxlHJdgMz_lK78MhvY6KNjaizapevIoj_Ss" TargetMode="External"/><Relationship Id="rId50" Type="http://schemas.openxmlformats.org/officeDocument/2006/relationships/hyperlink" Target="https://www.marmota.com.br/" TargetMode="External"/><Relationship Id="rId51" Type="http://schemas.openxmlformats.org/officeDocument/2006/relationships/hyperlink" Target="http://www.watplast.com.br/" TargetMode="External"/><Relationship Id="rId52"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53" Type="http://schemas.openxmlformats.org/officeDocument/2006/relationships/hyperlink" Target="https://www.eletrofm.com.br/eletrocalhas/tampa-de-encaixe-para-eletrocalha-100mm-3-metros-em-chapa-de-aco-galvanizado/?utm_source=google_shopping&amp;utm_medium=search&amp;utm_campaign=comparadores&amp;gad_source=4&amp;gclid=Cj0KCQiAy8K8BhCZARIsAKJ8sfT4HZEAhPBNEP_ykJHhne" TargetMode="External"/><Relationship Id="rId54" Type="http://schemas.openxmlformats.org/officeDocument/2006/relationships/hyperlink" Target="https://www.magazineluiza.com.br/tampa-eletrocalha-100x3000-inbraell/p/gcj278ajh3/cj/eltc/?&amp;seller_id=eletrorastrooficial&amp;utm_source=google&amp;utm_medium=cpc&amp;utm_term=76920&amp;utm_campaign=google_eco_per_ven_pla_ca_sor_3p_ci-cj-fs-b&amp;utm_content=&amp;partner_id=7692" TargetMode="External"/><Relationship Id="rId55" Type="http://schemas.openxmlformats.org/officeDocument/2006/relationships/hyperlink" Target="https://www.newelectricmj.com.br/infraestrutura/eletrocalhas-e-perfilados/acessorios/tampa-pcalha-100?parceiro=4876&amp;srsltid=AfmBOoo7bErcXKzXe6YK28ebA39MNwHyZ7nxBbhptvZTYqayJQBzt8CVXmE" TargetMode="External"/><Relationship Id="rId56" Type="http://schemas.openxmlformats.org/officeDocument/2006/relationships/hyperlink" Target="https://www.dzmateriaiseletricos.com.br/produtos/tampa-para-eletrocalha-150mm-zincada-chapa26-3-metros-jea?referenceId=080623121199993544386&amp;channel=Google_Shopping&amp;utm_source=URLPortaldoSeller&amp;utm_medium=Google_Shopping&amp;srsltid=AfmBOoqXcNfd07ZDbed9TxVQom" TargetMode="External"/><Relationship Id="rId57" Type="http://schemas.openxmlformats.org/officeDocument/2006/relationships/hyperlink" Target="https://www.plenobras.com.br/646a5b1ed496504d21e0254b/tampa-encaixe-para-eletrocalha-galvanizada-eletrolitica-150x3000mm-jea?srsltid=AfmBOoq3bv_kfV0b3mukIj_Nr_zexHIYF9wS81_8z3G88dbWzRqGZ4oEHec" TargetMode="External"/><Relationship Id="rId58" Type="http://schemas.openxmlformats.org/officeDocument/2006/relationships/hyperlink" Target="https://www.lojaagrometal.com.br/produto/tampa-para-eletrocalha-150x3000-perfil-lider-referencia-140150103000hpz-76041?srsltid=AfmBOooD28OhxWUZ9ao1iK4IF699OcwYVwOJBksuZzLPOKuyock-FtQAbTM" TargetMode="External"/><Relationship Id="rId59" Type="http://schemas.openxmlformats.org/officeDocument/2006/relationships/hyperlink" Target="https://www.eletrofm.com.br/acessorios-perfilados-eletrocalhas/tampa-de-encaixe-para-eletrocalha-50mm-3-metros-em-chapa-de-aco-galvanizado/?utm_source=google_shopping&amp;utm_medium=search&amp;utm_campaign=comparadores&amp;gad_source=4&amp;gclid=Cj0KCQiA7se8BhCAARIsAKnF3" TargetMode="External"/><Relationship Id="rId60" Type="http://schemas.openxmlformats.org/officeDocument/2006/relationships/hyperlink" Target="https://loja.eletronor.com.br/tampa-de-encaixe-p--eletrocalha-50mm-ch--26-ge-ref--10101686---eletropoll/p?idsku=2066&amp;gad_source=4&amp;gclid=Cj0KCQiA7se8BhCAARIsAKnF3rz89W4y07OjCO2-6WiJ78RxdfIpRVMyspEoNgkqQGor8ZCFwy08KqAaAttYEALw_wcB" TargetMode="External"/><Relationship Id="rId61" Type="http://schemas.openxmlformats.org/officeDocument/2006/relationships/hyperlink" Target="https://www.andra.com.br/tampa-de-encaixe-para-eletrocalha-5x300cm-26-pre-zincado-cke509-kennedy/p?idsku=13263&amp;gad_source=4&amp;gclid=Cj0KCQiA7se8BhCAARIsAKnF3rxBAuH_H1r72lefxj0lBQwT-5LS1H851DKJeFvyWE0rvpeEgnEmTcoaAvTnEALw_wcB" TargetMode="External"/><Relationship Id="rId62" Type="http://schemas.openxmlformats.org/officeDocument/2006/relationships/hyperlink" Target="https://cemaco.com.br/produto/26959-textura-leinertex-acrilica-londres-23kg" TargetMode="External"/><Relationship Id="rId63" Type="http://schemas.openxmlformats.org/officeDocument/2006/relationships/hyperlink" Target="https://www.magazineluiza.com.br/textura-londres-23kg-leinertex-8823401/p/djfhe3bggj/cj/txma/?seller_id=melotintascombr&amp;srsltid=AfmBOop0d4lqvH6-WerSxIPLC95LeoT9VgGNpYSOR6NCriea_HXLiAzAQb4" TargetMode="External"/><Relationship Id="rId64" Type="http://schemas.openxmlformats.org/officeDocument/2006/relationships/hyperlink" Target="https://www.livencasa.com/outlet/casa-e-decoracao/pintura/textura-londres-23kg-leinertex?srsltid=AfmBOoo1K6urigefoZp7uD7ju2_FmOV0wq3d80rs8phyTkAA9gh9yT0FAdo" TargetMode="External"/><Relationship Id="rId65" Type="http://schemas.openxmlformats.org/officeDocument/2006/relationships/hyperlink" Target="https://www.lfmaquinaseferramentas.com.br/tinta-acrilica-acetinada-decora-seda-coral-branco-gelo/p?idsku=123028&amp;gad_source=4&amp;gclid=Cj0KCQiA7se8BhCAARIsAKnF3ry9R09fzOpJqvYbpn1hkWNfY80mjhkv_htJJf0hI2G2JNvZpxCJ1JYaAmXSEALw_wcB" TargetMode="External"/><Relationship Id="rId66" Type="http://schemas.openxmlformats.org/officeDocument/2006/relationships/hyperlink" Target="https://www.bigcorestintas.com.br/tinta-acrilica-decora-seda-acetinado-branco-18l-coral?gad_source=4&amp;gclid=Cj0KCQiA7se8BhCAARIsAKnF3ryT5xxZmtz-ZucLpt0SLTGgUt-kdWpNNMGDd93y9s2oGy-5ZL7oRRsaArtdEALw_wcB" TargetMode="External"/><Relationship Id="rId67" Type="http://schemas.openxmlformats.org/officeDocument/2006/relationships/hyperlink" Target="https://www.g-haus.com.br/tinta-acrilica-acetinada-decora-seda-coral-branco-gelo/p?idsku=1715&amp;gad_source=4&amp;gclid=Cj0KCQiA7se8BhCAARIsAKnF3ryQbFyufYCoOk-0RxHCIzBOHKAQFeEqzjLiUOBq0Q7DDgfbFR3FxrwaAvVXEALw_wcB" TargetMode="External"/><Relationship Id="rId68" Type="http://schemas.openxmlformats.org/officeDocument/2006/relationships/hyperlink" Target="https://www.unicaserv.com.br/materiais-eletricos/tomadas/modulo-tomada-de-rede-rj45-cat-6-8-fios-linha-slim-ilumi-81641?parceiro=3738&amp;gad_source=4&amp;gclid=Cj0KCQiA7se8BhCAARIsAKnF3rxsFUBA8IHgtBCFfL5cqsjZjd0tArhHePCa3ZOGuhkMHaX7KVrulWgaAnvvEALw_wcB" TargetMode="External"/><Relationship Id="rId69" Type="http://schemas.openxmlformats.org/officeDocument/2006/relationships/hyperlink" Target="https://www.barataodosul.com.br/tomada-rj45-cat6-de-1-modulo-branco-simon-20?utm_source=google&amp;utm_medium=Shopping&amp;utm_campaign=tomada-rj45-cat6-de-1-modulo-branco-simon-20&amp;inStock&amp;gad_source=4&amp;gclid=Cj0KCQiA7se8BhCAARIsAKnF3ryTg1tIxTj2izwX6kc8soSRyREnFCx" TargetMode="External"/><Relationship Id="rId70" Type="http://schemas.openxmlformats.org/officeDocument/2006/relationships/hyperlink" Target="https://www.balaroti.com.br/modulo-tomada-iris-rj45-cat6-branco-a7b10001340153-149946/p?idsku=149946&amp;gad_source=4&amp;gclid=Cj0KCQiA7se8BhCAARIsAKnF3rx5yqufLkbyjii-OBO955qpNtEabs2TnaNWVAw2hwwFVCWvWzWhXGYaAkWUEALw_wcB" TargetMode="External"/><Relationship Id="rId7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tabColor rgb="FF00B050"/>
    <pageSetUpPr fitToPage="true"/>
  </sheetPr>
  <dimension ref="B2:L32"/>
  <sheetViews>
    <sheetView showFormulas="false" showGridLines="false" showRowColHeaders="true" showZeros="true" rightToLeft="false" tabSelected="false" showOutlineSymbols="true" defaultGridColor="true" view="pageBreakPreview" topLeftCell="A10" colorId="64" zoomScale="100" zoomScaleNormal="100" zoomScalePageLayoutView="100" workbookViewId="0">
      <selection pane="topLeft" activeCell="E17" activeCellId="0" sqref="E17"/>
    </sheetView>
  </sheetViews>
  <sheetFormatPr defaultRowHeight="15" zeroHeight="false" outlineLevelRow="0" outlineLevelCol="0"/>
  <cols>
    <col collapsed="false" customWidth="true" hidden="false" outlineLevel="0" max="1" min="1" style="0" width="3.71"/>
    <col collapsed="false" customWidth="true" hidden="false" outlineLevel="0" max="2" min="2" style="0" width="9.14"/>
    <col collapsed="false" customWidth="true" hidden="false" outlineLevel="0" max="3" min="3" style="0" width="21.29"/>
    <col collapsed="false" customWidth="true" hidden="false" outlineLevel="0" max="4" min="4" style="0" width="12.14"/>
    <col collapsed="false" customWidth="true" hidden="false" outlineLevel="0" max="5" min="5" style="0" width="10.71"/>
    <col collapsed="false" customWidth="true" hidden="false" outlineLevel="0" max="12" min="6" style="0" width="8.71"/>
    <col collapsed="false" customWidth="true" hidden="false" outlineLevel="0" max="13" min="13" style="0" width="3.71"/>
    <col collapsed="false" customWidth="true" hidden="false" outlineLevel="0" max="1025" min="14" style="0" width="8.71"/>
  </cols>
  <sheetData>
    <row r="2" customFormat="false" ht="52.5" hidden="false" customHeight="true" outlineLevel="0" collapsed="false">
      <c r="B2" s="1"/>
      <c r="C2" s="2"/>
      <c r="D2" s="2"/>
      <c r="E2" s="2"/>
      <c r="F2" s="2"/>
      <c r="G2" s="2"/>
      <c r="H2" s="2"/>
      <c r="I2" s="2"/>
      <c r="J2" s="2"/>
      <c r="K2" s="2"/>
      <c r="L2" s="3"/>
    </row>
    <row r="3" customFormat="false" ht="15.75" hidden="false" customHeight="false" outlineLevel="0" collapsed="false">
      <c r="B3" s="4" t="s">
        <v>0</v>
      </c>
      <c r="C3" s="4"/>
      <c r="D3" s="4"/>
      <c r="E3" s="4"/>
      <c r="F3" s="4"/>
      <c r="G3" s="4"/>
      <c r="H3" s="4"/>
      <c r="I3" s="4"/>
      <c r="J3" s="4"/>
      <c r="K3" s="4"/>
      <c r="L3" s="4"/>
    </row>
    <row r="4" customFormat="false" ht="15.75" hidden="false" customHeight="false" outlineLevel="0" collapsed="false">
      <c r="B4" s="4" t="s">
        <v>1</v>
      </c>
      <c r="C4" s="4"/>
      <c r="D4" s="4"/>
      <c r="E4" s="4"/>
      <c r="F4" s="4"/>
      <c r="G4" s="4"/>
      <c r="H4" s="4"/>
      <c r="I4" s="4"/>
      <c r="J4" s="4"/>
      <c r="K4" s="4"/>
      <c r="L4" s="4"/>
    </row>
    <row r="5" customFormat="false" ht="15.75" hidden="false" customHeight="false" outlineLevel="0" collapsed="false">
      <c r="B5" s="4" t="s">
        <v>2</v>
      </c>
      <c r="C5" s="4"/>
      <c r="D5" s="4"/>
      <c r="E5" s="4"/>
      <c r="F5" s="4"/>
      <c r="G5" s="4"/>
      <c r="H5" s="4"/>
      <c r="I5" s="4"/>
      <c r="J5" s="4"/>
      <c r="K5" s="4"/>
      <c r="L5" s="4"/>
    </row>
    <row r="6" customFormat="false" ht="15.75" hidden="false" customHeight="false" outlineLevel="0" collapsed="false">
      <c r="B6" s="4" t="s">
        <v>3</v>
      </c>
      <c r="C6" s="4"/>
      <c r="D6" s="4"/>
      <c r="E6" s="4"/>
      <c r="F6" s="4"/>
      <c r="G6" s="4"/>
      <c r="H6" s="4"/>
      <c r="I6" s="4"/>
      <c r="J6" s="4"/>
      <c r="K6" s="4"/>
      <c r="L6" s="4"/>
    </row>
    <row r="7" customFormat="false" ht="15" hidden="false" customHeight="false" outlineLevel="0" collapsed="false">
      <c r="B7" s="5"/>
      <c r="L7" s="6"/>
    </row>
    <row r="8" customFormat="false" ht="15" hidden="false" customHeight="false" outlineLevel="0" collapsed="false">
      <c r="B8" s="7" t="s">
        <v>4</v>
      </c>
      <c r="L8" s="6"/>
    </row>
    <row r="9" customFormat="false" ht="15" hidden="false" customHeight="false" outlineLevel="0" collapsed="false">
      <c r="B9" s="7"/>
      <c r="L9" s="6"/>
    </row>
    <row r="10" customFormat="false" ht="15" hidden="false" customHeight="true" outlineLevel="0" collapsed="false">
      <c r="B10" s="5"/>
      <c r="C10" s="0" t="s">
        <v>5</v>
      </c>
      <c r="D10" s="8" t="s">
        <v>6</v>
      </c>
      <c r="E10" s="8"/>
      <c r="F10" s="8"/>
      <c r="G10" s="8"/>
      <c r="H10" s="8"/>
      <c r="I10" s="8"/>
      <c r="J10" s="8"/>
      <c r="K10" s="8"/>
      <c r="L10" s="6"/>
    </row>
    <row r="11" customFormat="false" ht="15" hidden="false" customHeight="false" outlineLevel="0" collapsed="false">
      <c r="B11" s="5"/>
      <c r="D11" s="8"/>
      <c r="E11" s="8"/>
      <c r="F11" s="8"/>
      <c r="G11" s="8"/>
      <c r="H11" s="8"/>
      <c r="I11" s="8"/>
      <c r="J11" s="8"/>
      <c r="K11" s="8"/>
      <c r="L11" s="6"/>
    </row>
    <row r="12" customFormat="false" ht="15" hidden="false" customHeight="false" outlineLevel="0" collapsed="false">
      <c r="B12" s="5"/>
      <c r="C12" s="0" t="s">
        <v>7</v>
      </c>
      <c r="E12" s="9" t="s">
        <v>8</v>
      </c>
      <c r="L12" s="6"/>
    </row>
    <row r="13" customFormat="false" ht="15" hidden="false" customHeight="false" outlineLevel="0" collapsed="false">
      <c r="B13" s="5"/>
      <c r="C13" s="10" t="s">
        <v>9</v>
      </c>
      <c r="D13" s="10"/>
      <c r="E13" s="11" t="n">
        <v>45750</v>
      </c>
      <c r="L13" s="6"/>
    </row>
    <row r="14" customFormat="false" ht="15" hidden="false" customHeight="false" outlineLevel="0" collapsed="false">
      <c r="B14" s="5"/>
      <c r="C14" s="10"/>
      <c r="D14" s="10"/>
      <c r="E14" s="11"/>
      <c r="L14" s="6"/>
    </row>
    <row r="15" customFormat="false" ht="15" hidden="false" customHeight="false" outlineLevel="0" collapsed="false">
      <c r="B15" s="7" t="s">
        <v>4</v>
      </c>
      <c r="E15" s="9"/>
      <c r="L15" s="6"/>
    </row>
    <row r="16" customFormat="false" ht="15" hidden="false" customHeight="false" outlineLevel="0" collapsed="false">
      <c r="B16" s="5"/>
      <c r="C16" s="0" t="s">
        <v>10</v>
      </c>
      <c r="E16" s="12" t="s">
        <v>11</v>
      </c>
      <c r="G16" s="0" t="s">
        <v>12</v>
      </c>
      <c r="L16" s="6"/>
    </row>
    <row r="17" customFormat="false" ht="15" hidden="false" customHeight="false" outlineLevel="0" collapsed="false">
      <c r="B17" s="5"/>
      <c r="L17" s="6"/>
    </row>
    <row r="18" customFormat="false" ht="15" hidden="false" customHeight="false" outlineLevel="0" collapsed="false">
      <c r="B18" s="5"/>
      <c r="C18" s="0" t="s">
        <v>13</v>
      </c>
      <c r="E18" s="0" t="s">
        <v>14</v>
      </c>
      <c r="L18" s="6"/>
    </row>
    <row r="19" customFormat="false" ht="15" hidden="false" customHeight="false" outlineLevel="0" collapsed="false">
      <c r="B19" s="5"/>
      <c r="L19" s="6"/>
    </row>
    <row r="20" customFormat="false" ht="15" hidden="false" customHeight="false" outlineLevel="0" collapsed="false">
      <c r="B20" s="7" t="s">
        <v>15</v>
      </c>
      <c r="L20" s="6"/>
    </row>
    <row r="21" customFormat="false" ht="15" hidden="false" customHeight="false" outlineLevel="0" collapsed="false">
      <c r="B21" s="7"/>
      <c r="L21" s="6"/>
    </row>
    <row r="22" customFormat="false" ht="15" hidden="false" customHeight="false" outlineLevel="0" collapsed="false">
      <c r="B22" s="5"/>
      <c r="C22" s="0" t="s">
        <v>16</v>
      </c>
      <c r="L22" s="6"/>
    </row>
    <row r="23" customFormat="false" ht="15" hidden="false" customHeight="false" outlineLevel="0" collapsed="false">
      <c r="B23" s="5"/>
      <c r="C23" s="0" t="s">
        <v>17</v>
      </c>
      <c r="L23" s="6"/>
    </row>
    <row r="24" customFormat="false" ht="15" hidden="false" customHeight="false" outlineLevel="0" collapsed="false">
      <c r="B24" s="5"/>
      <c r="C24" s="0" t="s">
        <v>18</v>
      </c>
      <c r="L24" s="6"/>
    </row>
    <row r="25" customFormat="false" ht="15" hidden="false" customHeight="false" outlineLevel="0" collapsed="false">
      <c r="B25" s="5"/>
      <c r="C25" s="0" t="s">
        <v>19</v>
      </c>
      <c r="L25" s="6"/>
    </row>
    <row r="26" customFormat="false" ht="15" hidden="false" customHeight="false" outlineLevel="0" collapsed="false">
      <c r="B26" s="5"/>
      <c r="C26" s="0" t="s">
        <v>20</v>
      </c>
      <c r="L26" s="6"/>
    </row>
    <row r="27" customFormat="false" ht="15" hidden="false" customHeight="false" outlineLevel="0" collapsed="false">
      <c r="B27" s="5"/>
      <c r="C27" s="0" t="s">
        <v>21</v>
      </c>
      <c r="L27" s="6"/>
    </row>
    <row r="28" customFormat="false" ht="15" hidden="false" customHeight="false" outlineLevel="0" collapsed="false">
      <c r="B28" s="5"/>
      <c r="L28" s="6"/>
    </row>
    <row r="29" customFormat="false" ht="44.25" hidden="false" customHeight="true" outlineLevel="0" collapsed="false">
      <c r="B29" s="5"/>
      <c r="C29" s="13" t="s">
        <v>22</v>
      </c>
      <c r="D29" s="13"/>
      <c r="E29" s="13"/>
      <c r="F29" s="13"/>
      <c r="G29" s="13"/>
      <c r="H29" s="13"/>
      <c r="I29" s="13"/>
      <c r="J29" s="13"/>
      <c r="K29" s="13"/>
      <c r="L29" s="13"/>
    </row>
    <row r="30" customFormat="false" ht="15" hidden="false" customHeight="true" outlineLevel="0" collapsed="false">
      <c r="B30" s="5"/>
      <c r="C30" s="13" t="s">
        <v>23</v>
      </c>
      <c r="D30" s="13"/>
      <c r="E30" s="13"/>
      <c r="F30" s="13"/>
      <c r="G30" s="13"/>
      <c r="H30" s="13"/>
      <c r="I30" s="13"/>
      <c r="J30" s="13"/>
      <c r="K30" s="13"/>
      <c r="L30" s="13"/>
    </row>
    <row r="31" customFormat="false" ht="15" hidden="false" customHeight="false" outlineLevel="0" collapsed="false">
      <c r="B31" s="5"/>
      <c r="C31" s="14" t="s">
        <v>24</v>
      </c>
      <c r="L31" s="6"/>
    </row>
    <row r="32" customFormat="false" ht="15.75" hidden="false" customHeight="false" outlineLevel="0" collapsed="false">
      <c r="B32" s="15"/>
      <c r="C32" s="16"/>
      <c r="D32" s="16"/>
      <c r="E32" s="16"/>
      <c r="F32" s="16"/>
      <c r="G32" s="16"/>
      <c r="H32" s="16"/>
      <c r="I32" s="16"/>
      <c r="J32" s="16"/>
      <c r="K32" s="16"/>
      <c r="L32" s="17"/>
    </row>
  </sheetData>
  <mergeCells count="7">
    <mergeCell ref="B3:L3"/>
    <mergeCell ref="B4:L4"/>
    <mergeCell ref="B5:L5"/>
    <mergeCell ref="B6:L6"/>
    <mergeCell ref="D10:K11"/>
    <mergeCell ref="C29:L29"/>
    <mergeCell ref="C30:L30"/>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true"/>
  </sheetPr>
  <dimension ref="A1:I802"/>
  <sheetViews>
    <sheetView showFormulas="false" showGridLines="true" showRowColHeaders="true" showZeros="true" rightToLeft="false" tabSelected="false" showOutlineSymbols="true" defaultGridColor="true" view="pageBreakPreview" topLeftCell="J8" colorId="64" zoomScale="115" zoomScaleNormal="85" zoomScalePageLayoutView="115" workbookViewId="0">
      <selection pane="topLeft" activeCell="J8" activeCellId="0" sqref="J8"/>
    </sheetView>
  </sheetViews>
  <sheetFormatPr defaultRowHeight="15" zeroHeight="false" outlineLevelRow="0" outlineLevelCol="0"/>
  <cols>
    <col collapsed="false" customWidth="true" hidden="false" outlineLevel="0" max="1" min="1" style="284" width="20.86"/>
    <col collapsed="false" customWidth="true" hidden="false" outlineLevel="0" max="2" min="2" style="285" width="61.42"/>
    <col collapsed="false" customWidth="true" hidden="false" outlineLevel="0" max="5" min="3" style="286" width="9.14"/>
    <col collapsed="false" customWidth="true" hidden="false" outlineLevel="0" max="6" min="6" style="287" width="16"/>
    <col collapsed="false" customWidth="true" hidden="false" outlineLevel="0" max="7" min="7" style="288" width="16"/>
    <col collapsed="false" customWidth="true" hidden="false" outlineLevel="0" max="8" min="8" style="286" width="10.29"/>
    <col collapsed="false" customWidth="true" hidden="false" outlineLevel="0" max="9" min="9" style="289" width="14.28"/>
    <col collapsed="false" customWidth="true" hidden="false" outlineLevel="0" max="10" min="10" style="289" width="12.14"/>
    <col collapsed="false" customWidth="true" hidden="false" outlineLevel="0" max="1025" min="11" style="289" width="9.14"/>
  </cols>
  <sheetData>
    <row r="1" customFormat="false" ht="18" hidden="false" customHeight="false" outlineLevel="0" collapsed="false">
      <c r="A1" s="290" t="s">
        <v>3659</v>
      </c>
    </row>
    <row r="2" customFormat="false" ht="42.75" hidden="false" customHeight="false" outlineLevel="0" collapsed="false">
      <c r="B2" s="285" t="s">
        <v>3660</v>
      </c>
    </row>
    <row r="3" customFormat="false" ht="15" hidden="false" customHeight="false" outlineLevel="0" collapsed="false">
      <c r="A3" s="291" t="s">
        <v>28</v>
      </c>
      <c r="B3" s="292" t="s">
        <v>1409</v>
      </c>
      <c r="C3" s="293" t="s">
        <v>30</v>
      </c>
      <c r="D3" s="293" t="s">
        <v>1411</v>
      </c>
      <c r="E3" s="293" t="s">
        <v>3661</v>
      </c>
      <c r="F3" s="294" t="s">
        <v>3662</v>
      </c>
      <c r="G3" s="294" t="s">
        <v>54</v>
      </c>
      <c r="H3" s="293" t="s">
        <v>3663</v>
      </c>
    </row>
    <row r="4" customFormat="false" ht="21" hidden="false" customHeight="false" outlineLevel="0" collapsed="false">
      <c r="A4" s="295" t="n">
        <v>408</v>
      </c>
      <c r="B4" s="296" t="s">
        <v>2811</v>
      </c>
      <c r="C4" s="297" t="s">
        <v>2941</v>
      </c>
      <c r="D4" s="297" t="s">
        <v>31</v>
      </c>
      <c r="E4" s="298" t="n">
        <v>1361.645958</v>
      </c>
      <c r="F4" s="299" t="n">
        <v>0.74</v>
      </c>
      <c r="G4" s="299" t="n">
        <f aca="false">VLOOKUP(A4,'INSUMOS SINAPI'!A:E,5,0)</f>
        <v>0.74</v>
      </c>
      <c r="H4" s="300" t="n">
        <f aca="false">F4-G4</f>
        <v>0</v>
      </c>
      <c r="I4" s="288"/>
    </row>
    <row r="5" customFormat="false" ht="21" hidden="false" customHeight="false" outlineLevel="0" collapsed="false">
      <c r="A5" s="295" t="n">
        <v>392</v>
      </c>
      <c r="B5" s="296" t="s">
        <v>2386</v>
      </c>
      <c r="C5" s="297" t="s">
        <v>2941</v>
      </c>
      <c r="D5" s="297" t="s">
        <v>31</v>
      </c>
      <c r="E5" s="298" t="n">
        <v>7866.0085</v>
      </c>
      <c r="F5" s="299" t="n">
        <v>1.51</v>
      </c>
      <c r="G5" s="299" t="n">
        <f aca="false">VLOOKUP(A5,'INSUMOS SINAPI'!A:E,5,0)</f>
        <v>1.51</v>
      </c>
      <c r="H5" s="300"/>
      <c r="I5" s="288"/>
    </row>
    <row r="6" customFormat="false" ht="21" hidden="false" customHeight="false" outlineLevel="0" collapsed="false">
      <c r="A6" s="295" t="n">
        <v>399</v>
      </c>
      <c r="B6" s="296" t="s">
        <v>1926</v>
      </c>
      <c r="C6" s="297" t="s">
        <v>2941</v>
      </c>
      <c r="D6" s="297" t="s">
        <v>31</v>
      </c>
      <c r="E6" s="298" t="n">
        <v>16</v>
      </c>
      <c r="F6" s="299" t="n">
        <v>6.37</v>
      </c>
      <c r="G6" s="299" t="n">
        <f aca="false">VLOOKUP(A6,'INSUMOS SINAPI'!A:E,5,0)</f>
        <v>6.37</v>
      </c>
      <c r="H6" s="300" t="n">
        <f aca="false">F6-G6</f>
        <v>0</v>
      </c>
      <c r="I6" s="288"/>
    </row>
    <row r="7" customFormat="false" ht="15" hidden="false" customHeight="false" outlineLevel="0" collapsed="false">
      <c r="A7" s="295" t="s">
        <v>2666</v>
      </c>
      <c r="B7" s="296" t="s">
        <v>2667</v>
      </c>
      <c r="C7" s="297" t="s">
        <v>2941</v>
      </c>
      <c r="D7" s="297" t="s">
        <v>31</v>
      </c>
      <c r="E7" s="298" t="n">
        <v>1</v>
      </c>
      <c r="F7" s="299" t="n">
        <v>233.846666666667</v>
      </c>
      <c r="G7" s="299" t="e">
        <f aca="false">VLOOKUP(A7,'INSUMOS SINAPI'!A:E,5,0)</f>
        <v>#N/A</v>
      </c>
      <c r="H7" s="300" t="e">
        <f aca="false">F7-G7</f>
        <v>#N/A</v>
      </c>
      <c r="I7" s="288" t="str">
        <f aca="false">IF(F7=VLOOKUP(A7,04_PESQUISAS!A:G,7,0),"OK","NÃO")</f>
        <v>OK</v>
      </c>
    </row>
    <row r="8" s="57" customFormat="true" ht="15" hidden="false" customHeight="false" outlineLevel="0" collapsed="false">
      <c r="A8" s="295" t="s">
        <v>2735</v>
      </c>
      <c r="B8" s="296" t="s">
        <v>2736</v>
      </c>
      <c r="C8" s="297" t="s">
        <v>2941</v>
      </c>
      <c r="D8" s="297" t="s">
        <v>31</v>
      </c>
      <c r="E8" s="298" t="n">
        <v>3</v>
      </c>
      <c r="F8" s="299" t="n">
        <v>105.66</v>
      </c>
      <c r="G8" s="299" t="e">
        <f aca="false">VLOOKUP(A8,'INSUMOS SINAPI'!A:E,5,0)</f>
        <v>#N/A</v>
      </c>
      <c r="H8" s="300" t="e">
        <f aca="false">F8-G8</f>
        <v>#N/A</v>
      </c>
      <c r="I8" s="288" t="str">
        <f aca="false">IF(F8=VLOOKUP(A8,04_PESQUISAS!A:G,7,0),"OK","NÃO")</f>
        <v>OK</v>
      </c>
    </row>
    <row r="9" s="57" customFormat="true" ht="15" hidden="false" customHeight="false" outlineLevel="0" collapsed="false">
      <c r="A9" s="295" t="n">
        <v>42402</v>
      </c>
      <c r="B9" s="296" t="s">
        <v>1706</v>
      </c>
      <c r="C9" s="297" t="s">
        <v>2941</v>
      </c>
      <c r="D9" s="297" t="s">
        <v>1513</v>
      </c>
      <c r="E9" s="298" t="n">
        <v>17.05</v>
      </c>
      <c r="F9" s="299" t="n">
        <v>7.88</v>
      </c>
      <c r="G9" s="299" t="n">
        <f aca="false">VLOOKUP(A9,'INSUMOS SINAPI'!A:E,5,0)</f>
        <v>7.88</v>
      </c>
      <c r="H9" s="300" t="n">
        <f aca="false">F9-G9</f>
        <v>0</v>
      </c>
      <c r="I9" s="288"/>
    </row>
    <row r="10" s="57" customFormat="true" ht="15" hidden="false" customHeight="false" outlineLevel="0" collapsed="false">
      <c r="A10" s="295" t="n">
        <v>34</v>
      </c>
      <c r="B10" s="296" t="s">
        <v>1645</v>
      </c>
      <c r="C10" s="297" t="s">
        <v>2941</v>
      </c>
      <c r="D10" s="297" t="s">
        <v>1513</v>
      </c>
      <c r="E10" s="298" t="n">
        <v>14634.1512</v>
      </c>
      <c r="F10" s="299" t="n">
        <v>7.68</v>
      </c>
      <c r="G10" s="299" t="n">
        <f aca="false">VLOOKUP(A10,'INSUMOS SINAPI'!A:E,5,0)</f>
        <v>7.68</v>
      </c>
      <c r="H10" s="300" t="n">
        <f aca="false">F10-G10</f>
        <v>0</v>
      </c>
      <c r="I10" s="288"/>
    </row>
    <row r="11" s="57" customFormat="true" ht="15" hidden="false" customHeight="false" outlineLevel="0" collapsed="false">
      <c r="A11" s="295" t="n">
        <v>43055</v>
      </c>
      <c r="B11" s="296" t="s">
        <v>1618</v>
      </c>
      <c r="C11" s="297" t="s">
        <v>2941</v>
      </c>
      <c r="D11" s="297" t="s">
        <v>1513</v>
      </c>
      <c r="E11" s="298" t="n">
        <v>13063.910568</v>
      </c>
      <c r="F11" s="299" t="n">
        <v>6.65</v>
      </c>
      <c r="G11" s="299" t="n">
        <f aca="false">VLOOKUP(A11,'INSUMOS SINAPI'!A:E,5,0)</f>
        <v>6.65</v>
      </c>
      <c r="H11" s="300" t="n">
        <f aca="false">F11-G11</f>
        <v>0</v>
      </c>
      <c r="I11" s="288"/>
    </row>
    <row r="12" s="57" customFormat="true" ht="15" hidden="false" customHeight="false" outlineLevel="0" collapsed="false">
      <c r="A12" s="295" t="n">
        <v>43056</v>
      </c>
      <c r="B12" s="296" t="s">
        <v>1671</v>
      </c>
      <c r="C12" s="297" t="s">
        <v>2941</v>
      </c>
      <c r="D12" s="297" t="s">
        <v>1513</v>
      </c>
      <c r="E12" s="298" t="n">
        <v>912.114</v>
      </c>
      <c r="F12" s="299" t="n">
        <v>7.67</v>
      </c>
      <c r="G12" s="299" t="n">
        <f aca="false">VLOOKUP(A12,'INSUMOS SINAPI'!A:E,5,0)</f>
        <v>7.67</v>
      </c>
      <c r="H12" s="300" t="n">
        <f aca="false">F12-G12</f>
        <v>0</v>
      </c>
      <c r="I12" s="288"/>
    </row>
    <row r="13" s="57" customFormat="true" ht="15" hidden="false" customHeight="false" outlineLevel="0" collapsed="false">
      <c r="A13" s="295" t="n">
        <v>32</v>
      </c>
      <c r="B13" s="296" t="s">
        <v>1619</v>
      </c>
      <c r="C13" s="297" t="s">
        <v>2941</v>
      </c>
      <c r="D13" s="297" t="s">
        <v>1513</v>
      </c>
      <c r="E13" s="298" t="n">
        <v>2737.457933</v>
      </c>
      <c r="F13" s="299" t="n">
        <v>8.1</v>
      </c>
      <c r="G13" s="299" t="n">
        <f aca="false">VLOOKUP(A13,'INSUMOS SINAPI'!A:E,5,0)</f>
        <v>8.1</v>
      </c>
      <c r="H13" s="300" t="n">
        <f aca="false">F13-G13</f>
        <v>0</v>
      </c>
      <c r="I13" s="288"/>
    </row>
    <row r="14" s="57" customFormat="true" ht="15" hidden="false" customHeight="false" outlineLevel="0" collapsed="false">
      <c r="A14" s="295" t="n">
        <v>33</v>
      </c>
      <c r="B14" s="296" t="s">
        <v>1633</v>
      </c>
      <c r="C14" s="297" t="s">
        <v>2941</v>
      </c>
      <c r="D14" s="297" t="s">
        <v>1513</v>
      </c>
      <c r="E14" s="298" t="n">
        <v>3436.502502</v>
      </c>
      <c r="F14" s="299" t="n">
        <v>8.14</v>
      </c>
      <c r="G14" s="299" t="n">
        <f aca="false">VLOOKUP(A14,'INSUMOS SINAPI'!A:E,5,0)</f>
        <v>8.14</v>
      </c>
      <c r="H14" s="300" t="n">
        <f aca="false">F14-G14</f>
        <v>0</v>
      </c>
      <c r="I14" s="288"/>
    </row>
    <row r="15" s="57" customFormat="true" ht="15" hidden="false" customHeight="false" outlineLevel="0" collapsed="false">
      <c r="A15" s="295" t="n">
        <v>43061</v>
      </c>
      <c r="B15" s="296" t="s">
        <v>2677</v>
      </c>
      <c r="C15" s="297" t="s">
        <v>2941</v>
      </c>
      <c r="D15" s="297" t="s">
        <v>1513</v>
      </c>
      <c r="E15" s="298" t="n">
        <v>0.84</v>
      </c>
      <c r="F15" s="299" t="n">
        <v>7.61</v>
      </c>
      <c r="G15" s="299" t="n">
        <f aca="false">VLOOKUP(A15,'INSUMOS SINAPI'!A:E,5,0)</f>
        <v>7.61</v>
      </c>
      <c r="H15" s="300" t="n">
        <f aca="false">F15-G15</f>
        <v>0</v>
      </c>
      <c r="I15" s="288"/>
    </row>
    <row r="16" s="57" customFormat="true" ht="15" hidden="false" customHeight="false" outlineLevel="0" collapsed="false">
      <c r="A16" s="295" t="n">
        <v>43059</v>
      </c>
      <c r="B16" s="296" t="s">
        <v>1630</v>
      </c>
      <c r="C16" s="297" t="s">
        <v>2941</v>
      </c>
      <c r="D16" s="297" t="s">
        <v>1513</v>
      </c>
      <c r="E16" s="298" t="n">
        <v>5555.2101998771</v>
      </c>
      <c r="F16" s="299" t="n">
        <v>7.26</v>
      </c>
      <c r="G16" s="299" t="n">
        <f aca="false">VLOOKUP(A16,'INSUMOS SINAPI'!A:E,5,0)</f>
        <v>7.26</v>
      </c>
      <c r="H16" s="300" t="n">
        <f aca="false">F16-G16</f>
        <v>0</v>
      </c>
      <c r="I16" s="288"/>
    </row>
    <row r="17" s="57" customFormat="true" ht="21" hidden="false" customHeight="false" outlineLevel="0" collapsed="false">
      <c r="A17" s="295" t="n">
        <v>10899</v>
      </c>
      <c r="B17" s="296" t="s">
        <v>2670</v>
      </c>
      <c r="C17" s="297" t="s">
        <v>2941</v>
      </c>
      <c r="D17" s="297" t="s">
        <v>31</v>
      </c>
      <c r="E17" s="298" t="n">
        <v>4</v>
      </c>
      <c r="F17" s="299" t="n">
        <v>144.89</v>
      </c>
      <c r="G17" s="299" t="n">
        <f aca="false">VLOOKUP(A17,'INSUMOS SINAPI'!A:E,5,0)</f>
        <v>0</v>
      </c>
      <c r="H17" s="300" t="n">
        <f aca="false">F17-G17</f>
        <v>144.89</v>
      </c>
      <c r="I17" s="288"/>
    </row>
    <row r="18" customFormat="false" ht="21" hidden="false" customHeight="false" outlineLevel="0" collapsed="false">
      <c r="A18" s="295" t="n">
        <v>65</v>
      </c>
      <c r="B18" s="296" t="s">
        <v>2102</v>
      </c>
      <c r="C18" s="297" t="s">
        <v>2941</v>
      </c>
      <c r="D18" s="297" t="s">
        <v>31</v>
      </c>
      <c r="E18" s="298" t="n">
        <v>69</v>
      </c>
      <c r="F18" s="299" t="n">
        <v>0.89</v>
      </c>
      <c r="G18" s="299" t="n">
        <f aca="false">VLOOKUP(A18,'INSUMOS SINAPI'!A:E,5,0)</f>
        <v>0.89</v>
      </c>
      <c r="H18" s="300" t="n">
        <f aca="false">F18-G18</f>
        <v>0</v>
      </c>
      <c r="I18" s="288"/>
    </row>
    <row r="19" customFormat="false" ht="21" hidden="false" customHeight="false" outlineLevel="0" collapsed="false">
      <c r="A19" s="295" t="n">
        <v>108</v>
      </c>
      <c r="B19" s="296" t="s">
        <v>2295</v>
      </c>
      <c r="C19" s="297" t="s">
        <v>2941</v>
      </c>
      <c r="D19" s="297" t="s">
        <v>31</v>
      </c>
      <c r="E19" s="298" t="n">
        <v>2</v>
      </c>
      <c r="F19" s="299" t="n">
        <v>1.8</v>
      </c>
      <c r="G19" s="299" t="n">
        <f aca="false">VLOOKUP(A19,'INSUMOS SINAPI'!A:E,5,0)</f>
        <v>1.8</v>
      </c>
      <c r="H19" s="300" t="n">
        <f aca="false">F19-G19</f>
        <v>0</v>
      </c>
      <c r="I19" s="288"/>
    </row>
    <row r="20" customFormat="false" ht="21" hidden="false" customHeight="false" outlineLevel="0" collapsed="false">
      <c r="A20" s="295" t="n">
        <v>111</v>
      </c>
      <c r="B20" s="296" t="s">
        <v>2299</v>
      </c>
      <c r="C20" s="297" t="s">
        <v>2941</v>
      </c>
      <c r="D20" s="297" t="s">
        <v>31</v>
      </c>
      <c r="E20" s="298" t="n">
        <v>8</v>
      </c>
      <c r="F20" s="299" t="n">
        <v>8.45</v>
      </c>
      <c r="G20" s="299" t="n">
        <f aca="false">VLOOKUP(A20,'INSUMOS SINAPI'!A:E,5,0)</f>
        <v>8.45</v>
      </c>
      <c r="H20" s="300" t="n">
        <f aca="false">F20-G20</f>
        <v>0</v>
      </c>
      <c r="I20" s="288"/>
    </row>
    <row r="21" customFormat="false" ht="21" hidden="false" customHeight="false" outlineLevel="0" collapsed="false">
      <c r="A21" s="295" t="n">
        <v>112</v>
      </c>
      <c r="B21" s="296" t="s">
        <v>2297</v>
      </c>
      <c r="C21" s="297" t="s">
        <v>2941</v>
      </c>
      <c r="D21" s="297" t="s">
        <v>31</v>
      </c>
      <c r="E21" s="298" t="n">
        <v>4</v>
      </c>
      <c r="F21" s="299" t="n">
        <v>4.48</v>
      </c>
      <c r="G21" s="299" t="n">
        <f aca="false">VLOOKUP(A21,'INSUMOS SINAPI'!A:E,5,0)</f>
        <v>4.48</v>
      </c>
      <c r="H21" s="300" t="n">
        <f aca="false">F21-G21</f>
        <v>0</v>
      </c>
      <c r="I21" s="288"/>
    </row>
    <row r="22" customFormat="false" ht="21" hidden="false" customHeight="false" outlineLevel="0" collapsed="false">
      <c r="A22" s="295" t="n">
        <v>96</v>
      </c>
      <c r="B22" s="296" t="s">
        <v>2100</v>
      </c>
      <c r="C22" s="297" t="s">
        <v>2941</v>
      </c>
      <c r="D22" s="297" t="s">
        <v>31</v>
      </c>
      <c r="E22" s="298" t="n">
        <v>2</v>
      </c>
      <c r="F22" s="299" t="n">
        <v>12.37</v>
      </c>
      <c r="G22" s="299" t="n">
        <f aca="false">VLOOKUP(A22,'INSUMOS SINAPI'!A:E,5,0)</f>
        <v>12.37</v>
      </c>
      <c r="H22" s="300" t="n">
        <f aca="false">F22-G22</f>
        <v>0</v>
      </c>
      <c r="I22" s="288"/>
    </row>
    <row r="23" customFormat="false" ht="21" hidden="false" customHeight="false" outlineLevel="0" collapsed="false">
      <c r="A23" s="295" t="n">
        <v>97</v>
      </c>
      <c r="B23" s="296" t="s">
        <v>2288</v>
      </c>
      <c r="C23" s="297" t="s">
        <v>2941</v>
      </c>
      <c r="D23" s="297" t="s">
        <v>31</v>
      </c>
      <c r="E23" s="298" t="n">
        <v>3</v>
      </c>
      <c r="F23" s="299" t="n">
        <v>18.61</v>
      </c>
      <c r="G23" s="299" t="n">
        <f aca="false">VLOOKUP(A23,'INSUMOS SINAPI'!A:E,5,0)</f>
        <v>18.61</v>
      </c>
      <c r="H23" s="300" t="n">
        <f aca="false">F23-G23</f>
        <v>0</v>
      </c>
      <c r="I23" s="288"/>
    </row>
    <row r="24" customFormat="false" ht="21" hidden="false" customHeight="false" outlineLevel="0" collapsed="false">
      <c r="A24" s="295" t="n">
        <v>99</v>
      </c>
      <c r="B24" s="296" t="s">
        <v>2290</v>
      </c>
      <c r="C24" s="297" t="s">
        <v>2941</v>
      </c>
      <c r="D24" s="297" t="s">
        <v>31</v>
      </c>
      <c r="E24" s="298" t="n">
        <v>2</v>
      </c>
      <c r="F24" s="299" t="n">
        <v>26.33</v>
      </c>
      <c r="G24" s="299" t="n">
        <f aca="false">VLOOKUP(A24,'INSUMOS SINAPI'!A:E,5,0)</f>
        <v>26.33</v>
      </c>
      <c r="H24" s="300" t="n">
        <f aca="false">F24-G24</f>
        <v>0</v>
      </c>
      <c r="I24" s="288"/>
    </row>
    <row r="25" customFormat="false" ht="21" hidden="false" customHeight="false" outlineLevel="0" collapsed="false">
      <c r="A25" s="295" t="n">
        <v>83</v>
      </c>
      <c r="B25" s="296" t="s">
        <v>2292</v>
      </c>
      <c r="C25" s="297" t="s">
        <v>2941</v>
      </c>
      <c r="D25" s="297" t="s">
        <v>31</v>
      </c>
      <c r="E25" s="298" t="n">
        <v>3</v>
      </c>
      <c r="F25" s="299" t="n">
        <v>214.43</v>
      </c>
      <c r="G25" s="299" t="n">
        <f aca="false">VLOOKUP(A25,'INSUMOS SINAPI'!A:E,5,0)</f>
        <v>214.43</v>
      </c>
      <c r="H25" s="300" t="n">
        <f aca="false">F25-G25</f>
        <v>0</v>
      </c>
      <c r="I25" s="288"/>
    </row>
    <row r="26" customFormat="false" ht="21" hidden="false" customHeight="false" outlineLevel="0" collapsed="false">
      <c r="A26" s="295" t="n">
        <v>131</v>
      </c>
      <c r="B26" s="296" t="s">
        <v>1751</v>
      </c>
      <c r="C26" s="297" t="s">
        <v>2941</v>
      </c>
      <c r="D26" s="297" t="s">
        <v>1513</v>
      </c>
      <c r="E26" s="298" t="n">
        <v>14.898004</v>
      </c>
      <c r="F26" s="299" t="n">
        <v>43.03</v>
      </c>
      <c r="G26" s="299" t="n">
        <f aca="false">VLOOKUP(A26,'INSUMOS SINAPI'!A:E,5,0)</f>
        <v>43.03</v>
      </c>
      <c r="H26" s="300" t="n">
        <f aca="false">F26-G26</f>
        <v>0</v>
      </c>
      <c r="I26" s="288"/>
    </row>
    <row r="27" customFormat="false" ht="15" hidden="false" customHeight="false" outlineLevel="0" collapsed="false">
      <c r="A27" s="295" t="n">
        <v>122</v>
      </c>
      <c r="B27" s="296" t="s">
        <v>2097</v>
      </c>
      <c r="C27" s="297" t="s">
        <v>2941</v>
      </c>
      <c r="D27" s="297" t="s">
        <v>31</v>
      </c>
      <c r="E27" s="298" t="n">
        <v>19.9457</v>
      </c>
      <c r="F27" s="299" t="n">
        <v>63.09</v>
      </c>
      <c r="G27" s="299" t="n">
        <f aca="false">VLOOKUP(A27,'INSUMOS SINAPI'!A:E,5,0)</f>
        <v>63.09</v>
      </c>
      <c r="H27" s="300" t="n">
        <f aca="false">F27-G27</f>
        <v>0</v>
      </c>
      <c r="I27" s="288"/>
    </row>
    <row r="28" customFormat="false" ht="15" hidden="false" customHeight="false" outlineLevel="0" collapsed="false">
      <c r="A28" s="295" t="n">
        <v>20080</v>
      </c>
      <c r="B28" s="296" t="s">
        <v>2092</v>
      </c>
      <c r="C28" s="297" t="s">
        <v>2941</v>
      </c>
      <c r="D28" s="297" t="s">
        <v>31</v>
      </c>
      <c r="E28" s="298" t="n">
        <v>0.9028</v>
      </c>
      <c r="F28" s="299" t="n">
        <v>20.59</v>
      </c>
      <c r="G28" s="299" t="n">
        <f aca="false">VLOOKUP(A28,'INSUMOS SINAPI'!A:E,5,0)</f>
        <v>20.59</v>
      </c>
      <c r="H28" s="300" t="n">
        <f aca="false">F28-G28</f>
        <v>0</v>
      </c>
      <c r="I28" s="288"/>
    </row>
    <row r="29" customFormat="false" ht="21" hidden="false" customHeight="false" outlineLevel="0" collapsed="false">
      <c r="A29" s="295" t="n">
        <v>7334</v>
      </c>
      <c r="B29" s="296" t="s">
        <v>1916</v>
      </c>
      <c r="C29" s="297" t="s">
        <v>2941</v>
      </c>
      <c r="D29" s="297" t="s">
        <v>1452</v>
      </c>
      <c r="E29" s="298" t="n">
        <v>330.5022</v>
      </c>
      <c r="F29" s="299" t="n">
        <v>13.5</v>
      </c>
      <c r="G29" s="299" t="n">
        <f aca="false">VLOOKUP(A29,'INSUMOS SINAPI'!A:E,5,0)</f>
        <v>13.5</v>
      </c>
      <c r="H29" s="300" t="n">
        <f aca="false">F29-G29</f>
        <v>0</v>
      </c>
      <c r="I29" s="288"/>
    </row>
    <row r="30" customFormat="false" ht="21" hidden="false" customHeight="false" outlineLevel="0" collapsed="false">
      <c r="A30" s="295" t="n">
        <v>123</v>
      </c>
      <c r="B30" s="296" t="s">
        <v>2208</v>
      </c>
      <c r="C30" s="297" t="s">
        <v>2941</v>
      </c>
      <c r="D30" s="297" t="s">
        <v>1452</v>
      </c>
      <c r="E30" s="298" t="n">
        <v>0.567648</v>
      </c>
      <c r="F30" s="299" t="n">
        <v>6.79</v>
      </c>
      <c r="G30" s="299" t="n">
        <f aca="false">VLOOKUP(A30,'INSUMOS SINAPI'!A:E,5,0)</f>
        <v>6.79</v>
      </c>
      <c r="H30" s="300" t="n">
        <f aca="false">F30-G30</f>
        <v>0</v>
      </c>
      <c r="I30" s="288"/>
    </row>
    <row r="31" customFormat="false" ht="21" hidden="false" customHeight="false" outlineLevel="0" collapsed="false">
      <c r="A31" s="295" t="n">
        <v>43617</v>
      </c>
      <c r="B31" s="296" t="s">
        <v>1825</v>
      </c>
      <c r="C31" s="297" t="s">
        <v>2941</v>
      </c>
      <c r="D31" s="297" t="s">
        <v>1452</v>
      </c>
      <c r="E31" s="298" t="n">
        <v>0.29005074</v>
      </c>
      <c r="F31" s="299" t="n">
        <v>7.52</v>
      </c>
      <c r="G31" s="299" t="n">
        <f aca="false">VLOOKUP(A31,'INSUMOS SINAPI'!A:E,5,0)</f>
        <v>7.52</v>
      </c>
      <c r="H31" s="300" t="n">
        <f aca="false">F31-G31</f>
        <v>0</v>
      </c>
      <c r="I31" s="288"/>
    </row>
    <row r="32" customFormat="false" ht="21" hidden="false" customHeight="false" outlineLevel="0" collapsed="false">
      <c r="A32" s="295" t="n">
        <v>301</v>
      </c>
      <c r="B32" s="296" t="s">
        <v>2125</v>
      </c>
      <c r="C32" s="297" t="s">
        <v>2941</v>
      </c>
      <c r="D32" s="297" t="s">
        <v>31</v>
      </c>
      <c r="E32" s="298" t="n">
        <v>274</v>
      </c>
      <c r="F32" s="299" t="n">
        <v>3</v>
      </c>
      <c r="G32" s="299" t="n">
        <f aca="false">VLOOKUP(A32,'INSUMOS SINAPI'!A:E,5,0)</f>
        <v>3</v>
      </c>
      <c r="H32" s="300" t="n">
        <f aca="false">F32-G32</f>
        <v>0</v>
      </c>
      <c r="I32" s="288"/>
    </row>
    <row r="33" customFormat="false" ht="15" hidden="false" customHeight="false" outlineLevel="0" collapsed="false">
      <c r="A33" s="295" t="n">
        <v>296</v>
      </c>
      <c r="B33" s="296" t="s">
        <v>2121</v>
      </c>
      <c r="C33" s="297" t="s">
        <v>2941</v>
      </c>
      <c r="D33" s="297" t="s">
        <v>31</v>
      </c>
      <c r="E33" s="298" t="n">
        <v>540</v>
      </c>
      <c r="F33" s="299" t="n">
        <v>1.69</v>
      </c>
      <c r="G33" s="299" t="n">
        <f aca="false">VLOOKUP(A33,'INSUMOS SINAPI'!A:E,5,0)</f>
        <v>1.69</v>
      </c>
      <c r="H33" s="300" t="n">
        <f aca="false">F33-G33</f>
        <v>0</v>
      </c>
      <c r="I33" s="288"/>
    </row>
    <row r="34" customFormat="false" ht="15" hidden="false" customHeight="false" outlineLevel="0" collapsed="false">
      <c r="A34" s="295" t="n">
        <v>297</v>
      </c>
      <c r="B34" s="296" t="s">
        <v>2130</v>
      </c>
      <c r="C34" s="297" t="s">
        <v>2941</v>
      </c>
      <c r="D34" s="297" t="s">
        <v>31</v>
      </c>
      <c r="E34" s="298" t="n">
        <v>117</v>
      </c>
      <c r="F34" s="299" t="n">
        <v>2.49</v>
      </c>
      <c r="G34" s="299" t="n">
        <f aca="false">VLOOKUP(A34,'INSUMOS SINAPI'!A:E,5,0)</f>
        <v>2.49</v>
      </c>
      <c r="H34" s="300" t="n">
        <f aca="false">F34-G34</f>
        <v>0</v>
      </c>
      <c r="I34" s="288"/>
    </row>
    <row r="35" customFormat="false" ht="21" hidden="false" customHeight="false" outlineLevel="0" collapsed="false">
      <c r="A35" s="295" t="n">
        <v>299</v>
      </c>
      <c r="B35" s="296" t="s">
        <v>2224</v>
      </c>
      <c r="C35" s="297" t="s">
        <v>2941</v>
      </c>
      <c r="D35" s="297" t="s">
        <v>31</v>
      </c>
      <c r="E35" s="298" t="n">
        <v>264</v>
      </c>
      <c r="F35" s="299" t="n">
        <v>3.52</v>
      </c>
      <c r="G35" s="299" t="n">
        <f aca="false">VLOOKUP(A35,'INSUMOS SINAPI'!A:E,5,0)</f>
        <v>3.52</v>
      </c>
      <c r="H35" s="300" t="n">
        <f aca="false">F35-G35</f>
        <v>0</v>
      </c>
      <c r="I35" s="288"/>
    </row>
    <row r="36" customFormat="false" ht="21" hidden="false" customHeight="false" outlineLevel="0" collapsed="false">
      <c r="A36" s="295" t="n">
        <v>300</v>
      </c>
      <c r="B36" s="296" t="s">
        <v>2227</v>
      </c>
      <c r="C36" s="297" t="s">
        <v>2941</v>
      </c>
      <c r="D36" s="297" t="s">
        <v>31</v>
      </c>
      <c r="E36" s="298" t="n">
        <v>215</v>
      </c>
      <c r="F36" s="299" t="n">
        <v>12.18</v>
      </c>
      <c r="G36" s="299" t="n">
        <f aca="false">VLOOKUP(A36,'INSUMOS SINAPI'!A:E,5,0)</f>
        <v>12.18</v>
      </c>
      <c r="H36" s="300" t="n">
        <f aca="false">F36-G36</f>
        <v>0</v>
      </c>
      <c r="I36" s="288"/>
    </row>
    <row r="37" customFormat="false" ht="21" hidden="false" customHeight="false" outlineLevel="0" collapsed="false">
      <c r="A37" s="295" t="n">
        <v>20085</v>
      </c>
      <c r="B37" s="296" t="s">
        <v>2263</v>
      </c>
      <c r="C37" s="297" t="s">
        <v>2941</v>
      </c>
      <c r="D37" s="297" t="s">
        <v>31</v>
      </c>
      <c r="E37" s="298" t="n">
        <v>181</v>
      </c>
      <c r="F37" s="299" t="n">
        <v>2.22</v>
      </c>
      <c r="G37" s="299" t="n">
        <f aca="false">VLOOKUP(A37,'INSUMOS SINAPI'!A:E,5,0)</f>
        <v>2.22</v>
      </c>
      <c r="H37" s="300" t="n">
        <f aca="false">F37-G37</f>
        <v>0</v>
      </c>
      <c r="I37" s="288"/>
    </row>
    <row r="38" customFormat="false" ht="21" hidden="false" customHeight="false" outlineLevel="0" collapsed="false">
      <c r="A38" s="295" t="n">
        <v>298</v>
      </c>
      <c r="B38" s="296" t="s">
        <v>2230</v>
      </c>
      <c r="C38" s="297" t="s">
        <v>2941</v>
      </c>
      <c r="D38" s="297" t="s">
        <v>31</v>
      </c>
      <c r="E38" s="298" t="n">
        <v>9</v>
      </c>
      <c r="F38" s="299" t="n">
        <v>2.7</v>
      </c>
      <c r="G38" s="299" t="n">
        <f aca="false">VLOOKUP(A38,'INSUMOS SINAPI'!A:E,5,0)</f>
        <v>2.7</v>
      </c>
      <c r="H38" s="300" t="n">
        <f aca="false">F38-G38</f>
        <v>0</v>
      </c>
      <c r="I38" s="288"/>
    </row>
    <row r="39" s="57" customFormat="true" ht="21" hidden="false" customHeight="false" outlineLevel="0" collapsed="false">
      <c r="A39" s="295" t="n">
        <v>303</v>
      </c>
      <c r="B39" s="296" t="s">
        <v>2170</v>
      </c>
      <c r="C39" s="297" t="s">
        <v>2941</v>
      </c>
      <c r="D39" s="297" t="s">
        <v>31</v>
      </c>
      <c r="E39" s="298" t="n">
        <v>5</v>
      </c>
      <c r="F39" s="299" t="n">
        <v>3.32</v>
      </c>
      <c r="G39" s="299" t="n">
        <f aca="false">VLOOKUP(A39,'INSUMOS SINAPI'!A:E,5,0)</f>
        <v>3.32</v>
      </c>
      <c r="H39" s="300" t="n">
        <f aca="false">F39-G39</f>
        <v>0</v>
      </c>
      <c r="I39" s="288"/>
    </row>
    <row r="40" s="57" customFormat="true" ht="21" hidden="false" customHeight="false" outlineLevel="0" collapsed="false">
      <c r="A40" s="295" t="n">
        <v>6138</v>
      </c>
      <c r="B40" s="296" t="s">
        <v>2013</v>
      </c>
      <c r="C40" s="297" t="s">
        <v>2941</v>
      </c>
      <c r="D40" s="297" t="s">
        <v>31</v>
      </c>
      <c r="E40" s="298" t="n">
        <v>28</v>
      </c>
      <c r="F40" s="299" t="n">
        <v>12.26</v>
      </c>
      <c r="G40" s="299" t="n">
        <f aca="false">VLOOKUP(A40,'INSUMOS SINAPI'!A:E,5,0)</f>
        <v>12.26</v>
      </c>
      <c r="H40" s="300" t="n">
        <f aca="false">F40-G40</f>
        <v>0</v>
      </c>
      <c r="I40" s="288"/>
    </row>
    <row r="41" s="57" customFormat="true" ht="31.5" hidden="false" customHeight="false" outlineLevel="0" collapsed="false">
      <c r="A41" s="295" t="n">
        <v>43446</v>
      </c>
      <c r="B41" s="296" t="s">
        <v>2209</v>
      </c>
      <c r="C41" s="297" t="s">
        <v>2941</v>
      </c>
      <c r="D41" s="297" t="s">
        <v>31</v>
      </c>
      <c r="E41" s="298" t="n">
        <v>10</v>
      </c>
      <c r="F41" s="299" t="n">
        <v>584.36</v>
      </c>
      <c r="G41" s="299" t="n">
        <f aca="false">VLOOKUP(A41,'INSUMOS SINAPI'!A:E,5,0)</f>
        <v>0</v>
      </c>
      <c r="H41" s="300" t="n">
        <f aca="false">F41-G41</f>
        <v>584.36</v>
      </c>
      <c r="I41" s="288"/>
    </row>
    <row r="42" s="57" customFormat="true" ht="21" hidden="false" customHeight="false" outlineLevel="0" collapsed="false">
      <c r="A42" s="295" t="n">
        <v>43130</v>
      </c>
      <c r="B42" s="296" t="s">
        <v>1603</v>
      </c>
      <c r="C42" s="297" t="s">
        <v>2941</v>
      </c>
      <c r="D42" s="297" t="s">
        <v>1513</v>
      </c>
      <c r="E42" s="298" t="n">
        <v>9.043376</v>
      </c>
      <c r="F42" s="299" t="n">
        <v>28</v>
      </c>
      <c r="G42" s="299" t="n">
        <f aca="false">VLOOKUP(A42,'INSUMOS SINAPI'!A:E,5,0)</f>
        <v>28</v>
      </c>
      <c r="H42" s="300" t="n">
        <f aca="false">F42-G42</f>
        <v>0</v>
      </c>
      <c r="I42" s="288"/>
    </row>
    <row r="43" s="57" customFormat="true" ht="15" hidden="false" customHeight="false" outlineLevel="0" collapsed="false">
      <c r="A43" s="295" t="n">
        <v>345</v>
      </c>
      <c r="B43" s="296" t="s">
        <v>2004</v>
      </c>
      <c r="C43" s="297" t="s">
        <v>2941</v>
      </c>
      <c r="D43" s="297" t="s">
        <v>1513</v>
      </c>
      <c r="E43" s="298" t="n">
        <v>30.378264</v>
      </c>
      <c r="F43" s="299" t="n">
        <v>39.94</v>
      </c>
      <c r="G43" s="299" t="n">
        <f aca="false">VLOOKUP(A43,'INSUMOS SINAPI'!A:E,5,0)</f>
        <v>39.94</v>
      </c>
      <c r="H43" s="300" t="n">
        <f aca="false">F43-G43</f>
        <v>0</v>
      </c>
      <c r="I43" s="288"/>
    </row>
    <row r="44" s="57" customFormat="true" ht="21" hidden="false" customHeight="false" outlineLevel="0" collapsed="false">
      <c r="A44" s="295" t="n">
        <v>43132</v>
      </c>
      <c r="B44" s="296" t="s">
        <v>1565</v>
      </c>
      <c r="C44" s="297" t="s">
        <v>2941</v>
      </c>
      <c r="D44" s="297" t="s">
        <v>1513</v>
      </c>
      <c r="E44" s="298" t="n">
        <v>955.98042583825</v>
      </c>
      <c r="F44" s="299" t="n">
        <v>28</v>
      </c>
      <c r="G44" s="299" t="n">
        <f aca="false">VLOOKUP(A44,'INSUMOS SINAPI'!A:E,5,0)</f>
        <v>28</v>
      </c>
      <c r="H44" s="300" t="n">
        <f aca="false">F44-G44</f>
        <v>0</v>
      </c>
      <c r="I44" s="288"/>
    </row>
    <row r="45" s="57" customFormat="true" ht="15" hidden="false" customHeight="false" outlineLevel="0" collapsed="false">
      <c r="A45" s="295" t="s">
        <v>2593</v>
      </c>
      <c r="B45" s="296" t="s">
        <v>2594</v>
      </c>
      <c r="C45" s="297" t="s">
        <v>2941</v>
      </c>
      <c r="D45" s="297" t="s">
        <v>31</v>
      </c>
      <c r="E45" s="298" t="n">
        <v>11</v>
      </c>
      <c r="F45" s="299" t="n">
        <v>523.4</v>
      </c>
      <c r="G45" s="299" t="e">
        <f aca="false">VLOOKUP(A45,'INSUMOS SINAPI'!A:E,5,0)</f>
        <v>#N/A</v>
      </c>
      <c r="H45" s="300" t="e">
        <f aca="false">F45-G45</f>
        <v>#N/A</v>
      </c>
      <c r="I45" s="288" t="str">
        <f aca="false">IF(F45=VLOOKUP(A45,04_PESQUISAS!A:G,7,0),"OK","NÃO")</f>
        <v>OK</v>
      </c>
    </row>
    <row r="46" s="57" customFormat="true" ht="21" hidden="false" customHeight="false" outlineLevel="0" collapsed="false">
      <c r="A46" s="295" t="n">
        <v>367</v>
      </c>
      <c r="B46" s="296" t="s">
        <v>1962</v>
      </c>
      <c r="C46" s="297" t="s">
        <v>2941</v>
      </c>
      <c r="D46" s="297" t="s">
        <v>1442</v>
      </c>
      <c r="E46" s="298" t="n">
        <v>23.96347735</v>
      </c>
      <c r="F46" s="299" t="n">
        <v>151.96</v>
      </c>
      <c r="G46" s="299" t="n">
        <f aca="false">VLOOKUP(A46,'INSUMOS SINAPI'!A:E,5,0)</f>
        <v>151.96</v>
      </c>
      <c r="H46" s="300" t="n">
        <f aca="false">F46-G46</f>
        <v>0</v>
      </c>
      <c r="I46" s="288"/>
    </row>
    <row r="47" s="57" customFormat="true" ht="21" hidden="false" customHeight="false" outlineLevel="0" collapsed="false">
      <c r="A47" s="295" t="n">
        <v>370</v>
      </c>
      <c r="B47" s="296" t="s">
        <v>1527</v>
      </c>
      <c r="C47" s="297" t="s">
        <v>2941</v>
      </c>
      <c r="D47" s="297" t="s">
        <v>1442</v>
      </c>
      <c r="E47" s="298" t="n">
        <v>390.78558589522</v>
      </c>
      <c r="F47" s="299" t="n">
        <v>150</v>
      </c>
      <c r="G47" s="299" t="n">
        <f aca="false">VLOOKUP(A47,'INSUMOS SINAPI'!A:E,5,0)</f>
        <v>150</v>
      </c>
      <c r="H47" s="300" t="n">
        <f aca="false">F47-G47</f>
        <v>0</v>
      </c>
      <c r="I47" s="288"/>
    </row>
    <row r="48" s="57" customFormat="true" ht="15" hidden="false" customHeight="false" outlineLevel="0" collapsed="false">
      <c r="A48" s="295" t="n">
        <v>1381</v>
      </c>
      <c r="B48" s="296" t="s">
        <v>1942</v>
      </c>
      <c r="C48" s="297" t="s">
        <v>2941</v>
      </c>
      <c r="D48" s="297" t="s">
        <v>1513</v>
      </c>
      <c r="E48" s="298" t="n">
        <v>6015.443225</v>
      </c>
      <c r="F48" s="299" t="n">
        <v>0.8</v>
      </c>
      <c r="G48" s="299" t="n">
        <f aca="false">VLOOKUP(A48,'INSUMOS SINAPI'!A:E,5,0)</f>
        <v>0.8</v>
      </c>
      <c r="H48" s="300" t="n">
        <f aca="false">F48-G48</f>
        <v>0</v>
      </c>
      <c r="I48" s="288"/>
    </row>
    <row r="49" customFormat="false" ht="15" hidden="false" customHeight="false" outlineLevel="0" collapsed="false">
      <c r="A49" s="295" t="n">
        <v>37595</v>
      </c>
      <c r="B49" s="296" t="s">
        <v>1822</v>
      </c>
      <c r="C49" s="297" t="s">
        <v>2941</v>
      </c>
      <c r="D49" s="297" t="s">
        <v>1513</v>
      </c>
      <c r="E49" s="298" t="n">
        <v>12782.79193684</v>
      </c>
      <c r="F49" s="299" t="n">
        <v>2.46</v>
      </c>
      <c r="G49" s="299" t="n">
        <f aca="false">VLOOKUP(A49,'INSUMOS SINAPI'!A:E,5,0)</f>
        <v>2.46</v>
      </c>
      <c r="H49" s="300" t="n">
        <f aca="false">F49-G49</f>
        <v>0</v>
      </c>
      <c r="I49" s="288"/>
    </row>
    <row r="50" customFormat="false" ht="15" hidden="false" customHeight="false" outlineLevel="0" collapsed="false">
      <c r="A50" s="295" t="n">
        <v>37596</v>
      </c>
      <c r="B50" s="296" t="s">
        <v>1781</v>
      </c>
      <c r="C50" s="297" t="s">
        <v>2941</v>
      </c>
      <c r="D50" s="297" t="s">
        <v>1513</v>
      </c>
      <c r="E50" s="298" t="n">
        <v>27.257</v>
      </c>
      <c r="F50" s="299" t="n">
        <v>2.82</v>
      </c>
      <c r="G50" s="299" t="n">
        <f aca="false">VLOOKUP(A50,'INSUMOS SINAPI'!A:E,5,0)</f>
        <v>2.82</v>
      </c>
      <c r="H50" s="300" t="n">
        <f aca="false">F50-G50</f>
        <v>0</v>
      </c>
      <c r="I50" s="288"/>
    </row>
    <row r="51" customFormat="false" ht="21" hidden="false" customHeight="false" outlineLevel="0" collapsed="false">
      <c r="A51" s="295" t="n">
        <v>135</v>
      </c>
      <c r="B51" s="296" t="s">
        <v>1763</v>
      </c>
      <c r="C51" s="297" t="s">
        <v>2941</v>
      </c>
      <c r="D51" s="297" t="s">
        <v>1513</v>
      </c>
      <c r="E51" s="298" t="n">
        <v>2728.83891</v>
      </c>
      <c r="F51" s="299" t="n">
        <v>3.11</v>
      </c>
      <c r="G51" s="299" t="n">
        <f aca="false">VLOOKUP(A51,'INSUMOS SINAPI'!A:E,5,0)</f>
        <v>3.11</v>
      </c>
      <c r="H51" s="300" t="n">
        <f aca="false">F51-G51</f>
        <v>0</v>
      </c>
      <c r="I51" s="288"/>
    </row>
    <row r="52" customFormat="false" ht="21" hidden="false" customHeight="false" outlineLevel="0" collapsed="false">
      <c r="A52" s="295" t="n">
        <v>6079</v>
      </c>
      <c r="B52" s="296" t="s">
        <v>1725</v>
      </c>
      <c r="C52" s="297" t="s">
        <v>2941</v>
      </c>
      <c r="D52" s="297" t="s">
        <v>1442</v>
      </c>
      <c r="E52" s="298" t="n">
        <v>25.764095</v>
      </c>
      <c r="F52" s="299" t="n">
        <v>37.35</v>
      </c>
      <c r="G52" s="299" t="n">
        <f aca="false">VLOOKUP(A52,'INSUMOS SINAPI'!A:E,5,0)</f>
        <v>0</v>
      </c>
      <c r="H52" s="300" t="n">
        <f aca="false">F52-G52</f>
        <v>37.35</v>
      </c>
      <c r="I52" s="288"/>
    </row>
    <row r="53" customFormat="false" ht="21" hidden="false" customHeight="false" outlineLevel="0" collapsed="false">
      <c r="A53" s="295" t="n">
        <v>13348</v>
      </c>
      <c r="B53" s="296" t="s">
        <v>2774</v>
      </c>
      <c r="C53" s="297" t="s">
        <v>2941</v>
      </c>
      <c r="D53" s="297" t="s">
        <v>31</v>
      </c>
      <c r="E53" s="298" t="n">
        <v>144</v>
      </c>
      <c r="F53" s="299" t="n">
        <v>1.63</v>
      </c>
      <c r="G53" s="299" t="n">
        <f aca="false">VLOOKUP(A53,'INSUMOS SINAPI'!A:E,5,0)</f>
        <v>0</v>
      </c>
      <c r="H53" s="300" t="n">
        <f aca="false">F53-G53</f>
        <v>1.63</v>
      </c>
      <c r="I53" s="288"/>
    </row>
    <row r="54" customFormat="false" ht="31.5" hidden="false" customHeight="false" outlineLevel="0" collapsed="false">
      <c r="A54" s="295" t="n">
        <v>11267</v>
      </c>
      <c r="B54" s="296" t="s">
        <v>2431</v>
      </c>
      <c r="C54" s="297" t="s">
        <v>2941</v>
      </c>
      <c r="D54" s="297" t="s">
        <v>31</v>
      </c>
      <c r="E54" s="298" t="n">
        <v>3580.077944</v>
      </c>
      <c r="F54" s="299" t="n">
        <v>1.43</v>
      </c>
      <c r="G54" s="299" t="n">
        <f aca="false">VLOOKUP(A54,'INSUMOS SINAPI'!A:E,5,0)</f>
        <v>0</v>
      </c>
      <c r="H54" s="300" t="n">
        <f aca="false">F54-G54</f>
        <v>1.43</v>
      </c>
      <c r="I54" s="288"/>
    </row>
    <row r="55" customFormat="false" ht="21" hidden="false" customHeight="false" outlineLevel="0" collapsed="false">
      <c r="A55" s="295" t="s">
        <v>2052</v>
      </c>
      <c r="B55" s="296" t="s">
        <v>2053</v>
      </c>
      <c r="C55" s="297" t="s">
        <v>2941</v>
      </c>
      <c r="D55" s="297" t="s">
        <v>31</v>
      </c>
      <c r="E55" s="298" t="n">
        <v>4</v>
      </c>
      <c r="F55" s="299" t="n">
        <v>82.9633333333333</v>
      </c>
      <c r="G55" s="299" t="e">
        <f aca="false">VLOOKUP(A55,'INSUMOS SINAPI'!A:E,5,0)</f>
        <v>#N/A</v>
      </c>
      <c r="H55" s="300" t="e">
        <f aca="false">F55-G55</f>
        <v>#N/A</v>
      </c>
      <c r="I55" s="288" t="str">
        <f aca="false">IF(F55=VLOOKUP(A55,04_PESQUISAS!A:G,7,0),"OK","NÃO")</f>
        <v>OK</v>
      </c>
    </row>
    <row r="56" customFormat="false" ht="15" hidden="false" customHeight="false" outlineLevel="0" collapsed="false">
      <c r="A56" s="295" t="n">
        <v>377</v>
      </c>
      <c r="B56" s="296" t="s">
        <v>2023</v>
      </c>
      <c r="C56" s="297" t="s">
        <v>2941</v>
      </c>
      <c r="D56" s="297" t="s">
        <v>31</v>
      </c>
      <c r="E56" s="298" t="n">
        <v>24</v>
      </c>
      <c r="F56" s="299" t="n">
        <v>37.65</v>
      </c>
      <c r="G56" s="299" t="n">
        <f aca="false">VLOOKUP(A56,'INSUMOS SINAPI'!A:E,5,0)</f>
        <v>37.65</v>
      </c>
      <c r="H56" s="300" t="n">
        <f aca="false">F56-G56</f>
        <v>0</v>
      </c>
      <c r="I56" s="288"/>
    </row>
    <row r="57" customFormat="false" ht="15" hidden="false" customHeight="false" outlineLevel="0" collapsed="false">
      <c r="A57" s="295" t="s">
        <v>1863</v>
      </c>
      <c r="B57" s="296" t="s">
        <v>1864</v>
      </c>
      <c r="C57" s="297" t="s">
        <v>2941</v>
      </c>
      <c r="D57" s="297" t="s">
        <v>31</v>
      </c>
      <c r="E57" s="298" t="n">
        <v>2</v>
      </c>
      <c r="F57" s="299" t="n">
        <v>2775.88</v>
      </c>
      <c r="G57" s="299" t="e">
        <f aca="false">VLOOKUP(A57,'INSUMOS SINAPI'!A:E,5,0)</f>
        <v>#N/A</v>
      </c>
      <c r="H57" s="300" t="e">
        <f aca="false">F57-G57</f>
        <v>#N/A</v>
      </c>
      <c r="I57" s="288" t="str">
        <f aca="false">IF(F57=VLOOKUP(A57,04_PESQUISAS!A:G,7,0),"OK","NÃO")</f>
        <v>OK</v>
      </c>
    </row>
    <row r="58" s="57" customFormat="true" ht="21" hidden="false" customHeight="false" outlineLevel="0" collapsed="false">
      <c r="A58" s="295" t="n">
        <v>10422</v>
      </c>
      <c r="B58" s="296" t="s">
        <v>2014</v>
      </c>
      <c r="C58" s="297" t="s">
        <v>2941</v>
      </c>
      <c r="D58" s="297" t="s">
        <v>31</v>
      </c>
      <c r="E58" s="298" t="n">
        <v>20</v>
      </c>
      <c r="F58" s="299" t="n">
        <v>378.32</v>
      </c>
      <c r="G58" s="299" t="n">
        <f aca="false">VLOOKUP(A58,'INSUMOS SINAPI'!A:E,5,0)</f>
        <v>378.32</v>
      </c>
      <c r="H58" s="300" t="n">
        <f aca="false">F58-G58</f>
        <v>0</v>
      </c>
      <c r="I58" s="288"/>
    </row>
    <row r="59" s="57" customFormat="true" ht="21" hidden="false" customHeight="false" outlineLevel="0" collapsed="false">
      <c r="A59" s="295" t="n">
        <v>10420</v>
      </c>
      <c r="B59" s="296" t="s">
        <v>2020</v>
      </c>
      <c r="C59" s="297" t="s">
        <v>2941</v>
      </c>
      <c r="D59" s="297" t="s">
        <v>31</v>
      </c>
      <c r="E59" s="298" t="n">
        <v>8</v>
      </c>
      <c r="F59" s="299" t="n">
        <v>202.4</v>
      </c>
      <c r="G59" s="299" t="n">
        <f aca="false">VLOOKUP(A59,'INSUMOS SINAPI'!A:E,5,0)</f>
        <v>202.4</v>
      </c>
      <c r="H59" s="300" t="n">
        <f aca="false">F59-G59</f>
        <v>0</v>
      </c>
      <c r="I59" s="288"/>
    </row>
    <row r="60" s="57" customFormat="true" ht="15" hidden="false" customHeight="false" outlineLevel="0" collapsed="false">
      <c r="A60" s="295" t="s">
        <v>2606</v>
      </c>
      <c r="B60" s="296" t="s">
        <v>2607</v>
      </c>
      <c r="C60" s="297" t="s">
        <v>2941</v>
      </c>
      <c r="D60" s="297" t="s">
        <v>1455</v>
      </c>
      <c r="E60" s="298" t="n">
        <v>347.697</v>
      </c>
      <c r="F60" s="299" t="n">
        <v>49.3533333333333</v>
      </c>
      <c r="G60" s="299" t="e">
        <f aca="false">VLOOKUP(A60,'INSUMOS SINAPI'!A:E,5,0)</f>
        <v>#N/A</v>
      </c>
      <c r="H60" s="300" t="e">
        <f aca="false">F60-G60</f>
        <v>#N/A</v>
      </c>
      <c r="I60" s="288" t="str">
        <f aca="false">IF(F60=VLOOKUP(A60,04_PESQUISAS!A:G,7,0),"OK","NÃO")</f>
        <v>OK</v>
      </c>
    </row>
    <row r="61" s="57" customFormat="true" ht="15" hidden="false" customHeight="false" outlineLevel="0" collapsed="false">
      <c r="A61" s="295" t="n">
        <v>546</v>
      </c>
      <c r="B61" s="296" t="s">
        <v>1818</v>
      </c>
      <c r="C61" s="297" t="s">
        <v>2941</v>
      </c>
      <c r="D61" s="297" t="s">
        <v>1513</v>
      </c>
      <c r="E61" s="298" t="n">
        <v>118.5284</v>
      </c>
      <c r="F61" s="299" t="n">
        <v>10.51</v>
      </c>
      <c r="G61" s="299" t="n">
        <f aca="false">VLOOKUP(A61,'INSUMOS SINAPI'!A:E,5,0)</f>
        <v>10.51</v>
      </c>
      <c r="H61" s="300" t="n">
        <f aca="false">F61-G61</f>
        <v>0</v>
      </c>
      <c r="I61" s="288"/>
    </row>
    <row r="62" s="57" customFormat="true" ht="15" hidden="false" customHeight="false" outlineLevel="0" collapsed="false">
      <c r="A62" s="295" t="s">
        <v>2068</v>
      </c>
      <c r="B62" s="296" t="s">
        <v>2069</v>
      </c>
      <c r="C62" s="297" t="s">
        <v>2941</v>
      </c>
      <c r="D62" s="297" t="s">
        <v>31</v>
      </c>
      <c r="E62" s="298" t="n">
        <v>4</v>
      </c>
      <c r="F62" s="299" t="n">
        <v>69.3433333333333</v>
      </c>
      <c r="G62" s="299" t="e">
        <f aca="false">VLOOKUP(A62,'INSUMOS SINAPI'!A:E,5,0)</f>
        <v>#N/A</v>
      </c>
      <c r="H62" s="300" t="e">
        <f aca="false">F62-G62</f>
        <v>#N/A</v>
      </c>
      <c r="I62" s="288" t="str">
        <f aca="false">IF(F62=VLOOKUP(A62,04_PESQUISAS!A:G,7,0),"OK","NÃO")</f>
        <v>OK</v>
      </c>
    </row>
    <row r="63" s="57" customFormat="true" ht="21" hidden="false" customHeight="false" outlineLevel="0" collapsed="false">
      <c r="A63" s="295" t="n">
        <v>36204</v>
      </c>
      <c r="B63" s="296" t="s">
        <v>1883</v>
      </c>
      <c r="C63" s="297" t="s">
        <v>2941</v>
      </c>
      <c r="D63" s="297" t="s">
        <v>31</v>
      </c>
      <c r="E63" s="298" t="n">
        <v>8</v>
      </c>
      <c r="F63" s="299" t="n">
        <v>190.46</v>
      </c>
      <c r="G63" s="299" t="n">
        <f aca="false">VLOOKUP(A63,'INSUMOS SINAPI'!A:E,5,0)</f>
        <v>0</v>
      </c>
      <c r="H63" s="300" t="n">
        <f aca="false">F63-G63</f>
        <v>190.46</v>
      </c>
      <c r="I63" s="288"/>
    </row>
    <row r="64" customFormat="false" ht="21" hidden="false" customHeight="false" outlineLevel="0" collapsed="false">
      <c r="A64" s="295" t="n">
        <v>36205</v>
      </c>
      <c r="B64" s="296" t="s">
        <v>2063</v>
      </c>
      <c r="C64" s="297" t="s">
        <v>2941</v>
      </c>
      <c r="D64" s="297" t="s">
        <v>31</v>
      </c>
      <c r="E64" s="298" t="n">
        <v>4</v>
      </c>
      <c r="F64" s="299" t="n">
        <v>211.52</v>
      </c>
      <c r="G64" s="299" t="n">
        <f aca="false">VLOOKUP(A64,'INSUMOS SINAPI'!A:E,5,0)</f>
        <v>0</v>
      </c>
      <c r="H64" s="300" t="n">
        <f aca="false">F64-G64</f>
        <v>211.52</v>
      </c>
      <c r="I64" s="288"/>
    </row>
    <row r="65" customFormat="false" ht="21" hidden="false" customHeight="false" outlineLevel="0" collapsed="false">
      <c r="A65" s="295" t="n">
        <v>36081</v>
      </c>
      <c r="B65" s="296" t="s">
        <v>2061</v>
      </c>
      <c r="C65" s="297" t="s">
        <v>2941</v>
      </c>
      <c r="D65" s="297" t="s">
        <v>31</v>
      </c>
      <c r="E65" s="298" t="n">
        <v>8</v>
      </c>
      <c r="F65" s="299" t="n">
        <v>225.54</v>
      </c>
      <c r="G65" s="299" t="n">
        <f aca="false">VLOOKUP(A65,'INSUMOS SINAPI'!A:E,5,0)</f>
        <v>0</v>
      </c>
      <c r="H65" s="300" t="n">
        <f aca="false">F65-G65</f>
        <v>225.54</v>
      </c>
      <c r="I65" s="288"/>
    </row>
    <row r="66" customFormat="false" ht="15" hidden="false" customHeight="false" outlineLevel="0" collapsed="false">
      <c r="A66" s="295" t="s">
        <v>2065</v>
      </c>
      <c r="B66" s="296" t="s">
        <v>2066</v>
      </c>
      <c r="C66" s="297" t="s">
        <v>2941</v>
      </c>
      <c r="D66" s="297" t="s">
        <v>31</v>
      </c>
      <c r="E66" s="298" t="n">
        <v>4</v>
      </c>
      <c r="F66" s="299" t="n">
        <v>121.736666666667</v>
      </c>
      <c r="G66" s="299" t="e">
        <f aca="false">VLOOKUP(A66,'INSUMOS SINAPI'!A:E,5,0)</f>
        <v>#N/A</v>
      </c>
      <c r="H66" s="300" t="e">
        <f aca="false">F66-G66</f>
        <v>#N/A</v>
      </c>
      <c r="I66" s="288" t="str">
        <f aca="false">IF(F66=VLOOKUP(A66,04_PESQUISAS!A:G,7,0),"OK","NÃO")</f>
        <v>OK</v>
      </c>
    </row>
    <row r="67" customFormat="false" ht="15" hidden="false" customHeight="false" outlineLevel="0" collapsed="false">
      <c r="A67" s="295" t="s">
        <v>2632</v>
      </c>
      <c r="B67" s="296" t="s">
        <v>2633</v>
      </c>
      <c r="C67" s="297" t="s">
        <v>2941</v>
      </c>
      <c r="D67" s="297" t="s">
        <v>31</v>
      </c>
      <c r="E67" s="298" t="n">
        <v>426.9</v>
      </c>
      <c r="F67" s="299" t="n">
        <v>51.87</v>
      </c>
      <c r="G67" s="299" t="e">
        <f aca="false">VLOOKUP(A67,'INSUMOS SINAPI'!A:E,5,0)</f>
        <v>#N/A</v>
      </c>
      <c r="H67" s="300" t="e">
        <f aca="false">F67-G67</f>
        <v>#N/A</v>
      </c>
      <c r="I67" s="288" t="str">
        <f aca="false">IF(F67=VLOOKUP(A67,04_PESQUISAS!A:G,7,0),"OK","NÃO")</f>
        <v>OK</v>
      </c>
    </row>
    <row r="68" customFormat="false" ht="15" hidden="false" customHeight="false" outlineLevel="0" collapsed="false">
      <c r="A68" s="295" t="n">
        <v>38060</v>
      </c>
      <c r="B68" s="296" t="s">
        <v>2614</v>
      </c>
      <c r="C68" s="297" t="s">
        <v>2941</v>
      </c>
      <c r="D68" s="297" t="s">
        <v>31</v>
      </c>
      <c r="E68" s="298" t="n">
        <v>2</v>
      </c>
      <c r="F68" s="299" t="n">
        <v>56.07</v>
      </c>
      <c r="G68" s="299" t="n">
        <f aca="false">VLOOKUP(A68,'INSUMOS SINAPI'!A:E,5,0)</f>
        <v>56.07</v>
      </c>
      <c r="H68" s="300" t="n">
        <f aca="false">F68-G68</f>
        <v>0</v>
      </c>
      <c r="I68" s="288"/>
    </row>
    <row r="69" s="57" customFormat="true" ht="52.5" hidden="false" customHeight="false" outlineLevel="0" collapsed="false">
      <c r="A69" s="295" t="n">
        <v>183</v>
      </c>
      <c r="B69" s="296" t="s">
        <v>1841</v>
      </c>
      <c r="C69" s="297" t="s">
        <v>2941</v>
      </c>
      <c r="D69" s="297" t="s">
        <v>1842</v>
      </c>
      <c r="E69" s="298" t="n">
        <v>81</v>
      </c>
      <c r="F69" s="299" t="n">
        <v>175</v>
      </c>
      <c r="G69" s="299" t="n">
        <f aca="false">VLOOKUP(A69,'INSUMOS SINAPI'!A:E,5,0)</f>
        <v>175</v>
      </c>
      <c r="H69" s="300" t="n">
        <f aca="false">F69-G69</f>
        <v>0</v>
      </c>
      <c r="I69" s="288"/>
    </row>
    <row r="70" s="57" customFormat="true" ht="15" hidden="false" customHeight="false" outlineLevel="0" collapsed="false">
      <c r="A70" s="295" t="s">
        <v>2648</v>
      </c>
      <c r="B70" s="296" t="s">
        <v>2649</v>
      </c>
      <c r="C70" s="297" t="s">
        <v>2941</v>
      </c>
      <c r="D70" s="297" t="s">
        <v>31</v>
      </c>
      <c r="E70" s="298" t="n">
        <v>11</v>
      </c>
      <c r="F70" s="299" t="n">
        <v>119.043333333333</v>
      </c>
      <c r="G70" s="299" t="e">
        <f aca="false">VLOOKUP(A70,'INSUMOS SINAPI'!A:E,5,0)</f>
        <v>#N/A</v>
      </c>
      <c r="H70" s="300" t="e">
        <f aca="false">F70-G70</f>
        <v>#N/A</v>
      </c>
      <c r="I70" s="288" t="str">
        <f aca="false">IF(F70=VLOOKUP(A70,04_PESQUISAS!A:G,7,0),"OK","NÃO")</f>
        <v>OK</v>
      </c>
    </row>
    <row r="71" s="57" customFormat="true" ht="21" hidden="false" customHeight="false" outlineLevel="0" collapsed="false">
      <c r="A71" s="295" t="s">
        <v>2651</v>
      </c>
      <c r="B71" s="296" t="s">
        <v>2652</v>
      </c>
      <c r="C71" s="297" t="s">
        <v>2941</v>
      </c>
      <c r="D71" s="297" t="s">
        <v>31</v>
      </c>
      <c r="E71" s="298" t="n">
        <v>4</v>
      </c>
      <c r="F71" s="299" t="n">
        <v>179.676666666667</v>
      </c>
      <c r="G71" s="299" t="e">
        <f aca="false">VLOOKUP(A71,'INSUMOS SINAPI'!A:E,5,0)</f>
        <v>#N/A</v>
      </c>
      <c r="H71" s="300" t="e">
        <f aca="false">F71-G71</f>
        <v>#N/A</v>
      </c>
      <c r="I71" s="288" t="str">
        <f aca="false">IF(F71=VLOOKUP(A71,04_PESQUISAS!A:G,7,0),"OK","NÃO")</f>
        <v>OK</v>
      </c>
    </row>
    <row r="72" s="57" customFormat="true" ht="21" hidden="false" customHeight="false" outlineLevel="0" collapsed="false">
      <c r="A72" s="295" t="n">
        <v>7267</v>
      </c>
      <c r="B72" s="296" t="s">
        <v>1771</v>
      </c>
      <c r="C72" s="297" t="s">
        <v>2941</v>
      </c>
      <c r="D72" s="297" t="s">
        <v>31</v>
      </c>
      <c r="E72" s="298" t="n">
        <v>4345.0188</v>
      </c>
      <c r="F72" s="299" t="n">
        <v>0.84</v>
      </c>
      <c r="G72" s="299" t="n">
        <f aca="false">VLOOKUP(A72,'INSUMOS SINAPI'!A:E,5,0)</f>
        <v>0.84</v>
      </c>
      <c r="H72" s="300" t="n">
        <f aca="false">F72-G72</f>
        <v>0</v>
      </c>
      <c r="I72" s="288"/>
    </row>
    <row r="73" s="57" customFormat="true" ht="21" hidden="false" customHeight="false" outlineLevel="0" collapsed="false">
      <c r="A73" s="295" t="n">
        <v>7271</v>
      </c>
      <c r="B73" s="296" t="s">
        <v>1767</v>
      </c>
      <c r="C73" s="297" t="s">
        <v>2941</v>
      </c>
      <c r="D73" s="297" t="s">
        <v>31</v>
      </c>
      <c r="E73" s="298" t="n">
        <v>87016.1639</v>
      </c>
      <c r="F73" s="299" t="n">
        <v>1.07</v>
      </c>
      <c r="G73" s="299" t="n">
        <f aca="false">VLOOKUP(A73,'INSUMOS SINAPI'!A:E,5,0)</f>
        <v>1.07</v>
      </c>
      <c r="H73" s="300" t="n">
        <f aca="false">F73-G73</f>
        <v>0</v>
      </c>
      <c r="I73" s="288"/>
    </row>
    <row r="74" s="57" customFormat="true" ht="21" hidden="false" customHeight="false" outlineLevel="0" collapsed="false">
      <c r="A74" s="295" t="n">
        <v>38591</v>
      </c>
      <c r="B74" s="296" t="s">
        <v>1743</v>
      </c>
      <c r="C74" s="297" t="s">
        <v>2941</v>
      </c>
      <c r="D74" s="297" t="s">
        <v>31</v>
      </c>
      <c r="E74" s="298" t="n">
        <v>17.7974</v>
      </c>
      <c r="F74" s="299" t="n">
        <v>4.17</v>
      </c>
      <c r="G74" s="299" t="n">
        <f aca="false">VLOOKUP(A74,'INSUMOS SINAPI'!A:E,5,0)</f>
        <v>4.17</v>
      </c>
      <c r="H74" s="300" t="n">
        <f aca="false">F74-G74</f>
        <v>0</v>
      </c>
      <c r="I74" s="288"/>
    </row>
    <row r="75" customFormat="false" ht="21" hidden="false" customHeight="false" outlineLevel="0" collapsed="false">
      <c r="A75" s="295" t="n">
        <v>25070</v>
      </c>
      <c r="B75" s="296" t="s">
        <v>1744</v>
      </c>
      <c r="C75" s="297" t="s">
        <v>2941</v>
      </c>
      <c r="D75" s="297" t="s">
        <v>31</v>
      </c>
      <c r="E75" s="298" t="n">
        <v>124.38676</v>
      </c>
      <c r="F75" s="299" t="n">
        <v>4.57</v>
      </c>
      <c r="G75" s="299" t="n">
        <f aca="false">VLOOKUP(A75,'INSUMOS SINAPI'!A:E,5,0)</f>
        <v>4.57</v>
      </c>
      <c r="H75" s="300" t="n">
        <f aca="false">F75-G75</f>
        <v>0</v>
      </c>
      <c r="I75" s="288"/>
    </row>
    <row r="76" customFormat="false" ht="31.5" hidden="false" customHeight="false" outlineLevel="0" collapsed="false">
      <c r="A76" s="295" t="n">
        <v>36170</v>
      </c>
      <c r="B76" s="296" t="s">
        <v>1952</v>
      </c>
      <c r="C76" s="297" t="s">
        <v>2941</v>
      </c>
      <c r="D76" s="297" t="s">
        <v>1477</v>
      </c>
      <c r="E76" s="298" t="n">
        <v>317.5593</v>
      </c>
      <c r="F76" s="299" t="n">
        <v>80</v>
      </c>
      <c r="G76" s="299" t="n">
        <f aca="false">VLOOKUP(A76,'INSUMOS SINAPI'!A:E,5,0)</f>
        <v>80</v>
      </c>
      <c r="H76" s="300" t="n">
        <f aca="false">F76-G76</f>
        <v>0</v>
      </c>
      <c r="I76" s="288"/>
    </row>
    <row r="77" s="57" customFormat="true" ht="21" hidden="false" customHeight="false" outlineLevel="0" collapsed="false">
      <c r="A77" s="295" t="n">
        <v>6140</v>
      </c>
      <c r="B77" s="296" t="s">
        <v>2021</v>
      </c>
      <c r="C77" s="297" t="s">
        <v>2941</v>
      </c>
      <c r="D77" s="297" t="s">
        <v>31</v>
      </c>
      <c r="E77" s="298" t="n">
        <v>8</v>
      </c>
      <c r="F77" s="299" t="n">
        <v>4.34</v>
      </c>
      <c r="G77" s="299" t="n">
        <f aca="false">VLOOKUP(A77,'INSUMOS SINAPI'!A:E,5,0)</f>
        <v>4.34</v>
      </c>
      <c r="H77" s="300" t="n">
        <f aca="false">F77-G77</f>
        <v>0</v>
      </c>
      <c r="I77" s="288"/>
    </row>
    <row r="78" customFormat="false" ht="15" hidden="false" customHeight="false" outlineLevel="0" collapsed="false">
      <c r="A78" s="295" t="s">
        <v>2041</v>
      </c>
      <c r="B78" s="296" t="s">
        <v>2042</v>
      </c>
      <c r="C78" s="297" t="s">
        <v>2941</v>
      </c>
      <c r="D78" s="297" t="s">
        <v>31</v>
      </c>
      <c r="E78" s="298" t="n">
        <v>104.7168</v>
      </c>
      <c r="F78" s="299" t="n">
        <v>21.9333333333333</v>
      </c>
      <c r="G78" s="299" t="e">
        <f aca="false">VLOOKUP(A78,'INSUMOS SINAPI'!A:E,5,0)</f>
        <v>#N/A</v>
      </c>
      <c r="H78" s="300" t="e">
        <f aca="false">F78-G78</f>
        <v>#N/A</v>
      </c>
      <c r="I78" s="288" t="str">
        <f aca="false">IF(F78=VLOOKUP(A78,04_PESQUISAS!A:G,7,0),"OK","NÃO")</f>
        <v>OK</v>
      </c>
    </row>
    <row r="79" customFormat="false" ht="15" hidden="false" customHeight="false" outlineLevel="0" collapsed="false">
      <c r="A79" s="295" t="n">
        <v>4374</v>
      </c>
      <c r="B79" s="296" t="s">
        <v>2781</v>
      </c>
      <c r="C79" s="297" t="s">
        <v>2941</v>
      </c>
      <c r="D79" s="297" t="s">
        <v>31</v>
      </c>
      <c r="E79" s="298" t="n">
        <v>12</v>
      </c>
      <c r="F79" s="299" t="n">
        <v>0.48</v>
      </c>
      <c r="G79" s="299" t="n">
        <f aca="false">VLOOKUP(A79,'INSUMOS SINAPI'!A:E,5,0)</f>
        <v>0.48</v>
      </c>
      <c r="H79" s="300" t="n">
        <f aca="false">F79-G79</f>
        <v>0</v>
      </c>
      <c r="I79" s="288"/>
    </row>
    <row r="80" customFormat="false" ht="31.5" hidden="false" customHeight="false" outlineLevel="0" collapsed="false">
      <c r="A80" s="295" t="n">
        <v>7568</v>
      </c>
      <c r="B80" s="296" t="s">
        <v>1815</v>
      </c>
      <c r="C80" s="297" t="s">
        <v>2941</v>
      </c>
      <c r="D80" s="297" t="s">
        <v>31</v>
      </c>
      <c r="E80" s="298" t="n">
        <v>1200.545322</v>
      </c>
      <c r="F80" s="299" t="n">
        <v>0.79</v>
      </c>
      <c r="G80" s="299" t="n">
        <f aca="false">VLOOKUP(A80,'INSUMOS SINAPI'!A:E,5,0)</f>
        <v>0.79</v>
      </c>
      <c r="H80" s="300" t="n">
        <f aca="false">F80-G80</f>
        <v>0</v>
      </c>
      <c r="I80" s="288"/>
    </row>
    <row r="81" customFormat="false" ht="15" hidden="false" customHeight="false" outlineLevel="0" collapsed="false">
      <c r="A81" s="295" t="n">
        <v>4375</v>
      </c>
      <c r="B81" s="296" t="s">
        <v>2043</v>
      </c>
      <c r="C81" s="297" t="s">
        <v>2941</v>
      </c>
      <c r="D81" s="297" t="s">
        <v>31</v>
      </c>
      <c r="E81" s="298" t="n">
        <v>104.7168</v>
      </c>
      <c r="F81" s="299" t="n">
        <v>0.13</v>
      </c>
      <c r="G81" s="299" t="n">
        <f aca="false">VLOOKUP(A81,'INSUMOS SINAPI'!A:E,5,0)</f>
        <v>0.13</v>
      </c>
      <c r="H81" s="300" t="n">
        <f aca="false">F81-G81</f>
        <v>0</v>
      </c>
      <c r="I81" s="288"/>
    </row>
    <row r="82" customFormat="false" ht="31.5" hidden="false" customHeight="false" outlineLevel="0" collapsed="false">
      <c r="A82" s="295" t="n">
        <v>11950</v>
      </c>
      <c r="B82" s="296" t="s">
        <v>1774</v>
      </c>
      <c r="C82" s="297" t="s">
        <v>2941</v>
      </c>
      <c r="D82" s="297" t="s">
        <v>31</v>
      </c>
      <c r="E82" s="298" t="n">
        <v>691.1519</v>
      </c>
      <c r="F82" s="299" t="n">
        <v>0.26</v>
      </c>
      <c r="G82" s="299" t="n">
        <f aca="false">VLOOKUP(A82,'INSUMOS SINAPI'!A:E,5,0)</f>
        <v>0.26</v>
      </c>
      <c r="H82" s="300" t="n">
        <f aca="false">F82-G82</f>
        <v>0</v>
      </c>
      <c r="I82" s="288"/>
    </row>
    <row r="83" customFormat="false" ht="31.5" hidden="false" customHeight="false" outlineLevel="0" collapsed="false">
      <c r="A83" s="295" t="n">
        <v>7583</v>
      </c>
      <c r="B83" s="296" t="s">
        <v>2603</v>
      </c>
      <c r="C83" s="297" t="s">
        <v>2941</v>
      </c>
      <c r="D83" s="297" t="s">
        <v>31</v>
      </c>
      <c r="E83" s="298" t="n">
        <v>693.911038</v>
      </c>
      <c r="F83" s="299" t="n">
        <v>0.54</v>
      </c>
      <c r="G83" s="299" t="n">
        <f aca="false">VLOOKUP(A83,'INSUMOS SINAPI'!A:E,5,0)</f>
        <v>0.54</v>
      </c>
      <c r="H83" s="300" t="n">
        <f aca="false">F83-G83</f>
        <v>0</v>
      </c>
      <c r="I83" s="288"/>
    </row>
    <row r="84" customFormat="false" ht="31.5" hidden="false" customHeight="false" outlineLevel="0" collapsed="false">
      <c r="A84" s="295" t="n">
        <v>4350</v>
      </c>
      <c r="B84" s="296" t="s">
        <v>2668</v>
      </c>
      <c r="C84" s="297" t="s">
        <v>2941</v>
      </c>
      <c r="D84" s="297" t="s">
        <v>31</v>
      </c>
      <c r="E84" s="298" t="n">
        <v>1626.13492</v>
      </c>
      <c r="F84" s="299" t="n">
        <v>0.7</v>
      </c>
      <c r="G84" s="299" t="n">
        <f aca="false">VLOOKUP(A84,'INSUMOS SINAPI'!A:E,5,0)</f>
        <v>0</v>
      </c>
      <c r="H84" s="300" t="n">
        <f aca="false">F84-G84</f>
        <v>0.7</v>
      </c>
      <c r="I84" s="288"/>
    </row>
    <row r="85" customFormat="false" ht="21" hidden="false" customHeight="false" outlineLevel="0" collapsed="false">
      <c r="A85" s="295" t="n">
        <v>829</v>
      </c>
      <c r="B85" s="296" t="s">
        <v>2301</v>
      </c>
      <c r="C85" s="297" t="s">
        <v>2941</v>
      </c>
      <c r="D85" s="297" t="s">
        <v>31</v>
      </c>
      <c r="E85" s="298" t="n">
        <v>4</v>
      </c>
      <c r="F85" s="299" t="n">
        <v>0.96</v>
      </c>
      <c r="G85" s="299" t="n">
        <f aca="false">VLOOKUP(A85,'INSUMOS SINAPI'!A:E,5,0)</f>
        <v>0.96</v>
      </c>
      <c r="H85" s="300" t="n">
        <f aca="false">F85-G85</f>
        <v>0</v>
      </c>
      <c r="I85" s="288"/>
    </row>
    <row r="86" customFormat="false" ht="21" hidden="false" customHeight="false" outlineLevel="0" collapsed="false">
      <c r="A86" s="295" t="n">
        <v>819</v>
      </c>
      <c r="B86" s="296" t="s">
        <v>2827</v>
      </c>
      <c r="C86" s="297" t="s">
        <v>2941</v>
      </c>
      <c r="D86" s="297" t="s">
        <v>31</v>
      </c>
      <c r="E86" s="298" t="n">
        <v>5</v>
      </c>
      <c r="F86" s="299" t="n">
        <v>3.67</v>
      </c>
      <c r="G86" s="299" t="n">
        <f aca="false">VLOOKUP(A86,'INSUMOS SINAPI'!A:E,5,0)</f>
        <v>3.67</v>
      </c>
      <c r="H86" s="300" t="n">
        <f aca="false">F86-G86</f>
        <v>0</v>
      </c>
      <c r="I86" s="288"/>
    </row>
    <row r="87" customFormat="false" ht="21" hidden="false" customHeight="false" outlineLevel="0" collapsed="false">
      <c r="A87" s="295" t="n">
        <v>20086</v>
      </c>
      <c r="B87" s="296" t="s">
        <v>2122</v>
      </c>
      <c r="C87" s="297" t="s">
        <v>2941</v>
      </c>
      <c r="D87" s="297" t="s">
        <v>31</v>
      </c>
      <c r="E87" s="298" t="n">
        <v>3</v>
      </c>
      <c r="F87" s="299" t="n">
        <v>3.28</v>
      </c>
      <c r="G87" s="299" t="n">
        <f aca="false">VLOOKUP(A87,'INSUMOS SINAPI'!A:E,5,0)</f>
        <v>3.28</v>
      </c>
      <c r="H87" s="300" t="n">
        <f aca="false">F87-G87</f>
        <v>0</v>
      </c>
      <c r="I87" s="288"/>
    </row>
    <row r="88" customFormat="false" ht="21" hidden="false" customHeight="false" outlineLevel="0" collapsed="false">
      <c r="A88" s="295" t="n">
        <v>834</v>
      </c>
      <c r="B88" s="296" t="s">
        <v>2829</v>
      </c>
      <c r="C88" s="297" t="s">
        <v>2941</v>
      </c>
      <c r="D88" s="297" t="s">
        <v>31</v>
      </c>
      <c r="E88" s="298" t="n">
        <v>1</v>
      </c>
      <c r="F88" s="299" t="n">
        <v>3.66</v>
      </c>
      <c r="G88" s="299" t="n">
        <f aca="false">VLOOKUP(A88,'INSUMOS SINAPI'!A:E,5,0)</f>
        <v>3.66</v>
      </c>
      <c r="H88" s="300" t="n">
        <f aca="false">F88-G88</f>
        <v>0</v>
      </c>
      <c r="I88" s="288"/>
    </row>
    <row r="89" customFormat="false" ht="21" hidden="false" customHeight="false" outlineLevel="0" collapsed="false">
      <c r="A89" s="295" t="n">
        <v>813</v>
      </c>
      <c r="B89" s="296" t="s">
        <v>2303</v>
      </c>
      <c r="C89" s="297" t="s">
        <v>2941</v>
      </c>
      <c r="D89" s="297" t="s">
        <v>31</v>
      </c>
      <c r="E89" s="298" t="n">
        <v>47</v>
      </c>
      <c r="F89" s="299" t="n">
        <v>4.26</v>
      </c>
      <c r="G89" s="299" t="n">
        <f aca="false">VLOOKUP(A89,'INSUMOS SINAPI'!A:E,5,0)</f>
        <v>4.26</v>
      </c>
      <c r="H89" s="300" t="n">
        <f aca="false">F89-G89</f>
        <v>0</v>
      </c>
      <c r="I89" s="288"/>
    </row>
    <row r="90" customFormat="false" ht="21" hidden="false" customHeight="false" outlineLevel="0" collapsed="false">
      <c r="A90" s="295" t="n">
        <v>821</v>
      </c>
      <c r="B90" s="296" t="s">
        <v>2305</v>
      </c>
      <c r="C90" s="297" t="s">
        <v>2941</v>
      </c>
      <c r="D90" s="297" t="s">
        <v>31</v>
      </c>
      <c r="E90" s="298" t="n">
        <v>3</v>
      </c>
      <c r="F90" s="299" t="n">
        <v>18.95</v>
      </c>
      <c r="G90" s="299" t="n">
        <f aca="false">VLOOKUP(A90,'INSUMOS SINAPI'!A:E,5,0)</f>
        <v>18.95</v>
      </c>
      <c r="H90" s="300" t="n">
        <f aca="false">F90-G90</f>
        <v>0</v>
      </c>
      <c r="I90" s="288"/>
    </row>
    <row r="91" customFormat="false" ht="15" hidden="false" customHeight="false" outlineLevel="0" collapsed="false">
      <c r="A91" s="295" t="s">
        <v>2585</v>
      </c>
      <c r="B91" s="296" t="s">
        <v>2586</v>
      </c>
      <c r="C91" s="297" t="s">
        <v>2941</v>
      </c>
      <c r="D91" s="297" t="s">
        <v>1455</v>
      </c>
      <c r="E91" s="298" t="n">
        <v>30</v>
      </c>
      <c r="F91" s="299" t="n">
        <v>4.04986666666667</v>
      </c>
      <c r="G91" s="299" t="e">
        <f aca="false">VLOOKUP(A91,'INSUMOS SINAPI'!A:E,5,0)</f>
        <v>#N/A</v>
      </c>
      <c r="H91" s="300" t="e">
        <f aca="false">F91-G91</f>
        <v>#N/A</v>
      </c>
      <c r="I91" s="288" t="str">
        <f aca="false">IF(F91=VLOOKUP(A91,04_PESQUISAS!A:G,7,0),"OK","NÃO")</f>
        <v>OK</v>
      </c>
    </row>
    <row r="92" customFormat="false" ht="15" hidden="false" customHeight="false" outlineLevel="0" collapsed="false">
      <c r="A92" s="295" t="s">
        <v>2596</v>
      </c>
      <c r="B92" s="296" t="s">
        <v>2597</v>
      </c>
      <c r="C92" s="297" t="s">
        <v>2941</v>
      </c>
      <c r="D92" s="297" t="s">
        <v>1455</v>
      </c>
      <c r="E92" s="298" t="n">
        <v>198.944</v>
      </c>
      <c r="F92" s="299" t="n">
        <v>3.61633333333333</v>
      </c>
      <c r="G92" s="299" t="e">
        <f aca="false">VLOOKUP(A92,'INSUMOS SINAPI'!A:E,5,0)</f>
        <v>#N/A</v>
      </c>
      <c r="H92" s="300" t="e">
        <f aca="false">F92-G92</f>
        <v>#N/A</v>
      </c>
      <c r="I92" s="288" t="str">
        <f aca="false">IF(F92=VLOOKUP(A92,04_PESQUISAS!A:G,7,0),"OK","NÃO")</f>
        <v>OK</v>
      </c>
    </row>
    <row r="93" customFormat="false" ht="15" hidden="false" customHeight="false" outlineLevel="0" collapsed="false">
      <c r="A93" s="295" t="n">
        <v>863</v>
      </c>
      <c r="B93" s="296" t="s">
        <v>2618</v>
      </c>
      <c r="C93" s="297" t="s">
        <v>2941</v>
      </c>
      <c r="D93" s="297" t="s">
        <v>1455</v>
      </c>
      <c r="E93" s="298" t="n">
        <v>37.539</v>
      </c>
      <c r="F93" s="299" t="n">
        <v>39.4</v>
      </c>
      <c r="G93" s="299" t="n">
        <f aca="false">VLOOKUP(A93,'INSUMOS SINAPI'!A:E,5,0)</f>
        <v>39.4</v>
      </c>
      <c r="H93" s="300" t="n">
        <f aca="false">F93-G93</f>
        <v>0</v>
      </c>
      <c r="I93" s="288"/>
    </row>
    <row r="94" s="57" customFormat="true" ht="15" hidden="false" customHeight="false" outlineLevel="0" collapsed="false">
      <c r="A94" s="295" t="n">
        <v>867</v>
      </c>
      <c r="B94" s="296" t="s">
        <v>2637</v>
      </c>
      <c r="C94" s="297" t="s">
        <v>2941</v>
      </c>
      <c r="D94" s="297" t="s">
        <v>1455</v>
      </c>
      <c r="E94" s="298" t="n">
        <v>111.867</v>
      </c>
      <c r="F94" s="299" t="n">
        <v>56.13</v>
      </c>
      <c r="G94" s="299" t="n">
        <f aca="false">VLOOKUP(A94,'INSUMOS SINAPI'!A:E,5,0)</f>
        <v>56.13</v>
      </c>
      <c r="H94" s="300" t="n">
        <f aca="false">F94-G94</f>
        <v>0</v>
      </c>
      <c r="I94" s="288"/>
    </row>
    <row r="95" customFormat="false" ht="31.5" hidden="false" customHeight="false" outlineLevel="0" collapsed="false">
      <c r="A95" s="295" t="n">
        <v>1013</v>
      </c>
      <c r="B95" s="296" t="s">
        <v>1528</v>
      </c>
      <c r="C95" s="297" t="s">
        <v>2941</v>
      </c>
      <c r="D95" s="297" t="s">
        <v>1455</v>
      </c>
      <c r="E95" s="298" t="n">
        <v>444.90269476</v>
      </c>
      <c r="F95" s="299" t="n">
        <v>1.5</v>
      </c>
      <c r="G95" s="299" t="n">
        <f aca="false">VLOOKUP(A95,'INSUMOS SINAPI'!A:E,5,0)</f>
        <v>1.5</v>
      </c>
      <c r="H95" s="300" t="n">
        <f aca="false">F95-G95</f>
        <v>0</v>
      </c>
      <c r="I95" s="288"/>
    </row>
    <row r="96" customFormat="false" ht="31.5" hidden="false" customHeight="false" outlineLevel="0" collapsed="false">
      <c r="A96" s="295" t="n">
        <v>1014</v>
      </c>
      <c r="B96" s="296" t="s">
        <v>1529</v>
      </c>
      <c r="C96" s="297" t="s">
        <v>2941</v>
      </c>
      <c r="D96" s="297" t="s">
        <v>1455</v>
      </c>
      <c r="E96" s="298" t="n">
        <v>27134.27716602</v>
      </c>
      <c r="F96" s="299" t="n">
        <v>2.38</v>
      </c>
      <c r="G96" s="299" t="n">
        <f aca="false">VLOOKUP(A96,'INSUMOS SINAPI'!A:E,5,0)</f>
        <v>2.38</v>
      </c>
      <c r="H96" s="300" t="n">
        <f aca="false">F96-G96</f>
        <v>0</v>
      </c>
      <c r="I96" s="288"/>
    </row>
    <row r="97" customFormat="false" ht="21" hidden="false" customHeight="false" outlineLevel="0" collapsed="false">
      <c r="A97" s="295" t="n">
        <v>981</v>
      </c>
      <c r="B97" s="296" t="s">
        <v>2373</v>
      </c>
      <c r="C97" s="297" t="s">
        <v>2941</v>
      </c>
      <c r="D97" s="297" t="s">
        <v>1455</v>
      </c>
      <c r="E97" s="298" t="n">
        <v>1542.68638</v>
      </c>
      <c r="F97" s="299" t="n">
        <v>3.95</v>
      </c>
      <c r="G97" s="299" t="n">
        <f aca="false">VLOOKUP(A97,'INSUMOS SINAPI'!A:E,5,0)</f>
        <v>3.95</v>
      </c>
      <c r="H97" s="300" t="n">
        <f aca="false">F97-G97</f>
        <v>0</v>
      </c>
      <c r="I97" s="288"/>
    </row>
    <row r="98" customFormat="false" ht="31.5" hidden="false" customHeight="false" outlineLevel="0" collapsed="false">
      <c r="A98" s="295" t="n">
        <v>1020</v>
      </c>
      <c r="B98" s="296" t="s">
        <v>2358</v>
      </c>
      <c r="C98" s="297" t="s">
        <v>2941</v>
      </c>
      <c r="D98" s="297" t="s">
        <v>1455</v>
      </c>
      <c r="E98" s="298" t="n">
        <v>26.0025</v>
      </c>
      <c r="F98" s="299" t="n">
        <v>10.35</v>
      </c>
      <c r="G98" s="299" t="n">
        <f aca="false">VLOOKUP(A98,'INSUMOS SINAPI'!A:E,5,0)</f>
        <v>10.35</v>
      </c>
      <c r="H98" s="300" t="n">
        <f aca="false">F98-G98</f>
        <v>0</v>
      </c>
      <c r="I98" s="288"/>
    </row>
    <row r="99" customFormat="false" ht="31.5" hidden="false" customHeight="false" outlineLevel="0" collapsed="false">
      <c r="A99" s="295" t="n">
        <v>995</v>
      </c>
      <c r="B99" s="296" t="s">
        <v>2360</v>
      </c>
      <c r="C99" s="297" t="s">
        <v>2941</v>
      </c>
      <c r="D99" s="297" t="s">
        <v>1455</v>
      </c>
      <c r="E99" s="298" t="n">
        <v>197.619</v>
      </c>
      <c r="F99" s="299" t="n">
        <v>16.48</v>
      </c>
      <c r="G99" s="299" t="n">
        <f aca="false">VLOOKUP(A99,'INSUMOS SINAPI'!A:E,5,0)</f>
        <v>16.48</v>
      </c>
      <c r="H99" s="300" t="n">
        <f aca="false">F99-G99</f>
        <v>0</v>
      </c>
      <c r="I99" s="288"/>
    </row>
    <row r="100" customFormat="false" ht="31.5" hidden="false" customHeight="false" outlineLevel="0" collapsed="false">
      <c r="A100" s="295" t="n">
        <v>996</v>
      </c>
      <c r="B100" s="296" t="s">
        <v>2362</v>
      </c>
      <c r="C100" s="297" t="s">
        <v>2941</v>
      </c>
      <c r="D100" s="297" t="s">
        <v>1455</v>
      </c>
      <c r="E100" s="298" t="n">
        <v>60.9</v>
      </c>
      <c r="F100" s="299" t="n">
        <v>25.55</v>
      </c>
      <c r="G100" s="299" t="n">
        <f aca="false">VLOOKUP(A100,'INSUMOS SINAPI'!A:E,5,0)</f>
        <v>25.55</v>
      </c>
      <c r="H100" s="300" t="n">
        <f aca="false">F100-G100</f>
        <v>0</v>
      </c>
      <c r="I100" s="288"/>
    </row>
    <row r="101" customFormat="false" ht="31.5" hidden="false" customHeight="false" outlineLevel="0" collapsed="false">
      <c r="A101" s="295" t="n">
        <v>1019</v>
      </c>
      <c r="B101" s="296" t="s">
        <v>2364</v>
      </c>
      <c r="C101" s="297" t="s">
        <v>2941</v>
      </c>
      <c r="D101" s="297" t="s">
        <v>1455</v>
      </c>
      <c r="E101" s="298" t="n">
        <v>15.225</v>
      </c>
      <c r="F101" s="299" t="n">
        <v>36.1</v>
      </c>
      <c r="G101" s="299" t="n">
        <f aca="false">VLOOKUP(A101,'INSUMOS SINAPI'!A:E,5,0)</f>
        <v>36.1</v>
      </c>
      <c r="H101" s="300" t="n">
        <f aca="false">F101-G101</f>
        <v>0</v>
      </c>
      <c r="I101" s="288"/>
    </row>
    <row r="102" customFormat="false" ht="31.5" hidden="false" customHeight="false" outlineLevel="0" collapsed="false">
      <c r="A102" s="295" t="n">
        <v>1018</v>
      </c>
      <c r="B102" s="296" t="s">
        <v>2366</v>
      </c>
      <c r="C102" s="297" t="s">
        <v>2941</v>
      </c>
      <c r="D102" s="297" t="s">
        <v>1455</v>
      </c>
      <c r="E102" s="298" t="n">
        <v>152.25</v>
      </c>
      <c r="F102" s="299" t="n">
        <v>53.39</v>
      </c>
      <c r="G102" s="299" t="n">
        <f aca="false">VLOOKUP(A102,'INSUMOS SINAPI'!A:E,5,0)</f>
        <v>53.39</v>
      </c>
      <c r="H102" s="300" t="n">
        <f aca="false">F102-G102</f>
        <v>0</v>
      </c>
      <c r="I102" s="288"/>
    </row>
    <row r="103" customFormat="false" ht="31.5" hidden="false" customHeight="false" outlineLevel="0" collapsed="false">
      <c r="A103" s="295" t="n">
        <v>977</v>
      </c>
      <c r="B103" s="296" t="s">
        <v>2368</v>
      </c>
      <c r="C103" s="297" t="s">
        <v>2941</v>
      </c>
      <c r="D103" s="297" t="s">
        <v>1455</v>
      </c>
      <c r="E103" s="298" t="n">
        <v>60.9</v>
      </c>
      <c r="F103" s="299" t="n">
        <v>74.69</v>
      </c>
      <c r="G103" s="299" t="n">
        <f aca="false">VLOOKUP(A103,'INSUMOS SINAPI'!A:E,5,0)</f>
        <v>74.69</v>
      </c>
      <c r="H103" s="300" t="n">
        <f aca="false">F103-G103</f>
        <v>0</v>
      </c>
      <c r="I103" s="288"/>
    </row>
    <row r="104" customFormat="false" ht="31.5" hidden="false" customHeight="false" outlineLevel="0" collapsed="false">
      <c r="A104" s="295" t="n">
        <v>998</v>
      </c>
      <c r="B104" s="296" t="s">
        <v>2370</v>
      </c>
      <c r="C104" s="297" t="s">
        <v>2941</v>
      </c>
      <c r="D104" s="297" t="s">
        <v>1455</v>
      </c>
      <c r="E104" s="298" t="n">
        <v>228.375</v>
      </c>
      <c r="F104" s="299" t="n">
        <v>96.97</v>
      </c>
      <c r="G104" s="299" t="n">
        <f aca="false">VLOOKUP(A104,'INSUMOS SINAPI'!A:E,5,0)</f>
        <v>96.97</v>
      </c>
      <c r="H104" s="300" t="n">
        <f aca="false">F104-G104</f>
        <v>0</v>
      </c>
      <c r="I104" s="288"/>
    </row>
    <row r="105" customFormat="false" ht="21" hidden="false" customHeight="false" outlineLevel="0" collapsed="false">
      <c r="A105" s="295" t="n">
        <v>39599</v>
      </c>
      <c r="B105" s="296" t="s">
        <v>2560</v>
      </c>
      <c r="C105" s="297" t="s">
        <v>2941</v>
      </c>
      <c r="D105" s="297" t="s">
        <v>1455</v>
      </c>
      <c r="E105" s="298" t="n">
        <v>13169.1</v>
      </c>
      <c r="F105" s="299" t="n">
        <v>7.76</v>
      </c>
      <c r="G105" s="299" t="n">
        <f aca="false">VLOOKUP(A105,'INSUMOS SINAPI'!A:E,5,0)</f>
        <v>7.76</v>
      </c>
      <c r="H105" s="300" t="n">
        <f aca="false">F105-G105</f>
        <v>0</v>
      </c>
      <c r="I105" s="288"/>
    </row>
    <row r="106" customFormat="false" ht="31.5" hidden="false" customHeight="false" outlineLevel="0" collapsed="false">
      <c r="A106" s="295" t="n">
        <v>39257</v>
      </c>
      <c r="B106" s="296" t="s">
        <v>2750</v>
      </c>
      <c r="C106" s="297" t="s">
        <v>2941</v>
      </c>
      <c r="D106" s="297" t="s">
        <v>1455</v>
      </c>
      <c r="E106" s="298" t="n">
        <v>83.9295</v>
      </c>
      <c r="F106" s="299" t="n">
        <v>6</v>
      </c>
      <c r="G106" s="299" t="n">
        <f aca="false">VLOOKUP(A106,'INSUMOS SINAPI'!A:E,5,0)</f>
        <v>6</v>
      </c>
      <c r="H106" s="300" t="n">
        <f aca="false">F106-G106</f>
        <v>0</v>
      </c>
      <c r="I106" s="288"/>
    </row>
    <row r="107" customFormat="false" ht="31.5" hidden="false" customHeight="false" outlineLevel="0" collapsed="false">
      <c r="A107" s="295" t="n">
        <v>39258</v>
      </c>
      <c r="B107" s="296" t="s">
        <v>2535</v>
      </c>
      <c r="C107" s="297" t="s">
        <v>2941</v>
      </c>
      <c r="D107" s="297" t="s">
        <v>1455</v>
      </c>
      <c r="E107" s="298" t="n">
        <v>313.3368</v>
      </c>
      <c r="F107" s="299" t="n">
        <v>9.04</v>
      </c>
      <c r="G107" s="299" t="n">
        <f aca="false">VLOOKUP(A107,'INSUMOS SINAPI'!A:E,5,0)</f>
        <v>9.04</v>
      </c>
      <c r="H107" s="300" t="n">
        <f aca="false">F107-G107</f>
        <v>0</v>
      </c>
      <c r="I107" s="288"/>
    </row>
    <row r="108" customFormat="false" ht="31.5" hidden="false" customHeight="false" outlineLevel="0" collapsed="false">
      <c r="A108" s="295" t="s">
        <v>2846</v>
      </c>
      <c r="B108" s="296" t="s">
        <v>2847</v>
      </c>
      <c r="C108" s="297" t="s">
        <v>2941</v>
      </c>
      <c r="D108" s="297" t="s">
        <v>1455</v>
      </c>
      <c r="E108" s="298" t="n">
        <v>633.922622</v>
      </c>
      <c r="F108" s="299" t="n">
        <v>10.8133333333333</v>
      </c>
      <c r="G108" s="299" t="e">
        <f aca="false">VLOOKUP(A108,'INSUMOS SINAPI'!A:E,5,0)</f>
        <v>#N/A</v>
      </c>
      <c r="H108" s="300" t="e">
        <f aca="false">F108-G108</f>
        <v>#N/A</v>
      </c>
      <c r="I108" s="288" t="str">
        <f aca="false">IF(F108=VLOOKUP(A108,04_PESQUISAS!A:G,7,0),"OK","NÃO")</f>
        <v>OK</v>
      </c>
    </row>
    <row r="109" customFormat="false" ht="42" hidden="false" customHeight="false" outlineLevel="0" collapsed="false">
      <c r="A109" s="295" t="n">
        <v>5090</v>
      </c>
      <c r="B109" s="296" t="s">
        <v>1530</v>
      </c>
      <c r="C109" s="297" t="s">
        <v>2941</v>
      </c>
      <c r="D109" s="297" t="s">
        <v>31</v>
      </c>
      <c r="E109" s="298" t="n">
        <v>2</v>
      </c>
      <c r="F109" s="299" t="n">
        <v>23.05</v>
      </c>
      <c r="G109" s="299" t="n">
        <f aca="false">VLOOKUP(A109,'INSUMOS SINAPI'!A:E,5,0)</f>
        <v>23.05</v>
      </c>
      <c r="H109" s="300" t="n">
        <f aca="false">F109-G109</f>
        <v>0</v>
      </c>
      <c r="I109" s="288"/>
    </row>
    <row r="110" customFormat="false" ht="42" hidden="false" customHeight="false" outlineLevel="0" collapsed="false">
      <c r="A110" s="295" t="n">
        <v>43603</v>
      </c>
      <c r="B110" s="296" t="s">
        <v>1531</v>
      </c>
      <c r="C110" s="297" t="s">
        <v>2941</v>
      </c>
      <c r="D110" s="297" t="s">
        <v>31</v>
      </c>
      <c r="E110" s="298" t="n">
        <v>2</v>
      </c>
      <c r="F110" s="299" t="n">
        <v>49.02</v>
      </c>
      <c r="G110" s="299" t="n">
        <f aca="false">VLOOKUP(A110,'INSUMOS SINAPI'!A:E,5,0)</f>
        <v>49.02</v>
      </c>
      <c r="H110" s="300" t="n">
        <f aca="false">F110-G110</f>
        <v>0</v>
      </c>
      <c r="I110" s="288"/>
    </row>
    <row r="111" customFormat="false" ht="31.5" hidden="false" customHeight="false" outlineLevel="0" collapsed="false">
      <c r="A111" s="295" t="n">
        <v>4433</v>
      </c>
      <c r="B111" s="296" t="s">
        <v>1532</v>
      </c>
      <c r="C111" s="297" t="s">
        <v>2941</v>
      </c>
      <c r="D111" s="297" t="s">
        <v>1455</v>
      </c>
      <c r="E111" s="298" t="n">
        <v>190.125</v>
      </c>
      <c r="F111" s="299" t="n">
        <v>21.51</v>
      </c>
      <c r="G111" s="299" t="n">
        <f aca="false">VLOOKUP(A111,'INSUMOS SINAPI'!A:E,5,0)</f>
        <v>21.51</v>
      </c>
      <c r="H111" s="300" t="n">
        <f aca="false">F111-G111</f>
        <v>0</v>
      </c>
      <c r="I111" s="288"/>
    </row>
    <row r="112" s="57" customFormat="true" ht="31.5" hidden="false" customHeight="false" outlineLevel="0" collapsed="false">
      <c r="A112" s="295" t="n">
        <v>4400</v>
      </c>
      <c r="B112" s="296" t="s">
        <v>1566</v>
      </c>
      <c r="C112" s="297" t="s">
        <v>2941</v>
      </c>
      <c r="D112" s="297" t="s">
        <v>1455</v>
      </c>
      <c r="E112" s="298" t="n">
        <v>8.1</v>
      </c>
      <c r="F112" s="299" t="n">
        <v>17.5</v>
      </c>
      <c r="G112" s="299" t="n">
        <f aca="false">VLOOKUP(A112,'INSUMOS SINAPI'!A:E,5,0)</f>
        <v>17.5</v>
      </c>
      <c r="H112" s="300" t="n">
        <f aca="false">F112-G112</f>
        <v>0</v>
      </c>
      <c r="I112" s="288"/>
    </row>
    <row r="113" customFormat="false" ht="21" hidden="false" customHeight="false" outlineLevel="0" collapsed="false">
      <c r="A113" s="295" t="n">
        <v>37106</v>
      </c>
      <c r="B113" s="296" t="s">
        <v>2356</v>
      </c>
      <c r="C113" s="297" t="s">
        <v>2941</v>
      </c>
      <c r="D113" s="297" t="s">
        <v>31</v>
      </c>
      <c r="E113" s="298" t="n">
        <v>2</v>
      </c>
      <c r="F113" s="299" t="n">
        <v>4632</v>
      </c>
      <c r="G113" s="299" t="n">
        <f aca="false">VLOOKUP(A113,'INSUMOS SINAPI'!A:E,5,0)</f>
        <v>4632</v>
      </c>
      <c r="H113" s="300" t="n">
        <f aca="false">F113-G113</f>
        <v>0</v>
      </c>
      <c r="I113" s="288"/>
    </row>
    <row r="114" customFormat="false" ht="21" hidden="false" customHeight="false" outlineLevel="0" collapsed="false">
      <c r="A114" s="295" t="n">
        <v>41629</v>
      </c>
      <c r="B114" s="296" t="s">
        <v>2205</v>
      </c>
      <c r="C114" s="297" t="s">
        <v>2941</v>
      </c>
      <c r="D114" s="297" t="s">
        <v>31</v>
      </c>
      <c r="E114" s="298" t="n">
        <v>4</v>
      </c>
      <c r="F114" s="299" t="n">
        <v>442.89</v>
      </c>
      <c r="G114" s="299" t="n">
        <f aca="false">VLOOKUP(A114,'INSUMOS SINAPI'!A:E,5,0)</f>
        <v>0</v>
      </c>
      <c r="H114" s="300" t="n">
        <f aca="false">F114-G114</f>
        <v>442.89</v>
      </c>
      <c r="I114" s="288"/>
    </row>
    <row r="115" customFormat="false" ht="21" hidden="false" customHeight="false" outlineLevel="0" collapsed="false">
      <c r="A115" s="295" t="n">
        <v>43429</v>
      </c>
      <c r="B115" s="296" t="s">
        <v>2531</v>
      </c>
      <c r="C115" s="297" t="s">
        <v>2941</v>
      </c>
      <c r="D115" s="297" t="s">
        <v>31</v>
      </c>
      <c r="E115" s="298" t="n">
        <v>5</v>
      </c>
      <c r="F115" s="299" t="n">
        <v>98.13</v>
      </c>
      <c r="G115" s="299" t="n">
        <f aca="false">VLOOKUP(A115,'INSUMOS SINAPI'!A:E,5,0)</f>
        <v>0</v>
      </c>
      <c r="H115" s="300" t="n">
        <f aca="false">F115-G115</f>
        <v>98.13</v>
      </c>
      <c r="I115" s="288"/>
    </row>
    <row r="116" s="57" customFormat="true" ht="15" hidden="false" customHeight="false" outlineLevel="0" collapsed="false">
      <c r="A116" s="295" t="s">
        <v>2621</v>
      </c>
      <c r="B116" s="296" t="s">
        <v>2622</v>
      </c>
      <c r="C116" s="297" t="s">
        <v>2941</v>
      </c>
      <c r="D116" s="297" t="s">
        <v>31</v>
      </c>
      <c r="E116" s="298" t="n">
        <v>2</v>
      </c>
      <c r="F116" s="299" t="n">
        <v>252.663333333333</v>
      </c>
      <c r="G116" s="299" t="e">
        <f aca="false">VLOOKUP(A116,'INSUMOS SINAPI'!A:E,5,0)</f>
        <v>#N/A</v>
      </c>
      <c r="H116" s="300" t="e">
        <f aca="false">F116-G116</f>
        <v>#N/A</v>
      </c>
      <c r="I116" s="288" t="str">
        <f aca="false">IF(F116=VLOOKUP(A116,04_PESQUISAS!A:G,7,0),"OK","NÃO")</f>
        <v>OK</v>
      </c>
    </row>
    <row r="117" s="57" customFormat="true" ht="31.5" hidden="false" customHeight="false" outlineLevel="0" collapsed="false">
      <c r="A117" s="295" t="n">
        <v>11881</v>
      </c>
      <c r="B117" s="296" t="s">
        <v>2203</v>
      </c>
      <c r="C117" s="297" t="s">
        <v>2941</v>
      </c>
      <c r="D117" s="297" t="s">
        <v>31</v>
      </c>
      <c r="E117" s="298" t="n">
        <v>1</v>
      </c>
      <c r="F117" s="299" t="n">
        <v>174.28</v>
      </c>
      <c r="G117" s="299" t="n">
        <f aca="false">VLOOKUP(A117,'INSUMOS SINAPI'!A:E,5,0)</f>
        <v>0</v>
      </c>
      <c r="H117" s="300" t="n">
        <f aca="false">F117-G117</f>
        <v>174.28</v>
      </c>
      <c r="I117" s="288"/>
    </row>
    <row r="118" s="57" customFormat="true" ht="52.5" hidden="false" customHeight="false" outlineLevel="0" collapsed="false">
      <c r="A118" s="295" t="n">
        <v>20962</v>
      </c>
      <c r="B118" s="296" t="s">
        <v>2671</v>
      </c>
      <c r="C118" s="297" t="s">
        <v>2941</v>
      </c>
      <c r="D118" s="297" t="s">
        <v>31</v>
      </c>
      <c r="E118" s="298" t="n">
        <v>3</v>
      </c>
      <c r="F118" s="299" t="n">
        <v>300</v>
      </c>
      <c r="G118" s="299" t="n">
        <f aca="false">VLOOKUP(A118,'INSUMOS SINAPI'!A:E,5,0)</f>
        <v>300</v>
      </c>
      <c r="H118" s="300" t="n">
        <f aca="false">F118-G118</f>
        <v>0</v>
      </c>
      <c r="I118" s="288"/>
    </row>
    <row r="119" s="57" customFormat="true" ht="21" hidden="false" customHeight="false" outlineLevel="0" collapsed="false">
      <c r="A119" s="295" t="n">
        <v>34643</v>
      </c>
      <c r="B119" s="296" t="s">
        <v>2635</v>
      </c>
      <c r="C119" s="297" t="s">
        <v>2941</v>
      </c>
      <c r="D119" s="297" t="s">
        <v>31</v>
      </c>
      <c r="E119" s="298" t="n">
        <v>5</v>
      </c>
      <c r="F119" s="299" t="n">
        <v>46.35</v>
      </c>
      <c r="G119" s="299" t="n">
        <f aca="false">VLOOKUP(A119,'INSUMOS SINAPI'!A:E,5,0)</f>
        <v>46.35</v>
      </c>
      <c r="H119" s="300" t="n">
        <f aca="false">F119-G119</f>
        <v>0</v>
      </c>
      <c r="I119" s="288"/>
    </row>
    <row r="120" s="57" customFormat="true" ht="15" hidden="false" customHeight="false" outlineLevel="0" collapsed="false">
      <c r="A120" s="295" t="n">
        <v>2556</v>
      </c>
      <c r="B120" s="296" t="s">
        <v>2380</v>
      </c>
      <c r="C120" s="297" t="s">
        <v>2941</v>
      </c>
      <c r="D120" s="297" t="s">
        <v>31</v>
      </c>
      <c r="E120" s="298" t="n">
        <v>3</v>
      </c>
      <c r="F120" s="299" t="n">
        <v>1.38</v>
      </c>
      <c r="G120" s="299" t="n">
        <f aca="false">VLOOKUP(A120,'INSUMOS SINAPI'!A:E,5,0)</f>
        <v>0</v>
      </c>
      <c r="H120" s="300" t="n">
        <f aca="false">F120-G120</f>
        <v>1.38</v>
      </c>
      <c r="I120" s="288"/>
    </row>
    <row r="121" s="57" customFormat="true" ht="21" hidden="false" customHeight="false" outlineLevel="0" collapsed="false">
      <c r="A121" s="295" t="n">
        <v>39812</v>
      </c>
      <c r="B121" s="296" t="s">
        <v>2562</v>
      </c>
      <c r="C121" s="297" t="s">
        <v>2941</v>
      </c>
      <c r="D121" s="297" t="s">
        <v>31</v>
      </c>
      <c r="E121" s="298" t="n">
        <v>4</v>
      </c>
      <c r="F121" s="299" t="n">
        <v>62.28</v>
      </c>
      <c r="G121" s="299" t="n">
        <f aca="false">VLOOKUP(A121,'INSUMOS SINAPI'!A:E,5,0)</f>
        <v>62.28</v>
      </c>
      <c r="H121" s="300" t="n">
        <f aca="false">F121-G121</f>
        <v>0</v>
      </c>
      <c r="I121" s="288"/>
    </row>
    <row r="122" customFormat="false" ht="15" hidden="false" customHeight="false" outlineLevel="0" collapsed="false">
      <c r="A122" s="295" t="s">
        <v>2808</v>
      </c>
      <c r="B122" s="296" t="s">
        <v>2809</v>
      </c>
      <c r="C122" s="297" t="s">
        <v>2941</v>
      </c>
      <c r="D122" s="297" t="s">
        <v>31</v>
      </c>
      <c r="E122" s="298" t="n">
        <v>16</v>
      </c>
      <c r="F122" s="299" t="n">
        <v>22.9</v>
      </c>
      <c r="G122" s="299" t="e">
        <f aca="false">VLOOKUP(A122,'INSUMOS SINAPI'!A:E,5,0)</f>
        <v>#N/A</v>
      </c>
      <c r="H122" s="300" t="e">
        <f aca="false">F122-G122</f>
        <v>#N/A</v>
      </c>
      <c r="I122" s="288" t="str">
        <f aca="false">IF(F122=VLOOKUP(A122,04_PESQUISAS!A:G,7,0),"OK","NÃO")</f>
        <v>OK</v>
      </c>
    </row>
    <row r="123" s="303" customFormat="true" ht="21" hidden="false" customHeight="false" outlineLevel="0" collapsed="false">
      <c r="A123" s="301" t="n">
        <v>1872</v>
      </c>
      <c r="B123" s="296" t="s">
        <v>1533</v>
      </c>
      <c r="C123" s="297" t="s">
        <v>2941</v>
      </c>
      <c r="D123" s="297" t="s">
        <v>31</v>
      </c>
      <c r="E123" s="298" t="n">
        <v>511</v>
      </c>
      <c r="F123" s="299" t="n">
        <v>1.41</v>
      </c>
      <c r="G123" s="299" t="n">
        <f aca="false">VLOOKUP(A123,'INSUMOS SINAPI'!A:E,5,0)</f>
        <v>1.41</v>
      </c>
      <c r="H123" s="302" t="n">
        <f aca="false">F123-G123</f>
        <v>0</v>
      </c>
      <c r="I123" s="288"/>
    </row>
    <row r="124" customFormat="false" ht="21" hidden="false" customHeight="false" outlineLevel="0" collapsed="false">
      <c r="A124" s="295" t="n">
        <v>1873</v>
      </c>
      <c r="B124" s="296" t="s">
        <v>2376</v>
      </c>
      <c r="C124" s="297" t="s">
        <v>2941</v>
      </c>
      <c r="D124" s="297" t="s">
        <v>31</v>
      </c>
      <c r="E124" s="298" t="n">
        <v>36</v>
      </c>
      <c r="F124" s="299" t="n">
        <v>2.81</v>
      </c>
      <c r="G124" s="299" t="n">
        <f aca="false">VLOOKUP(A124,'INSUMOS SINAPI'!A:E,5,0)</f>
        <v>2.81</v>
      </c>
      <c r="H124" s="300" t="n">
        <f aca="false">F124-G124</f>
        <v>0</v>
      </c>
      <c r="I124" s="288"/>
    </row>
    <row r="125" customFormat="false" ht="21" hidden="false" customHeight="false" outlineLevel="0" collapsed="false">
      <c r="A125" s="295" t="n">
        <v>1871</v>
      </c>
      <c r="B125" s="296" t="s">
        <v>1534</v>
      </c>
      <c r="C125" s="297" t="s">
        <v>2941</v>
      </c>
      <c r="D125" s="297" t="s">
        <v>31</v>
      </c>
      <c r="E125" s="298" t="n">
        <v>1</v>
      </c>
      <c r="F125" s="299" t="n">
        <v>2.53</v>
      </c>
      <c r="G125" s="299" t="n">
        <f aca="false">VLOOKUP(A125,'INSUMOS SINAPI'!A:E,5,0)</f>
        <v>2.53</v>
      </c>
      <c r="H125" s="300" t="n">
        <f aca="false">F125-G125</f>
        <v>0</v>
      </c>
      <c r="I125" s="288"/>
    </row>
    <row r="126" customFormat="false" ht="21" hidden="false" customHeight="false" outlineLevel="0" collapsed="false">
      <c r="A126" s="295" t="n">
        <v>12001</v>
      </c>
      <c r="B126" s="296" t="s">
        <v>2378</v>
      </c>
      <c r="C126" s="297" t="s">
        <v>2941</v>
      </c>
      <c r="D126" s="297" t="s">
        <v>31</v>
      </c>
      <c r="E126" s="298" t="n">
        <v>631</v>
      </c>
      <c r="F126" s="299" t="n">
        <v>3.66</v>
      </c>
      <c r="G126" s="299" t="n">
        <f aca="false">VLOOKUP(A126,'INSUMOS SINAPI'!A:E,5,0)</f>
        <v>3.66</v>
      </c>
      <c r="H126" s="300" t="n">
        <f aca="false">F126-G126</f>
        <v>0</v>
      </c>
      <c r="I126" s="288"/>
    </row>
    <row r="127" customFormat="false" ht="21" hidden="false" customHeight="false" outlineLevel="0" collapsed="false">
      <c r="A127" s="295" t="n">
        <v>11714</v>
      </c>
      <c r="B127" s="296" t="s">
        <v>2119</v>
      </c>
      <c r="C127" s="297" t="s">
        <v>2941</v>
      </c>
      <c r="D127" s="297" t="s">
        <v>31</v>
      </c>
      <c r="E127" s="298" t="n">
        <v>6</v>
      </c>
      <c r="F127" s="299" t="n">
        <v>73</v>
      </c>
      <c r="G127" s="299" t="n">
        <f aca="false">VLOOKUP(A127,'INSUMOS SINAPI'!A:E,5,0)</f>
        <v>73</v>
      </c>
      <c r="H127" s="300" t="n">
        <f aca="false">F127-G127</f>
        <v>0</v>
      </c>
      <c r="I127" s="288"/>
    </row>
    <row r="128" customFormat="false" ht="21" hidden="false" customHeight="false" outlineLevel="0" collapsed="false">
      <c r="A128" s="295" t="n">
        <v>11717</v>
      </c>
      <c r="B128" s="296" t="s">
        <v>2117</v>
      </c>
      <c r="C128" s="297" t="s">
        <v>2941</v>
      </c>
      <c r="D128" s="297" t="s">
        <v>31</v>
      </c>
      <c r="E128" s="298" t="n">
        <v>24</v>
      </c>
      <c r="F128" s="299" t="n">
        <v>57.46</v>
      </c>
      <c r="G128" s="299" t="n">
        <f aca="false">VLOOKUP(A128,'INSUMOS SINAPI'!A:E,5,0)</f>
        <v>57.46</v>
      </c>
      <c r="H128" s="300" t="n">
        <f aca="false">F128-G128</f>
        <v>0</v>
      </c>
      <c r="I128" s="288"/>
    </row>
    <row r="129" customFormat="false" ht="15" hidden="false" customHeight="false" outlineLevel="0" collapsed="false">
      <c r="A129" s="295" t="n">
        <v>1106</v>
      </c>
      <c r="B129" s="296" t="s">
        <v>1745</v>
      </c>
      <c r="C129" s="297" t="s">
        <v>2941</v>
      </c>
      <c r="D129" s="297" t="s">
        <v>1513</v>
      </c>
      <c r="E129" s="298" t="n">
        <v>29461.32660418</v>
      </c>
      <c r="F129" s="299" t="n">
        <v>1.39</v>
      </c>
      <c r="G129" s="299" t="n">
        <f aca="false">VLOOKUP(A129,'INSUMOS SINAPI'!A:E,5,0)</f>
        <v>1.39</v>
      </c>
      <c r="H129" s="300" t="n">
        <f aca="false">F129-G129</f>
        <v>0</v>
      </c>
      <c r="I129" s="288"/>
    </row>
    <row r="130" customFormat="false" ht="15" hidden="false" customHeight="false" outlineLevel="0" collapsed="false">
      <c r="A130" s="295" t="n">
        <v>1107</v>
      </c>
      <c r="B130" s="296" t="s">
        <v>2678</v>
      </c>
      <c r="C130" s="297" t="s">
        <v>2941</v>
      </c>
      <c r="D130" s="297" t="s">
        <v>1513</v>
      </c>
      <c r="E130" s="298" t="n">
        <v>6.67</v>
      </c>
      <c r="F130" s="299" t="n">
        <v>1.18</v>
      </c>
      <c r="G130" s="299" t="n">
        <f aca="false">VLOOKUP(A130,'INSUMOS SINAPI'!A:E,5,0)</f>
        <v>1.18</v>
      </c>
      <c r="H130" s="300" t="n">
        <f aca="false">F130-G130</f>
        <v>0</v>
      </c>
      <c r="I130" s="288"/>
    </row>
    <row r="131" customFormat="false" ht="21" hidden="false" customHeight="false" outlineLevel="0" collapsed="false">
      <c r="A131" s="295" t="n">
        <v>40783</v>
      </c>
      <c r="B131" s="296" t="s">
        <v>1900</v>
      </c>
      <c r="C131" s="297" t="s">
        <v>2941</v>
      </c>
      <c r="D131" s="297" t="s">
        <v>1455</v>
      </c>
      <c r="E131" s="298" t="n">
        <v>29.8095</v>
      </c>
      <c r="F131" s="299" t="n">
        <v>42.45</v>
      </c>
      <c r="G131" s="299" t="n">
        <f aca="false">VLOOKUP(A131,'INSUMOS SINAPI'!A:E,5,0)</f>
        <v>0</v>
      </c>
      <c r="H131" s="300" t="n">
        <f aca="false">F131-G131</f>
        <v>42.45</v>
      </c>
      <c r="I131" s="288"/>
    </row>
    <row r="132" customFormat="false" ht="21" hidden="false" customHeight="false" outlineLevel="0" collapsed="false">
      <c r="A132" s="295" t="n">
        <v>38597</v>
      </c>
      <c r="B132" s="296" t="s">
        <v>1746</v>
      </c>
      <c r="C132" s="297" t="s">
        <v>2941</v>
      </c>
      <c r="D132" s="297" t="s">
        <v>31</v>
      </c>
      <c r="E132" s="298" t="n">
        <v>11.8243</v>
      </c>
      <c r="F132" s="299" t="n">
        <v>5.14</v>
      </c>
      <c r="G132" s="299" t="n">
        <f aca="false">VLOOKUP(A132,'INSUMOS SINAPI'!A:E,5,0)</f>
        <v>5.14</v>
      </c>
      <c r="H132" s="300" t="n">
        <f aca="false">F132-G132</f>
        <v>0</v>
      </c>
      <c r="I132" s="288"/>
    </row>
    <row r="133" customFormat="false" ht="15" hidden="false" customHeight="false" outlineLevel="0" collapsed="false">
      <c r="A133" s="295" t="s">
        <v>2732</v>
      </c>
      <c r="B133" s="296" t="s">
        <v>2733</v>
      </c>
      <c r="C133" s="297" t="s">
        <v>2941</v>
      </c>
      <c r="D133" s="297" t="s">
        <v>31</v>
      </c>
      <c r="E133" s="298" t="n">
        <v>1</v>
      </c>
      <c r="F133" s="299" t="n">
        <v>838.056666666667</v>
      </c>
      <c r="G133" s="299" t="e">
        <f aca="false">VLOOKUP(A133,'INSUMOS SINAPI'!A:E,5,0)</f>
        <v>#N/A</v>
      </c>
      <c r="H133" s="300" t="e">
        <f aca="false">F133-G133</f>
        <v>#N/A</v>
      </c>
      <c r="I133" s="288" t="str">
        <f aca="false">IF(F133=VLOOKUP(A133,04_PESQUISAS!A:G,7,0),"OK","NÃO")</f>
        <v>OK</v>
      </c>
    </row>
    <row r="134" customFormat="false" ht="21" hidden="false" customHeight="false" outlineLevel="0" collapsed="false">
      <c r="A134" s="295" t="n">
        <v>12759</v>
      </c>
      <c r="B134" s="296" t="s">
        <v>1886</v>
      </c>
      <c r="C134" s="297" t="s">
        <v>2941</v>
      </c>
      <c r="D134" s="297" t="s">
        <v>1477</v>
      </c>
      <c r="E134" s="298" t="n">
        <v>2.688</v>
      </c>
      <c r="F134" s="299" t="n">
        <v>934.26</v>
      </c>
      <c r="G134" s="299" t="n">
        <f aca="false">VLOOKUP(A134,'INSUMOS SINAPI'!A:E,5,0)</f>
        <v>934.26</v>
      </c>
      <c r="H134" s="300" t="n">
        <f aca="false">F134-G134</f>
        <v>0</v>
      </c>
      <c r="I134" s="288"/>
    </row>
    <row r="135" customFormat="false" ht="21" hidden="false" customHeight="false" outlineLevel="0" collapsed="false">
      <c r="A135" s="295" t="n">
        <v>11049</v>
      </c>
      <c r="B135" s="296" t="s">
        <v>2878</v>
      </c>
      <c r="C135" s="297" t="s">
        <v>2941</v>
      </c>
      <c r="D135" s="297" t="s">
        <v>1513</v>
      </c>
      <c r="E135" s="298" t="n">
        <v>973.638846</v>
      </c>
      <c r="F135" s="299" t="n">
        <v>10.81</v>
      </c>
      <c r="G135" s="299" t="n">
        <f aca="false">VLOOKUP(A135,'INSUMOS SINAPI'!A:E,5,0)</f>
        <v>0</v>
      </c>
      <c r="H135" s="300" t="n">
        <f aca="false">F135-G135</f>
        <v>10.81</v>
      </c>
      <c r="I135" s="288"/>
    </row>
    <row r="136" customFormat="false" ht="21" hidden="false" customHeight="false" outlineLevel="0" collapsed="false">
      <c r="A136" s="295" t="n">
        <v>1333</v>
      </c>
      <c r="B136" s="296" t="s">
        <v>1731</v>
      </c>
      <c r="C136" s="297" t="s">
        <v>2941</v>
      </c>
      <c r="D136" s="297" t="s">
        <v>1513</v>
      </c>
      <c r="E136" s="298" t="n">
        <v>24.45503775</v>
      </c>
      <c r="F136" s="299" t="n">
        <v>8.24</v>
      </c>
      <c r="G136" s="299" t="n">
        <f aca="false">VLOOKUP(A136,'INSUMOS SINAPI'!A:E,5,0)</f>
        <v>0</v>
      </c>
      <c r="H136" s="300" t="n">
        <f aca="false">F136-G136</f>
        <v>8.24</v>
      </c>
      <c r="I136" s="288"/>
    </row>
    <row r="137" customFormat="false" ht="15" hidden="false" customHeight="false" outlineLevel="0" collapsed="false">
      <c r="A137" s="295" t="n">
        <v>1332</v>
      </c>
      <c r="B137" s="296" t="s">
        <v>1810</v>
      </c>
      <c r="C137" s="297" t="s">
        <v>2941</v>
      </c>
      <c r="D137" s="297" t="s">
        <v>1513</v>
      </c>
      <c r="E137" s="298" t="n">
        <v>109.1356</v>
      </c>
      <c r="F137" s="299" t="n">
        <v>8.37</v>
      </c>
      <c r="G137" s="299" t="n">
        <f aca="false">VLOOKUP(A137,'INSUMOS SINAPI'!A:E,5,0)</f>
        <v>0</v>
      </c>
      <c r="H137" s="300" t="n">
        <f aca="false">F137-G137</f>
        <v>8.37</v>
      </c>
      <c r="I137" s="288"/>
    </row>
    <row r="138" customFormat="false" ht="31.5" hidden="false" customHeight="false" outlineLevel="0" collapsed="false">
      <c r="A138" s="295" t="n">
        <v>40623</v>
      </c>
      <c r="B138" s="296" t="s">
        <v>1567</v>
      </c>
      <c r="C138" s="297" t="s">
        <v>2941</v>
      </c>
      <c r="D138" s="297" t="s">
        <v>1568</v>
      </c>
      <c r="E138" s="298" t="n">
        <v>2.16</v>
      </c>
      <c r="F138" s="299" t="n">
        <v>91.69</v>
      </c>
      <c r="G138" s="299" t="n">
        <f aca="false">VLOOKUP(A138,'INSUMOS SINAPI'!A:E,5,0)</f>
        <v>0</v>
      </c>
      <c r="H138" s="300" t="n">
        <f aca="false">F138-G138</f>
        <v>91.69</v>
      </c>
      <c r="I138" s="288"/>
    </row>
    <row r="139" customFormat="false" ht="31.5" hidden="false" customHeight="false" outlineLevel="0" collapsed="false">
      <c r="A139" s="295" t="n">
        <v>1345</v>
      </c>
      <c r="B139" s="296" t="s">
        <v>1666</v>
      </c>
      <c r="C139" s="297" t="s">
        <v>2941</v>
      </c>
      <c r="D139" s="297" t="s">
        <v>1477</v>
      </c>
      <c r="E139" s="298" t="n">
        <v>32.5667475</v>
      </c>
      <c r="F139" s="299" t="n">
        <v>97.73</v>
      </c>
      <c r="G139" s="299" t="n">
        <f aca="false">VLOOKUP(A139,'INSUMOS SINAPI'!A:E,5,0)</f>
        <v>97.73</v>
      </c>
      <c r="H139" s="300" t="n">
        <f aca="false">F139-G139</f>
        <v>0</v>
      </c>
      <c r="I139" s="288"/>
    </row>
    <row r="140" customFormat="false" ht="31.5" hidden="false" customHeight="false" outlineLevel="0" collapsed="false">
      <c r="A140" s="295" t="n">
        <v>1358</v>
      </c>
      <c r="B140" s="296" t="s">
        <v>1641</v>
      </c>
      <c r="C140" s="297" t="s">
        <v>2941</v>
      </c>
      <c r="D140" s="297" t="s">
        <v>1477</v>
      </c>
      <c r="E140" s="298" t="n">
        <v>2226.21679208</v>
      </c>
      <c r="F140" s="299" t="n">
        <v>57.71</v>
      </c>
      <c r="G140" s="299" t="n">
        <f aca="false">VLOOKUP(A140,'INSUMOS SINAPI'!A:E,5,0)</f>
        <v>57.71</v>
      </c>
      <c r="H140" s="300" t="n">
        <f aca="false">F140-G140</f>
        <v>0</v>
      </c>
      <c r="I140" s="288"/>
    </row>
    <row r="141" customFormat="false" ht="31.5" hidden="false" customHeight="false" outlineLevel="0" collapsed="false">
      <c r="A141" s="295" t="n">
        <v>43677</v>
      </c>
      <c r="B141" s="296" t="s">
        <v>2210</v>
      </c>
      <c r="C141" s="297" t="s">
        <v>2941</v>
      </c>
      <c r="D141" s="297" t="s">
        <v>1477</v>
      </c>
      <c r="E141" s="298" t="n">
        <v>0.40198312</v>
      </c>
      <c r="F141" s="299" t="n">
        <v>71.6</v>
      </c>
      <c r="G141" s="299" t="n">
        <f aca="false">VLOOKUP(A141,'INSUMOS SINAPI'!A:E,5,0)</f>
        <v>71.6</v>
      </c>
      <c r="H141" s="300" t="n">
        <f aca="false">F141-G141</f>
        <v>0</v>
      </c>
      <c r="I141" s="288"/>
    </row>
    <row r="142" customFormat="false" ht="31.5" hidden="false" customHeight="false" outlineLevel="0" collapsed="false">
      <c r="A142" s="295" t="n">
        <v>43682</v>
      </c>
      <c r="B142" s="296" t="s">
        <v>2211</v>
      </c>
      <c r="C142" s="297" t="s">
        <v>2941</v>
      </c>
      <c r="D142" s="297" t="s">
        <v>1477</v>
      </c>
      <c r="E142" s="298" t="n">
        <v>0.17005786</v>
      </c>
      <c r="F142" s="299" t="n">
        <v>21.95</v>
      </c>
      <c r="G142" s="299" t="n">
        <f aca="false">VLOOKUP(A142,'INSUMOS SINAPI'!A:E,5,0)</f>
        <v>21.95</v>
      </c>
      <c r="H142" s="300" t="n">
        <f aca="false">F142-G142</f>
        <v>0</v>
      </c>
      <c r="I142" s="288"/>
    </row>
    <row r="143" customFormat="false" ht="31.5" hidden="false" customHeight="false" outlineLevel="0" collapsed="false">
      <c r="A143" s="295" t="n">
        <v>20971</v>
      </c>
      <c r="B143" s="296" t="s">
        <v>2672</v>
      </c>
      <c r="C143" s="297" t="s">
        <v>2941</v>
      </c>
      <c r="D143" s="297" t="s">
        <v>31</v>
      </c>
      <c r="E143" s="298" t="n">
        <v>3</v>
      </c>
      <c r="F143" s="299" t="n">
        <v>31.49</v>
      </c>
      <c r="G143" s="299" t="n">
        <f aca="false">VLOOKUP(A143,'INSUMOS SINAPI'!A:E,5,0)</f>
        <v>0</v>
      </c>
      <c r="H143" s="300" t="n">
        <f aca="false">F143-G143</f>
        <v>31.49</v>
      </c>
      <c r="I143" s="288"/>
    </row>
    <row r="144" customFormat="false" ht="21" hidden="false" customHeight="false" outlineLevel="0" collapsed="false">
      <c r="A144" s="295" t="n">
        <v>11976</v>
      </c>
      <c r="B144" s="296" t="s">
        <v>2432</v>
      </c>
      <c r="C144" s="297" t="s">
        <v>2941</v>
      </c>
      <c r="D144" s="297" t="s">
        <v>31</v>
      </c>
      <c r="E144" s="298" t="n">
        <v>1287.635348</v>
      </c>
      <c r="F144" s="299" t="n">
        <v>1.33</v>
      </c>
      <c r="G144" s="299" t="n">
        <f aca="false">VLOOKUP(A144,'INSUMOS SINAPI'!A:E,5,0)</f>
        <v>0</v>
      </c>
      <c r="H144" s="300" t="n">
        <f aca="false">F144-G144</f>
        <v>1.33</v>
      </c>
      <c r="I144" s="288"/>
    </row>
    <row r="145" customFormat="false" ht="21" hidden="false" customHeight="false" outlineLevel="0" collapsed="false">
      <c r="A145" s="295" t="n">
        <v>11975</v>
      </c>
      <c r="B145" s="296" t="s">
        <v>2913</v>
      </c>
      <c r="C145" s="297" t="s">
        <v>2941</v>
      </c>
      <c r="D145" s="297" t="s">
        <v>31</v>
      </c>
      <c r="E145" s="298" t="n">
        <v>60</v>
      </c>
      <c r="F145" s="299" t="n">
        <v>26.06</v>
      </c>
      <c r="G145" s="299" t="n">
        <f aca="false">VLOOKUP(A145,'INSUMOS SINAPI'!A:E,5,0)</f>
        <v>0</v>
      </c>
      <c r="H145" s="300" t="n">
        <f aca="false">F145-G145</f>
        <v>26.06</v>
      </c>
      <c r="I145" s="288"/>
    </row>
    <row r="146" customFormat="false" ht="15" hidden="false" customHeight="false" outlineLevel="0" collapsed="false">
      <c r="A146" s="295" t="n">
        <v>1379</v>
      </c>
      <c r="B146" s="296" t="s">
        <v>1535</v>
      </c>
      <c r="C146" s="297" t="s">
        <v>2941</v>
      </c>
      <c r="D146" s="297" t="s">
        <v>1513</v>
      </c>
      <c r="E146" s="298" t="n">
        <v>107311.297140389</v>
      </c>
      <c r="F146" s="299" t="n">
        <v>0.72</v>
      </c>
      <c r="G146" s="299" t="n">
        <f aca="false">VLOOKUP(A146,'INSUMOS SINAPI'!A:E,5,0)</f>
        <v>0.72</v>
      </c>
      <c r="H146" s="300" t="n">
        <f aca="false">F146-G146</f>
        <v>0</v>
      </c>
      <c r="I146" s="288"/>
    </row>
    <row r="147" customFormat="false" ht="21" hidden="false" customHeight="false" outlineLevel="0" collapsed="false">
      <c r="A147" s="295" t="s">
        <v>2624</v>
      </c>
      <c r="B147" s="296" t="s">
        <v>2625</v>
      </c>
      <c r="C147" s="297" t="s">
        <v>2941</v>
      </c>
      <c r="D147" s="297" t="s">
        <v>31</v>
      </c>
      <c r="E147" s="298" t="n">
        <v>1577.7</v>
      </c>
      <c r="F147" s="299" t="n">
        <v>3.87</v>
      </c>
      <c r="G147" s="299" t="e">
        <f aca="false">VLOOKUP(A147,'INSUMOS SINAPI'!A:E,5,0)</f>
        <v>#N/A</v>
      </c>
      <c r="H147" s="300" t="e">
        <f aca="false">F147-G147</f>
        <v>#N/A</v>
      </c>
      <c r="I147" s="288" t="str">
        <f aca="false">IF(F147=VLOOKUP(A147,04_PESQUISAS!A:G,7,0),"OK","NÃO")</f>
        <v>OK</v>
      </c>
    </row>
    <row r="148" customFormat="false" ht="21" hidden="false" customHeight="false" outlineLevel="0" collapsed="false">
      <c r="A148" s="295" t="n">
        <v>11134</v>
      </c>
      <c r="B148" s="296" t="s">
        <v>1536</v>
      </c>
      <c r="C148" s="297" t="s">
        <v>2941</v>
      </c>
      <c r="D148" s="297" t="s">
        <v>1477</v>
      </c>
      <c r="E148" s="298" t="n">
        <v>77</v>
      </c>
      <c r="F148" s="299" t="n">
        <v>80.98</v>
      </c>
      <c r="G148" s="299" t="n">
        <f aca="false">VLOOKUP(A148,'INSUMOS SINAPI'!A:E,5,0)</f>
        <v>80.98</v>
      </c>
      <c r="H148" s="300" t="n">
        <f aca="false">F148-G148</f>
        <v>0</v>
      </c>
      <c r="I148" s="288"/>
    </row>
    <row r="149" customFormat="false" ht="31.5" hidden="false" customHeight="false" outlineLevel="0" collapsed="false">
      <c r="A149" s="295" t="n">
        <v>1527</v>
      </c>
      <c r="B149" s="296" t="s">
        <v>1759</v>
      </c>
      <c r="C149" s="297" t="s">
        <v>2941</v>
      </c>
      <c r="D149" s="297" t="s">
        <v>1442</v>
      </c>
      <c r="E149" s="298" t="n">
        <v>0.06745948</v>
      </c>
      <c r="F149" s="299" t="n">
        <v>648.27</v>
      </c>
      <c r="G149" s="299" t="n">
        <f aca="false">VLOOKUP(A149,'INSUMOS SINAPI'!A:E,5,0)</f>
        <v>648.27</v>
      </c>
      <c r="H149" s="300" t="n">
        <f aca="false">F149-G149</f>
        <v>0</v>
      </c>
      <c r="I149" s="288"/>
    </row>
    <row r="150" customFormat="false" ht="31.5" hidden="false" customHeight="false" outlineLevel="0" collapsed="false">
      <c r="A150" s="295" t="n">
        <v>38405</v>
      </c>
      <c r="B150" s="296" t="s">
        <v>1708</v>
      </c>
      <c r="C150" s="297" t="s">
        <v>2941</v>
      </c>
      <c r="D150" s="297" t="s">
        <v>1442</v>
      </c>
      <c r="E150" s="298" t="n">
        <v>69.9918</v>
      </c>
      <c r="F150" s="299" t="n">
        <v>621.43</v>
      </c>
      <c r="G150" s="299" t="n">
        <f aca="false">VLOOKUP(A150,'INSUMOS SINAPI'!A:E,5,0)</f>
        <v>621.43</v>
      </c>
      <c r="H150" s="300" t="n">
        <f aca="false">F150-G150</f>
        <v>0</v>
      </c>
      <c r="I150" s="288"/>
    </row>
    <row r="151" customFormat="false" ht="31.5" hidden="false" customHeight="false" outlineLevel="0" collapsed="false">
      <c r="A151" s="295" t="n">
        <v>1525</v>
      </c>
      <c r="B151" s="296" t="s">
        <v>1569</v>
      </c>
      <c r="C151" s="297" t="s">
        <v>2941</v>
      </c>
      <c r="D151" s="297" t="s">
        <v>1442</v>
      </c>
      <c r="E151" s="298" t="n">
        <v>5.8512</v>
      </c>
      <c r="F151" s="299" t="n">
        <v>668.21</v>
      </c>
      <c r="G151" s="299" t="n">
        <f aca="false">VLOOKUP(A151,'INSUMOS SINAPI'!A:E,5,0)</f>
        <v>668.21</v>
      </c>
      <c r="H151" s="300" t="n">
        <f aca="false">F151-G151</f>
        <v>0</v>
      </c>
      <c r="I151" s="288"/>
    </row>
    <row r="152" customFormat="false" ht="31.5" hidden="false" customHeight="false" outlineLevel="0" collapsed="false">
      <c r="A152" s="295" t="n">
        <v>11145</v>
      </c>
      <c r="B152" s="296" t="s">
        <v>1620</v>
      </c>
      <c r="C152" s="297" t="s">
        <v>2941</v>
      </c>
      <c r="D152" s="297" t="s">
        <v>1442</v>
      </c>
      <c r="E152" s="298" t="n">
        <v>888.072553625</v>
      </c>
      <c r="F152" s="299" t="n">
        <v>688.16</v>
      </c>
      <c r="G152" s="299" t="n">
        <f aca="false">VLOOKUP(A152,'INSUMOS SINAPI'!A:E,5,0)</f>
        <v>688.16</v>
      </c>
      <c r="H152" s="300" t="n">
        <f aca="false">F152-G152</f>
        <v>0</v>
      </c>
      <c r="I152" s="288"/>
    </row>
    <row r="153" customFormat="false" ht="15" hidden="false" customHeight="false" outlineLevel="0" collapsed="false">
      <c r="A153" s="295" t="n">
        <v>39344</v>
      </c>
      <c r="B153" s="296" t="s">
        <v>2745</v>
      </c>
      <c r="C153" s="297" t="s">
        <v>2941</v>
      </c>
      <c r="D153" s="297" t="s">
        <v>31</v>
      </c>
      <c r="E153" s="298" t="n">
        <v>26</v>
      </c>
      <c r="F153" s="299" t="n">
        <v>7.79</v>
      </c>
      <c r="G153" s="299" t="n">
        <f aca="false">VLOOKUP(A153,'INSUMOS SINAPI'!A:E,5,0)</f>
        <v>7.79</v>
      </c>
      <c r="H153" s="300" t="n">
        <f aca="false">F153-G153</f>
        <v>0</v>
      </c>
      <c r="I153" s="288"/>
    </row>
    <row r="154" customFormat="false" ht="15" hidden="false" customHeight="false" outlineLevel="0" collapsed="false">
      <c r="A154" s="295" t="s">
        <v>2629</v>
      </c>
      <c r="B154" s="296" t="s">
        <v>2630</v>
      </c>
      <c r="C154" s="297" t="s">
        <v>2941</v>
      </c>
      <c r="D154" s="297" t="s">
        <v>31</v>
      </c>
      <c r="E154" s="298" t="n">
        <v>81</v>
      </c>
      <c r="F154" s="299" t="n">
        <v>56.4933333333333</v>
      </c>
      <c r="G154" s="299" t="e">
        <f aca="false">VLOOKUP(A154,'INSUMOS SINAPI'!A:E,5,0)</f>
        <v>#N/A</v>
      </c>
      <c r="H154" s="300" t="e">
        <f aca="false">F154-G154</f>
        <v>#N/A</v>
      </c>
      <c r="I154" s="288" t="str">
        <f aca="false">IF(F154=VLOOKUP(A154,04_PESQUISAS!A:G,7,0),"OK","NÃO")</f>
        <v>OK</v>
      </c>
    </row>
    <row r="155" customFormat="false" ht="15" hidden="false" customHeight="false" outlineLevel="0" collapsed="false">
      <c r="A155" s="295" t="n">
        <v>39603</v>
      </c>
      <c r="B155" s="296" t="s">
        <v>2544</v>
      </c>
      <c r="C155" s="297" t="s">
        <v>2941</v>
      </c>
      <c r="D155" s="297" t="s">
        <v>31</v>
      </c>
      <c r="E155" s="298" t="n">
        <v>914</v>
      </c>
      <c r="F155" s="299" t="n">
        <v>3.45</v>
      </c>
      <c r="G155" s="299" t="n">
        <f aca="false">VLOOKUP(A155,'INSUMOS SINAPI'!A:E,5,0)</f>
        <v>3.45</v>
      </c>
      <c r="H155" s="300" t="n">
        <f aca="false">F155-G155</f>
        <v>0</v>
      </c>
      <c r="I155" s="288"/>
    </row>
    <row r="156" customFormat="false" ht="21" hidden="false" customHeight="false" outlineLevel="0" collapsed="false">
      <c r="A156" s="295" t="n">
        <v>11855</v>
      </c>
      <c r="B156" s="296" t="s">
        <v>2639</v>
      </c>
      <c r="C156" s="297" t="s">
        <v>2941</v>
      </c>
      <c r="D156" s="297" t="s">
        <v>31</v>
      </c>
      <c r="E156" s="298" t="n">
        <v>67</v>
      </c>
      <c r="F156" s="299" t="n">
        <v>22.38</v>
      </c>
      <c r="G156" s="299" t="n">
        <f aca="false">VLOOKUP(A156,'INSUMOS SINAPI'!A:E,5,0)</f>
        <v>22.38</v>
      </c>
      <c r="H156" s="300" t="n">
        <f aca="false">F156-G156</f>
        <v>0</v>
      </c>
      <c r="I156" s="288"/>
    </row>
    <row r="157" customFormat="false" ht="31.5" hidden="false" customHeight="false" outlineLevel="0" collapsed="false">
      <c r="A157" s="295" t="n">
        <v>39280</v>
      </c>
      <c r="B157" s="296" t="s">
        <v>2759</v>
      </c>
      <c r="C157" s="297" t="s">
        <v>2941</v>
      </c>
      <c r="D157" s="297" t="s">
        <v>31</v>
      </c>
      <c r="E157" s="298" t="n">
        <v>2</v>
      </c>
      <c r="F157" s="299" t="n">
        <v>10.83</v>
      </c>
      <c r="G157" s="299" t="n">
        <f aca="false">VLOOKUP(A157,'INSUMOS SINAPI'!A:E,5,0)</f>
        <v>0</v>
      </c>
      <c r="H157" s="300" t="n">
        <f aca="false">F157-G157</f>
        <v>10.83</v>
      </c>
      <c r="I157" s="288"/>
    </row>
    <row r="158" customFormat="false" ht="52.5" hidden="false" customHeight="false" outlineLevel="0" collapsed="false">
      <c r="A158" s="295" t="n">
        <v>3104</v>
      </c>
      <c r="B158" s="296" t="s">
        <v>1859</v>
      </c>
      <c r="C158" s="297" t="s">
        <v>2941</v>
      </c>
      <c r="D158" s="297" t="s">
        <v>1538</v>
      </c>
      <c r="E158" s="298" t="n">
        <v>3</v>
      </c>
      <c r="F158" s="299" t="n">
        <v>199.25</v>
      </c>
      <c r="G158" s="299" t="n">
        <f aca="false">VLOOKUP(A158,'INSUMOS SINAPI'!A:E,5,0)</f>
        <v>199.25</v>
      </c>
      <c r="H158" s="300" t="n">
        <f aca="false">F158-G158</f>
        <v>0</v>
      </c>
      <c r="I158" s="288"/>
    </row>
    <row r="159" customFormat="false" ht="31.5" hidden="false" customHeight="false" outlineLevel="0" collapsed="false">
      <c r="A159" s="295" t="n">
        <v>1607</v>
      </c>
      <c r="B159" s="296" t="s">
        <v>1537</v>
      </c>
      <c r="C159" s="297" t="s">
        <v>2941</v>
      </c>
      <c r="D159" s="297" t="s">
        <v>1538</v>
      </c>
      <c r="E159" s="298" t="n">
        <v>112.5684</v>
      </c>
      <c r="F159" s="299" t="n">
        <v>0.2</v>
      </c>
      <c r="G159" s="299" t="n">
        <f aca="false">VLOOKUP(A159,'INSUMOS SINAPI'!A:E,5,0)</f>
        <v>0.2</v>
      </c>
      <c r="H159" s="300" t="n">
        <f aca="false">F159-G159</f>
        <v>0</v>
      </c>
      <c r="I159" s="288"/>
    </row>
    <row r="160" customFormat="false" ht="21" hidden="false" customHeight="false" outlineLevel="0" collapsed="false">
      <c r="A160" s="295" t="n">
        <v>6142</v>
      </c>
      <c r="B160" s="296" t="s">
        <v>2025</v>
      </c>
      <c r="C160" s="297" t="s">
        <v>2941</v>
      </c>
      <c r="D160" s="297" t="s">
        <v>31</v>
      </c>
      <c r="E160" s="298" t="n">
        <v>3</v>
      </c>
      <c r="F160" s="299" t="n">
        <v>9.44</v>
      </c>
      <c r="G160" s="299" t="n">
        <f aca="false">VLOOKUP(A160,'INSUMOS SINAPI'!A:E,5,0)</f>
        <v>9.44</v>
      </c>
      <c r="H160" s="300" t="n">
        <f aca="false">F160-G160</f>
        <v>0</v>
      </c>
      <c r="I160" s="288"/>
    </row>
    <row r="161" customFormat="false" ht="21" hidden="false" customHeight="false" outlineLevel="0" collapsed="false">
      <c r="A161" s="295" t="n">
        <v>3448</v>
      </c>
      <c r="B161" s="296" t="s">
        <v>2688</v>
      </c>
      <c r="C161" s="297" t="s">
        <v>2941</v>
      </c>
      <c r="D161" s="297" t="s">
        <v>31</v>
      </c>
      <c r="E161" s="298" t="n">
        <v>2</v>
      </c>
      <c r="F161" s="299" t="n">
        <v>164.62</v>
      </c>
      <c r="G161" s="299" t="n">
        <f aca="false">VLOOKUP(A161,'INSUMOS SINAPI'!A:E,5,0)</f>
        <v>0</v>
      </c>
      <c r="H161" s="300" t="n">
        <f aca="false">F161-G161</f>
        <v>164.62</v>
      </c>
      <c r="I161" s="288"/>
    </row>
    <row r="162" customFormat="false" ht="21" hidden="false" customHeight="false" outlineLevel="0" collapsed="false">
      <c r="A162" s="295" t="n">
        <v>3470</v>
      </c>
      <c r="B162" s="296" t="s">
        <v>2684</v>
      </c>
      <c r="C162" s="297" t="s">
        <v>2941</v>
      </c>
      <c r="D162" s="297" t="s">
        <v>31</v>
      </c>
      <c r="E162" s="298" t="n">
        <v>21</v>
      </c>
      <c r="F162" s="299" t="n">
        <v>101.37</v>
      </c>
      <c r="G162" s="299" t="n">
        <f aca="false">VLOOKUP(A162,'INSUMOS SINAPI'!A:E,5,0)</f>
        <v>0</v>
      </c>
      <c r="H162" s="300" t="n">
        <f aca="false">F162-G162</f>
        <v>101.37</v>
      </c>
      <c r="I162" s="288"/>
    </row>
    <row r="163" customFormat="false" ht="21" hidden="false" customHeight="false" outlineLevel="0" collapsed="false">
      <c r="A163" s="295" t="n">
        <v>3459</v>
      </c>
      <c r="B163" s="296" t="s">
        <v>2686</v>
      </c>
      <c r="C163" s="297" t="s">
        <v>2941</v>
      </c>
      <c r="D163" s="297" t="s">
        <v>31</v>
      </c>
      <c r="E163" s="298" t="n">
        <v>2</v>
      </c>
      <c r="F163" s="299" t="n">
        <v>142.98</v>
      </c>
      <c r="G163" s="299" t="n">
        <f aca="false">VLOOKUP(A163,'INSUMOS SINAPI'!A:E,5,0)</f>
        <v>0</v>
      </c>
      <c r="H163" s="300" t="n">
        <f aca="false">F163-G163</f>
        <v>142.98</v>
      </c>
      <c r="I163" s="288"/>
    </row>
    <row r="164" customFormat="false" ht="21" hidden="false" customHeight="false" outlineLevel="0" collapsed="false">
      <c r="A164" s="295" t="n">
        <v>1743</v>
      </c>
      <c r="B164" s="296" t="s">
        <v>2074</v>
      </c>
      <c r="C164" s="297" t="s">
        <v>2941</v>
      </c>
      <c r="D164" s="297" t="s">
        <v>31</v>
      </c>
      <c r="E164" s="298" t="n">
        <v>5</v>
      </c>
      <c r="F164" s="299" t="n">
        <v>174.85</v>
      </c>
      <c r="G164" s="299" t="n">
        <f aca="false">VLOOKUP(A164,'INSUMOS SINAPI'!A:E,5,0)</f>
        <v>174.85</v>
      </c>
      <c r="H164" s="300" t="n">
        <f aca="false">F164-G164</f>
        <v>0</v>
      </c>
      <c r="I164" s="288"/>
    </row>
    <row r="165" customFormat="false" ht="31.5" hidden="false" customHeight="false" outlineLevel="0" collapsed="false">
      <c r="A165" s="295" t="n">
        <v>2617</v>
      </c>
      <c r="B165" s="296" t="s">
        <v>2382</v>
      </c>
      <c r="C165" s="297" t="s">
        <v>2941</v>
      </c>
      <c r="D165" s="297" t="s">
        <v>31</v>
      </c>
      <c r="E165" s="298" t="n">
        <v>1</v>
      </c>
      <c r="F165" s="299" t="n">
        <v>5.29</v>
      </c>
      <c r="G165" s="299" t="n">
        <f aca="false">VLOOKUP(A165,'INSUMOS SINAPI'!A:E,5,0)</f>
        <v>5.29</v>
      </c>
      <c r="H165" s="300" t="n">
        <f aca="false">F165-G165</f>
        <v>0</v>
      </c>
      <c r="I165" s="288"/>
    </row>
    <row r="166" customFormat="false" ht="21" hidden="false" customHeight="false" outlineLevel="0" collapsed="false">
      <c r="A166" s="295" t="n">
        <v>1879</v>
      </c>
      <c r="B166" s="296" t="s">
        <v>2747</v>
      </c>
      <c r="C166" s="297" t="s">
        <v>2941</v>
      </c>
      <c r="D166" s="297" t="s">
        <v>31</v>
      </c>
      <c r="E166" s="298" t="n">
        <v>11</v>
      </c>
      <c r="F166" s="299" t="n">
        <v>1.64</v>
      </c>
      <c r="G166" s="299" t="n">
        <f aca="false">VLOOKUP(A166,'INSUMOS SINAPI'!A:E,5,0)</f>
        <v>1.64</v>
      </c>
      <c r="H166" s="300" t="n">
        <f aca="false">F166-G166</f>
        <v>0</v>
      </c>
      <c r="I166" s="288"/>
    </row>
    <row r="167" customFormat="false" ht="15" hidden="false" customHeight="false" outlineLevel="0" collapsed="false">
      <c r="A167" s="295" t="s">
        <v>2609</v>
      </c>
      <c r="B167" s="296" t="s">
        <v>2610</v>
      </c>
      <c r="C167" s="297" t="s">
        <v>2941</v>
      </c>
      <c r="D167" s="297" t="s">
        <v>31</v>
      </c>
      <c r="E167" s="298" t="n">
        <v>6</v>
      </c>
      <c r="F167" s="299" t="n">
        <v>9.73</v>
      </c>
      <c r="G167" s="299" t="e">
        <f aca="false">VLOOKUP(A167,'INSUMOS SINAPI'!A:E,5,0)</f>
        <v>#N/A</v>
      </c>
      <c r="H167" s="300" t="e">
        <f aca="false">F167-G167</f>
        <v>#N/A</v>
      </c>
      <c r="I167" s="288" t="str">
        <f aca="false">IF(F167=VLOOKUP(A167,04_PESQUISAS!A:G,7,0),"OK","NÃO")</f>
        <v>OK</v>
      </c>
    </row>
    <row r="168" customFormat="false" ht="21" hidden="false" customHeight="false" outlineLevel="0" collapsed="false">
      <c r="A168" s="295" t="s">
        <v>2567</v>
      </c>
      <c r="B168" s="296" t="s">
        <v>2568</v>
      </c>
      <c r="C168" s="297" t="s">
        <v>2941</v>
      </c>
      <c r="D168" s="297" t="s">
        <v>31</v>
      </c>
      <c r="E168" s="298" t="n">
        <v>3</v>
      </c>
      <c r="F168" s="299" t="n">
        <v>37.8766666666667</v>
      </c>
      <c r="G168" s="299" t="e">
        <f aca="false">VLOOKUP(A168,'INSUMOS SINAPI'!A:E,5,0)</f>
        <v>#N/A</v>
      </c>
      <c r="H168" s="300" t="e">
        <f aca="false">F168-G168</f>
        <v>#N/A</v>
      </c>
      <c r="I168" s="288" t="str">
        <f aca="false">IF(F168=VLOOKUP(A168,04_PESQUISAS!A:G,7,0),"OK","NÃO")</f>
        <v>OK</v>
      </c>
    </row>
    <row r="169" customFormat="false" ht="21" hidden="false" customHeight="false" outlineLevel="0" collapsed="false">
      <c r="A169" s="295" t="s">
        <v>2573</v>
      </c>
      <c r="B169" s="296" t="s">
        <v>2574</v>
      </c>
      <c r="C169" s="297" t="s">
        <v>2941</v>
      </c>
      <c r="D169" s="297" t="s">
        <v>31</v>
      </c>
      <c r="E169" s="298" t="n">
        <v>5</v>
      </c>
      <c r="F169" s="299" t="n">
        <v>26.2533333333333</v>
      </c>
      <c r="G169" s="299" t="e">
        <f aca="false">VLOOKUP(A169,'INSUMOS SINAPI'!A:E,5,0)</f>
        <v>#N/A</v>
      </c>
      <c r="H169" s="300" t="e">
        <f aca="false">F169-G169</f>
        <v>#N/A</v>
      </c>
      <c r="I169" s="288" t="str">
        <f aca="false">IF(F169=VLOOKUP(A169,04_PESQUISAS!A:G,7,0),"OK","NÃO")</f>
        <v>OK</v>
      </c>
    </row>
    <row r="170" customFormat="false" ht="21" hidden="false" customHeight="false" outlineLevel="0" collapsed="false">
      <c r="A170" s="295" t="s">
        <v>2400</v>
      </c>
      <c r="B170" s="296" t="s">
        <v>2401</v>
      </c>
      <c r="C170" s="297" t="s">
        <v>2941</v>
      </c>
      <c r="D170" s="297" t="s">
        <v>31</v>
      </c>
      <c r="E170" s="298" t="n">
        <v>4</v>
      </c>
      <c r="F170" s="299" t="n">
        <v>9.50666666666667</v>
      </c>
      <c r="G170" s="299" t="e">
        <f aca="false">VLOOKUP(A170,'INSUMOS SINAPI'!A:E,5,0)</f>
        <v>#N/A</v>
      </c>
      <c r="H170" s="300" t="e">
        <f aca="false">F170-G170</f>
        <v>#N/A</v>
      </c>
      <c r="I170" s="288" t="str">
        <f aca="false">IF(F170=VLOOKUP(A170,04_PESQUISAS!A:G,7,0),"OK","NÃO")</f>
        <v>OK</v>
      </c>
    </row>
    <row r="171" customFormat="false" ht="21" hidden="false" customHeight="false" outlineLevel="0" collapsed="false">
      <c r="A171" s="295" t="s">
        <v>2405</v>
      </c>
      <c r="B171" s="296" t="s">
        <v>2406</v>
      </c>
      <c r="C171" s="297" t="s">
        <v>2941</v>
      </c>
      <c r="D171" s="297" t="s">
        <v>31</v>
      </c>
      <c r="E171" s="298" t="n">
        <v>1</v>
      </c>
      <c r="F171" s="299" t="n">
        <v>13.9366666666667</v>
      </c>
      <c r="G171" s="299" t="e">
        <f aca="false">VLOOKUP(A171,'INSUMOS SINAPI'!A:E,5,0)</f>
        <v>#N/A</v>
      </c>
      <c r="H171" s="300" t="e">
        <f aca="false">F171-G171</f>
        <v>#N/A</v>
      </c>
      <c r="I171" s="288" t="str">
        <f aca="false">IF(F171=VLOOKUP(A171,04_PESQUISAS!A:G,7,0),"OK","NÃO")</f>
        <v>OK</v>
      </c>
    </row>
    <row r="172" customFormat="false" ht="21" hidden="false" customHeight="false" outlineLevel="0" collapsed="false">
      <c r="A172" s="295" t="s">
        <v>2410</v>
      </c>
      <c r="B172" s="296" t="s">
        <v>2411</v>
      </c>
      <c r="C172" s="297" t="s">
        <v>2941</v>
      </c>
      <c r="D172" s="297" t="s">
        <v>31</v>
      </c>
      <c r="E172" s="298" t="n">
        <v>2</v>
      </c>
      <c r="F172" s="299" t="n">
        <v>13.8333333333333</v>
      </c>
      <c r="G172" s="299" t="e">
        <f aca="false">VLOOKUP(A172,'INSUMOS SINAPI'!A:E,5,0)</f>
        <v>#N/A</v>
      </c>
      <c r="H172" s="300" t="e">
        <f aca="false">F172-G172</f>
        <v>#N/A</v>
      </c>
      <c r="I172" s="288" t="str">
        <f aca="false">IF(F172=VLOOKUP(A172,04_PESQUISAS!A:G,7,0),"OK","NÃO")</f>
        <v>OK</v>
      </c>
    </row>
    <row r="173" customFormat="false" ht="21" hidden="false" customHeight="false" outlineLevel="0" collapsed="false">
      <c r="A173" s="295" t="s">
        <v>2570</v>
      </c>
      <c r="B173" s="296" t="s">
        <v>2571</v>
      </c>
      <c r="C173" s="297" t="s">
        <v>2941</v>
      </c>
      <c r="D173" s="297" t="s">
        <v>31</v>
      </c>
      <c r="E173" s="298" t="n">
        <v>5</v>
      </c>
      <c r="F173" s="299" t="n">
        <v>22.84</v>
      </c>
      <c r="G173" s="299" t="e">
        <f aca="false">VLOOKUP(A173,'INSUMOS SINAPI'!A:E,5,0)</f>
        <v>#N/A</v>
      </c>
      <c r="H173" s="300" t="e">
        <f aca="false">F173-G173</f>
        <v>#N/A</v>
      </c>
      <c r="I173" s="288" t="str">
        <f aca="false">IF(F173=VLOOKUP(A173,04_PESQUISAS!A:G,7,0),"OK","NÃO")</f>
        <v>OK</v>
      </c>
    </row>
    <row r="174" customFormat="false" ht="21" hidden="false" customHeight="false" outlineLevel="0" collapsed="false">
      <c r="A174" s="295" t="s">
        <v>2413</v>
      </c>
      <c r="B174" s="296" t="s">
        <v>2414</v>
      </c>
      <c r="C174" s="297" t="s">
        <v>2941</v>
      </c>
      <c r="D174" s="297" t="s">
        <v>31</v>
      </c>
      <c r="E174" s="298" t="n">
        <v>2</v>
      </c>
      <c r="F174" s="299" t="n">
        <v>16.9633333333333</v>
      </c>
      <c r="G174" s="299" t="e">
        <f aca="false">VLOOKUP(A174,'INSUMOS SINAPI'!A:E,5,0)</f>
        <v>#N/A</v>
      </c>
      <c r="H174" s="300" t="e">
        <f aca="false">F174-G174</f>
        <v>#N/A</v>
      </c>
      <c r="I174" s="288" t="str">
        <f aca="false">IF(F174=VLOOKUP(A174,04_PESQUISAS!A:G,7,0),"OK","NÃO")</f>
        <v>OK</v>
      </c>
    </row>
    <row r="175" customFormat="false" ht="15" hidden="false" customHeight="false" outlineLevel="0" collapsed="false">
      <c r="A175" s="295" t="n">
        <v>1966</v>
      </c>
      <c r="B175" s="296" t="s">
        <v>2126</v>
      </c>
      <c r="C175" s="297" t="s">
        <v>2941</v>
      </c>
      <c r="D175" s="297" t="s">
        <v>31</v>
      </c>
      <c r="E175" s="298" t="n">
        <v>35</v>
      </c>
      <c r="F175" s="299" t="n">
        <v>24.78</v>
      </c>
      <c r="G175" s="299" t="n">
        <f aca="false">VLOOKUP(A175,'INSUMOS SINAPI'!A:E,5,0)</f>
        <v>24.78</v>
      </c>
      <c r="H175" s="300" t="n">
        <f aca="false">F175-G175</f>
        <v>0</v>
      </c>
      <c r="I175" s="288"/>
    </row>
    <row r="176" customFormat="false" ht="15" hidden="false" customHeight="false" outlineLevel="0" collapsed="false">
      <c r="A176" s="295" t="n">
        <v>1933</v>
      </c>
      <c r="B176" s="296" t="s">
        <v>2128</v>
      </c>
      <c r="C176" s="297" t="s">
        <v>2941</v>
      </c>
      <c r="D176" s="297" t="s">
        <v>31</v>
      </c>
      <c r="E176" s="298" t="n">
        <v>33</v>
      </c>
      <c r="F176" s="299" t="n">
        <v>5.34</v>
      </c>
      <c r="G176" s="299" t="n">
        <f aca="false">VLOOKUP(A176,'INSUMOS SINAPI'!A:E,5,0)</f>
        <v>5.34</v>
      </c>
      <c r="H176" s="300" t="n">
        <f aca="false">F176-G176</f>
        <v>0</v>
      </c>
      <c r="I176" s="288"/>
    </row>
    <row r="177" customFormat="false" ht="15" hidden="false" customHeight="false" outlineLevel="0" collapsed="false">
      <c r="A177" s="295" t="n">
        <v>1932</v>
      </c>
      <c r="B177" s="296" t="s">
        <v>2194</v>
      </c>
      <c r="C177" s="297" t="s">
        <v>2941</v>
      </c>
      <c r="D177" s="297" t="s">
        <v>31</v>
      </c>
      <c r="E177" s="298" t="n">
        <v>4</v>
      </c>
      <c r="F177" s="299" t="n">
        <v>12.22</v>
      </c>
      <c r="G177" s="299" t="n">
        <f aca="false">VLOOKUP(A177,'INSUMOS SINAPI'!A:E,5,0)</f>
        <v>12.22</v>
      </c>
      <c r="H177" s="300" t="n">
        <f aca="false">F177-G177</f>
        <v>0</v>
      </c>
      <c r="I177" s="288"/>
    </row>
    <row r="178" customFormat="false" ht="15" hidden="false" customHeight="false" outlineLevel="0" collapsed="false">
      <c r="A178" s="295" t="n">
        <v>1951</v>
      </c>
      <c r="B178" s="296" t="s">
        <v>2131</v>
      </c>
      <c r="C178" s="297" t="s">
        <v>2941</v>
      </c>
      <c r="D178" s="297" t="s">
        <v>31</v>
      </c>
      <c r="E178" s="298" t="n">
        <v>1</v>
      </c>
      <c r="F178" s="299" t="n">
        <v>25.5</v>
      </c>
      <c r="G178" s="299" t="n">
        <f aca="false">VLOOKUP(A178,'INSUMOS SINAPI'!A:E,5,0)</f>
        <v>25.5</v>
      </c>
      <c r="H178" s="300" t="n">
        <f aca="false">F178-G178</f>
        <v>0</v>
      </c>
      <c r="I178" s="288"/>
    </row>
    <row r="179" customFormat="false" ht="21" hidden="false" customHeight="false" outlineLevel="0" collapsed="false">
      <c r="A179" s="295" t="s">
        <v>2416</v>
      </c>
      <c r="B179" s="296" t="s">
        <v>2417</v>
      </c>
      <c r="C179" s="297" t="s">
        <v>2941</v>
      </c>
      <c r="D179" s="297" t="s">
        <v>31</v>
      </c>
      <c r="E179" s="298" t="n">
        <v>1</v>
      </c>
      <c r="F179" s="299" t="n">
        <v>15.9566666666667</v>
      </c>
      <c r="G179" s="299" t="e">
        <f aca="false">VLOOKUP(A179,'INSUMOS SINAPI'!A:E,5,0)</f>
        <v>#N/A</v>
      </c>
      <c r="H179" s="300" t="e">
        <f aca="false">F179-G179</f>
        <v>#N/A</v>
      </c>
      <c r="I179" s="288" t="str">
        <f aca="false">IF(F179=VLOOKUP(A179,04_PESQUISAS!A:G,7,0),"OK","NÃO")</f>
        <v>OK</v>
      </c>
    </row>
    <row r="180" customFormat="false" ht="15" hidden="false" customHeight="false" outlineLevel="0" collapsed="false">
      <c r="A180" s="295" t="s">
        <v>2582</v>
      </c>
      <c r="B180" s="296" t="s">
        <v>2583</v>
      </c>
      <c r="C180" s="297" t="s">
        <v>2941</v>
      </c>
      <c r="D180" s="297" t="s">
        <v>31</v>
      </c>
      <c r="E180" s="298" t="n">
        <v>65</v>
      </c>
      <c r="F180" s="299" t="n">
        <v>660.423333333333</v>
      </c>
      <c r="G180" s="299" t="e">
        <f aca="false">VLOOKUP(A180,'INSUMOS SINAPI'!A:E,5,0)</f>
        <v>#N/A</v>
      </c>
      <c r="H180" s="300" t="e">
        <f aca="false">F180-G180</f>
        <v>#N/A</v>
      </c>
      <c r="I180" s="288" t="str">
        <f aca="false">IF(F180=VLOOKUP(A180,04_PESQUISAS!A:G,7,0),"OK","NÃO")</f>
        <v>OK</v>
      </c>
    </row>
    <row r="181" customFormat="false" ht="15" hidden="false" customHeight="false" outlineLevel="0" collapsed="false">
      <c r="A181" s="295" t="n">
        <v>44330</v>
      </c>
      <c r="B181" s="296" t="s">
        <v>2926</v>
      </c>
      <c r="C181" s="297" t="s">
        <v>2941</v>
      </c>
      <c r="D181" s="297" t="s">
        <v>1452</v>
      </c>
      <c r="E181" s="298" t="n">
        <v>15.2824</v>
      </c>
      <c r="F181" s="299" t="n">
        <v>9.69</v>
      </c>
      <c r="G181" s="299" t="n">
        <f aca="false">VLOOKUP(A181,'INSUMOS SINAPI'!A:E,5,0)</f>
        <v>9.69</v>
      </c>
      <c r="H181" s="300" t="n">
        <f aca="false">F181-G181</f>
        <v>0</v>
      </c>
      <c r="I181" s="288"/>
    </row>
    <row r="182" customFormat="false" ht="21" hidden="false" customHeight="false" outlineLevel="0" collapsed="false">
      <c r="A182" s="295" t="n">
        <v>2692</v>
      </c>
      <c r="B182" s="296" t="s">
        <v>1570</v>
      </c>
      <c r="C182" s="297" t="s">
        <v>2941</v>
      </c>
      <c r="D182" s="297" t="s">
        <v>1452</v>
      </c>
      <c r="E182" s="298" t="n">
        <v>49.192350068</v>
      </c>
      <c r="F182" s="299" t="n">
        <v>6.52</v>
      </c>
      <c r="G182" s="299" t="n">
        <f aca="false">VLOOKUP(A182,'INSUMOS SINAPI'!A:E,5,0)</f>
        <v>6.52</v>
      </c>
      <c r="H182" s="300" t="n">
        <f aca="false">F182-G182</f>
        <v>0</v>
      </c>
      <c r="I182" s="288"/>
    </row>
    <row r="183" customFormat="false" ht="15" hidden="false" customHeight="false" outlineLevel="0" collapsed="false">
      <c r="A183" s="295" t="s">
        <v>2741</v>
      </c>
      <c r="B183" s="296" t="s">
        <v>2742</v>
      </c>
      <c r="C183" s="297" t="s">
        <v>2941</v>
      </c>
      <c r="D183" s="297" t="s">
        <v>31</v>
      </c>
      <c r="E183" s="298" t="n">
        <v>1</v>
      </c>
      <c r="F183" s="299" t="n">
        <v>143.666666666667</v>
      </c>
      <c r="G183" s="299" t="e">
        <f aca="false">VLOOKUP(A183,'INSUMOS SINAPI'!A:E,5,0)</f>
        <v>#N/A</v>
      </c>
      <c r="H183" s="300" t="e">
        <f aca="false">F183-G183</f>
        <v>#N/A</v>
      </c>
      <c r="I183" s="288" t="str">
        <f aca="false">IF(F183=VLOOKUP(A183,04_PESQUISAS!A:G,7,0),"OK","NÃO")</f>
        <v>OK</v>
      </c>
    </row>
    <row r="184" customFormat="false" ht="15" hidden="false" customHeight="false" outlineLevel="0" collapsed="false">
      <c r="A184" s="295" t="n">
        <v>44329</v>
      </c>
      <c r="B184" s="296" t="s">
        <v>2920</v>
      </c>
      <c r="C184" s="297" t="s">
        <v>2941</v>
      </c>
      <c r="D184" s="297" t="s">
        <v>1452</v>
      </c>
      <c r="E184" s="298" t="n">
        <v>29.21648</v>
      </c>
      <c r="F184" s="299" t="n">
        <v>12.7</v>
      </c>
      <c r="G184" s="299" t="n">
        <f aca="false">VLOOKUP(A184,'INSUMOS SINAPI'!A:E,5,0)</f>
        <v>12.7</v>
      </c>
      <c r="H184" s="300" t="n">
        <f aca="false">F184-G184</f>
        <v>0</v>
      </c>
      <c r="I184" s="288"/>
    </row>
    <row r="185" customFormat="false" ht="15" hidden="false" customHeight="false" outlineLevel="0" collapsed="false">
      <c r="A185" s="295" t="s">
        <v>2849</v>
      </c>
      <c r="B185" s="296" t="s">
        <v>2850</v>
      </c>
      <c r="C185" s="297" t="s">
        <v>2941</v>
      </c>
      <c r="D185" s="297" t="s">
        <v>31</v>
      </c>
      <c r="E185" s="298" t="n">
        <v>28</v>
      </c>
      <c r="F185" s="299" t="n">
        <v>48.4066666666667</v>
      </c>
      <c r="G185" s="299" t="e">
        <f aca="false">VLOOKUP(A185,'INSUMOS SINAPI'!A:E,5,0)</f>
        <v>#N/A</v>
      </c>
      <c r="H185" s="300" t="e">
        <f aca="false">F185-G185</f>
        <v>#N/A</v>
      </c>
      <c r="I185" s="288" t="str">
        <f aca="false">IF(F185=VLOOKUP(A185,04_PESQUISAS!A:G,7,0),"OK","NÃO")</f>
        <v>OK</v>
      </c>
    </row>
    <row r="186" customFormat="false" ht="15" hidden="false" customHeight="false" outlineLevel="0" collapsed="false">
      <c r="A186" s="295" t="s">
        <v>2852</v>
      </c>
      <c r="B186" s="296" t="s">
        <v>2853</v>
      </c>
      <c r="C186" s="297" t="s">
        <v>2941</v>
      </c>
      <c r="D186" s="297" t="s">
        <v>31</v>
      </c>
      <c r="E186" s="298" t="n">
        <v>6</v>
      </c>
      <c r="F186" s="299" t="n">
        <v>70.3333333333333</v>
      </c>
      <c r="G186" s="299" t="e">
        <f aca="false">VLOOKUP(A186,'INSUMOS SINAPI'!A:E,5,0)</f>
        <v>#N/A</v>
      </c>
      <c r="H186" s="300" t="e">
        <f aca="false">F186-G186</f>
        <v>#N/A</v>
      </c>
      <c r="I186" s="288" t="str">
        <f aca="false">IF(F186=VLOOKUP(A186,04_PESQUISAS!A:G,7,0),"OK","NÃO")</f>
        <v>OK</v>
      </c>
    </row>
    <row r="187" customFormat="false" ht="15" hidden="false" customHeight="false" outlineLevel="0" collapsed="false">
      <c r="A187" s="295" t="n">
        <v>5318</v>
      </c>
      <c r="B187" s="296" t="s">
        <v>1732</v>
      </c>
      <c r="C187" s="297" t="s">
        <v>2941</v>
      </c>
      <c r="D187" s="297" t="s">
        <v>1452</v>
      </c>
      <c r="E187" s="298" t="n">
        <v>37.7338046375</v>
      </c>
      <c r="F187" s="299" t="n">
        <v>20.54</v>
      </c>
      <c r="G187" s="299" t="n">
        <f aca="false">VLOOKUP(A187,'INSUMOS SINAPI'!A:E,5,0)</f>
        <v>20.54</v>
      </c>
      <c r="H187" s="300" t="n">
        <f aca="false">F187-G187</f>
        <v>0</v>
      </c>
      <c r="I187" s="288"/>
    </row>
    <row r="188" customFormat="false" ht="15" hidden="false" customHeight="false" outlineLevel="0" collapsed="false">
      <c r="A188" s="295" t="n">
        <v>5330</v>
      </c>
      <c r="B188" s="296" t="s">
        <v>1959</v>
      </c>
      <c r="C188" s="297" t="s">
        <v>2941</v>
      </c>
      <c r="D188" s="297" t="s">
        <v>1452</v>
      </c>
      <c r="E188" s="298" t="n">
        <v>7.52512</v>
      </c>
      <c r="F188" s="299" t="n">
        <v>46.82</v>
      </c>
      <c r="G188" s="299" t="n">
        <f aca="false">VLOOKUP(A188,'INSUMOS SINAPI'!A:E,5,0)</f>
        <v>46.82</v>
      </c>
      <c r="H188" s="300" t="n">
        <f aca="false">F188-G188</f>
        <v>0</v>
      </c>
      <c r="I188" s="288"/>
    </row>
    <row r="189" customFormat="false" ht="21" hidden="false" customHeight="false" outlineLevel="0" collapsed="false">
      <c r="A189" s="295" t="n">
        <v>13887</v>
      </c>
      <c r="B189" s="296" t="s">
        <v>1711</v>
      </c>
      <c r="C189" s="297" t="s">
        <v>2941</v>
      </c>
      <c r="D189" s="297" t="s">
        <v>31</v>
      </c>
      <c r="E189" s="298" t="n">
        <v>0.004899247632</v>
      </c>
      <c r="F189" s="299" t="n">
        <v>755.25</v>
      </c>
      <c r="G189" s="299" t="n">
        <f aca="false">VLOOKUP(A189,'INSUMOS SINAPI'!A:E,5,0)</f>
        <v>0</v>
      </c>
      <c r="H189" s="300" t="n">
        <f aca="false">F189-G189</f>
        <v>755.25</v>
      </c>
      <c r="I189" s="288"/>
    </row>
    <row r="190" customFormat="false" ht="21" hidden="false" customHeight="false" outlineLevel="0" collapsed="false">
      <c r="A190" s="295" t="n">
        <v>34653</v>
      </c>
      <c r="B190" s="296" t="s">
        <v>2473</v>
      </c>
      <c r="C190" s="297" t="s">
        <v>2941</v>
      </c>
      <c r="D190" s="297" t="s">
        <v>31</v>
      </c>
      <c r="E190" s="298" t="n">
        <v>122</v>
      </c>
      <c r="F190" s="299" t="n">
        <v>8.54</v>
      </c>
      <c r="G190" s="299" t="n">
        <f aca="false">VLOOKUP(A190,'INSUMOS SINAPI'!A:E,5,0)</f>
        <v>8.54</v>
      </c>
      <c r="H190" s="300" t="n">
        <f aca="false">F190-G190</f>
        <v>0</v>
      </c>
      <c r="I190" s="288"/>
    </row>
    <row r="191" customFormat="false" ht="21" hidden="false" customHeight="false" outlineLevel="0" collapsed="false">
      <c r="A191" s="295" t="n">
        <v>34709</v>
      </c>
      <c r="B191" s="296" t="s">
        <v>2479</v>
      </c>
      <c r="C191" s="297" t="s">
        <v>2941</v>
      </c>
      <c r="D191" s="297" t="s">
        <v>31</v>
      </c>
      <c r="E191" s="298" t="n">
        <v>14</v>
      </c>
      <c r="F191" s="299" t="n">
        <v>59.97</v>
      </c>
      <c r="G191" s="299" t="n">
        <f aca="false">VLOOKUP(A191,'INSUMOS SINAPI'!A:E,5,0)</f>
        <v>59.97</v>
      </c>
      <c r="H191" s="300" t="n">
        <f aca="false">F191-G191</f>
        <v>0</v>
      </c>
      <c r="I191" s="288"/>
    </row>
    <row r="192" customFormat="false" ht="21" hidden="false" customHeight="false" outlineLevel="0" collapsed="false">
      <c r="A192" s="295" t="n">
        <v>34714</v>
      </c>
      <c r="B192" s="296" t="s">
        <v>2483</v>
      </c>
      <c r="C192" s="297" t="s">
        <v>2941</v>
      </c>
      <c r="D192" s="297" t="s">
        <v>31</v>
      </c>
      <c r="E192" s="298" t="n">
        <v>5</v>
      </c>
      <c r="F192" s="299" t="n">
        <v>71.63</v>
      </c>
      <c r="G192" s="299" t="n">
        <f aca="false">VLOOKUP(A192,'INSUMOS SINAPI'!A:E,5,0)</f>
        <v>71.63</v>
      </c>
      <c r="H192" s="300" t="n">
        <f aca="false">F192-G192</f>
        <v>0</v>
      </c>
      <c r="I192" s="288"/>
    </row>
    <row r="193" customFormat="false" ht="15" hidden="false" customHeight="false" outlineLevel="0" collapsed="false">
      <c r="A193" s="295" t="n">
        <v>2391</v>
      </c>
      <c r="B193" s="296" t="s">
        <v>2485</v>
      </c>
      <c r="C193" s="297" t="s">
        <v>2941</v>
      </c>
      <c r="D193" s="297" t="s">
        <v>31</v>
      </c>
      <c r="E193" s="298" t="n">
        <v>2</v>
      </c>
      <c r="F193" s="299" t="n">
        <v>327.13</v>
      </c>
      <c r="G193" s="299" t="n">
        <f aca="false">VLOOKUP(A193,'INSUMOS SINAPI'!A:E,5,0)</f>
        <v>327.13</v>
      </c>
      <c r="H193" s="300" t="n">
        <f aca="false">F193-G193</f>
        <v>0</v>
      </c>
      <c r="I193" s="288"/>
    </row>
    <row r="194" customFormat="false" ht="15" hidden="false" customHeight="false" outlineLevel="0" collapsed="false">
      <c r="A194" s="295" t="n">
        <v>2393</v>
      </c>
      <c r="B194" s="296" t="s">
        <v>2488</v>
      </c>
      <c r="C194" s="297" t="s">
        <v>2941</v>
      </c>
      <c r="D194" s="297" t="s">
        <v>31</v>
      </c>
      <c r="E194" s="298" t="n">
        <v>2</v>
      </c>
      <c r="F194" s="299" t="n">
        <v>872.19</v>
      </c>
      <c r="G194" s="299" t="n">
        <f aca="false">VLOOKUP(A194,'INSUMOS SINAPI'!A:E,5,0)</f>
        <v>872.19</v>
      </c>
      <c r="H194" s="300" t="n">
        <f aca="false">F194-G194</f>
        <v>0</v>
      </c>
      <c r="I194" s="288"/>
    </row>
    <row r="195" customFormat="false" ht="21" hidden="false" customHeight="false" outlineLevel="0" collapsed="false">
      <c r="A195" s="295" t="s">
        <v>2643</v>
      </c>
      <c r="B195" s="296" t="s">
        <v>2644</v>
      </c>
      <c r="C195" s="297" t="s">
        <v>2941</v>
      </c>
      <c r="D195" s="297" t="s">
        <v>31</v>
      </c>
      <c r="E195" s="298" t="n">
        <v>1</v>
      </c>
      <c r="F195" s="299" t="n">
        <v>108.36</v>
      </c>
      <c r="G195" s="299" t="e">
        <f aca="false">VLOOKUP(A195,'INSUMOS SINAPI'!A:E,5,0)</f>
        <v>#N/A</v>
      </c>
      <c r="H195" s="300" t="e">
        <f aca="false">F195-G195</f>
        <v>#N/A</v>
      </c>
      <c r="I195" s="288" t="str">
        <f aca="false">IF(F195=VLOOKUP(A195,04_PESQUISAS!A:G,7,0),"OK","NÃO")</f>
        <v>OK</v>
      </c>
    </row>
    <row r="196" customFormat="false" ht="21" hidden="false" customHeight="false" outlineLevel="0" collapsed="false">
      <c r="A196" s="295" t="n">
        <v>39470</v>
      </c>
      <c r="B196" s="296" t="s">
        <v>2641</v>
      </c>
      <c r="C196" s="297" t="s">
        <v>2941</v>
      </c>
      <c r="D196" s="297" t="s">
        <v>31</v>
      </c>
      <c r="E196" s="298" t="n">
        <v>1</v>
      </c>
      <c r="F196" s="299" t="n">
        <v>81.8</v>
      </c>
      <c r="G196" s="299" t="n">
        <f aca="false">VLOOKUP(A196,'INSUMOS SINAPI'!A:E,5,0)</f>
        <v>81.8</v>
      </c>
      <c r="H196" s="300" t="n">
        <f aca="false">F196-G196</f>
        <v>0</v>
      </c>
      <c r="I196" s="288"/>
    </row>
    <row r="197" customFormat="false" ht="21" hidden="false" customHeight="false" outlineLevel="0" collapsed="false">
      <c r="A197" s="295" t="n">
        <v>39472</v>
      </c>
      <c r="B197" s="296" t="s">
        <v>2493</v>
      </c>
      <c r="C197" s="297" t="s">
        <v>2941</v>
      </c>
      <c r="D197" s="297" t="s">
        <v>31</v>
      </c>
      <c r="E197" s="298" t="n">
        <v>8</v>
      </c>
      <c r="F197" s="299" t="n">
        <v>170.81</v>
      </c>
      <c r="G197" s="299" t="n">
        <f aca="false">VLOOKUP(A197,'INSUMOS SINAPI'!A:E,5,0)</f>
        <v>170.81</v>
      </c>
      <c r="H197" s="300" t="n">
        <f aca="false">F197-G197</f>
        <v>0</v>
      </c>
      <c r="I197" s="288"/>
    </row>
    <row r="198" customFormat="false" ht="21" hidden="false" customHeight="false" outlineLevel="0" collapsed="false">
      <c r="A198" s="295" t="n">
        <v>39445</v>
      </c>
      <c r="B198" s="296" t="s">
        <v>2491</v>
      </c>
      <c r="C198" s="297" t="s">
        <v>2941</v>
      </c>
      <c r="D198" s="297" t="s">
        <v>31</v>
      </c>
      <c r="E198" s="298" t="n">
        <v>14</v>
      </c>
      <c r="F198" s="299" t="n">
        <v>131.49</v>
      </c>
      <c r="G198" s="299" t="n">
        <f aca="false">VLOOKUP(A198,'INSUMOS SINAPI'!A:E,5,0)</f>
        <v>131.49</v>
      </c>
      <c r="H198" s="300" t="n">
        <f aca="false">F198-G198</f>
        <v>0</v>
      </c>
      <c r="I198" s="288"/>
    </row>
    <row r="199" customFormat="false" ht="21" hidden="false" customHeight="false" outlineLevel="0" collapsed="false">
      <c r="A199" s="295" t="s">
        <v>2557</v>
      </c>
      <c r="B199" s="296" t="s">
        <v>2558</v>
      </c>
      <c r="C199" s="297" t="s">
        <v>2941</v>
      </c>
      <c r="D199" s="297" t="s">
        <v>31</v>
      </c>
      <c r="E199" s="298" t="n">
        <v>1</v>
      </c>
      <c r="F199" s="299" t="n">
        <v>526.333333333333</v>
      </c>
      <c r="G199" s="299" t="e">
        <f aca="false">VLOOKUP(A199,'INSUMOS SINAPI'!A:E,5,0)</f>
        <v>#N/A</v>
      </c>
      <c r="H199" s="300" t="e">
        <f aca="false">F199-G199</f>
        <v>#N/A</v>
      </c>
      <c r="I199" s="288" t="str">
        <f aca="false">IF(F199=VLOOKUP(A199,04_PESQUISAS!A:G,7,0),"OK","NÃO")</f>
        <v>OK</v>
      </c>
    </row>
    <row r="200" customFormat="false" ht="31.5" hidden="false" customHeight="false" outlineLevel="0" collapsed="false">
      <c r="A200" s="295" t="n">
        <v>44476</v>
      </c>
      <c r="B200" s="296" t="s">
        <v>1782</v>
      </c>
      <c r="C200" s="297" t="s">
        <v>2941</v>
      </c>
      <c r="D200" s="297" t="s">
        <v>1477</v>
      </c>
      <c r="E200" s="298" t="n">
        <v>29.505</v>
      </c>
      <c r="F200" s="299" t="n">
        <v>652.45</v>
      </c>
      <c r="G200" s="299" t="n">
        <f aca="false">VLOOKUP(A200,'INSUMOS SINAPI'!A:E,5,0)</f>
        <v>652.45</v>
      </c>
      <c r="H200" s="300" t="n">
        <f aca="false">F200-G200</f>
        <v>0</v>
      </c>
      <c r="I200" s="288"/>
    </row>
    <row r="201" customFormat="false" ht="21" hidden="false" customHeight="false" outlineLevel="0" collapsed="false">
      <c r="A201" s="295" t="n">
        <v>2432</v>
      </c>
      <c r="B201" s="296" t="s">
        <v>1843</v>
      </c>
      <c r="C201" s="297" t="s">
        <v>2941</v>
      </c>
      <c r="D201" s="297" t="s">
        <v>31</v>
      </c>
      <c r="E201" s="298" t="n">
        <v>231</v>
      </c>
      <c r="F201" s="299" t="n">
        <v>29.94</v>
      </c>
      <c r="G201" s="299" t="n">
        <f aca="false">VLOOKUP(A201,'INSUMOS SINAPI'!A:E,5,0)</f>
        <v>29.94</v>
      </c>
      <c r="H201" s="300" t="n">
        <f aca="false">F201-G201</f>
        <v>0</v>
      </c>
      <c r="I201" s="288"/>
    </row>
    <row r="202" customFormat="false" ht="21" hidden="false" customHeight="false" outlineLevel="0" collapsed="false">
      <c r="A202" s="295" t="n">
        <v>11451</v>
      </c>
      <c r="B202" s="296" t="s">
        <v>1539</v>
      </c>
      <c r="C202" s="297" t="s">
        <v>2941</v>
      </c>
      <c r="D202" s="297" t="s">
        <v>31</v>
      </c>
      <c r="E202" s="298" t="n">
        <v>4</v>
      </c>
      <c r="F202" s="299" t="n">
        <v>92.3</v>
      </c>
      <c r="G202" s="299" t="n">
        <f aca="false">VLOOKUP(A202,'INSUMOS SINAPI'!A:E,5,0)</f>
        <v>92.3</v>
      </c>
      <c r="H202" s="300" t="n">
        <f aca="false">F202-G202</f>
        <v>0</v>
      </c>
      <c r="I202" s="288"/>
    </row>
    <row r="203" customFormat="false" ht="15" hidden="false" customHeight="false" outlineLevel="0" collapsed="false">
      <c r="A203" s="295" t="s">
        <v>2870</v>
      </c>
      <c r="B203" s="296" t="s">
        <v>2871</v>
      </c>
      <c r="C203" s="297" t="s">
        <v>2941</v>
      </c>
      <c r="D203" s="297" t="s">
        <v>1455</v>
      </c>
      <c r="E203" s="298" t="n">
        <v>35.3535</v>
      </c>
      <c r="F203" s="299" t="n">
        <v>10.6843333333333</v>
      </c>
      <c r="G203" s="299" t="e">
        <f aca="false">VLOOKUP(A203,'INSUMOS SINAPI'!A:E,5,0)</f>
        <v>#N/A</v>
      </c>
      <c r="H203" s="300" t="e">
        <f aca="false">F203-G203</f>
        <v>#N/A</v>
      </c>
      <c r="I203" s="288" t="str">
        <f aca="false">IF(F203=VLOOKUP(A203,04_PESQUISAS!A:G,7,0),"OK","NÃO")</f>
        <v>OK</v>
      </c>
    </row>
    <row r="204" customFormat="false" ht="15" hidden="false" customHeight="false" outlineLevel="0" collapsed="false">
      <c r="A204" s="295" t="s">
        <v>2875</v>
      </c>
      <c r="B204" s="296" t="s">
        <v>2876</v>
      </c>
      <c r="C204" s="297" t="s">
        <v>2941</v>
      </c>
      <c r="D204" s="297" t="s">
        <v>1455</v>
      </c>
      <c r="E204" s="298" t="n">
        <v>42.5565</v>
      </c>
      <c r="F204" s="299" t="n">
        <v>15.3033333333333</v>
      </c>
      <c r="G204" s="299" t="e">
        <f aca="false">VLOOKUP(A204,'INSUMOS SINAPI'!A:E,5,0)</f>
        <v>#N/A</v>
      </c>
      <c r="H204" s="300" t="e">
        <f aca="false">F204-G204</f>
        <v>#N/A</v>
      </c>
      <c r="I204" s="288" t="str">
        <f aca="false">IF(F204=VLOOKUP(A204,04_PESQUISAS!A:G,7,0),"OK","NÃO")</f>
        <v>OK</v>
      </c>
    </row>
    <row r="205" customFormat="false" ht="15" hidden="false" customHeight="false" outlineLevel="0" collapsed="false">
      <c r="A205" s="295" t="s">
        <v>1931</v>
      </c>
      <c r="B205" s="296" t="s">
        <v>1932</v>
      </c>
      <c r="C205" s="297" t="s">
        <v>2941</v>
      </c>
      <c r="D205" s="297" t="s">
        <v>1455</v>
      </c>
      <c r="E205" s="298" t="n">
        <v>34</v>
      </c>
      <c r="F205" s="299" t="n">
        <v>131.6</v>
      </c>
      <c r="G205" s="299" t="e">
        <f aca="false">VLOOKUP(A205,'INSUMOS SINAPI'!A:E,5,0)</f>
        <v>#N/A</v>
      </c>
      <c r="H205" s="300" t="e">
        <f aca="false">F205-G205</f>
        <v>#N/A</v>
      </c>
      <c r="I205" s="288" t="str">
        <f aca="false">IF(F205=VLOOKUP(A205,04_PESQUISAS!A:G,7,0),"OK","NÃO")</f>
        <v>OK</v>
      </c>
    </row>
    <row r="206" customFormat="false" ht="15" hidden="false" customHeight="false" outlineLevel="0" collapsed="false">
      <c r="A206" s="295" t="s">
        <v>1934</v>
      </c>
      <c r="B206" s="296" t="s">
        <v>1935</v>
      </c>
      <c r="C206" s="297" t="s">
        <v>2941</v>
      </c>
      <c r="D206" s="297" t="s">
        <v>1455</v>
      </c>
      <c r="E206" s="298" t="n">
        <v>2.25</v>
      </c>
      <c r="F206" s="299" t="n">
        <v>109.333333333333</v>
      </c>
      <c r="G206" s="299" t="e">
        <f aca="false">VLOOKUP(A206,'INSUMOS SINAPI'!A:E,5,0)</f>
        <v>#N/A</v>
      </c>
      <c r="H206" s="300" t="e">
        <f aca="false">F206-G206</f>
        <v>#N/A</v>
      </c>
      <c r="I206" s="288" t="str">
        <f aca="false">IF(F206=VLOOKUP(A206,04_PESQUISAS!A:G,7,0),"OK","NÃO")</f>
        <v>OK</v>
      </c>
    </row>
    <row r="207" customFormat="false" ht="21" hidden="false" customHeight="false" outlineLevel="0" collapsed="false">
      <c r="A207" s="295" t="n">
        <v>665</v>
      </c>
      <c r="B207" s="296" t="s">
        <v>1889</v>
      </c>
      <c r="C207" s="297" t="s">
        <v>2941</v>
      </c>
      <c r="D207" s="297" t="s">
        <v>31</v>
      </c>
      <c r="E207" s="298" t="n">
        <v>824.76</v>
      </c>
      <c r="F207" s="299" t="n">
        <v>37.55</v>
      </c>
      <c r="G207" s="299" t="n">
        <f aca="false">VLOOKUP(A207,'INSUMOS SINAPI'!A:E,5,0)</f>
        <v>37.55</v>
      </c>
      <c r="H207" s="300" t="n">
        <f aca="false">F207-G207</f>
        <v>0</v>
      </c>
      <c r="I207" s="288"/>
    </row>
    <row r="208" customFormat="false" ht="21" hidden="false" customHeight="false" outlineLevel="0" collapsed="false">
      <c r="A208" s="295" t="s">
        <v>2443</v>
      </c>
      <c r="B208" s="296" t="s">
        <v>2444</v>
      </c>
      <c r="C208" s="297" t="s">
        <v>2941</v>
      </c>
      <c r="D208" s="297" t="s">
        <v>1455</v>
      </c>
      <c r="E208" s="298" t="n">
        <v>18.68746</v>
      </c>
      <c r="F208" s="299" t="n">
        <v>16.4033333333333</v>
      </c>
      <c r="G208" s="299" t="e">
        <f aca="false">VLOOKUP(A208,'INSUMOS SINAPI'!A:E,5,0)</f>
        <v>#N/A</v>
      </c>
      <c r="H208" s="300" t="e">
        <f aca="false">F208-G208</f>
        <v>#N/A</v>
      </c>
      <c r="I208" s="288" t="str">
        <f aca="false">IF(F208=VLOOKUP(A208,04_PESQUISAS!A:G,7,0),"OK","NÃO")</f>
        <v>OK</v>
      </c>
    </row>
    <row r="209" customFormat="false" ht="21" hidden="false" customHeight="false" outlineLevel="0" collapsed="false">
      <c r="A209" s="295" t="s">
        <v>2433</v>
      </c>
      <c r="B209" s="296" t="s">
        <v>2434</v>
      </c>
      <c r="C209" s="297" t="s">
        <v>2941</v>
      </c>
      <c r="D209" s="297" t="s">
        <v>1455</v>
      </c>
      <c r="E209" s="298" t="n">
        <v>202.82185</v>
      </c>
      <c r="F209" s="299" t="n">
        <v>28.3122222222222</v>
      </c>
      <c r="G209" s="299" t="e">
        <f aca="false">VLOOKUP(A209,'INSUMOS SINAPI'!A:E,5,0)</f>
        <v>#N/A</v>
      </c>
      <c r="H209" s="300" t="e">
        <f aca="false">F209-G209</f>
        <v>#N/A</v>
      </c>
      <c r="I209" s="288" t="str">
        <f aca="false">IF(F209=VLOOKUP(A209,04_PESQUISAS!A:G,7,0),"OK","NÃO")</f>
        <v>OK</v>
      </c>
    </row>
    <row r="210" customFormat="false" ht="21" hidden="false" customHeight="false" outlineLevel="0" collapsed="false">
      <c r="A210" s="295" t="s">
        <v>2448</v>
      </c>
      <c r="B210" s="296" t="s">
        <v>2449</v>
      </c>
      <c r="C210" s="297" t="s">
        <v>2941</v>
      </c>
      <c r="D210" s="297" t="s">
        <v>1455</v>
      </c>
      <c r="E210" s="298" t="n">
        <v>180.22326</v>
      </c>
      <c r="F210" s="299" t="n">
        <v>12.2633333333333</v>
      </c>
      <c r="G210" s="299" t="e">
        <f aca="false">VLOOKUP(A210,'INSUMOS SINAPI'!A:E,5,0)</f>
        <v>#N/A</v>
      </c>
      <c r="H210" s="300" t="e">
        <f aca="false">F210-G210</f>
        <v>#N/A</v>
      </c>
      <c r="I210" s="288" t="str">
        <f aca="false">IF(F210=VLOOKUP(A210,04_PESQUISAS!A:G,7,0),"OK","NÃO")</f>
        <v>OK</v>
      </c>
    </row>
    <row r="211" customFormat="false" ht="15" hidden="false" customHeight="false" outlineLevel="0" collapsed="false">
      <c r="A211" s="295" t="n">
        <v>11002</v>
      </c>
      <c r="B211" s="296" t="s">
        <v>1604</v>
      </c>
      <c r="C211" s="297" t="s">
        <v>2941</v>
      </c>
      <c r="D211" s="297" t="s">
        <v>1513</v>
      </c>
      <c r="E211" s="298" t="n">
        <v>1.86078</v>
      </c>
      <c r="F211" s="299" t="n">
        <v>23.81</v>
      </c>
      <c r="G211" s="299" t="n">
        <f aca="false">VLOOKUP(A211,'INSUMOS SINAPI'!A:E,5,0)</f>
        <v>23.81</v>
      </c>
      <c r="H211" s="300" t="n">
        <f aca="false">F211-G211</f>
        <v>0</v>
      </c>
      <c r="I211" s="288"/>
    </row>
    <row r="212" customFormat="false" ht="15" hidden="false" customHeight="false" outlineLevel="0" collapsed="false">
      <c r="A212" s="295" t="n">
        <v>2674</v>
      </c>
      <c r="B212" s="296" t="s">
        <v>1540</v>
      </c>
      <c r="C212" s="297" t="s">
        <v>2941</v>
      </c>
      <c r="D212" s="297" t="s">
        <v>1455</v>
      </c>
      <c r="E212" s="298" t="n">
        <v>159.0330699</v>
      </c>
      <c r="F212" s="299" t="n">
        <v>3.98</v>
      </c>
      <c r="G212" s="299" t="n">
        <f aca="false">VLOOKUP(A212,'INSUMOS SINAPI'!A:E,5,0)</f>
        <v>3.98</v>
      </c>
      <c r="H212" s="300" t="n">
        <f aca="false">F212-G212</f>
        <v>0</v>
      </c>
      <c r="I212" s="288"/>
    </row>
    <row r="213" customFormat="false" ht="21" hidden="false" customHeight="false" outlineLevel="0" collapsed="false">
      <c r="A213" s="295" t="n">
        <v>40401</v>
      </c>
      <c r="B213" s="296" t="s">
        <v>2576</v>
      </c>
      <c r="C213" s="297" t="s">
        <v>2941</v>
      </c>
      <c r="D213" s="297" t="s">
        <v>1455</v>
      </c>
      <c r="E213" s="298" t="n">
        <v>66</v>
      </c>
      <c r="F213" s="299" t="n">
        <v>2.1</v>
      </c>
      <c r="G213" s="299" t="n">
        <f aca="false">VLOOKUP(A213,'INSUMOS SINAPI'!A:E,5,0)</f>
        <v>2.1</v>
      </c>
      <c r="H213" s="300" t="n">
        <f aca="false">F213-G213</f>
        <v>0</v>
      </c>
      <c r="I213" s="288"/>
    </row>
    <row r="214" customFormat="false" ht="15" hidden="false" customHeight="false" outlineLevel="0" collapsed="false">
      <c r="A214" s="295" t="n">
        <v>2688</v>
      </c>
      <c r="B214" s="296" t="s">
        <v>2580</v>
      </c>
      <c r="C214" s="297" t="s">
        <v>2941</v>
      </c>
      <c r="D214" s="297" t="s">
        <v>1455</v>
      </c>
      <c r="E214" s="298" t="n">
        <v>627</v>
      </c>
      <c r="F214" s="299" t="n">
        <v>2.09</v>
      </c>
      <c r="G214" s="299" t="n">
        <f aca="false">VLOOKUP(A214,'INSUMOS SINAPI'!A:E,5,0)</f>
        <v>2.09</v>
      </c>
      <c r="H214" s="300" t="n">
        <f aca="false">F214-G214</f>
        <v>0</v>
      </c>
      <c r="I214" s="288"/>
    </row>
    <row r="215" customFormat="false" ht="21" hidden="false" customHeight="false" outlineLevel="0" collapsed="false">
      <c r="A215" s="295" t="n">
        <v>39244</v>
      </c>
      <c r="B215" s="296" t="s">
        <v>2387</v>
      </c>
      <c r="C215" s="297" t="s">
        <v>2941</v>
      </c>
      <c r="D215" s="297" t="s">
        <v>1455</v>
      </c>
      <c r="E215" s="298" t="n">
        <v>3685</v>
      </c>
      <c r="F215" s="299" t="n">
        <v>3.19</v>
      </c>
      <c r="G215" s="299" t="n">
        <f aca="false">VLOOKUP(A215,'INSUMOS SINAPI'!A:E,5,0)</f>
        <v>3.19</v>
      </c>
      <c r="H215" s="300" t="n">
        <f aca="false">F215-G215</f>
        <v>0</v>
      </c>
      <c r="I215" s="288"/>
    </row>
    <row r="216" customFormat="false" ht="21" hidden="false" customHeight="false" outlineLevel="0" collapsed="false">
      <c r="A216" s="295" t="n">
        <v>39245</v>
      </c>
      <c r="B216" s="296" t="s">
        <v>2389</v>
      </c>
      <c r="C216" s="297" t="s">
        <v>2941</v>
      </c>
      <c r="D216" s="297" t="s">
        <v>1455</v>
      </c>
      <c r="E216" s="298" t="n">
        <v>385</v>
      </c>
      <c r="F216" s="299" t="n">
        <v>6.14</v>
      </c>
      <c r="G216" s="299" t="n">
        <f aca="false">VLOOKUP(A216,'INSUMOS SINAPI'!A:E,5,0)</f>
        <v>6.14</v>
      </c>
      <c r="H216" s="300" t="n">
        <f aca="false">F216-G216</f>
        <v>0</v>
      </c>
      <c r="I216" s="288"/>
    </row>
    <row r="217" customFormat="false" ht="31.5" hidden="false" customHeight="false" outlineLevel="0" collapsed="false">
      <c r="A217" s="295" t="n">
        <v>39246</v>
      </c>
      <c r="B217" s="296" t="s">
        <v>2391</v>
      </c>
      <c r="C217" s="297" t="s">
        <v>2941</v>
      </c>
      <c r="D217" s="297" t="s">
        <v>1455</v>
      </c>
      <c r="E217" s="298" t="n">
        <v>11</v>
      </c>
      <c r="F217" s="299" t="n">
        <v>3.65</v>
      </c>
      <c r="G217" s="299" t="n">
        <f aca="false">VLOOKUP(A217,'INSUMOS SINAPI'!A:E,5,0)</f>
        <v>3.65</v>
      </c>
      <c r="H217" s="300" t="n">
        <f aca="false">F217-G217</f>
        <v>0</v>
      </c>
      <c r="I217" s="288"/>
    </row>
    <row r="218" customFormat="false" ht="31.5" hidden="false" customHeight="false" outlineLevel="0" collapsed="false">
      <c r="A218" s="295" t="n">
        <v>39247</v>
      </c>
      <c r="B218" s="296" t="s">
        <v>2393</v>
      </c>
      <c r="C218" s="297" t="s">
        <v>2941</v>
      </c>
      <c r="D218" s="297" t="s">
        <v>1455</v>
      </c>
      <c r="E218" s="298" t="n">
        <v>82.5</v>
      </c>
      <c r="F218" s="299" t="n">
        <v>3.18</v>
      </c>
      <c r="G218" s="299" t="n">
        <f aca="false">VLOOKUP(A218,'INSUMOS SINAPI'!A:E,5,0)</f>
        <v>3.18</v>
      </c>
      <c r="H218" s="300" t="n">
        <f aca="false">F218-G218</f>
        <v>0</v>
      </c>
      <c r="I218" s="288"/>
    </row>
    <row r="219" customFormat="false" ht="31.5" hidden="false" customHeight="false" outlineLevel="0" collapsed="false">
      <c r="A219" s="295" t="n">
        <v>2446</v>
      </c>
      <c r="B219" s="296" t="s">
        <v>2395</v>
      </c>
      <c r="C219" s="297" t="s">
        <v>2941</v>
      </c>
      <c r="D219" s="297" t="s">
        <v>1455</v>
      </c>
      <c r="E219" s="298" t="n">
        <v>11</v>
      </c>
      <c r="F219" s="299" t="n">
        <v>5.24</v>
      </c>
      <c r="G219" s="299" t="n">
        <f aca="false">VLOOKUP(A219,'INSUMOS SINAPI'!A:E,5,0)</f>
        <v>5.24</v>
      </c>
      <c r="H219" s="300" t="n">
        <f aca="false">F219-G219</f>
        <v>0</v>
      </c>
      <c r="I219" s="288"/>
    </row>
    <row r="220" customFormat="false" ht="31.5" hidden="false" customHeight="false" outlineLevel="0" collapsed="false">
      <c r="A220" s="295" t="s">
        <v>2397</v>
      </c>
      <c r="B220" s="296" t="s">
        <v>2398</v>
      </c>
      <c r="C220" s="297" t="s">
        <v>2941</v>
      </c>
      <c r="D220" s="297" t="s">
        <v>1455</v>
      </c>
      <c r="E220" s="298" t="n">
        <v>77</v>
      </c>
      <c r="F220" s="299" t="n">
        <v>10.4259333333333</v>
      </c>
      <c r="G220" s="299" t="e">
        <f aca="false">VLOOKUP(A220,'INSUMOS SINAPI'!A:E,5,0)</f>
        <v>#N/A</v>
      </c>
      <c r="H220" s="300" t="e">
        <f aca="false">F220-G220</f>
        <v>#N/A</v>
      </c>
      <c r="I220" s="288" t="str">
        <f aca="false">IF(F220=VLOOKUP(A220,04_PESQUISAS!A:G,7,0),"OK","NÃO")</f>
        <v>OK</v>
      </c>
    </row>
    <row r="221" customFormat="false" ht="31.5" hidden="false" customHeight="false" outlineLevel="0" collapsed="false">
      <c r="A221" s="295" t="n">
        <v>2442</v>
      </c>
      <c r="B221" s="296" t="s">
        <v>2578</v>
      </c>
      <c r="C221" s="297" t="s">
        <v>2941</v>
      </c>
      <c r="D221" s="297" t="s">
        <v>1455</v>
      </c>
      <c r="E221" s="298" t="n">
        <v>55</v>
      </c>
      <c r="F221" s="299" t="n">
        <v>7.34</v>
      </c>
      <c r="G221" s="299" t="n">
        <f aca="false">VLOOKUP(A221,'INSUMOS SINAPI'!A:E,5,0)</f>
        <v>7.34</v>
      </c>
      <c r="H221" s="300" t="n">
        <f aca="false">F221-G221</f>
        <v>0</v>
      </c>
      <c r="I221" s="288"/>
    </row>
    <row r="222" customFormat="false" ht="15" hidden="false" customHeight="false" outlineLevel="0" collapsed="false">
      <c r="A222" s="295" t="s">
        <v>2626</v>
      </c>
      <c r="B222" s="296" t="s">
        <v>2627</v>
      </c>
      <c r="C222" s="297" t="s">
        <v>2941</v>
      </c>
      <c r="D222" s="297" t="s">
        <v>31</v>
      </c>
      <c r="E222" s="298" t="n">
        <v>99</v>
      </c>
      <c r="F222" s="299" t="n">
        <v>11.93</v>
      </c>
      <c r="G222" s="299" t="e">
        <f aca="false">VLOOKUP(A222,'INSUMOS SINAPI'!A:E,5,0)</f>
        <v>#N/A</v>
      </c>
      <c r="H222" s="300" t="e">
        <f aca="false">F222-G222</f>
        <v>#N/A</v>
      </c>
      <c r="I222" s="288" t="str">
        <f aca="false">IF(F222=VLOOKUP(A222,04_PESQUISAS!A:G,7,0),"OK","NÃO")</f>
        <v>OK</v>
      </c>
    </row>
    <row r="223" customFormat="false" ht="21" hidden="false" customHeight="false" outlineLevel="0" collapsed="false">
      <c r="A223" s="295" t="s">
        <v>2435</v>
      </c>
      <c r="B223" s="296" t="s">
        <v>2436</v>
      </c>
      <c r="C223" s="297" t="s">
        <v>2941</v>
      </c>
      <c r="D223" s="297" t="s">
        <v>31</v>
      </c>
      <c r="E223" s="298" t="n">
        <v>69.41385</v>
      </c>
      <c r="F223" s="299" t="n">
        <v>7.48366666666667</v>
      </c>
      <c r="G223" s="299" t="e">
        <f aca="false">VLOOKUP(A223,'INSUMOS SINAPI'!A:E,5,0)</f>
        <v>#N/A</v>
      </c>
      <c r="H223" s="300" t="e">
        <f aca="false">F223-G223</f>
        <v>#N/A</v>
      </c>
      <c r="I223" s="288" t="str">
        <f aca="false">IF(F223=VLOOKUP(A223,04_PESQUISAS!A:G,7,0),"OK","NÃO")</f>
        <v>OK</v>
      </c>
    </row>
    <row r="224" customFormat="false" ht="21" hidden="false" customHeight="false" outlineLevel="0" collapsed="false">
      <c r="A224" s="295" t="n">
        <v>43146</v>
      </c>
      <c r="B224" s="296" t="s">
        <v>1947</v>
      </c>
      <c r="C224" s="297" t="s">
        <v>2941</v>
      </c>
      <c r="D224" s="297" t="s">
        <v>1513</v>
      </c>
      <c r="E224" s="298" t="n">
        <v>1535.28</v>
      </c>
      <c r="F224" s="299" t="n">
        <v>8.35</v>
      </c>
      <c r="G224" s="299" t="n">
        <f aca="false">VLOOKUP(A224,'INSUMOS SINAPI'!A:E,5,0)</f>
        <v>8.35</v>
      </c>
      <c r="H224" s="300" t="n">
        <f aca="false">F224-G224</f>
        <v>0</v>
      </c>
      <c r="I224" s="288"/>
    </row>
    <row r="225" customFormat="false" ht="21" hidden="false" customHeight="false" outlineLevel="0" collapsed="false">
      <c r="A225" s="295" t="n">
        <v>6141</v>
      </c>
      <c r="B225" s="296" t="s">
        <v>2015</v>
      </c>
      <c r="C225" s="297" t="s">
        <v>2941</v>
      </c>
      <c r="D225" s="297" t="s">
        <v>31</v>
      </c>
      <c r="E225" s="298" t="n">
        <v>24</v>
      </c>
      <c r="F225" s="299" t="n">
        <v>4.84</v>
      </c>
      <c r="G225" s="299" t="n">
        <f aca="false">VLOOKUP(A225,'INSUMOS SINAPI'!A:E,5,0)</f>
        <v>4.84</v>
      </c>
      <c r="H225" s="300" t="n">
        <f aca="false">F225-G225</f>
        <v>0</v>
      </c>
      <c r="I225" s="288"/>
    </row>
    <row r="226" customFormat="false" ht="21" hidden="false" customHeight="false" outlineLevel="0" collapsed="false">
      <c r="A226" s="295" t="n">
        <v>37555</v>
      </c>
      <c r="B226" s="296" t="s">
        <v>2673</v>
      </c>
      <c r="C226" s="297" t="s">
        <v>2941</v>
      </c>
      <c r="D226" s="297" t="s">
        <v>31</v>
      </c>
      <c r="E226" s="298" t="n">
        <v>3</v>
      </c>
      <c r="F226" s="299" t="n">
        <v>472.49</v>
      </c>
      <c r="G226" s="299" t="n">
        <f aca="false">VLOOKUP(A226,'INSUMOS SINAPI'!A:E,5,0)</f>
        <v>0</v>
      </c>
      <c r="H226" s="300" t="n">
        <f aca="false">F226-G226</f>
        <v>472.49</v>
      </c>
      <c r="I226" s="288"/>
    </row>
    <row r="227" customFormat="false" ht="31.5" hidden="false" customHeight="false" outlineLevel="0" collapsed="false">
      <c r="A227" s="295" t="n">
        <v>39017</v>
      </c>
      <c r="B227" s="296" t="s">
        <v>1621</v>
      </c>
      <c r="C227" s="297" t="s">
        <v>2941</v>
      </c>
      <c r="D227" s="297" t="s">
        <v>31</v>
      </c>
      <c r="E227" s="298" t="n">
        <v>23773.5887627306</v>
      </c>
      <c r="F227" s="299" t="n">
        <v>0.22</v>
      </c>
      <c r="G227" s="299" t="n">
        <f aca="false">VLOOKUP(A227,'INSUMOS SINAPI'!A:E,5,0)</f>
        <v>0</v>
      </c>
      <c r="H227" s="300" t="n">
        <f aca="false">F227-G227</f>
        <v>0.22</v>
      </c>
      <c r="I227" s="288"/>
    </row>
    <row r="228" customFormat="false" ht="21" hidden="false" customHeight="false" outlineLevel="0" collapsed="false">
      <c r="A228" s="295" t="n">
        <v>38094</v>
      </c>
      <c r="B228" s="296" t="s">
        <v>1541</v>
      </c>
      <c r="C228" s="297" t="s">
        <v>2941</v>
      </c>
      <c r="D228" s="297" t="s">
        <v>31</v>
      </c>
      <c r="E228" s="298" t="n">
        <v>394</v>
      </c>
      <c r="F228" s="299" t="n">
        <v>2.62</v>
      </c>
      <c r="G228" s="299" t="n">
        <f aca="false">VLOOKUP(A228,'INSUMOS SINAPI'!A:E,5,0)</f>
        <v>2.62</v>
      </c>
      <c r="H228" s="300" t="n">
        <f aca="false">F228-G228</f>
        <v>0</v>
      </c>
      <c r="I228" s="288"/>
    </row>
    <row r="229" customFormat="false" ht="15" hidden="false" customHeight="false" outlineLevel="0" collapsed="false">
      <c r="A229" s="295" t="n">
        <v>11186</v>
      </c>
      <c r="B229" s="296" t="s">
        <v>2044</v>
      </c>
      <c r="C229" s="297" t="s">
        <v>2941</v>
      </c>
      <c r="D229" s="297" t="s">
        <v>1477</v>
      </c>
      <c r="E229" s="298" t="n">
        <v>10.8</v>
      </c>
      <c r="F229" s="299" t="n">
        <v>355.46</v>
      </c>
      <c r="G229" s="299" t="n">
        <f aca="false">VLOOKUP(A229,'INSUMOS SINAPI'!A:E,5,0)</f>
        <v>355.46</v>
      </c>
      <c r="H229" s="300" t="n">
        <f aca="false">F229-G229</f>
        <v>0</v>
      </c>
      <c r="I229" s="288"/>
    </row>
    <row r="230" customFormat="false" ht="15" hidden="false" customHeight="false" outlineLevel="0" collapsed="false">
      <c r="A230" s="295" t="n">
        <v>38124</v>
      </c>
      <c r="B230" s="296" t="s">
        <v>1716</v>
      </c>
      <c r="C230" s="297" t="s">
        <v>2941</v>
      </c>
      <c r="D230" s="297" t="s">
        <v>31</v>
      </c>
      <c r="E230" s="298" t="n">
        <v>4.955</v>
      </c>
      <c r="F230" s="299" t="n">
        <v>23.41</v>
      </c>
      <c r="G230" s="299" t="n">
        <f aca="false">VLOOKUP(A230,'INSUMOS SINAPI'!A:E,5,0)</f>
        <v>23.41</v>
      </c>
      <c r="H230" s="300" t="n">
        <f aca="false">F230-G230</f>
        <v>0</v>
      </c>
      <c r="I230" s="288"/>
    </row>
    <row r="231" customFormat="false" ht="21" hidden="false" customHeight="false" outlineLevel="0" collapsed="false">
      <c r="A231" s="295" t="n">
        <v>21142</v>
      </c>
      <c r="B231" s="296" t="s">
        <v>1571</v>
      </c>
      <c r="C231" s="297" t="s">
        <v>2941</v>
      </c>
      <c r="D231" s="297" t="s">
        <v>31</v>
      </c>
      <c r="E231" s="298" t="n">
        <v>1.08</v>
      </c>
      <c r="F231" s="299" t="n">
        <v>25.92</v>
      </c>
      <c r="G231" s="299" t="n">
        <f aca="false">VLOOKUP(A231,'INSUMOS SINAPI'!A:E,5,0)</f>
        <v>25.92</v>
      </c>
      <c r="H231" s="300" t="n">
        <f aca="false">F231-G231</f>
        <v>0</v>
      </c>
      <c r="I231" s="288"/>
    </row>
    <row r="232" customFormat="false" ht="15" hidden="false" customHeight="false" outlineLevel="0" collapsed="false">
      <c r="A232" s="295" t="s">
        <v>2861</v>
      </c>
      <c r="B232" s="296" t="s">
        <v>2862</v>
      </c>
      <c r="C232" s="297" t="s">
        <v>2941</v>
      </c>
      <c r="D232" s="297" t="s">
        <v>31</v>
      </c>
      <c r="E232" s="298" t="n">
        <v>7</v>
      </c>
      <c r="F232" s="299" t="n">
        <v>806.18</v>
      </c>
      <c r="G232" s="299" t="e">
        <f aca="false">VLOOKUP(A232,'INSUMOS SINAPI'!A:E,5,0)</f>
        <v>#N/A</v>
      </c>
      <c r="H232" s="300" t="e">
        <f aca="false">F232-G232</f>
        <v>#N/A</v>
      </c>
      <c r="I232" s="288" t="str">
        <f aca="false">IF(F232=VLOOKUP(A232,04_PESQUISAS!A:G,7,0),"OK","NÃO")</f>
        <v>OK</v>
      </c>
    </row>
    <row r="233" customFormat="false" ht="42" hidden="false" customHeight="false" outlineLevel="0" collapsed="false">
      <c r="A233" s="295" t="n">
        <v>3081</v>
      </c>
      <c r="B233" s="296" t="s">
        <v>1844</v>
      </c>
      <c r="C233" s="297" t="s">
        <v>2941</v>
      </c>
      <c r="D233" s="297" t="s">
        <v>1538</v>
      </c>
      <c r="E233" s="298" t="n">
        <v>77</v>
      </c>
      <c r="F233" s="299" t="n">
        <v>171.04</v>
      </c>
      <c r="G233" s="299" t="n">
        <f aca="false">VLOOKUP(A233,'INSUMOS SINAPI'!A:E,5,0)</f>
        <v>171.04</v>
      </c>
      <c r="H233" s="300" t="n">
        <f aca="false">F233-G233</f>
        <v>0</v>
      </c>
      <c r="I233" s="288"/>
    </row>
    <row r="234" customFormat="false" ht="31.5" hidden="false" customHeight="false" outlineLevel="0" collapsed="false">
      <c r="A234" s="295" t="n">
        <v>38165</v>
      </c>
      <c r="B234" s="296" t="s">
        <v>1855</v>
      </c>
      <c r="C234" s="297" t="s">
        <v>2941</v>
      </c>
      <c r="D234" s="297" t="s">
        <v>1538</v>
      </c>
      <c r="E234" s="298" t="n">
        <v>4</v>
      </c>
      <c r="F234" s="299" t="n">
        <v>79.49</v>
      </c>
      <c r="G234" s="299" t="n">
        <f aca="false">VLOOKUP(A234,'INSUMOS SINAPI'!A:E,5,0)</f>
        <v>79.49</v>
      </c>
      <c r="H234" s="300" t="n">
        <f aca="false">F234-G234</f>
        <v>0</v>
      </c>
      <c r="I234" s="288"/>
    </row>
    <row r="235" customFormat="false" ht="15" hidden="false" customHeight="false" outlineLevel="0" collapsed="false">
      <c r="A235" s="295" t="n">
        <v>3123</v>
      </c>
      <c r="B235" s="296" t="s">
        <v>2884</v>
      </c>
      <c r="C235" s="297" t="s">
        <v>2941</v>
      </c>
      <c r="D235" s="297" t="s">
        <v>1513</v>
      </c>
      <c r="E235" s="298" t="n">
        <v>7.3548</v>
      </c>
      <c r="F235" s="299" t="n">
        <v>2.78</v>
      </c>
      <c r="G235" s="299" t="n">
        <f aca="false">VLOOKUP(A235,'INSUMOS SINAPI'!A:E,5,0)</f>
        <v>2.78</v>
      </c>
      <c r="H235" s="300" t="n">
        <f aca="false">F235-G235</f>
        <v>0</v>
      </c>
      <c r="I235" s="288"/>
    </row>
    <row r="236" customFormat="false" ht="15" hidden="false" customHeight="false" outlineLevel="0" collapsed="false">
      <c r="A236" s="295" t="n">
        <v>38125</v>
      </c>
      <c r="B236" s="296" t="s">
        <v>2885</v>
      </c>
      <c r="C236" s="297" t="s">
        <v>2941</v>
      </c>
      <c r="D236" s="297" t="s">
        <v>1513</v>
      </c>
      <c r="E236" s="298" t="n">
        <v>183.87</v>
      </c>
      <c r="F236" s="299" t="n">
        <v>2.1</v>
      </c>
      <c r="G236" s="299" t="n">
        <f aca="false">VLOOKUP(A236,'INSUMOS SINAPI'!A:E,5,0)</f>
        <v>2.1</v>
      </c>
      <c r="H236" s="300" t="n">
        <f aca="false">F236-G236</f>
        <v>0</v>
      </c>
      <c r="I236" s="288"/>
    </row>
    <row r="237" customFormat="false" ht="31.5" hidden="false" customHeight="false" outlineLevel="0" collapsed="false">
      <c r="A237" s="295" t="n">
        <v>39014</v>
      </c>
      <c r="B237" s="296" t="s">
        <v>2212</v>
      </c>
      <c r="C237" s="297" t="s">
        <v>2941</v>
      </c>
      <c r="D237" s="297" t="s">
        <v>1513</v>
      </c>
      <c r="E237" s="298" t="n">
        <v>0.1848</v>
      </c>
      <c r="F237" s="299" t="n">
        <v>9.57</v>
      </c>
      <c r="G237" s="299" t="n">
        <f aca="false">VLOOKUP(A237,'INSUMOS SINAPI'!A:E,5,0)</f>
        <v>9.57</v>
      </c>
      <c r="H237" s="300" t="n">
        <f aca="false">F237-G237</f>
        <v>0</v>
      </c>
      <c r="I237" s="288"/>
    </row>
    <row r="238" customFormat="false" ht="15" hidden="false" customHeight="false" outlineLevel="0" collapsed="false">
      <c r="A238" s="295" t="s">
        <v>2550</v>
      </c>
      <c r="B238" s="296" t="s">
        <v>2551</v>
      </c>
      <c r="C238" s="297" t="s">
        <v>2941</v>
      </c>
      <c r="D238" s="297" t="s">
        <v>31</v>
      </c>
      <c r="E238" s="298" t="n">
        <v>2</v>
      </c>
      <c r="F238" s="299" t="n">
        <v>96.9366666666667</v>
      </c>
      <c r="G238" s="299" t="e">
        <f aca="false">VLOOKUP(A238,'INSUMOS SINAPI'!A:E,5,0)</f>
        <v>#N/A</v>
      </c>
      <c r="H238" s="300" t="e">
        <f aca="false">F238-G238</f>
        <v>#N/A</v>
      </c>
      <c r="I238" s="288" t="str">
        <f aca="false">IF(F238=VLOOKUP(A238,04_PESQUISAS!A:G,7,0),"OK","NÃO")</f>
        <v>OK</v>
      </c>
    </row>
    <row r="239" customFormat="false" ht="21" hidden="false" customHeight="false" outlineLevel="0" collapsed="false">
      <c r="A239" s="295" t="n">
        <v>44397</v>
      </c>
      <c r="B239" s="296" t="s">
        <v>2679</v>
      </c>
      <c r="C239" s="297" t="s">
        <v>2941</v>
      </c>
      <c r="D239" s="297" t="s">
        <v>1455</v>
      </c>
      <c r="E239" s="298" t="n">
        <v>143.24316</v>
      </c>
      <c r="F239" s="299" t="n">
        <v>3.97</v>
      </c>
      <c r="G239" s="299" t="n">
        <f aca="false">VLOOKUP(A239,'INSUMOS SINAPI'!A:E,5,0)</f>
        <v>3.97</v>
      </c>
      <c r="H239" s="300" t="n">
        <f aca="false">F239-G239</f>
        <v>0</v>
      </c>
      <c r="I239" s="288"/>
    </row>
    <row r="240" customFormat="false" ht="15" hidden="false" customHeight="false" outlineLevel="0" collapsed="false">
      <c r="A240" s="295" t="n">
        <v>12815</v>
      </c>
      <c r="B240" s="296" t="s">
        <v>1918</v>
      </c>
      <c r="C240" s="297" t="s">
        <v>2941</v>
      </c>
      <c r="D240" s="297" t="s">
        <v>31</v>
      </c>
      <c r="E240" s="298" t="n">
        <v>12.1006</v>
      </c>
      <c r="F240" s="299" t="n">
        <v>9.81</v>
      </c>
      <c r="G240" s="299" t="n">
        <f aca="false">VLOOKUP(A240,'INSUMOS SINAPI'!A:E,5,0)</f>
        <v>9.81</v>
      </c>
      <c r="H240" s="300" t="n">
        <f aca="false">F240-G240</f>
        <v>0</v>
      </c>
      <c r="I240" s="288"/>
    </row>
    <row r="241" customFormat="false" ht="15" hidden="false" customHeight="false" outlineLevel="0" collapsed="false">
      <c r="A241" s="295" t="s">
        <v>1980</v>
      </c>
      <c r="B241" s="296" t="s">
        <v>1981</v>
      </c>
      <c r="C241" s="297" t="s">
        <v>2941</v>
      </c>
      <c r="D241" s="297" t="s">
        <v>1455</v>
      </c>
      <c r="E241" s="298" t="n">
        <v>81.7</v>
      </c>
      <c r="F241" s="299" t="n">
        <v>26.8133333333333</v>
      </c>
      <c r="G241" s="299" t="e">
        <f aca="false">VLOOKUP(A241,'INSUMOS SINAPI'!A:E,5,0)</f>
        <v>#N/A</v>
      </c>
      <c r="H241" s="300" t="e">
        <f aca="false">F241-G241</f>
        <v>#N/A</v>
      </c>
      <c r="I241" s="288" t="str">
        <f aca="false">IF(F241=VLOOKUP(A241,04_PESQUISAS!A:G,7,0),"OK","NÃO")</f>
        <v>OK</v>
      </c>
    </row>
    <row r="242" customFormat="false" ht="21" hidden="false" customHeight="false" outlineLevel="0" collapsed="false">
      <c r="A242" s="295" t="n">
        <v>39431</v>
      </c>
      <c r="B242" s="296" t="s">
        <v>1793</v>
      </c>
      <c r="C242" s="297" t="s">
        <v>2941</v>
      </c>
      <c r="D242" s="297" t="s">
        <v>1455</v>
      </c>
      <c r="E242" s="298" t="n">
        <v>896.742437</v>
      </c>
      <c r="F242" s="299" t="n">
        <v>0.3</v>
      </c>
      <c r="G242" s="299" t="n">
        <f aca="false">VLOOKUP(A242,'INSUMOS SINAPI'!A:E,5,0)</f>
        <v>0.3</v>
      </c>
      <c r="H242" s="300" t="n">
        <f aca="false">F242-G242</f>
        <v>0</v>
      </c>
      <c r="I242" s="288"/>
    </row>
    <row r="243" customFormat="false" ht="21" hidden="false" customHeight="false" outlineLevel="0" collapsed="false">
      <c r="A243" s="295" t="n">
        <v>39432</v>
      </c>
      <c r="B243" s="296" t="s">
        <v>1775</v>
      </c>
      <c r="C243" s="297" t="s">
        <v>2941</v>
      </c>
      <c r="D243" s="297" t="s">
        <v>1455</v>
      </c>
      <c r="E243" s="298" t="n">
        <v>410.821675</v>
      </c>
      <c r="F243" s="299" t="n">
        <v>2.7</v>
      </c>
      <c r="G243" s="299" t="n">
        <f aca="false">VLOOKUP(A243,'INSUMOS SINAPI'!A:E,5,0)</f>
        <v>2.7</v>
      </c>
      <c r="H243" s="300" t="n">
        <f aca="false">F243-G243</f>
        <v>0</v>
      </c>
      <c r="I243" s="288"/>
    </row>
    <row r="244" customFormat="false" ht="21" hidden="false" customHeight="false" outlineLevel="0" collapsed="false">
      <c r="A244" s="295" t="n">
        <v>21127</v>
      </c>
      <c r="B244" s="296" t="s">
        <v>1542</v>
      </c>
      <c r="C244" s="297" t="s">
        <v>2941</v>
      </c>
      <c r="D244" s="297" t="s">
        <v>31</v>
      </c>
      <c r="E244" s="298" t="n">
        <v>232.54457498</v>
      </c>
      <c r="F244" s="299" t="n">
        <v>3.49</v>
      </c>
      <c r="G244" s="299" t="n">
        <f aca="false">VLOOKUP(A244,'INSUMOS SINAPI'!A:E,5,0)</f>
        <v>3.49</v>
      </c>
      <c r="H244" s="300" t="n">
        <f aca="false">F244-G244</f>
        <v>0</v>
      </c>
      <c r="I244" s="288"/>
    </row>
    <row r="245" customFormat="false" ht="21" hidden="false" customHeight="false" outlineLevel="0" collapsed="false">
      <c r="A245" s="295" t="n">
        <v>14153</v>
      </c>
      <c r="B245" s="296" t="s">
        <v>2872</v>
      </c>
      <c r="C245" s="297" t="s">
        <v>2941</v>
      </c>
      <c r="D245" s="297" t="s">
        <v>31</v>
      </c>
      <c r="E245" s="298" t="n">
        <v>1.3727</v>
      </c>
      <c r="F245" s="299" t="n">
        <v>61.69</v>
      </c>
      <c r="G245" s="299" t="n">
        <f aca="false">VLOOKUP(A245,'INSUMOS SINAPI'!A:E,5,0)</f>
        <v>0</v>
      </c>
      <c r="H245" s="300" t="n">
        <f aca="false">F245-G245</f>
        <v>61.69</v>
      </c>
      <c r="I245" s="288"/>
    </row>
    <row r="246" customFormat="false" ht="15" hidden="false" customHeight="false" outlineLevel="0" collapsed="false">
      <c r="A246" s="295" t="n">
        <v>3146</v>
      </c>
      <c r="B246" s="296" t="s">
        <v>2016</v>
      </c>
      <c r="C246" s="297" t="s">
        <v>2941</v>
      </c>
      <c r="D246" s="297" t="s">
        <v>31</v>
      </c>
      <c r="E246" s="298" t="n">
        <v>4.6915</v>
      </c>
      <c r="F246" s="299" t="n">
        <v>3.8</v>
      </c>
      <c r="G246" s="299" t="n">
        <f aca="false">VLOOKUP(A246,'INSUMOS SINAPI'!A:E,5,0)</f>
        <v>3.8</v>
      </c>
      <c r="H246" s="300" t="n">
        <f aca="false">F246-G246</f>
        <v>0</v>
      </c>
      <c r="I246" s="288"/>
    </row>
    <row r="247" customFormat="false" ht="15" hidden="false" customHeight="false" outlineLevel="0" collapsed="false">
      <c r="A247" s="295" t="n">
        <v>3148</v>
      </c>
      <c r="B247" s="296" t="s">
        <v>2085</v>
      </c>
      <c r="C247" s="297" t="s">
        <v>2941</v>
      </c>
      <c r="D247" s="297" t="s">
        <v>31</v>
      </c>
      <c r="E247" s="298" t="n">
        <v>3.1848</v>
      </c>
      <c r="F247" s="299" t="n">
        <v>14.01</v>
      </c>
      <c r="G247" s="299" t="n">
        <f aca="false">VLOOKUP(A247,'INSUMOS SINAPI'!A:E,5,0)</f>
        <v>14.01</v>
      </c>
      <c r="H247" s="300" t="n">
        <f aca="false">F247-G247</f>
        <v>0</v>
      </c>
      <c r="I247" s="288"/>
    </row>
    <row r="248" customFormat="false" ht="15" hidden="false" customHeight="false" outlineLevel="0" collapsed="false">
      <c r="A248" s="295" t="s">
        <v>2706</v>
      </c>
      <c r="B248" s="296" t="s">
        <v>2707</v>
      </c>
      <c r="C248" s="297" t="s">
        <v>2941</v>
      </c>
      <c r="D248" s="297" t="s">
        <v>31</v>
      </c>
      <c r="E248" s="298" t="n">
        <v>4</v>
      </c>
      <c r="F248" s="299" t="n">
        <v>96.95</v>
      </c>
      <c r="G248" s="299" t="e">
        <f aca="false">VLOOKUP(A248,'INSUMOS SINAPI'!A:E,5,0)</f>
        <v>#N/A</v>
      </c>
      <c r="H248" s="300" t="e">
        <f aca="false">F248-G248</f>
        <v>#N/A</v>
      </c>
      <c r="I248" s="288" t="str">
        <f aca="false">IF(F248=VLOOKUP(A248,04_PESQUISAS!A:G,7,0),"OK","NÃO")</f>
        <v>OK</v>
      </c>
    </row>
    <row r="249" customFormat="false" ht="21" hidden="false" customHeight="false" outlineLevel="0" collapsed="false">
      <c r="A249" s="295" t="n">
        <v>3268</v>
      </c>
      <c r="B249" s="296" t="s">
        <v>2720</v>
      </c>
      <c r="C249" s="297" t="s">
        <v>2941</v>
      </c>
      <c r="D249" s="297" t="s">
        <v>31</v>
      </c>
      <c r="E249" s="298" t="n">
        <v>4</v>
      </c>
      <c r="F249" s="299" t="n">
        <v>148.9</v>
      </c>
      <c r="G249" s="299" t="n">
        <f aca="false">VLOOKUP(A249,'INSUMOS SINAPI'!A:E,5,0)</f>
        <v>0</v>
      </c>
      <c r="H249" s="300" t="n">
        <f aca="false">F249-G249</f>
        <v>148.9</v>
      </c>
      <c r="I249" s="288"/>
    </row>
    <row r="250" customFormat="false" ht="15" hidden="false" customHeight="false" outlineLevel="0" collapsed="false">
      <c r="A250" s="295" t="s">
        <v>2714</v>
      </c>
      <c r="B250" s="296" t="s">
        <v>2715</v>
      </c>
      <c r="C250" s="297" t="s">
        <v>2941</v>
      </c>
      <c r="D250" s="297" t="s">
        <v>31</v>
      </c>
      <c r="E250" s="298" t="n">
        <v>2</v>
      </c>
      <c r="F250" s="299" t="n">
        <v>146.043333333333</v>
      </c>
      <c r="G250" s="299" t="e">
        <f aca="false">VLOOKUP(A250,'INSUMOS SINAPI'!A:E,5,0)</f>
        <v>#N/A</v>
      </c>
      <c r="H250" s="300" t="e">
        <f aca="false">F250-G250</f>
        <v>#N/A</v>
      </c>
      <c r="I250" s="288" t="str">
        <f aca="false">IF(F250=VLOOKUP(A250,04_PESQUISAS!A:G,7,0),"OK","NÃO")</f>
        <v>OK</v>
      </c>
    </row>
    <row r="251" s="208" customFormat="true" ht="42" hidden="false" customHeight="false" outlineLevel="0" collapsed="false">
      <c r="A251" s="295" t="s">
        <v>1984</v>
      </c>
      <c r="B251" s="296" t="s">
        <v>1983</v>
      </c>
      <c r="C251" s="297" t="s">
        <v>2941</v>
      </c>
      <c r="D251" s="297" t="s">
        <v>31</v>
      </c>
      <c r="E251" s="298" t="n">
        <v>1</v>
      </c>
      <c r="F251" s="299" t="n">
        <v>10072.17</v>
      </c>
      <c r="G251" s="299" t="e">
        <f aca="false">VLOOKUP(A251,'INSUMOS SINAPI'!A:E,5,0)</f>
        <v>#N/A</v>
      </c>
      <c r="H251" s="300" t="e">
        <f aca="false">F251-G251</f>
        <v>#N/A</v>
      </c>
      <c r="I251" s="288" t="str">
        <f aca="false">IF(F251=VLOOKUP(A251,04_PESQUISAS!A:G,7,0),"OK","NÃO")</f>
        <v>OK</v>
      </c>
    </row>
    <row r="252" customFormat="false" ht="52.5" hidden="false" customHeight="false" outlineLevel="0" collapsed="false">
      <c r="A252" s="295" t="s">
        <v>1982</v>
      </c>
      <c r="B252" s="296" t="s">
        <v>1979</v>
      </c>
      <c r="C252" s="297" t="s">
        <v>2941</v>
      </c>
      <c r="D252" s="297" t="s">
        <v>31</v>
      </c>
      <c r="E252" s="298" t="n">
        <v>2</v>
      </c>
      <c r="F252" s="299" t="n">
        <v>5799.16666666667</v>
      </c>
      <c r="G252" s="299" t="e">
        <f aca="false">VLOOKUP(A252,'INSUMOS SINAPI'!A:E,5,0)</f>
        <v>#N/A</v>
      </c>
      <c r="H252" s="300" t="e">
        <f aca="false">F252-G252</f>
        <v>#N/A</v>
      </c>
      <c r="I252" s="288" t="str">
        <f aca="false">IF(F252=VLOOKUP(A252,04_PESQUISAS!A:G,7,0),"OK","NÃO")</f>
        <v>OK</v>
      </c>
    </row>
    <row r="253" customFormat="false" ht="15" hidden="false" customHeight="false" outlineLevel="0" collapsed="false">
      <c r="A253" s="295" t="n">
        <v>7307</v>
      </c>
      <c r="B253" s="296" t="s">
        <v>1733</v>
      </c>
      <c r="C253" s="297" t="s">
        <v>2941</v>
      </c>
      <c r="D253" s="297" t="s">
        <v>1452</v>
      </c>
      <c r="E253" s="298" t="n">
        <v>2.228164258</v>
      </c>
      <c r="F253" s="299" t="n">
        <v>43.33</v>
      </c>
      <c r="G253" s="299" t="n">
        <f aca="false">VLOOKUP(A253,'INSUMOS SINAPI'!A:E,5,0)</f>
        <v>43.33</v>
      </c>
      <c r="H253" s="300" t="n">
        <f aca="false">F253-G253</f>
        <v>0</v>
      </c>
      <c r="I253" s="288"/>
    </row>
    <row r="254" customFormat="false" ht="15" hidden="false" customHeight="false" outlineLevel="0" collapsed="false">
      <c r="A254" s="295" t="s">
        <v>2864</v>
      </c>
      <c r="B254" s="296" t="s">
        <v>2865</v>
      </c>
      <c r="C254" s="297" t="s">
        <v>2941</v>
      </c>
      <c r="D254" s="297" t="s">
        <v>31</v>
      </c>
      <c r="E254" s="298" t="n">
        <v>1</v>
      </c>
      <c r="F254" s="299" t="n">
        <v>2334.66666666667</v>
      </c>
      <c r="G254" s="299" t="e">
        <f aca="false">VLOOKUP(A254,'INSUMOS SINAPI'!A:E,5,0)</f>
        <v>#N/A</v>
      </c>
      <c r="H254" s="300" t="e">
        <f aca="false">F254-G254</f>
        <v>#N/A</v>
      </c>
      <c r="I254" s="288" t="str">
        <f aca="false">IF(F254=VLOOKUP(A254,04_PESQUISAS!A:G,7,0),"OK","NÃO")</f>
        <v>OK</v>
      </c>
    </row>
    <row r="255" customFormat="false" ht="15" hidden="false" customHeight="false" outlineLevel="0" collapsed="false">
      <c r="A255" s="295" t="s">
        <v>2867</v>
      </c>
      <c r="B255" s="296" t="s">
        <v>2868</v>
      </c>
      <c r="C255" s="297" t="s">
        <v>2941</v>
      </c>
      <c r="D255" s="297" t="s">
        <v>31</v>
      </c>
      <c r="E255" s="298" t="n">
        <v>6</v>
      </c>
      <c r="F255" s="299" t="n">
        <v>2872.66666666667</v>
      </c>
      <c r="G255" s="299" t="e">
        <f aca="false">VLOOKUP(A255,'INSUMOS SINAPI'!A:E,5,0)</f>
        <v>#N/A</v>
      </c>
      <c r="H255" s="300" t="e">
        <f aca="false">F255-G255</f>
        <v>#N/A</v>
      </c>
      <c r="I255" s="288" t="str">
        <f aca="false">IF(F255=VLOOKUP(A255,04_PESQUISAS!A:G,7,0),"OK","NÃO")</f>
        <v>OK</v>
      </c>
    </row>
    <row r="256" customFormat="false" ht="15" hidden="false" customHeight="false" outlineLevel="0" collapsed="false">
      <c r="A256" s="295" t="n">
        <v>4226</v>
      </c>
      <c r="B256" s="296" t="s">
        <v>1908</v>
      </c>
      <c r="C256" s="297" t="s">
        <v>2941</v>
      </c>
      <c r="D256" s="297" t="s">
        <v>1513</v>
      </c>
      <c r="E256" s="298" t="n">
        <v>90.0692</v>
      </c>
      <c r="F256" s="299" t="n">
        <v>8.46</v>
      </c>
      <c r="G256" s="299" t="n">
        <f aca="false">VLOOKUP(A256,'INSUMOS SINAPI'!A:E,5,0)</f>
        <v>8.46</v>
      </c>
      <c r="H256" s="300" t="n">
        <f aca="false">F256-G256</f>
        <v>0</v>
      </c>
      <c r="I256" s="288"/>
    </row>
    <row r="257" customFormat="false" ht="15" hidden="false" customHeight="false" outlineLevel="0" collapsed="false">
      <c r="A257" s="295" t="n">
        <v>4222</v>
      </c>
      <c r="B257" s="296" t="s">
        <v>1572</v>
      </c>
      <c r="C257" s="297" t="s">
        <v>2941</v>
      </c>
      <c r="D257" s="297" t="s">
        <v>1452</v>
      </c>
      <c r="E257" s="298" t="n">
        <v>77.8725777288</v>
      </c>
      <c r="F257" s="299" t="n">
        <v>6.4</v>
      </c>
      <c r="G257" s="299" t="n">
        <f aca="false">VLOOKUP(A257,'INSUMOS SINAPI'!A:E,5,0)</f>
        <v>6.4</v>
      </c>
      <c r="H257" s="300" t="n">
        <f aca="false">F257-G257</f>
        <v>0</v>
      </c>
      <c r="I257" s="288"/>
    </row>
    <row r="258" customFormat="false" ht="21" hidden="false" customHeight="false" outlineLevel="0" collapsed="false">
      <c r="A258" s="295" t="n">
        <v>4013</v>
      </c>
      <c r="B258" s="296" t="s">
        <v>1684</v>
      </c>
      <c r="C258" s="297" t="s">
        <v>2941</v>
      </c>
      <c r="D258" s="297" t="s">
        <v>1477</v>
      </c>
      <c r="E258" s="298" t="n">
        <v>1980.3114225</v>
      </c>
      <c r="F258" s="299" t="n">
        <v>5.73</v>
      </c>
      <c r="G258" s="299" t="n">
        <f aca="false">VLOOKUP(A258,'INSUMOS SINAPI'!A:E,5,0)</f>
        <v>5.73</v>
      </c>
      <c r="H258" s="300" t="n">
        <f aca="false">F258-G258</f>
        <v>0</v>
      </c>
      <c r="I258" s="288"/>
    </row>
    <row r="259" customFormat="false" ht="21" hidden="false" customHeight="false" outlineLevel="0" collapsed="false">
      <c r="A259" s="295" t="n">
        <v>4011</v>
      </c>
      <c r="B259" s="296" t="s">
        <v>2213</v>
      </c>
      <c r="C259" s="297" t="s">
        <v>2941</v>
      </c>
      <c r="D259" s="297" t="s">
        <v>1477</v>
      </c>
      <c r="E259" s="298" t="n">
        <v>25.92</v>
      </c>
      <c r="F259" s="299" t="n">
        <v>6.4</v>
      </c>
      <c r="G259" s="299" t="n">
        <f aca="false">VLOOKUP(A259,'INSUMOS SINAPI'!A:E,5,0)</f>
        <v>6.4</v>
      </c>
      <c r="H259" s="300" t="n">
        <f aca="false">F259-G259</f>
        <v>0</v>
      </c>
      <c r="I259" s="288"/>
    </row>
    <row r="260" customFormat="false" ht="21" hidden="false" customHeight="false" outlineLevel="0" collapsed="false">
      <c r="A260" s="295" t="n">
        <v>4021</v>
      </c>
      <c r="B260" s="296" t="s">
        <v>2259</v>
      </c>
      <c r="C260" s="297" t="s">
        <v>2941</v>
      </c>
      <c r="D260" s="297" t="s">
        <v>1477</v>
      </c>
      <c r="E260" s="298" t="n">
        <v>282.7749375</v>
      </c>
      <c r="F260" s="299" t="n">
        <v>7.98</v>
      </c>
      <c r="G260" s="299" t="n">
        <f aca="false">VLOOKUP(A260,'INSUMOS SINAPI'!A:E,5,0)</f>
        <v>7.98</v>
      </c>
      <c r="H260" s="300" t="n">
        <f aca="false">F260-G260</f>
        <v>0</v>
      </c>
      <c r="I260" s="288"/>
    </row>
    <row r="261" customFormat="false" ht="15" hidden="false" customHeight="false" outlineLevel="0" collapsed="false">
      <c r="A261" s="295" t="s">
        <v>2527</v>
      </c>
      <c r="B261" s="296" t="s">
        <v>2528</v>
      </c>
      <c r="C261" s="297" t="s">
        <v>2941</v>
      </c>
      <c r="D261" s="297" t="s">
        <v>31</v>
      </c>
      <c r="E261" s="298" t="n">
        <v>1</v>
      </c>
      <c r="F261" s="299" t="n">
        <v>8723.63</v>
      </c>
      <c r="G261" s="299" t="e">
        <f aca="false">VLOOKUP(A261,'INSUMOS SINAPI'!A:E,5,0)</f>
        <v>#N/A</v>
      </c>
      <c r="H261" s="300" t="e">
        <f aca="false">F261-G261</f>
        <v>#N/A</v>
      </c>
      <c r="I261" s="288" t="str">
        <f aca="false">IF(F261=VLOOKUP(A261,04_PESQUISAS!A:G,7,0),"OK","NÃO")</f>
        <v>OK</v>
      </c>
    </row>
    <row r="262" customFormat="false" ht="21" hidden="false" customHeight="false" outlineLevel="0" collapsed="false">
      <c r="A262" s="295" t="n">
        <v>3315</v>
      </c>
      <c r="B262" s="296" t="s">
        <v>2005</v>
      </c>
      <c r="C262" s="297" t="s">
        <v>2941</v>
      </c>
      <c r="D262" s="297" t="s">
        <v>1513</v>
      </c>
      <c r="E262" s="298" t="n">
        <v>2537.634984</v>
      </c>
      <c r="F262" s="299" t="n">
        <v>0.77</v>
      </c>
      <c r="G262" s="299" t="n">
        <f aca="false">VLOOKUP(A262,'INSUMOS SINAPI'!A:E,5,0)</f>
        <v>0.77</v>
      </c>
      <c r="H262" s="300" t="n">
        <f aca="false">F262-G262</f>
        <v>0</v>
      </c>
      <c r="I262" s="288"/>
    </row>
    <row r="263" customFormat="false" ht="15" hidden="false" customHeight="false" outlineLevel="0" collapsed="false">
      <c r="A263" s="295" t="s">
        <v>2855</v>
      </c>
      <c r="B263" s="296" t="s">
        <v>2856</v>
      </c>
      <c r="C263" s="297" t="s">
        <v>2941</v>
      </c>
      <c r="D263" s="297" t="s">
        <v>31</v>
      </c>
      <c r="E263" s="298" t="n">
        <v>38</v>
      </c>
      <c r="F263" s="299" t="n">
        <v>14.4066666666667</v>
      </c>
      <c r="G263" s="299" t="e">
        <f aca="false">VLOOKUP(A263,'INSUMOS SINAPI'!A:E,5,0)</f>
        <v>#N/A</v>
      </c>
      <c r="H263" s="300" t="e">
        <f aca="false">F263-G263</f>
        <v>#N/A</v>
      </c>
      <c r="I263" s="288" t="str">
        <f aca="false">IF(F263=VLOOKUP(A263,04_PESQUISAS!A:G,7,0),"OK","NÃO")</f>
        <v>OK</v>
      </c>
    </row>
    <row r="264" customFormat="false" ht="15" hidden="false" customHeight="false" outlineLevel="0" collapsed="false">
      <c r="A264" s="295" t="s">
        <v>2858</v>
      </c>
      <c r="B264" s="296" t="s">
        <v>2859</v>
      </c>
      <c r="C264" s="297" t="s">
        <v>2941</v>
      </c>
      <c r="D264" s="297" t="s">
        <v>31</v>
      </c>
      <c r="E264" s="298" t="n">
        <v>7</v>
      </c>
      <c r="F264" s="299" t="n">
        <v>22.6266666666667</v>
      </c>
      <c r="G264" s="299" t="e">
        <f aca="false">VLOOKUP(A264,'INSUMOS SINAPI'!A:E,5,0)</f>
        <v>#N/A</v>
      </c>
      <c r="H264" s="300" t="e">
        <f aca="false">F264-G264</f>
        <v>#N/A</v>
      </c>
      <c r="I264" s="288" t="str">
        <f aca="false">IF(F264=VLOOKUP(A264,04_PESQUISAS!A:G,7,0),"OK","NÃO")</f>
        <v>OK</v>
      </c>
    </row>
    <row r="265" customFormat="false" ht="21" hidden="false" customHeight="false" outlineLevel="0" collapsed="false">
      <c r="A265" s="295" t="n">
        <v>3322</v>
      </c>
      <c r="B265" s="296" t="s">
        <v>2911</v>
      </c>
      <c r="C265" s="297" t="s">
        <v>2941</v>
      </c>
      <c r="D265" s="297" t="s">
        <v>1477</v>
      </c>
      <c r="E265" s="298" t="n">
        <v>805.36</v>
      </c>
      <c r="F265" s="299" t="n">
        <v>15.75</v>
      </c>
      <c r="G265" s="299" t="n">
        <f aca="false">VLOOKUP(A265,'INSUMOS SINAPI'!A:E,5,0)</f>
        <v>15.75</v>
      </c>
      <c r="H265" s="300" t="n">
        <f aca="false">F265-G265</f>
        <v>0</v>
      </c>
      <c r="I265" s="288"/>
    </row>
    <row r="266" customFormat="false" ht="21" hidden="false" customHeight="false" outlineLevel="0" collapsed="false">
      <c r="A266" s="295" t="n">
        <v>36785</v>
      </c>
      <c r="B266" s="296" t="s">
        <v>1734</v>
      </c>
      <c r="C266" s="297" t="s">
        <v>2941</v>
      </c>
      <c r="D266" s="297" t="s">
        <v>3664</v>
      </c>
      <c r="E266" s="298" t="n">
        <v>1.4802216</v>
      </c>
      <c r="F266" s="299" t="n">
        <v>116.02</v>
      </c>
      <c r="G266" s="299" t="n">
        <f aca="false">VLOOKUP(A266,'INSUMOS SINAPI'!A:E,5,0)</f>
        <v>0</v>
      </c>
      <c r="H266" s="300" t="n">
        <f aca="false">F266-G266</f>
        <v>116.02</v>
      </c>
      <c r="I266" s="288"/>
    </row>
    <row r="267" customFormat="false" ht="31.5" hidden="false" customHeight="false" outlineLevel="0" collapsed="false">
      <c r="A267" s="295" t="n">
        <v>11795</v>
      </c>
      <c r="B267" s="296" t="s">
        <v>2029</v>
      </c>
      <c r="C267" s="297" t="s">
        <v>2941</v>
      </c>
      <c r="D267" s="297" t="s">
        <v>1477</v>
      </c>
      <c r="E267" s="298" t="n">
        <v>18.5969418</v>
      </c>
      <c r="F267" s="299" t="n">
        <v>588.67</v>
      </c>
      <c r="G267" s="299" t="n">
        <f aca="false">VLOOKUP(A267,'INSUMOS SINAPI'!A:E,5,0)</f>
        <v>588.67</v>
      </c>
      <c r="H267" s="300" t="n">
        <f aca="false">F267-G267</f>
        <v>0</v>
      </c>
      <c r="I267" s="288"/>
    </row>
    <row r="268" customFormat="false" ht="21" hidden="false" customHeight="false" outlineLevel="0" collapsed="false">
      <c r="A268" s="295" t="n">
        <v>11236</v>
      </c>
      <c r="B268" s="296" t="s">
        <v>2206</v>
      </c>
      <c r="C268" s="297" t="s">
        <v>2941</v>
      </c>
      <c r="D268" s="297" t="s">
        <v>31</v>
      </c>
      <c r="E268" s="298" t="n">
        <v>0.8</v>
      </c>
      <c r="F268" s="299" t="n">
        <v>203.33</v>
      </c>
      <c r="G268" s="299" t="n">
        <f aca="false">VLOOKUP(A268,'INSUMOS SINAPI'!A:E,5,0)</f>
        <v>0</v>
      </c>
      <c r="H268" s="300" t="n">
        <f aca="false">F268-G268</f>
        <v>203.33</v>
      </c>
      <c r="I268" s="288"/>
    </row>
    <row r="269" customFormat="false" ht="31.5" hidden="false" customHeight="false" outlineLevel="0" collapsed="false">
      <c r="A269" s="295" t="n">
        <v>20017</v>
      </c>
      <c r="B269" s="296" t="s">
        <v>1845</v>
      </c>
      <c r="C269" s="297" t="s">
        <v>2941</v>
      </c>
      <c r="D269" s="297" t="s">
        <v>1455</v>
      </c>
      <c r="E269" s="298" t="n">
        <v>908.0704</v>
      </c>
      <c r="F269" s="299" t="n">
        <v>6.36</v>
      </c>
      <c r="G269" s="299" t="n">
        <f aca="false">VLOOKUP(A269,'INSUMOS SINAPI'!A:E,5,0)</f>
        <v>6.36</v>
      </c>
      <c r="H269" s="300" t="n">
        <f aca="false">F269-G269</f>
        <v>0</v>
      </c>
      <c r="I269" s="288"/>
    </row>
    <row r="270" customFormat="false" ht="31.5" hidden="false" customHeight="false" outlineLevel="0" collapsed="false">
      <c r="A270" s="295" t="n">
        <v>36888</v>
      </c>
      <c r="B270" s="296" t="s">
        <v>1868</v>
      </c>
      <c r="C270" s="297" t="s">
        <v>2941</v>
      </c>
      <c r="D270" s="297" t="s">
        <v>1455</v>
      </c>
      <c r="E270" s="298" t="n">
        <v>399.104304</v>
      </c>
      <c r="F270" s="299" t="n">
        <v>30.5</v>
      </c>
      <c r="G270" s="299" t="n">
        <f aca="false">VLOOKUP(A270,'INSUMOS SINAPI'!A:E,5,0)</f>
        <v>0</v>
      </c>
      <c r="H270" s="300" t="n">
        <f aca="false">F270-G270</f>
        <v>30.5</v>
      </c>
      <c r="I270" s="288"/>
    </row>
    <row r="271" customFormat="false" ht="31.5" hidden="false" customHeight="false" outlineLevel="0" collapsed="false">
      <c r="A271" s="295" t="n">
        <v>11029</v>
      </c>
      <c r="B271" s="296" t="s">
        <v>1895</v>
      </c>
      <c r="C271" s="297" t="s">
        <v>2941</v>
      </c>
      <c r="D271" s="297" t="s">
        <v>1538</v>
      </c>
      <c r="E271" s="298" t="n">
        <v>4714.981</v>
      </c>
      <c r="F271" s="299" t="n">
        <v>1.55</v>
      </c>
      <c r="G271" s="299" t="n">
        <f aca="false">VLOOKUP(A271,'INSUMOS SINAPI'!A:E,5,0)</f>
        <v>1.55</v>
      </c>
      <c r="H271" s="300" t="n">
        <f aca="false">F271-G271</f>
        <v>0</v>
      </c>
      <c r="I271" s="288"/>
    </row>
    <row r="272" customFormat="false" ht="21" hidden="false" customHeight="false" outlineLevel="0" collapsed="false">
      <c r="A272" s="295" t="n">
        <v>151</v>
      </c>
      <c r="B272" s="296" t="s">
        <v>2881</v>
      </c>
      <c r="C272" s="297" t="s">
        <v>2941</v>
      </c>
      <c r="D272" s="297" t="s">
        <v>1452</v>
      </c>
      <c r="E272" s="298" t="n">
        <v>124.95122</v>
      </c>
      <c r="F272" s="299" t="n">
        <v>26.34</v>
      </c>
      <c r="G272" s="299" t="n">
        <f aca="false">VLOOKUP(A272,'INSUMOS SINAPI'!A:E,5,0)</f>
        <v>26.34</v>
      </c>
      <c r="H272" s="300" t="n">
        <f aca="false">F272-G272</f>
        <v>0</v>
      </c>
      <c r="I272" s="288"/>
    </row>
    <row r="273" customFormat="false" ht="15" hidden="false" customHeight="false" outlineLevel="0" collapsed="false">
      <c r="A273" s="295" t="n">
        <v>7340</v>
      </c>
      <c r="B273" s="296" t="s">
        <v>1510</v>
      </c>
      <c r="C273" s="297" t="s">
        <v>2941</v>
      </c>
      <c r="D273" s="297" t="s">
        <v>1452</v>
      </c>
      <c r="E273" s="298" t="n">
        <v>2.9313</v>
      </c>
      <c r="F273" s="299" t="n">
        <v>25.2</v>
      </c>
      <c r="G273" s="299" t="n">
        <f aca="false">VLOOKUP(A273,'INSUMOS SINAPI'!A:E,5,0)</f>
        <v>25.2</v>
      </c>
      <c r="H273" s="300" t="n">
        <f aca="false">F273-G273</f>
        <v>0</v>
      </c>
      <c r="I273" s="288"/>
    </row>
    <row r="274" customFormat="false" ht="15" hidden="false" customHeight="false" outlineLevel="0" collapsed="false">
      <c r="A274" s="295" t="s">
        <v>2470</v>
      </c>
      <c r="B274" s="296" t="s">
        <v>2471</v>
      </c>
      <c r="C274" s="297" t="s">
        <v>2941</v>
      </c>
      <c r="D274" s="297" t="s">
        <v>31</v>
      </c>
      <c r="E274" s="298" t="n">
        <v>17</v>
      </c>
      <c r="F274" s="299" t="n">
        <v>66.1266666666667</v>
      </c>
      <c r="G274" s="299" t="e">
        <f aca="false">VLOOKUP(A274,'INSUMOS SINAPI'!A:E,5,0)</f>
        <v>#N/A</v>
      </c>
      <c r="H274" s="300" t="e">
        <f aca="false">F274-G274</f>
        <v>#N/A</v>
      </c>
      <c r="I274" s="288" t="str">
        <f aca="false">IF(F274=VLOOKUP(A274,04_PESQUISAS!A:G,7,0),"OK","NÃO")</f>
        <v>OK</v>
      </c>
    </row>
    <row r="275" customFormat="false" ht="15" hidden="false" customHeight="false" outlineLevel="0" collapsed="false">
      <c r="A275" s="295" t="n">
        <v>38115</v>
      </c>
      <c r="B275" s="296" t="s">
        <v>2455</v>
      </c>
      <c r="C275" s="297" t="s">
        <v>2941</v>
      </c>
      <c r="D275" s="297" t="s">
        <v>31</v>
      </c>
      <c r="E275" s="298" t="n">
        <v>5</v>
      </c>
      <c r="F275" s="299" t="n">
        <v>17.09</v>
      </c>
      <c r="G275" s="299" t="n">
        <f aca="false">VLOOKUP(A275,'INSUMOS SINAPI'!A:E,5,0)</f>
        <v>17.09</v>
      </c>
      <c r="H275" s="300" t="n">
        <f aca="false">F275-G275</f>
        <v>0</v>
      </c>
      <c r="I275" s="288"/>
    </row>
    <row r="276" customFormat="false" ht="15" hidden="false" customHeight="false" outlineLevel="0" collapsed="false">
      <c r="A276" s="295" t="n">
        <v>38113</v>
      </c>
      <c r="B276" s="296" t="s">
        <v>2453</v>
      </c>
      <c r="C276" s="297" t="s">
        <v>2941</v>
      </c>
      <c r="D276" s="297" t="s">
        <v>31</v>
      </c>
      <c r="E276" s="298" t="n">
        <v>63</v>
      </c>
      <c r="F276" s="299" t="n">
        <v>8.04</v>
      </c>
      <c r="G276" s="299" t="n">
        <f aca="false">VLOOKUP(A276,'INSUMOS SINAPI'!A:E,5,0)</f>
        <v>8.04</v>
      </c>
      <c r="H276" s="300" t="n">
        <f aca="false">F276-G276</f>
        <v>0</v>
      </c>
      <c r="I276" s="288"/>
    </row>
    <row r="277" customFormat="false" ht="15" hidden="false" customHeight="false" outlineLevel="0" collapsed="false">
      <c r="A277" s="295" t="n">
        <v>38112</v>
      </c>
      <c r="B277" s="296" t="s">
        <v>1543</v>
      </c>
      <c r="C277" s="297" t="s">
        <v>2941</v>
      </c>
      <c r="D277" s="297" t="s">
        <v>31</v>
      </c>
      <c r="E277" s="298" t="n">
        <v>56</v>
      </c>
      <c r="F277" s="299" t="n">
        <v>6.17</v>
      </c>
      <c r="G277" s="299" t="n">
        <f aca="false">VLOOKUP(A277,'INSUMOS SINAPI'!A:E,5,0)</f>
        <v>6.17</v>
      </c>
      <c r="H277" s="300" t="n">
        <f aca="false">F277-G277</f>
        <v>0</v>
      </c>
      <c r="I277" s="288"/>
    </row>
    <row r="278" customFormat="false" ht="42" hidden="false" customHeight="false" outlineLevel="0" collapsed="false">
      <c r="A278" s="295" t="n">
        <v>34364</v>
      </c>
      <c r="B278" s="296" t="s">
        <v>1831</v>
      </c>
      <c r="C278" s="297" t="s">
        <v>2941</v>
      </c>
      <c r="D278" s="297" t="s">
        <v>31</v>
      </c>
      <c r="E278" s="298" t="n">
        <v>48.50544</v>
      </c>
      <c r="F278" s="299" t="n">
        <v>704.83</v>
      </c>
      <c r="G278" s="299" t="n">
        <f aca="false">VLOOKUP(A278,'INSUMOS SINAPI'!A:E,5,0)</f>
        <v>0</v>
      </c>
      <c r="H278" s="300" t="n">
        <f aca="false">F278-G278</f>
        <v>704.83</v>
      </c>
      <c r="I278" s="288"/>
    </row>
    <row r="279" customFormat="false" ht="31.5" hidden="false" customHeight="false" outlineLevel="0" collapsed="false">
      <c r="A279" s="295" t="n">
        <v>599</v>
      </c>
      <c r="B279" s="296" t="s">
        <v>1833</v>
      </c>
      <c r="C279" s="297" t="s">
        <v>2941</v>
      </c>
      <c r="D279" s="297" t="s">
        <v>1477</v>
      </c>
      <c r="E279" s="298" t="n">
        <v>185.767275</v>
      </c>
      <c r="F279" s="299" t="n">
        <v>758.76</v>
      </c>
      <c r="G279" s="299" t="n">
        <f aca="false">VLOOKUP(A279,'INSUMOS SINAPI'!A:E,5,0)</f>
        <v>0</v>
      </c>
      <c r="H279" s="300" t="n">
        <f aca="false">F279-G279</f>
        <v>758.76</v>
      </c>
      <c r="I279" s="288"/>
    </row>
    <row r="280" customFormat="false" ht="31.5" hidden="false" customHeight="false" outlineLevel="0" collapsed="false">
      <c r="A280" s="295" t="n">
        <v>34381</v>
      </c>
      <c r="B280" s="296" t="s">
        <v>1828</v>
      </c>
      <c r="C280" s="297" t="s">
        <v>2941</v>
      </c>
      <c r="D280" s="297" t="s">
        <v>31</v>
      </c>
      <c r="E280" s="298" t="n">
        <v>106.53059871</v>
      </c>
      <c r="F280" s="299" t="n">
        <v>306.37</v>
      </c>
      <c r="G280" s="299" t="n">
        <f aca="false">VLOOKUP(A280,'INSUMOS SINAPI'!A:E,5,0)</f>
        <v>0</v>
      </c>
      <c r="H280" s="300" t="n">
        <f aca="false">F280-G280</f>
        <v>306.37</v>
      </c>
      <c r="I280" s="288"/>
    </row>
    <row r="281" customFormat="false" ht="21" hidden="false" customHeight="false" outlineLevel="0" collapsed="false">
      <c r="A281" s="295" t="n">
        <v>10835</v>
      </c>
      <c r="B281" s="296" t="s">
        <v>2149</v>
      </c>
      <c r="C281" s="297" t="s">
        <v>2941</v>
      </c>
      <c r="D281" s="297" t="s">
        <v>31</v>
      </c>
      <c r="E281" s="298" t="n">
        <v>30</v>
      </c>
      <c r="F281" s="299" t="n">
        <v>6.02</v>
      </c>
      <c r="G281" s="299" t="n">
        <f aca="false">VLOOKUP(A281,'INSUMOS SINAPI'!A:E,5,0)</f>
        <v>6.02</v>
      </c>
      <c r="H281" s="300" t="n">
        <f aca="false">F281-G281</f>
        <v>0</v>
      </c>
      <c r="I281" s="288"/>
    </row>
    <row r="282" customFormat="false" ht="21" hidden="false" customHeight="false" outlineLevel="0" collapsed="false">
      <c r="A282" s="295" t="n">
        <v>3522</v>
      </c>
      <c r="B282" s="296" t="s">
        <v>2098</v>
      </c>
      <c r="C282" s="297" t="s">
        <v>2941</v>
      </c>
      <c r="D282" s="297" t="s">
        <v>31</v>
      </c>
      <c r="E282" s="298" t="n">
        <v>1</v>
      </c>
      <c r="F282" s="299" t="n">
        <v>2.44</v>
      </c>
      <c r="G282" s="299" t="n">
        <f aca="false">VLOOKUP(A282,'INSUMOS SINAPI'!A:E,5,0)</f>
        <v>2.44</v>
      </c>
      <c r="H282" s="300" t="n">
        <f aca="false">F282-G282</f>
        <v>0</v>
      </c>
      <c r="I282" s="288"/>
    </row>
    <row r="283" customFormat="false" ht="21" hidden="false" customHeight="false" outlineLevel="0" collapsed="false">
      <c r="A283" s="295" t="n">
        <v>3529</v>
      </c>
      <c r="B283" s="296" t="s">
        <v>2106</v>
      </c>
      <c r="C283" s="297" t="s">
        <v>2941</v>
      </c>
      <c r="D283" s="297" t="s">
        <v>31</v>
      </c>
      <c r="E283" s="298" t="n">
        <v>238</v>
      </c>
      <c r="F283" s="299" t="n">
        <v>0.73</v>
      </c>
      <c r="G283" s="299" t="n">
        <f aca="false">VLOOKUP(A283,'INSUMOS SINAPI'!A:E,5,0)</f>
        <v>0.73</v>
      </c>
      <c r="H283" s="300" t="n">
        <f aca="false">F283-G283</f>
        <v>0</v>
      </c>
      <c r="I283" s="288"/>
    </row>
    <row r="284" customFormat="false" ht="21" hidden="false" customHeight="false" outlineLevel="0" collapsed="false">
      <c r="A284" s="295" t="n">
        <v>3536</v>
      </c>
      <c r="B284" s="296" t="s">
        <v>2313</v>
      </c>
      <c r="C284" s="297" t="s">
        <v>2941</v>
      </c>
      <c r="D284" s="297" t="s">
        <v>31</v>
      </c>
      <c r="E284" s="298" t="n">
        <v>9</v>
      </c>
      <c r="F284" s="299" t="n">
        <v>2.43</v>
      </c>
      <c r="G284" s="299" t="n">
        <f aca="false">VLOOKUP(A284,'INSUMOS SINAPI'!A:E,5,0)</f>
        <v>2.43</v>
      </c>
      <c r="H284" s="300" t="n">
        <f aca="false">F284-G284</f>
        <v>0</v>
      </c>
      <c r="I284" s="288"/>
    </row>
    <row r="285" customFormat="false" ht="21" hidden="false" customHeight="false" outlineLevel="0" collapsed="false">
      <c r="A285" s="295" t="n">
        <v>3535</v>
      </c>
      <c r="B285" s="296" t="s">
        <v>2837</v>
      </c>
      <c r="C285" s="297" t="s">
        <v>2941</v>
      </c>
      <c r="D285" s="297" t="s">
        <v>31</v>
      </c>
      <c r="E285" s="298" t="n">
        <v>15</v>
      </c>
      <c r="F285" s="299" t="n">
        <v>5.93</v>
      </c>
      <c r="G285" s="299" t="n">
        <f aca="false">VLOOKUP(A285,'INSUMOS SINAPI'!A:E,5,0)</f>
        <v>5.93</v>
      </c>
      <c r="H285" s="300" t="n">
        <f aca="false">F285-G285</f>
        <v>0</v>
      </c>
      <c r="I285" s="288"/>
    </row>
    <row r="286" customFormat="false" ht="21" hidden="false" customHeight="false" outlineLevel="0" collapsed="false">
      <c r="A286" s="295" t="n">
        <v>3540</v>
      </c>
      <c r="B286" s="296" t="s">
        <v>2315</v>
      </c>
      <c r="C286" s="297" t="s">
        <v>2941</v>
      </c>
      <c r="D286" s="297" t="s">
        <v>31</v>
      </c>
      <c r="E286" s="298" t="n">
        <v>87</v>
      </c>
      <c r="F286" s="299" t="n">
        <v>5.01</v>
      </c>
      <c r="G286" s="299" t="n">
        <f aca="false">VLOOKUP(A286,'INSUMOS SINAPI'!A:E,5,0)</f>
        <v>5.01</v>
      </c>
      <c r="H286" s="300" t="n">
        <f aca="false">F286-G286</f>
        <v>0</v>
      </c>
      <c r="I286" s="288"/>
    </row>
    <row r="287" customFormat="false" ht="21" hidden="false" customHeight="false" outlineLevel="0" collapsed="false">
      <c r="A287" s="295" t="n">
        <v>3516</v>
      </c>
      <c r="B287" s="296" t="s">
        <v>2135</v>
      </c>
      <c r="C287" s="297" t="s">
        <v>2941</v>
      </c>
      <c r="D287" s="297" t="s">
        <v>31</v>
      </c>
      <c r="E287" s="298" t="n">
        <v>27</v>
      </c>
      <c r="F287" s="299" t="n">
        <v>2.49</v>
      </c>
      <c r="G287" s="299" t="n">
        <f aca="false">VLOOKUP(A287,'INSUMOS SINAPI'!A:E,5,0)</f>
        <v>2.49</v>
      </c>
      <c r="H287" s="300" t="n">
        <f aca="false">F287-G287</f>
        <v>0</v>
      </c>
      <c r="I287" s="288"/>
    </row>
    <row r="288" customFormat="false" ht="21" hidden="false" customHeight="false" outlineLevel="0" collapsed="false">
      <c r="A288" s="295" t="n">
        <v>3517</v>
      </c>
      <c r="B288" s="296" t="s">
        <v>2143</v>
      </c>
      <c r="C288" s="297" t="s">
        <v>2941</v>
      </c>
      <c r="D288" s="297" t="s">
        <v>31</v>
      </c>
      <c r="E288" s="298" t="n">
        <v>59</v>
      </c>
      <c r="F288" s="299" t="n">
        <v>2.24</v>
      </c>
      <c r="G288" s="299" t="n">
        <f aca="false">VLOOKUP(A288,'INSUMOS SINAPI'!A:E,5,0)</f>
        <v>2.24</v>
      </c>
      <c r="H288" s="300" t="n">
        <f aca="false">F288-G288</f>
        <v>0</v>
      </c>
      <c r="I288" s="288"/>
    </row>
    <row r="289" customFormat="false" ht="21" hidden="false" customHeight="false" outlineLevel="0" collapsed="false">
      <c r="A289" s="295" t="n">
        <v>20147</v>
      </c>
      <c r="B289" s="296" t="s">
        <v>2347</v>
      </c>
      <c r="C289" s="297" t="s">
        <v>2941</v>
      </c>
      <c r="D289" s="297" t="s">
        <v>31</v>
      </c>
      <c r="E289" s="298" t="n">
        <v>27</v>
      </c>
      <c r="F289" s="299" t="n">
        <v>5.38</v>
      </c>
      <c r="G289" s="299" t="n">
        <f aca="false">VLOOKUP(A289,'INSUMOS SINAPI'!A:E,5,0)</f>
        <v>5.38</v>
      </c>
      <c r="H289" s="300" t="n">
        <f aca="false">F289-G289</f>
        <v>0</v>
      </c>
      <c r="I289" s="288"/>
    </row>
    <row r="290" customFormat="false" ht="21" hidden="false" customHeight="false" outlineLevel="0" collapsed="false">
      <c r="A290" s="295" t="n">
        <v>3524</v>
      </c>
      <c r="B290" s="296" t="s">
        <v>2345</v>
      </c>
      <c r="C290" s="297" t="s">
        <v>2941</v>
      </c>
      <c r="D290" s="297" t="s">
        <v>31</v>
      </c>
      <c r="E290" s="298" t="n">
        <v>31</v>
      </c>
      <c r="F290" s="299" t="n">
        <v>8.09</v>
      </c>
      <c r="G290" s="299" t="n">
        <f aca="false">VLOOKUP(A290,'INSUMOS SINAPI'!A:E,5,0)</f>
        <v>8.09</v>
      </c>
      <c r="H290" s="300" t="n">
        <f aca="false">F290-G290</f>
        <v>0</v>
      </c>
      <c r="I290" s="288"/>
    </row>
    <row r="291" customFormat="false" ht="21" hidden="false" customHeight="false" outlineLevel="0" collapsed="false">
      <c r="A291" s="295" t="n">
        <v>3528</v>
      </c>
      <c r="B291" s="296" t="s">
        <v>2133</v>
      </c>
      <c r="C291" s="297" t="s">
        <v>2941</v>
      </c>
      <c r="D291" s="297" t="s">
        <v>31</v>
      </c>
      <c r="E291" s="298" t="n">
        <v>39</v>
      </c>
      <c r="F291" s="299" t="n">
        <v>9.72</v>
      </c>
      <c r="G291" s="299" t="n">
        <f aca="false">VLOOKUP(A291,'INSUMOS SINAPI'!A:E,5,0)</f>
        <v>9.72</v>
      </c>
      <c r="H291" s="300" t="n">
        <f aca="false">F291-G291</f>
        <v>0</v>
      </c>
      <c r="I291" s="288"/>
    </row>
    <row r="292" customFormat="false" ht="21" hidden="false" customHeight="false" outlineLevel="0" collapsed="false">
      <c r="A292" s="295" t="n">
        <v>3518</v>
      </c>
      <c r="B292" s="296" t="s">
        <v>2137</v>
      </c>
      <c r="C292" s="297" t="s">
        <v>2941</v>
      </c>
      <c r="D292" s="297" t="s">
        <v>31</v>
      </c>
      <c r="E292" s="298" t="n">
        <v>64</v>
      </c>
      <c r="F292" s="299" t="n">
        <v>4.03</v>
      </c>
      <c r="G292" s="299" t="n">
        <f aca="false">VLOOKUP(A292,'INSUMOS SINAPI'!A:E,5,0)</f>
        <v>4.03</v>
      </c>
      <c r="H292" s="300" t="n">
        <f aca="false">F292-G292</f>
        <v>0</v>
      </c>
      <c r="I292" s="288"/>
    </row>
    <row r="293" customFormat="false" ht="21" hidden="false" customHeight="false" outlineLevel="0" collapsed="false">
      <c r="A293" s="295" t="n">
        <v>3519</v>
      </c>
      <c r="B293" s="296" t="s">
        <v>2139</v>
      </c>
      <c r="C293" s="297" t="s">
        <v>2941</v>
      </c>
      <c r="D293" s="297" t="s">
        <v>31</v>
      </c>
      <c r="E293" s="298" t="n">
        <v>11</v>
      </c>
      <c r="F293" s="299" t="n">
        <v>8.43</v>
      </c>
      <c r="G293" s="299" t="n">
        <f aca="false">VLOOKUP(A293,'INSUMOS SINAPI'!A:E,5,0)</f>
        <v>8.43</v>
      </c>
      <c r="H293" s="300" t="n">
        <f aca="false">F293-G293</f>
        <v>0</v>
      </c>
      <c r="I293" s="288"/>
    </row>
    <row r="294" customFormat="false" ht="21" hidden="false" customHeight="false" outlineLevel="0" collapsed="false">
      <c r="A294" s="295" t="n">
        <v>3520</v>
      </c>
      <c r="B294" s="296" t="s">
        <v>2141</v>
      </c>
      <c r="C294" s="297" t="s">
        <v>2941</v>
      </c>
      <c r="D294" s="297" t="s">
        <v>31</v>
      </c>
      <c r="E294" s="298" t="n">
        <v>7</v>
      </c>
      <c r="F294" s="299" t="n">
        <v>8.83</v>
      </c>
      <c r="G294" s="299" t="n">
        <f aca="false">VLOOKUP(A294,'INSUMOS SINAPI'!A:E,5,0)</f>
        <v>8.83</v>
      </c>
      <c r="H294" s="300" t="n">
        <f aca="false">F294-G294</f>
        <v>0</v>
      </c>
      <c r="I294" s="288"/>
    </row>
    <row r="295" customFormat="false" ht="21" hidden="false" customHeight="false" outlineLevel="0" collapsed="false">
      <c r="A295" s="295" t="n">
        <v>3526</v>
      </c>
      <c r="B295" s="296" t="s">
        <v>2145</v>
      </c>
      <c r="C295" s="297" t="s">
        <v>2941</v>
      </c>
      <c r="D295" s="297" t="s">
        <v>31</v>
      </c>
      <c r="E295" s="298" t="n">
        <v>128</v>
      </c>
      <c r="F295" s="299" t="n">
        <v>3.25</v>
      </c>
      <c r="G295" s="299" t="n">
        <f aca="false">VLOOKUP(A295,'INSUMOS SINAPI'!A:E,5,0)</f>
        <v>3.25</v>
      </c>
      <c r="H295" s="300" t="n">
        <f aca="false">F295-G295</f>
        <v>0</v>
      </c>
      <c r="I295" s="288"/>
    </row>
    <row r="296" customFormat="false" ht="21" hidden="false" customHeight="false" outlineLevel="0" collapsed="false">
      <c r="A296" s="295" t="n">
        <v>3509</v>
      </c>
      <c r="B296" s="296" t="s">
        <v>2147</v>
      </c>
      <c r="C296" s="297" t="s">
        <v>2941</v>
      </c>
      <c r="D296" s="297" t="s">
        <v>31</v>
      </c>
      <c r="E296" s="298" t="n">
        <v>21</v>
      </c>
      <c r="F296" s="299" t="n">
        <v>7.39</v>
      </c>
      <c r="G296" s="299" t="n">
        <f aca="false">VLOOKUP(A296,'INSUMOS SINAPI'!A:E,5,0)</f>
        <v>7.39</v>
      </c>
      <c r="H296" s="300" t="n">
        <f aca="false">F296-G296</f>
        <v>0</v>
      </c>
      <c r="I296" s="288"/>
    </row>
    <row r="297" customFormat="false" ht="21" hidden="false" customHeight="false" outlineLevel="0" collapsed="false">
      <c r="A297" s="295" t="n">
        <v>20151</v>
      </c>
      <c r="B297" s="296" t="s">
        <v>2225</v>
      </c>
      <c r="C297" s="297" t="s">
        <v>2941</v>
      </c>
      <c r="D297" s="297" t="s">
        <v>31</v>
      </c>
      <c r="E297" s="298" t="n">
        <v>24</v>
      </c>
      <c r="F297" s="299" t="n">
        <v>21.71</v>
      </c>
      <c r="G297" s="299" t="n">
        <f aca="false">VLOOKUP(A297,'INSUMOS SINAPI'!A:E,5,0)</f>
        <v>21.71</v>
      </c>
      <c r="H297" s="300" t="n">
        <f aca="false">F297-G297</f>
        <v>0</v>
      </c>
      <c r="I297" s="288"/>
    </row>
    <row r="298" customFormat="false" ht="21" hidden="false" customHeight="false" outlineLevel="0" collapsed="false">
      <c r="A298" s="295" t="n">
        <v>20152</v>
      </c>
      <c r="B298" s="296" t="s">
        <v>2228</v>
      </c>
      <c r="C298" s="297" t="s">
        <v>2941</v>
      </c>
      <c r="D298" s="297" t="s">
        <v>31</v>
      </c>
      <c r="E298" s="298" t="n">
        <v>17</v>
      </c>
      <c r="F298" s="299" t="n">
        <v>78.58</v>
      </c>
      <c r="G298" s="299" t="n">
        <f aca="false">VLOOKUP(A298,'INSUMOS SINAPI'!A:E,5,0)</f>
        <v>78.58</v>
      </c>
      <c r="H298" s="300" t="n">
        <f aca="false">F298-G298</f>
        <v>0</v>
      </c>
      <c r="I298" s="288"/>
    </row>
    <row r="299" customFormat="false" ht="15" hidden="false" customHeight="false" outlineLevel="0" collapsed="false">
      <c r="A299" s="295" t="n">
        <v>20150</v>
      </c>
      <c r="B299" s="296" t="s">
        <v>2231</v>
      </c>
      <c r="C299" s="297" t="s">
        <v>2941</v>
      </c>
      <c r="D299" s="297" t="s">
        <v>31</v>
      </c>
      <c r="E299" s="298" t="n">
        <v>1</v>
      </c>
      <c r="F299" s="299" t="n">
        <v>18.38</v>
      </c>
      <c r="G299" s="299" t="n">
        <f aca="false">VLOOKUP(A299,'INSUMOS SINAPI'!A:E,5,0)</f>
        <v>18.38</v>
      </c>
      <c r="H299" s="300" t="n">
        <f aca="false">F299-G299</f>
        <v>0</v>
      </c>
      <c r="I299" s="288"/>
    </row>
    <row r="300" customFormat="false" ht="21" hidden="false" customHeight="false" outlineLevel="0" collapsed="false">
      <c r="A300" s="295" t="n">
        <v>20157</v>
      </c>
      <c r="B300" s="296" t="s">
        <v>2233</v>
      </c>
      <c r="C300" s="297" t="s">
        <v>2941</v>
      </c>
      <c r="D300" s="297" t="s">
        <v>31</v>
      </c>
      <c r="E300" s="298" t="n">
        <v>41</v>
      </c>
      <c r="F300" s="299" t="n">
        <v>20.63</v>
      </c>
      <c r="G300" s="299" t="n">
        <f aca="false">VLOOKUP(A300,'INSUMOS SINAPI'!A:E,5,0)</f>
        <v>20.63</v>
      </c>
      <c r="H300" s="300" t="n">
        <f aca="false">F300-G300</f>
        <v>0</v>
      </c>
      <c r="I300" s="288"/>
    </row>
    <row r="301" customFormat="false" ht="21" hidden="false" customHeight="false" outlineLevel="0" collapsed="false">
      <c r="A301" s="295" t="n">
        <v>20158</v>
      </c>
      <c r="B301" s="296" t="s">
        <v>2235</v>
      </c>
      <c r="C301" s="297" t="s">
        <v>2941</v>
      </c>
      <c r="D301" s="297" t="s">
        <v>31</v>
      </c>
      <c r="E301" s="298" t="n">
        <v>29</v>
      </c>
      <c r="F301" s="299" t="n">
        <v>81.91</v>
      </c>
      <c r="G301" s="299" t="n">
        <f aca="false">VLOOKUP(A301,'INSUMOS SINAPI'!A:E,5,0)</f>
        <v>81.91</v>
      </c>
      <c r="H301" s="300" t="n">
        <f aca="false">F301-G301</f>
        <v>0</v>
      </c>
      <c r="I301" s="288"/>
    </row>
    <row r="302" customFormat="false" ht="15" hidden="false" customHeight="false" outlineLevel="0" collapsed="false">
      <c r="A302" s="295" t="n">
        <v>20155</v>
      </c>
      <c r="B302" s="296" t="s">
        <v>2834</v>
      </c>
      <c r="C302" s="297" t="s">
        <v>2941</v>
      </c>
      <c r="D302" s="297" t="s">
        <v>31</v>
      </c>
      <c r="E302" s="298" t="n">
        <v>88</v>
      </c>
      <c r="F302" s="299" t="n">
        <v>6.37</v>
      </c>
      <c r="G302" s="299" t="n">
        <f aca="false">VLOOKUP(A302,'INSUMOS SINAPI'!A:E,5,0)</f>
        <v>6.37</v>
      </c>
      <c r="H302" s="300" t="n">
        <f aca="false">F302-G302</f>
        <v>0</v>
      </c>
      <c r="I302" s="288"/>
    </row>
    <row r="303" customFormat="false" ht="21" hidden="false" customHeight="false" outlineLevel="0" collapsed="false">
      <c r="A303" s="295" t="n">
        <v>3500</v>
      </c>
      <c r="B303" s="296" t="s">
        <v>2104</v>
      </c>
      <c r="C303" s="297" t="s">
        <v>2941</v>
      </c>
      <c r="D303" s="297" t="s">
        <v>31</v>
      </c>
      <c r="E303" s="298" t="n">
        <v>57</v>
      </c>
      <c r="F303" s="299" t="n">
        <v>1.51</v>
      </c>
      <c r="G303" s="299" t="n">
        <f aca="false">VLOOKUP(A303,'INSUMOS SINAPI'!A:E,5,0)</f>
        <v>1.51</v>
      </c>
      <c r="H303" s="300" t="n">
        <f aca="false">F303-G303</f>
        <v>0</v>
      </c>
      <c r="I303" s="288"/>
    </row>
    <row r="304" customFormat="false" ht="21" hidden="false" customHeight="false" outlineLevel="0" collapsed="false">
      <c r="A304" s="295" t="n">
        <v>3502</v>
      </c>
      <c r="B304" s="296" t="s">
        <v>2832</v>
      </c>
      <c r="C304" s="297" t="s">
        <v>2941</v>
      </c>
      <c r="D304" s="297" t="s">
        <v>31</v>
      </c>
      <c r="E304" s="298" t="n">
        <v>6</v>
      </c>
      <c r="F304" s="299" t="n">
        <v>5.98</v>
      </c>
      <c r="G304" s="299" t="n">
        <f aca="false">VLOOKUP(A304,'INSUMOS SINAPI'!A:E,5,0)</f>
        <v>5.98</v>
      </c>
      <c r="H304" s="300" t="n">
        <f aca="false">F304-G304</f>
        <v>0</v>
      </c>
      <c r="I304" s="288"/>
    </row>
    <row r="305" customFormat="false" ht="21" hidden="false" customHeight="false" outlineLevel="0" collapsed="false">
      <c r="A305" s="295" t="n">
        <v>3503</v>
      </c>
      <c r="B305" s="296" t="s">
        <v>2308</v>
      </c>
      <c r="C305" s="297" t="s">
        <v>2941</v>
      </c>
      <c r="D305" s="297" t="s">
        <v>31</v>
      </c>
      <c r="E305" s="298" t="n">
        <v>5</v>
      </c>
      <c r="F305" s="299" t="n">
        <v>7.52</v>
      </c>
      <c r="G305" s="299" t="n">
        <f aca="false">VLOOKUP(A305,'INSUMOS SINAPI'!A:E,5,0)</f>
        <v>7.52</v>
      </c>
      <c r="H305" s="300" t="n">
        <f aca="false">F305-G305</f>
        <v>0</v>
      </c>
      <c r="I305" s="288"/>
    </row>
    <row r="306" customFormat="false" ht="21" hidden="false" customHeight="false" outlineLevel="0" collapsed="false">
      <c r="A306" s="295" t="n">
        <v>3478</v>
      </c>
      <c r="B306" s="296" t="s">
        <v>2310</v>
      </c>
      <c r="C306" s="297" t="s">
        <v>2941</v>
      </c>
      <c r="D306" s="297" t="s">
        <v>31</v>
      </c>
      <c r="E306" s="298" t="n">
        <v>4</v>
      </c>
      <c r="F306" s="299" t="n">
        <v>65.48</v>
      </c>
      <c r="G306" s="299" t="n">
        <f aca="false">VLOOKUP(A306,'INSUMOS SINAPI'!A:E,5,0)</f>
        <v>65.48</v>
      </c>
      <c r="H306" s="300" t="n">
        <f aca="false">F306-G306</f>
        <v>0</v>
      </c>
      <c r="I306" s="288"/>
    </row>
    <row r="307" customFormat="false" ht="21" hidden="false" customHeight="false" outlineLevel="0" collapsed="false">
      <c r="A307" s="295" t="n">
        <v>3511</v>
      </c>
      <c r="B307" s="296" t="s">
        <v>2317</v>
      </c>
      <c r="C307" s="297" t="s">
        <v>2941</v>
      </c>
      <c r="D307" s="297" t="s">
        <v>31</v>
      </c>
      <c r="E307" s="298" t="n">
        <v>18</v>
      </c>
      <c r="F307" s="299" t="n">
        <v>85.72</v>
      </c>
      <c r="G307" s="299" t="n">
        <f aca="false">VLOOKUP(A307,'INSUMOS SINAPI'!A:E,5,0)</f>
        <v>85.72</v>
      </c>
      <c r="H307" s="300" t="n">
        <f aca="false">F307-G307</f>
        <v>0</v>
      </c>
      <c r="I307" s="288"/>
    </row>
    <row r="308" customFormat="false" ht="31.5" hidden="false" customHeight="false" outlineLevel="0" collapsed="false">
      <c r="A308" s="295" t="n">
        <v>39301</v>
      </c>
      <c r="B308" s="296" t="s">
        <v>2757</v>
      </c>
      <c r="C308" s="297" t="s">
        <v>2941</v>
      </c>
      <c r="D308" s="297" t="s">
        <v>31</v>
      </c>
      <c r="E308" s="298" t="n">
        <v>7</v>
      </c>
      <c r="F308" s="299" t="n">
        <v>13.03</v>
      </c>
      <c r="G308" s="299" t="n">
        <f aca="false">VLOOKUP(A308,'INSUMOS SINAPI'!A:E,5,0)</f>
        <v>0</v>
      </c>
      <c r="H308" s="300" t="n">
        <f aca="false">F308-G308</f>
        <v>13.03</v>
      </c>
      <c r="I308" s="288"/>
    </row>
    <row r="309" customFormat="false" ht="21" hidden="false" customHeight="false" outlineLevel="0" collapsed="false">
      <c r="A309" s="295" t="n">
        <v>3659</v>
      </c>
      <c r="B309" s="296" t="s">
        <v>2151</v>
      </c>
      <c r="C309" s="297" t="s">
        <v>2941</v>
      </c>
      <c r="D309" s="297" t="s">
        <v>31</v>
      </c>
      <c r="E309" s="298" t="n">
        <v>21</v>
      </c>
      <c r="F309" s="299" t="n">
        <v>19.88</v>
      </c>
      <c r="G309" s="299" t="n">
        <f aca="false">VLOOKUP(A309,'INSUMOS SINAPI'!A:E,5,0)</f>
        <v>19.88</v>
      </c>
      <c r="H309" s="300" t="n">
        <f aca="false">F309-G309</f>
        <v>0</v>
      </c>
      <c r="I309" s="288"/>
    </row>
    <row r="310" customFormat="false" ht="21" hidden="false" customHeight="false" outlineLevel="0" collapsed="false">
      <c r="A310" s="295" t="n">
        <v>3660</v>
      </c>
      <c r="B310" s="296" t="s">
        <v>2153</v>
      </c>
      <c r="C310" s="297" t="s">
        <v>2941</v>
      </c>
      <c r="D310" s="297" t="s">
        <v>31</v>
      </c>
      <c r="E310" s="298" t="n">
        <v>3</v>
      </c>
      <c r="F310" s="299" t="n">
        <v>25.71</v>
      </c>
      <c r="G310" s="299" t="n">
        <f aca="false">VLOOKUP(A310,'INSUMOS SINAPI'!A:E,5,0)</f>
        <v>25.71</v>
      </c>
      <c r="H310" s="300" t="n">
        <f aca="false">F310-G310</f>
        <v>0</v>
      </c>
      <c r="I310" s="288"/>
    </row>
    <row r="311" customFormat="false" ht="21" hidden="false" customHeight="false" outlineLevel="0" collapsed="false">
      <c r="A311" s="295" t="n">
        <v>20144</v>
      </c>
      <c r="B311" s="296" t="s">
        <v>2237</v>
      </c>
      <c r="C311" s="297" t="s">
        <v>2941</v>
      </c>
      <c r="D311" s="297" t="s">
        <v>31</v>
      </c>
      <c r="E311" s="298" t="n">
        <v>11</v>
      </c>
      <c r="F311" s="299" t="n">
        <v>57.58</v>
      </c>
      <c r="G311" s="299" t="n">
        <f aca="false">VLOOKUP(A311,'INSUMOS SINAPI'!A:E,5,0)</f>
        <v>57.58</v>
      </c>
      <c r="H311" s="300" t="n">
        <f aca="false">F311-G311</f>
        <v>0</v>
      </c>
      <c r="I311" s="288"/>
    </row>
    <row r="312" customFormat="false" ht="21" hidden="false" customHeight="false" outlineLevel="0" collapsed="false">
      <c r="A312" s="295" t="n">
        <v>20145</v>
      </c>
      <c r="B312" s="296" t="s">
        <v>2241</v>
      </c>
      <c r="C312" s="297" t="s">
        <v>2941</v>
      </c>
      <c r="D312" s="297" t="s">
        <v>31</v>
      </c>
      <c r="E312" s="298" t="n">
        <v>7</v>
      </c>
      <c r="F312" s="299" t="n">
        <v>142.1</v>
      </c>
      <c r="G312" s="299" t="n">
        <f aca="false">VLOOKUP(A312,'INSUMOS SINAPI'!A:E,5,0)</f>
        <v>142.1</v>
      </c>
      <c r="H312" s="300" t="n">
        <f aca="false">F312-G312</f>
        <v>0</v>
      </c>
      <c r="I312" s="288"/>
    </row>
    <row r="313" customFormat="false" ht="21" hidden="false" customHeight="false" outlineLevel="0" collapsed="false">
      <c r="A313" s="295" t="n">
        <v>20146</v>
      </c>
      <c r="B313" s="296" t="s">
        <v>2239</v>
      </c>
      <c r="C313" s="297" t="s">
        <v>2941</v>
      </c>
      <c r="D313" s="297" t="s">
        <v>31</v>
      </c>
      <c r="E313" s="298" t="n">
        <v>12</v>
      </c>
      <c r="F313" s="299" t="n">
        <v>194.25</v>
      </c>
      <c r="G313" s="299" t="n">
        <f aca="false">VLOOKUP(A313,'INSUMOS SINAPI'!A:E,5,0)</f>
        <v>194.25</v>
      </c>
      <c r="H313" s="300" t="n">
        <f aca="false">F313-G313</f>
        <v>0</v>
      </c>
      <c r="I313" s="288"/>
    </row>
    <row r="314" customFormat="false" ht="21" hidden="false" customHeight="false" outlineLevel="0" collapsed="false">
      <c r="A314" s="295" t="n">
        <v>3670</v>
      </c>
      <c r="B314" s="296" t="s">
        <v>2158</v>
      </c>
      <c r="C314" s="297" t="s">
        <v>2941</v>
      </c>
      <c r="D314" s="297" t="s">
        <v>31</v>
      </c>
      <c r="E314" s="298" t="n">
        <v>20</v>
      </c>
      <c r="F314" s="299" t="n">
        <v>25.53</v>
      </c>
      <c r="G314" s="299" t="n">
        <f aca="false">VLOOKUP(A314,'INSUMOS SINAPI'!A:E,5,0)</f>
        <v>25.53</v>
      </c>
      <c r="H314" s="300" t="n">
        <f aca="false">F314-G314</f>
        <v>0</v>
      </c>
      <c r="I314" s="288"/>
    </row>
    <row r="315" customFormat="false" ht="21" hidden="false" customHeight="false" outlineLevel="0" collapsed="false">
      <c r="A315" s="295" t="n">
        <v>3666</v>
      </c>
      <c r="B315" s="296" t="s">
        <v>2160</v>
      </c>
      <c r="C315" s="297" t="s">
        <v>2941</v>
      </c>
      <c r="D315" s="297" t="s">
        <v>31</v>
      </c>
      <c r="E315" s="298" t="n">
        <v>3</v>
      </c>
      <c r="F315" s="299" t="n">
        <v>4.02</v>
      </c>
      <c r="G315" s="299" t="n">
        <f aca="false">VLOOKUP(A315,'INSUMOS SINAPI'!A:E,5,0)</f>
        <v>4.02</v>
      </c>
      <c r="H315" s="300" t="n">
        <f aca="false">F315-G315</f>
        <v>0</v>
      </c>
      <c r="I315" s="288"/>
    </row>
    <row r="316" customFormat="false" ht="21" hidden="false" customHeight="false" outlineLevel="0" collapsed="false">
      <c r="A316" s="295" t="n">
        <v>3662</v>
      </c>
      <c r="B316" s="296" t="s">
        <v>2261</v>
      </c>
      <c r="C316" s="297" t="s">
        <v>2941</v>
      </c>
      <c r="D316" s="297" t="s">
        <v>31</v>
      </c>
      <c r="E316" s="298" t="n">
        <v>7</v>
      </c>
      <c r="F316" s="299" t="n">
        <v>10.48</v>
      </c>
      <c r="G316" s="299" t="n">
        <f aca="false">VLOOKUP(A316,'INSUMOS SINAPI'!A:E,5,0)</f>
        <v>10.48</v>
      </c>
      <c r="H316" s="300" t="n">
        <f aca="false">F316-G316</f>
        <v>0</v>
      </c>
      <c r="I316" s="288"/>
    </row>
    <row r="317" customFormat="false" ht="21" hidden="false" customHeight="false" outlineLevel="0" collapsed="false">
      <c r="A317" s="295" t="n">
        <v>3658</v>
      </c>
      <c r="B317" s="296" t="s">
        <v>2162</v>
      </c>
      <c r="C317" s="297" t="s">
        <v>2941</v>
      </c>
      <c r="D317" s="297" t="s">
        <v>31</v>
      </c>
      <c r="E317" s="298" t="n">
        <v>8</v>
      </c>
      <c r="F317" s="299" t="n">
        <v>19.85</v>
      </c>
      <c r="G317" s="299" t="n">
        <f aca="false">VLOOKUP(A317,'INSUMOS SINAPI'!A:E,5,0)</f>
        <v>19.85</v>
      </c>
      <c r="H317" s="300" t="n">
        <f aca="false">F317-G317</f>
        <v>0</v>
      </c>
      <c r="I317" s="288"/>
    </row>
    <row r="318" customFormat="false" ht="15" hidden="false" customHeight="false" outlineLevel="0" collapsed="false">
      <c r="A318" s="295" t="s">
        <v>2708</v>
      </c>
      <c r="B318" s="296" t="s">
        <v>2709</v>
      </c>
      <c r="C318" s="297" t="s">
        <v>2941</v>
      </c>
      <c r="D318" s="297" t="s">
        <v>31</v>
      </c>
      <c r="E318" s="298" t="n">
        <v>2</v>
      </c>
      <c r="F318" s="299" t="n">
        <v>344.976666666667</v>
      </c>
      <c r="G318" s="299" t="e">
        <f aca="false">VLOOKUP(A318,'INSUMOS SINAPI'!A:E,5,0)</f>
        <v>#N/A</v>
      </c>
      <c r="H318" s="300" t="e">
        <f aca="false">F318-G318</f>
        <v>#N/A</v>
      </c>
      <c r="I318" s="288" t="str">
        <f aca="false">IF(F318=VLOOKUP(A318,04_PESQUISAS!A:G,7,0),"OK","NÃO")</f>
        <v>OK</v>
      </c>
    </row>
    <row r="319" customFormat="false" ht="21" hidden="false" customHeight="false" outlineLevel="0" collapsed="false">
      <c r="A319" s="295" t="n">
        <v>3671</v>
      </c>
      <c r="B319" s="296" t="s">
        <v>1544</v>
      </c>
      <c r="C319" s="297" t="s">
        <v>2941</v>
      </c>
      <c r="D319" s="297" t="s">
        <v>1455</v>
      </c>
      <c r="E319" s="298" t="n">
        <v>93.52</v>
      </c>
      <c r="F319" s="299" t="n">
        <v>1.33</v>
      </c>
      <c r="G319" s="299" t="n">
        <f aca="false">VLOOKUP(A319,'INSUMOS SINAPI'!A:E,5,0)</f>
        <v>0</v>
      </c>
      <c r="H319" s="300" t="n">
        <f aca="false">F319-G319</f>
        <v>1.33</v>
      </c>
      <c r="I319" s="288"/>
    </row>
    <row r="320" customFormat="false" ht="21" hidden="false" customHeight="false" outlineLevel="0" collapsed="false">
      <c r="A320" s="295" t="s">
        <v>2155</v>
      </c>
      <c r="B320" s="296" t="s">
        <v>2156</v>
      </c>
      <c r="C320" s="297" t="s">
        <v>2941</v>
      </c>
      <c r="D320" s="297" t="s">
        <v>31</v>
      </c>
      <c r="E320" s="298" t="n">
        <v>2</v>
      </c>
      <c r="F320" s="299" t="n">
        <v>11.8866666666667</v>
      </c>
      <c r="G320" s="299" t="e">
        <f aca="false">VLOOKUP(A320,'INSUMOS SINAPI'!A:E,5,0)</f>
        <v>#N/A</v>
      </c>
      <c r="H320" s="300" t="e">
        <f aca="false">F320-G320</f>
        <v>#N/A</v>
      </c>
      <c r="I320" s="288" t="str">
        <f aca="false">IF(F320=VLOOKUP(A320,04_PESQUISAS!A:G,7,0),"OK","NÃO")</f>
        <v>OK</v>
      </c>
    </row>
    <row r="321" customFormat="false" ht="31.5" hidden="false" customHeight="false" outlineLevel="0" collapsed="false">
      <c r="A321" s="295" t="n">
        <v>3736</v>
      </c>
      <c r="B321" s="296" t="s">
        <v>1760</v>
      </c>
      <c r="C321" s="297" t="s">
        <v>2941</v>
      </c>
      <c r="D321" s="297" t="s">
        <v>1477</v>
      </c>
      <c r="E321" s="298" t="n">
        <v>1.39</v>
      </c>
      <c r="F321" s="299" t="n">
        <v>43.5</v>
      </c>
      <c r="G321" s="299" t="n">
        <f aca="false">VLOOKUP(A321,'INSUMOS SINAPI'!A:E,5,0)</f>
        <v>43.5</v>
      </c>
      <c r="H321" s="300" t="n">
        <f aca="false">F321-G321</f>
        <v>0</v>
      </c>
      <c r="I321" s="288"/>
    </row>
    <row r="322" customFormat="false" ht="31.5" hidden="false" customHeight="false" outlineLevel="0" collapsed="false">
      <c r="A322" s="295" t="n">
        <v>3738</v>
      </c>
      <c r="B322" s="296" t="s">
        <v>1678</v>
      </c>
      <c r="C322" s="297" t="s">
        <v>2941</v>
      </c>
      <c r="D322" s="297" t="s">
        <v>1477</v>
      </c>
      <c r="E322" s="298" t="n">
        <v>2065.39</v>
      </c>
      <c r="F322" s="299" t="n">
        <v>63.22</v>
      </c>
      <c r="G322" s="299" t="n">
        <f aca="false">VLOOKUP(A322,'INSUMOS SINAPI'!A:E,5,0)</f>
        <v>63.22</v>
      </c>
      <c r="H322" s="300" t="n">
        <f aca="false">F322-G322</f>
        <v>0</v>
      </c>
      <c r="I322" s="288"/>
    </row>
    <row r="323" customFormat="false" ht="15" hidden="false" customHeight="false" outlineLevel="0" collapsed="false">
      <c r="A323" s="295" t="s">
        <v>2518</v>
      </c>
      <c r="B323" s="296" t="s">
        <v>2519</v>
      </c>
      <c r="C323" s="297" t="s">
        <v>2941</v>
      </c>
      <c r="D323" s="297" t="s">
        <v>31</v>
      </c>
      <c r="E323" s="298" t="n">
        <v>17</v>
      </c>
      <c r="F323" s="299" t="n">
        <v>6.80333333333333</v>
      </c>
      <c r="G323" s="299" t="e">
        <f aca="false">VLOOKUP(A323,'INSUMOS SINAPI'!A:E,5,0)</f>
        <v>#N/A</v>
      </c>
      <c r="H323" s="300" t="e">
        <f aca="false">F323-G323</f>
        <v>#N/A</v>
      </c>
      <c r="I323" s="288" t="str">
        <f aca="false">IF(F323=VLOOKUP(A323,04_PESQUISAS!A:G,7,0),"OK","NÃO")</f>
        <v>OK</v>
      </c>
    </row>
    <row r="324" customFormat="false" ht="21" hidden="false" customHeight="false" outlineLevel="0" collapsed="false">
      <c r="A324" s="295" t="n">
        <v>38193</v>
      </c>
      <c r="B324" s="296" t="s">
        <v>2914</v>
      </c>
      <c r="C324" s="297" t="s">
        <v>2941</v>
      </c>
      <c r="D324" s="297" t="s">
        <v>31</v>
      </c>
      <c r="E324" s="298" t="n">
        <v>15</v>
      </c>
      <c r="F324" s="299" t="n">
        <v>3.99</v>
      </c>
      <c r="G324" s="299" t="n">
        <f aca="false">VLOOKUP(A324,'INSUMOS SINAPI'!A:E,5,0)</f>
        <v>3.99</v>
      </c>
      <c r="H324" s="300" t="n">
        <f aca="false">F324-G324</f>
        <v>0</v>
      </c>
      <c r="I324" s="288"/>
    </row>
    <row r="325" customFormat="false" ht="15" hidden="false" customHeight="false" outlineLevel="0" collapsed="false">
      <c r="A325" s="295" t="n">
        <v>39387</v>
      </c>
      <c r="B325" s="296" t="s">
        <v>2514</v>
      </c>
      <c r="C325" s="297" t="s">
        <v>2941</v>
      </c>
      <c r="D325" s="297" t="s">
        <v>31</v>
      </c>
      <c r="E325" s="298" t="n">
        <v>122</v>
      </c>
      <c r="F325" s="299" t="n">
        <v>8.82</v>
      </c>
      <c r="G325" s="299" t="n">
        <f aca="false">VLOOKUP(A325,'INSUMOS SINAPI'!A:E,5,0)</f>
        <v>8.82</v>
      </c>
      <c r="H325" s="300" t="n">
        <f aca="false">F325-G325</f>
        <v>0</v>
      </c>
      <c r="I325" s="288"/>
    </row>
    <row r="326" customFormat="false" ht="15" hidden="false" customHeight="false" outlineLevel="0" collapsed="false">
      <c r="A326" s="295" t="n">
        <v>39386</v>
      </c>
      <c r="B326" s="296" t="s">
        <v>2502</v>
      </c>
      <c r="C326" s="297" t="s">
        <v>2941</v>
      </c>
      <c r="D326" s="297" t="s">
        <v>31</v>
      </c>
      <c r="E326" s="298" t="n">
        <v>1418</v>
      </c>
      <c r="F326" s="299" t="n">
        <v>6.15</v>
      </c>
      <c r="G326" s="299" t="n">
        <f aca="false">VLOOKUP(A326,'INSUMOS SINAPI'!A:E,5,0)</f>
        <v>6.15</v>
      </c>
      <c r="H326" s="300" t="n">
        <f aca="false">F326-G326</f>
        <v>0</v>
      </c>
      <c r="I326" s="288"/>
    </row>
    <row r="327" customFormat="false" ht="21" hidden="false" customHeight="false" outlineLevel="0" collapsed="false">
      <c r="A327" s="295" t="n">
        <v>20269</v>
      </c>
      <c r="B327" s="296" t="s">
        <v>2035</v>
      </c>
      <c r="C327" s="297" t="s">
        <v>2941</v>
      </c>
      <c r="D327" s="297" t="s">
        <v>31</v>
      </c>
      <c r="E327" s="298" t="n">
        <v>24</v>
      </c>
      <c r="F327" s="299" t="n">
        <v>95.22</v>
      </c>
      <c r="G327" s="299" t="n">
        <f aca="false">VLOOKUP(A327,'INSUMOS SINAPI'!A:E,5,0)</f>
        <v>95.22</v>
      </c>
      <c r="H327" s="300" t="n">
        <f aca="false">F327-G327</f>
        <v>0</v>
      </c>
      <c r="I327" s="288"/>
    </row>
    <row r="328" customFormat="false" ht="21" hidden="false" customHeight="false" outlineLevel="0" collapsed="false">
      <c r="A328" s="295" t="n">
        <v>10425</v>
      </c>
      <c r="B328" s="296" t="s">
        <v>2055</v>
      </c>
      <c r="C328" s="297" t="s">
        <v>2941</v>
      </c>
      <c r="D328" s="297" t="s">
        <v>31</v>
      </c>
      <c r="E328" s="298" t="n">
        <v>4</v>
      </c>
      <c r="F328" s="299" t="n">
        <v>91.63</v>
      </c>
      <c r="G328" s="299" t="n">
        <f aca="false">VLOOKUP(A328,'INSUMOS SINAPI'!A:E,5,0)</f>
        <v>91.63</v>
      </c>
      <c r="H328" s="300" t="n">
        <f aca="false">F328-G328</f>
        <v>0</v>
      </c>
      <c r="I328" s="288"/>
    </row>
    <row r="329" customFormat="false" ht="15" hidden="false" customHeight="false" outlineLevel="0" collapsed="false">
      <c r="A329" s="295" t="n">
        <v>44331</v>
      </c>
      <c r="B329" s="296" t="s">
        <v>2924</v>
      </c>
      <c r="C329" s="297" t="s">
        <v>2941</v>
      </c>
      <c r="D329" s="297" t="s">
        <v>1452</v>
      </c>
      <c r="E329" s="298" t="n">
        <v>13.04303</v>
      </c>
      <c r="F329" s="299" t="n">
        <v>50.6</v>
      </c>
      <c r="G329" s="299" t="n">
        <f aca="false">VLOOKUP(A329,'INSUMOS SINAPI'!A:E,5,0)</f>
        <v>50.6</v>
      </c>
      <c r="H329" s="300" t="n">
        <f aca="false">F329-G329</f>
        <v>0</v>
      </c>
      <c r="I329" s="288"/>
    </row>
    <row r="330" customFormat="false" ht="15" hidden="false" customHeight="false" outlineLevel="0" collapsed="false">
      <c r="A330" s="295" t="n">
        <v>38383</v>
      </c>
      <c r="B330" s="296" t="s">
        <v>2093</v>
      </c>
      <c r="C330" s="297" t="s">
        <v>2941</v>
      </c>
      <c r="D330" s="297" t="s">
        <v>31</v>
      </c>
      <c r="E330" s="298" t="n">
        <v>80.888467</v>
      </c>
      <c r="F330" s="299" t="n">
        <v>2.39</v>
      </c>
      <c r="G330" s="299" t="n">
        <f aca="false">VLOOKUP(A330,'INSUMOS SINAPI'!A:E,5,0)</f>
        <v>2.39</v>
      </c>
      <c r="H330" s="300" t="n">
        <f aca="false">F330-G330</f>
        <v>0</v>
      </c>
      <c r="I330" s="288"/>
    </row>
    <row r="331" customFormat="false" ht="15" hidden="false" customHeight="false" outlineLevel="0" collapsed="false">
      <c r="A331" s="295" t="n">
        <v>3768</v>
      </c>
      <c r="B331" s="296" t="s">
        <v>1997</v>
      </c>
      <c r="C331" s="297" t="s">
        <v>2941</v>
      </c>
      <c r="D331" s="297" t="s">
        <v>31</v>
      </c>
      <c r="E331" s="298" t="n">
        <v>8.481</v>
      </c>
      <c r="F331" s="299" t="n">
        <v>2.43</v>
      </c>
      <c r="G331" s="299" t="n">
        <f aca="false">VLOOKUP(A331,'INSUMOS SINAPI'!A:E,5,0)</f>
        <v>2.43</v>
      </c>
      <c r="H331" s="300" t="n">
        <f aca="false">F331-G331</f>
        <v>0</v>
      </c>
      <c r="I331" s="288"/>
    </row>
    <row r="332" customFormat="false" ht="21" hidden="false" customHeight="false" outlineLevel="0" collapsed="false">
      <c r="A332" s="295" t="n">
        <v>3767</v>
      </c>
      <c r="B332" s="296" t="s">
        <v>1879</v>
      </c>
      <c r="C332" s="297" t="s">
        <v>2941</v>
      </c>
      <c r="D332" s="297" t="s">
        <v>31</v>
      </c>
      <c r="E332" s="298" t="n">
        <v>477.889064</v>
      </c>
      <c r="F332" s="299" t="n">
        <v>0.81</v>
      </c>
      <c r="G332" s="299" t="n">
        <f aca="false">VLOOKUP(A332,'INSUMOS SINAPI'!A:E,5,0)</f>
        <v>0.81</v>
      </c>
      <c r="H332" s="300" t="n">
        <f aca="false">F332-G332</f>
        <v>0</v>
      </c>
      <c r="I332" s="288"/>
    </row>
    <row r="333" customFormat="false" ht="15" hidden="false" customHeight="false" outlineLevel="0" collapsed="false">
      <c r="A333" s="295" t="n">
        <v>42408</v>
      </c>
      <c r="B333" s="296" t="s">
        <v>1573</v>
      </c>
      <c r="C333" s="297" t="s">
        <v>2941</v>
      </c>
      <c r="D333" s="297" t="s">
        <v>1477</v>
      </c>
      <c r="E333" s="298" t="n">
        <v>883.7816</v>
      </c>
      <c r="F333" s="299" t="n">
        <v>1.65</v>
      </c>
      <c r="G333" s="299" t="n">
        <f aca="false">VLOOKUP(A333,'INSUMOS SINAPI'!A:E,5,0)</f>
        <v>1.65</v>
      </c>
      <c r="H333" s="300" t="n">
        <f aca="false">F333-G333</f>
        <v>0</v>
      </c>
      <c r="I333" s="288"/>
    </row>
    <row r="334" customFormat="false" ht="31.5" hidden="false" customHeight="false" outlineLevel="0" collapsed="false">
      <c r="A334" s="295" t="n">
        <v>38769</v>
      </c>
      <c r="B334" s="296" t="s">
        <v>2918</v>
      </c>
      <c r="C334" s="297" t="s">
        <v>2941</v>
      </c>
      <c r="D334" s="297" t="s">
        <v>31</v>
      </c>
      <c r="E334" s="298" t="n">
        <v>19</v>
      </c>
      <c r="F334" s="299" t="n">
        <v>65.27</v>
      </c>
      <c r="G334" s="299" t="n">
        <f aca="false">VLOOKUP(A334,'INSUMOS SINAPI'!A:E,5,0)</f>
        <v>0</v>
      </c>
      <c r="H334" s="300" t="n">
        <f aca="false">F334-G334</f>
        <v>65.27</v>
      </c>
      <c r="I334" s="288"/>
    </row>
    <row r="335" customFormat="false" ht="31.5" hidden="false" customHeight="false" outlineLevel="0" collapsed="false">
      <c r="A335" s="295" t="s">
        <v>2503</v>
      </c>
      <c r="B335" s="296" t="s">
        <v>2504</v>
      </c>
      <c r="C335" s="297" t="s">
        <v>2941</v>
      </c>
      <c r="D335" s="297" t="s">
        <v>31</v>
      </c>
      <c r="E335" s="298" t="n">
        <v>51</v>
      </c>
      <c r="F335" s="299" t="n">
        <v>66.6566666666667</v>
      </c>
      <c r="G335" s="299" t="e">
        <f aca="false">VLOOKUP(A335,'INSUMOS SINAPI'!A:E,5,0)</f>
        <v>#N/A</v>
      </c>
      <c r="H335" s="300" t="e">
        <f aca="false">F335-G335</f>
        <v>#N/A</v>
      </c>
      <c r="I335" s="288" t="str">
        <f aca="false">IF(F335=VLOOKUP(A335,04_PESQUISAS!A:G,7,0),"OK","NÃO")</f>
        <v>OK</v>
      </c>
    </row>
    <row r="336" customFormat="false" ht="31.5" hidden="false" customHeight="false" outlineLevel="0" collapsed="false">
      <c r="A336" s="295" t="s">
        <v>2506</v>
      </c>
      <c r="B336" s="296" t="s">
        <v>2507</v>
      </c>
      <c r="C336" s="297" t="s">
        <v>2941</v>
      </c>
      <c r="D336" s="297" t="s">
        <v>31</v>
      </c>
      <c r="E336" s="298" t="n">
        <v>329</v>
      </c>
      <c r="F336" s="299" t="n">
        <v>177.023333333333</v>
      </c>
      <c r="G336" s="299" t="e">
        <f aca="false">VLOOKUP(A336,'INSUMOS SINAPI'!A:E,5,0)</f>
        <v>#N/A</v>
      </c>
      <c r="H336" s="300" t="e">
        <f aca="false">F336-G336</f>
        <v>#N/A</v>
      </c>
      <c r="I336" s="288" t="str">
        <f aca="false">IF(F336=VLOOKUP(A336,04_PESQUISAS!A:G,7,0),"OK","NÃO")</f>
        <v>OK</v>
      </c>
    </row>
    <row r="337" customFormat="false" ht="21" hidden="false" customHeight="false" outlineLevel="0" collapsed="false">
      <c r="A337" s="295" t="n">
        <v>38774</v>
      </c>
      <c r="B337" s="296" t="s">
        <v>2646</v>
      </c>
      <c r="C337" s="297" t="s">
        <v>2941</v>
      </c>
      <c r="D337" s="297" t="s">
        <v>31</v>
      </c>
      <c r="E337" s="298" t="n">
        <v>30</v>
      </c>
      <c r="F337" s="299" t="n">
        <v>11.55</v>
      </c>
      <c r="G337" s="299" t="n">
        <f aca="false">VLOOKUP(A337,'INSUMOS SINAPI'!A:E,5,0)</f>
        <v>11.55</v>
      </c>
      <c r="H337" s="300" t="n">
        <f aca="false">F337-G337</f>
        <v>0</v>
      </c>
      <c r="I337" s="288"/>
    </row>
    <row r="338" customFormat="false" ht="21" hidden="false" customHeight="false" outlineLevel="0" collapsed="false">
      <c r="A338" s="295" t="s">
        <v>2515</v>
      </c>
      <c r="B338" s="296" t="s">
        <v>2516</v>
      </c>
      <c r="C338" s="297" t="s">
        <v>2941</v>
      </c>
      <c r="D338" s="297" t="s">
        <v>31</v>
      </c>
      <c r="E338" s="298" t="n">
        <v>61</v>
      </c>
      <c r="F338" s="299" t="n">
        <v>132.403333333333</v>
      </c>
      <c r="G338" s="299" t="e">
        <f aca="false">VLOOKUP(A338,'INSUMOS SINAPI'!A:E,5,0)</f>
        <v>#N/A</v>
      </c>
      <c r="H338" s="300" t="e">
        <f aca="false">F338-G338</f>
        <v>#N/A</v>
      </c>
      <c r="I338" s="288" t="str">
        <f aca="false">IF(F338=VLOOKUP(A338,04_PESQUISAS!A:G,7,0),"OK","NÃO")</f>
        <v>OK</v>
      </c>
    </row>
    <row r="339" customFormat="false" ht="21" hidden="false" customHeight="false" outlineLevel="0" collapsed="false">
      <c r="A339" s="295" t="n">
        <v>39385</v>
      </c>
      <c r="B339" s="296" t="s">
        <v>2512</v>
      </c>
      <c r="C339" s="297" t="s">
        <v>2941</v>
      </c>
      <c r="D339" s="297" t="s">
        <v>31</v>
      </c>
      <c r="E339" s="298" t="n">
        <v>9</v>
      </c>
      <c r="F339" s="299" t="n">
        <v>10.57</v>
      </c>
      <c r="G339" s="299" t="n">
        <f aca="false">VLOOKUP(A339,'INSUMOS SINAPI'!A:E,5,0)</f>
        <v>10.57</v>
      </c>
      <c r="H339" s="300" t="n">
        <f aca="false">F339-G339</f>
        <v>0</v>
      </c>
      <c r="I339" s="288"/>
    </row>
    <row r="340" customFormat="false" ht="15" hidden="false" customHeight="false" outlineLevel="0" collapsed="false">
      <c r="A340" s="295" t="n">
        <v>39391</v>
      </c>
      <c r="B340" s="296" t="s">
        <v>2522</v>
      </c>
      <c r="C340" s="297" t="s">
        <v>2941</v>
      </c>
      <c r="D340" s="297" t="s">
        <v>31</v>
      </c>
      <c r="E340" s="298" t="n">
        <v>4</v>
      </c>
      <c r="F340" s="299" t="n">
        <v>26.98</v>
      </c>
      <c r="G340" s="299" t="n">
        <f aca="false">VLOOKUP(A340,'INSUMOS SINAPI'!A:E,5,0)</f>
        <v>26.98</v>
      </c>
      <c r="H340" s="300" t="n">
        <f aca="false">F340-G340</f>
        <v>0</v>
      </c>
      <c r="I340" s="288"/>
    </row>
    <row r="341" customFormat="false" ht="21" hidden="false" customHeight="false" outlineLevel="0" collapsed="false">
      <c r="A341" s="295" t="s">
        <v>2509</v>
      </c>
      <c r="B341" s="296" t="s">
        <v>2510</v>
      </c>
      <c r="C341" s="297" t="s">
        <v>2941</v>
      </c>
      <c r="D341" s="297" t="s">
        <v>31</v>
      </c>
      <c r="E341" s="298" t="n">
        <v>196</v>
      </c>
      <c r="F341" s="299" t="n">
        <v>18.9433333333333</v>
      </c>
      <c r="G341" s="299" t="e">
        <f aca="false">VLOOKUP(A341,'INSUMOS SINAPI'!A:E,5,0)</f>
        <v>#N/A</v>
      </c>
      <c r="H341" s="300" t="e">
        <f aca="false">F341-G341</f>
        <v>#N/A</v>
      </c>
      <c r="I341" s="288" t="str">
        <f aca="false">IF(F341=VLOOKUP(A341,04_PESQUISAS!A:G,7,0),"OK","NÃO")</f>
        <v>OK</v>
      </c>
    </row>
    <row r="342" customFormat="false" ht="31.5" hidden="false" customHeight="false" outlineLevel="0" collapsed="false">
      <c r="A342" s="295" t="n">
        <v>38775</v>
      </c>
      <c r="B342" s="296" t="s">
        <v>2520</v>
      </c>
      <c r="C342" s="297" t="s">
        <v>2941</v>
      </c>
      <c r="D342" s="297" t="s">
        <v>31</v>
      </c>
      <c r="E342" s="298" t="n">
        <v>17</v>
      </c>
      <c r="F342" s="299" t="n">
        <v>80.79</v>
      </c>
      <c r="G342" s="299" t="n">
        <f aca="false">VLOOKUP(A342,'INSUMOS SINAPI'!A:E,5,0)</f>
        <v>0</v>
      </c>
      <c r="H342" s="300" t="n">
        <f aca="false">F342-G342</f>
        <v>80.79</v>
      </c>
      <c r="I342" s="288"/>
    </row>
    <row r="343" customFormat="false" ht="21" hidden="false" customHeight="false" outlineLevel="0" collapsed="false">
      <c r="A343" s="295" t="n">
        <v>3931</v>
      </c>
      <c r="B343" s="296" t="s">
        <v>2700</v>
      </c>
      <c r="C343" s="297" t="s">
        <v>2941</v>
      </c>
      <c r="D343" s="297" t="s">
        <v>31</v>
      </c>
      <c r="E343" s="298" t="n">
        <v>1</v>
      </c>
      <c r="F343" s="299" t="n">
        <v>116.37</v>
      </c>
      <c r="G343" s="299" t="n">
        <f aca="false">VLOOKUP(A343,'INSUMOS SINAPI'!A:E,5,0)</f>
        <v>0</v>
      </c>
      <c r="H343" s="300" t="n">
        <f aca="false">F343-G343</f>
        <v>116.37</v>
      </c>
      <c r="I343" s="288"/>
    </row>
    <row r="344" customFormat="false" ht="15" hidden="false" customHeight="false" outlineLevel="0" collapsed="false">
      <c r="A344" s="295" t="n">
        <v>1891</v>
      </c>
      <c r="B344" s="296" t="s">
        <v>2384</v>
      </c>
      <c r="C344" s="297" t="s">
        <v>2941</v>
      </c>
      <c r="D344" s="297" t="s">
        <v>31</v>
      </c>
      <c r="E344" s="298" t="n">
        <v>239</v>
      </c>
      <c r="F344" s="299" t="n">
        <v>0.71</v>
      </c>
      <c r="G344" s="299" t="n">
        <f aca="false">VLOOKUP(A344,'INSUMOS SINAPI'!A:E,5,0)</f>
        <v>0.71</v>
      </c>
      <c r="H344" s="300" t="n">
        <f aca="false">F344-G344</f>
        <v>0</v>
      </c>
      <c r="I344" s="288"/>
    </row>
    <row r="345" customFormat="false" ht="15" hidden="false" customHeight="false" outlineLevel="0" collapsed="false">
      <c r="A345" s="295" t="n">
        <v>3904</v>
      </c>
      <c r="B345" s="296" t="s">
        <v>2839</v>
      </c>
      <c r="C345" s="297" t="s">
        <v>2941</v>
      </c>
      <c r="D345" s="297" t="s">
        <v>31</v>
      </c>
      <c r="E345" s="298" t="n">
        <v>13</v>
      </c>
      <c r="F345" s="299" t="n">
        <v>0.82</v>
      </c>
      <c r="G345" s="299" t="n">
        <f aca="false">VLOOKUP(A345,'INSUMOS SINAPI'!A:E,5,0)</f>
        <v>0.82</v>
      </c>
      <c r="H345" s="300" t="n">
        <f aca="false">F345-G345</f>
        <v>0</v>
      </c>
      <c r="I345" s="288"/>
    </row>
    <row r="346" customFormat="false" ht="15" hidden="false" customHeight="false" outlineLevel="0" collapsed="false">
      <c r="A346" s="295" t="n">
        <v>3863</v>
      </c>
      <c r="B346" s="296" t="s">
        <v>2319</v>
      </c>
      <c r="C346" s="297" t="s">
        <v>2941</v>
      </c>
      <c r="D346" s="297" t="s">
        <v>31</v>
      </c>
      <c r="E346" s="298" t="n">
        <v>30</v>
      </c>
      <c r="F346" s="299" t="n">
        <v>4.38</v>
      </c>
      <c r="G346" s="299" t="n">
        <f aca="false">VLOOKUP(A346,'INSUMOS SINAPI'!A:E,5,0)</f>
        <v>4.38</v>
      </c>
      <c r="H346" s="300" t="n">
        <f aca="false">F346-G346</f>
        <v>0</v>
      </c>
      <c r="I346" s="288"/>
    </row>
    <row r="347" customFormat="false" ht="15" hidden="false" customHeight="false" outlineLevel="0" collapsed="false">
      <c r="A347" s="295" t="n">
        <v>3865</v>
      </c>
      <c r="B347" s="296" t="s">
        <v>2321</v>
      </c>
      <c r="C347" s="297" t="s">
        <v>2941</v>
      </c>
      <c r="D347" s="297" t="s">
        <v>31</v>
      </c>
      <c r="E347" s="298" t="n">
        <v>1</v>
      </c>
      <c r="F347" s="299" t="n">
        <v>19.61</v>
      </c>
      <c r="G347" s="299" t="n">
        <f aca="false">VLOOKUP(A347,'INSUMOS SINAPI'!A:E,5,0)</f>
        <v>19.61</v>
      </c>
      <c r="H347" s="300" t="n">
        <f aca="false">F347-G347</f>
        <v>0</v>
      </c>
      <c r="I347" s="288"/>
    </row>
    <row r="348" customFormat="false" ht="15" hidden="false" customHeight="false" outlineLevel="0" collapsed="false">
      <c r="A348" s="295" t="n">
        <v>20170</v>
      </c>
      <c r="B348" s="296" t="s">
        <v>2243</v>
      </c>
      <c r="C348" s="297" t="s">
        <v>2941</v>
      </c>
      <c r="D348" s="297" t="s">
        <v>31</v>
      </c>
      <c r="E348" s="298" t="n">
        <v>74</v>
      </c>
      <c r="F348" s="299" t="n">
        <v>14.43</v>
      </c>
      <c r="G348" s="299" t="n">
        <f aca="false">VLOOKUP(A348,'INSUMOS SINAPI'!A:E,5,0)</f>
        <v>14.43</v>
      </c>
      <c r="H348" s="300" t="n">
        <f aca="false">F348-G348</f>
        <v>0</v>
      </c>
      <c r="I348" s="288"/>
    </row>
    <row r="349" customFormat="false" ht="15" hidden="false" customHeight="false" outlineLevel="0" collapsed="false">
      <c r="A349" s="295" t="n">
        <v>20171</v>
      </c>
      <c r="B349" s="296" t="s">
        <v>2245</v>
      </c>
      <c r="C349" s="297" t="s">
        <v>2941</v>
      </c>
      <c r="D349" s="297" t="s">
        <v>31</v>
      </c>
      <c r="E349" s="298" t="n">
        <v>54</v>
      </c>
      <c r="F349" s="299" t="n">
        <v>41.6</v>
      </c>
      <c r="G349" s="299" t="n">
        <f aca="false">VLOOKUP(A349,'INSUMOS SINAPI'!A:E,5,0)</f>
        <v>41.6</v>
      </c>
      <c r="H349" s="300" t="n">
        <f aca="false">F349-G349</f>
        <v>0</v>
      </c>
      <c r="I349" s="288"/>
    </row>
    <row r="350" customFormat="false" ht="15" hidden="false" customHeight="false" outlineLevel="0" collapsed="false">
      <c r="A350" s="295" t="n">
        <v>20169</v>
      </c>
      <c r="B350" s="296" t="s">
        <v>2247</v>
      </c>
      <c r="C350" s="297" t="s">
        <v>2941</v>
      </c>
      <c r="D350" s="297" t="s">
        <v>31</v>
      </c>
      <c r="E350" s="298" t="n">
        <v>1</v>
      </c>
      <c r="F350" s="299" t="n">
        <v>12.56</v>
      </c>
      <c r="G350" s="299" t="n">
        <f aca="false">VLOOKUP(A350,'INSUMOS SINAPI'!A:E,5,0)</f>
        <v>12.56</v>
      </c>
      <c r="H350" s="300" t="n">
        <f aca="false">F350-G350</f>
        <v>0</v>
      </c>
      <c r="I350" s="288"/>
    </row>
    <row r="351" customFormat="false" ht="21" hidden="false" customHeight="false" outlineLevel="0" collapsed="false">
      <c r="A351" s="295" t="n">
        <v>3899</v>
      </c>
      <c r="B351" s="296" t="s">
        <v>2164</v>
      </c>
      <c r="C351" s="297" t="s">
        <v>2941</v>
      </c>
      <c r="D351" s="297" t="s">
        <v>31</v>
      </c>
      <c r="E351" s="298" t="n">
        <v>121</v>
      </c>
      <c r="F351" s="299" t="n">
        <v>6.97</v>
      </c>
      <c r="G351" s="299" t="n">
        <f aca="false">VLOOKUP(A351,'INSUMOS SINAPI'!A:E,5,0)</f>
        <v>6.97</v>
      </c>
      <c r="H351" s="300" t="n">
        <f aca="false">F351-G351</f>
        <v>0</v>
      </c>
      <c r="I351" s="288"/>
    </row>
    <row r="352" customFormat="false" ht="21" hidden="false" customHeight="false" outlineLevel="0" collapsed="false">
      <c r="A352" s="295" t="n">
        <v>3875</v>
      </c>
      <c r="B352" s="296" t="s">
        <v>2166</v>
      </c>
      <c r="C352" s="297" t="s">
        <v>2941</v>
      </c>
      <c r="D352" s="297" t="s">
        <v>31</v>
      </c>
      <c r="E352" s="298" t="n">
        <v>213</v>
      </c>
      <c r="F352" s="299" t="n">
        <v>3.51</v>
      </c>
      <c r="G352" s="299" t="n">
        <f aca="false">VLOOKUP(A352,'INSUMOS SINAPI'!A:E,5,0)</f>
        <v>3.51</v>
      </c>
      <c r="H352" s="300" t="n">
        <f aca="false">F352-G352</f>
        <v>0</v>
      </c>
      <c r="I352" s="288"/>
    </row>
    <row r="353" customFormat="false" ht="21" hidden="false" customHeight="false" outlineLevel="0" collapsed="false">
      <c r="A353" s="295" t="n">
        <v>3898</v>
      </c>
      <c r="B353" s="296" t="s">
        <v>2168</v>
      </c>
      <c r="C353" s="297" t="s">
        <v>2941</v>
      </c>
      <c r="D353" s="297" t="s">
        <v>31</v>
      </c>
      <c r="E353" s="298" t="n">
        <v>36</v>
      </c>
      <c r="F353" s="299" t="n">
        <v>7.13</v>
      </c>
      <c r="G353" s="299" t="n">
        <f aca="false">VLOOKUP(A353,'INSUMOS SINAPI'!A:E,5,0)</f>
        <v>7.13</v>
      </c>
      <c r="H353" s="300" t="n">
        <f aca="false">F353-G353</f>
        <v>0</v>
      </c>
      <c r="I353" s="288"/>
    </row>
    <row r="354" customFormat="false" ht="31.5" hidden="false" customHeight="false" outlineLevel="0" collapsed="false">
      <c r="A354" s="295" t="n">
        <v>21034</v>
      </c>
      <c r="B354" s="296" t="s">
        <v>2674</v>
      </c>
      <c r="C354" s="297" t="s">
        <v>2941</v>
      </c>
      <c r="D354" s="297" t="s">
        <v>31</v>
      </c>
      <c r="E354" s="298" t="n">
        <v>6</v>
      </c>
      <c r="F354" s="299" t="n">
        <v>583.03</v>
      </c>
      <c r="G354" s="299" t="n">
        <f aca="false">VLOOKUP(A354,'INSUMOS SINAPI'!A:E,5,0)</f>
        <v>583.03</v>
      </c>
      <c r="H354" s="300" t="n">
        <f aca="false">F354-G354</f>
        <v>0</v>
      </c>
      <c r="I354" s="288"/>
    </row>
    <row r="355" customFormat="false" ht="21" hidden="false" customHeight="false" outlineLevel="0" collapsed="false">
      <c r="A355" s="295" t="n">
        <v>12899</v>
      </c>
      <c r="B355" s="296" t="s">
        <v>2712</v>
      </c>
      <c r="C355" s="297" t="s">
        <v>2941</v>
      </c>
      <c r="D355" s="297" t="s">
        <v>31</v>
      </c>
      <c r="E355" s="298" t="n">
        <v>1</v>
      </c>
      <c r="F355" s="299" t="n">
        <v>133.65</v>
      </c>
      <c r="G355" s="299" t="n">
        <f aca="false">VLOOKUP(A355,'INSUMOS SINAPI'!A:E,5,0)</f>
        <v>0</v>
      </c>
      <c r="H355" s="300" t="n">
        <f aca="false">F355-G355</f>
        <v>133.65</v>
      </c>
      <c r="I355" s="288"/>
    </row>
    <row r="356" customFormat="false" ht="21" hidden="false" customHeight="false" outlineLevel="0" collapsed="false">
      <c r="A356" s="295" t="n">
        <v>4015</v>
      </c>
      <c r="B356" s="296" t="s">
        <v>1909</v>
      </c>
      <c r="C356" s="297" t="s">
        <v>2941</v>
      </c>
      <c r="D356" s="297" t="s">
        <v>1477</v>
      </c>
      <c r="E356" s="298" t="n">
        <v>392.112798</v>
      </c>
      <c r="F356" s="299" t="n">
        <v>55.68</v>
      </c>
      <c r="G356" s="299" t="n">
        <f aca="false">VLOOKUP(A356,'INSUMOS SINAPI'!A:E,5,0)</f>
        <v>55.68</v>
      </c>
      <c r="H356" s="300" t="n">
        <f aca="false">F356-G356</f>
        <v>0</v>
      </c>
      <c r="I356" s="288"/>
    </row>
    <row r="357" customFormat="false" ht="42" hidden="false" customHeight="false" outlineLevel="0" collapsed="false">
      <c r="A357" s="295" t="n">
        <v>626</v>
      </c>
      <c r="B357" s="296" t="s">
        <v>1659</v>
      </c>
      <c r="C357" s="297" t="s">
        <v>2941</v>
      </c>
      <c r="D357" s="297" t="s">
        <v>1513</v>
      </c>
      <c r="E357" s="298" t="n">
        <v>213.105</v>
      </c>
      <c r="F357" s="299" t="n">
        <v>16.67</v>
      </c>
      <c r="G357" s="299" t="n">
        <f aca="false">VLOOKUP(A357,'INSUMOS SINAPI'!A:E,5,0)</f>
        <v>16.67</v>
      </c>
      <c r="H357" s="300" t="n">
        <f aca="false">F357-G357</f>
        <v>0</v>
      </c>
      <c r="I357" s="288"/>
    </row>
    <row r="358" customFormat="false" ht="15" hidden="false" customHeight="false" outlineLevel="0" collapsed="false">
      <c r="A358" s="295" t="n">
        <v>43651</v>
      </c>
      <c r="B358" s="296" t="s">
        <v>1966</v>
      </c>
      <c r="C358" s="297" t="s">
        <v>2941</v>
      </c>
      <c r="D358" s="297" t="s">
        <v>1513</v>
      </c>
      <c r="E358" s="298" t="n">
        <v>4977.119748</v>
      </c>
      <c r="F358" s="299" t="n">
        <v>4.33</v>
      </c>
      <c r="G358" s="299" t="n">
        <f aca="false">VLOOKUP(A358,'INSUMOS SINAPI'!A:E,5,0)</f>
        <v>4.33</v>
      </c>
      <c r="H358" s="300" t="n">
        <f aca="false">F358-G358</f>
        <v>0</v>
      </c>
      <c r="I358" s="288"/>
    </row>
    <row r="359" customFormat="false" ht="31.5" hidden="false" customHeight="false" outlineLevel="0" collapsed="false">
      <c r="A359" s="295" t="n">
        <v>39434</v>
      </c>
      <c r="B359" s="296" t="s">
        <v>1794</v>
      </c>
      <c r="C359" s="297" t="s">
        <v>2941</v>
      </c>
      <c r="D359" s="297" t="s">
        <v>1513</v>
      </c>
      <c r="E359" s="298" t="n">
        <v>393.352718</v>
      </c>
      <c r="F359" s="299" t="n">
        <v>3.38</v>
      </c>
      <c r="G359" s="299" t="n">
        <f aca="false">VLOOKUP(A359,'INSUMOS SINAPI'!A:E,5,0)</f>
        <v>3.38</v>
      </c>
      <c r="H359" s="300" t="n">
        <f aca="false">F359-G359</f>
        <v>0</v>
      </c>
      <c r="I359" s="288"/>
    </row>
    <row r="360" customFormat="false" ht="15" hidden="false" customHeight="false" outlineLevel="0" collapsed="false">
      <c r="A360" s="295" t="n">
        <v>4823</v>
      </c>
      <c r="B360" s="296" t="s">
        <v>2030</v>
      </c>
      <c r="C360" s="297" t="s">
        <v>2941</v>
      </c>
      <c r="D360" s="297" t="s">
        <v>1513</v>
      </c>
      <c r="E360" s="298" t="n">
        <v>29.97159224</v>
      </c>
      <c r="F360" s="299" t="n">
        <v>29.89</v>
      </c>
      <c r="G360" s="299" t="n">
        <f aca="false">VLOOKUP(A360,'INSUMOS SINAPI'!A:E,5,0)</f>
        <v>29.89</v>
      </c>
      <c r="H360" s="300" t="n">
        <f aca="false">F360-G360</f>
        <v>0</v>
      </c>
      <c r="I360" s="288"/>
    </row>
    <row r="361" customFormat="false" ht="15" hidden="false" customHeight="false" outlineLevel="0" collapsed="false">
      <c r="A361" s="295" t="n">
        <v>41387</v>
      </c>
      <c r="B361" s="296" t="s">
        <v>2616</v>
      </c>
      <c r="C361" s="297" t="s">
        <v>2941</v>
      </c>
      <c r="D361" s="297" t="s">
        <v>1455</v>
      </c>
      <c r="E361" s="298" t="n">
        <v>6</v>
      </c>
      <c r="F361" s="299" t="n">
        <v>55.23</v>
      </c>
      <c r="G361" s="299" t="n">
        <f aca="false">VLOOKUP(A361,'INSUMOS SINAPI'!A:E,5,0)</f>
        <v>55.23</v>
      </c>
      <c r="H361" s="300" t="n">
        <f aca="false">F361-G361</f>
        <v>0</v>
      </c>
      <c r="I361" s="288"/>
    </row>
    <row r="362" customFormat="false" ht="21" hidden="false" customHeight="false" outlineLevel="0" collapsed="false">
      <c r="A362" s="295" t="n">
        <v>41381</v>
      </c>
      <c r="B362" s="296" t="s">
        <v>1765</v>
      </c>
      <c r="C362" s="297" t="s">
        <v>2941</v>
      </c>
      <c r="D362" s="297" t="s">
        <v>31</v>
      </c>
      <c r="E362" s="298" t="n">
        <v>3</v>
      </c>
      <c r="F362" s="299" t="n">
        <v>461.86</v>
      </c>
      <c r="G362" s="299" t="n">
        <f aca="false">VLOOKUP(A362,'INSUMOS SINAPI'!A:E,5,0)</f>
        <v>461.86</v>
      </c>
      <c r="H362" s="300" t="n">
        <f aca="false">F362-G362</f>
        <v>0</v>
      </c>
      <c r="I362" s="288"/>
    </row>
    <row r="363" customFormat="false" ht="21" hidden="false" customHeight="false" outlineLevel="0" collapsed="false">
      <c r="A363" s="295" t="n">
        <v>38589</v>
      </c>
      <c r="B363" s="296" t="s">
        <v>1747</v>
      </c>
      <c r="C363" s="297" t="s">
        <v>2941</v>
      </c>
      <c r="D363" s="297" t="s">
        <v>31</v>
      </c>
      <c r="E363" s="298" t="n">
        <v>17.7974</v>
      </c>
      <c r="F363" s="299" t="n">
        <v>2.61</v>
      </c>
      <c r="G363" s="299" t="n">
        <f aca="false">VLOOKUP(A363,'INSUMOS SINAPI'!A:E,5,0)</f>
        <v>2.61</v>
      </c>
      <c r="H363" s="300" t="n">
        <f aca="false">F363-G363</f>
        <v>0</v>
      </c>
      <c r="I363" s="288"/>
    </row>
    <row r="364" customFormat="false" ht="21" hidden="false" customHeight="false" outlineLevel="0" collapsed="false">
      <c r="A364" s="295" t="n">
        <v>41681</v>
      </c>
      <c r="B364" s="296" t="s">
        <v>1956</v>
      </c>
      <c r="C364" s="297" t="s">
        <v>2941</v>
      </c>
      <c r="D364" s="297" t="s">
        <v>31</v>
      </c>
      <c r="E364" s="298" t="n">
        <v>442.34323</v>
      </c>
      <c r="F364" s="299" t="n">
        <v>22.54</v>
      </c>
      <c r="G364" s="299" t="n">
        <f aca="false">VLOOKUP(A364,'INSUMOS SINAPI'!A:E,5,0)</f>
        <v>22.54</v>
      </c>
      <c r="H364" s="300" t="n">
        <f aca="false">F364-G364</f>
        <v>0</v>
      </c>
      <c r="I364" s="288"/>
    </row>
    <row r="365" customFormat="false" ht="15" hidden="false" customHeight="false" outlineLevel="0" collapsed="false">
      <c r="A365" s="295" t="n">
        <v>43148</v>
      </c>
      <c r="B365" s="296" t="s">
        <v>1912</v>
      </c>
      <c r="C365" s="297" t="s">
        <v>2941</v>
      </c>
      <c r="D365" s="297" t="s">
        <v>1513</v>
      </c>
      <c r="E365" s="298" t="n">
        <v>105.86</v>
      </c>
      <c r="F365" s="299" t="n">
        <v>56.48</v>
      </c>
      <c r="G365" s="299" t="n">
        <f aca="false">VLOOKUP(A365,'INSUMOS SINAPI'!A:E,5,0)</f>
        <v>56.48</v>
      </c>
      <c r="H365" s="300" t="n">
        <f aca="false">F365-G365</f>
        <v>0</v>
      </c>
      <c r="I365" s="288"/>
    </row>
    <row r="366" customFormat="false" ht="15" hidden="false" customHeight="false" outlineLevel="0" collapsed="false">
      <c r="A366" s="295" t="s">
        <v>2590</v>
      </c>
      <c r="B366" s="296" t="s">
        <v>2591</v>
      </c>
      <c r="C366" s="297" t="s">
        <v>2941</v>
      </c>
      <c r="D366" s="297" t="s">
        <v>31</v>
      </c>
      <c r="E366" s="298" t="n">
        <v>1</v>
      </c>
      <c r="F366" s="299" t="n">
        <v>3209.28333333333</v>
      </c>
      <c r="G366" s="299" t="e">
        <f aca="false">VLOOKUP(A366,'INSUMOS SINAPI'!A:E,5,0)</f>
        <v>#N/A</v>
      </c>
      <c r="H366" s="300" t="e">
        <f aca="false">F366-G366</f>
        <v>#N/A</v>
      </c>
      <c r="I366" s="288" t="str">
        <f aca="false">IF(F366=VLOOKUP(A366,04_PESQUISAS!A:G,7,0),"OK","NÃO")</f>
        <v>OK</v>
      </c>
    </row>
    <row r="367" customFormat="false" ht="21" hidden="false" customHeight="false" outlineLevel="0" collapsed="false">
      <c r="A367" s="295" t="n">
        <v>10432</v>
      </c>
      <c r="B367" s="296" t="s">
        <v>2026</v>
      </c>
      <c r="C367" s="297" t="s">
        <v>2941</v>
      </c>
      <c r="D367" s="297" t="s">
        <v>31</v>
      </c>
      <c r="E367" s="298" t="n">
        <v>3</v>
      </c>
      <c r="F367" s="299" t="n">
        <v>352.39</v>
      </c>
      <c r="G367" s="299" t="n">
        <f aca="false">VLOOKUP(A367,'INSUMOS SINAPI'!A:E,5,0)</f>
        <v>352.39</v>
      </c>
      <c r="H367" s="300" t="n">
        <f aca="false">F367-G367</f>
        <v>0</v>
      </c>
      <c r="I367" s="288"/>
    </row>
    <row r="368" customFormat="false" ht="21" hidden="false" customHeight="false" outlineLevel="0" collapsed="false">
      <c r="A368" s="295" t="n">
        <v>41426</v>
      </c>
      <c r="B368" s="296" t="s">
        <v>2604</v>
      </c>
      <c r="C368" s="297" t="s">
        <v>2941</v>
      </c>
      <c r="D368" s="297" t="s">
        <v>31</v>
      </c>
      <c r="E368" s="298" t="n">
        <v>65</v>
      </c>
      <c r="F368" s="299" t="n">
        <v>14.16</v>
      </c>
      <c r="G368" s="299" t="n">
        <f aca="false">VLOOKUP(A368,'INSUMOS SINAPI'!A:E,5,0)</f>
        <v>14.16</v>
      </c>
      <c r="H368" s="300" t="n">
        <f aca="false">F368-G368</f>
        <v>0</v>
      </c>
      <c r="I368" s="288"/>
    </row>
    <row r="369" customFormat="false" ht="15" hidden="false" customHeight="false" outlineLevel="0" collapsed="false">
      <c r="A369" s="295" t="s">
        <v>1608</v>
      </c>
      <c r="B369" s="296" t="s">
        <v>1607</v>
      </c>
      <c r="C369" s="297" t="s">
        <v>2941</v>
      </c>
      <c r="D369" s="297" t="s">
        <v>31</v>
      </c>
      <c r="E369" s="298" t="n">
        <v>1</v>
      </c>
      <c r="F369" s="299" t="n">
        <v>6154.72</v>
      </c>
      <c r="G369" s="299" t="e">
        <f aca="false">VLOOKUP(A369,'INSUMOS SINAPI'!A:E,5,0)</f>
        <v>#N/A</v>
      </c>
      <c r="H369" s="300" t="e">
        <f aca="false">F369-G369</f>
        <v>#N/A</v>
      </c>
      <c r="I369" s="288" t="str">
        <f aca="false">IF(F369=VLOOKUP(A369,04_PESQUISAS!A:G,7,0),"OK","NÃO")</f>
        <v>OK</v>
      </c>
    </row>
    <row r="370" customFormat="false" ht="21" hidden="false" customHeight="false" outlineLevel="0" collapsed="false">
      <c r="A370" s="295" t="n">
        <v>4107</v>
      </c>
      <c r="B370" s="296" t="s">
        <v>1806</v>
      </c>
      <c r="C370" s="297" t="s">
        <v>2941</v>
      </c>
      <c r="D370" s="297" t="s">
        <v>31</v>
      </c>
      <c r="E370" s="298" t="n">
        <v>5.53824</v>
      </c>
      <c r="F370" s="299" t="n">
        <v>70.01</v>
      </c>
      <c r="G370" s="299" t="n">
        <f aca="false">VLOOKUP(A370,'INSUMOS SINAPI'!A:E,5,0)</f>
        <v>70.01</v>
      </c>
      <c r="H370" s="300" t="n">
        <f aca="false">F370-G370</f>
        <v>0</v>
      </c>
      <c r="I370" s="288"/>
    </row>
    <row r="371" customFormat="false" ht="15" hidden="false" customHeight="false" outlineLevel="0" collapsed="false">
      <c r="A371" s="295" t="s">
        <v>2906</v>
      </c>
      <c r="B371" s="296" t="s">
        <v>2907</v>
      </c>
      <c r="C371" s="297" t="s">
        <v>2941</v>
      </c>
      <c r="D371" s="297" t="s">
        <v>31</v>
      </c>
      <c r="E371" s="298" t="n">
        <v>283.5</v>
      </c>
      <c r="F371" s="299" t="n">
        <v>12.1266666666667</v>
      </c>
      <c r="G371" s="299" t="e">
        <f aca="false">VLOOKUP(A371,'INSUMOS SINAPI'!A:E,5,0)</f>
        <v>#N/A</v>
      </c>
      <c r="H371" s="300" t="e">
        <f aca="false">F371-G371</f>
        <v>#N/A</v>
      </c>
      <c r="I371" s="288" t="str">
        <f aca="false">IF(F371=VLOOKUP(A371,04_PESQUISAS!A:G,7,0),"OK","NÃO")</f>
        <v>OK</v>
      </c>
    </row>
    <row r="372" customFormat="false" ht="15" hidden="false" customHeight="false" outlineLevel="0" collapsed="false">
      <c r="A372" s="295" t="s">
        <v>2894</v>
      </c>
      <c r="B372" s="296" t="s">
        <v>2895</v>
      </c>
      <c r="C372" s="297" t="s">
        <v>2941</v>
      </c>
      <c r="D372" s="297" t="s">
        <v>31</v>
      </c>
      <c r="E372" s="298" t="n">
        <v>5</v>
      </c>
      <c r="F372" s="299" t="n">
        <v>166.6</v>
      </c>
      <c r="G372" s="299" t="e">
        <f aca="false">VLOOKUP(A372,'INSUMOS SINAPI'!A:E,5,0)</f>
        <v>#N/A</v>
      </c>
      <c r="H372" s="300" t="e">
        <f aca="false">F372-G372</f>
        <v>#N/A</v>
      </c>
      <c r="I372" s="288" t="str">
        <f aca="false">IF(F372=VLOOKUP(A372,04_PESQUISAS!A:G,7,0),"OK","NÃO")</f>
        <v>OK</v>
      </c>
    </row>
    <row r="373" customFormat="false" ht="15" hidden="false" customHeight="false" outlineLevel="0" collapsed="false">
      <c r="A373" s="295" t="s">
        <v>2903</v>
      </c>
      <c r="B373" s="296" t="s">
        <v>2904</v>
      </c>
      <c r="C373" s="297" t="s">
        <v>2941</v>
      </c>
      <c r="D373" s="297" t="s">
        <v>31</v>
      </c>
      <c r="E373" s="298" t="n">
        <v>757.8</v>
      </c>
      <c r="F373" s="299" t="n">
        <v>20.8</v>
      </c>
      <c r="G373" s="299" t="e">
        <f aca="false">VLOOKUP(A373,'INSUMOS SINAPI'!A:E,5,0)</f>
        <v>#N/A</v>
      </c>
      <c r="H373" s="300" t="e">
        <f aca="false">F373-G373</f>
        <v>#N/A</v>
      </c>
      <c r="I373" s="288" t="str">
        <f aca="false">IF(F373=VLOOKUP(A373,04_PESQUISAS!A:G,7,0),"OK","NÃO")</f>
        <v>OK</v>
      </c>
    </row>
    <row r="374" customFormat="false" ht="15" hidden="false" customHeight="false" outlineLevel="0" collapsed="false">
      <c r="A374" s="295" t="s">
        <v>2897</v>
      </c>
      <c r="B374" s="296" t="s">
        <v>2898</v>
      </c>
      <c r="C374" s="297" t="s">
        <v>2941</v>
      </c>
      <c r="D374" s="297" t="s">
        <v>31</v>
      </c>
      <c r="E374" s="298" t="n">
        <v>14</v>
      </c>
      <c r="F374" s="299" t="n">
        <v>61.9633333333333</v>
      </c>
      <c r="G374" s="299" t="e">
        <f aca="false">VLOOKUP(A374,'INSUMOS SINAPI'!A:E,5,0)</f>
        <v>#N/A</v>
      </c>
      <c r="H374" s="300" t="e">
        <f aca="false">F374-G374</f>
        <v>#N/A</v>
      </c>
      <c r="I374" s="288" t="str">
        <f aca="false">IF(F374=VLOOKUP(A374,04_PESQUISAS!A:G,7,0),"OK","NÃO")</f>
        <v>OK</v>
      </c>
    </row>
    <row r="375" customFormat="false" ht="15" hidden="false" customHeight="false" outlineLevel="0" collapsed="false">
      <c r="A375" s="295" t="s">
        <v>2900</v>
      </c>
      <c r="B375" s="296" t="s">
        <v>2901</v>
      </c>
      <c r="C375" s="297" t="s">
        <v>2941</v>
      </c>
      <c r="D375" s="297" t="s">
        <v>31</v>
      </c>
      <c r="E375" s="298" t="n">
        <v>30</v>
      </c>
      <c r="F375" s="299" t="n">
        <v>31.8666666666667</v>
      </c>
      <c r="G375" s="299" t="e">
        <f aca="false">VLOOKUP(A375,'INSUMOS SINAPI'!A:E,5,0)</f>
        <v>#N/A</v>
      </c>
      <c r="H375" s="300" t="e">
        <f aca="false">F375-G375</f>
        <v>#N/A</v>
      </c>
      <c r="I375" s="288" t="str">
        <f aca="false">IF(F375=VLOOKUP(A375,04_PESQUISAS!A:G,7,0),"OK","NÃO")</f>
        <v>OK</v>
      </c>
    </row>
    <row r="376" customFormat="false" ht="21" hidden="false" customHeight="false" outlineLevel="0" collapsed="false">
      <c r="A376" s="295" t="s">
        <v>2890</v>
      </c>
      <c r="B376" s="296" t="s">
        <v>2891</v>
      </c>
      <c r="C376" s="297" t="s">
        <v>2941</v>
      </c>
      <c r="D376" s="297" t="s">
        <v>31</v>
      </c>
      <c r="E376" s="298" t="n">
        <v>2</v>
      </c>
      <c r="F376" s="299" t="n">
        <v>343.3</v>
      </c>
      <c r="G376" s="299" t="e">
        <f aca="false">VLOOKUP(A376,'INSUMOS SINAPI'!A:E,5,0)</f>
        <v>#N/A</v>
      </c>
      <c r="H376" s="300" t="e">
        <f aca="false">F376-G376</f>
        <v>#N/A</v>
      </c>
      <c r="I376" s="288" t="str">
        <f aca="false">IF(F376=VLOOKUP(A376,04_PESQUISAS!A:G,7,0),"OK","NÃO")</f>
        <v>OK</v>
      </c>
    </row>
    <row r="377" customFormat="false" ht="21" hidden="false" customHeight="false" outlineLevel="0" collapsed="false">
      <c r="A377" s="295" t="n">
        <v>360</v>
      </c>
      <c r="B377" s="296" t="s">
        <v>2909</v>
      </c>
      <c r="C377" s="297" t="s">
        <v>2941</v>
      </c>
      <c r="D377" s="297" t="s">
        <v>31</v>
      </c>
      <c r="E377" s="298" t="n">
        <v>620.75</v>
      </c>
      <c r="F377" s="299" t="n">
        <v>3</v>
      </c>
      <c r="G377" s="299" t="n">
        <f aca="false">VLOOKUP(A377,'INSUMOS SINAPI'!A:E,5,0)</f>
        <v>3</v>
      </c>
      <c r="H377" s="300" t="n">
        <f aca="false">F377-G377</f>
        <v>0</v>
      </c>
      <c r="I377" s="288"/>
    </row>
    <row r="378" customFormat="false" ht="15" hidden="false" customHeight="false" outlineLevel="0" collapsed="false">
      <c r="A378" s="295" t="n">
        <v>4177</v>
      </c>
      <c r="B378" s="296" t="s">
        <v>2761</v>
      </c>
      <c r="C378" s="297" t="s">
        <v>2941</v>
      </c>
      <c r="D378" s="297" t="s">
        <v>31</v>
      </c>
      <c r="E378" s="298" t="n">
        <v>2</v>
      </c>
      <c r="F378" s="299" t="n">
        <v>6.3</v>
      </c>
      <c r="G378" s="299" t="n">
        <f aca="false">VLOOKUP(A378,'INSUMOS SINAPI'!A:E,5,0)</f>
        <v>0</v>
      </c>
      <c r="H378" s="300" t="n">
        <f aca="false">F378-G378</f>
        <v>6.3</v>
      </c>
      <c r="I378" s="288"/>
    </row>
    <row r="379" customFormat="false" ht="15" hidden="false" customHeight="false" outlineLevel="0" collapsed="false">
      <c r="A379" s="295" t="n">
        <v>4208</v>
      </c>
      <c r="B379" s="296" t="s">
        <v>2694</v>
      </c>
      <c r="C379" s="297" t="s">
        <v>2941</v>
      </c>
      <c r="D379" s="297" t="s">
        <v>31</v>
      </c>
      <c r="E379" s="298" t="n">
        <v>12</v>
      </c>
      <c r="F379" s="299" t="n">
        <v>60.06</v>
      </c>
      <c r="G379" s="299" t="n">
        <f aca="false">VLOOKUP(A379,'INSUMOS SINAPI'!A:E,5,0)</f>
        <v>0</v>
      </c>
      <c r="H379" s="300" t="n">
        <f aca="false">F379-G379</f>
        <v>60.06</v>
      </c>
      <c r="I379" s="288"/>
    </row>
    <row r="380" customFormat="false" ht="15" hidden="false" customHeight="false" outlineLevel="0" collapsed="false">
      <c r="A380" s="295" t="n">
        <v>4182</v>
      </c>
      <c r="B380" s="296" t="s">
        <v>2696</v>
      </c>
      <c r="C380" s="297" t="s">
        <v>2941</v>
      </c>
      <c r="D380" s="297" t="s">
        <v>31</v>
      </c>
      <c r="E380" s="298" t="n">
        <v>8</v>
      </c>
      <c r="F380" s="299" t="n">
        <v>97.7</v>
      </c>
      <c r="G380" s="299" t="n">
        <f aca="false">VLOOKUP(A380,'INSUMOS SINAPI'!A:E,5,0)</f>
        <v>0</v>
      </c>
      <c r="H380" s="300" t="n">
        <f aca="false">F380-G380</f>
        <v>97.7</v>
      </c>
      <c r="I380" s="288"/>
    </row>
    <row r="381" customFormat="false" ht="15" hidden="false" customHeight="false" outlineLevel="0" collapsed="false">
      <c r="A381" s="295" t="s">
        <v>2552</v>
      </c>
      <c r="B381" s="296" t="s">
        <v>2553</v>
      </c>
      <c r="C381" s="297" t="s">
        <v>2941</v>
      </c>
      <c r="D381" s="297" t="s">
        <v>31</v>
      </c>
      <c r="E381" s="298" t="n">
        <v>2</v>
      </c>
      <c r="F381" s="299" t="n">
        <v>1428.06666666667</v>
      </c>
      <c r="G381" s="299" t="e">
        <f aca="false">VLOOKUP(A381,'INSUMOS SINAPI'!A:E,5,0)</f>
        <v>#N/A</v>
      </c>
      <c r="H381" s="300" t="e">
        <f aca="false">F381-G381</f>
        <v>#N/A</v>
      </c>
      <c r="I381" s="288" t="str">
        <f aca="false">IF(F381=VLOOKUP(A381,04_PESQUISAS!A:G,7,0),"OK","NÃO")</f>
        <v>OK</v>
      </c>
    </row>
    <row r="382" customFormat="false" ht="15" hidden="false" customHeight="false" outlineLevel="0" collapsed="false">
      <c r="A382" s="295" t="n">
        <v>4221</v>
      </c>
      <c r="B382" s="296" t="s">
        <v>1451</v>
      </c>
      <c r="C382" s="297" t="s">
        <v>2941</v>
      </c>
      <c r="D382" s="297" t="s">
        <v>1452</v>
      </c>
      <c r="E382" s="298" t="n">
        <v>4291.92304296041</v>
      </c>
      <c r="F382" s="299" t="n">
        <v>6.28</v>
      </c>
      <c r="G382" s="299" t="n">
        <f aca="false">VLOOKUP(A382,'INSUMOS SINAPI'!A:E,5,0)</f>
        <v>6.28</v>
      </c>
      <c r="H382" s="300" t="n">
        <f aca="false">F382-G382</f>
        <v>0</v>
      </c>
      <c r="I382" s="288"/>
    </row>
    <row r="383" customFormat="false" ht="21" hidden="false" customHeight="false" outlineLevel="0" collapsed="false">
      <c r="A383" s="295" t="n">
        <v>3413</v>
      </c>
      <c r="B383" s="296" t="s">
        <v>1795</v>
      </c>
      <c r="C383" s="297" t="s">
        <v>2941</v>
      </c>
      <c r="D383" s="297" t="s">
        <v>1477</v>
      </c>
      <c r="E383" s="298" t="n">
        <v>377.30043</v>
      </c>
      <c r="F383" s="299" t="n">
        <v>45.86</v>
      </c>
      <c r="G383" s="299" t="n">
        <f aca="false">VLOOKUP(A383,'INSUMOS SINAPI'!A:E,5,0)</f>
        <v>0</v>
      </c>
      <c r="H383" s="300" t="n">
        <f aca="false">F383-G383</f>
        <v>45.86</v>
      </c>
      <c r="I383" s="288"/>
    </row>
    <row r="384" customFormat="false" ht="21" hidden="false" customHeight="false" outlineLevel="0" collapsed="false">
      <c r="A384" s="295" t="n">
        <v>37400</v>
      </c>
      <c r="B384" s="296" t="s">
        <v>2048</v>
      </c>
      <c r="C384" s="297" t="s">
        <v>2941</v>
      </c>
      <c r="D384" s="297" t="s">
        <v>31</v>
      </c>
      <c r="E384" s="298" t="n">
        <v>28</v>
      </c>
      <c r="F384" s="299" t="n">
        <v>100.36</v>
      </c>
      <c r="G384" s="299" t="n">
        <f aca="false">VLOOKUP(A384,'INSUMOS SINAPI'!A:E,5,0)</f>
        <v>100.36</v>
      </c>
      <c r="H384" s="300" t="n">
        <f aca="false">F384-G384</f>
        <v>0</v>
      </c>
      <c r="I384" s="288"/>
    </row>
    <row r="385" customFormat="false" ht="31.5" hidden="false" customHeight="false" outlineLevel="0" collapsed="false">
      <c r="A385" s="295" t="n">
        <v>4274</v>
      </c>
      <c r="B385" s="296" t="s">
        <v>2612</v>
      </c>
      <c r="C385" s="297" t="s">
        <v>2941</v>
      </c>
      <c r="D385" s="297" t="s">
        <v>31</v>
      </c>
      <c r="E385" s="298" t="n">
        <v>2</v>
      </c>
      <c r="F385" s="299" t="n">
        <v>138.96</v>
      </c>
      <c r="G385" s="299" t="n">
        <f aca="false">VLOOKUP(A385,'INSUMOS SINAPI'!A:E,5,0)</f>
        <v>138.96</v>
      </c>
      <c r="H385" s="300" t="n">
        <f aca="false">F385-G385</f>
        <v>0</v>
      </c>
      <c r="I385" s="288"/>
    </row>
    <row r="386" customFormat="false" ht="21" hidden="false" customHeight="false" outlineLevel="0" collapsed="false">
      <c r="A386" s="295" t="n">
        <v>4377</v>
      </c>
      <c r="B386" s="296" t="s">
        <v>1829</v>
      </c>
      <c r="C386" s="297" t="s">
        <v>2941</v>
      </c>
      <c r="D386" s="297" t="s">
        <v>31</v>
      </c>
      <c r="E386" s="298" t="n">
        <v>5588.22939</v>
      </c>
      <c r="F386" s="299" t="n">
        <v>0.2</v>
      </c>
      <c r="G386" s="299" t="n">
        <f aca="false">VLOOKUP(A386,'INSUMOS SINAPI'!A:E,5,0)</f>
        <v>0</v>
      </c>
      <c r="H386" s="300" t="n">
        <f aca="false">F386-G386</f>
        <v>0.2</v>
      </c>
      <c r="I386" s="288"/>
    </row>
    <row r="387" customFormat="false" ht="31.5" hidden="false" customHeight="false" outlineLevel="0" collapsed="false">
      <c r="A387" s="295" t="n">
        <v>13246</v>
      </c>
      <c r="B387" s="296" t="s">
        <v>1811</v>
      </c>
      <c r="C387" s="297" t="s">
        <v>2941</v>
      </c>
      <c r="D387" s="297" t="s">
        <v>31</v>
      </c>
      <c r="E387" s="298" t="n">
        <v>3530.640624</v>
      </c>
      <c r="F387" s="299" t="n">
        <v>0.5</v>
      </c>
      <c r="G387" s="299" t="n">
        <f aca="false">VLOOKUP(A387,'INSUMOS SINAPI'!A:E,5,0)</f>
        <v>0</v>
      </c>
      <c r="H387" s="300" t="n">
        <f aca="false">F387-G387</f>
        <v>0.5</v>
      </c>
      <c r="I387" s="288"/>
    </row>
    <row r="388" customFormat="false" ht="21" hidden="false" customHeight="false" outlineLevel="0" collapsed="false">
      <c r="A388" s="295" t="n">
        <v>13294</v>
      </c>
      <c r="B388" s="296" t="s">
        <v>2782</v>
      </c>
      <c r="C388" s="297" t="s">
        <v>2941</v>
      </c>
      <c r="D388" s="297" t="s">
        <v>31</v>
      </c>
      <c r="E388" s="298" t="n">
        <v>12</v>
      </c>
      <c r="F388" s="299" t="n">
        <v>1.66</v>
      </c>
      <c r="G388" s="299" t="n">
        <f aca="false">VLOOKUP(A388,'INSUMOS SINAPI'!A:E,5,0)</f>
        <v>0</v>
      </c>
      <c r="H388" s="300" t="n">
        <f aca="false">F388-G388</f>
        <v>1.66</v>
      </c>
      <c r="I388" s="288"/>
    </row>
    <row r="389" customFormat="false" ht="21" hidden="false" customHeight="false" outlineLevel="0" collapsed="false">
      <c r="A389" s="295" t="n">
        <v>11964</v>
      </c>
      <c r="B389" s="296" t="s">
        <v>1812</v>
      </c>
      <c r="C389" s="297" t="s">
        <v>2941</v>
      </c>
      <c r="D389" s="297" t="s">
        <v>31</v>
      </c>
      <c r="E389" s="298" t="n">
        <v>275.23914</v>
      </c>
      <c r="F389" s="299" t="n">
        <v>2.65</v>
      </c>
      <c r="G389" s="299" t="n">
        <f aca="false">VLOOKUP(A389,'INSUMOS SINAPI'!A:E,5,0)</f>
        <v>0</v>
      </c>
      <c r="H389" s="300" t="n">
        <f aca="false">F389-G389</f>
        <v>2.65</v>
      </c>
      <c r="I389" s="288"/>
    </row>
    <row r="390" customFormat="false" ht="31.5" hidden="false" customHeight="false" outlineLevel="0" collapsed="false">
      <c r="A390" s="295" t="n">
        <v>4346</v>
      </c>
      <c r="B390" s="296" t="s">
        <v>2710</v>
      </c>
      <c r="C390" s="297" t="s">
        <v>2941</v>
      </c>
      <c r="D390" s="297" t="s">
        <v>31</v>
      </c>
      <c r="E390" s="298" t="n">
        <v>8</v>
      </c>
      <c r="F390" s="299" t="n">
        <v>11.24</v>
      </c>
      <c r="G390" s="299" t="n">
        <f aca="false">VLOOKUP(A390,'INSUMOS SINAPI'!A:E,5,0)</f>
        <v>0</v>
      </c>
      <c r="H390" s="300" t="n">
        <f aca="false">F390-G390</f>
        <v>11.24</v>
      </c>
      <c r="I390" s="288"/>
    </row>
    <row r="391" customFormat="false" ht="21" hidden="false" customHeight="false" outlineLevel="0" collapsed="false">
      <c r="A391" s="295" t="n">
        <v>39435</v>
      </c>
      <c r="B391" s="296" t="s">
        <v>1796</v>
      </c>
      <c r="C391" s="297" t="s">
        <v>2941</v>
      </c>
      <c r="D391" s="297" t="s">
        <v>31</v>
      </c>
      <c r="E391" s="298" t="n">
        <v>7233.132308</v>
      </c>
      <c r="F391" s="299" t="n">
        <v>0.11</v>
      </c>
      <c r="G391" s="299" t="n">
        <f aca="false">VLOOKUP(A391,'INSUMOS SINAPI'!A:E,5,0)</f>
        <v>0</v>
      </c>
      <c r="H391" s="300" t="n">
        <f aca="false">F391-G391</f>
        <v>0.11</v>
      </c>
      <c r="I391" s="288"/>
    </row>
    <row r="392" customFormat="false" ht="21" hidden="false" customHeight="false" outlineLevel="0" collapsed="false">
      <c r="A392" s="295" t="n">
        <v>39443</v>
      </c>
      <c r="B392" s="296" t="s">
        <v>1797</v>
      </c>
      <c r="C392" s="297" t="s">
        <v>2941</v>
      </c>
      <c r="D392" s="297" t="s">
        <v>31</v>
      </c>
      <c r="E392" s="298" t="n">
        <v>194.956471</v>
      </c>
      <c r="F392" s="299" t="n">
        <v>0.27</v>
      </c>
      <c r="G392" s="299" t="n">
        <f aca="false">VLOOKUP(A392,'INSUMOS SINAPI'!A:E,5,0)</f>
        <v>0</v>
      </c>
      <c r="H392" s="300" t="n">
        <f aca="false">F392-G392</f>
        <v>0.27</v>
      </c>
      <c r="I392" s="288"/>
    </row>
    <row r="393" customFormat="false" ht="21" hidden="false" customHeight="false" outlineLevel="0" collapsed="false">
      <c r="A393" s="295" t="n">
        <v>442</v>
      </c>
      <c r="B393" s="296" t="s">
        <v>1736</v>
      </c>
      <c r="C393" s="297" t="s">
        <v>2941</v>
      </c>
      <c r="D393" s="297" t="s">
        <v>31</v>
      </c>
      <c r="E393" s="298" t="n">
        <v>20.78505</v>
      </c>
      <c r="F393" s="299" t="n">
        <v>7.17</v>
      </c>
      <c r="G393" s="299" t="n">
        <f aca="false">VLOOKUP(A393,'INSUMOS SINAPI'!A:E,5,0)</f>
        <v>0</v>
      </c>
      <c r="H393" s="300" t="n">
        <f aca="false">F393-G393</f>
        <v>7.17</v>
      </c>
      <c r="I393" s="288"/>
    </row>
    <row r="394" customFormat="false" ht="31.5" hidden="false" customHeight="false" outlineLevel="0" collapsed="false">
      <c r="A394" s="295" t="n">
        <v>4344</v>
      </c>
      <c r="B394" s="296" t="s">
        <v>1574</v>
      </c>
      <c r="C394" s="297" t="s">
        <v>2941</v>
      </c>
      <c r="D394" s="297" t="s">
        <v>31</v>
      </c>
      <c r="E394" s="298" t="n">
        <v>8.64</v>
      </c>
      <c r="F394" s="299" t="n">
        <v>22.74</v>
      </c>
      <c r="G394" s="299" t="n">
        <f aca="false">VLOOKUP(A394,'INSUMOS SINAPI'!A:E,5,0)</f>
        <v>0</v>
      </c>
      <c r="H394" s="300" t="n">
        <f aca="false">F394-G394</f>
        <v>22.74</v>
      </c>
      <c r="I394" s="288"/>
    </row>
    <row r="395" customFormat="false" ht="31.5" hidden="false" customHeight="false" outlineLevel="0" collapsed="false">
      <c r="A395" s="295" t="n">
        <v>4351</v>
      </c>
      <c r="B395" s="296" t="s">
        <v>1884</v>
      </c>
      <c r="C395" s="297" t="s">
        <v>2941</v>
      </c>
      <c r="D395" s="297" t="s">
        <v>31</v>
      </c>
      <c r="E395" s="298" t="n">
        <v>238</v>
      </c>
      <c r="F395" s="299" t="n">
        <v>18.49</v>
      </c>
      <c r="G395" s="299" t="n">
        <f aca="false">VLOOKUP(A395,'INSUMOS SINAPI'!A:E,5,0)</f>
        <v>0</v>
      </c>
      <c r="H395" s="300" t="n">
        <f aca="false">F395-G395</f>
        <v>18.49</v>
      </c>
      <c r="I395" s="288"/>
    </row>
    <row r="396" customFormat="false" ht="31.5" hidden="false" customHeight="false" outlineLevel="0" collapsed="false">
      <c r="A396" s="295" t="n">
        <v>4384</v>
      </c>
      <c r="B396" s="296" t="s">
        <v>2017</v>
      </c>
      <c r="C396" s="297" t="s">
        <v>2941</v>
      </c>
      <c r="D396" s="297" t="s">
        <v>31</v>
      </c>
      <c r="E396" s="298" t="n">
        <v>56</v>
      </c>
      <c r="F396" s="299" t="n">
        <v>24.93</v>
      </c>
      <c r="G396" s="299" t="n">
        <f aca="false">VLOOKUP(A396,'INSUMOS SINAPI'!A:E,5,0)</f>
        <v>0</v>
      </c>
      <c r="H396" s="300" t="n">
        <f aca="false">F396-G396</f>
        <v>24.93</v>
      </c>
      <c r="I396" s="288"/>
    </row>
    <row r="397" customFormat="false" ht="21" hidden="false" customHeight="false" outlineLevel="0" collapsed="false">
      <c r="A397" s="295" t="n">
        <v>11055</v>
      </c>
      <c r="B397" s="296" t="s">
        <v>1846</v>
      </c>
      <c r="C397" s="297" t="s">
        <v>2941</v>
      </c>
      <c r="D397" s="297" t="s">
        <v>31</v>
      </c>
      <c r="E397" s="298" t="n">
        <v>1524.6</v>
      </c>
      <c r="F397" s="299" t="n">
        <v>0.06</v>
      </c>
      <c r="G397" s="299" t="n">
        <f aca="false">VLOOKUP(A397,'INSUMOS SINAPI'!A:E,5,0)</f>
        <v>0.06</v>
      </c>
      <c r="H397" s="300" t="n">
        <f aca="false">F397-G397</f>
        <v>0</v>
      </c>
      <c r="I397" s="288"/>
    </row>
    <row r="398" customFormat="false" ht="21" hidden="false" customHeight="false" outlineLevel="0" collapsed="false">
      <c r="A398" s="295" t="n">
        <v>4302</v>
      </c>
      <c r="B398" s="296" t="s">
        <v>1545</v>
      </c>
      <c r="C398" s="297" t="s">
        <v>2941</v>
      </c>
      <c r="D398" s="297" t="s">
        <v>31</v>
      </c>
      <c r="E398" s="298" t="n">
        <v>112.5684</v>
      </c>
      <c r="F398" s="299" t="n">
        <v>3.14</v>
      </c>
      <c r="G398" s="299" t="n">
        <f aca="false">VLOOKUP(A398,'INSUMOS SINAPI'!A:E,5,0)</f>
        <v>3.14</v>
      </c>
      <c r="H398" s="300" t="n">
        <f aca="false">F398-G398</f>
        <v>0</v>
      </c>
      <c r="I398" s="288"/>
    </row>
    <row r="399" customFormat="false" ht="15" hidden="false" customHeight="false" outlineLevel="0" collapsed="false">
      <c r="A399" s="295" t="n">
        <v>40547</v>
      </c>
      <c r="B399" s="296" t="s">
        <v>1785</v>
      </c>
      <c r="C399" s="297" t="s">
        <v>2941</v>
      </c>
      <c r="D399" s="297" t="s">
        <v>1576</v>
      </c>
      <c r="E399" s="298" t="n">
        <v>47.952156</v>
      </c>
      <c r="F399" s="299" t="n">
        <v>30.3</v>
      </c>
      <c r="G399" s="299" t="n">
        <f aca="false">VLOOKUP(A399,'INSUMOS SINAPI'!A:E,5,0)</f>
        <v>0</v>
      </c>
      <c r="H399" s="300" t="n">
        <f aca="false">F399-G399</f>
        <v>30.3</v>
      </c>
      <c r="I399" s="288"/>
    </row>
    <row r="400" customFormat="false" ht="21" hidden="false" customHeight="false" outlineLevel="0" collapsed="false">
      <c r="A400" s="295" t="n">
        <v>40552</v>
      </c>
      <c r="B400" s="296" t="s">
        <v>1575</v>
      </c>
      <c r="C400" s="297" t="s">
        <v>2941</v>
      </c>
      <c r="D400" s="297" t="s">
        <v>1576</v>
      </c>
      <c r="E400" s="298" t="n">
        <v>0.0432</v>
      </c>
      <c r="F400" s="299" t="n">
        <v>51.94</v>
      </c>
      <c r="G400" s="299" t="n">
        <f aca="false">VLOOKUP(A400,'INSUMOS SINAPI'!A:E,5,0)</f>
        <v>0</v>
      </c>
      <c r="H400" s="300" t="n">
        <f aca="false">F400-G400</f>
        <v>51.94</v>
      </c>
      <c r="I400" s="288"/>
    </row>
    <row r="401" customFormat="false" ht="21" hidden="false" customHeight="false" outlineLevel="0" collapsed="false">
      <c r="A401" s="295" t="n">
        <v>40549</v>
      </c>
      <c r="B401" s="296" t="s">
        <v>1891</v>
      </c>
      <c r="C401" s="297" t="s">
        <v>2941</v>
      </c>
      <c r="D401" s="297" t="s">
        <v>1576</v>
      </c>
      <c r="E401" s="298" t="n">
        <v>22.30144</v>
      </c>
      <c r="F401" s="299" t="n">
        <v>205.62</v>
      </c>
      <c r="G401" s="299" t="n">
        <f aca="false">VLOOKUP(A401,'INSUMOS SINAPI'!A:E,5,0)</f>
        <v>0</v>
      </c>
      <c r="H401" s="300" t="n">
        <f aca="false">F401-G401</f>
        <v>205.62</v>
      </c>
      <c r="I401" s="288"/>
    </row>
    <row r="402" customFormat="false" ht="31.5" hidden="false" customHeight="false" outlineLevel="0" collapsed="false">
      <c r="A402" s="295" t="n">
        <v>20078</v>
      </c>
      <c r="B402" s="296" t="s">
        <v>2123</v>
      </c>
      <c r="C402" s="297" t="s">
        <v>2941</v>
      </c>
      <c r="D402" s="297" t="s">
        <v>31</v>
      </c>
      <c r="E402" s="298" t="n">
        <v>73.6025</v>
      </c>
      <c r="F402" s="299" t="n">
        <v>26.04</v>
      </c>
      <c r="G402" s="299" t="n">
        <f aca="false">VLOOKUP(A402,'INSUMOS SINAPI'!A:E,5,0)</f>
        <v>26.04</v>
      </c>
      <c r="H402" s="300" t="n">
        <f aca="false">F402-G402</f>
        <v>0</v>
      </c>
      <c r="I402" s="288"/>
    </row>
    <row r="403" customFormat="false" ht="21" hidden="false" customHeight="false" outlineLevel="0" collapsed="false">
      <c r="A403" s="295" t="n">
        <v>39596</v>
      </c>
      <c r="B403" s="296" t="s">
        <v>2548</v>
      </c>
      <c r="C403" s="297" t="s">
        <v>2941</v>
      </c>
      <c r="D403" s="297" t="s">
        <v>31</v>
      </c>
      <c r="E403" s="298" t="n">
        <v>1</v>
      </c>
      <c r="F403" s="299" t="n">
        <v>878.14</v>
      </c>
      <c r="G403" s="299" t="n">
        <f aca="false">VLOOKUP(A403,'INSUMOS SINAPI'!A:E,5,0)</f>
        <v>878.14</v>
      </c>
      <c r="H403" s="300" t="n">
        <f aca="false">F403-G403</f>
        <v>0</v>
      </c>
      <c r="I403" s="288"/>
    </row>
    <row r="404" customFormat="false" ht="21" hidden="false" customHeight="false" outlineLevel="0" collapsed="false">
      <c r="A404" s="295" t="n">
        <v>39597</v>
      </c>
      <c r="B404" s="296" t="s">
        <v>2546</v>
      </c>
      <c r="C404" s="297" t="s">
        <v>2941</v>
      </c>
      <c r="D404" s="297" t="s">
        <v>31</v>
      </c>
      <c r="E404" s="298" t="n">
        <v>5</v>
      </c>
      <c r="F404" s="299" t="n">
        <v>3095.02</v>
      </c>
      <c r="G404" s="299" t="n">
        <f aca="false">VLOOKUP(A404,'INSUMOS SINAPI'!A:E,5,0)</f>
        <v>3095.02</v>
      </c>
      <c r="H404" s="300" t="n">
        <f aca="false">F404-G404</f>
        <v>0</v>
      </c>
      <c r="I404" s="288"/>
    </row>
    <row r="405" customFormat="false" ht="21" hidden="false" customHeight="false" outlineLevel="0" collapsed="false">
      <c r="A405" s="295" t="n">
        <v>4720</v>
      </c>
      <c r="B405" s="296" t="s">
        <v>2214</v>
      </c>
      <c r="C405" s="297" t="s">
        <v>2941</v>
      </c>
      <c r="D405" s="297" t="s">
        <v>1442</v>
      </c>
      <c r="E405" s="298" t="n">
        <v>1.01926</v>
      </c>
      <c r="F405" s="299" t="n">
        <v>133.58</v>
      </c>
      <c r="G405" s="299" t="n">
        <f aca="false">VLOOKUP(A405,'INSUMOS SINAPI'!A:E,5,0)</f>
        <v>133.58</v>
      </c>
      <c r="H405" s="300" t="n">
        <f aca="false">F405-G405</f>
        <v>0</v>
      </c>
      <c r="I405" s="288"/>
    </row>
    <row r="406" customFormat="false" ht="21" hidden="false" customHeight="false" outlineLevel="0" collapsed="false">
      <c r="A406" s="295" t="n">
        <v>4721</v>
      </c>
      <c r="B406" s="296" t="s">
        <v>1593</v>
      </c>
      <c r="C406" s="297" t="s">
        <v>2941</v>
      </c>
      <c r="D406" s="297" t="s">
        <v>1442</v>
      </c>
      <c r="E406" s="298" t="n">
        <v>27.50176284826</v>
      </c>
      <c r="F406" s="299" t="n">
        <v>115.7</v>
      </c>
      <c r="G406" s="299" t="n">
        <f aca="false">VLOOKUP(A406,'INSUMOS SINAPI'!A:E,5,0)</f>
        <v>115.7</v>
      </c>
      <c r="H406" s="300" t="n">
        <f aca="false">F406-G406</f>
        <v>0</v>
      </c>
      <c r="I406" s="288"/>
    </row>
    <row r="407" customFormat="false" ht="21" hidden="false" customHeight="false" outlineLevel="0" collapsed="false">
      <c r="A407" s="295" t="n">
        <v>4718</v>
      </c>
      <c r="B407" s="296" t="s">
        <v>1577</v>
      </c>
      <c r="C407" s="297" t="s">
        <v>2941</v>
      </c>
      <c r="D407" s="297" t="s">
        <v>1442</v>
      </c>
      <c r="E407" s="298" t="n">
        <v>105.55403</v>
      </c>
      <c r="F407" s="299" t="n">
        <v>116.31</v>
      </c>
      <c r="G407" s="299" t="n">
        <f aca="false">VLOOKUP(A407,'INSUMOS SINAPI'!A:E,5,0)</f>
        <v>116.31</v>
      </c>
      <c r="H407" s="300" t="n">
        <f aca="false">F407-G407</f>
        <v>0</v>
      </c>
      <c r="I407" s="288"/>
    </row>
    <row r="408" customFormat="false" ht="21" hidden="false" customHeight="false" outlineLevel="0" collapsed="false">
      <c r="A408" s="295" t="n">
        <v>34747</v>
      </c>
      <c r="B408" s="296" t="s">
        <v>1826</v>
      </c>
      <c r="C408" s="297" t="s">
        <v>2941</v>
      </c>
      <c r="D408" s="297" t="s">
        <v>1455</v>
      </c>
      <c r="E408" s="298" t="n">
        <v>798.0232</v>
      </c>
      <c r="F408" s="299" t="n">
        <v>130.53</v>
      </c>
      <c r="G408" s="299" t="n">
        <f aca="false">VLOOKUP(A408,'INSUMOS SINAPI'!A:E,5,0)</f>
        <v>130.53</v>
      </c>
      <c r="H408" s="300" t="n">
        <f aca="false">F408-G408</f>
        <v>0</v>
      </c>
      <c r="I408" s="288"/>
    </row>
    <row r="409" customFormat="false" ht="15" hidden="false" customHeight="false" outlineLevel="0" collapsed="false">
      <c r="A409" s="295" t="s">
        <v>1790</v>
      </c>
      <c r="B409" s="296" t="s">
        <v>1791</v>
      </c>
      <c r="C409" s="297" t="s">
        <v>2941</v>
      </c>
      <c r="D409" s="297" t="s">
        <v>1477</v>
      </c>
      <c r="E409" s="298" t="n">
        <v>115.563</v>
      </c>
      <c r="F409" s="299" t="n">
        <v>29.5458897243108</v>
      </c>
      <c r="G409" s="299" t="e">
        <f aca="false">VLOOKUP(A409,'INSUMOS SINAPI'!A:E,5,0)</f>
        <v>#N/A</v>
      </c>
      <c r="H409" s="300" t="e">
        <f aca="false">F409-G409</f>
        <v>#N/A</v>
      </c>
      <c r="I409" s="288" t="str">
        <f aca="false">IF(F409=VLOOKUP(A409,04_PESQUISAS!A:G,7,0),"OK","NÃO")</f>
        <v>OK</v>
      </c>
    </row>
    <row r="410" customFormat="false" ht="15" hidden="false" customHeight="false" outlineLevel="0" collapsed="false">
      <c r="A410" s="295" t="n">
        <v>43082</v>
      </c>
      <c r="B410" s="296" t="s">
        <v>1737</v>
      </c>
      <c r="C410" s="297" t="s">
        <v>2941</v>
      </c>
      <c r="D410" s="297" t="s">
        <v>1513</v>
      </c>
      <c r="E410" s="298" t="n">
        <v>444.63705</v>
      </c>
      <c r="F410" s="299" t="n">
        <v>10</v>
      </c>
      <c r="G410" s="299" t="n">
        <f aca="false">VLOOKUP(A410,'INSUMOS SINAPI'!A:E,5,0)</f>
        <v>0</v>
      </c>
      <c r="H410" s="300" t="n">
        <f aca="false">F410-G410</f>
        <v>10</v>
      </c>
      <c r="I410" s="288"/>
    </row>
    <row r="411" customFormat="false" ht="21" hidden="false" customHeight="false" outlineLevel="0" collapsed="false">
      <c r="A411" s="295" t="n">
        <v>43083</v>
      </c>
      <c r="B411" s="296" t="s">
        <v>1892</v>
      </c>
      <c r="C411" s="297" t="s">
        <v>2941</v>
      </c>
      <c r="D411" s="297" t="s">
        <v>1513</v>
      </c>
      <c r="E411" s="298" t="n">
        <v>13804.59136</v>
      </c>
      <c r="F411" s="299" t="n">
        <v>8.66</v>
      </c>
      <c r="G411" s="299" t="n">
        <f aca="false">VLOOKUP(A411,'INSUMOS SINAPI'!A:E,5,0)</f>
        <v>0</v>
      </c>
      <c r="H411" s="300" t="n">
        <f aca="false">F411-G411</f>
        <v>8.66</v>
      </c>
      <c r="I411" s="288"/>
    </row>
    <row r="412" customFormat="false" ht="15" hidden="false" customHeight="false" outlineLevel="0" collapsed="false">
      <c r="A412" s="295" t="n">
        <v>34360</v>
      </c>
      <c r="B412" s="296" t="s">
        <v>1776</v>
      </c>
      <c r="C412" s="297" t="s">
        <v>2941</v>
      </c>
      <c r="D412" s="297" t="s">
        <v>1513</v>
      </c>
      <c r="E412" s="298" t="n">
        <v>500.98177</v>
      </c>
      <c r="F412" s="299" t="n">
        <v>45.42</v>
      </c>
      <c r="G412" s="299" t="n">
        <f aca="false">VLOOKUP(A412,'INSUMOS SINAPI'!A:E,5,0)</f>
        <v>0</v>
      </c>
      <c r="H412" s="300" t="n">
        <f aca="false">F412-G412</f>
        <v>45.42</v>
      </c>
      <c r="I412" s="288"/>
    </row>
    <row r="413" customFormat="false" ht="21" hidden="false" customHeight="false" outlineLevel="0" collapsed="false">
      <c r="A413" s="295" t="n">
        <v>20259</v>
      </c>
      <c r="B413" s="296" t="s">
        <v>1813</v>
      </c>
      <c r="C413" s="297" t="s">
        <v>2941</v>
      </c>
      <c r="D413" s="297" t="s">
        <v>1455</v>
      </c>
      <c r="E413" s="298" t="n">
        <v>219.57977</v>
      </c>
      <c r="F413" s="299" t="n">
        <v>13.3</v>
      </c>
      <c r="G413" s="299" t="n">
        <f aca="false">VLOOKUP(A413,'INSUMOS SINAPI'!A:E,5,0)</f>
        <v>0</v>
      </c>
      <c r="H413" s="300" t="n">
        <f aca="false">F413-G413</f>
        <v>13.3</v>
      </c>
      <c r="I413" s="288"/>
    </row>
    <row r="414" customFormat="false" ht="21" hidden="false" customHeight="false" outlineLevel="0" collapsed="false">
      <c r="A414" s="295" t="n">
        <v>39419</v>
      </c>
      <c r="B414" s="296" t="s">
        <v>1798</v>
      </c>
      <c r="C414" s="297" t="s">
        <v>2941</v>
      </c>
      <c r="D414" s="297" t="s">
        <v>1455</v>
      </c>
      <c r="E414" s="298" t="n">
        <v>326.671227</v>
      </c>
      <c r="F414" s="299" t="n">
        <v>6.52</v>
      </c>
      <c r="G414" s="299" t="n">
        <f aca="false">VLOOKUP(A414,'INSUMOS SINAPI'!A:E,5,0)</f>
        <v>6.52</v>
      </c>
      <c r="H414" s="300" t="n">
        <f aca="false">F414-G414</f>
        <v>0</v>
      </c>
      <c r="I414" s="288"/>
    </row>
    <row r="415" customFormat="false" ht="21" hidden="false" customHeight="false" outlineLevel="0" collapsed="false">
      <c r="A415" s="295" t="n">
        <v>39422</v>
      </c>
      <c r="B415" s="296" t="s">
        <v>1799</v>
      </c>
      <c r="C415" s="297" t="s">
        <v>2941</v>
      </c>
      <c r="D415" s="297" t="s">
        <v>1455</v>
      </c>
      <c r="E415" s="298" t="n">
        <v>1044.079509</v>
      </c>
      <c r="F415" s="299" t="n">
        <v>7.4</v>
      </c>
      <c r="G415" s="299" t="n">
        <f aca="false">VLOOKUP(A415,'INSUMOS SINAPI'!A:E,5,0)</f>
        <v>7.4</v>
      </c>
      <c r="H415" s="300" t="n">
        <f aca="false">F415-G415</f>
        <v>0</v>
      </c>
      <c r="I415" s="288"/>
    </row>
    <row r="416" customFormat="false" ht="15" hidden="false" customHeight="false" outlineLevel="0" collapsed="false">
      <c r="A416" s="295" t="n">
        <v>39029</v>
      </c>
      <c r="B416" s="296" t="s">
        <v>2437</v>
      </c>
      <c r="C416" s="297" t="s">
        <v>2941</v>
      </c>
      <c r="D416" s="297" t="s">
        <v>1455</v>
      </c>
      <c r="E416" s="298" t="n">
        <v>204.67</v>
      </c>
      <c r="F416" s="299" t="n">
        <v>13.63</v>
      </c>
      <c r="G416" s="299" t="n">
        <f aca="false">VLOOKUP(A416,'INSUMOS SINAPI'!A:E,5,0)</f>
        <v>13.63</v>
      </c>
      <c r="H416" s="300" t="n">
        <f aca="false">F416-G416</f>
        <v>0</v>
      </c>
      <c r="I416" s="288"/>
    </row>
    <row r="417" customFormat="false" ht="21" hidden="false" customHeight="false" outlineLevel="0" collapsed="false">
      <c r="A417" s="295" t="n">
        <v>37586</v>
      </c>
      <c r="B417" s="296" t="s">
        <v>1800</v>
      </c>
      <c r="C417" s="297" t="s">
        <v>2941</v>
      </c>
      <c r="D417" s="297" t="s">
        <v>1576</v>
      </c>
      <c r="E417" s="298" t="n">
        <v>10.605976</v>
      </c>
      <c r="F417" s="299" t="n">
        <v>52.15</v>
      </c>
      <c r="G417" s="299" t="n">
        <f aca="false">VLOOKUP(A417,'INSUMOS SINAPI'!A:E,5,0)</f>
        <v>0</v>
      </c>
      <c r="H417" s="300" t="n">
        <f aca="false">F417-G417</f>
        <v>52.15</v>
      </c>
      <c r="I417" s="288"/>
    </row>
    <row r="418" customFormat="false" ht="15" hidden="false" customHeight="false" outlineLevel="0" collapsed="false">
      <c r="A418" s="295" t="n">
        <v>37395</v>
      </c>
      <c r="B418" s="296" t="s">
        <v>1768</v>
      </c>
      <c r="C418" s="297" t="s">
        <v>2941</v>
      </c>
      <c r="D418" s="297" t="s">
        <v>1576</v>
      </c>
      <c r="E418" s="298" t="n">
        <v>16.849532</v>
      </c>
      <c r="F418" s="299" t="n">
        <v>44.84</v>
      </c>
      <c r="G418" s="299" t="n">
        <f aca="false">VLOOKUP(A418,'INSUMOS SINAPI'!A:E,5,0)</f>
        <v>0</v>
      </c>
      <c r="H418" s="300" t="n">
        <f aca="false">F418-G418</f>
        <v>44.84</v>
      </c>
      <c r="I418" s="288"/>
    </row>
    <row r="419" customFormat="false" ht="21" hidden="false" customHeight="false" outlineLevel="0" collapsed="false">
      <c r="A419" s="295" t="n">
        <v>1287</v>
      </c>
      <c r="B419" s="296" t="s">
        <v>1943</v>
      </c>
      <c r="C419" s="297" t="s">
        <v>2941</v>
      </c>
      <c r="D419" s="297" t="s">
        <v>1477</v>
      </c>
      <c r="E419" s="298" t="n">
        <v>197.824476</v>
      </c>
      <c r="F419" s="299" t="n">
        <v>31.95</v>
      </c>
      <c r="G419" s="299" t="n">
        <f aca="false">VLOOKUP(A419,'INSUMOS SINAPI'!A:E,5,0)</f>
        <v>31.95</v>
      </c>
      <c r="H419" s="300" t="n">
        <f aca="false">F419-G419</f>
        <v>0</v>
      </c>
      <c r="I419" s="288"/>
    </row>
    <row r="420" customFormat="false" ht="31.5" hidden="false" customHeight="false" outlineLevel="0" collapsed="false">
      <c r="A420" s="295" t="n">
        <v>10841</v>
      </c>
      <c r="B420" s="296" t="s">
        <v>1949</v>
      </c>
      <c r="C420" s="297" t="s">
        <v>2941</v>
      </c>
      <c r="D420" s="297" t="s">
        <v>1477</v>
      </c>
      <c r="E420" s="298" t="n">
        <v>21.808</v>
      </c>
      <c r="F420" s="299" t="n">
        <v>294.33</v>
      </c>
      <c r="G420" s="299" t="n">
        <f aca="false">VLOOKUP(A420,'INSUMOS SINAPI'!A:E,5,0)</f>
        <v>294.33</v>
      </c>
      <c r="H420" s="300" t="n">
        <f aca="false">F420-G420</f>
        <v>0</v>
      </c>
      <c r="I420" s="288" t="e">
        <f aca="false">IF(F420=VLOOKUP(A420,04_PESQUISAS!A:G,7,0),"OK","NÃO")</f>
        <v>#N/A</v>
      </c>
    </row>
    <row r="421" customFormat="false" ht="21" hidden="false" customHeight="false" outlineLevel="0" collapsed="false">
      <c r="A421" s="295" t="n">
        <v>45190</v>
      </c>
      <c r="B421" s="296" t="s">
        <v>1937</v>
      </c>
      <c r="C421" s="297" t="s">
        <v>2941</v>
      </c>
      <c r="D421" s="297" t="s">
        <v>1477</v>
      </c>
      <c r="E421" s="298" t="n">
        <v>1452.4417772</v>
      </c>
      <c r="F421" s="299" t="n">
        <v>65.9</v>
      </c>
      <c r="G421" s="299" t="n">
        <f aca="false">VLOOKUP(A421,'INSUMOS SINAPI'!A:E,5,0)</f>
        <v>65.9</v>
      </c>
      <c r="H421" s="300" t="n">
        <f aca="false">F421-G421</f>
        <v>0</v>
      </c>
      <c r="I421" s="288"/>
    </row>
    <row r="422" customFormat="false" ht="21" hidden="false" customHeight="false" outlineLevel="0" collapsed="false">
      <c r="A422" s="295" t="n">
        <v>39413</v>
      </c>
      <c r="B422" s="296" t="s">
        <v>1801</v>
      </c>
      <c r="C422" s="297" t="s">
        <v>2941</v>
      </c>
      <c r="D422" s="297" t="s">
        <v>1477</v>
      </c>
      <c r="E422" s="298" t="n">
        <v>754.60086</v>
      </c>
      <c r="F422" s="299" t="n">
        <v>19.52</v>
      </c>
      <c r="G422" s="299" t="n">
        <f aca="false">VLOOKUP(A422,'INSUMOS SINAPI'!A:E,5,0)</f>
        <v>19.52</v>
      </c>
      <c r="H422" s="300" t="n">
        <f aca="false">F422-G422</f>
        <v>0</v>
      </c>
      <c r="I422" s="288"/>
    </row>
    <row r="423" customFormat="false" ht="21" hidden="false" customHeight="false" outlineLevel="0" collapsed="false">
      <c r="A423" s="295" t="n">
        <v>11062</v>
      </c>
      <c r="B423" s="296" t="s">
        <v>1786</v>
      </c>
      <c r="C423" s="297" t="s">
        <v>2941</v>
      </c>
      <c r="D423" s="297" t="s">
        <v>1477</v>
      </c>
      <c r="E423" s="298" t="n">
        <v>39.3645</v>
      </c>
      <c r="F423" s="299" t="n">
        <v>52.44</v>
      </c>
      <c r="G423" s="299" t="n">
        <f aca="false">VLOOKUP(A423,'INSUMOS SINAPI'!A:E,5,0)</f>
        <v>52.44</v>
      </c>
      <c r="H423" s="300" t="n">
        <f aca="false">F423-G423</f>
        <v>0</v>
      </c>
      <c r="I423" s="288"/>
    </row>
    <row r="424" customFormat="false" ht="31.5" hidden="false" customHeight="false" outlineLevel="0" collapsed="false">
      <c r="A424" s="295" t="n">
        <v>10851</v>
      </c>
      <c r="B424" s="296" t="s">
        <v>1986</v>
      </c>
      <c r="C424" s="297" t="s">
        <v>2941</v>
      </c>
      <c r="D424" s="297" t="s">
        <v>31</v>
      </c>
      <c r="E424" s="298" t="n">
        <v>4</v>
      </c>
      <c r="F424" s="299" t="n">
        <v>64.39</v>
      </c>
      <c r="G424" s="299" t="n">
        <f aca="false">VLOOKUP(A424,'INSUMOS SINAPI'!A:E,5,0)</f>
        <v>0</v>
      </c>
      <c r="H424" s="300" t="n">
        <f aca="false">F424-G424</f>
        <v>64.39</v>
      </c>
      <c r="I424" s="288"/>
    </row>
    <row r="425" customFormat="false" ht="21" hidden="false" customHeight="false" outlineLevel="0" collapsed="false">
      <c r="A425" s="295" t="n">
        <v>4812</v>
      </c>
      <c r="B425" s="296" t="s">
        <v>2006</v>
      </c>
      <c r="C425" s="297" t="s">
        <v>2941</v>
      </c>
      <c r="D425" s="297" t="s">
        <v>1477</v>
      </c>
      <c r="E425" s="298" t="n">
        <v>1457.876688</v>
      </c>
      <c r="F425" s="299" t="n">
        <v>10.83</v>
      </c>
      <c r="G425" s="299" t="n">
        <f aca="false">VLOOKUP(A425,'INSUMOS SINAPI'!A:E,5,0)</f>
        <v>10.83</v>
      </c>
      <c r="H425" s="300" t="n">
        <f aca="false">F425-G425</f>
        <v>0</v>
      </c>
      <c r="I425" s="288"/>
    </row>
    <row r="426" customFormat="false" ht="15" hidden="false" customHeight="false" outlineLevel="0" collapsed="false">
      <c r="A426" s="295" t="s">
        <v>2930</v>
      </c>
      <c r="B426" s="296" t="s">
        <v>2931</v>
      </c>
      <c r="C426" s="297" t="s">
        <v>2941</v>
      </c>
      <c r="D426" s="297" t="s">
        <v>31</v>
      </c>
      <c r="E426" s="298" t="n">
        <v>1</v>
      </c>
      <c r="F426" s="299" t="n">
        <v>2008.92</v>
      </c>
      <c r="G426" s="299" t="e">
        <f aca="false">VLOOKUP(A426,'INSUMOS SINAPI'!A:E,5,0)</f>
        <v>#N/A</v>
      </c>
      <c r="H426" s="300" t="e">
        <f aca="false">F426-G426</f>
        <v>#N/A</v>
      </c>
      <c r="I426" s="288" t="str">
        <f aca="false">IF(F426=VLOOKUP(A426,04_PESQUISAS!A:G,7,0),"OK","NÃO")</f>
        <v>OK</v>
      </c>
    </row>
    <row r="427" customFormat="false" ht="31.5" hidden="false" customHeight="false" outlineLevel="0" collapsed="false">
      <c r="A427" s="295" t="n">
        <v>4813</v>
      </c>
      <c r="B427" s="296" t="s">
        <v>1511</v>
      </c>
      <c r="C427" s="297" t="s">
        <v>2941</v>
      </c>
      <c r="D427" s="297" t="s">
        <v>1477</v>
      </c>
      <c r="E427" s="298" t="n">
        <v>18</v>
      </c>
      <c r="F427" s="299" t="n">
        <v>400</v>
      </c>
      <c r="G427" s="299" t="n">
        <f aca="false">VLOOKUP(A427,'INSUMOS SINAPI'!A:E,5,0)</f>
        <v>0</v>
      </c>
      <c r="H427" s="300" t="n">
        <f aca="false">F427-G427</f>
        <v>400</v>
      </c>
      <c r="I427" s="288"/>
    </row>
    <row r="428" customFormat="false" ht="42" hidden="false" customHeight="false" outlineLevel="0" collapsed="false">
      <c r="A428" s="295" t="n">
        <v>37557</v>
      </c>
      <c r="B428" s="296" t="s">
        <v>2661</v>
      </c>
      <c r="C428" s="297" t="s">
        <v>2941</v>
      </c>
      <c r="D428" s="297" t="s">
        <v>31</v>
      </c>
      <c r="E428" s="298" t="n">
        <v>8.036</v>
      </c>
      <c r="F428" s="299" t="n">
        <v>8.96</v>
      </c>
      <c r="G428" s="299" t="n">
        <f aca="false">VLOOKUP(A428,'INSUMOS SINAPI'!A:E,5,0)</f>
        <v>8.96</v>
      </c>
      <c r="H428" s="300" t="n">
        <f aca="false">F428-G428</f>
        <v>0</v>
      </c>
      <c r="I428" s="288"/>
    </row>
    <row r="429" customFormat="false" ht="42" hidden="false" customHeight="false" outlineLevel="0" collapsed="false">
      <c r="A429" s="295" t="n">
        <v>37556</v>
      </c>
      <c r="B429" s="296" t="s">
        <v>2654</v>
      </c>
      <c r="C429" s="297" t="s">
        <v>2941</v>
      </c>
      <c r="D429" s="297" t="s">
        <v>31</v>
      </c>
      <c r="E429" s="298" t="n">
        <v>34.95</v>
      </c>
      <c r="F429" s="299" t="n">
        <v>17.35</v>
      </c>
      <c r="G429" s="299" t="n">
        <f aca="false">VLOOKUP(A429,'INSUMOS SINAPI'!A:E,5,0)</f>
        <v>17.35</v>
      </c>
      <c r="H429" s="300" t="n">
        <f aca="false">F429-G429</f>
        <v>0</v>
      </c>
      <c r="I429" s="288"/>
    </row>
    <row r="430" customFormat="false" ht="42" hidden="false" customHeight="false" outlineLevel="0" collapsed="false">
      <c r="A430" s="295" t="n">
        <v>37558</v>
      </c>
      <c r="B430" s="296" t="s">
        <v>2658</v>
      </c>
      <c r="C430" s="297" t="s">
        <v>2941</v>
      </c>
      <c r="D430" s="297" t="s">
        <v>31</v>
      </c>
      <c r="E430" s="298" t="n">
        <v>5.5</v>
      </c>
      <c r="F430" s="299" t="n">
        <v>27.96</v>
      </c>
      <c r="G430" s="299" t="n">
        <f aca="false">VLOOKUP(A430,'INSUMOS SINAPI'!A:E,5,0)</f>
        <v>27.96</v>
      </c>
      <c r="H430" s="300" t="n">
        <f aca="false">F430-G430</f>
        <v>0</v>
      </c>
      <c r="I430" s="288"/>
    </row>
    <row r="431" customFormat="false" ht="15" hidden="false" customHeight="false" outlineLevel="0" collapsed="false">
      <c r="A431" s="295" t="s">
        <v>1927</v>
      </c>
      <c r="B431" s="296" t="s">
        <v>1928</v>
      </c>
      <c r="C431" s="297" t="s">
        <v>2941</v>
      </c>
      <c r="D431" s="297" t="s">
        <v>31</v>
      </c>
      <c r="E431" s="298" t="n">
        <v>4</v>
      </c>
      <c r="F431" s="299" t="n">
        <v>95.63</v>
      </c>
      <c r="G431" s="299" t="e">
        <f aca="false">VLOOKUP(A431,'INSUMOS SINAPI'!A:E,5,0)</f>
        <v>#N/A</v>
      </c>
      <c r="H431" s="300" t="e">
        <f aca="false">F431-G431</f>
        <v>#N/A</v>
      </c>
      <c r="I431" s="288" t="str">
        <f aca="false">IF(F431=VLOOKUP(A431,04_PESQUISAS!A:G,7,0),"OK","NÃO")</f>
        <v>OK</v>
      </c>
    </row>
    <row r="432" customFormat="false" ht="21" hidden="false" customHeight="false" outlineLevel="0" collapsed="false">
      <c r="A432" s="295" t="s">
        <v>1988</v>
      </c>
      <c r="B432" s="296" t="s">
        <v>1989</v>
      </c>
      <c r="C432" s="297" t="s">
        <v>2941</v>
      </c>
      <c r="D432" s="297" t="s">
        <v>31</v>
      </c>
      <c r="E432" s="298" t="n">
        <v>4</v>
      </c>
      <c r="F432" s="299" t="n">
        <v>50.8766666666667</v>
      </c>
      <c r="G432" s="299" t="e">
        <f aca="false">VLOOKUP(A432,'INSUMOS SINAPI'!A:E,5,0)</f>
        <v>#N/A</v>
      </c>
      <c r="H432" s="300" t="e">
        <f aca="false">F432-G432</f>
        <v>#N/A</v>
      </c>
      <c r="I432" s="288" t="str">
        <f aca="false">IF(F432=VLOOKUP(A432,04_PESQUISAS!A:G,7,0),"OK","NÃO")</f>
        <v>OK</v>
      </c>
    </row>
    <row r="433" customFormat="false" ht="15" hidden="false" customHeight="false" outlineLevel="0" collapsed="false">
      <c r="A433" s="295" t="s">
        <v>1991</v>
      </c>
      <c r="B433" s="296" t="s">
        <v>1992</v>
      </c>
      <c r="C433" s="297" t="s">
        <v>2941</v>
      </c>
      <c r="D433" s="297" t="s">
        <v>31</v>
      </c>
      <c r="E433" s="298" t="n">
        <v>4</v>
      </c>
      <c r="F433" s="299" t="n">
        <v>8.16666666666667</v>
      </c>
      <c r="G433" s="299" t="e">
        <f aca="false">VLOOKUP(A433,'INSUMOS SINAPI'!A:E,5,0)</f>
        <v>#N/A</v>
      </c>
      <c r="H433" s="300" t="e">
        <f aca="false">F433-G433</f>
        <v>#N/A</v>
      </c>
      <c r="I433" s="288" t="str">
        <f aca="false">IF(F433=VLOOKUP(A433,04_PESQUISAS!A:G,7,0),"OK","NÃO")</f>
        <v>OK</v>
      </c>
    </row>
    <row r="434" customFormat="false" ht="15" hidden="false" customHeight="false" outlineLevel="0" collapsed="false">
      <c r="A434" s="295" t="s">
        <v>1994</v>
      </c>
      <c r="B434" s="296" t="s">
        <v>1995</v>
      </c>
      <c r="C434" s="297" t="s">
        <v>2941</v>
      </c>
      <c r="D434" s="297" t="s">
        <v>31</v>
      </c>
      <c r="E434" s="298" t="n">
        <v>24</v>
      </c>
      <c r="F434" s="299" t="n">
        <v>18.6</v>
      </c>
      <c r="G434" s="299" t="e">
        <f aca="false">VLOOKUP(A434,'INSUMOS SINAPI'!A:E,5,0)</f>
        <v>#N/A</v>
      </c>
      <c r="H434" s="300" t="e">
        <f aca="false">F434-G434</f>
        <v>#N/A</v>
      </c>
      <c r="I434" s="288" t="str">
        <f aca="false">IF(F434=VLOOKUP(A434,04_PESQUISAS!A:G,7,0),"OK","NÃO")</f>
        <v>OK</v>
      </c>
    </row>
    <row r="435" customFormat="false" ht="15" hidden="false" customHeight="false" outlineLevel="0" collapsed="false">
      <c r="A435" s="295" t="s">
        <v>2587</v>
      </c>
      <c r="B435" s="296" t="s">
        <v>2588</v>
      </c>
      <c r="C435" s="297" t="s">
        <v>2941</v>
      </c>
      <c r="D435" s="297" t="s">
        <v>31</v>
      </c>
      <c r="E435" s="298" t="n">
        <v>750</v>
      </c>
      <c r="F435" s="299" t="n">
        <v>26.3366666666667</v>
      </c>
      <c r="G435" s="299" t="e">
        <f aca="false">VLOOKUP(A435,'INSUMOS SINAPI'!A:E,5,0)</f>
        <v>#N/A</v>
      </c>
      <c r="H435" s="300" t="e">
        <f aca="false">F435-G435</f>
        <v>#N/A</v>
      </c>
      <c r="I435" s="288" t="str">
        <f aca="false">IF(F435=VLOOKUP(A435,04_PESQUISAS!A:G,7,0),"OK","NÃO")</f>
        <v>OK</v>
      </c>
    </row>
    <row r="436" customFormat="false" ht="15" hidden="false" customHeight="false" outlineLevel="0" collapsed="false">
      <c r="A436" s="295" t="s">
        <v>2537</v>
      </c>
      <c r="B436" s="296" t="s">
        <v>2538</v>
      </c>
      <c r="C436" s="297" t="s">
        <v>2941</v>
      </c>
      <c r="D436" s="297" t="s">
        <v>31</v>
      </c>
      <c r="E436" s="298" t="n">
        <v>126</v>
      </c>
      <c r="F436" s="299" t="n">
        <v>13.78</v>
      </c>
      <c r="G436" s="299" t="e">
        <f aca="false">VLOOKUP(A436,'INSUMOS SINAPI'!A:E,5,0)</f>
        <v>#N/A</v>
      </c>
      <c r="H436" s="300" t="e">
        <f aca="false">F436-G436</f>
        <v>#N/A</v>
      </c>
      <c r="I436" s="288" t="str">
        <f aca="false">IF(F436=VLOOKUP(A436,04_PESQUISAS!A:G,7,0),"OK","NÃO")</f>
        <v>OK</v>
      </c>
    </row>
    <row r="437" customFormat="false" ht="15" hidden="false" customHeight="false" outlineLevel="0" collapsed="false">
      <c r="A437" s="295" t="n">
        <v>4741</v>
      </c>
      <c r="B437" s="296" t="s">
        <v>1953</v>
      </c>
      <c r="C437" s="297" t="s">
        <v>2941</v>
      </c>
      <c r="D437" s="297" t="s">
        <v>1442</v>
      </c>
      <c r="E437" s="298" t="n">
        <v>3.021438</v>
      </c>
      <c r="F437" s="299" t="n">
        <v>109.29</v>
      </c>
      <c r="G437" s="299" t="n">
        <f aca="false">VLOOKUP(A437,'INSUMOS SINAPI'!A:E,5,0)</f>
        <v>109.29</v>
      </c>
      <c r="H437" s="300" t="n">
        <f aca="false">F437-G437</f>
        <v>0</v>
      </c>
      <c r="I437" s="288"/>
    </row>
    <row r="438" customFormat="false" ht="15" hidden="false" customHeight="false" outlineLevel="0" collapsed="false">
      <c r="A438" s="295" t="n">
        <v>39995</v>
      </c>
      <c r="B438" s="296" t="s">
        <v>2215</v>
      </c>
      <c r="C438" s="297" t="s">
        <v>2941</v>
      </c>
      <c r="D438" s="297" t="s">
        <v>1442</v>
      </c>
      <c r="E438" s="298" t="n">
        <v>0.1174635</v>
      </c>
      <c r="F438" s="299" t="n">
        <v>439.92</v>
      </c>
      <c r="G438" s="299" t="n">
        <f aca="false">VLOOKUP(A438,'INSUMOS SINAPI'!A:E,5,0)</f>
        <v>0</v>
      </c>
      <c r="H438" s="300" t="n">
        <f aca="false">F438-G438</f>
        <v>439.92</v>
      </c>
      <c r="I438" s="288"/>
    </row>
    <row r="439" customFormat="false" ht="21" hidden="false" customHeight="false" outlineLevel="0" collapsed="false">
      <c r="A439" s="295" t="n">
        <v>11615</v>
      </c>
      <c r="B439" s="296" t="s">
        <v>1717</v>
      </c>
      <c r="C439" s="297" t="s">
        <v>2941</v>
      </c>
      <c r="D439" s="297" t="s">
        <v>1477</v>
      </c>
      <c r="E439" s="298" t="n">
        <v>2.865</v>
      </c>
      <c r="F439" s="299" t="n">
        <v>3.73</v>
      </c>
      <c r="G439" s="299" t="n">
        <f aca="false">VLOOKUP(A439,'INSUMOS SINAPI'!A:E,5,0)</f>
        <v>0</v>
      </c>
      <c r="H439" s="300" t="n">
        <f aca="false">F439-G439</f>
        <v>3.73</v>
      </c>
      <c r="I439" s="288" t="e">
        <f aca="false">IF(F439=VLOOKUP(A439,04_PESQUISAS!A:G,7,0),"OK","NÃO")</f>
        <v>#N/A</v>
      </c>
    </row>
    <row r="440" customFormat="false" ht="21" hidden="false" customHeight="false" outlineLevel="0" collapsed="false">
      <c r="A440" s="295" t="n">
        <v>4491</v>
      </c>
      <c r="B440" s="296" t="s">
        <v>1578</v>
      </c>
      <c r="C440" s="297" t="s">
        <v>2941</v>
      </c>
      <c r="D440" s="297" t="s">
        <v>1455</v>
      </c>
      <c r="E440" s="298" t="n">
        <v>8941.2499243453</v>
      </c>
      <c r="F440" s="299" t="n">
        <v>10.25</v>
      </c>
      <c r="G440" s="299" t="n">
        <f aca="false">VLOOKUP(A440,'INSUMOS SINAPI'!A:E,5,0)</f>
        <v>10.25</v>
      </c>
      <c r="H440" s="300" t="n">
        <f aca="false">F440-G440</f>
        <v>0</v>
      </c>
      <c r="I440" s="288"/>
    </row>
    <row r="441" customFormat="false" ht="15" hidden="false" customHeight="false" outlineLevel="0" collapsed="false">
      <c r="A441" s="295" t="n">
        <v>39997</v>
      </c>
      <c r="B441" s="296" t="s">
        <v>2438</v>
      </c>
      <c r="C441" s="297" t="s">
        <v>2941</v>
      </c>
      <c r="D441" s="297" t="s">
        <v>31</v>
      </c>
      <c r="E441" s="298" t="n">
        <v>3041.38</v>
      </c>
      <c r="F441" s="299" t="n">
        <v>0.33</v>
      </c>
      <c r="G441" s="299" t="n">
        <f aca="false">VLOOKUP(A441,'INSUMOS SINAPI'!A:E,5,0)</f>
        <v>0</v>
      </c>
      <c r="H441" s="300" t="n">
        <f aca="false">F441-G441</f>
        <v>0.33</v>
      </c>
      <c r="I441" s="288"/>
    </row>
    <row r="442" customFormat="false" ht="15" hidden="false" customHeight="false" outlineLevel="0" collapsed="false">
      <c r="A442" s="295" t="n">
        <v>5088</v>
      </c>
      <c r="B442" s="296" t="s">
        <v>1546</v>
      </c>
      <c r="C442" s="297" t="s">
        <v>2941</v>
      </c>
      <c r="D442" s="297" t="s">
        <v>31</v>
      </c>
      <c r="E442" s="298" t="n">
        <v>2</v>
      </c>
      <c r="F442" s="299" t="n">
        <v>7.72</v>
      </c>
      <c r="G442" s="299" t="n">
        <f aca="false">VLOOKUP(A442,'INSUMOS SINAPI'!A:E,5,0)</f>
        <v>7.72</v>
      </c>
      <c r="H442" s="300" t="n">
        <f aca="false">F442-G442</f>
        <v>0</v>
      </c>
      <c r="I442" s="288"/>
    </row>
    <row r="443" customFormat="false" ht="31.5" hidden="false" customHeight="false" outlineLevel="0" collapsed="false">
      <c r="A443" s="295" t="n">
        <v>39025</v>
      </c>
      <c r="B443" s="296" t="s">
        <v>1869</v>
      </c>
      <c r="C443" s="297" t="s">
        <v>2941</v>
      </c>
      <c r="D443" s="297" t="s">
        <v>31</v>
      </c>
      <c r="E443" s="298" t="n">
        <v>31.885698</v>
      </c>
      <c r="F443" s="299" t="n">
        <v>790.37</v>
      </c>
      <c r="G443" s="299" t="n">
        <f aca="false">VLOOKUP(A443,'INSUMOS SINAPI'!A:E,5,0)</f>
        <v>0</v>
      </c>
      <c r="H443" s="300" t="n">
        <f aca="false">F443-G443</f>
        <v>790.37</v>
      </c>
      <c r="I443" s="288"/>
    </row>
    <row r="444" customFormat="false" ht="31.5" hidden="false" customHeight="false" outlineLevel="0" collapsed="false">
      <c r="A444" s="295" t="s">
        <v>1865</v>
      </c>
      <c r="B444" s="296" t="s">
        <v>1866</v>
      </c>
      <c r="C444" s="297" t="s">
        <v>2941</v>
      </c>
      <c r="D444" s="297" t="s">
        <v>31</v>
      </c>
      <c r="E444" s="298" t="n">
        <v>1</v>
      </c>
      <c r="F444" s="299" t="n">
        <v>2108.63666666667</v>
      </c>
      <c r="G444" s="299" t="e">
        <f aca="false">VLOOKUP(A444,'INSUMOS SINAPI'!A:E,5,0)</f>
        <v>#N/A</v>
      </c>
      <c r="H444" s="300" t="e">
        <f aca="false">F444-G444</f>
        <v>#N/A</v>
      </c>
      <c r="I444" s="288" t="str">
        <f aca="false">IF(F444=VLOOKUP(A444,04_PESQUISAS!A:G,7,0),"OK","NÃO")</f>
        <v>OK</v>
      </c>
    </row>
    <row r="445" customFormat="false" ht="42" hidden="false" customHeight="false" outlineLevel="0" collapsed="false">
      <c r="A445" s="295" t="n">
        <v>10555</v>
      </c>
      <c r="B445" s="296" t="s">
        <v>1847</v>
      </c>
      <c r="C445" s="297" t="s">
        <v>2941</v>
      </c>
      <c r="D445" s="297" t="s">
        <v>31</v>
      </c>
      <c r="E445" s="298" t="n">
        <v>23</v>
      </c>
      <c r="F445" s="299" t="n">
        <v>227.11</v>
      </c>
      <c r="G445" s="299" t="n">
        <f aca="false">VLOOKUP(A445,'INSUMOS SINAPI'!A:E,5,0)</f>
        <v>227.11</v>
      </c>
      <c r="H445" s="300" t="n">
        <f aca="false">F445-G445</f>
        <v>0</v>
      </c>
      <c r="I445" s="288" t="e">
        <f aca="false">IF(F445=VLOOKUP(A445,04_PESQUISAS!A:G,7,0),"OK","NÃO")</f>
        <v>#N/A</v>
      </c>
    </row>
    <row r="446" customFormat="false" ht="42" hidden="false" customHeight="false" outlineLevel="0" collapsed="false">
      <c r="A446" s="295" t="n">
        <v>10556</v>
      </c>
      <c r="B446" s="296" t="s">
        <v>1852</v>
      </c>
      <c r="C446" s="297" t="s">
        <v>2941</v>
      </c>
      <c r="D446" s="297" t="s">
        <v>31</v>
      </c>
      <c r="E446" s="298" t="n">
        <v>58</v>
      </c>
      <c r="F446" s="299" t="n">
        <v>301.97</v>
      </c>
      <c r="G446" s="299" t="n">
        <f aca="false">VLOOKUP(A446,'INSUMOS SINAPI'!A:E,5,0)</f>
        <v>301.97</v>
      </c>
      <c r="H446" s="300" t="n">
        <f aca="false">F446-G446</f>
        <v>0</v>
      </c>
      <c r="I446" s="288" t="e">
        <f aca="false">IF(F446=VLOOKUP(A446,04_PESQUISAS!A:G,7,0),"OK","NÃO")</f>
        <v>#N/A</v>
      </c>
    </row>
    <row r="447" customFormat="false" ht="31.5" hidden="false" customHeight="false" outlineLevel="0" collapsed="false">
      <c r="A447" s="295" t="n">
        <v>4948</v>
      </c>
      <c r="B447" s="296" t="s">
        <v>1599</v>
      </c>
      <c r="C447" s="297" t="s">
        <v>2941</v>
      </c>
      <c r="D447" s="297" t="s">
        <v>1477</v>
      </c>
      <c r="E447" s="298" t="n">
        <v>12.5</v>
      </c>
      <c r="F447" s="299" t="n">
        <v>331.61</v>
      </c>
      <c r="G447" s="299" t="n">
        <f aca="false">VLOOKUP(A447,'INSUMOS SINAPI'!A:E,5,0)</f>
        <v>331.61</v>
      </c>
      <c r="H447" s="300" t="n">
        <f aca="false">F447-G447</f>
        <v>0</v>
      </c>
      <c r="I447" s="288" t="e">
        <f aca="false">IF(F447=VLOOKUP(A447,04_PESQUISAS!A:G,7,0),"OK","NÃO")</f>
        <v>#N/A</v>
      </c>
    </row>
    <row r="448" customFormat="false" ht="31.5" hidden="false" customHeight="false" outlineLevel="0" collapsed="false">
      <c r="A448" s="295" t="s">
        <v>1875</v>
      </c>
      <c r="B448" s="296" t="s">
        <v>1874</v>
      </c>
      <c r="C448" s="297" t="s">
        <v>2941</v>
      </c>
      <c r="D448" s="297" t="s">
        <v>31</v>
      </c>
      <c r="E448" s="298" t="n">
        <v>1</v>
      </c>
      <c r="F448" s="299" t="n">
        <v>10497.6666666667</v>
      </c>
      <c r="G448" s="299" t="e">
        <f aca="false">VLOOKUP(A448,'INSUMOS SINAPI'!A:E,5,0)</f>
        <v>#N/A</v>
      </c>
      <c r="H448" s="300" t="e">
        <f aca="false">F448-G448</f>
        <v>#N/A</v>
      </c>
      <c r="I448" s="288" t="str">
        <f aca="false">IF(F448=VLOOKUP(A448,04_PESQUISAS!A:G,7,0),"OK","NÃO")</f>
        <v>OK</v>
      </c>
    </row>
    <row r="449" customFormat="false" ht="31.5" hidden="false" customHeight="false" outlineLevel="0" collapsed="false">
      <c r="A449" s="295" t="s">
        <v>1877</v>
      </c>
      <c r="B449" s="296" t="s">
        <v>1876</v>
      </c>
      <c r="C449" s="297" t="s">
        <v>2941</v>
      </c>
      <c r="D449" s="297" t="s">
        <v>31</v>
      </c>
      <c r="E449" s="298" t="n">
        <v>1</v>
      </c>
      <c r="F449" s="299" t="n">
        <v>9196.66666666667</v>
      </c>
      <c r="G449" s="299" t="e">
        <f aca="false">VLOOKUP(A449,'INSUMOS SINAPI'!A:E,5,0)</f>
        <v>#N/A</v>
      </c>
      <c r="H449" s="300" t="e">
        <f aca="false">F449-G449</f>
        <v>#N/A</v>
      </c>
      <c r="I449" s="288" t="str">
        <f aca="false">IF(F449=VLOOKUP(A449,04_PESQUISAS!A:G,7,0),"OK","NÃO")</f>
        <v>OK</v>
      </c>
    </row>
    <row r="450" customFormat="false" ht="31.5" hidden="false" customHeight="false" outlineLevel="0" collapsed="false">
      <c r="A450" s="295" t="s">
        <v>1873</v>
      </c>
      <c r="B450" s="296" t="s">
        <v>1872</v>
      </c>
      <c r="C450" s="297" t="s">
        <v>2941</v>
      </c>
      <c r="D450" s="297" t="s">
        <v>31</v>
      </c>
      <c r="E450" s="298" t="n">
        <v>1</v>
      </c>
      <c r="F450" s="299" t="n">
        <v>9480</v>
      </c>
      <c r="G450" s="299" t="e">
        <f aca="false">VLOOKUP(A450,'INSUMOS SINAPI'!A:E,5,0)</f>
        <v>#N/A</v>
      </c>
      <c r="H450" s="300" t="e">
        <f aca="false">F450-G450</f>
        <v>#N/A</v>
      </c>
      <c r="I450" s="288" t="str">
        <f aca="false">IF(F450=VLOOKUP(A450,04_PESQUISAS!A:G,7,0),"OK","NÃO")</f>
        <v>OK</v>
      </c>
    </row>
    <row r="451" customFormat="false" ht="21" hidden="false" customHeight="false" outlineLevel="0" collapsed="false">
      <c r="A451" s="295" t="n">
        <v>5050</v>
      </c>
      <c r="B451" s="296" t="s">
        <v>1929</v>
      </c>
      <c r="C451" s="297" t="s">
        <v>2941</v>
      </c>
      <c r="D451" s="297" t="s">
        <v>31</v>
      </c>
      <c r="E451" s="298" t="n">
        <v>4</v>
      </c>
      <c r="F451" s="299" t="n">
        <v>426.88</v>
      </c>
      <c r="G451" s="299" t="n">
        <f aca="false">VLOOKUP(A451,'INSUMOS SINAPI'!A:E,5,0)</f>
        <v>0</v>
      </c>
      <c r="H451" s="300" t="n">
        <f aca="false">F451-G451</f>
        <v>426.88</v>
      </c>
      <c r="I451" s="288"/>
    </row>
    <row r="452" customFormat="false" ht="21" hidden="false" customHeight="false" outlineLevel="0" collapsed="false">
      <c r="A452" s="295" t="n">
        <v>12388</v>
      </c>
      <c r="B452" s="296" t="s">
        <v>2915</v>
      </c>
      <c r="C452" s="297" t="s">
        <v>2941</v>
      </c>
      <c r="D452" s="297" t="s">
        <v>31</v>
      </c>
      <c r="E452" s="298" t="n">
        <v>15</v>
      </c>
      <c r="F452" s="299" t="n">
        <v>252.68</v>
      </c>
      <c r="G452" s="299" t="n">
        <f aca="false">VLOOKUP(A452,'INSUMOS SINAPI'!A:E,5,0)</f>
        <v>0</v>
      </c>
      <c r="H452" s="300" t="n">
        <f aca="false">F452-G452</f>
        <v>252.68</v>
      </c>
      <c r="I452" s="288"/>
    </row>
    <row r="453" customFormat="false" ht="15" hidden="false" customHeight="false" outlineLevel="0" collapsed="false">
      <c r="A453" s="295" t="n">
        <v>5065</v>
      </c>
      <c r="B453" s="296" t="s">
        <v>1512</v>
      </c>
      <c r="C453" s="297" t="s">
        <v>2941</v>
      </c>
      <c r="D453" s="297" t="s">
        <v>1513</v>
      </c>
      <c r="E453" s="298" t="n">
        <v>0.2034</v>
      </c>
      <c r="F453" s="299" t="n">
        <v>38.7</v>
      </c>
      <c r="G453" s="299" t="n">
        <f aca="false">VLOOKUP(A453,'INSUMOS SINAPI'!A:E,5,0)</f>
        <v>38.7</v>
      </c>
      <c r="H453" s="300" t="n">
        <f aca="false">F453-G453</f>
        <v>0</v>
      </c>
      <c r="I453" s="288"/>
    </row>
    <row r="454" customFormat="false" ht="15" hidden="false" customHeight="false" outlineLevel="0" collapsed="false">
      <c r="A454" s="295" t="n">
        <v>5066</v>
      </c>
      <c r="B454" s="296" t="s">
        <v>1848</v>
      </c>
      <c r="C454" s="297" t="s">
        <v>2941</v>
      </c>
      <c r="D454" s="297" t="s">
        <v>1513</v>
      </c>
      <c r="E454" s="298" t="n">
        <v>0.891</v>
      </c>
      <c r="F454" s="299" t="n">
        <v>26.81</v>
      </c>
      <c r="G454" s="299" t="n">
        <f aca="false">VLOOKUP(A454,'INSUMOS SINAPI'!A:E,5,0)</f>
        <v>26.81</v>
      </c>
      <c r="H454" s="300" t="n">
        <f aca="false">F454-G454</f>
        <v>0</v>
      </c>
      <c r="I454" s="288"/>
    </row>
    <row r="455" customFormat="false" ht="15" hidden="false" customHeight="false" outlineLevel="0" collapsed="false">
      <c r="A455" s="295" t="n">
        <v>20247</v>
      </c>
      <c r="B455" s="296" t="s">
        <v>1695</v>
      </c>
      <c r="C455" s="297" t="s">
        <v>2941</v>
      </c>
      <c r="D455" s="297" t="s">
        <v>1513</v>
      </c>
      <c r="E455" s="298" t="n">
        <v>7.32143547</v>
      </c>
      <c r="F455" s="299" t="n">
        <v>22.53</v>
      </c>
      <c r="G455" s="299" t="n">
        <f aca="false">VLOOKUP(A455,'INSUMOS SINAPI'!A:E,5,0)</f>
        <v>22.53</v>
      </c>
      <c r="H455" s="300" t="n">
        <f aca="false">F455-G455</f>
        <v>0</v>
      </c>
      <c r="I455" s="288"/>
    </row>
    <row r="456" customFormat="false" ht="15" hidden="false" customHeight="false" outlineLevel="0" collapsed="false">
      <c r="A456" s="295" t="n">
        <v>5074</v>
      </c>
      <c r="B456" s="296" t="s">
        <v>1547</v>
      </c>
      <c r="C456" s="297" t="s">
        <v>2941</v>
      </c>
      <c r="D456" s="297" t="s">
        <v>1513</v>
      </c>
      <c r="E456" s="298" t="n">
        <v>5.86122</v>
      </c>
      <c r="F456" s="299" t="n">
        <v>22.79</v>
      </c>
      <c r="G456" s="299" t="n">
        <f aca="false">VLOOKUP(A456,'INSUMOS SINAPI'!A:E,5,0)</f>
        <v>22.79</v>
      </c>
      <c r="H456" s="300" t="n">
        <f aca="false">F456-G456</f>
        <v>0</v>
      </c>
      <c r="I456" s="288"/>
    </row>
    <row r="457" customFormat="false" ht="15" hidden="false" customHeight="false" outlineLevel="0" collapsed="false">
      <c r="A457" s="295" t="n">
        <v>5067</v>
      </c>
      <c r="B457" s="296" t="s">
        <v>2680</v>
      </c>
      <c r="C457" s="297" t="s">
        <v>2941</v>
      </c>
      <c r="D457" s="297" t="s">
        <v>1513</v>
      </c>
      <c r="E457" s="298" t="n">
        <v>0.13</v>
      </c>
      <c r="F457" s="299" t="n">
        <v>21.68</v>
      </c>
      <c r="G457" s="299" t="n">
        <f aca="false">VLOOKUP(A457,'INSUMOS SINAPI'!A:E,5,0)</f>
        <v>21.68</v>
      </c>
      <c r="H457" s="300" t="n">
        <f aca="false">F457-G457</f>
        <v>0</v>
      </c>
      <c r="I457" s="288" t="e">
        <f aca="false">IF(F457=VLOOKUP(A457,04_PESQUISAS!A:G,7,0),"OK","NÃO")</f>
        <v>#N/A</v>
      </c>
    </row>
    <row r="458" customFormat="false" ht="15" hidden="false" customHeight="false" outlineLevel="0" collapsed="false">
      <c r="A458" s="295" t="n">
        <v>5068</v>
      </c>
      <c r="B458" s="296" t="s">
        <v>1579</v>
      </c>
      <c r="C458" s="297" t="s">
        <v>2941</v>
      </c>
      <c r="D458" s="297" t="s">
        <v>1513</v>
      </c>
      <c r="E458" s="298" t="n">
        <v>369.84350229891</v>
      </c>
      <c r="F458" s="299" t="n">
        <v>20.34</v>
      </c>
      <c r="G458" s="299" t="n">
        <f aca="false">VLOOKUP(A458,'INSUMOS SINAPI'!A:E,5,0)</f>
        <v>20.34</v>
      </c>
      <c r="H458" s="300" t="n">
        <f aca="false">F458-G458</f>
        <v>0</v>
      </c>
      <c r="I458" s="288"/>
    </row>
    <row r="459" customFormat="false" ht="15" hidden="false" customHeight="false" outlineLevel="0" collapsed="false">
      <c r="A459" s="295" t="n">
        <v>5073</v>
      </c>
      <c r="B459" s="296" t="s">
        <v>1651</v>
      </c>
      <c r="C459" s="297" t="s">
        <v>2941</v>
      </c>
      <c r="D459" s="297" t="s">
        <v>1513</v>
      </c>
      <c r="E459" s="298" t="n">
        <v>43.01002878</v>
      </c>
      <c r="F459" s="299" t="n">
        <v>20.74</v>
      </c>
      <c r="G459" s="299" t="n">
        <f aca="false">VLOOKUP(A459,'INSUMOS SINAPI'!A:E,5,0)</f>
        <v>20.74</v>
      </c>
      <c r="H459" s="300" t="n">
        <f aca="false">F459-G459</f>
        <v>0</v>
      </c>
      <c r="I459" s="288"/>
    </row>
    <row r="460" customFormat="false" ht="15" hidden="false" customHeight="false" outlineLevel="0" collapsed="false">
      <c r="A460" s="295" t="n">
        <v>5069</v>
      </c>
      <c r="B460" s="296" t="s">
        <v>1514</v>
      </c>
      <c r="C460" s="297" t="s">
        <v>2941</v>
      </c>
      <c r="D460" s="297" t="s">
        <v>1513</v>
      </c>
      <c r="E460" s="298" t="n">
        <v>0.2376</v>
      </c>
      <c r="F460" s="299" t="n">
        <v>20.74</v>
      </c>
      <c r="G460" s="299" t="n">
        <f aca="false">VLOOKUP(A460,'INSUMOS SINAPI'!A:E,5,0)</f>
        <v>20.74</v>
      </c>
      <c r="H460" s="300" t="n">
        <f aca="false">F460-G460</f>
        <v>0</v>
      </c>
      <c r="I460" s="288" t="e">
        <f aca="false">IF(F460=VLOOKUP(A460,04_PESQUISAS!A:G,7,0),"OK","NÃO")</f>
        <v>#N/A</v>
      </c>
    </row>
    <row r="461" customFormat="false" ht="15" hidden="false" customHeight="false" outlineLevel="0" collapsed="false">
      <c r="A461" s="295" t="n">
        <v>5061</v>
      </c>
      <c r="B461" s="296" t="s">
        <v>1901</v>
      </c>
      <c r="C461" s="297" t="s">
        <v>2941</v>
      </c>
      <c r="D461" s="297" t="s">
        <v>1513</v>
      </c>
      <c r="E461" s="298" t="n">
        <v>2.87467</v>
      </c>
      <c r="F461" s="299" t="n">
        <v>20</v>
      </c>
      <c r="G461" s="299" t="n">
        <f aca="false">VLOOKUP(A461,'INSUMOS SINAPI'!A:E,5,0)</f>
        <v>20</v>
      </c>
      <c r="H461" s="300" t="n">
        <f aca="false">F461-G461</f>
        <v>0</v>
      </c>
      <c r="I461" s="288" t="e">
        <f aca="false">IF(F461=VLOOKUP(A461,04_PESQUISAS!A:G,7,0),"OK","NÃO")</f>
        <v>#N/A</v>
      </c>
    </row>
    <row r="462" customFormat="false" ht="15" hidden="false" customHeight="false" outlineLevel="0" collapsed="false">
      <c r="A462" s="295" t="n">
        <v>5075</v>
      </c>
      <c r="B462" s="296" t="s">
        <v>1580</v>
      </c>
      <c r="C462" s="297" t="s">
        <v>2941</v>
      </c>
      <c r="D462" s="297" t="s">
        <v>1513</v>
      </c>
      <c r="E462" s="298" t="n">
        <v>3.159</v>
      </c>
      <c r="F462" s="299" t="n">
        <v>20.34</v>
      </c>
      <c r="G462" s="299" t="n">
        <f aca="false">VLOOKUP(A462,'INSUMOS SINAPI'!A:E,5,0)</f>
        <v>20.34</v>
      </c>
      <c r="H462" s="300" t="n">
        <f aca="false">F462-G462</f>
        <v>0</v>
      </c>
      <c r="I462" s="288" t="e">
        <f aca="false">IF(F462=VLOOKUP(A462,04_PESQUISAS!A:G,7,0),"OK","NÃO")</f>
        <v>#N/A</v>
      </c>
    </row>
    <row r="463" customFormat="false" ht="15" hidden="false" customHeight="false" outlineLevel="0" collapsed="false">
      <c r="A463" s="295" t="n">
        <v>39027</v>
      </c>
      <c r="B463" s="296" t="s">
        <v>1581</v>
      </c>
      <c r="C463" s="297" t="s">
        <v>2941</v>
      </c>
      <c r="D463" s="297" t="s">
        <v>1513</v>
      </c>
      <c r="E463" s="298" t="n">
        <v>18.36</v>
      </c>
      <c r="F463" s="299" t="n">
        <v>20.32</v>
      </c>
      <c r="G463" s="299" t="n">
        <f aca="false">VLOOKUP(A463,'INSUMOS SINAPI'!A:E,5,0)</f>
        <v>20.32</v>
      </c>
      <c r="H463" s="300" t="n">
        <f aca="false">F463-G463</f>
        <v>0</v>
      </c>
      <c r="I463" s="288"/>
    </row>
    <row r="464" customFormat="false" ht="15" hidden="false" customHeight="false" outlineLevel="0" collapsed="false">
      <c r="A464" s="295" t="n">
        <v>40568</v>
      </c>
      <c r="B464" s="296" t="s">
        <v>1548</v>
      </c>
      <c r="C464" s="297" t="s">
        <v>2941</v>
      </c>
      <c r="D464" s="297" t="s">
        <v>1513</v>
      </c>
      <c r="E464" s="298" t="n">
        <v>2.6676</v>
      </c>
      <c r="F464" s="299" t="n">
        <v>20.5</v>
      </c>
      <c r="G464" s="299" t="n">
        <f aca="false">VLOOKUP(A464,'INSUMOS SINAPI'!A:E,5,0)</f>
        <v>20.5</v>
      </c>
      <c r="H464" s="300" t="n">
        <f aca="false">F464-G464</f>
        <v>0</v>
      </c>
      <c r="I464" s="288"/>
    </row>
    <row r="465" customFormat="false" ht="15" hidden="false" customHeight="false" outlineLevel="0" collapsed="false">
      <c r="A465" s="295" t="n">
        <v>40304</v>
      </c>
      <c r="B465" s="296" t="s">
        <v>1626</v>
      </c>
      <c r="C465" s="297" t="s">
        <v>2941</v>
      </c>
      <c r="D465" s="297" t="s">
        <v>1513</v>
      </c>
      <c r="E465" s="298" t="n">
        <v>241.8221640613</v>
      </c>
      <c r="F465" s="299" t="n">
        <v>25.11</v>
      </c>
      <c r="G465" s="299" t="n">
        <f aca="false">VLOOKUP(A465,'INSUMOS SINAPI'!A:E,5,0)</f>
        <v>25.11</v>
      </c>
      <c r="H465" s="300" t="n">
        <f aca="false">F465-G465</f>
        <v>0</v>
      </c>
      <c r="I465" s="288"/>
    </row>
    <row r="466" customFormat="false" ht="15" hidden="false" customHeight="false" outlineLevel="0" collapsed="false">
      <c r="A466" s="295" t="n">
        <v>39026</v>
      </c>
      <c r="B466" s="296" t="s">
        <v>1849</v>
      </c>
      <c r="C466" s="297" t="s">
        <v>2941</v>
      </c>
      <c r="D466" s="297" t="s">
        <v>1513</v>
      </c>
      <c r="E466" s="298" t="n">
        <v>4.6848</v>
      </c>
      <c r="F466" s="299" t="n">
        <v>22.88</v>
      </c>
      <c r="G466" s="299" t="n">
        <f aca="false">VLOOKUP(A466,'INSUMOS SINAPI'!A:E,5,0)</f>
        <v>22.88</v>
      </c>
      <c r="H466" s="300" t="n">
        <f aca="false">F466-G466</f>
        <v>0</v>
      </c>
      <c r="I466" s="288"/>
    </row>
    <row r="467" customFormat="false" ht="15" hidden="false" customHeight="false" outlineLevel="0" collapsed="false">
      <c r="A467" s="295" t="n">
        <v>44072</v>
      </c>
      <c r="B467" s="296" t="s">
        <v>1913</v>
      </c>
      <c r="C467" s="297" t="s">
        <v>2941</v>
      </c>
      <c r="D467" s="297" t="s">
        <v>1452</v>
      </c>
      <c r="E467" s="298" t="n">
        <v>39.583128</v>
      </c>
      <c r="F467" s="299" t="n">
        <v>124.78</v>
      </c>
      <c r="G467" s="299" t="n">
        <f aca="false">VLOOKUP(A467,'INSUMOS SINAPI'!A:E,5,0)</f>
        <v>124.78</v>
      </c>
      <c r="H467" s="300" t="n">
        <f aca="false">F467-G467</f>
        <v>0</v>
      </c>
      <c r="I467" s="288"/>
    </row>
    <row r="468" customFormat="false" ht="21" hidden="false" customHeight="false" outlineLevel="0" collapsed="false">
      <c r="A468" s="295" t="n">
        <v>511</v>
      </c>
      <c r="B468" s="296" t="s">
        <v>1910</v>
      </c>
      <c r="C468" s="297" t="s">
        <v>2941</v>
      </c>
      <c r="D468" s="297" t="s">
        <v>1452</v>
      </c>
      <c r="E468" s="298" t="n">
        <v>203.417824</v>
      </c>
      <c r="F468" s="299" t="n">
        <v>19.73</v>
      </c>
      <c r="G468" s="299" t="n">
        <f aca="false">VLOOKUP(A468,'INSUMOS SINAPI'!A:E,5,0)</f>
        <v>19.73</v>
      </c>
      <c r="H468" s="300" t="n">
        <f aca="false">F468-G468</f>
        <v>0</v>
      </c>
      <c r="I468" s="288"/>
    </row>
    <row r="469" customFormat="false" ht="15" hidden="false" customHeight="false" outlineLevel="0" collapsed="false">
      <c r="A469" s="295" t="s">
        <v>2729</v>
      </c>
      <c r="B469" s="296" t="s">
        <v>2730</v>
      </c>
      <c r="C469" s="297" t="s">
        <v>2941</v>
      </c>
      <c r="D469" s="297" t="s">
        <v>31</v>
      </c>
      <c r="E469" s="298" t="n">
        <v>2</v>
      </c>
      <c r="F469" s="299" t="n">
        <v>1543.35333333333</v>
      </c>
      <c r="G469" s="299" t="e">
        <f aca="false">VLOOKUP(A469,'INSUMOS SINAPI'!A:E,5,0)</f>
        <v>#N/A</v>
      </c>
      <c r="H469" s="300" t="e">
        <f aca="false">F469-G469</f>
        <v>#N/A</v>
      </c>
      <c r="I469" s="288" t="str">
        <f aca="false">IF(F469=VLOOKUP(A469,04_PESQUISAS!A:G,7,0),"OK","NÃO")</f>
        <v>OK</v>
      </c>
    </row>
    <row r="470" customFormat="false" ht="31.5" hidden="false" customHeight="false" outlineLevel="0" collapsed="false">
      <c r="A470" s="295" t="s">
        <v>2496</v>
      </c>
      <c r="B470" s="296" t="s">
        <v>2497</v>
      </c>
      <c r="C470" s="297" t="s">
        <v>2941</v>
      </c>
      <c r="D470" s="297" t="s">
        <v>31</v>
      </c>
      <c r="E470" s="298" t="n">
        <v>7</v>
      </c>
      <c r="F470" s="299" t="n">
        <v>1426.16</v>
      </c>
      <c r="G470" s="299" t="e">
        <f aca="false">VLOOKUP(A470,'INSUMOS SINAPI'!A:E,5,0)</f>
        <v>#N/A</v>
      </c>
      <c r="H470" s="300" t="e">
        <f aca="false">F470-G470</f>
        <v>#N/A</v>
      </c>
      <c r="I470" s="288" t="str">
        <f aca="false">IF(F470=VLOOKUP(A470,04_PESQUISAS!A:G,7,0),"OK","NÃO")</f>
        <v>OK</v>
      </c>
    </row>
    <row r="471" customFormat="false" ht="31.5" hidden="false" customHeight="false" outlineLevel="0" collapsed="false">
      <c r="A471" s="295" t="s">
        <v>2499</v>
      </c>
      <c r="B471" s="296" t="s">
        <v>2500</v>
      </c>
      <c r="C471" s="297" t="s">
        <v>2941</v>
      </c>
      <c r="D471" s="297" t="s">
        <v>31</v>
      </c>
      <c r="E471" s="298" t="n">
        <v>3</v>
      </c>
      <c r="F471" s="299" t="n">
        <v>2660.38</v>
      </c>
      <c r="G471" s="299" t="e">
        <f aca="false">VLOOKUP(A471,'INSUMOS SINAPI'!A:E,5,0)</f>
        <v>#N/A</v>
      </c>
      <c r="H471" s="300" t="e">
        <f aca="false">F471-G471</f>
        <v>#N/A</v>
      </c>
      <c r="I471" s="288" t="str">
        <f aca="false">IF(F471=VLOOKUP(A471,04_PESQUISAS!A:G,7,0),"OK","NÃO")</f>
        <v>OK</v>
      </c>
    </row>
    <row r="472" customFormat="false" ht="15" hidden="false" customHeight="false" outlineLevel="0" collapsed="false">
      <c r="A472" s="295" t="s">
        <v>2554</v>
      </c>
      <c r="B472" s="296" t="s">
        <v>2555</v>
      </c>
      <c r="C472" s="297" t="s">
        <v>2941</v>
      </c>
      <c r="D472" s="297" t="s">
        <v>31</v>
      </c>
      <c r="E472" s="298" t="n">
        <v>1</v>
      </c>
      <c r="F472" s="299" t="n">
        <v>2892.90333333333</v>
      </c>
      <c r="G472" s="299" t="e">
        <f aca="false">VLOOKUP(A472,'INSUMOS SINAPI'!A:E,5,0)</f>
        <v>#N/A</v>
      </c>
      <c r="H472" s="300" t="e">
        <f aca="false">F472-G472</f>
        <v>#N/A</v>
      </c>
      <c r="I472" s="288" t="str">
        <f aca="false">IF(F472=VLOOKUP(A472,04_PESQUISAS!A:G,7,0),"OK","NÃO")</f>
        <v>OK</v>
      </c>
    </row>
    <row r="473" customFormat="false" ht="15" hidden="false" customHeight="false" outlineLevel="0" collapsed="false">
      <c r="A473" s="295" t="n">
        <v>11708</v>
      </c>
      <c r="B473" s="296" t="s">
        <v>2222</v>
      </c>
      <c r="C473" s="297" t="s">
        <v>2941</v>
      </c>
      <c r="D473" s="297" t="s">
        <v>31</v>
      </c>
      <c r="E473" s="298" t="n">
        <v>34</v>
      </c>
      <c r="F473" s="299" t="n">
        <v>18.33</v>
      </c>
      <c r="G473" s="299" t="n">
        <f aca="false">VLOOKUP(A473,'INSUMOS SINAPI'!A:E,5,0)</f>
        <v>0</v>
      </c>
      <c r="H473" s="300" t="n">
        <f aca="false">F473-G473</f>
        <v>18.33</v>
      </c>
      <c r="I473" s="288"/>
    </row>
    <row r="474" customFormat="false" ht="21" hidden="false" customHeight="false" outlineLevel="0" collapsed="false">
      <c r="A474" s="295" t="n">
        <v>5104</v>
      </c>
      <c r="B474" s="296" t="s">
        <v>1902</v>
      </c>
      <c r="C474" s="297" t="s">
        <v>2941</v>
      </c>
      <c r="D474" s="297" t="s">
        <v>1513</v>
      </c>
      <c r="E474" s="298" t="n">
        <v>0.569256</v>
      </c>
      <c r="F474" s="299" t="n">
        <v>74.06</v>
      </c>
      <c r="G474" s="299" t="n">
        <f aca="false">VLOOKUP(A474,'INSUMOS SINAPI'!A:E,5,0)</f>
        <v>0</v>
      </c>
      <c r="H474" s="300" t="n">
        <f aca="false">F474-G474</f>
        <v>74.06</v>
      </c>
      <c r="I474" s="288"/>
    </row>
    <row r="475" customFormat="false" ht="21" hidden="false" customHeight="false" outlineLevel="0" collapsed="false">
      <c r="A475" s="295" t="n">
        <v>20043</v>
      </c>
      <c r="B475" s="296" t="s">
        <v>2171</v>
      </c>
      <c r="C475" s="297" t="s">
        <v>2941</v>
      </c>
      <c r="D475" s="297" t="s">
        <v>31</v>
      </c>
      <c r="E475" s="298" t="n">
        <v>4</v>
      </c>
      <c r="F475" s="299" t="n">
        <v>9.54</v>
      </c>
      <c r="G475" s="299" t="n">
        <f aca="false">VLOOKUP(A475,'INSUMOS SINAPI'!A:E,5,0)</f>
        <v>9.54</v>
      </c>
      <c r="H475" s="300" t="n">
        <f aca="false">F475-G475</f>
        <v>0</v>
      </c>
      <c r="I475" s="288"/>
    </row>
    <row r="476" customFormat="false" ht="21" hidden="false" customHeight="false" outlineLevel="0" collapsed="false">
      <c r="A476" s="295" t="n">
        <v>20044</v>
      </c>
      <c r="B476" s="296" t="s">
        <v>2173</v>
      </c>
      <c r="C476" s="297" t="s">
        <v>2941</v>
      </c>
      <c r="D476" s="297" t="s">
        <v>31</v>
      </c>
      <c r="E476" s="298" t="n">
        <v>1</v>
      </c>
      <c r="F476" s="299" t="n">
        <v>11.06</v>
      </c>
      <c r="G476" s="299" t="n">
        <f aca="false">VLOOKUP(A476,'INSUMOS SINAPI'!A:E,5,0)</f>
        <v>11.06</v>
      </c>
      <c r="H476" s="300" t="n">
        <f aca="false">F476-G476</f>
        <v>0</v>
      </c>
      <c r="I476" s="288"/>
    </row>
    <row r="477" customFormat="false" ht="21" hidden="false" customHeight="false" outlineLevel="0" collapsed="false">
      <c r="A477" s="295" t="n">
        <v>20046</v>
      </c>
      <c r="B477" s="296" t="s">
        <v>2249</v>
      </c>
      <c r="C477" s="297" t="s">
        <v>2941</v>
      </c>
      <c r="D477" s="297" t="s">
        <v>31</v>
      </c>
      <c r="E477" s="298" t="n">
        <v>1</v>
      </c>
      <c r="F477" s="299" t="n">
        <v>19.58</v>
      </c>
      <c r="G477" s="299" t="n">
        <f aca="false">VLOOKUP(A477,'INSUMOS SINAPI'!A:E,5,0)</f>
        <v>19.58</v>
      </c>
      <c r="H477" s="300" t="n">
        <f aca="false">F477-G477</f>
        <v>0</v>
      </c>
      <c r="I477" s="288"/>
    </row>
    <row r="478" customFormat="false" ht="21" hidden="false" customHeight="false" outlineLevel="0" collapsed="false">
      <c r="A478" s="295" t="n">
        <v>20047</v>
      </c>
      <c r="B478" s="296" t="s">
        <v>2251</v>
      </c>
      <c r="C478" s="297" t="s">
        <v>2941</v>
      </c>
      <c r="D478" s="297" t="s">
        <v>31</v>
      </c>
      <c r="E478" s="298" t="n">
        <v>19</v>
      </c>
      <c r="F478" s="299" t="n">
        <v>58.72</v>
      </c>
      <c r="G478" s="299" t="n">
        <f aca="false">VLOOKUP(A478,'INSUMOS SINAPI'!A:E,5,0)</f>
        <v>58.72</v>
      </c>
      <c r="H478" s="300" t="n">
        <f aca="false">F478-G478</f>
        <v>0</v>
      </c>
      <c r="I478" s="288"/>
    </row>
    <row r="479" customFormat="false" ht="21" hidden="false" customHeight="false" outlineLevel="0" collapsed="false">
      <c r="A479" s="295" t="n">
        <v>20045</v>
      </c>
      <c r="B479" s="296" t="s">
        <v>2264</v>
      </c>
      <c r="C479" s="297" t="s">
        <v>2941</v>
      </c>
      <c r="D479" s="297" t="s">
        <v>31</v>
      </c>
      <c r="E479" s="298" t="n">
        <v>5</v>
      </c>
      <c r="F479" s="299" t="n">
        <v>9.91</v>
      </c>
      <c r="G479" s="299" t="n">
        <f aca="false">VLOOKUP(A479,'INSUMOS SINAPI'!A:E,5,0)</f>
        <v>9.91</v>
      </c>
      <c r="H479" s="300" t="n">
        <f aca="false">F479-G479</f>
        <v>0</v>
      </c>
      <c r="I479" s="288"/>
    </row>
    <row r="480" customFormat="false" ht="21" hidden="false" customHeight="false" outlineLevel="0" collapsed="false">
      <c r="A480" s="295" t="n">
        <v>6031</v>
      </c>
      <c r="B480" s="296" t="s">
        <v>2088</v>
      </c>
      <c r="C480" s="297" t="s">
        <v>2941</v>
      </c>
      <c r="D480" s="297" t="s">
        <v>31</v>
      </c>
      <c r="E480" s="298" t="n">
        <v>1</v>
      </c>
      <c r="F480" s="299" t="n">
        <v>12</v>
      </c>
      <c r="G480" s="299" t="n">
        <f aca="false">VLOOKUP(A480,'INSUMOS SINAPI'!A:E,5,0)</f>
        <v>12</v>
      </c>
      <c r="H480" s="300" t="n">
        <f aca="false">F480-G480</f>
        <v>0</v>
      </c>
      <c r="I480" s="288"/>
    </row>
    <row r="481" customFormat="false" ht="21" hidden="false" customHeight="false" outlineLevel="0" collapsed="false">
      <c r="A481" s="295" t="n">
        <v>11674</v>
      </c>
      <c r="B481" s="296" t="s">
        <v>2094</v>
      </c>
      <c r="C481" s="297" t="s">
        <v>2941</v>
      </c>
      <c r="D481" s="297" t="s">
        <v>31</v>
      </c>
      <c r="E481" s="298" t="n">
        <v>15</v>
      </c>
      <c r="F481" s="299" t="n">
        <v>15.41</v>
      </c>
      <c r="G481" s="299" t="n">
        <f aca="false">VLOOKUP(A481,'INSUMOS SINAPI'!A:E,5,0)</f>
        <v>15.41</v>
      </c>
      <c r="H481" s="300" t="n">
        <f aca="false">F481-G481</f>
        <v>0</v>
      </c>
      <c r="I481" s="288"/>
    </row>
    <row r="482" customFormat="false" ht="21" hidden="false" customHeight="false" outlineLevel="0" collapsed="false">
      <c r="A482" s="295" t="n">
        <v>11675</v>
      </c>
      <c r="B482" s="296" t="s">
        <v>2276</v>
      </c>
      <c r="C482" s="297" t="s">
        <v>2941</v>
      </c>
      <c r="D482" s="297" t="s">
        <v>31</v>
      </c>
      <c r="E482" s="298" t="n">
        <v>4</v>
      </c>
      <c r="F482" s="299" t="n">
        <v>24.47</v>
      </c>
      <c r="G482" s="299" t="n">
        <f aca="false">VLOOKUP(A482,'INSUMOS SINAPI'!A:E,5,0)</f>
        <v>24.47</v>
      </c>
      <c r="H482" s="300" t="n">
        <f aca="false">F482-G482</f>
        <v>0</v>
      </c>
      <c r="I482" s="288" t="e">
        <f aca="false">IF(F482=VLOOKUP(A482,04_PESQUISAS!A:G,7,0),"OK","NÃO")</f>
        <v>#N/A</v>
      </c>
    </row>
    <row r="483" customFormat="false" ht="21" hidden="false" customHeight="false" outlineLevel="0" collapsed="false">
      <c r="A483" s="295" t="n">
        <v>11677</v>
      </c>
      <c r="B483" s="296" t="s">
        <v>2278</v>
      </c>
      <c r="C483" s="297" t="s">
        <v>2941</v>
      </c>
      <c r="D483" s="297" t="s">
        <v>31</v>
      </c>
      <c r="E483" s="298" t="n">
        <v>2</v>
      </c>
      <c r="F483" s="299" t="n">
        <v>33.8</v>
      </c>
      <c r="G483" s="299" t="n">
        <f aca="false">VLOOKUP(A483,'INSUMOS SINAPI'!A:E,5,0)</f>
        <v>33.8</v>
      </c>
      <c r="H483" s="300" t="n">
        <f aca="false">F483-G483</f>
        <v>0</v>
      </c>
      <c r="I483" s="288" t="e">
        <f aca="false">IF(F483=VLOOKUP(A483,04_PESQUISAS!A:G,7,0),"OK","NÃO")</f>
        <v>#N/A</v>
      </c>
    </row>
    <row r="484" customFormat="false" ht="15" hidden="false" customHeight="false" outlineLevel="0" collapsed="false">
      <c r="A484" s="295" t="n">
        <v>11718</v>
      </c>
      <c r="B484" s="296" t="s">
        <v>2086</v>
      </c>
      <c r="C484" s="297" t="s">
        <v>2941</v>
      </c>
      <c r="D484" s="297" t="s">
        <v>31</v>
      </c>
      <c r="E484" s="298" t="n">
        <v>1</v>
      </c>
      <c r="F484" s="299" t="n">
        <v>11.19</v>
      </c>
      <c r="G484" s="299" t="n">
        <f aca="false">VLOOKUP(A484,'INSUMOS SINAPI'!A:E,5,0)</f>
        <v>11.19</v>
      </c>
      <c r="H484" s="300" t="n">
        <f aca="false">F484-G484</f>
        <v>0</v>
      </c>
      <c r="I484" s="288" t="e">
        <f aca="false">IF(F484=VLOOKUP(A484,04_PESQUISAS!A:G,7,0),"OK","NÃO")</f>
        <v>#N/A</v>
      </c>
    </row>
    <row r="485" customFormat="false" ht="15" hidden="false" customHeight="false" outlineLevel="0" collapsed="false">
      <c r="A485" s="295" t="n">
        <v>6011</v>
      </c>
      <c r="B485" s="296" t="s">
        <v>2272</v>
      </c>
      <c r="C485" s="297" t="s">
        <v>2941</v>
      </c>
      <c r="D485" s="297" t="s">
        <v>31</v>
      </c>
      <c r="E485" s="298" t="n">
        <v>5</v>
      </c>
      <c r="F485" s="299" t="n">
        <v>256.95</v>
      </c>
      <c r="G485" s="299" t="n">
        <f aca="false">VLOOKUP(A485,'INSUMOS SINAPI'!A:E,5,0)</f>
        <v>256.95</v>
      </c>
      <c r="H485" s="300" t="n">
        <f aca="false">F485-G485</f>
        <v>0</v>
      </c>
      <c r="I485" s="288" t="e">
        <f aca="false">IF(F485=VLOOKUP(A485,04_PESQUISAS!A:G,7,0),"OK","NÃO")</f>
        <v>#N/A</v>
      </c>
    </row>
    <row r="486" customFormat="false" ht="15" hidden="false" customHeight="false" outlineLevel="0" collapsed="false">
      <c r="A486" s="295" t="n">
        <v>6012</v>
      </c>
      <c r="B486" s="296" t="s">
        <v>2698</v>
      </c>
      <c r="C486" s="297" t="s">
        <v>2941</v>
      </c>
      <c r="D486" s="297" t="s">
        <v>31</v>
      </c>
      <c r="E486" s="298" t="n">
        <v>4</v>
      </c>
      <c r="F486" s="299" t="n">
        <v>311.08</v>
      </c>
      <c r="G486" s="299" t="n">
        <f aca="false">VLOOKUP(A486,'INSUMOS SINAPI'!A:E,5,0)</f>
        <v>311.08</v>
      </c>
      <c r="H486" s="300" t="n">
        <f aca="false">F486-G486</f>
        <v>0</v>
      </c>
      <c r="I486" s="288"/>
    </row>
    <row r="487" customFormat="false" ht="21" hidden="false" customHeight="false" outlineLevel="0" collapsed="false">
      <c r="A487" s="295" t="n">
        <v>6015</v>
      </c>
      <c r="B487" s="296" t="s">
        <v>2274</v>
      </c>
      <c r="C487" s="297" t="s">
        <v>2941</v>
      </c>
      <c r="D487" s="297" t="s">
        <v>31</v>
      </c>
      <c r="E487" s="298" t="n">
        <v>2</v>
      </c>
      <c r="F487" s="299" t="n">
        <v>142.23</v>
      </c>
      <c r="G487" s="299" t="n">
        <f aca="false">VLOOKUP(A487,'INSUMOS SINAPI'!A:E,5,0)</f>
        <v>142.23</v>
      </c>
      <c r="H487" s="300" t="n">
        <f aca="false">F487-G487</f>
        <v>0</v>
      </c>
      <c r="I487" s="288"/>
    </row>
    <row r="488" customFormat="false" ht="21" hidden="false" customHeight="false" outlineLevel="0" collapsed="false">
      <c r="A488" s="295" t="n">
        <v>6005</v>
      </c>
      <c r="B488" s="296" t="s">
        <v>2090</v>
      </c>
      <c r="C488" s="297" t="s">
        <v>2941</v>
      </c>
      <c r="D488" s="297" t="s">
        <v>31</v>
      </c>
      <c r="E488" s="298" t="n">
        <v>34</v>
      </c>
      <c r="F488" s="299" t="n">
        <v>79.9</v>
      </c>
      <c r="G488" s="299" t="n">
        <f aca="false">VLOOKUP(A488,'INSUMOS SINAPI'!A:E,5,0)</f>
        <v>79.9</v>
      </c>
      <c r="H488" s="300" t="n">
        <f aca="false">F488-G488</f>
        <v>0</v>
      </c>
      <c r="I488" s="288"/>
    </row>
    <row r="489" customFormat="false" ht="42" hidden="false" customHeight="false" outlineLevel="0" collapsed="false">
      <c r="A489" s="295" t="n">
        <v>10904</v>
      </c>
      <c r="B489" s="296" t="s">
        <v>2675</v>
      </c>
      <c r="C489" s="297" t="s">
        <v>2941</v>
      </c>
      <c r="D489" s="297" t="s">
        <v>31</v>
      </c>
      <c r="E489" s="298" t="n">
        <v>4</v>
      </c>
      <c r="F489" s="299" t="n">
        <v>330.75</v>
      </c>
      <c r="G489" s="299" t="n">
        <f aca="false">VLOOKUP(A489,'INSUMOS SINAPI'!A:E,5,0)</f>
        <v>0</v>
      </c>
      <c r="H489" s="300" t="n">
        <f aca="false">F489-G489</f>
        <v>330.75</v>
      </c>
      <c r="I489" s="288"/>
    </row>
    <row r="490" customFormat="false" ht="15" hidden="false" customHeight="false" outlineLevel="0" collapsed="false">
      <c r="A490" s="295" t="n">
        <v>34357</v>
      </c>
      <c r="B490" s="296" t="s">
        <v>1938</v>
      </c>
      <c r="C490" s="297" t="s">
        <v>2941</v>
      </c>
      <c r="D490" s="297" t="s">
        <v>1513</v>
      </c>
      <c r="E490" s="298" t="n">
        <v>336.764712</v>
      </c>
      <c r="F490" s="299" t="n">
        <v>4.69</v>
      </c>
      <c r="G490" s="299" t="n">
        <f aca="false">VLOOKUP(A490,'INSUMOS SINAPI'!A:E,5,0)</f>
        <v>4.69</v>
      </c>
      <c r="H490" s="300" t="n">
        <f aca="false">F490-G490</f>
        <v>0</v>
      </c>
      <c r="I490" s="288"/>
    </row>
    <row r="491" customFormat="false" ht="15" hidden="false" customHeight="false" outlineLevel="0" collapsed="false">
      <c r="A491" s="295" t="n">
        <v>37329</v>
      </c>
      <c r="B491" s="296" t="s">
        <v>2018</v>
      </c>
      <c r="C491" s="297" t="s">
        <v>2941</v>
      </c>
      <c r="D491" s="297" t="s">
        <v>1513</v>
      </c>
      <c r="E491" s="298" t="n">
        <v>3.31706362</v>
      </c>
      <c r="F491" s="299" t="n">
        <v>98.93</v>
      </c>
      <c r="G491" s="299" t="n">
        <f aca="false">VLOOKUP(A491,'INSUMOS SINAPI'!A:E,5,0)</f>
        <v>98.93</v>
      </c>
      <c r="H491" s="300" t="n">
        <f aca="false">F491-G491</f>
        <v>0</v>
      </c>
      <c r="I491" s="288"/>
    </row>
    <row r="492" customFormat="false" ht="21" hidden="false" customHeight="false" outlineLevel="0" collapsed="false">
      <c r="A492" s="295" t="n">
        <v>10515</v>
      </c>
      <c r="B492" s="296" t="s">
        <v>1968</v>
      </c>
      <c r="C492" s="297" t="s">
        <v>2941</v>
      </c>
      <c r="D492" s="297" t="s">
        <v>1477</v>
      </c>
      <c r="E492" s="298" t="n">
        <v>671.677664</v>
      </c>
      <c r="F492" s="299" t="n">
        <v>52.76</v>
      </c>
      <c r="G492" s="299" t="n">
        <f aca="false">VLOOKUP(A492,'INSUMOS SINAPI'!A:E,5,0)</f>
        <v>52.76</v>
      </c>
      <c r="H492" s="300" t="n">
        <f aca="false">F492-G492</f>
        <v>0</v>
      </c>
      <c r="I492" s="288"/>
    </row>
    <row r="493" customFormat="false" ht="21" hidden="false" customHeight="false" outlineLevel="0" collapsed="false">
      <c r="A493" s="295" t="n">
        <v>536</v>
      </c>
      <c r="B493" s="296" t="s">
        <v>1970</v>
      </c>
      <c r="C493" s="297" t="s">
        <v>2941</v>
      </c>
      <c r="D493" s="297" t="s">
        <v>1477</v>
      </c>
      <c r="E493" s="298" t="n">
        <v>19.744725</v>
      </c>
      <c r="F493" s="299" t="n">
        <v>29.72</v>
      </c>
      <c r="G493" s="299" t="n">
        <f aca="false">VLOOKUP(A493,'INSUMOS SINAPI'!A:E,5,0)</f>
        <v>29.72</v>
      </c>
      <c r="H493" s="300" t="n">
        <f aca="false">F493-G493</f>
        <v>0</v>
      </c>
      <c r="I493" s="288"/>
    </row>
    <row r="494" customFormat="false" ht="31.5" hidden="false" customHeight="false" outlineLevel="0" collapsed="false">
      <c r="A494" s="295" t="n">
        <v>20231</v>
      </c>
      <c r="B494" s="296" t="s">
        <v>2031</v>
      </c>
      <c r="C494" s="297" t="s">
        <v>2941</v>
      </c>
      <c r="D494" s="297" t="s">
        <v>1455</v>
      </c>
      <c r="E494" s="298" t="n">
        <v>48.256624</v>
      </c>
      <c r="F494" s="299" t="n">
        <v>58.05</v>
      </c>
      <c r="G494" s="299" t="n">
        <f aca="false">VLOOKUP(A494,'INSUMOS SINAPI'!A:E,5,0)</f>
        <v>58.05</v>
      </c>
      <c r="H494" s="300" t="n">
        <f aca="false">F494-G494</f>
        <v>0</v>
      </c>
      <c r="I494" s="288"/>
    </row>
    <row r="495" customFormat="false" ht="31.5" hidden="false" customHeight="false" outlineLevel="0" collapsed="false">
      <c r="A495" s="295" t="n">
        <v>38179</v>
      </c>
      <c r="B495" s="296" t="s">
        <v>1856</v>
      </c>
      <c r="C495" s="297" t="s">
        <v>2941</v>
      </c>
      <c r="D495" s="297" t="s">
        <v>31</v>
      </c>
      <c r="E495" s="298" t="n">
        <v>8</v>
      </c>
      <c r="F495" s="299" t="n">
        <v>53.38</v>
      </c>
      <c r="G495" s="299" t="n">
        <f aca="false">VLOOKUP(A495,'INSUMOS SINAPI'!A:E,5,0)</f>
        <v>53.38</v>
      </c>
      <c r="H495" s="300" t="n">
        <f aca="false">F495-G495</f>
        <v>0</v>
      </c>
      <c r="I495" s="288"/>
    </row>
    <row r="496" customFormat="false" ht="21" hidden="false" customHeight="false" outlineLevel="0" collapsed="false">
      <c r="A496" s="295" t="n">
        <v>1113</v>
      </c>
      <c r="B496" s="296" t="s">
        <v>1905</v>
      </c>
      <c r="C496" s="297" t="s">
        <v>2941</v>
      </c>
      <c r="D496" s="297" t="s">
        <v>1455</v>
      </c>
      <c r="E496" s="298" t="n">
        <v>675.8495</v>
      </c>
      <c r="F496" s="299" t="n">
        <v>25.28</v>
      </c>
      <c r="G496" s="299" t="n">
        <f aca="false">VLOOKUP(A496,'INSUMOS SINAPI'!A:E,5,0)</f>
        <v>0</v>
      </c>
      <c r="H496" s="300" t="n">
        <f aca="false">F496-G496</f>
        <v>25.28</v>
      </c>
      <c r="I496" s="288"/>
    </row>
    <row r="497" customFormat="false" ht="21" hidden="false" customHeight="false" outlineLevel="0" collapsed="false">
      <c r="A497" s="295" t="n">
        <v>11758</v>
      </c>
      <c r="B497" s="296" t="s">
        <v>2046</v>
      </c>
      <c r="C497" s="297" t="s">
        <v>2941</v>
      </c>
      <c r="D497" s="297" t="s">
        <v>31</v>
      </c>
      <c r="E497" s="298" t="n">
        <v>28</v>
      </c>
      <c r="F497" s="299" t="n">
        <v>96.4</v>
      </c>
      <c r="G497" s="299" t="n">
        <f aca="false">VLOOKUP(A497,'INSUMOS SINAPI'!A:E,5,0)</f>
        <v>96.4</v>
      </c>
      <c r="H497" s="300" t="n">
        <f aca="false">F497-G497</f>
        <v>0</v>
      </c>
      <c r="I497" s="288"/>
    </row>
    <row r="498" customFormat="false" ht="21" hidden="false" customHeight="false" outlineLevel="0" collapsed="false">
      <c r="A498" s="295" t="n">
        <v>4509</v>
      </c>
      <c r="B498" s="296" t="s">
        <v>1515</v>
      </c>
      <c r="C498" s="297" t="s">
        <v>2941</v>
      </c>
      <c r="D498" s="297" t="s">
        <v>1455</v>
      </c>
      <c r="E498" s="298" t="n">
        <v>130.6744</v>
      </c>
      <c r="F498" s="299" t="n">
        <v>5.2</v>
      </c>
      <c r="G498" s="299" t="n">
        <f aca="false">VLOOKUP(A498,'INSUMOS SINAPI'!A:E,5,0)</f>
        <v>5.2</v>
      </c>
      <c r="H498" s="300" t="n">
        <f aca="false">F498-G498</f>
        <v>0</v>
      </c>
      <c r="I498" s="288"/>
    </row>
    <row r="499" customFormat="false" ht="21" hidden="false" customHeight="false" outlineLevel="0" collapsed="false">
      <c r="A499" s="295" t="n">
        <v>4517</v>
      </c>
      <c r="B499" s="296" t="s">
        <v>1582</v>
      </c>
      <c r="C499" s="297" t="s">
        <v>2941</v>
      </c>
      <c r="D499" s="297" t="s">
        <v>1455</v>
      </c>
      <c r="E499" s="298" t="n">
        <v>12724.75562361</v>
      </c>
      <c r="F499" s="299" t="n">
        <v>3.58</v>
      </c>
      <c r="G499" s="299" t="n">
        <f aca="false">VLOOKUP(A499,'INSUMOS SINAPI'!A:E,5,0)</f>
        <v>3.58</v>
      </c>
      <c r="H499" s="300" t="n">
        <f aca="false">F499-G499</f>
        <v>0</v>
      </c>
      <c r="I499" s="288"/>
    </row>
    <row r="500" customFormat="false" ht="31.5" hidden="false" customHeight="false" outlineLevel="0" collapsed="false">
      <c r="A500" s="295" t="n">
        <v>4460</v>
      </c>
      <c r="B500" s="296" t="s">
        <v>1807</v>
      </c>
      <c r="C500" s="297" t="s">
        <v>2941</v>
      </c>
      <c r="D500" s="297" t="s">
        <v>1455</v>
      </c>
      <c r="E500" s="298" t="n">
        <v>31.68</v>
      </c>
      <c r="F500" s="299" t="n">
        <v>7.76</v>
      </c>
      <c r="G500" s="299" t="n">
        <f aca="false">VLOOKUP(A500,'INSUMOS SINAPI'!A:E,5,0)</f>
        <v>7.76</v>
      </c>
      <c r="H500" s="300" t="n">
        <f aca="false">F500-G500</f>
        <v>0</v>
      </c>
      <c r="I500" s="288"/>
    </row>
    <row r="501" customFormat="false" ht="31.5" hidden="false" customHeight="false" outlineLevel="0" collapsed="false">
      <c r="A501" s="295" t="n">
        <v>4415</v>
      </c>
      <c r="B501" s="296" t="s">
        <v>1583</v>
      </c>
      <c r="C501" s="297" t="s">
        <v>2941</v>
      </c>
      <c r="D501" s="297" t="s">
        <v>1455</v>
      </c>
      <c r="E501" s="298" t="n">
        <v>6.48</v>
      </c>
      <c r="F501" s="299" t="n">
        <v>4.15</v>
      </c>
      <c r="G501" s="299" t="n">
        <f aca="false">VLOOKUP(A501,'INSUMOS SINAPI'!A:E,5,0)</f>
        <v>4.15</v>
      </c>
      <c r="H501" s="300" t="n">
        <f aca="false">F501-G501</f>
        <v>0</v>
      </c>
      <c r="I501" s="288"/>
    </row>
    <row r="502" customFormat="false" ht="31.5" hidden="false" customHeight="false" outlineLevel="0" collapsed="false">
      <c r="A502" s="295" t="n">
        <v>4417</v>
      </c>
      <c r="B502" s="296" t="s">
        <v>1594</v>
      </c>
      <c r="C502" s="297" t="s">
        <v>2941</v>
      </c>
      <c r="D502" s="297" t="s">
        <v>1455</v>
      </c>
      <c r="E502" s="298" t="n">
        <v>187.3922</v>
      </c>
      <c r="F502" s="299" t="n">
        <v>5.98</v>
      </c>
      <c r="G502" s="299" t="n">
        <f aca="false">VLOOKUP(A502,'INSUMOS SINAPI'!A:E,5,0)</f>
        <v>5.98</v>
      </c>
      <c r="H502" s="300" t="n">
        <f aca="false">F502-G502</f>
        <v>0</v>
      </c>
      <c r="I502" s="288"/>
    </row>
    <row r="503" customFormat="false" ht="15" hidden="false" customHeight="false" outlineLevel="0" collapsed="false">
      <c r="A503" s="295" t="n">
        <v>6085</v>
      </c>
      <c r="B503" s="296" t="s">
        <v>1972</v>
      </c>
      <c r="C503" s="297" t="s">
        <v>2941</v>
      </c>
      <c r="D503" s="297" t="s">
        <v>1452</v>
      </c>
      <c r="E503" s="298" t="n">
        <v>669.108916</v>
      </c>
      <c r="F503" s="299" t="n">
        <v>11.6</v>
      </c>
      <c r="G503" s="299" t="n">
        <f aca="false">VLOOKUP(A503,'INSUMOS SINAPI'!A:E,5,0)</f>
        <v>11.6</v>
      </c>
      <c r="H503" s="300" t="n">
        <f aca="false">F503-G503</f>
        <v>0</v>
      </c>
      <c r="I503" s="288"/>
    </row>
    <row r="504" customFormat="false" ht="21" hidden="false" customHeight="false" outlineLevel="0" collapsed="false">
      <c r="A504" s="295" t="n">
        <v>142</v>
      </c>
      <c r="B504" s="296" t="s">
        <v>1870</v>
      </c>
      <c r="C504" s="297" t="s">
        <v>2941</v>
      </c>
      <c r="D504" s="297" t="s">
        <v>1871</v>
      </c>
      <c r="E504" s="298" t="n">
        <v>147.581704</v>
      </c>
      <c r="F504" s="299" t="n">
        <v>32.56</v>
      </c>
      <c r="G504" s="299" t="n">
        <f aca="false">VLOOKUP(A504,'INSUMOS SINAPI'!A:E,5,0)</f>
        <v>32.56</v>
      </c>
      <c r="H504" s="300" t="n">
        <f aca="false">F504-G504</f>
        <v>0</v>
      </c>
      <c r="I504" s="288"/>
    </row>
    <row r="505" customFormat="false" ht="21" hidden="false" customHeight="false" outlineLevel="0" collapsed="false">
      <c r="A505" s="295" t="n">
        <v>43142</v>
      </c>
      <c r="B505" s="296" t="s">
        <v>1713</v>
      </c>
      <c r="C505" s="297" t="s">
        <v>2941</v>
      </c>
      <c r="D505" s="297" t="s">
        <v>1452</v>
      </c>
      <c r="E505" s="298" t="n">
        <v>4.0878</v>
      </c>
      <c r="F505" s="299" t="n">
        <v>147.91</v>
      </c>
      <c r="G505" s="299" t="n">
        <f aca="false">VLOOKUP(A505,'INSUMOS SINAPI'!A:E,5,0)</f>
        <v>147.91</v>
      </c>
      <c r="H505" s="300" t="n">
        <f aca="false">F505-G505</f>
        <v>0</v>
      </c>
      <c r="I505" s="288"/>
    </row>
    <row r="506" customFormat="false" ht="21" hidden="false" customHeight="false" outlineLevel="0" collapsed="false">
      <c r="A506" s="295" t="n">
        <v>44945</v>
      </c>
      <c r="B506" s="296" t="s">
        <v>2075</v>
      </c>
      <c r="C506" s="297" t="s">
        <v>2941</v>
      </c>
      <c r="D506" s="297" t="s">
        <v>31</v>
      </c>
      <c r="E506" s="298" t="n">
        <v>5</v>
      </c>
      <c r="F506" s="299" t="n">
        <v>8</v>
      </c>
      <c r="G506" s="299" t="n">
        <f aca="false">VLOOKUP(A506,'INSUMOS SINAPI'!A:E,5,0)</f>
        <v>8</v>
      </c>
      <c r="H506" s="300" t="n">
        <f aca="false">F506-G506</f>
        <v>0</v>
      </c>
      <c r="I506" s="288"/>
    </row>
    <row r="507" customFormat="false" ht="15" hidden="false" customHeight="false" outlineLevel="0" collapsed="false">
      <c r="A507" s="295" t="n">
        <v>6136</v>
      </c>
      <c r="B507" s="296" t="s">
        <v>2036</v>
      </c>
      <c r="C507" s="297" t="s">
        <v>2941</v>
      </c>
      <c r="D507" s="297" t="s">
        <v>31</v>
      </c>
      <c r="E507" s="298" t="n">
        <v>24</v>
      </c>
      <c r="F507" s="299" t="n">
        <v>207.45</v>
      </c>
      <c r="G507" s="299" t="n">
        <f aca="false">VLOOKUP(A507,'INSUMOS SINAPI'!A:E,5,0)</f>
        <v>207.45</v>
      </c>
      <c r="H507" s="300" t="n">
        <f aca="false">F507-G507</f>
        <v>0</v>
      </c>
      <c r="I507" s="288"/>
    </row>
    <row r="508" customFormat="false" ht="15" hidden="false" customHeight="false" outlineLevel="0" collapsed="false">
      <c r="A508" s="295" t="n">
        <v>6146</v>
      </c>
      <c r="B508" s="296" t="s">
        <v>2056</v>
      </c>
      <c r="C508" s="297" t="s">
        <v>2941</v>
      </c>
      <c r="D508" s="297" t="s">
        <v>31</v>
      </c>
      <c r="E508" s="298" t="n">
        <v>6</v>
      </c>
      <c r="F508" s="299" t="n">
        <v>15.38</v>
      </c>
      <c r="G508" s="299" t="n">
        <f aca="false">VLOOKUP(A508,'INSUMOS SINAPI'!A:E,5,0)</f>
        <v>15.38</v>
      </c>
      <c r="H508" s="300" t="n">
        <f aca="false">F508-G508</f>
        <v>0</v>
      </c>
      <c r="I508" s="288"/>
    </row>
    <row r="509" customFormat="false" ht="15" hidden="false" customHeight="false" outlineLevel="0" collapsed="false">
      <c r="A509" s="295" t="n">
        <v>39961</v>
      </c>
      <c r="B509" s="296" t="s">
        <v>1777</v>
      </c>
      <c r="C509" s="297" t="s">
        <v>2941</v>
      </c>
      <c r="D509" s="297" t="s">
        <v>31</v>
      </c>
      <c r="E509" s="298" t="n">
        <v>264.855608</v>
      </c>
      <c r="F509" s="299" t="n">
        <v>21.51</v>
      </c>
      <c r="G509" s="299" t="n">
        <f aca="false">VLOOKUP(A509,'INSUMOS SINAPI'!A:E,5,0)</f>
        <v>21.51</v>
      </c>
      <c r="H509" s="300" t="n">
        <f aca="false">F509-G509</f>
        <v>0</v>
      </c>
      <c r="I509" s="288"/>
    </row>
    <row r="510" customFormat="false" ht="15" hidden="false" customHeight="false" outlineLevel="0" collapsed="false">
      <c r="A510" s="295" t="s">
        <v>1922</v>
      </c>
      <c r="B510" s="296" t="s">
        <v>1923</v>
      </c>
      <c r="C510" s="297" t="s">
        <v>2941</v>
      </c>
      <c r="D510" s="297" t="s">
        <v>1924</v>
      </c>
      <c r="E510" s="298" t="n">
        <v>8.4</v>
      </c>
      <c r="F510" s="299" t="n">
        <v>9.6</v>
      </c>
      <c r="G510" s="299" t="e">
        <f aca="false">VLOOKUP(A510,'INSUMOS SINAPI'!A:E,5,0)</f>
        <v>#N/A</v>
      </c>
      <c r="H510" s="300" t="e">
        <f aca="false">F510-G510</f>
        <v>#N/A</v>
      </c>
      <c r="I510" s="288" t="str">
        <f aca="false">IF(F510=VLOOKUP(A510,04_PESQUISAS!A:G,7,0),"OK","NÃO")</f>
        <v>OK</v>
      </c>
    </row>
    <row r="511" customFormat="false" ht="15" hidden="false" customHeight="false" outlineLevel="0" collapsed="false">
      <c r="A511" s="295" t="s">
        <v>2738</v>
      </c>
      <c r="B511" s="296" t="s">
        <v>2739</v>
      </c>
      <c r="C511" s="297" t="s">
        <v>2941</v>
      </c>
      <c r="D511" s="297" t="s">
        <v>31</v>
      </c>
      <c r="E511" s="298" t="n">
        <v>3</v>
      </c>
      <c r="F511" s="299" t="n">
        <v>128.78</v>
      </c>
      <c r="G511" s="299" t="e">
        <f aca="false">VLOOKUP(A511,'INSUMOS SINAPI'!A:E,5,0)</f>
        <v>#N/A</v>
      </c>
      <c r="H511" s="300" t="e">
        <f aca="false">F511-G511</f>
        <v>#N/A</v>
      </c>
      <c r="I511" s="288" t="str">
        <f aca="false">IF(F511=VLOOKUP(A511,04_PESQUISAS!A:G,7,0),"OK","NÃO")</f>
        <v>OK</v>
      </c>
    </row>
    <row r="512" customFormat="false" ht="15" hidden="false" customHeight="false" outlineLevel="0" collapsed="false">
      <c r="A512" s="295" t="n">
        <v>20250</v>
      </c>
      <c r="B512" s="296" t="s">
        <v>2007</v>
      </c>
      <c r="C512" s="297" t="s">
        <v>2941</v>
      </c>
      <c r="D512" s="297" t="s">
        <v>1513</v>
      </c>
      <c r="E512" s="298" t="n">
        <v>10.919376</v>
      </c>
      <c r="F512" s="299" t="n">
        <v>22.15</v>
      </c>
      <c r="G512" s="299" t="n">
        <f aca="false">VLOOKUP(A512,'INSUMOS SINAPI'!A:E,5,0)</f>
        <v>22.15</v>
      </c>
      <c r="H512" s="300" t="n">
        <f aca="false">F512-G512</f>
        <v>0</v>
      </c>
      <c r="I512" s="288"/>
    </row>
    <row r="513" customFormat="false" ht="15" hidden="false" customHeight="false" outlineLevel="0" collapsed="false">
      <c r="A513" s="295" t="n">
        <v>13388</v>
      </c>
      <c r="B513" s="296" t="s">
        <v>1903</v>
      </c>
      <c r="C513" s="297" t="s">
        <v>2941</v>
      </c>
      <c r="D513" s="297" t="s">
        <v>1513</v>
      </c>
      <c r="E513" s="298" t="n">
        <v>21.0339</v>
      </c>
      <c r="F513" s="299" t="n">
        <v>120.68</v>
      </c>
      <c r="G513" s="299" t="n">
        <f aca="false">VLOOKUP(A513,'INSUMOS SINAPI'!A:E,5,0)</f>
        <v>120.68</v>
      </c>
      <c r="H513" s="300" t="n">
        <f aca="false">F513-G513</f>
        <v>0</v>
      </c>
      <c r="I513" s="288"/>
    </row>
    <row r="514" customFormat="false" ht="31.5" hidden="false" customHeight="false" outlineLevel="0" collapsed="false">
      <c r="A514" s="295" t="n">
        <v>20232</v>
      </c>
      <c r="B514" s="296" t="s">
        <v>1823</v>
      </c>
      <c r="C514" s="297" t="s">
        <v>2941</v>
      </c>
      <c r="D514" s="297" t="s">
        <v>1455</v>
      </c>
      <c r="E514" s="298" t="n">
        <v>142.464</v>
      </c>
      <c r="F514" s="299" t="n">
        <v>82.16</v>
      </c>
      <c r="G514" s="299" t="n">
        <f aca="false">VLOOKUP(A514,'INSUMOS SINAPI'!A:E,5,0)</f>
        <v>82.16</v>
      </c>
      <c r="H514" s="300" t="n">
        <f aca="false">F514-G514</f>
        <v>0</v>
      </c>
      <c r="I514" s="288"/>
    </row>
    <row r="515" customFormat="false" ht="21" hidden="false" customHeight="false" outlineLevel="0" collapsed="false">
      <c r="A515" s="295" t="n">
        <v>20083</v>
      </c>
      <c r="B515" s="296" t="s">
        <v>2095</v>
      </c>
      <c r="C515" s="297" t="s">
        <v>2941</v>
      </c>
      <c r="D515" s="297" t="s">
        <v>31</v>
      </c>
      <c r="E515" s="298" t="n">
        <v>29.2837</v>
      </c>
      <c r="F515" s="299" t="n">
        <v>71.48</v>
      </c>
      <c r="G515" s="299" t="n">
        <f aca="false">VLOOKUP(A515,'INSUMOS SINAPI'!A:E,5,0)</f>
        <v>71.48</v>
      </c>
      <c r="H515" s="300" t="n">
        <f aca="false">F515-G515</f>
        <v>0</v>
      </c>
      <c r="I515" s="288"/>
    </row>
    <row r="516" customFormat="false" ht="21" hidden="false" customHeight="false" outlineLevel="0" collapsed="false">
      <c r="A516" s="295" t="n">
        <v>12294</v>
      </c>
      <c r="B516" s="296" t="s">
        <v>2916</v>
      </c>
      <c r="C516" s="297" t="s">
        <v>2941</v>
      </c>
      <c r="D516" s="297" t="s">
        <v>31</v>
      </c>
      <c r="E516" s="298" t="n">
        <v>15</v>
      </c>
      <c r="F516" s="299" t="n">
        <v>7.04</v>
      </c>
      <c r="G516" s="299" t="n">
        <f aca="false">VLOOKUP(A516,'INSUMOS SINAPI'!A:E,5,0)</f>
        <v>7.04</v>
      </c>
      <c r="H516" s="300" t="n">
        <f aca="false">F516-G516</f>
        <v>0</v>
      </c>
      <c r="I516" s="288"/>
    </row>
    <row r="517" customFormat="false" ht="31.5" hidden="false" customHeight="false" outlineLevel="0" collapsed="false">
      <c r="A517" s="295" t="n">
        <v>38099</v>
      </c>
      <c r="B517" s="296" t="s">
        <v>1549</v>
      </c>
      <c r="C517" s="297" t="s">
        <v>2941</v>
      </c>
      <c r="D517" s="297" t="s">
        <v>31</v>
      </c>
      <c r="E517" s="298" t="n">
        <v>394</v>
      </c>
      <c r="F517" s="299" t="n">
        <v>1.36</v>
      </c>
      <c r="G517" s="299" t="n">
        <f aca="false">VLOOKUP(A517,'INSUMOS SINAPI'!A:E,5,0)</f>
        <v>1.36</v>
      </c>
      <c r="H517" s="300" t="n">
        <f aca="false">F517-G517</f>
        <v>0</v>
      </c>
      <c r="I517" s="288"/>
    </row>
    <row r="518" customFormat="false" ht="21" hidden="false" customHeight="false" outlineLevel="0" collapsed="false">
      <c r="A518" s="295" t="n">
        <v>7572</v>
      </c>
      <c r="B518" s="296" t="s">
        <v>2619</v>
      </c>
      <c r="C518" s="297" t="s">
        <v>2941</v>
      </c>
      <c r="D518" s="297" t="s">
        <v>31</v>
      </c>
      <c r="E518" s="298" t="n">
        <v>4.786906</v>
      </c>
      <c r="F518" s="299" t="n">
        <v>8.1</v>
      </c>
      <c r="G518" s="299" t="n">
        <f aca="false">VLOOKUP(A518,'INSUMOS SINAPI'!A:E,5,0)</f>
        <v>8.1</v>
      </c>
      <c r="H518" s="300" t="n">
        <f aca="false">F518-G518</f>
        <v>0</v>
      </c>
      <c r="I518" s="288"/>
    </row>
    <row r="519" customFormat="false" ht="21" hidden="false" customHeight="false" outlineLevel="0" collapsed="false">
      <c r="A519" s="295" t="n">
        <v>37590</v>
      </c>
      <c r="B519" s="296" t="s">
        <v>2032</v>
      </c>
      <c r="C519" s="297" t="s">
        <v>2941</v>
      </c>
      <c r="D519" s="297" t="s">
        <v>31</v>
      </c>
      <c r="E519" s="298" t="n">
        <v>70</v>
      </c>
      <c r="F519" s="299" t="n">
        <v>16.86</v>
      </c>
      <c r="G519" s="299" t="n">
        <f aca="false">VLOOKUP(A519,'INSUMOS SINAPI'!A:E,5,0)</f>
        <v>0</v>
      </c>
      <c r="H519" s="300" t="n">
        <f aca="false">F519-G519</f>
        <v>16.86</v>
      </c>
      <c r="I519" s="288"/>
    </row>
    <row r="520" customFormat="false" ht="21" hidden="false" customHeight="false" outlineLevel="0" collapsed="false">
      <c r="A520" s="295" t="n">
        <v>37591</v>
      </c>
      <c r="B520" s="296" t="s">
        <v>2071</v>
      </c>
      <c r="C520" s="297" t="s">
        <v>2941</v>
      </c>
      <c r="D520" s="297" t="s">
        <v>31</v>
      </c>
      <c r="E520" s="298" t="n">
        <v>63.10556</v>
      </c>
      <c r="F520" s="299" t="n">
        <v>20.27</v>
      </c>
      <c r="G520" s="299" t="n">
        <f aca="false">VLOOKUP(A520,'INSUMOS SINAPI'!A:E,5,0)</f>
        <v>0</v>
      </c>
      <c r="H520" s="300" t="n">
        <f aca="false">F520-G520</f>
        <v>20.27</v>
      </c>
      <c r="I520" s="288"/>
    </row>
    <row r="521" customFormat="false" ht="21" hidden="false" customHeight="false" outlineLevel="0" collapsed="false">
      <c r="A521" s="295" t="s">
        <v>2541</v>
      </c>
      <c r="B521" s="296" t="s">
        <v>2542</v>
      </c>
      <c r="C521" s="297" t="s">
        <v>2941</v>
      </c>
      <c r="D521" s="297" t="s">
        <v>31</v>
      </c>
      <c r="E521" s="298" t="n">
        <v>5</v>
      </c>
      <c r="F521" s="299" t="n">
        <v>2087.97</v>
      </c>
      <c r="G521" s="299" t="e">
        <f aca="false">VLOOKUP(A521,'INSUMOS SINAPI'!A:E,5,0)</f>
        <v>#N/A</v>
      </c>
      <c r="H521" s="300" t="e">
        <f aca="false">F521-G521</f>
        <v>#N/A</v>
      </c>
      <c r="I521" s="288" t="str">
        <f aca="false">IF(F521=VLOOKUP(A521,04_PESQUISAS!A:G,7,0),"OK","NÃO")</f>
        <v>OK</v>
      </c>
    </row>
    <row r="522" customFormat="false" ht="21" hidden="false" customHeight="false" outlineLevel="0" collapsed="false">
      <c r="A522" s="295" t="n">
        <v>10567</v>
      </c>
      <c r="B522" s="296" t="s">
        <v>1595</v>
      </c>
      <c r="C522" s="297" t="s">
        <v>2941</v>
      </c>
      <c r="D522" s="297" t="s">
        <v>1455</v>
      </c>
      <c r="E522" s="298" t="n">
        <v>137.5</v>
      </c>
      <c r="F522" s="299" t="n">
        <v>11.58</v>
      </c>
      <c r="G522" s="299" t="n">
        <f aca="false">VLOOKUP(A522,'INSUMOS SINAPI'!A:E,5,0)</f>
        <v>11.58</v>
      </c>
      <c r="H522" s="300" t="n">
        <f aca="false">F522-G522</f>
        <v>0</v>
      </c>
      <c r="I522" s="288"/>
    </row>
    <row r="523" customFormat="false" ht="21" hidden="false" customHeight="false" outlineLevel="0" collapsed="false">
      <c r="A523" s="295" t="n">
        <v>6212</v>
      </c>
      <c r="B523" s="296" t="s">
        <v>1627</v>
      </c>
      <c r="C523" s="297" t="s">
        <v>2941</v>
      </c>
      <c r="D523" s="297" t="s">
        <v>1455</v>
      </c>
      <c r="E523" s="298" t="n">
        <v>1810.50584</v>
      </c>
      <c r="F523" s="299" t="n">
        <v>17</v>
      </c>
      <c r="G523" s="299" t="n">
        <f aca="false">VLOOKUP(A523,'INSUMOS SINAPI'!A:E,5,0)</f>
        <v>17</v>
      </c>
      <c r="H523" s="300" t="n">
        <f aca="false">F523-G523</f>
        <v>0</v>
      </c>
      <c r="I523" s="288" t="e">
        <f aca="false">IF(F523=VLOOKUP(A523,04_PESQUISAS!A:G,7,0),"OK","NÃO")</f>
        <v>#N/A</v>
      </c>
    </row>
    <row r="524" customFormat="false" ht="31.5" hidden="false" customHeight="false" outlineLevel="0" collapsed="false">
      <c r="A524" s="295" t="n">
        <v>6193</v>
      </c>
      <c r="B524" s="296" t="s">
        <v>1584</v>
      </c>
      <c r="C524" s="297" t="s">
        <v>2941</v>
      </c>
      <c r="D524" s="297" t="s">
        <v>1455</v>
      </c>
      <c r="E524" s="298" t="n">
        <v>6404.2749790613</v>
      </c>
      <c r="F524" s="299" t="n">
        <v>15.54</v>
      </c>
      <c r="G524" s="299" t="n">
        <f aca="false">VLOOKUP(A524,'INSUMOS SINAPI'!A:E,5,0)</f>
        <v>15.54</v>
      </c>
      <c r="H524" s="300" t="n">
        <f aca="false">F524-G524</f>
        <v>0</v>
      </c>
      <c r="I524" s="288" t="e">
        <f aca="false">IF(F524=VLOOKUP(A524,04_PESQUISAS!A:G,7,0),"OK","NÃO")</f>
        <v>#N/A</v>
      </c>
    </row>
    <row r="525" customFormat="false" ht="31.5" hidden="false" customHeight="false" outlineLevel="0" collapsed="false">
      <c r="A525" s="295" t="n">
        <v>6189</v>
      </c>
      <c r="B525" s="296" t="s">
        <v>1803</v>
      </c>
      <c r="C525" s="297" t="s">
        <v>2941</v>
      </c>
      <c r="D525" s="297" t="s">
        <v>1455</v>
      </c>
      <c r="E525" s="298" t="n">
        <v>226.80867968</v>
      </c>
      <c r="F525" s="299" t="n">
        <v>22.68</v>
      </c>
      <c r="G525" s="299" t="n">
        <f aca="false">VLOOKUP(A525,'INSUMOS SINAPI'!A:E,5,0)</f>
        <v>22.68</v>
      </c>
      <c r="H525" s="300" t="n">
        <f aca="false">F525-G525</f>
        <v>0</v>
      </c>
      <c r="I525" s="288"/>
    </row>
    <row r="526" customFormat="false" ht="21" hidden="false" customHeight="false" outlineLevel="0" collapsed="false">
      <c r="A526" s="295" t="s">
        <v>2402</v>
      </c>
      <c r="B526" s="296" t="s">
        <v>2403</v>
      </c>
      <c r="C526" s="297" t="s">
        <v>2941</v>
      </c>
      <c r="D526" s="297" t="s">
        <v>31</v>
      </c>
      <c r="E526" s="298" t="n">
        <v>46.33699</v>
      </c>
      <c r="F526" s="299" t="n">
        <v>2.39</v>
      </c>
      <c r="G526" s="299" t="e">
        <f aca="false">VLOOKUP(A526,'INSUMOS SINAPI'!A:E,5,0)</f>
        <v>#N/A</v>
      </c>
      <c r="H526" s="300" t="e">
        <f aca="false">F526-G526</f>
        <v>#N/A</v>
      </c>
      <c r="I526" s="288" t="str">
        <f aca="false">IF(F526=VLOOKUP(A526,04_PESQUISAS!A:G,7,0),"OK","NÃO")</f>
        <v>OK</v>
      </c>
    </row>
    <row r="527" customFormat="false" ht="21" hidden="false" customHeight="false" outlineLevel="0" collapsed="false">
      <c r="A527" s="295" t="s">
        <v>2407</v>
      </c>
      <c r="B527" s="296" t="s">
        <v>2408</v>
      </c>
      <c r="C527" s="297" t="s">
        <v>2941</v>
      </c>
      <c r="D527" s="297" t="s">
        <v>31</v>
      </c>
      <c r="E527" s="298" t="n">
        <v>96.55938</v>
      </c>
      <c r="F527" s="299" t="n">
        <v>0.933333333333333</v>
      </c>
      <c r="G527" s="299" t="e">
        <f aca="false">VLOOKUP(A527,'INSUMOS SINAPI'!A:E,5,0)</f>
        <v>#N/A</v>
      </c>
      <c r="H527" s="300" t="e">
        <f aca="false">F527-G527</f>
        <v>#N/A</v>
      </c>
      <c r="I527" s="288" t="str">
        <f aca="false">IF(F527=VLOOKUP(A527,04_PESQUISAS!A:G,7,0),"OK","NÃO")</f>
        <v>OK</v>
      </c>
    </row>
    <row r="528" customFormat="false" ht="21" hidden="false" customHeight="false" outlineLevel="0" collapsed="false">
      <c r="A528" s="295" t="s">
        <v>2426</v>
      </c>
      <c r="B528" s="296" t="s">
        <v>2427</v>
      </c>
      <c r="C528" s="297" t="s">
        <v>2941</v>
      </c>
      <c r="D528" s="297" t="s">
        <v>31</v>
      </c>
      <c r="E528" s="298" t="n">
        <v>365.6554</v>
      </c>
      <c r="F528" s="299" t="n">
        <v>3.61666666666667</v>
      </c>
      <c r="G528" s="299" t="e">
        <f aca="false">VLOOKUP(A528,'INSUMOS SINAPI'!A:E,5,0)</f>
        <v>#N/A</v>
      </c>
      <c r="H528" s="300" t="e">
        <f aca="false">F528-G528</f>
        <v>#N/A</v>
      </c>
      <c r="I528" s="288" t="str">
        <f aca="false">IF(F528=VLOOKUP(A528,04_PESQUISAS!A:G,7,0),"OK","NÃO")</f>
        <v>OK</v>
      </c>
    </row>
    <row r="529" customFormat="false" ht="21" hidden="false" customHeight="false" outlineLevel="0" collapsed="false">
      <c r="A529" s="295" t="s">
        <v>2445</v>
      </c>
      <c r="B529" s="296" t="s">
        <v>2446</v>
      </c>
      <c r="C529" s="297" t="s">
        <v>2941</v>
      </c>
      <c r="D529" s="297" t="s">
        <v>1455</v>
      </c>
      <c r="E529" s="298" t="n">
        <v>18.68746</v>
      </c>
      <c r="F529" s="299" t="n">
        <v>7.05111111111111</v>
      </c>
      <c r="G529" s="299" t="e">
        <f aca="false">VLOOKUP(A529,'INSUMOS SINAPI'!A:E,5,0)</f>
        <v>#N/A</v>
      </c>
      <c r="H529" s="300" t="e">
        <f aca="false">F529-G529</f>
        <v>#N/A</v>
      </c>
      <c r="I529" s="288" t="str">
        <f aca="false">IF(F529=VLOOKUP(A529,04_PESQUISAS!A:G,7,0),"OK","NÃO")</f>
        <v>OK</v>
      </c>
    </row>
    <row r="530" customFormat="false" ht="21" hidden="false" customHeight="false" outlineLevel="0" collapsed="false">
      <c r="A530" s="295" t="s">
        <v>2439</v>
      </c>
      <c r="B530" s="296" t="s">
        <v>2440</v>
      </c>
      <c r="C530" s="297" t="s">
        <v>2941</v>
      </c>
      <c r="D530" s="297" t="s">
        <v>1455</v>
      </c>
      <c r="E530" s="298" t="n">
        <v>202.82185</v>
      </c>
      <c r="F530" s="299" t="n">
        <v>11.0522222222222</v>
      </c>
      <c r="G530" s="299" t="e">
        <f aca="false">VLOOKUP(A530,'INSUMOS SINAPI'!A:E,5,0)</f>
        <v>#N/A</v>
      </c>
      <c r="H530" s="300" t="e">
        <f aca="false">F530-G530</f>
        <v>#N/A</v>
      </c>
      <c r="I530" s="288" t="str">
        <f aca="false">IF(F530=VLOOKUP(A530,04_PESQUISAS!A:G,7,0),"OK","NÃO")</f>
        <v>OK</v>
      </c>
    </row>
    <row r="531" customFormat="false" ht="21" hidden="false" customHeight="false" outlineLevel="0" collapsed="false">
      <c r="A531" s="295" t="s">
        <v>2450</v>
      </c>
      <c r="B531" s="296" t="s">
        <v>2451</v>
      </c>
      <c r="C531" s="297" t="s">
        <v>2941</v>
      </c>
      <c r="D531" s="297" t="s">
        <v>1455</v>
      </c>
      <c r="E531" s="298" t="n">
        <v>180.22326</v>
      </c>
      <c r="F531" s="299" t="n">
        <v>5.29</v>
      </c>
      <c r="G531" s="299" t="e">
        <f aca="false">VLOOKUP(A531,'INSUMOS SINAPI'!A:E,5,0)</f>
        <v>#N/A</v>
      </c>
      <c r="H531" s="300" t="e">
        <f aca="false">F531-G531</f>
        <v>#N/A</v>
      </c>
      <c r="I531" s="288" t="str">
        <f aca="false">IF(F531=VLOOKUP(A531,04_PESQUISAS!A:G,7,0),"OK","NÃO")</f>
        <v>OK</v>
      </c>
    </row>
    <row r="532" customFormat="false" ht="21" hidden="false" customHeight="false" outlineLevel="0" collapsed="false">
      <c r="A532" s="295" t="n">
        <v>10905</v>
      </c>
      <c r="B532" s="296" t="s">
        <v>2681</v>
      </c>
      <c r="C532" s="297" t="s">
        <v>2941</v>
      </c>
      <c r="D532" s="297" t="s">
        <v>31</v>
      </c>
      <c r="E532" s="298" t="n">
        <v>1</v>
      </c>
      <c r="F532" s="299" t="n">
        <v>173.24</v>
      </c>
      <c r="G532" s="299" t="n">
        <f aca="false">VLOOKUP(A532,'INSUMOS SINAPI'!A:E,5,0)</f>
        <v>0</v>
      </c>
      <c r="H532" s="300" t="n">
        <f aca="false">F532-G532</f>
        <v>173.24</v>
      </c>
      <c r="I532" s="288"/>
    </row>
    <row r="533" customFormat="false" ht="31.5" hidden="false" customHeight="false" outlineLevel="0" collapsed="false">
      <c r="A533" s="295" t="n">
        <v>14112</v>
      </c>
      <c r="B533" s="296" t="s">
        <v>2533</v>
      </c>
      <c r="C533" s="297" t="s">
        <v>2941</v>
      </c>
      <c r="D533" s="297" t="s">
        <v>31</v>
      </c>
      <c r="E533" s="298" t="n">
        <v>6</v>
      </c>
      <c r="F533" s="299" t="n">
        <v>241.99</v>
      </c>
      <c r="G533" s="299" t="n">
        <f aca="false">VLOOKUP(A533,'INSUMOS SINAPI'!A:E,5,0)</f>
        <v>0</v>
      </c>
      <c r="H533" s="300" t="n">
        <f aca="false">F533-G533</f>
        <v>241.99</v>
      </c>
      <c r="I533" s="288" t="e">
        <f aca="false">IF(F533=VLOOKUP(A533,04_PESQUISAS!A:G,7,0),"OK","NÃO")</f>
        <v>#N/A</v>
      </c>
    </row>
    <row r="534" customFormat="false" ht="31.5" hidden="false" customHeight="false" outlineLevel="0" collapsed="false">
      <c r="A534" s="295" t="n">
        <v>6243</v>
      </c>
      <c r="B534" s="296" t="s">
        <v>2112</v>
      </c>
      <c r="C534" s="297" t="s">
        <v>2941</v>
      </c>
      <c r="D534" s="297" t="s">
        <v>31</v>
      </c>
      <c r="E534" s="298" t="n">
        <v>28</v>
      </c>
      <c r="F534" s="299" t="n">
        <v>430</v>
      </c>
      <c r="G534" s="299" t="n">
        <f aca="false">VLOOKUP(A534,'INSUMOS SINAPI'!A:E,5,0)</f>
        <v>0</v>
      </c>
      <c r="H534" s="300" t="n">
        <f aca="false">F534-G534</f>
        <v>430</v>
      </c>
      <c r="I534" s="288"/>
    </row>
    <row r="535" customFormat="false" ht="21" hidden="false" customHeight="false" outlineLevel="0" collapsed="false">
      <c r="A535" s="295" t="n">
        <v>11690</v>
      </c>
      <c r="B535" s="296" t="s">
        <v>2080</v>
      </c>
      <c r="C535" s="297" t="s">
        <v>2941</v>
      </c>
      <c r="D535" s="297" t="s">
        <v>31</v>
      </c>
      <c r="E535" s="298" t="n">
        <v>2</v>
      </c>
      <c r="F535" s="299" t="n">
        <v>185.9</v>
      </c>
      <c r="G535" s="299" t="n">
        <f aca="false">VLOOKUP(A535,'INSUMOS SINAPI'!A:E,5,0)</f>
        <v>185.9</v>
      </c>
      <c r="H535" s="300" t="n">
        <f aca="false">F535-G535</f>
        <v>0</v>
      </c>
      <c r="I535" s="288"/>
    </row>
    <row r="536" customFormat="false" ht="21" hidden="false" customHeight="false" outlineLevel="0" collapsed="false">
      <c r="A536" s="295" t="n">
        <v>44073</v>
      </c>
      <c r="B536" s="296" t="s">
        <v>1714</v>
      </c>
      <c r="C536" s="297" t="s">
        <v>2941</v>
      </c>
      <c r="D536" s="297" t="s">
        <v>1455</v>
      </c>
      <c r="E536" s="298" t="n">
        <v>75.7</v>
      </c>
      <c r="F536" s="299" t="n">
        <v>0.72</v>
      </c>
      <c r="G536" s="299" t="n">
        <f aca="false">VLOOKUP(A536,'INSUMOS SINAPI'!A:E,5,0)</f>
        <v>0.72</v>
      </c>
      <c r="H536" s="300" t="n">
        <f aca="false">F536-G536</f>
        <v>0</v>
      </c>
      <c r="I536" s="288"/>
    </row>
    <row r="537" customFormat="false" ht="15" hidden="false" customHeight="false" outlineLevel="0" collapsed="false">
      <c r="A537" s="295" t="n">
        <v>6299</v>
      </c>
      <c r="B537" s="296" t="s">
        <v>2690</v>
      </c>
      <c r="C537" s="297" t="s">
        <v>2941</v>
      </c>
      <c r="D537" s="297" t="s">
        <v>31</v>
      </c>
      <c r="E537" s="298" t="n">
        <v>5</v>
      </c>
      <c r="F537" s="299" t="n">
        <v>140.62</v>
      </c>
      <c r="G537" s="299" t="n">
        <f aca="false">VLOOKUP(A537,'INSUMOS SINAPI'!A:E,5,0)</f>
        <v>0</v>
      </c>
      <c r="H537" s="300" t="n">
        <f aca="false">F537-G537</f>
        <v>140.62</v>
      </c>
      <c r="I537" s="288"/>
    </row>
    <row r="538" customFormat="false" ht="15" hidden="false" customHeight="false" outlineLevel="0" collapsed="false">
      <c r="A538" s="295" t="n">
        <v>6322</v>
      </c>
      <c r="B538" s="296" t="s">
        <v>2692</v>
      </c>
      <c r="C538" s="297" t="s">
        <v>2941</v>
      </c>
      <c r="D538" s="297" t="s">
        <v>31</v>
      </c>
      <c r="E538" s="298" t="n">
        <v>3</v>
      </c>
      <c r="F538" s="299" t="n">
        <v>188.34</v>
      </c>
      <c r="G538" s="299" t="n">
        <f aca="false">VLOOKUP(A538,'INSUMOS SINAPI'!A:E,5,0)</f>
        <v>0</v>
      </c>
      <c r="H538" s="300" t="n">
        <f aca="false">F538-G538</f>
        <v>188.34</v>
      </c>
      <c r="I538" s="288" t="e">
        <f aca="false">IF(F538=VLOOKUP(A538,04_PESQUISAS!A:G,7,0),"OK","NÃO")</f>
        <v>#N/A</v>
      </c>
    </row>
    <row r="539" customFormat="false" ht="21" hidden="false" customHeight="false" outlineLevel="0" collapsed="false">
      <c r="A539" s="295" t="n">
        <v>7136</v>
      </c>
      <c r="B539" s="296" t="s">
        <v>2337</v>
      </c>
      <c r="C539" s="297" t="s">
        <v>2941</v>
      </c>
      <c r="D539" s="297" t="s">
        <v>31</v>
      </c>
      <c r="E539" s="298" t="n">
        <v>2</v>
      </c>
      <c r="F539" s="299" t="n">
        <v>6.71</v>
      </c>
      <c r="G539" s="299" t="n">
        <f aca="false">VLOOKUP(A539,'INSUMOS SINAPI'!A:E,5,0)</f>
        <v>6.71</v>
      </c>
      <c r="H539" s="300" t="n">
        <f aca="false">F539-G539</f>
        <v>0</v>
      </c>
      <c r="I539" s="288" t="e">
        <f aca="false">IF(F539=VLOOKUP(A539,04_PESQUISAS!A:G,7,0),"OK","NÃO")</f>
        <v>#N/A</v>
      </c>
    </row>
    <row r="540" customFormat="false" ht="21" hidden="false" customHeight="false" outlineLevel="0" collapsed="false">
      <c r="A540" s="295" t="n">
        <v>7128</v>
      </c>
      <c r="B540" s="296" t="s">
        <v>2841</v>
      </c>
      <c r="C540" s="297" t="s">
        <v>2941</v>
      </c>
      <c r="D540" s="297" t="s">
        <v>31</v>
      </c>
      <c r="E540" s="298" t="n">
        <v>2</v>
      </c>
      <c r="F540" s="299" t="n">
        <v>8.71</v>
      </c>
      <c r="G540" s="299" t="n">
        <f aca="false">VLOOKUP(A540,'INSUMOS SINAPI'!A:E,5,0)</f>
        <v>8.71</v>
      </c>
      <c r="H540" s="300" t="n">
        <f aca="false">F540-G540</f>
        <v>0</v>
      </c>
      <c r="I540" s="288" t="e">
        <f aca="false">IF(F540=VLOOKUP(A540,04_PESQUISAS!A:G,7,0),"OK","NÃO")</f>
        <v>#N/A</v>
      </c>
    </row>
    <row r="541" customFormat="false" ht="21" hidden="false" customHeight="false" outlineLevel="0" collapsed="false">
      <c r="A541" s="295" t="n">
        <v>7129</v>
      </c>
      <c r="B541" s="296" t="s">
        <v>2339</v>
      </c>
      <c r="C541" s="297" t="s">
        <v>2941</v>
      </c>
      <c r="D541" s="297" t="s">
        <v>31</v>
      </c>
      <c r="E541" s="298" t="n">
        <v>2</v>
      </c>
      <c r="F541" s="299" t="n">
        <v>10.22</v>
      </c>
      <c r="G541" s="299" t="n">
        <f aca="false">VLOOKUP(A541,'INSUMOS SINAPI'!A:E,5,0)</f>
        <v>10.22</v>
      </c>
      <c r="H541" s="300" t="n">
        <f aca="false">F541-G541</f>
        <v>0</v>
      </c>
      <c r="I541" s="288" t="e">
        <f aca="false">IF(F541=VLOOKUP(A541,04_PESQUISAS!A:G,7,0),"OK","NÃO")</f>
        <v>#N/A</v>
      </c>
    </row>
    <row r="542" customFormat="false" ht="21" hidden="false" customHeight="false" outlineLevel="0" collapsed="false">
      <c r="A542" s="295" t="n">
        <v>7132</v>
      </c>
      <c r="B542" s="296" t="s">
        <v>2341</v>
      </c>
      <c r="C542" s="297" t="s">
        <v>2941</v>
      </c>
      <c r="D542" s="297" t="s">
        <v>31</v>
      </c>
      <c r="E542" s="298" t="n">
        <v>4</v>
      </c>
      <c r="F542" s="299" t="n">
        <v>42.76</v>
      </c>
      <c r="G542" s="299" t="n">
        <f aca="false">VLOOKUP(A542,'INSUMOS SINAPI'!A:E,5,0)</f>
        <v>42.76</v>
      </c>
      <c r="H542" s="300" t="n">
        <f aca="false">F542-G542</f>
        <v>0</v>
      </c>
      <c r="I542" s="288" t="e">
        <f aca="false">IF(F542=VLOOKUP(A542,04_PESQUISAS!A:G,7,0),"OK","NÃO")</f>
        <v>#N/A</v>
      </c>
    </row>
    <row r="543" customFormat="false" ht="21" hidden="false" customHeight="false" outlineLevel="0" collapsed="false">
      <c r="A543" s="295" t="s">
        <v>2419</v>
      </c>
      <c r="B543" s="296" t="s">
        <v>2420</v>
      </c>
      <c r="C543" s="297" t="s">
        <v>2941</v>
      </c>
      <c r="D543" s="297" t="s">
        <v>31</v>
      </c>
      <c r="E543" s="298" t="n">
        <v>2</v>
      </c>
      <c r="F543" s="299" t="n">
        <v>28.1833333333333</v>
      </c>
      <c r="G543" s="299" t="e">
        <f aca="false">VLOOKUP(A543,'INSUMOS SINAPI'!A:E,5,0)</f>
        <v>#N/A</v>
      </c>
      <c r="H543" s="300" t="e">
        <f aca="false">F543-G543</f>
        <v>#N/A</v>
      </c>
      <c r="I543" s="288" t="str">
        <f aca="false">IF(F543=VLOOKUP(A543,04_PESQUISAS!A:G,7,0),"OK","NÃO")</f>
        <v>OK</v>
      </c>
    </row>
    <row r="544" customFormat="false" ht="21" hidden="false" customHeight="false" outlineLevel="0" collapsed="false">
      <c r="A544" s="295" t="s">
        <v>2428</v>
      </c>
      <c r="B544" s="296" t="s">
        <v>2429</v>
      </c>
      <c r="C544" s="297" t="s">
        <v>2941</v>
      </c>
      <c r="D544" s="297" t="s">
        <v>31</v>
      </c>
      <c r="E544" s="298" t="n">
        <v>6</v>
      </c>
      <c r="F544" s="299" t="n">
        <v>38.4866666666667</v>
      </c>
      <c r="G544" s="299" t="e">
        <f aca="false">VLOOKUP(A544,'INSUMOS SINAPI'!A:E,5,0)</f>
        <v>#N/A</v>
      </c>
      <c r="H544" s="300" t="e">
        <f aca="false">F544-G544</f>
        <v>#N/A</v>
      </c>
      <c r="I544" s="288" t="str">
        <f aca="false">IF(F544=VLOOKUP(A544,04_PESQUISAS!A:G,7,0),"OK","NÃO")</f>
        <v>OK</v>
      </c>
    </row>
    <row r="545" customFormat="false" ht="21" hidden="false" customHeight="false" outlineLevel="0" collapsed="false">
      <c r="A545" s="295" t="s">
        <v>2422</v>
      </c>
      <c r="B545" s="296" t="s">
        <v>2423</v>
      </c>
      <c r="C545" s="297" t="s">
        <v>2941</v>
      </c>
      <c r="D545" s="297" t="s">
        <v>2424</v>
      </c>
      <c r="E545" s="298" t="n">
        <v>6</v>
      </c>
      <c r="F545" s="299" t="n">
        <v>16.3633333333333</v>
      </c>
      <c r="G545" s="299" t="e">
        <f aca="false">VLOOKUP(A545,'INSUMOS SINAPI'!A:E,5,0)</f>
        <v>#N/A</v>
      </c>
      <c r="H545" s="300" t="e">
        <f aca="false">F545-G545</f>
        <v>#N/A</v>
      </c>
      <c r="I545" s="288" t="str">
        <f aca="false">IF(F545=VLOOKUP(A545,04_PESQUISAS!A:G,7,0),"OK","NÃO")</f>
        <v>OK</v>
      </c>
    </row>
    <row r="546" customFormat="false" ht="21" hidden="false" customHeight="false" outlineLevel="0" collapsed="false">
      <c r="A546" s="295" t="n">
        <v>7137</v>
      </c>
      <c r="B546" s="296" t="s">
        <v>2349</v>
      </c>
      <c r="C546" s="297" t="s">
        <v>2941</v>
      </c>
      <c r="D546" s="297" t="s">
        <v>31</v>
      </c>
      <c r="E546" s="298" t="n">
        <v>24</v>
      </c>
      <c r="F546" s="299" t="n">
        <v>10.05</v>
      </c>
      <c r="G546" s="299" t="n">
        <f aca="false">VLOOKUP(A546,'INSUMOS SINAPI'!A:E,5,0)</f>
        <v>10.05</v>
      </c>
      <c r="H546" s="300" t="n">
        <f aca="false">F546-G546</f>
        <v>0</v>
      </c>
      <c r="I546" s="288"/>
    </row>
    <row r="547" customFormat="false" ht="21" hidden="false" customHeight="false" outlineLevel="0" collapsed="false">
      <c r="A547" s="295" t="n">
        <v>7122</v>
      </c>
      <c r="B547" s="296" t="s">
        <v>2351</v>
      </c>
      <c r="C547" s="297" t="s">
        <v>2941</v>
      </c>
      <c r="D547" s="297" t="s">
        <v>31</v>
      </c>
      <c r="E547" s="298" t="n">
        <v>2</v>
      </c>
      <c r="F547" s="299" t="n">
        <v>11.06</v>
      </c>
      <c r="G547" s="299" t="n">
        <f aca="false">VLOOKUP(A547,'INSUMOS SINAPI'!A:E,5,0)</f>
        <v>11.06</v>
      </c>
      <c r="H547" s="300" t="n">
        <f aca="false">F547-G547</f>
        <v>0</v>
      </c>
      <c r="I547" s="288"/>
    </row>
    <row r="548" customFormat="false" ht="21" hidden="false" customHeight="false" outlineLevel="0" collapsed="false">
      <c r="A548" s="295" t="n">
        <v>11655</v>
      </c>
      <c r="B548" s="296" t="s">
        <v>2185</v>
      </c>
      <c r="C548" s="297" t="s">
        <v>2941</v>
      </c>
      <c r="D548" s="297" t="s">
        <v>31</v>
      </c>
      <c r="E548" s="298" t="n">
        <v>1</v>
      </c>
      <c r="F548" s="299" t="n">
        <v>18.08</v>
      </c>
      <c r="G548" s="299" t="n">
        <f aca="false">VLOOKUP(A548,'INSUMOS SINAPI'!A:E,5,0)</f>
        <v>18.08</v>
      </c>
      <c r="H548" s="300" t="n">
        <f aca="false">F548-G548</f>
        <v>0</v>
      </c>
      <c r="I548" s="288"/>
    </row>
    <row r="549" customFormat="false" ht="21" hidden="false" customHeight="false" outlineLevel="0" collapsed="false">
      <c r="A549" s="295" t="n">
        <v>11656</v>
      </c>
      <c r="B549" s="296" t="s">
        <v>2187</v>
      </c>
      <c r="C549" s="297" t="s">
        <v>2941</v>
      </c>
      <c r="D549" s="297" t="s">
        <v>31</v>
      </c>
      <c r="E549" s="298" t="n">
        <v>1</v>
      </c>
      <c r="F549" s="299" t="n">
        <v>20.75</v>
      </c>
      <c r="G549" s="299" t="n">
        <f aca="false">VLOOKUP(A549,'INSUMOS SINAPI'!A:E,5,0)</f>
        <v>20.75</v>
      </c>
      <c r="H549" s="300" t="n">
        <f aca="false">F549-G549</f>
        <v>0</v>
      </c>
      <c r="I549" s="288"/>
    </row>
    <row r="550" customFormat="false" ht="21" hidden="false" customHeight="false" outlineLevel="0" collapsed="false">
      <c r="A550" s="295" t="n">
        <v>7097</v>
      </c>
      <c r="B550" s="296" t="s">
        <v>2189</v>
      </c>
      <c r="C550" s="297" t="s">
        <v>2941</v>
      </c>
      <c r="D550" s="297" t="s">
        <v>31</v>
      </c>
      <c r="E550" s="298" t="n">
        <v>32</v>
      </c>
      <c r="F550" s="299" t="n">
        <v>7.98</v>
      </c>
      <c r="G550" s="299" t="n">
        <f aca="false">VLOOKUP(A550,'INSUMOS SINAPI'!A:E,5,0)</f>
        <v>7.98</v>
      </c>
      <c r="H550" s="300" t="n">
        <f aca="false">F550-G550</f>
        <v>0</v>
      </c>
      <c r="I550" s="288"/>
    </row>
    <row r="551" customFormat="false" ht="21" hidden="false" customHeight="false" outlineLevel="0" collapsed="false">
      <c r="A551" s="295" t="s">
        <v>2191</v>
      </c>
      <c r="B551" s="296" t="s">
        <v>2192</v>
      </c>
      <c r="C551" s="297" t="s">
        <v>2941</v>
      </c>
      <c r="D551" s="297" t="s">
        <v>31</v>
      </c>
      <c r="E551" s="298" t="n">
        <v>5</v>
      </c>
      <c r="F551" s="299" t="n">
        <v>16.7166666666667</v>
      </c>
      <c r="G551" s="299" t="e">
        <f aca="false">VLOOKUP(A551,'INSUMOS SINAPI'!A:E,5,0)</f>
        <v>#N/A</v>
      </c>
      <c r="H551" s="300" t="e">
        <f aca="false">F551-G551</f>
        <v>#N/A</v>
      </c>
      <c r="I551" s="288" t="str">
        <f aca="false">IF(F551=VLOOKUP(A551,04_PESQUISAS!A:G,7,0),"OK","NÃO")</f>
        <v>OK</v>
      </c>
    </row>
    <row r="552" customFormat="false" ht="21" hidden="false" customHeight="false" outlineLevel="0" collapsed="false">
      <c r="A552" s="295" t="n">
        <v>11658</v>
      </c>
      <c r="B552" s="296" t="s">
        <v>2270</v>
      </c>
      <c r="C552" s="297" t="s">
        <v>2941</v>
      </c>
      <c r="D552" s="297" t="s">
        <v>31</v>
      </c>
      <c r="E552" s="298" t="n">
        <v>1</v>
      </c>
      <c r="F552" s="299" t="n">
        <v>17.65</v>
      </c>
      <c r="G552" s="299" t="n">
        <f aca="false">VLOOKUP(A552,'INSUMOS SINAPI'!A:E,5,0)</f>
        <v>17.65</v>
      </c>
      <c r="H552" s="300" t="n">
        <f aca="false">F552-G552</f>
        <v>0</v>
      </c>
      <c r="I552" s="288"/>
    </row>
    <row r="553" customFormat="false" ht="21" hidden="false" customHeight="false" outlineLevel="0" collapsed="false">
      <c r="A553" s="295" t="n">
        <v>7139</v>
      </c>
      <c r="B553" s="296" t="s">
        <v>2110</v>
      </c>
      <c r="C553" s="297" t="s">
        <v>2941</v>
      </c>
      <c r="D553" s="297" t="s">
        <v>31</v>
      </c>
      <c r="E553" s="298" t="n">
        <v>41</v>
      </c>
      <c r="F553" s="299" t="n">
        <v>1.21</v>
      </c>
      <c r="G553" s="299" t="n">
        <f aca="false">VLOOKUP(A553,'INSUMOS SINAPI'!A:E,5,0)</f>
        <v>1.21</v>
      </c>
      <c r="H553" s="300" t="n">
        <f aca="false">F553-G553</f>
        <v>0</v>
      </c>
      <c r="I553" s="288"/>
    </row>
    <row r="554" customFormat="false" ht="21" hidden="false" customHeight="false" outlineLevel="0" collapsed="false">
      <c r="A554" s="295" t="n">
        <v>7140</v>
      </c>
      <c r="B554" s="296" t="s">
        <v>2333</v>
      </c>
      <c r="C554" s="297" t="s">
        <v>2941</v>
      </c>
      <c r="D554" s="297" t="s">
        <v>31</v>
      </c>
      <c r="E554" s="298" t="n">
        <v>1</v>
      </c>
      <c r="F554" s="299" t="n">
        <v>3.79</v>
      </c>
      <c r="G554" s="299" t="n">
        <f aca="false">VLOOKUP(A554,'INSUMOS SINAPI'!A:E,5,0)</f>
        <v>3.79</v>
      </c>
      <c r="H554" s="300" t="n">
        <f aca="false">F554-G554</f>
        <v>0</v>
      </c>
      <c r="I554" s="288"/>
    </row>
    <row r="555" customFormat="false" ht="21" hidden="false" customHeight="false" outlineLevel="0" collapsed="false">
      <c r="A555" s="295" t="n">
        <v>7141</v>
      </c>
      <c r="B555" s="296" t="s">
        <v>2844</v>
      </c>
      <c r="C555" s="297" t="s">
        <v>2941</v>
      </c>
      <c r="D555" s="297" t="s">
        <v>31</v>
      </c>
      <c r="E555" s="298" t="n">
        <v>6</v>
      </c>
      <c r="F555" s="299" t="n">
        <v>9.26</v>
      </c>
      <c r="G555" s="299" t="n">
        <f aca="false">VLOOKUP(A555,'INSUMOS SINAPI'!A:E,5,0)</f>
        <v>9.26</v>
      </c>
      <c r="H555" s="300" t="n">
        <f aca="false">F555-G555</f>
        <v>0</v>
      </c>
      <c r="I555" s="288" t="e">
        <f aca="false">IF(F555=VLOOKUP(A555,04_PESQUISAS!A:G,7,0),"OK","NÃO")</f>
        <v>#N/A</v>
      </c>
    </row>
    <row r="556" customFormat="false" ht="21" hidden="false" customHeight="false" outlineLevel="0" collapsed="false">
      <c r="A556" s="295" t="n">
        <v>7142</v>
      </c>
      <c r="B556" s="296" t="s">
        <v>2335</v>
      </c>
      <c r="C556" s="297" t="s">
        <v>2941</v>
      </c>
      <c r="D556" s="297" t="s">
        <v>31</v>
      </c>
      <c r="E556" s="298" t="n">
        <v>29</v>
      </c>
      <c r="F556" s="299" t="n">
        <v>9.68</v>
      </c>
      <c r="G556" s="299" t="n">
        <f aca="false">VLOOKUP(A556,'INSUMOS SINAPI'!A:E,5,0)</f>
        <v>9.68</v>
      </c>
      <c r="H556" s="300" t="n">
        <f aca="false">F556-G556</f>
        <v>0</v>
      </c>
      <c r="I556" s="288" t="e">
        <f aca="false">IF(F556=VLOOKUP(A556,04_PESQUISAS!A:G,7,0),"OK","NÃO")</f>
        <v>#N/A</v>
      </c>
    </row>
    <row r="557" customFormat="false" ht="21" hidden="false" customHeight="false" outlineLevel="0" collapsed="false">
      <c r="A557" s="295" t="n">
        <v>34547</v>
      </c>
      <c r="B557" s="296" t="s">
        <v>1772</v>
      </c>
      <c r="C557" s="297" t="s">
        <v>2941</v>
      </c>
      <c r="D557" s="297" t="s">
        <v>1455</v>
      </c>
      <c r="E557" s="298" t="n">
        <v>61.7757</v>
      </c>
      <c r="F557" s="299" t="n">
        <v>3.42</v>
      </c>
      <c r="G557" s="299" t="n">
        <f aca="false">VLOOKUP(A557,'INSUMOS SINAPI'!A:E,5,0)</f>
        <v>3.42</v>
      </c>
      <c r="H557" s="300" t="n">
        <f aca="false">F557-G557</f>
        <v>0</v>
      </c>
      <c r="I557" s="288" t="e">
        <f aca="false">IF(F557=VLOOKUP(A557,04_PESQUISAS!A:G,7,0),"OK","NÃO")</f>
        <v>#N/A</v>
      </c>
    </row>
    <row r="558" customFormat="false" ht="21" hidden="false" customHeight="false" outlineLevel="0" collapsed="false">
      <c r="A558" s="295" t="n">
        <v>34557</v>
      </c>
      <c r="B558" s="296" t="s">
        <v>1769</v>
      </c>
      <c r="C558" s="297" t="s">
        <v>2941</v>
      </c>
      <c r="D558" s="297" t="s">
        <v>1455</v>
      </c>
      <c r="E558" s="298" t="n">
        <v>1290.9498</v>
      </c>
      <c r="F558" s="299" t="n">
        <v>2.16</v>
      </c>
      <c r="G558" s="299" t="n">
        <f aca="false">VLOOKUP(A558,'INSUMOS SINAPI'!A:E,5,0)</f>
        <v>2.16</v>
      </c>
      <c r="H558" s="300" t="n">
        <f aca="false">F558-G558</f>
        <v>0</v>
      </c>
      <c r="I558" s="288"/>
    </row>
    <row r="559" customFormat="false" ht="31.5" hidden="false" customHeight="false" outlineLevel="0" collapsed="false">
      <c r="A559" s="295" t="n">
        <v>39507</v>
      </c>
      <c r="B559" s="296" t="s">
        <v>1757</v>
      </c>
      <c r="C559" s="297" t="s">
        <v>2941</v>
      </c>
      <c r="D559" s="297" t="s">
        <v>1477</v>
      </c>
      <c r="E559" s="298" t="n">
        <v>2.92896</v>
      </c>
      <c r="F559" s="299" t="n">
        <v>13.27</v>
      </c>
      <c r="G559" s="299" t="n">
        <f aca="false">VLOOKUP(A559,'INSUMOS SINAPI'!A:E,5,0)</f>
        <v>13.27</v>
      </c>
      <c r="H559" s="300" t="n">
        <f aca="false">F559-G559</f>
        <v>0</v>
      </c>
      <c r="I559" s="288"/>
    </row>
    <row r="560" customFormat="false" ht="31.5" hidden="false" customHeight="false" outlineLevel="0" collapsed="false">
      <c r="A560" s="295" t="n">
        <v>7155</v>
      </c>
      <c r="B560" s="296" t="s">
        <v>1679</v>
      </c>
      <c r="C560" s="297" t="s">
        <v>2941</v>
      </c>
      <c r="D560" s="297" t="s">
        <v>1477</v>
      </c>
      <c r="E560" s="298" t="n">
        <v>3668.44899</v>
      </c>
      <c r="F560" s="299" t="n">
        <v>17.03</v>
      </c>
      <c r="G560" s="299" t="n">
        <f aca="false">VLOOKUP(A560,'INSUMOS SINAPI'!A:E,5,0)</f>
        <v>17.03</v>
      </c>
      <c r="H560" s="300" t="n">
        <f aca="false">F560-G560</f>
        <v>0</v>
      </c>
      <c r="I560" s="288"/>
    </row>
    <row r="561" customFormat="false" ht="31.5" hidden="false" customHeight="false" outlineLevel="0" collapsed="false">
      <c r="A561" s="295" t="n">
        <v>7156</v>
      </c>
      <c r="B561" s="296" t="s">
        <v>1585</v>
      </c>
      <c r="C561" s="297" t="s">
        <v>2941</v>
      </c>
      <c r="D561" s="297" t="s">
        <v>1477</v>
      </c>
      <c r="E561" s="298" t="n">
        <v>504.46632</v>
      </c>
      <c r="F561" s="299" t="n">
        <v>24.44</v>
      </c>
      <c r="G561" s="299" t="n">
        <f aca="false">VLOOKUP(A561,'INSUMOS SINAPI'!A:E,5,0)</f>
        <v>24.44</v>
      </c>
      <c r="H561" s="300" t="n">
        <f aca="false">F561-G561</f>
        <v>0</v>
      </c>
      <c r="I561" s="288"/>
    </row>
    <row r="562" customFormat="false" ht="31.5" hidden="false" customHeight="false" outlineLevel="0" collapsed="false">
      <c r="A562" s="295" t="n">
        <v>21141</v>
      </c>
      <c r="B562" s="296" t="s">
        <v>1693</v>
      </c>
      <c r="C562" s="297" t="s">
        <v>2941</v>
      </c>
      <c r="D562" s="297" t="s">
        <v>1477</v>
      </c>
      <c r="E562" s="298" t="n">
        <v>377.2272</v>
      </c>
      <c r="F562" s="299" t="n">
        <v>11.43</v>
      </c>
      <c r="G562" s="299" t="n">
        <f aca="false">VLOOKUP(A562,'INSUMOS SINAPI'!A:E,5,0)</f>
        <v>11.43</v>
      </c>
      <c r="H562" s="300" t="n">
        <f aca="false">F562-G562</f>
        <v>0</v>
      </c>
      <c r="I562" s="288"/>
    </row>
    <row r="563" customFormat="false" ht="21" hidden="false" customHeight="false" outlineLevel="0" collapsed="false">
      <c r="A563" s="295" t="n">
        <v>10932</v>
      </c>
      <c r="B563" s="296" t="s">
        <v>1605</v>
      </c>
      <c r="C563" s="297" t="s">
        <v>2941</v>
      </c>
      <c r="D563" s="297" t="s">
        <v>1477</v>
      </c>
      <c r="E563" s="298" t="n">
        <v>104.968464</v>
      </c>
      <c r="F563" s="299" t="n">
        <v>105.2</v>
      </c>
      <c r="G563" s="299" t="n">
        <f aca="false">VLOOKUP(A563,'INSUMOS SINAPI'!A:E,5,0)</f>
        <v>105.2</v>
      </c>
      <c r="H563" s="300" t="n">
        <f aca="false">F563-G563</f>
        <v>0</v>
      </c>
      <c r="I563" s="288" t="e">
        <f aca="false">IF(F563=VLOOKUP(A563,04_PESQUISAS!A:G,7,0),"OK","NÃO")</f>
        <v>#N/A</v>
      </c>
    </row>
    <row r="564" customFormat="false" ht="31.5" hidden="false" customHeight="false" outlineLevel="0" collapsed="false">
      <c r="A564" s="295" t="n">
        <v>10937</v>
      </c>
      <c r="B564" s="296" t="s">
        <v>1808</v>
      </c>
      <c r="C564" s="297" t="s">
        <v>2941</v>
      </c>
      <c r="D564" s="297" t="s">
        <v>1477</v>
      </c>
      <c r="E564" s="298" t="n">
        <v>27.69264</v>
      </c>
      <c r="F564" s="299" t="n">
        <v>27.04</v>
      </c>
      <c r="G564" s="299" t="n">
        <f aca="false">VLOOKUP(A564,'INSUMOS SINAPI'!A:E,5,0)</f>
        <v>27.04</v>
      </c>
      <c r="H564" s="300" t="n">
        <f aca="false">F564-G564</f>
        <v>0</v>
      </c>
      <c r="I564" s="288"/>
    </row>
    <row r="565" customFormat="false" ht="21" hidden="false" customHeight="false" outlineLevel="0" collapsed="false">
      <c r="A565" s="295" t="n">
        <v>7194</v>
      </c>
      <c r="B565" s="296" t="s">
        <v>1550</v>
      </c>
      <c r="C565" s="297" t="s">
        <v>2941</v>
      </c>
      <c r="D565" s="297" t="s">
        <v>1477</v>
      </c>
      <c r="E565" s="298" t="n">
        <v>116.325</v>
      </c>
      <c r="F565" s="299" t="n">
        <v>28.91</v>
      </c>
      <c r="G565" s="299" t="n">
        <f aca="false">VLOOKUP(A565,'INSUMOS SINAPI'!A:E,5,0)</f>
        <v>28.91</v>
      </c>
      <c r="H565" s="300" t="n">
        <f aca="false">F565-G565</f>
        <v>0</v>
      </c>
      <c r="I565" s="288"/>
    </row>
    <row r="566" customFormat="false" ht="52.5" hidden="false" customHeight="false" outlineLevel="0" collapsed="false">
      <c r="A566" s="295" t="n">
        <v>40740</v>
      </c>
      <c r="B566" s="296" t="s">
        <v>1896</v>
      </c>
      <c r="C566" s="297" t="s">
        <v>2941</v>
      </c>
      <c r="D566" s="297" t="s">
        <v>1477</v>
      </c>
      <c r="E566" s="298" t="n">
        <v>1174.52394</v>
      </c>
      <c r="F566" s="299" t="n">
        <v>118.82</v>
      </c>
      <c r="G566" s="299" t="n">
        <f aca="false">VLOOKUP(A566,'INSUMOS SINAPI'!A:E,5,0)</f>
        <v>118.82</v>
      </c>
      <c r="H566" s="300" t="n">
        <f aca="false">F566-G566</f>
        <v>0</v>
      </c>
      <c r="I566" s="288"/>
    </row>
    <row r="567" customFormat="false" ht="31.5" hidden="false" customHeight="false" outlineLevel="0" collapsed="false">
      <c r="A567" s="295" t="n">
        <v>7243</v>
      </c>
      <c r="B567" s="296" t="s">
        <v>1898</v>
      </c>
      <c r="C567" s="297" t="s">
        <v>2941</v>
      </c>
      <c r="D567" s="297" t="s">
        <v>1477</v>
      </c>
      <c r="E567" s="298" t="n">
        <v>129.7175</v>
      </c>
      <c r="F567" s="299" t="n">
        <v>35.53</v>
      </c>
      <c r="G567" s="299" t="n">
        <f aca="false">VLOOKUP(A567,'INSUMOS SINAPI'!A:E,5,0)</f>
        <v>35.53</v>
      </c>
      <c r="H567" s="300" t="n">
        <f aca="false">F567-G567</f>
        <v>0</v>
      </c>
      <c r="I567" s="288"/>
    </row>
    <row r="568" customFormat="false" ht="21" hidden="false" customHeight="false" outlineLevel="0" collapsed="false">
      <c r="A568" s="295" t="n">
        <v>1581</v>
      </c>
      <c r="B568" s="296" t="s">
        <v>2489</v>
      </c>
      <c r="C568" s="297" t="s">
        <v>2941</v>
      </c>
      <c r="D568" s="297" t="s">
        <v>31</v>
      </c>
      <c r="E568" s="298" t="n">
        <v>6</v>
      </c>
      <c r="F568" s="299" t="n">
        <v>12.21</v>
      </c>
      <c r="G568" s="299" t="n">
        <f aca="false">VLOOKUP(A568,'INSUMOS SINAPI'!A:E,5,0)</f>
        <v>12.21</v>
      </c>
      <c r="H568" s="300" t="n">
        <f aca="false">F568-G568</f>
        <v>0</v>
      </c>
      <c r="I568" s="288"/>
    </row>
    <row r="569" customFormat="false" ht="21" hidden="false" customHeight="false" outlineLevel="0" collapsed="false">
      <c r="A569" s="295" t="n">
        <v>1575</v>
      </c>
      <c r="B569" s="296" t="s">
        <v>2481</v>
      </c>
      <c r="C569" s="297" t="s">
        <v>2941</v>
      </c>
      <c r="D569" s="297" t="s">
        <v>31</v>
      </c>
      <c r="E569" s="298" t="n">
        <v>53</v>
      </c>
      <c r="F569" s="299" t="n">
        <v>2.09</v>
      </c>
      <c r="G569" s="299" t="n">
        <f aca="false">VLOOKUP(A569,'INSUMOS SINAPI'!A:E,5,0)</f>
        <v>2.09</v>
      </c>
      <c r="H569" s="300" t="n">
        <f aca="false">F569-G569</f>
        <v>0</v>
      </c>
      <c r="I569" s="288"/>
    </row>
    <row r="570" customFormat="false" ht="21" hidden="false" customHeight="false" outlineLevel="0" collapsed="false">
      <c r="A570" s="295" t="n">
        <v>1570</v>
      </c>
      <c r="B570" s="296" t="s">
        <v>2474</v>
      </c>
      <c r="C570" s="297" t="s">
        <v>2941</v>
      </c>
      <c r="D570" s="297" t="s">
        <v>31</v>
      </c>
      <c r="E570" s="298" t="n">
        <v>625</v>
      </c>
      <c r="F570" s="299" t="n">
        <v>1.05</v>
      </c>
      <c r="G570" s="299" t="n">
        <f aca="false">VLOOKUP(A570,'INSUMOS SINAPI'!A:E,5,0)</f>
        <v>1.05</v>
      </c>
      <c r="H570" s="300" t="n">
        <f aca="false">F570-G570</f>
        <v>0</v>
      </c>
      <c r="I570" s="288"/>
    </row>
    <row r="571" customFormat="false" ht="21" hidden="false" customHeight="false" outlineLevel="0" collapsed="false">
      <c r="A571" s="295" t="n">
        <v>1571</v>
      </c>
      <c r="B571" s="296" t="s">
        <v>2477</v>
      </c>
      <c r="C571" s="297" t="s">
        <v>2941</v>
      </c>
      <c r="D571" s="297" t="s">
        <v>31</v>
      </c>
      <c r="E571" s="298" t="n">
        <v>41</v>
      </c>
      <c r="F571" s="299" t="n">
        <v>1.36</v>
      </c>
      <c r="G571" s="299" t="n">
        <f aca="false">VLOOKUP(A571,'INSUMOS SINAPI'!A:E,5,0)</f>
        <v>1.36</v>
      </c>
      <c r="H571" s="300" t="n">
        <f aca="false">F571-G571</f>
        <v>0</v>
      </c>
      <c r="I571" s="288"/>
    </row>
    <row r="572" customFormat="false" ht="21" hidden="false" customHeight="false" outlineLevel="0" collapsed="false">
      <c r="A572" s="295" t="n">
        <v>1578</v>
      </c>
      <c r="B572" s="296" t="s">
        <v>2486</v>
      </c>
      <c r="C572" s="297" t="s">
        <v>2941</v>
      </c>
      <c r="D572" s="297" t="s">
        <v>31</v>
      </c>
      <c r="E572" s="298" t="n">
        <v>6</v>
      </c>
      <c r="F572" s="299" t="n">
        <v>5.66</v>
      </c>
      <c r="G572" s="299" t="n">
        <f aca="false">VLOOKUP(A572,'INSUMOS SINAPI'!A:E,5,0)</f>
        <v>5.66</v>
      </c>
      <c r="H572" s="300" t="n">
        <f aca="false">F572-G572</f>
        <v>0</v>
      </c>
      <c r="I572" s="288"/>
    </row>
    <row r="573" customFormat="false" ht="21" hidden="false" customHeight="false" outlineLevel="0" collapsed="false">
      <c r="A573" s="295" t="n">
        <v>1579</v>
      </c>
      <c r="B573" s="296" t="s">
        <v>2494</v>
      </c>
      <c r="C573" s="297" t="s">
        <v>2941</v>
      </c>
      <c r="D573" s="297" t="s">
        <v>31</v>
      </c>
      <c r="E573" s="298" t="n">
        <v>8</v>
      </c>
      <c r="F573" s="299" t="n">
        <v>7.05</v>
      </c>
      <c r="G573" s="299" t="n">
        <f aca="false">VLOOKUP(A573,'INSUMOS SINAPI'!A:E,5,0)</f>
        <v>7.05</v>
      </c>
      <c r="H573" s="300" t="n">
        <f aca="false">F573-G573</f>
        <v>0</v>
      </c>
      <c r="I573" s="288"/>
    </row>
    <row r="574" customFormat="false" ht="15" hidden="false" customHeight="false" outlineLevel="0" collapsed="false">
      <c r="A574" s="295" t="n">
        <v>39319</v>
      </c>
      <c r="B574" s="296" t="s">
        <v>2266</v>
      </c>
      <c r="C574" s="297" t="s">
        <v>2941</v>
      </c>
      <c r="D574" s="297" t="s">
        <v>31</v>
      </c>
      <c r="E574" s="298" t="n">
        <v>8</v>
      </c>
      <c r="F574" s="299" t="n">
        <v>9.7</v>
      </c>
      <c r="G574" s="299" t="n">
        <f aca="false">VLOOKUP(A574,'INSUMOS SINAPI'!A:E,5,0)</f>
        <v>9.7</v>
      </c>
      <c r="H574" s="300" t="n">
        <f aca="false">F574-G574</f>
        <v>0</v>
      </c>
      <c r="I574" s="288"/>
    </row>
    <row r="575" customFormat="false" ht="15" hidden="false" customHeight="false" outlineLevel="0" collapsed="false">
      <c r="A575" s="295" t="n">
        <v>39320</v>
      </c>
      <c r="B575" s="296" t="s">
        <v>2268</v>
      </c>
      <c r="C575" s="297" t="s">
        <v>2941</v>
      </c>
      <c r="D575" s="297" t="s">
        <v>31</v>
      </c>
      <c r="E575" s="298" t="n">
        <v>3</v>
      </c>
      <c r="F575" s="299" t="n">
        <v>18.65</v>
      </c>
      <c r="G575" s="299" t="n">
        <f aca="false">VLOOKUP(A575,'INSUMOS SINAPI'!A:E,5,0)</f>
        <v>18.65</v>
      </c>
      <c r="H575" s="300" t="n">
        <f aca="false">F575-G575</f>
        <v>0</v>
      </c>
      <c r="I575" s="288"/>
    </row>
    <row r="576" customFormat="false" ht="15" hidden="false" customHeight="false" outlineLevel="0" collapsed="false">
      <c r="A576" s="295" t="n">
        <v>7253</v>
      </c>
      <c r="B576" s="296" t="s">
        <v>2886</v>
      </c>
      <c r="C576" s="297" t="s">
        <v>2941</v>
      </c>
      <c r="D576" s="297" t="s">
        <v>1442</v>
      </c>
      <c r="E576" s="298" t="n">
        <v>40.4514</v>
      </c>
      <c r="F576" s="299" t="n">
        <v>263.57</v>
      </c>
      <c r="G576" s="299" t="n">
        <f aca="false">VLOOKUP(A576,'INSUMOS SINAPI'!A:E,5,0)</f>
        <v>263.57</v>
      </c>
      <c r="H576" s="300" t="n">
        <f aca="false">F576-G576</f>
        <v>0</v>
      </c>
      <c r="I576" s="288"/>
    </row>
    <row r="577" customFormat="false" ht="15" hidden="false" customHeight="false" outlineLevel="0" collapsed="false">
      <c r="A577" s="295" t="s">
        <v>1977</v>
      </c>
      <c r="B577" s="296" t="s">
        <v>1978</v>
      </c>
      <c r="C577" s="297" t="s">
        <v>2941</v>
      </c>
      <c r="D577" s="297" t="s">
        <v>1513</v>
      </c>
      <c r="E577" s="298" t="n">
        <v>7561.854</v>
      </c>
      <c r="F577" s="299" t="n">
        <v>6.15840579710145</v>
      </c>
      <c r="G577" s="299" t="e">
        <f aca="false">VLOOKUP(A577,'INSUMOS SINAPI'!A:E,5,0)</f>
        <v>#N/A</v>
      </c>
      <c r="H577" s="300" t="e">
        <f aca="false">F577-G577</f>
        <v>#N/A</v>
      </c>
      <c r="I577" s="288" t="str">
        <f aca="false">IF(F577=VLOOKUP(A577,04_PESQUISAS!A:G,7,0),"OK","NÃO")</f>
        <v>OK</v>
      </c>
    </row>
    <row r="578" customFormat="false" ht="15" hidden="false" customHeight="false" outlineLevel="0" collapsed="false">
      <c r="A578" s="295" t="n">
        <v>7258</v>
      </c>
      <c r="B578" s="296" t="s">
        <v>2682</v>
      </c>
      <c r="C578" s="297" t="s">
        <v>2941</v>
      </c>
      <c r="D578" s="297" t="s">
        <v>31</v>
      </c>
      <c r="E578" s="298" t="n">
        <v>101</v>
      </c>
      <c r="F578" s="299" t="n">
        <v>0.73</v>
      </c>
      <c r="G578" s="299" t="n">
        <f aca="false">VLOOKUP(A578,'INSUMOS SINAPI'!A:E,5,0)</f>
        <v>0.73</v>
      </c>
      <c r="H578" s="300" t="n">
        <f aca="false">F578-G578</f>
        <v>0</v>
      </c>
      <c r="I578" s="288"/>
    </row>
    <row r="579" customFormat="false" ht="15" hidden="false" customHeight="false" outlineLevel="0" collapsed="false">
      <c r="A579" s="295" t="n">
        <v>7348</v>
      </c>
      <c r="B579" s="296" t="s">
        <v>1919</v>
      </c>
      <c r="C579" s="297" t="s">
        <v>2941</v>
      </c>
      <c r="D579" s="297" t="s">
        <v>1452</v>
      </c>
      <c r="E579" s="298" t="n">
        <v>12.77952</v>
      </c>
      <c r="F579" s="299" t="n">
        <v>21.19</v>
      </c>
      <c r="G579" s="299" t="n">
        <f aca="false">VLOOKUP(A579,'INSUMOS SINAPI'!A:E,5,0)</f>
        <v>21.19</v>
      </c>
      <c r="H579" s="300" t="n">
        <f aca="false">F579-G579</f>
        <v>0</v>
      </c>
      <c r="I579" s="288"/>
    </row>
    <row r="580" customFormat="false" ht="21" hidden="false" customHeight="false" outlineLevel="0" collapsed="false">
      <c r="A580" s="295" t="n">
        <v>7319</v>
      </c>
      <c r="B580" s="296" t="s">
        <v>1850</v>
      </c>
      <c r="C580" s="297" t="s">
        <v>2941</v>
      </c>
      <c r="D580" s="297" t="s">
        <v>1452</v>
      </c>
      <c r="E580" s="298" t="n">
        <v>13.5351</v>
      </c>
      <c r="F580" s="299" t="n">
        <v>10.62</v>
      </c>
      <c r="G580" s="299" t="n">
        <f aca="false">VLOOKUP(A580,'INSUMOS SINAPI'!A:E,5,0)</f>
        <v>10.62</v>
      </c>
      <c r="H580" s="300" t="n">
        <f aca="false">F580-G580</f>
        <v>0</v>
      </c>
      <c r="I580" s="288"/>
    </row>
    <row r="581" customFormat="false" ht="15" hidden="false" customHeight="false" outlineLevel="0" collapsed="false">
      <c r="A581" s="295" t="n">
        <v>7304</v>
      </c>
      <c r="B581" s="296" t="s">
        <v>1960</v>
      </c>
      <c r="C581" s="297" t="s">
        <v>2941</v>
      </c>
      <c r="D581" s="297" t="s">
        <v>1452</v>
      </c>
      <c r="E581" s="298" t="n">
        <v>37.86076</v>
      </c>
      <c r="F581" s="299" t="n">
        <v>82.87</v>
      </c>
      <c r="G581" s="299" t="n">
        <f aca="false">VLOOKUP(A581,'INSUMOS SINAPI'!A:E,5,0)</f>
        <v>82.87</v>
      </c>
      <c r="H581" s="300" t="n">
        <f aca="false">F581-G581</f>
        <v>0</v>
      </c>
      <c r="I581" s="288"/>
    </row>
    <row r="582" customFormat="false" ht="15" hidden="false" customHeight="false" outlineLevel="0" collapsed="false">
      <c r="A582" s="295" t="n">
        <v>43649</v>
      </c>
      <c r="B582" s="296" t="s">
        <v>1999</v>
      </c>
      <c r="C582" s="297" t="s">
        <v>2941</v>
      </c>
      <c r="D582" s="297" t="s">
        <v>1452</v>
      </c>
      <c r="E582" s="298" t="n">
        <v>2.238984</v>
      </c>
      <c r="F582" s="299" t="n">
        <v>42.86</v>
      </c>
      <c r="G582" s="299" t="n">
        <f aca="false">VLOOKUP(A582,'INSUMOS SINAPI'!A:E,5,0)</f>
        <v>42.86</v>
      </c>
      <c r="H582" s="300" t="n">
        <f aca="false">F582-G582</f>
        <v>0</v>
      </c>
      <c r="I582" s="288"/>
    </row>
    <row r="583" customFormat="false" ht="15" hidden="false" customHeight="false" outlineLevel="0" collapsed="false">
      <c r="A583" s="295" t="n">
        <v>7311</v>
      </c>
      <c r="B583" s="296" t="s">
        <v>1881</v>
      </c>
      <c r="C583" s="297" t="s">
        <v>2941</v>
      </c>
      <c r="D583" s="297" t="s">
        <v>1452</v>
      </c>
      <c r="E583" s="298" t="n">
        <v>99.523368</v>
      </c>
      <c r="F583" s="299" t="n">
        <v>41.49</v>
      </c>
      <c r="G583" s="299" t="n">
        <f aca="false">VLOOKUP(A583,'INSUMOS SINAPI'!A:E,5,0)</f>
        <v>41.49</v>
      </c>
      <c r="H583" s="300" t="n">
        <f aca="false">F583-G583</f>
        <v>0</v>
      </c>
      <c r="I583" s="288"/>
    </row>
    <row r="584" customFormat="false" ht="21" hidden="false" customHeight="false" outlineLevel="0" collapsed="false">
      <c r="A584" s="295" t="s">
        <v>1974</v>
      </c>
      <c r="B584" s="296" t="s">
        <v>1975</v>
      </c>
      <c r="C584" s="297" t="s">
        <v>2941</v>
      </c>
      <c r="D584" s="297" t="s">
        <v>1452</v>
      </c>
      <c r="E584" s="298" t="n">
        <v>917.71541</v>
      </c>
      <c r="F584" s="299" t="n">
        <v>34.8364814814815</v>
      </c>
      <c r="G584" s="299" t="e">
        <f aca="false">VLOOKUP(A584,'INSUMOS SINAPI'!A:E,5,0)</f>
        <v>#N/A</v>
      </c>
      <c r="H584" s="300" t="e">
        <f aca="false">F584-G584</f>
        <v>#N/A</v>
      </c>
      <c r="I584" s="288" t="str">
        <f aca="false">IF(F584=VLOOKUP(A584,04_PESQUISAS!A:G,7,0),"OK","NÃO")</f>
        <v>OK</v>
      </c>
    </row>
    <row r="585" customFormat="false" ht="15" hidden="false" customHeight="false" outlineLevel="0" collapsed="false">
      <c r="A585" s="295" t="n">
        <v>7356</v>
      </c>
      <c r="B585" s="296" t="s">
        <v>1596</v>
      </c>
      <c r="C585" s="297" t="s">
        <v>2941</v>
      </c>
      <c r="D585" s="297" t="s">
        <v>1452</v>
      </c>
      <c r="E585" s="298" t="n">
        <v>6.4</v>
      </c>
      <c r="F585" s="299" t="n">
        <v>31.59</v>
      </c>
      <c r="G585" s="299" t="n">
        <f aca="false">VLOOKUP(A585,'INSUMOS SINAPI'!A:E,5,0)</f>
        <v>31.59</v>
      </c>
      <c r="H585" s="300" t="n">
        <f aca="false">F585-G585</f>
        <v>0</v>
      </c>
      <c r="I585" s="288"/>
    </row>
    <row r="586" customFormat="false" ht="21" hidden="false" customHeight="false" outlineLevel="0" collapsed="false">
      <c r="A586" s="295" t="n">
        <v>37401</v>
      </c>
      <c r="B586" s="296" t="s">
        <v>2050</v>
      </c>
      <c r="C586" s="297" t="s">
        <v>2941</v>
      </c>
      <c r="D586" s="297" t="s">
        <v>31</v>
      </c>
      <c r="E586" s="298" t="n">
        <v>26</v>
      </c>
      <c r="F586" s="299" t="n">
        <v>100.36</v>
      </c>
      <c r="G586" s="299" t="n">
        <f aca="false">VLOOKUP(A586,'INSUMOS SINAPI'!A:E,5,0)</f>
        <v>100.36</v>
      </c>
      <c r="H586" s="300" t="n">
        <f aca="false">F586-G586</f>
        <v>0</v>
      </c>
      <c r="I586" s="288"/>
    </row>
    <row r="587" customFormat="false" ht="15" hidden="false" customHeight="false" outlineLevel="0" collapsed="false">
      <c r="A587" s="295" t="n">
        <v>38101</v>
      </c>
      <c r="B587" s="296" t="s">
        <v>1551</v>
      </c>
      <c r="C587" s="297" t="s">
        <v>2941</v>
      </c>
      <c r="D587" s="297" t="s">
        <v>31</v>
      </c>
      <c r="E587" s="298" t="n">
        <v>544</v>
      </c>
      <c r="F587" s="299" t="n">
        <v>7.03</v>
      </c>
      <c r="G587" s="299" t="n">
        <f aca="false">VLOOKUP(A587,'INSUMOS SINAPI'!A:E,5,0)</f>
        <v>7.03</v>
      </c>
      <c r="H587" s="300" t="n">
        <f aca="false">F587-G587</f>
        <v>0</v>
      </c>
      <c r="I587" s="288"/>
    </row>
    <row r="588" customFormat="false" ht="15" hidden="false" customHeight="false" outlineLevel="0" collapsed="false">
      <c r="A588" s="295" t="n">
        <v>38102</v>
      </c>
      <c r="B588" s="296" t="s">
        <v>1552</v>
      </c>
      <c r="C588" s="297" t="s">
        <v>2941</v>
      </c>
      <c r="D588" s="297" t="s">
        <v>31</v>
      </c>
      <c r="E588" s="298" t="n">
        <v>10</v>
      </c>
      <c r="F588" s="299" t="n">
        <v>8.99</v>
      </c>
      <c r="G588" s="299" t="n">
        <f aca="false">VLOOKUP(A588,'INSUMOS SINAPI'!A:E,5,0)</f>
        <v>8.99</v>
      </c>
      <c r="H588" s="300" t="n">
        <f aca="false">F588-G588</f>
        <v>0</v>
      </c>
      <c r="I588" s="288"/>
    </row>
    <row r="589" customFormat="false" ht="15" hidden="false" customHeight="false" outlineLevel="0" collapsed="false">
      <c r="A589" s="295" t="s">
        <v>2564</v>
      </c>
      <c r="B589" s="296" t="s">
        <v>2565</v>
      </c>
      <c r="C589" s="297" t="s">
        <v>2941</v>
      </c>
      <c r="D589" s="297" t="s">
        <v>31</v>
      </c>
      <c r="E589" s="298" t="n">
        <v>140</v>
      </c>
      <c r="F589" s="299" t="n">
        <v>29.1366666666667</v>
      </c>
      <c r="G589" s="299" t="e">
        <f aca="false">VLOOKUP(A589,'INSUMOS SINAPI'!A:E,5,0)</f>
        <v>#N/A</v>
      </c>
      <c r="H589" s="300" t="e">
        <f aca="false">F589-G589</f>
        <v>#N/A</v>
      </c>
      <c r="I589" s="288" t="str">
        <f aca="false">IF(F589=VLOOKUP(A589,04_PESQUISAS!A:G,7,0),"OK","NÃO")</f>
        <v>OK</v>
      </c>
    </row>
    <row r="590" customFormat="false" ht="15" hidden="false" customHeight="false" outlineLevel="0" collapsed="false">
      <c r="A590" s="295" t="s">
        <v>2467</v>
      </c>
      <c r="B590" s="296" t="s">
        <v>2468</v>
      </c>
      <c r="C590" s="297" t="s">
        <v>2941</v>
      </c>
      <c r="D590" s="297" t="s">
        <v>31</v>
      </c>
      <c r="E590" s="298" t="n">
        <v>5</v>
      </c>
      <c r="F590" s="299" t="n">
        <v>55.6533333333333</v>
      </c>
      <c r="G590" s="299" t="e">
        <f aca="false">VLOOKUP(A590,'INSUMOS SINAPI'!A:E,5,0)</f>
        <v>#N/A</v>
      </c>
      <c r="H590" s="300" t="e">
        <f aca="false">F590-G590</f>
        <v>#N/A</v>
      </c>
      <c r="I590" s="288" t="str">
        <f aca="false">IF(F590=VLOOKUP(A590,04_PESQUISAS!A:G,7,0),"OK","NÃO")</f>
        <v>OK</v>
      </c>
    </row>
    <row r="591" customFormat="false" ht="21" hidden="false" customHeight="false" outlineLevel="0" collapsed="false">
      <c r="A591" s="295" t="s">
        <v>2057</v>
      </c>
      <c r="B591" s="296" t="s">
        <v>2058</v>
      </c>
      <c r="C591" s="297" t="s">
        <v>2941</v>
      </c>
      <c r="D591" s="297" t="s">
        <v>31</v>
      </c>
      <c r="E591" s="298" t="n">
        <v>4</v>
      </c>
      <c r="F591" s="299" t="n">
        <v>174.333333333333</v>
      </c>
      <c r="G591" s="299" t="e">
        <f aca="false">VLOOKUP(A591,'INSUMOS SINAPI'!A:E,5,0)</f>
        <v>#N/A</v>
      </c>
      <c r="H591" s="300" t="e">
        <f aca="false">F591-G591</f>
        <v>#N/A</v>
      </c>
      <c r="I591" s="288" t="str">
        <f aca="false">IF(F591=VLOOKUP(A591,04_PESQUISAS!A:G,7,0),"OK","NÃO")</f>
        <v>OK</v>
      </c>
    </row>
    <row r="592" customFormat="false" ht="21" hidden="false" customHeight="false" outlineLevel="0" collapsed="false">
      <c r="A592" s="295" t="n">
        <v>13417</v>
      </c>
      <c r="B592" s="296" t="s">
        <v>2083</v>
      </c>
      <c r="C592" s="297" t="s">
        <v>2941</v>
      </c>
      <c r="D592" s="297" t="s">
        <v>31</v>
      </c>
      <c r="E592" s="298" t="n">
        <v>25</v>
      </c>
      <c r="F592" s="299" t="n">
        <v>107.97</v>
      </c>
      <c r="G592" s="299" t="n">
        <f aca="false">VLOOKUP(A592,'INSUMOS SINAPI'!A:E,5,0)</f>
        <v>107.97</v>
      </c>
      <c r="H592" s="300" t="n">
        <f aca="false">F592-G592</f>
        <v>0</v>
      </c>
      <c r="I592" s="288"/>
    </row>
    <row r="593" customFormat="false" ht="21" hidden="false" customHeight="false" outlineLevel="0" collapsed="false">
      <c r="A593" s="295" t="n">
        <v>36796</v>
      </c>
      <c r="B593" s="296" t="s">
        <v>2039</v>
      </c>
      <c r="C593" s="297" t="s">
        <v>2941</v>
      </c>
      <c r="D593" s="297" t="s">
        <v>31</v>
      </c>
      <c r="E593" s="298" t="n">
        <v>24</v>
      </c>
      <c r="F593" s="299" t="n">
        <v>170.26</v>
      </c>
      <c r="G593" s="299" t="n">
        <f aca="false">VLOOKUP(A593,'INSUMOS SINAPI'!A:E,5,0)</f>
        <v>170.26</v>
      </c>
      <c r="H593" s="300" t="n">
        <f aca="false">F593-G593</f>
        <v>0</v>
      </c>
      <c r="I593" s="288"/>
    </row>
    <row r="594" customFormat="false" ht="31.5" hidden="false" customHeight="false" outlineLevel="0" collapsed="false">
      <c r="A594" s="295" t="n">
        <v>7604</v>
      </c>
      <c r="B594" s="296" t="s">
        <v>2081</v>
      </c>
      <c r="C594" s="297" t="s">
        <v>2941</v>
      </c>
      <c r="D594" s="297" t="s">
        <v>31</v>
      </c>
      <c r="E594" s="298" t="n">
        <v>2</v>
      </c>
      <c r="F594" s="299" t="n">
        <v>57.66</v>
      </c>
      <c r="G594" s="299" t="n">
        <f aca="false">VLOOKUP(A594,'INSUMOS SINAPI'!A:E,5,0)</f>
        <v>57.66</v>
      </c>
      <c r="H594" s="300" t="n">
        <f aca="false">F594-G594</f>
        <v>0</v>
      </c>
      <c r="I594" s="288"/>
    </row>
    <row r="595" customFormat="false" ht="21" hidden="false" customHeight="false" outlineLevel="0" collapsed="false">
      <c r="A595" s="295" t="n">
        <v>11772</v>
      </c>
      <c r="B595" s="296" t="s">
        <v>2078</v>
      </c>
      <c r="C595" s="297" t="s">
        <v>2941</v>
      </c>
      <c r="D595" s="297" t="s">
        <v>31</v>
      </c>
      <c r="E595" s="298" t="n">
        <v>5</v>
      </c>
      <c r="F595" s="299" t="n">
        <v>144.02</v>
      </c>
      <c r="G595" s="299" t="n">
        <f aca="false">VLOOKUP(A595,'INSUMOS SINAPI'!A:E,5,0)</f>
        <v>144.02</v>
      </c>
      <c r="H595" s="300" t="n">
        <f aca="false">F595-G595</f>
        <v>0</v>
      </c>
      <c r="I595" s="288"/>
    </row>
    <row r="596" customFormat="false" ht="31.5" hidden="false" customHeight="false" outlineLevel="0" collapsed="false">
      <c r="A596" s="295" t="n">
        <v>42407</v>
      </c>
      <c r="B596" s="296" t="s">
        <v>1586</v>
      </c>
      <c r="C596" s="297" t="s">
        <v>2941</v>
      </c>
      <c r="D596" s="297" t="s">
        <v>1455</v>
      </c>
      <c r="E596" s="298" t="n">
        <v>3487.527853</v>
      </c>
      <c r="F596" s="299" t="n">
        <v>5.57</v>
      </c>
      <c r="G596" s="299" t="n">
        <f aca="false">VLOOKUP(A596,'INSUMOS SINAPI'!A:E,5,0)</f>
        <v>5.57</v>
      </c>
      <c r="H596" s="300" t="n">
        <f aca="false">F596-G596</f>
        <v>0</v>
      </c>
      <c r="I596" s="288" t="e">
        <f aca="false">IF(F596=VLOOKUP(A596,04_PESQUISAS!A:G,7,0),"OK","NÃO")</f>
        <v>#N/A</v>
      </c>
    </row>
    <row r="597" customFormat="false" ht="31.5" hidden="false" customHeight="false" outlineLevel="0" collapsed="false">
      <c r="A597" s="295" t="n">
        <v>11581</v>
      </c>
      <c r="B597" s="296" t="s">
        <v>1857</v>
      </c>
      <c r="C597" s="297" t="s">
        <v>2941</v>
      </c>
      <c r="D597" s="297" t="s">
        <v>1455</v>
      </c>
      <c r="E597" s="298" t="n">
        <v>6.4</v>
      </c>
      <c r="F597" s="299" t="n">
        <v>23.68</v>
      </c>
      <c r="G597" s="299" t="n">
        <f aca="false">VLOOKUP(A597,'INSUMOS SINAPI'!A:E,5,0)</f>
        <v>23.68</v>
      </c>
      <c r="H597" s="300" t="n">
        <f aca="false">F597-G597</f>
        <v>0</v>
      </c>
      <c r="I597" s="288"/>
    </row>
    <row r="598" customFormat="false" ht="21" hidden="false" customHeight="false" outlineLevel="0" collapsed="false">
      <c r="A598" s="295" t="n">
        <v>21011</v>
      </c>
      <c r="B598" s="296" t="s">
        <v>1816</v>
      </c>
      <c r="C598" s="297" t="s">
        <v>2941</v>
      </c>
      <c r="D598" s="297" t="s">
        <v>1455</v>
      </c>
      <c r="E598" s="298" t="n">
        <v>165.33972</v>
      </c>
      <c r="F598" s="299" t="n">
        <v>47.95</v>
      </c>
      <c r="G598" s="299" t="n">
        <f aca="false">VLOOKUP(A598,'INSUMOS SINAPI'!A:E,5,0)</f>
        <v>0</v>
      </c>
      <c r="H598" s="300" t="n">
        <f aca="false">F598-G598</f>
        <v>47.95</v>
      </c>
      <c r="I598" s="288"/>
    </row>
    <row r="599" customFormat="false" ht="21" hidden="false" customHeight="false" outlineLevel="0" collapsed="false">
      <c r="A599" s="295" t="n">
        <v>21012</v>
      </c>
      <c r="B599" s="296" t="s">
        <v>1819</v>
      </c>
      <c r="C599" s="297" t="s">
        <v>2941</v>
      </c>
      <c r="D599" s="297" t="s">
        <v>1455</v>
      </c>
      <c r="E599" s="298" t="n">
        <v>11.565</v>
      </c>
      <c r="F599" s="299" t="n">
        <v>52.99</v>
      </c>
      <c r="G599" s="299" t="n">
        <f aca="false">VLOOKUP(A599,'INSUMOS SINAPI'!A:E,5,0)</f>
        <v>0</v>
      </c>
      <c r="H599" s="300" t="n">
        <f aca="false">F599-G599</f>
        <v>52.99</v>
      </c>
      <c r="I599" s="288"/>
    </row>
    <row r="600" customFormat="false" ht="21" hidden="false" customHeight="false" outlineLevel="0" collapsed="false">
      <c r="A600" s="295" t="n">
        <v>21013</v>
      </c>
      <c r="B600" s="296" t="s">
        <v>1820</v>
      </c>
      <c r="C600" s="297" t="s">
        <v>2941</v>
      </c>
      <c r="D600" s="297" t="s">
        <v>1455</v>
      </c>
      <c r="E600" s="298" t="n">
        <v>13.22265</v>
      </c>
      <c r="F600" s="299" t="n">
        <v>69.15</v>
      </c>
      <c r="G600" s="299" t="n">
        <f aca="false">VLOOKUP(A600,'INSUMOS SINAPI'!A:E,5,0)</f>
        <v>0</v>
      </c>
      <c r="H600" s="300" t="n">
        <f aca="false">F600-G600</f>
        <v>69.15</v>
      </c>
      <c r="I600" s="288"/>
    </row>
    <row r="601" customFormat="false" ht="21" hidden="false" customHeight="false" outlineLevel="0" collapsed="false">
      <c r="A601" s="295" t="n">
        <v>7696</v>
      </c>
      <c r="B601" s="296" t="s">
        <v>1606</v>
      </c>
      <c r="C601" s="297" t="s">
        <v>2941</v>
      </c>
      <c r="D601" s="297" t="s">
        <v>1455</v>
      </c>
      <c r="E601" s="298" t="n">
        <v>83.53856</v>
      </c>
      <c r="F601" s="299" t="n">
        <v>76.49</v>
      </c>
      <c r="G601" s="299" t="n">
        <f aca="false">VLOOKUP(A601,'INSUMOS SINAPI'!A:E,5,0)</f>
        <v>0</v>
      </c>
      <c r="H601" s="300" t="n">
        <f aca="false">F601-G601</f>
        <v>76.49</v>
      </c>
      <c r="I601" s="288" t="e">
        <f aca="false">IF(F601=VLOOKUP(A601,04_PESQUISAS!A:G,7,0),"OK","NÃO")</f>
        <v>#N/A</v>
      </c>
    </row>
    <row r="602" customFormat="false" ht="21" hidden="false" customHeight="false" outlineLevel="0" collapsed="false">
      <c r="A602" s="295" t="n">
        <v>7701</v>
      </c>
      <c r="B602" s="296" t="s">
        <v>2722</v>
      </c>
      <c r="C602" s="297" t="s">
        <v>2941</v>
      </c>
      <c r="D602" s="297" t="s">
        <v>1455</v>
      </c>
      <c r="E602" s="298" t="n">
        <v>88.5228</v>
      </c>
      <c r="F602" s="299" t="n">
        <v>94.92</v>
      </c>
      <c r="G602" s="299" t="n">
        <f aca="false">VLOOKUP(A602,'INSUMOS SINAPI'!A:E,5,0)</f>
        <v>0</v>
      </c>
      <c r="H602" s="300" t="n">
        <f aca="false">F602-G602</f>
        <v>94.92</v>
      </c>
      <c r="I602" s="288" t="e">
        <f aca="false">IF(F602=VLOOKUP(A602,04_PESQUISAS!A:G,7,0),"OK","NÃO")</f>
        <v>#N/A</v>
      </c>
    </row>
    <row r="603" customFormat="false" ht="21" hidden="false" customHeight="false" outlineLevel="0" collapsed="false">
      <c r="A603" s="295" t="n">
        <v>7694</v>
      </c>
      <c r="B603" s="296" t="s">
        <v>2724</v>
      </c>
      <c r="C603" s="297" t="s">
        <v>2941</v>
      </c>
      <c r="D603" s="297" t="s">
        <v>1455</v>
      </c>
      <c r="E603" s="298" t="n">
        <v>8.0003</v>
      </c>
      <c r="F603" s="299" t="n">
        <v>127.73</v>
      </c>
      <c r="G603" s="299" t="n">
        <f aca="false">VLOOKUP(A603,'INSUMOS SINAPI'!A:E,5,0)</f>
        <v>0</v>
      </c>
      <c r="H603" s="300" t="n">
        <f aca="false">F603-G603</f>
        <v>127.73</v>
      </c>
      <c r="I603" s="288" t="e">
        <f aca="false">IF(F603=VLOOKUP(A603,04_PESQUISAS!A:G,7,0),"OK","NÃO")</f>
        <v>#N/A</v>
      </c>
    </row>
    <row r="604" customFormat="false" ht="42" hidden="false" customHeight="false" outlineLevel="0" collapsed="false">
      <c r="A604" s="295" t="n">
        <v>39737</v>
      </c>
      <c r="B604" s="296" t="s">
        <v>2812</v>
      </c>
      <c r="C604" s="297" t="s">
        <v>2941</v>
      </c>
      <c r="D604" s="297" t="s">
        <v>1455</v>
      </c>
      <c r="E604" s="298" t="n">
        <v>210.173013</v>
      </c>
      <c r="F604" s="299" t="n">
        <v>10.09</v>
      </c>
      <c r="G604" s="299" t="n">
        <f aca="false">VLOOKUP(A604,'INSUMOS SINAPI'!A:E,5,0)</f>
        <v>0</v>
      </c>
      <c r="H604" s="300" t="n">
        <f aca="false">F604-G604</f>
        <v>10.09</v>
      </c>
      <c r="I604" s="288"/>
    </row>
    <row r="605" customFormat="false" ht="42" hidden="false" customHeight="false" outlineLevel="0" collapsed="false">
      <c r="A605" s="295" t="n">
        <v>39738</v>
      </c>
      <c r="B605" s="296" t="s">
        <v>2815</v>
      </c>
      <c r="C605" s="297" t="s">
        <v>2941</v>
      </c>
      <c r="D605" s="297" t="s">
        <v>1455</v>
      </c>
      <c r="E605" s="298" t="n">
        <v>397.912459</v>
      </c>
      <c r="F605" s="299" t="n">
        <v>3.65</v>
      </c>
      <c r="G605" s="299" t="n">
        <f aca="false">VLOOKUP(A605,'INSUMOS SINAPI'!A:E,5,0)</f>
        <v>0</v>
      </c>
      <c r="H605" s="300" t="n">
        <f aca="false">F605-G605</f>
        <v>3.65</v>
      </c>
      <c r="I605" s="288"/>
    </row>
    <row r="606" customFormat="false" ht="42" hidden="false" customHeight="false" outlineLevel="0" collapsed="false">
      <c r="A606" s="295" t="n">
        <v>39741</v>
      </c>
      <c r="B606" s="296" t="s">
        <v>2818</v>
      </c>
      <c r="C606" s="297" t="s">
        <v>2941</v>
      </c>
      <c r="D606" s="297" t="s">
        <v>1455</v>
      </c>
      <c r="E606" s="298" t="n">
        <v>311.23128</v>
      </c>
      <c r="F606" s="299" t="n">
        <v>9.18</v>
      </c>
      <c r="G606" s="299" t="n">
        <f aca="false">VLOOKUP(A606,'INSUMOS SINAPI'!A:E,5,0)</f>
        <v>0</v>
      </c>
      <c r="H606" s="300" t="n">
        <f aca="false">F606-G606</f>
        <v>9.18</v>
      </c>
      <c r="I606" s="288"/>
    </row>
    <row r="607" customFormat="false" ht="42" hidden="false" customHeight="false" outlineLevel="0" collapsed="false">
      <c r="A607" s="295" t="n">
        <v>39853</v>
      </c>
      <c r="B607" s="296" t="s">
        <v>2821</v>
      </c>
      <c r="C607" s="297" t="s">
        <v>2941</v>
      </c>
      <c r="D607" s="297" t="s">
        <v>1455</v>
      </c>
      <c r="E607" s="298" t="n">
        <v>123.491834</v>
      </c>
      <c r="F607" s="299" t="n">
        <v>12.06</v>
      </c>
      <c r="G607" s="299" t="n">
        <f aca="false">VLOOKUP(A607,'INSUMOS SINAPI'!A:E,5,0)</f>
        <v>0</v>
      </c>
      <c r="H607" s="300" t="n">
        <f aca="false">F607-G607</f>
        <v>12.06</v>
      </c>
      <c r="I607" s="288"/>
    </row>
    <row r="608" customFormat="false" ht="21" hidden="false" customHeight="false" outlineLevel="0" collapsed="false">
      <c r="A608" s="295" t="n">
        <v>39660</v>
      </c>
      <c r="B608" s="296" t="s">
        <v>2813</v>
      </c>
      <c r="C608" s="297" t="s">
        <v>2941</v>
      </c>
      <c r="D608" s="297" t="s">
        <v>1455</v>
      </c>
      <c r="E608" s="298" t="n">
        <v>210.173013</v>
      </c>
      <c r="F608" s="299" t="n">
        <v>43</v>
      </c>
      <c r="G608" s="299" t="n">
        <f aca="false">VLOOKUP(A608,'INSUMOS SINAPI'!A:E,5,0)</f>
        <v>0</v>
      </c>
      <c r="H608" s="300" t="n">
        <f aca="false">F608-G608</f>
        <v>43</v>
      </c>
      <c r="I608" s="288"/>
    </row>
    <row r="609" customFormat="false" ht="21" hidden="false" customHeight="false" outlineLevel="0" collapsed="false">
      <c r="A609" s="295" t="n">
        <v>39662</v>
      </c>
      <c r="B609" s="296" t="s">
        <v>2816</v>
      </c>
      <c r="C609" s="297" t="s">
        <v>2941</v>
      </c>
      <c r="D609" s="297" t="s">
        <v>1455</v>
      </c>
      <c r="E609" s="298" t="n">
        <v>397.912459</v>
      </c>
      <c r="F609" s="299" t="n">
        <v>20.61</v>
      </c>
      <c r="G609" s="299" t="n">
        <f aca="false">VLOOKUP(A609,'INSUMOS SINAPI'!A:E,5,0)</f>
        <v>0</v>
      </c>
      <c r="H609" s="300" t="n">
        <f aca="false">F609-G609</f>
        <v>20.61</v>
      </c>
      <c r="I609" s="288"/>
    </row>
    <row r="610" customFormat="false" ht="21" hidden="false" customHeight="false" outlineLevel="0" collapsed="false">
      <c r="A610" s="295" t="n">
        <v>39664</v>
      </c>
      <c r="B610" s="296" t="s">
        <v>2819</v>
      </c>
      <c r="C610" s="297" t="s">
        <v>2941</v>
      </c>
      <c r="D610" s="297" t="s">
        <v>1455</v>
      </c>
      <c r="E610" s="298" t="n">
        <v>311.23128</v>
      </c>
      <c r="F610" s="299" t="n">
        <v>31.7</v>
      </c>
      <c r="G610" s="299" t="n">
        <f aca="false">VLOOKUP(A610,'INSUMOS SINAPI'!A:E,5,0)</f>
        <v>0</v>
      </c>
      <c r="H610" s="300" t="n">
        <f aca="false">F610-G610</f>
        <v>31.7</v>
      </c>
      <c r="I610" s="288"/>
    </row>
    <row r="611" customFormat="false" ht="21" hidden="false" customHeight="false" outlineLevel="0" collapsed="false">
      <c r="A611" s="295" t="n">
        <v>39665</v>
      </c>
      <c r="B611" s="296" t="s">
        <v>2822</v>
      </c>
      <c r="C611" s="297" t="s">
        <v>2941</v>
      </c>
      <c r="D611" s="297" t="s">
        <v>1455</v>
      </c>
      <c r="E611" s="298" t="n">
        <v>123.491834</v>
      </c>
      <c r="F611" s="299" t="n">
        <v>53.49</v>
      </c>
      <c r="G611" s="299" t="n">
        <f aca="false">VLOOKUP(A611,'INSUMOS SINAPI'!A:E,5,0)</f>
        <v>0</v>
      </c>
      <c r="H611" s="300" t="n">
        <f aca="false">F611-G611</f>
        <v>53.49</v>
      </c>
      <c r="I611" s="288"/>
    </row>
    <row r="612" customFormat="false" ht="21" hidden="false" customHeight="false" outlineLevel="0" collapsed="false">
      <c r="A612" s="295" t="n">
        <v>7725</v>
      </c>
      <c r="B612" s="296" t="s">
        <v>2113</v>
      </c>
      <c r="C612" s="297" t="s">
        <v>2941</v>
      </c>
      <c r="D612" s="297" t="s">
        <v>1455</v>
      </c>
      <c r="E612" s="298" t="n">
        <v>28</v>
      </c>
      <c r="F612" s="299" t="n">
        <v>244</v>
      </c>
      <c r="G612" s="299" t="n">
        <f aca="false">VLOOKUP(A612,'INSUMOS SINAPI'!A:E,5,0)</f>
        <v>0</v>
      </c>
      <c r="H612" s="300" t="n">
        <f aca="false">F612-G612</f>
        <v>244</v>
      </c>
      <c r="I612" s="288"/>
    </row>
    <row r="613" customFormat="false" ht="21" hidden="false" customHeight="false" outlineLevel="0" collapsed="false">
      <c r="A613" s="295" t="n">
        <v>37449</v>
      </c>
      <c r="B613" s="296" t="s">
        <v>2217</v>
      </c>
      <c r="C613" s="297" t="s">
        <v>2941</v>
      </c>
      <c r="D613" s="297" t="s">
        <v>1455</v>
      </c>
      <c r="E613" s="298" t="n">
        <v>47.689</v>
      </c>
      <c r="F613" s="299" t="n">
        <v>36.86</v>
      </c>
      <c r="G613" s="299" t="n">
        <f aca="false">VLOOKUP(A613,'INSUMOS SINAPI'!A:E,5,0)</f>
        <v>0</v>
      </c>
      <c r="H613" s="300" t="n">
        <f aca="false">F613-G613</f>
        <v>36.86</v>
      </c>
      <c r="I613" s="288"/>
    </row>
    <row r="614" customFormat="false" ht="21" hidden="false" customHeight="false" outlineLevel="0" collapsed="false">
      <c r="A614" s="295" t="n">
        <v>7796</v>
      </c>
      <c r="B614" s="296" t="s">
        <v>2220</v>
      </c>
      <c r="C614" s="297" t="s">
        <v>2941</v>
      </c>
      <c r="D614" s="297" t="s">
        <v>1455</v>
      </c>
      <c r="E614" s="298" t="n">
        <v>46.144</v>
      </c>
      <c r="F614" s="299" t="n">
        <v>62</v>
      </c>
      <c r="G614" s="299" t="n">
        <f aca="false">VLOOKUP(A614,'INSUMOS SINAPI'!A:E,5,0)</f>
        <v>0</v>
      </c>
      <c r="H614" s="300" t="n">
        <f aca="false">F614-G614</f>
        <v>62</v>
      </c>
      <c r="I614" s="288"/>
    </row>
    <row r="615" customFormat="false" ht="15" hidden="false" customHeight="false" outlineLevel="0" collapsed="false">
      <c r="A615" s="295" t="n">
        <v>38829</v>
      </c>
      <c r="B615" s="296" t="s">
        <v>2755</v>
      </c>
      <c r="C615" s="297" t="s">
        <v>2941</v>
      </c>
      <c r="D615" s="297" t="s">
        <v>1455</v>
      </c>
      <c r="E615" s="298" t="n">
        <v>16.968776</v>
      </c>
      <c r="F615" s="299" t="n">
        <v>14.45</v>
      </c>
      <c r="G615" s="299" t="n">
        <f aca="false">VLOOKUP(A615,'INSUMOS SINAPI'!A:E,5,0)</f>
        <v>0</v>
      </c>
      <c r="H615" s="300" t="n">
        <f aca="false">F615-G615</f>
        <v>14.45</v>
      </c>
      <c r="I615" s="288"/>
    </row>
    <row r="616" customFormat="false" ht="21" hidden="false" customHeight="false" outlineLevel="0" collapsed="false">
      <c r="A616" s="295" t="n">
        <v>9836</v>
      </c>
      <c r="B616" s="296" t="s">
        <v>2175</v>
      </c>
      <c r="C616" s="297" t="s">
        <v>2941</v>
      </c>
      <c r="D616" s="297" t="s">
        <v>1455</v>
      </c>
      <c r="E616" s="298" t="n">
        <v>274.80145</v>
      </c>
      <c r="F616" s="299" t="n">
        <v>15.84</v>
      </c>
      <c r="G616" s="299" t="n">
        <f aca="false">VLOOKUP(A616,'INSUMOS SINAPI'!A:E,5,0)</f>
        <v>15.84</v>
      </c>
      <c r="H616" s="300" t="n">
        <f aca="false">F616-G616</f>
        <v>0</v>
      </c>
      <c r="I616" s="288"/>
    </row>
    <row r="617" customFormat="false" ht="21" hidden="false" customHeight="false" outlineLevel="0" collapsed="false">
      <c r="A617" s="295" t="n">
        <v>20065</v>
      </c>
      <c r="B617" s="296" t="s">
        <v>2177</v>
      </c>
      <c r="C617" s="297" t="s">
        <v>2941</v>
      </c>
      <c r="D617" s="297" t="s">
        <v>1455</v>
      </c>
      <c r="E617" s="298" t="n">
        <v>5.90744</v>
      </c>
      <c r="F617" s="299" t="n">
        <v>41.4</v>
      </c>
      <c r="G617" s="299" t="n">
        <f aca="false">VLOOKUP(A617,'INSUMOS SINAPI'!A:E,5,0)</f>
        <v>41.4</v>
      </c>
      <c r="H617" s="300" t="n">
        <f aca="false">F617-G617</f>
        <v>0</v>
      </c>
      <c r="I617" s="288"/>
    </row>
    <row r="618" customFormat="false" ht="21" hidden="false" customHeight="false" outlineLevel="0" collapsed="false">
      <c r="A618" s="295" t="n">
        <v>9835</v>
      </c>
      <c r="B618" s="296" t="s">
        <v>2179</v>
      </c>
      <c r="C618" s="297" t="s">
        <v>2941</v>
      </c>
      <c r="D618" s="297" t="s">
        <v>1455</v>
      </c>
      <c r="E618" s="298" t="n">
        <v>58.44146</v>
      </c>
      <c r="F618" s="299" t="n">
        <v>6.92</v>
      </c>
      <c r="G618" s="299" t="n">
        <f aca="false">VLOOKUP(A618,'INSUMOS SINAPI'!A:E,5,0)</f>
        <v>6.92</v>
      </c>
      <c r="H618" s="300" t="n">
        <f aca="false">F618-G618</f>
        <v>0</v>
      </c>
      <c r="I618" s="288"/>
    </row>
    <row r="619" customFormat="false" ht="21" hidden="false" customHeight="false" outlineLevel="0" collapsed="false">
      <c r="A619" s="295" t="n">
        <v>9838</v>
      </c>
      <c r="B619" s="296" t="s">
        <v>2181</v>
      </c>
      <c r="C619" s="297" t="s">
        <v>2941</v>
      </c>
      <c r="D619" s="297" t="s">
        <v>1455</v>
      </c>
      <c r="E619" s="298" t="n">
        <v>168.57302</v>
      </c>
      <c r="F619" s="299" t="n">
        <v>11.43</v>
      </c>
      <c r="G619" s="299" t="n">
        <f aca="false">VLOOKUP(A619,'INSUMOS SINAPI'!A:E,5,0)</f>
        <v>11.43</v>
      </c>
      <c r="H619" s="300" t="n">
        <f aca="false">F619-G619</f>
        <v>0</v>
      </c>
      <c r="I619" s="288"/>
    </row>
    <row r="620" customFormat="false" ht="21" hidden="false" customHeight="false" outlineLevel="0" collapsed="false">
      <c r="A620" s="295" t="n">
        <v>9837</v>
      </c>
      <c r="B620" s="296" t="s">
        <v>2183</v>
      </c>
      <c r="C620" s="297" t="s">
        <v>2941</v>
      </c>
      <c r="D620" s="297" t="s">
        <v>1455</v>
      </c>
      <c r="E620" s="298" t="n">
        <v>55.27676</v>
      </c>
      <c r="F620" s="299" t="n">
        <v>15</v>
      </c>
      <c r="G620" s="299" t="n">
        <f aca="false">VLOOKUP(A620,'INSUMOS SINAPI'!A:E,5,0)</f>
        <v>15</v>
      </c>
      <c r="H620" s="300" t="n">
        <f aca="false">F620-G620</f>
        <v>0</v>
      </c>
      <c r="I620" s="288"/>
    </row>
    <row r="621" customFormat="false" ht="21" hidden="false" customHeight="false" outlineLevel="0" collapsed="false">
      <c r="A621" s="295" t="n">
        <v>9841</v>
      </c>
      <c r="B621" s="296" t="s">
        <v>2253</v>
      </c>
      <c r="C621" s="297" t="s">
        <v>2941</v>
      </c>
      <c r="D621" s="297" t="s">
        <v>1455</v>
      </c>
      <c r="E621" s="298" t="n">
        <v>122.57952</v>
      </c>
      <c r="F621" s="299" t="n">
        <v>29.83</v>
      </c>
      <c r="G621" s="299" t="n">
        <f aca="false">VLOOKUP(A621,'INSUMOS SINAPI'!A:E,5,0)</f>
        <v>29.83</v>
      </c>
      <c r="H621" s="300" t="n">
        <f aca="false">F621-G621</f>
        <v>0</v>
      </c>
      <c r="I621" s="288"/>
    </row>
    <row r="622" customFormat="false" ht="21" hidden="false" customHeight="false" outlineLevel="0" collapsed="false">
      <c r="A622" s="295" t="n">
        <v>9840</v>
      </c>
      <c r="B622" s="296" t="s">
        <v>2255</v>
      </c>
      <c r="C622" s="297" t="s">
        <v>2941</v>
      </c>
      <c r="D622" s="297" t="s">
        <v>1455</v>
      </c>
      <c r="E622" s="298" t="n">
        <v>218.24124</v>
      </c>
      <c r="F622" s="299" t="n">
        <v>63.01</v>
      </c>
      <c r="G622" s="299" t="n">
        <f aca="false">VLOOKUP(A622,'INSUMOS SINAPI'!A:E,5,0)</f>
        <v>63.01</v>
      </c>
      <c r="H622" s="300" t="n">
        <f aca="false">F622-G622</f>
        <v>0</v>
      </c>
      <c r="I622" s="288"/>
    </row>
    <row r="623" customFormat="false" ht="21" hidden="false" customHeight="false" outlineLevel="0" collapsed="false">
      <c r="A623" s="295" t="n">
        <v>20068</v>
      </c>
      <c r="B623" s="296" t="s">
        <v>2825</v>
      </c>
      <c r="C623" s="297" t="s">
        <v>2941</v>
      </c>
      <c r="D623" s="297" t="s">
        <v>1455</v>
      </c>
      <c r="E623" s="298" t="n">
        <v>155.471001</v>
      </c>
      <c r="F623" s="299" t="n">
        <v>13.62</v>
      </c>
      <c r="G623" s="299" t="n">
        <f aca="false">VLOOKUP(A623,'INSUMOS SINAPI'!A:E,5,0)</f>
        <v>13.62</v>
      </c>
      <c r="H623" s="300" t="n">
        <f aca="false">F623-G623</f>
        <v>0</v>
      </c>
      <c r="I623" s="288"/>
    </row>
    <row r="624" customFormat="false" ht="21" hidden="false" customHeight="false" outlineLevel="0" collapsed="false">
      <c r="A624" s="295" t="n">
        <v>9839</v>
      </c>
      <c r="B624" s="296" t="s">
        <v>2257</v>
      </c>
      <c r="C624" s="297" t="s">
        <v>2941</v>
      </c>
      <c r="D624" s="297" t="s">
        <v>1455</v>
      </c>
      <c r="E624" s="298" t="n">
        <v>2.89884</v>
      </c>
      <c r="F624" s="299" t="n">
        <v>24.71</v>
      </c>
      <c r="G624" s="299" t="n">
        <f aca="false">VLOOKUP(A624,'INSUMOS SINAPI'!A:E,5,0)</f>
        <v>24.71</v>
      </c>
      <c r="H624" s="300" t="n">
        <f aca="false">F624-G624</f>
        <v>0</v>
      </c>
      <c r="I624" s="288"/>
    </row>
    <row r="625" customFormat="false" ht="15" hidden="false" customHeight="false" outlineLevel="0" collapsed="false">
      <c r="A625" s="295" t="n">
        <v>9868</v>
      </c>
      <c r="B625" s="296" t="s">
        <v>2108</v>
      </c>
      <c r="C625" s="297" t="s">
        <v>2941</v>
      </c>
      <c r="D625" s="297" t="s">
        <v>1455</v>
      </c>
      <c r="E625" s="298" t="n">
        <v>677.840618</v>
      </c>
      <c r="F625" s="299" t="n">
        <v>4.17</v>
      </c>
      <c r="G625" s="299" t="n">
        <f aca="false">VLOOKUP(A625,'INSUMOS SINAPI'!A:E,5,0)</f>
        <v>4.17</v>
      </c>
      <c r="H625" s="300" t="n">
        <f aca="false">F625-G625</f>
        <v>0</v>
      </c>
      <c r="I625" s="288"/>
    </row>
    <row r="626" customFormat="false" ht="15" hidden="false" customHeight="false" outlineLevel="0" collapsed="false">
      <c r="A626" s="295" t="n">
        <v>9869</v>
      </c>
      <c r="B626" s="296" t="s">
        <v>2324</v>
      </c>
      <c r="C626" s="297" t="s">
        <v>2941</v>
      </c>
      <c r="D626" s="297" t="s">
        <v>1455</v>
      </c>
      <c r="E626" s="298" t="n">
        <v>35.04662</v>
      </c>
      <c r="F626" s="299" t="n">
        <v>9</v>
      </c>
      <c r="G626" s="299" t="n">
        <f aca="false">VLOOKUP(A626,'INSUMOS SINAPI'!A:E,5,0)</f>
        <v>9</v>
      </c>
      <c r="H626" s="300" t="n">
        <f aca="false">F626-G626</f>
        <v>0</v>
      </c>
      <c r="I626" s="288"/>
    </row>
    <row r="627" customFormat="false" ht="15" hidden="false" customHeight="false" outlineLevel="0" collapsed="false">
      <c r="A627" s="295" t="n">
        <v>9874</v>
      </c>
      <c r="B627" s="296" t="s">
        <v>2326</v>
      </c>
      <c r="C627" s="297" t="s">
        <v>2941</v>
      </c>
      <c r="D627" s="297" t="s">
        <v>1455</v>
      </c>
      <c r="E627" s="298" t="n">
        <v>52.811269</v>
      </c>
      <c r="F627" s="299" t="n">
        <v>14.13</v>
      </c>
      <c r="G627" s="299" t="n">
        <f aca="false">VLOOKUP(A627,'INSUMOS SINAPI'!A:E,5,0)</f>
        <v>14.13</v>
      </c>
      <c r="H627" s="300" t="n">
        <f aca="false">F627-G627</f>
        <v>0</v>
      </c>
      <c r="I627" s="288"/>
    </row>
    <row r="628" customFormat="false" ht="15" hidden="false" customHeight="false" outlineLevel="0" collapsed="false">
      <c r="A628" s="295" t="n">
        <v>9875</v>
      </c>
      <c r="B628" s="296" t="s">
        <v>2328</v>
      </c>
      <c r="C628" s="297" t="s">
        <v>2941</v>
      </c>
      <c r="D628" s="297" t="s">
        <v>1455</v>
      </c>
      <c r="E628" s="298" t="n">
        <v>223.92062</v>
      </c>
      <c r="F628" s="299" t="n">
        <v>15.5</v>
      </c>
      <c r="G628" s="299" t="n">
        <f aca="false">VLOOKUP(A628,'INSUMOS SINAPI'!A:E,5,0)</f>
        <v>15.5</v>
      </c>
      <c r="H628" s="300" t="n">
        <f aca="false">F628-G628</f>
        <v>0</v>
      </c>
      <c r="I628" s="288"/>
    </row>
    <row r="629" customFormat="false" ht="15" hidden="false" customHeight="false" outlineLevel="0" collapsed="false">
      <c r="A629" s="295" t="n">
        <v>9871</v>
      </c>
      <c r="B629" s="296" t="s">
        <v>2330</v>
      </c>
      <c r="C629" s="297" t="s">
        <v>2941</v>
      </c>
      <c r="D629" s="297" t="s">
        <v>1455</v>
      </c>
      <c r="E629" s="298" t="n">
        <v>64.84674</v>
      </c>
      <c r="F629" s="299" t="n">
        <v>42.25</v>
      </c>
      <c r="G629" s="299" t="n">
        <f aca="false">VLOOKUP(A629,'INSUMOS SINAPI'!A:E,5,0)</f>
        <v>42.25</v>
      </c>
      <c r="H629" s="300" t="n">
        <f aca="false">F629-G629</f>
        <v>0</v>
      </c>
      <c r="I629" s="288"/>
    </row>
    <row r="630" customFormat="false" ht="21" hidden="false" customHeight="false" outlineLevel="0" collapsed="false">
      <c r="A630" s="295" t="n">
        <v>9889</v>
      </c>
      <c r="B630" s="296" t="s">
        <v>2704</v>
      </c>
      <c r="C630" s="297" t="s">
        <v>2941</v>
      </c>
      <c r="D630" s="297" t="s">
        <v>31</v>
      </c>
      <c r="E630" s="298" t="n">
        <v>2</v>
      </c>
      <c r="F630" s="299" t="n">
        <v>188.12</v>
      </c>
      <c r="G630" s="299" t="n">
        <f aca="false">VLOOKUP(A630,'INSUMOS SINAPI'!A:E,5,0)</f>
        <v>0</v>
      </c>
      <c r="H630" s="300" t="n">
        <f aca="false">F630-G630</f>
        <v>188.12</v>
      </c>
      <c r="I630" s="288"/>
    </row>
    <row r="631" customFormat="false" ht="15" hidden="false" customHeight="false" outlineLevel="0" collapsed="false">
      <c r="A631" s="295" t="n">
        <v>9895</v>
      </c>
      <c r="B631" s="296" t="s">
        <v>2343</v>
      </c>
      <c r="C631" s="297" t="s">
        <v>2941</v>
      </c>
      <c r="D631" s="297" t="s">
        <v>31</v>
      </c>
      <c r="E631" s="298" t="n">
        <v>2</v>
      </c>
      <c r="F631" s="299" t="n">
        <v>13.51</v>
      </c>
      <c r="G631" s="299" t="n">
        <f aca="false">VLOOKUP(A631,'INSUMOS SINAPI'!A:E,5,0)</f>
        <v>13.51</v>
      </c>
      <c r="H631" s="300" t="n">
        <f aca="false">F631-G631</f>
        <v>0</v>
      </c>
      <c r="I631" s="288"/>
    </row>
    <row r="632" customFormat="false" ht="21" hidden="false" customHeight="false" outlineLevel="0" collapsed="false">
      <c r="A632" s="295" t="n">
        <v>21112</v>
      </c>
      <c r="B632" s="296" t="s">
        <v>2027</v>
      </c>
      <c r="C632" s="297" t="s">
        <v>2941</v>
      </c>
      <c r="D632" s="297" t="s">
        <v>31</v>
      </c>
      <c r="E632" s="298" t="n">
        <v>3</v>
      </c>
      <c r="F632" s="299" t="n">
        <v>223.38</v>
      </c>
      <c r="G632" s="299" t="n">
        <f aca="false">VLOOKUP(A632,'INSUMOS SINAPI'!A:E,5,0)</f>
        <v>223.38</v>
      </c>
      <c r="H632" s="300" t="n">
        <f aca="false">F632-G632</f>
        <v>0</v>
      </c>
      <c r="I632" s="288"/>
    </row>
    <row r="633" customFormat="false" ht="21" hidden="false" customHeight="false" outlineLevel="0" collapsed="false">
      <c r="A633" s="295" t="n">
        <v>11781</v>
      </c>
      <c r="B633" s="296" t="s">
        <v>2284</v>
      </c>
      <c r="C633" s="297" t="s">
        <v>2941</v>
      </c>
      <c r="D633" s="297" t="s">
        <v>31</v>
      </c>
      <c r="E633" s="298" t="n">
        <v>8</v>
      </c>
      <c r="F633" s="299" t="n">
        <v>210.22</v>
      </c>
      <c r="G633" s="299" t="n">
        <f aca="false">VLOOKUP(A633,'INSUMOS SINAPI'!A:E,5,0)</f>
        <v>210.22</v>
      </c>
      <c r="H633" s="300" t="n">
        <f aca="false">F633-G633</f>
        <v>0</v>
      </c>
      <c r="I633" s="288"/>
    </row>
    <row r="634" customFormat="false" ht="21" hidden="false" customHeight="false" outlineLevel="0" collapsed="false">
      <c r="A634" s="295" t="n">
        <v>37588</v>
      </c>
      <c r="B634" s="296" t="s">
        <v>2037</v>
      </c>
      <c r="C634" s="297" t="s">
        <v>2941</v>
      </c>
      <c r="D634" s="297" t="s">
        <v>31</v>
      </c>
      <c r="E634" s="298" t="n">
        <v>24</v>
      </c>
      <c r="F634" s="299" t="n">
        <v>65.26</v>
      </c>
      <c r="G634" s="299" t="n">
        <f aca="false">VLOOKUP(A634,'INSUMOS SINAPI'!A:E,5,0)</f>
        <v>65.26</v>
      </c>
      <c r="H634" s="300" t="n">
        <f aca="false">F634-G634</f>
        <v>0</v>
      </c>
      <c r="I634" s="288"/>
    </row>
    <row r="635" customFormat="false" ht="15" hidden="false" customHeight="false" outlineLevel="0" collapsed="false">
      <c r="A635" s="295" t="n">
        <v>11748</v>
      </c>
      <c r="B635" s="296" t="s">
        <v>2753</v>
      </c>
      <c r="C635" s="297" t="s">
        <v>2941</v>
      </c>
      <c r="D635" s="297" t="s">
        <v>31</v>
      </c>
      <c r="E635" s="298" t="n">
        <v>2</v>
      </c>
      <c r="F635" s="299" t="n">
        <v>46.54</v>
      </c>
      <c r="G635" s="299" t="n">
        <f aca="false">VLOOKUP(A635,'INSUMOS SINAPI'!A:E,5,0)</f>
        <v>46.54</v>
      </c>
      <c r="H635" s="300" t="n">
        <f aca="false">F635-G635</f>
        <v>0</v>
      </c>
      <c r="I635" s="288"/>
    </row>
    <row r="636" customFormat="false" ht="15" hidden="false" customHeight="false" outlineLevel="0" collapsed="false">
      <c r="A636" s="295" t="n">
        <v>11747</v>
      </c>
      <c r="B636" s="296" t="s">
        <v>2280</v>
      </c>
      <c r="C636" s="297" t="s">
        <v>2941</v>
      </c>
      <c r="D636" s="297" t="s">
        <v>31</v>
      </c>
      <c r="E636" s="298" t="n">
        <v>3</v>
      </c>
      <c r="F636" s="299" t="n">
        <v>200.87</v>
      </c>
      <c r="G636" s="299" t="n">
        <f aca="false">VLOOKUP(A636,'INSUMOS SINAPI'!A:E,5,0)</f>
        <v>200.87</v>
      </c>
      <c r="H636" s="300" t="n">
        <f aca="false">F636-G636</f>
        <v>0</v>
      </c>
      <c r="I636" s="288"/>
    </row>
    <row r="637" customFormat="false" ht="15" hidden="false" customHeight="false" outlineLevel="0" collapsed="false">
      <c r="A637" s="295" t="s">
        <v>2281</v>
      </c>
      <c r="B637" s="296" t="s">
        <v>2282</v>
      </c>
      <c r="C637" s="297" t="s">
        <v>2941</v>
      </c>
      <c r="D637" s="297" t="s">
        <v>31</v>
      </c>
      <c r="E637" s="298" t="n">
        <v>3</v>
      </c>
      <c r="F637" s="299" t="n">
        <v>421.876666666667</v>
      </c>
      <c r="G637" s="299" t="e">
        <f aca="false">VLOOKUP(A637,'INSUMOS SINAPI'!A:E,5,0)</f>
        <v>#N/A</v>
      </c>
      <c r="H637" s="300" t="e">
        <f aca="false">F637-G637</f>
        <v>#N/A</v>
      </c>
      <c r="I637" s="288" t="str">
        <f aca="false">IF(F637=VLOOKUP(A637,04_PESQUISAS!A:G,7,0),"OK","NÃO")</f>
        <v>OK</v>
      </c>
    </row>
    <row r="638" customFormat="false" ht="21" hidden="false" customHeight="false" outlineLevel="0" collapsed="false">
      <c r="A638" s="295" t="n">
        <v>10410</v>
      </c>
      <c r="B638" s="296" t="s">
        <v>2286</v>
      </c>
      <c r="C638" s="297" t="s">
        <v>2941</v>
      </c>
      <c r="D638" s="297" t="s">
        <v>31</v>
      </c>
      <c r="E638" s="298" t="n">
        <v>1</v>
      </c>
      <c r="F638" s="299" t="n">
        <v>135.75</v>
      </c>
      <c r="G638" s="299" t="n">
        <f aca="false">VLOOKUP(A638,'INSUMOS SINAPI'!A:E,5,0)</f>
        <v>135.75</v>
      </c>
      <c r="H638" s="300" t="n">
        <f aca="false">F638-G638</f>
        <v>0</v>
      </c>
      <c r="I638" s="288"/>
    </row>
    <row r="639" customFormat="false" ht="21" hidden="false" customHeight="false" outlineLevel="0" collapsed="false">
      <c r="A639" s="295" t="n">
        <v>10405</v>
      </c>
      <c r="B639" s="296" t="s">
        <v>2702</v>
      </c>
      <c r="C639" s="297" t="s">
        <v>2941</v>
      </c>
      <c r="D639" s="297" t="s">
        <v>31</v>
      </c>
      <c r="E639" s="298" t="n">
        <v>3</v>
      </c>
      <c r="F639" s="299" t="n">
        <v>455.02</v>
      </c>
      <c r="G639" s="299" t="n">
        <f aca="false">VLOOKUP(A639,'INSUMOS SINAPI'!A:E,5,0)</f>
        <v>455.02</v>
      </c>
      <c r="H639" s="300" t="n">
        <f aca="false">F639-G639</f>
        <v>0</v>
      </c>
      <c r="I639" s="288"/>
    </row>
    <row r="640" customFormat="false" ht="15" hidden="false" customHeight="false" outlineLevel="0" collapsed="false">
      <c r="A640" s="295" t="n">
        <v>6157</v>
      </c>
      <c r="B640" s="296" t="s">
        <v>2076</v>
      </c>
      <c r="C640" s="297" t="s">
        <v>2941</v>
      </c>
      <c r="D640" s="297" t="s">
        <v>31</v>
      </c>
      <c r="E640" s="298" t="n">
        <v>5</v>
      </c>
      <c r="F640" s="299" t="n">
        <v>70.85</v>
      </c>
      <c r="G640" s="299" t="n">
        <f aca="false">VLOOKUP(A640,'INSUMOS SINAPI'!A:E,5,0)</f>
        <v>70.85</v>
      </c>
      <c r="H640" s="300" t="n">
        <f aca="false">F640-G640</f>
        <v>0</v>
      </c>
      <c r="I640" s="288"/>
    </row>
    <row r="641" customFormat="false" ht="21" hidden="false" customHeight="false" outlineLevel="0" collapsed="false">
      <c r="A641" s="295" t="n">
        <v>6153</v>
      </c>
      <c r="B641" s="296" t="s">
        <v>2059</v>
      </c>
      <c r="C641" s="297" t="s">
        <v>2941</v>
      </c>
      <c r="D641" s="297" t="s">
        <v>31</v>
      </c>
      <c r="E641" s="298" t="n">
        <v>6</v>
      </c>
      <c r="F641" s="299" t="n">
        <v>4.7</v>
      </c>
      <c r="G641" s="299" t="n">
        <f aca="false">VLOOKUP(A641,'INSUMOS SINAPI'!A:E,5,0)</f>
        <v>4.7</v>
      </c>
      <c r="H641" s="300" t="n">
        <f aca="false">F641-G641</f>
        <v>0</v>
      </c>
      <c r="I641" s="288"/>
    </row>
    <row r="642" customFormat="false" ht="15" hidden="false" customHeight="false" outlineLevel="0" collapsed="false">
      <c r="A642" s="295" t="s">
        <v>2717</v>
      </c>
      <c r="B642" s="296" t="s">
        <v>2718</v>
      </c>
      <c r="C642" s="297" t="s">
        <v>2941</v>
      </c>
      <c r="D642" s="297" t="s">
        <v>31</v>
      </c>
      <c r="E642" s="298" t="n">
        <v>2</v>
      </c>
      <c r="F642" s="299" t="n">
        <v>1888.41666666667</v>
      </c>
      <c r="G642" s="299" t="e">
        <f aca="false">VLOOKUP(A642,'INSUMOS SINAPI'!A:E,5,0)</f>
        <v>#N/A</v>
      </c>
      <c r="H642" s="300" t="e">
        <f aca="false">F642-G642</f>
        <v>#N/A</v>
      </c>
      <c r="I642" s="288" t="str">
        <f aca="false">IF(F642=VLOOKUP(A642,04_PESQUISAS!A:G,7,0),"OK","NÃO")</f>
        <v>OK</v>
      </c>
    </row>
    <row r="643" customFormat="false" ht="15" hidden="false" customHeight="false" outlineLevel="0" collapsed="false">
      <c r="A643" s="295" t="n">
        <v>39996</v>
      </c>
      <c r="B643" s="296" t="s">
        <v>2441</v>
      </c>
      <c r="C643" s="297" t="s">
        <v>2941</v>
      </c>
      <c r="D643" s="297" t="s">
        <v>1455</v>
      </c>
      <c r="E643" s="298" t="n">
        <v>497.457674</v>
      </c>
      <c r="F643" s="299" t="n">
        <v>3.05</v>
      </c>
      <c r="G643" s="299" t="n">
        <f aca="false">VLOOKUP(A643,'INSUMOS SINAPI'!A:E,5,0)</f>
        <v>3.05</v>
      </c>
      <c r="H643" s="300" t="n">
        <f aca="false">F643-G643</f>
        <v>0</v>
      </c>
      <c r="I643" s="288"/>
    </row>
    <row r="644" customFormat="false" ht="21" hidden="false" customHeight="false" outlineLevel="0" collapsed="false">
      <c r="A644" s="295" t="n">
        <v>34391</v>
      </c>
      <c r="B644" s="296" t="s">
        <v>1788</v>
      </c>
      <c r="C644" s="297" t="s">
        <v>2941</v>
      </c>
      <c r="D644" s="297" t="s">
        <v>1477</v>
      </c>
      <c r="E644" s="298" t="n">
        <v>173.40054</v>
      </c>
      <c r="F644" s="299" t="n">
        <v>593.65</v>
      </c>
      <c r="G644" s="299" t="n">
        <f aca="false">VLOOKUP(A644,'INSUMOS SINAPI'!A:E,5,0)</f>
        <v>593.65</v>
      </c>
      <c r="H644" s="300" t="n">
        <f aca="false">F644-G644</f>
        <v>0</v>
      </c>
      <c r="I644" s="288"/>
    </row>
    <row r="645" customFormat="false" ht="15" hidden="false" customHeight="false" outlineLevel="0" collapsed="false">
      <c r="A645" s="295" t="n">
        <v>10507</v>
      </c>
      <c r="B645" s="296" t="s">
        <v>1778</v>
      </c>
      <c r="C645" s="297" t="s">
        <v>2941</v>
      </c>
      <c r="D645" s="297" t="s">
        <v>1477</v>
      </c>
      <c r="E645" s="298" t="n">
        <v>85.1781</v>
      </c>
      <c r="F645" s="299" t="n">
        <v>276.44</v>
      </c>
      <c r="G645" s="299" t="n">
        <f aca="false">VLOOKUP(A645,'INSUMOS SINAPI'!A:E,5,0)</f>
        <v>276.44</v>
      </c>
      <c r="H645" s="300" t="n">
        <f aca="false">F645-G645</f>
        <v>0</v>
      </c>
      <c r="I645" s="288"/>
    </row>
    <row r="646" customFormat="false" ht="21" hidden="false" customHeight="false" outlineLevel="0" collapsed="false">
      <c r="A646" s="295" t="n">
        <v>5031</v>
      </c>
      <c r="B646" s="296" t="s">
        <v>1860</v>
      </c>
      <c r="C646" s="297" t="s">
        <v>2941</v>
      </c>
      <c r="D646" s="297" t="s">
        <v>1477</v>
      </c>
      <c r="E646" s="298" t="n">
        <v>9.76</v>
      </c>
      <c r="F646" s="299" t="n">
        <v>299</v>
      </c>
      <c r="G646" s="299" t="n">
        <f aca="false">VLOOKUP(A646,'INSUMOS SINAPI'!A:E,5,0)</f>
        <v>299</v>
      </c>
      <c r="H646" s="300" t="n">
        <f aca="false">F646-G646</f>
        <v>0</v>
      </c>
      <c r="I646" s="288"/>
    </row>
    <row r="647" customFormat="false" ht="21" hidden="false" customHeight="false" outlineLevel="0" collapsed="false">
      <c r="A647" s="295" t="n">
        <v>40270</v>
      </c>
      <c r="B647" s="296" t="s">
        <v>1686</v>
      </c>
      <c r="C647" s="297" t="s">
        <v>2941</v>
      </c>
      <c r="D647" s="297" t="s">
        <v>1455</v>
      </c>
      <c r="E647" s="298" t="n">
        <v>15.68374</v>
      </c>
      <c r="F647" s="299" t="n">
        <v>126.05</v>
      </c>
      <c r="G647" s="299" t="n">
        <f aca="false">VLOOKUP(A647,'INSUMOS SINAPI'!A:E,5,0)</f>
        <v>0</v>
      </c>
      <c r="H647" s="300" t="n">
        <f aca="false">F647-G647</f>
        <v>126.05</v>
      </c>
      <c r="I647" s="288"/>
    </row>
    <row r="648" customFormat="false" ht="31.5" hidden="false" customHeight="false" outlineLevel="0" collapsed="false">
      <c r="A648" s="295" t="n">
        <v>4425</v>
      </c>
      <c r="B648" s="296" t="s">
        <v>1553</v>
      </c>
      <c r="C648" s="297" t="s">
        <v>2941</v>
      </c>
      <c r="D648" s="297" t="s">
        <v>1455</v>
      </c>
      <c r="E648" s="298" t="n">
        <v>76.89528</v>
      </c>
      <c r="F648" s="299" t="n">
        <v>23.26</v>
      </c>
      <c r="G648" s="299" t="n">
        <f aca="false">VLOOKUP(A648,'INSUMOS SINAPI'!A:E,5,0)</f>
        <v>23.26</v>
      </c>
      <c r="H648" s="300" t="n">
        <f aca="false">F648-G648</f>
        <v>0</v>
      </c>
      <c r="I648" s="288" t="e">
        <f aca="false">IF(F648=VLOOKUP(A648,04_PESQUISAS!A:G,7,0),"OK","NÃO")</f>
        <v>#N/A</v>
      </c>
    </row>
    <row r="649" customFormat="false" ht="31.5" hidden="false" customHeight="false" outlineLevel="0" collapsed="false">
      <c r="A649" s="295" t="n">
        <v>4472</v>
      </c>
      <c r="B649" s="296" t="s">
        <v>1587</v>
      </c>
      <c r="C649" s="297" t="s">
        <v>2941</v>
      </c>
      <c r="D649" s="297" t="s">
        <v>1455</v>
      </c>
      <c r="E649" s="298" t="n">
        <v>9.18</v>
      </c>
      <c r="F649" s="299" t="n">
        <v>29.06</v>
      </c>
      <c r="G649" s="299" t="n">
        <f aca="false">VLOOKUP(A649,'INSUMOS SINAPI'!A:E,5,0)</f>
        <v>29.06</v>
      </c>
      <c r="H649" s="300" t="n">
        <f aca="false">F649-G649</f>
        <v>0</v>
      </c>
      <c r="I649" s="288"/>
    </row>
    <row r="650" customFormat="false" ht="15" hidden="false" customHeight="false" outlineLevel="0" collapsed="false">
      <c r="A650" s="304" t="n">
        <v>6114</v>
      </c>
      <c r="B650" s="305" t="s">
        <v>1588</v>
      </c>
      <c r="C650" s="306" t="s">
        <v>3665</v>
      </c>
      <c r="D650" s="306" t="s">
        <v>1444</v>
      </c>
      <c r="E650" s="307" t="n">
        <v>703.409210862054</v>
      </c>
      <c r="F650" s="308" t="n">
        <v>13.26</v>
      </c>
      <c r="G650" s="308" t="n">
        <f aca="false">VLOOKUP(A650,'INSUMOS SINAPI'!A:E,5,0)</f>
        <v>13.26</v>
      </c>
      <c r="H650" s="309" t="n">
        <f aca="false">F650-G650</f>
        <v>0</v>
      </c>
      <c r="I650" s="288"/>
    </row>
    <row r="651" customFormat="false" ht="15" hidden="false" customHeight="false" outlineLevel="0" collapsed="false">
      <c r="A651" s="304" t="n">
        <v>247</v>
      </c>
      <c r="B651" s="305" t="s">
        <v>1554</v>
      </c>
      <c r="C651" s="306" t="s">
        <v>3665</v>
      </c>
      <c r="D651" s="306" t="s">
        <v>1444</v>
      </c>
      <c r="E651" s="307" t="n">
        <v>3186.56446869897</v>
      </c>
      <c r="F651" s="308" t="n">
        <v>13.26</v>
      </c>
      <c r="G651" s="308" t="n">
        <f aca="false">VLOOKUP(A651,'INSUMOS SINAPI'!A:E,5,0)</f>
        <v>13.26</v>
      </c>
      <c r="H651" s="309" t="n">
        <f aca="false">F651-G651</f>
        <v>0</v>
      </c>
      <c r="I651" s="288"/>
    </row>
    <row r="652" customFormat="false" ht="15" hidden="false" customHeight="false" outlineLevel="0" collapsed="false">
      <c r="A652" s="304" t="n">
        <v>44499</v>
      </c>
      <c r="B652" s="305" t="s">
        <v>1738</v>
      </c>
      <c r="C652" s="306" t="s">
        <v>3665</v>
      </c>
      <c r="D652" s="306" t="s">
        <v>1444</v>
      </c>
      <c r="E652" s="307" t="n">
        <v>0.6183796905</v>
      </c>
      <c r="F652" s="308" t="n">
        <v>13.26</v>
      </c>
      <c r="G652" s="308" t="n">
        <f aca="false">VLOOKUP(A652,'INSUMOS SINAPI'!A:E,5,0)</f>
        <v>13.26</v>
      </c>
      <c r="H652" s="309" t="n">
        <f aca="false">F652-G652</f>
        <v>0</v>
      </c>
      <c r="I652" s="288"/>
    </row>
    <row r="653" customFormat="false" ht="15" hidden="false" customHeight="false" outlineLevel="0" collapsed="false">
      <c r="A653" s="304" t="n">
        <v>252</v>
      </c>
      <c r="B653" s="305" t="s">
        <v>1600</v>
      </c>
      <c r="C653" s="306" t="s">
        <v>3665</v>
      </c>
      <c r="D653" s="306" t="s">
        <v>1444</v>
      </c>
      <c r="E653" s="307" t="n">
        <v>773.16132418974</v>
      </c>
      <c r="F653" s="308" t="n">
        <v>13.26</v>
      </c>
      <c r="G653" s="308" t="n">
        <f aca="false">VLOOKUP(A653,'INSUMOS SINAPI'!A:E,5,0)</f>
        <v>13.26</v>
      </c>
      <c r="H653" s="309" t="n">
        <f aca="false">F653-G653</f>
        <v>0</v>
      </c>
      <c r="I653" s="288"/>
    </row>
    <row r="654" customFormat="false" ht="15" hidden="false" customHeight="false" outlineLevel="0" collapsed="false">
      <c r="A654" s="304" t="n">
        <v>242</v>
      </c>
      <c r="B654" s="305" t="s">
        <v>1660</v>
      </c>
      <c r="C654" s="306" t="s">
        <v>3665</v>
      </c>
      <c r="D654" s="306" t="s">
        <v>1444</v>
      </c>
      <c r="E654" s="307" t="n">
        <v>524.5882147362</v>
      </c>
      <c r="F654" s="308" t="n">
        <v>13.61</v>
      </c>
      <c r="G654" s="308" t="n">
        <f aca="false">VLOOKUP(A654,'INSUMOS SINAPI'!A:E,5,0)</f>
        <v>13.61</v>
      </c>
      <c r="H654" s="309" t="n">
        <f aca="false">F654-G654</f>
        <v>0</v>
      </c>
      <c r="I654" s="288"/>
    </row>
    <row r="655" customFormat="false" ht="15" hidden="false" customHeight="false" outlineLevel="0" collapsed="false">
      <c r="A655" s="304" t="n">
        <v>378</v>
      </c>
      <c r="B655" s="305" t="s">
        <v>1589</v>
      </c>
      <c r="C655" s="306" t="s">
        <v>3665</v>
      </c>
      <c r="D655" s="306" t="s">
        <v>1444</v>
      </c>
      <c r="E655" s="307" t="n">
        <v>2907.26599040857</v>
      </c>
      <c r="F655" s="308" t="n">
        <v>20.22</v>
      </c>
      <c r="G655" s="308" t="n">
        <f aca="false">VLOOKUP(A655,'INSUMOS SINAPI'!A:E,5,0)</f>
        <v>20.22</v>
      </c>
      <c r="H655" s="309" t="n">
        <f aca="false">F655-G655</f>
        <v>0</v>
      </c>
      <c r="I655" s="288"/>
    </row>
    <row r="656" customFormat="false" ht="15" hidden="false" customHeight="false" outlineLevel="0" collapsed="false">
      <c r="A656" s="304" t="n">
        <v>40331</v>
      </c>
      <c r="B656" s="305" t="s">
        <v>2218</v>
      </c>
      <c r="C656" s="306" t="s">
        <v>3665</v>
      </c>
      <c r="D656" s="306" t="s">
        <v>1444</v>
      </c>
      <c r="E656" s="307" t="n">
        <v>14.4768299976</v>
      </c>
      <c r="F656" s="308" t="n">
        <v>10.21</v>
      </c>
      <c r="G656" s="308" t="n">
        <f aca="false">VLOOKUP(A656,'INSUMOS SINAPI'!A:E,5,0)</f>
        <v>10.21</v>
      </c>
      <c r="H656" s="309" t="n">
        <f aca="false">F656-G656</f>
        <v>0</v>
      </c>
      <c r="I656" s="288"/>
    </row>
    <row r="657" customFormat="false" ht="15" hidden="false" customHeight="false" outlineLevel="0" collapsed="false">
      <c r="A657" s="304" t="n">
        <v>246</v>
      </c>
      <c r="B657" s="305" t="s">
        <v>1752</v>
      </c>
      <c r="C657" s="306" t="s">
        <v>3665</v>
      </c>
      <c r="D657" s="306" t="s">
        <v>1444</v>
      </c>
      <c r="E657" s="307" t="n">
        <v>1066.0221561977</v>
      </c>
      <c r="F657" s="308" t="n">
        <v>13.26</v>
      </c>
      <c r="G657" s="308" t="n">
        <f aca="false">VLOOKUP(A657,'INSUMOS SINAPI'!A:E,5,0)</f>
        <v>13.26</v>
      </c>
      <c r="H657" s="309" t="n">
        <f aca="false">F657-G657</f>
        <v>0</v>
      </c>
      <c r="I657" s="288"/>
    </row>
    <row r="658" customFormat="false" ht="15" hidden="false" customHeight="false" outlineLevel="0" collapsed="false">
      <c r="A658" s="304" t="n">
        <v>4760</v>
      </c>
      <c r="B658" s="305" t="s">
        <v>1939</v>
      </c>
      <c r="C658" s="306" t="s">
        <v>3665</v>
      </c>
      <c r="D658" s="306" t="s">
        <v>1444</v>
      </c>
      <c r="E658" s="307" t="n">
        <v>1288.84396862032</v>
      </c>
      <c r="F658" s="308" t="n">
        <v>20.79</v>
      </c>
      <c r="G658" s="308" t="n">
        <f aca="false">VLOOKUP(A658,'INSUMOS SINAPI'!A:E,5,0)</f>
        <v>20.79</v>
      </c>
      <c r="H658" s="309" t="n">
        <f aca="false">F658-G658</f>
        <v>0</v>
      </c>
      <c r="I658" s="288"/>
    </row>
    <row r="659" customFormat="false" ht="15" hidden="false" customHeight="false" outlineLevel="0" collapsed="false">
      <c r="A659" s="304" t="n">
        <v>4759</v>
      </c>
      <c r="B659" s="305" t="s">
        <v>1954</v>
      </c>
      <c r="C659" s="306" t="s">
        <v>3665</v>
      </c>
      <c r="D659" s="306" t="s">
        <v>1444</v>
      </c>
      <c r="E659" s="307" t="n">
        <v>116.1707917815</v>
      </c>
      <c r="F659" s="308" t="n">
        <v>18.31</v>
      </c>
      <c r="G659" s="308" t="n">
        <f aca="false">VLOOKUP(A659,'INSUMOS SINAPI'!A:E,5,0)</f>
        <v>18.31</v>
      </c>
      <c r="H659" s="309" t="n">
        <f aca="false">F659-G659</f>
        <v>0</v>
      </c>
      <c r="I659" s="288"/>
    </row>
    <row r="660" customFormat="false" ht="15" hidden="false" customHeight="false" outlineLevel="0" collapsed="false">
      <c r="A660" s="304" t="n">
        <v>6117</v>
      </c>
      <c r="B660" s="305" t="s">
        <v>1555</v>
      </c>
      <c r="C660" s="306" t="s">
        <v>3665</v>
      </c>
      <c r="D660" s="306" t="s">
        <v>1444</v>
      </c>
      <c r="E660" s="307" t="n">
        <v>1844.0126303491</v>
      </c>
      <c r="F660" s="308" t="n">
        <v>13.26</v>
      </c>
      <c r="G660" s="308" t="n">
        <f aca="false">VLOOKUP(A660,'INSUMOS SINAPI'!A:E,5,0)</f>
        <v>13.26</v>
      </c>
      <c r="H660" s="309" t="n">
        <f aca="false">F660-G660</f>
        <v>0</v>
      </c>
      <c r="I660" s="288"/>
    </row>
    <row r="661" customFormat="false" ht="15" hidden="false" customHeight="false" outlineLevel="0" collapsed="false">
      <c r="A661" s="304" t="n">
        <v>1214</v>
      </c>
      <c r="B661" s="305" t="s">
        <v>1556</v>
      </c>
      <c r="C661" s="306" t="s">
        <v>3665</v>
      </c>
      <c r="D661" s="306" t="s">
        <v>1444</v>
      </c>
      <c r="E661" s="307" t="n">
        <v>570.45665736119</v>
      </c>
      <c r="F661" s="308" t="n">
        <v>19.04</v>
      </c>
      <c r="G661" s="308" t="n">
        <f aca="false">VLOOKUP(A661,'INSUMOS SINAPI'!A:E,5,0)</f>
        <v>19.04</v>
      </c>
      <c r="H661" s="309" t="n">
        <f aca="false">F661-G661</f>
        <v>0</v>
      </c>
      <c r="I661" s="288"/>
    </row>
    <row r="662" customFormat="false" ht="15" hidden="false" customHeight="false" outlineLevel="0" collapsed="false">
      <c r="A662" s="304" t="n">
        <v>1213</v>
      </c>
      <c r="B662" s="305" t="s">
        <v>1516</v>
      </c>
      <c r="C662" s="306" t="s">
        <v>3665</v>
      </c>
      <c r="D662" s="306" t="s">
        <v>1444</v>
      </c>
      <c r="E662" s="307" t="n">
        <v>9346.99760017299</v>
      </c>
      <c r="F662" s="308" t="n">
        <v>20.22</v>
      </c>
      <c r="G662" s="308" t="n">
        <f aca="false">VLOOKUP(A662,'INSUMOS SINAPI'!A:E,5,0)</f>
        <v>20.22</v>
      </c>
      <c r="H662" s="309" t="n">
        <f aca="false">F662-G662</f>
        <v>0</v>
      </c>
      <c r="I662" s="288"/>
    </row>
    <row r="663" customFormat="false" ht="15" hidden="false" customHeight="false" outlineLevel="0" collapsed="false">
      <c r="A663" s="304" t="n">
        <v>2358</v>
      </c>
      <c r="B663" s="305" t="s">
        <v>2935</v>
      </c>
      <c r="C663" s="306" t="s">
        <v>3665</v>
      </c>
      <c r="D663" s="306" t="s">
        <v>1444</v>
      </c>
      <c r="E663" s="307" t="n">
        <v>21.741704844</v>
      </c>
      <c r="F663" s="308" t="n">
        <v>15.17</v>
      </c>
      <c r="G663" s="308" t="n">
        <f aca="false">VLOOKUP(A663,'INSUMOS SINAPI'!A:E,5,0)</f>
        <v>15.17</v>
      </c>
      <c r="H663" s="309" t="n">
        <f aca="false">F663-G663</f>
        <v>0</v>
      </c>
      <c r="I663" s="288"/>
    </row>
    <row r="664" customFormat="false" ht="15" hidden="false" customHeight="false" outlineLevel="0" collapsed="false">
      <c r="A664" s="304" t="n">
        <v>2436</v>
      </c>
      <c r="B664" s="305" t="s">
        <v>1557</v>
      </c>
      <c r="C664" s="306" t="s">
        <v>3665</v>
      </c>
      <c r="D664" s="306" t="s">
        <v>1444</v>
      </c>
      <c r="E664" s="307" t="n">
        <v>3922.65136050732</v>
      </c>
      <c r="F664" s="308" t="n">
        <v>20.22</v>
      </c>
      <c r="G664" s="308" t="n">
        <f aca="false">VLOOKUP(A664,'INSUMOS SINAPI'!A:E,5,0)</f>
        <v>20.22</v>
      </c>
      <c r="H664" s="309" t="n">
        <f aca="false">F664-G664</f>
        <v>0</v>
      </c>
      <c r="I664" s="288"/>
    </row>
    <row r="665" customFormat="false" ht="15" hidden="false" customHeight="false" outlineLevel="0" collapsed="false">
      <c r="A665" s="304" t="n">
        <v>2696</v>
      </c>
      <c r="B665" s="305" t="s">
        <v>1483</v>
      </c>
      <c r="C665" s="306" t="s">
        <v>3665</v>
      </c>
      <c r="D665" s="306" t="s">
        <v>1444</v>
      </c>
      <c r="E665" s="307" t="n">
        <v>1988.27497867176</v>
      </c>
      <c r="F665" s="308" t="n">
        <v>20.22</v>
      </c>
      <c r="G665" s="308" t="n">
        <f aca="false">VLOOKUP(A665,'INSUMOS SINAPI'!A:E,5,0)</f>
        <v>20.22</v>
      </c>
      <c r="H665" s="309" t="n">
        <f aca="false">F665-G665</f>
        <v>0</v>
      </c>
      <c r="I665" s="288"/>
    </row>
    <row r="666" customFormat="false" ht="15" hidden="false" customHeight="false" outlineLevel="0" collapsed="false">
      <c r="A666" s="304" t="n">
        <v>4083</v>
      </c>
      <c r="B666" s="305" t="s">
        <v>1622</v>
      </c>
      <c r="C666" s="306" t="s">
        <v>3665</v>
      </c>
      <c r="D666" s="306" t="s">
        <v>1444</v>
      </c>
      <c r="E666" s="307" t="n">
        <v>185.34330672</v>
      </c>
      <c r="F666" s="308" t="n">
        <v>28.17</v>
      </c>
      <c r="G666" s="308" t="n">
        <f aca="false">VLOOKUP(A666,'INSUMOS SINAPI'!A:E,5,0)</f>
        <v>28.17</v>
      </c>
      <c r="H666" s="309" t="n">
        <f aca="false">F666-G666</f>
        <v>0</v>
      </c>
      <c r="I666" s="288"/>
    </row>
    <row r="667" customFormat="false" ht="15" hidden="false" customHeight="false" outlineLevel="0" collapsed="false">
      <c r="A667" s="304" t="n">
        <v>40811</v>
      </c>
      <c r="B667" s="305" t="s">
        <v>1429</v>
      </c>
      <c r="C667" s="306" t="s">
        <v>3665</v>
      </c>
      <c r="D667" s="306" t="s">
        <v>1416</v>
      </c>
      <c r="E667" s="307" t="n">
        <v>8.08896</v>
      </c>
      <c r="F667" s="308" t="n">
        <v>19395.78</v>
      </c>
      <c r="G667" s="308" t="n">
        <f aca="false">VLOOKUP(A667,'INSUMOS SINAPI'!A:E,5,0)</f>
        <v>19395.78</v>
      </c>
      <c r="H667" s="309" t="n">
        <f aca="false">F667-G667</f>
        <v>0</v>
      </c>
      <c r="I667" s="288"/>
    </row>
    <row r="668" customFormat="false" ht="15" hidden="false" customHeight="false" outlineLevel="0" collapsed="false">
      <c r="A668" s="304" t="n">
        <v>2707</v>
      </c>
      <c r="B668" s="305" t="s">
        <v>1623</v>
      </c>
      <c r="C668" s="306" t="s">
        <v>3665</v>
      </c>
      <c r="D668" s="306" t="s">
        <v>1444</v>
      </c>
      <c r="E668" s="307" t="n">
        <v>144.342202252</v>
      </c>
      <c r="F668" s="308" t="n">
        <v>116.29</v>
      </c>
      <c r="G668" s="308" t="n">
        <f aca="false">VLOOKUP(A668,'INSUMOS SINAPI'!A:E,5,0)</f>
        <v>116.29</v>
      </c>
      <c r="H668" s="309" t="n">
        <f aca="false">F668-G668</f>
        <v>0</v>
      </c>
      <c r="I668" s="288"/>
    </row>
    <row r="669" customFormat="false" ht="15" hidden="false" customHeight="false" outlineLevel="0" collapsed="false">
      <c r="A669" s="304" t="n">
        <v>12872</v>
      </c>
      <c r="B669" s="305" t="s">
        <v>1478</v>
      </c>
      <c r="C669" s="306" t="s">
        <v>3665</v>
      </c>
      <c r="D669" s="306" t="s">
        <v>1444</v>
      </c>
      <c r="E669" s="307" t="n">
        <v>1152.3494835432</v>
      </c>
      <c r="F669" s="308" t="n">
        <v>18.31</v>
      </c>
      <c r="G669" s="308" t="n">
        <f aca="false">VLOOKUP(A669,'INSUMOS SINAPI'!A:E,5,0)</f>
        <v>18.31</v>
      </c>
      <c r="H669" s="309" t="n">
        <f aca="false">F669-G669</f>
        <v>0</v>
      </c>
      <c r="I669" s="288"/>
    </row>
    <row r="670" customFormat="false" ht="15" hidden="false" customHeight="false" outlineLevel="0" collapsed="false">
      <c r="A670" s="304" t="n">
        <v>12873</v>
      </c>
      <c r="B670" s="305" t="s">
        <v>1661</v>
      </c>
      <c r="C670" s="306" t="s">
        <v>3665</v>
      </c>
      <c r="D670" s="306" t="s">
        <v>1444</v>
      </c>
      <c r="E670" s="307" t="n">
        <v>905.3259126552</v>
      </c>
      <c r="F670" s="308" t="n">
        <v>20.22</v>
      </c>
      <c r="G670" s="308" t="n">
        <f aca="false">VLOOKUP(A670,'INSUMOS SINAPI'!A:E,5,0)</f>
        <v>20.22</v>
      </c>
      <c r="H670" s="309" t="n">
        <f aca="false">F670-G670</f>
        <v>0</v>
      </c>
      <c r="I670" s="288"/>
    </row>
    <row r="671" customFormat="false" ht="15" hidden="false" customHeight="false" outlineLevel="0" collapsed="false">
      <c r="A671" s="304" t="n">
        <v>44503</v>
      </c>
      <c r="B671" s="305" t="s">
        <v>1491</v>
      </c>
      <c r="C671" s="306" t="s">
        <v>3665</v>
      </c>
      <c r="D671" s="306" t="s">
        <v>1444</v>
      </c>
      <c r="E671" s="307" t="n">
        <v>87.565237498884</v>
      </c>
      <c r="F671" s="308" t="n">
        <v>18.63</v>
      </c>
      <c r="G671" s="308" t="n">
        <f aca="false">VLOOKUP(A671,'INSUMOS SINAPI'!A:E,5,0)</f>
        <v>18.63</v>
      </c>
      <c r="H671" s="309" t="n">
        <f aca="false">F671-G671</f>
        <v>0</v>
      </c>
      <c r="I671" s="288"/>
    </row>
    <row r="672" customFormat="false" ht="15" hidden="false" customHeight="false" outlineLevel="0" collapsed="false">
      <c r="A672" s="304" t="n">
        <v>4755</v>
      </c>
      <c r="B672" s="305" t="s">
        <v>1783</v>
      </c>
      <c r="C672" s="306" t="s">
        <v>3665</v>
      </c>
      <c r="D672" s="306" t="s">
        <v>1444</v>
      </c>
      <c r="E672" s="307" t="n">
        <v>551.729027811224</v>
      </c>
      <c r="F672" s="308" t="n">
        <v>20.22</v>
      </c>
      <c r="G672" s="308" t="n">
        <f aca="false">VLOOKUP(A672,'INSUMOS SINAPI'!A:E,5,0)</f>
        <v>20.22</v>
      </c>
      <c r="H672" s="309" t="n">
        <f aca="false">F672-G672</f>
        <v>0</v>
      </c>
      <c r="I672" s="288"/>
    </row>
    <row r="673" customFormat="false" ht="15" hidden="false" customHeight="false" outlineLevel="0" collapsed="false">
      <c r="A673" s="304" t="n">
        <v>34794</v>
      </c>
      <c r="B673" s="305" t="s">
        <v>2764</v>
      </c>
      <c r="C673" s="306" t="s">
        <v>3665</v>
      </c>
      <c r="D673" s="306" t="s">
        <v>1444</v>
      </c>
      <c r="E673" s="307" t="n">
        <v>353.10280083</v>
      </c>
      <c r="F673" s="308" t="n">
        <v>20.17</v>
      </c>
      <c r="G673" s="308" t="n">
        <f aca="false">VLOOKUP(A673,'INSUMOS SINAPI'!A:E,5,0)</f>
        <v>20.17</v>
      </c>
      <c r="H673" s="309" t="n">
        <f aca="false">F673-G673</f>
        <v>0</v>
      </c>
      <c r="I673" s="288"/>
    </row>
    <row r="674" customFormat="false" ht="15" hidden="false" customHeight="false" outlineLevel="0" collapsed="false">
      <c r="A674" s="304" t="n">
        <v>40819</v>
      </c>
      <c r="B674" s="305" t="s">
        <v>1433</v>
      </c>
      <c r="C674" s="306" t="s">
        <v>3665</v>
      </c>
      <c r="D674" s="306" t="s">
        <v>1416</v>
      </c>
      <c r="E674" s="307" t="n">
        <v>16.25552</v>
      </c>
      <c r="F674" s="308" t="n">
        <v>6888.54</v>
      </c>
      <c r="G674" s="308" t="n">
        <f aca="false">VLOOKUP(A674,'INSUMOS SINAPI'!A:E,5,0)</f>
        <v>6888.54</v>
      </c>
      <c r="H674" s="309" t="n">
        <f aca="false">F674-G674</f>
        <v>0</v>
      </c>
      <c r="I674" s="288"/>
    </row>
    <row r="675" customFormat="false" ht="15" hidden="false" customHeight="false" outlineLevel="0" collapsed="false">
      <c r="A675" s="304" t="n">
        <v>34761</v>
      </c>
      <c r="B675" s="305" t="s">
        <v>2529</v>
      </c>
      <c r="C675" s="306" t="s">
        <v>3665</v>
      </c>
      <c r="D675" s="306" t="s">
        <v>1444</v>
      </c>
      <c r="E675" s="307" t="n">
        <v>10.3087</v>
      </c>
      <c r="F675" s="308" t="n">
        <v>17.12</v>
      </c>
      <c r="G675" s="308" t="n">
        <f aca="false">VLOOKUP(A675,'INSUMOS SINAPI'!A:E,5,0)</f>
        <v>17.12</v>
      </c>
      <c r="H675" s="309" t="n">
        <f aca="false">F675-G675</f>
        <v>0</v>
      </c>
      <c r="I675" s="288"/>
    </row>
    <row r="676" customFormat="false" ht="15" hidden="false" customHeight="false" outlineLevel="0" collapsed="false">
      <c r="A676" s="304" t="n">
        <v>44497</v>
      </c>
      <c r="B676" s="305" t="s">
        <v>1739</v>
      </c>
      <c r="C676" s="306" t="s">
        <v>3665</v>
      </c>
      <c r="D676" s="306" t="s">
        <v>1444</v>
      </c>
      <c r="E676" s="307" t="n">
        <v>909.2929905684</v>
      </c>
      <c r="F676" s="308" t="n">
        <v>14.49</v>
      </c>
      <c r="G676" s="308" t="n">
        <f aca="false">VLOOKUP(A676,'INSUMOS SINAPI'!A:E,5,0)</f>
        <v>14.49</v>
      </c>
      <c r="H676" s="309" t="n">
        <f aca="false">F676-G676</f>
        <v>0</v>
      </c>
      <c r="I676" s="288"/>
    </row>
    <row r="677" customFormat="false" ht="15" hidden="false" customHeight="false" outlineLevel="0" collapsed="false">
      <c r="A677" s="304" t="n">
        <v>2437</v>
      </c>
      <c r="B677" s="305" t="s">
        <v>2873</v>
      </c>
      <c r="C677" s="306" t="s">
        <v>3665</v>
      </c>
      <c r="D677" s="306" t="s">
        <v>1444</v>
      </c>
      <c r="E677" s="307" t="n">
        <v>15.11200062281</v>
      </c>
      <c r="F677" s="308" t="n">
        <v>13.29</v>
      </c>
      <c r="G677" s="308" t="n">
        <f aca="false">VLOOKUP(A677,'INSUMOS SINAPI'!A:E,5,0)</f>
        <v>13.29</v>
      </c>
      <c r="H677" s="309" t="n">
        <f aca="false">F677-G677</f>
        <v>0</v>
      </c>
      <c r="I677" s="288"/>
    </row>
    <row r="678" customFormat="false" ht="15" hidden="false" customHeight="false" outlineLevel="0" collapsed="false">
      <c r="A678" s="304" t="n">
        <v>4093</v>
      </c>
      <c r="B678" s="305" t="s">
        <v>1502</v>
      </c>
      <c r="C678" s="306" t="s">
        <v>3665</v>
      </c>
      <c r="D678" s="306" t="s">
        <v>1444</v>
      </c>
      <c r="E678" s="307" t="n">
        <v>26.4980745141768</v>
      </c>
      <c r="F678" s="308" t="n">
        <v>23.28</v>
      </c>
      <c r="G678" s="308" t="n">
        <f aca="false">VLOOKUP(A678,'INSUMOS SINAPI'!A:E,5,0)</f>
        <v>23.28</v>
      </c>
      <c r="H678" s="309" t="n">
        <f aca="false">F678-G678</f>
        <v>0</v>
      </c>
      <c r="I678" s="288"/>
    </row>
    <row r="679" customFormat="false" ht="15" hidden="false" customHeight="false" outlineLevel="0" collapsed="false">
      <c r="A679" s="304" t="n">
        <v>20020</v>
      </c>
      <c r="B679" s="305" t="s">
        <v>1474</v>
      </c>
      <c r="C679" s="306" t="s">
        <v>3665</v>
      </c>
      <c r="D679" s="306" t="s">
        <v>1444</v>
      </c>
      <c r="E679" s="307" t="n">
        <v>90.9048441922602</v>
      </c>
      <c r="F679" s="308" t="n">
        <v>24.19</v>
      </c>
      <c r="G679" s="308" t="n">
        <f aca="false">VLOOKUP(A679,'INSUMOS SINAPI'!A:E,5,0)</f>
        <v>24.19</v>
      </c>
      <c r="H679" s="309" t="n">
        <f aca="false">F679-G679</f>
        <v>0</v>
      </c>
      <c r="I679" s="288"/>
    </row>
    <row r="680" customFormat="false" ht="15" hidden="false" customHeight="false" outlineLevel="0" collapsed="false">
      <c r="A680" s="304" t="n">
        <v>4096</v>
      </c>
      <c r="B680" s="305" t="s">
        <v>2892</v>
      </c>
      <c r="C680" s="306" t="s">
        <v>3665</v>
      </c>
      <c r="D680" s="306" t="s">
        <v>1444</v>
      </c>
      <c r="E680" s="307" t="n">
        <v>4.11731487</v>
      </c>
      <c r="F680" s="308" t="n">
        <v>25.39</v>
      </c>
      <c r="G680" s="308" t="n">
        <f aca="false">VLOOKUP(A680,'INSUMOS SINAPI'!A:E,5,0)</f>
        <v>25.39</v>
      </c>
      <c r="H680" s="309" t="n">
        <f aca="false">F680-G680</f>
        <v>0</v>
      </c>
      <c r="I680" s="288"/>
    </row>
    <row r="681" customFormat="false" ht="15" hidden="false" customHeight="false" outlineLevel="0" collapsed="false">
      <c r="A681" s="304" t="n">
        <v>37666</v>
      </c>
      <c r="B681" s="305" t="s">
        <v>1558</v>
      </c>
      <c r="C681" s="306" t="s">
        <v>3665</v>
      </c>
      <c r="D681" s="306" t="s">
        <v>1444</v>
      </c>
      <c r="E681" s="307" t="n">
        <v>774.660682205708</v>
      </c>
      <c r="F681" s="308" t="n">
        <v>11.87</v>
      </c>
      <c r="G681" s="308" t="n">
        <f aca="false">VLOOKUP(A681,'INSUMOS SINAPI'!A:E,5,0)</f>
        <v>11.87</v>
      </c>
      <c r="H681" s="309" t="n">
        <f aca="false">F681-G681</f>
        <v>0</v>
      </c>
      <c r="I681" s="288"/>
    </row>
    <row r="682" customFormat="false" ht="15" hidden="false" customHeight="false" outlineLevel="0" collapsed="false">
      <c r="A682" s="304" t="n">
        <v>4234</v>
      </c>
      <c r="B682" s="305" t="s">
        <v>1475</v>
      </c>
      <c r="C682" s="306" t="s">
        <v>3665</v>
      </c>
      <c r="D682" s="306" t="s">
        <v>1444</v>
      </c>
      <c r="E682" s="307" t="n">
        <v>105.98522294083</v>
      </c>
      <c r="F682" s="308" t="n">
        <v>20.22</v>
      </c>
      <c r="G682" s="308" t="n">
        <f aca="false">VLOOKUP(A682,'INSUMOS SINAPI'!A:E,5,0)</f>
        <v>20.22</v>
      </c>
      <c r="H682" s="309" t="n">
        <f aca="false">F682-G682</f>
        <v>0</v>
      </c>
      <c r="I682" s="288"/>
    </row>
    <row r="683" customFormat="false" ht="15" hidden="false" customHeight="false" outlineLevel="0" collapsed="false">
      <c r="A683" s="304" t="n">
        <v>4253</v>
      </c>
      <c r="B683" s="305" t="s">
        <v>1559</v>
      </c>
      <c r="C683" s="306" t="s">
        <v>3665</v>
      </c>
      <c r="D683" s="306" t="s">
        <v>1444</v>
      </c>
      <c r="E683" s="307" t="n">
        <v>41.77863791469</v>
      </c>
      <c r="F683" s="308" t="n">
        <v>10.83</v>
      </c>
      <c r="G683" s="308" t="n">
        <f aca="false">VLOOKUP(A683,'INSUMOS SINAPI'!A:E,5,0)</f>
        <v>10.83</v>
      </c>
      <c r="H683" s="309" t="n">
        <f aca="false">F683-G683</f>
        <v>0</v>
      </c>
      <c r="I683" s="288"/>
    </row>
    <row r="684" customFormat="false" ht="15" hidden="false" customHeight="false" outlineLevel="0" collapsed="false">
      <c r="A684" s="304" t="n">
        <v>4254</v>
      </c>
      <c r="B684" s="305" t="s">
        <v>1590</v>
      </c>
      <c r="C684" s="306" t="s">
        <v>3665</v>
      </c>
      <c r="D684" s="306" t="s">
        <v>1444</v>
      </c>
      <c r="E684" s="307" t="n">
        <v>24.4309735476</v>
      </c>
      <c r="F684" s="308" t="n">
        <v>21.01</v>
      </c>
      <c r="G684" s="308" t="n">
        <f aca="false">VLOOKUP(A684,'INSUMOS SINAPI'!A:E,5,0)</f>
        <v>21.01</v>
      </c>
      <c r="H684" s="309" t="n">
        <f aca="false">F684-G684</f>
        <v>0</v>
      </c>
      <c r="I684" s="288"/>
    </row>
    <row r="685" customFormat="false" ht="15" hidden="false" customHeight="false" outlineLevel="0" collapsed="false">
      <c r="A685" s="304" t="n">
        <v>4251</v>
      </c>
      <c r="B685" s="305" t="s">
        <v>1740</v>
      </c>
      <c r="C685" s="306" t="s">
        <v>3665</v>
      </c>
      <c r="D685" s="306" t="s">
        <v>1444</v>
      </c>
      <c r="E685" s="307" t="n">
        <v>1.00880813695662</v>
      </c>
      <c r="F685" s="308" t="n">
        <v>18.4</v>
      </c>
      <c r="G685" s="308" t="n">
        <f aca="false">VLOOKUP(A685,'INSUMOS SINAPI'!A:E,5,0)</f>
        <v>18.4</v>
      </c>
      <c r="H685" s="309" t="n">
        <f aca="false">F685-G685</f>
        <v>0</v>
      </c>
      <c r="I685" s="288"/>
    </row>
    <row r="686" customFormat="false" ht="21" hidden="false" customHeight="false" outlineLevel="0" collapsed="false">
      <c r="A686" s="304" t="n">
        <v>4230</v>
      </c>
      <c r="B686" s="305" t="s">
        <v>1597</v>
      </c>
      <c r="C686" s="306" t="s">
        <v>3665</v>
      </c>
      <c r="D686" s="306" t="s">
        <v>1444</v>
      </c>
      <c r="E686" s="307" t="n">
        <v>1400.28801578</v>
      </c>
      <c r="F686" s="308" t="n">
        <v>14.53</v>
      </c>
      <c r="G686" s="308" t="n">
        <f aca="false">VLOOKUP(A686,'INSUMOS SINAPI'!A:E,5,0)</f>
        <v>14.53</v>
      </c>
      <c r="H686" s="309" t="n">
        <f aca="false">F686-G686</f>
        <v>0</v>
      </c>
      <c r="I686" s="288"/>
    </row>
    <row r="687" customFormat="false" ht="15" hidden="false" customHeight="false" outlineLevel="0" collapsed="false">
      <c r="A687" s="304" t="n">
        <v>4257</v>
      </c>
      <c r="B687" s="305" t="s">
        <v>1462</v>
      </c>
      <c r="C687" s="306" t="s">
        <v>3665</v>
      </c>
      <c r="D687" s="306" t="s">
        <v>1444</v>
      </c>
      <c r="E687" s="307" t="n">
        <v>1143.51352965088</v>
      </c>
      <c r="F687" s="308" t="n">
        <v>15.11</v>
      </c>
      <c r="G687" s="308" t="n">
        <f aca="false">VLOOKUP(A687,'INSUMOS SINAPI'!A:E,5,0)</f>
        <v>15.11</v>
      </c>
      <c r="H687" s="309" t="n">
        <f aca="false">F687-G687</f>
        <v>0</v>
      </c>
      <c r="I687" s="288"/>
    </row>
    <row r="688" customFormat="false" ht="15" hidden="false" customHeight="false" outlineLevel="0" collapsed="false">
      <c r="A688" s="304" t="n">
        <v>4239</v>
      </c>
      <c r="B688" s="305" t="s">
        <v>1503</v>
      </c>
      <c r="C688" s="306" t="s">
        <v>3665</v>
      </c>
      <c r="D688" s="306" t="s">
        <v>1444</v>
      </c>
      <c r="E688" s="307" t="n">
        <v>36.6193141072454</v>
      </c>
      <c r="F688" s="308" t="n">
        <v>24.17</v>
      </c>
      <c r="G688" s="308" t="n">
        <f aca="false">VLOOKUP(A688,'INSUMOS SINAPI'!A:E,5,0)</f>
        <v>24.17</v>
      </c>
      <c r="H688" s="309" t="n">
        <f aca="false">F688-G688</f>
        <v>0</v>
      </c>
      <c r="I688" s="288"/>
    </row>
    <row r="689" customFormat="false" ht="15" hidden="false" customHeight="false" outlineLevel="0" collapsed="false">
      <c r="A689" s="304" t="n">
        <v>4248</v>
      </c>
      <c r="B689" s="305" t="s">
        <v>1453</v>
      </c>
      <c r="C689" s="306" t="s">
        <v>3665</v>
      </c>
      <c r="D689" s="306" t="s">
        <v>1444</v>
      </c>
      <c r="E689" s="307" t="n">
        <v>138.592710872064</v>
      </c>
      <c r="F689" s="308" t="n">
        <v>12.94</v>
      </c>
      <c r="G689" s="308" t="n">
        <f aca="false">VLOOKUP(A689,'INSUMOS SINAPI'!A:E,5,0)</f>
        <v>12.94</v>
      </c>
      <c r="H689" s="309" t="n">
        <f aca="false">F689-G689</f>
        <v>0</v>
      </c>
      <c r="I689" s="288"/>
    </row>
    <row r="690" customFormat="false" ht="15" hidden="false" customHeight="false" outlineLevel="0" collapsed="false">
      <c r="A690" s="304" t="n">
        <v>4238</v>
      </c>
      <c r="B690" s="305" t="s">
        <v>1504</v>
      </c>
      <c r="C690" s="306" t="s">
        <v>3665</v>
      </c>
      <c r="D690" s="306" t="s">
        <v>1444</v>
      </c>
      <c r="E690" s="307" t="n">
        <v>25.3561628766563</v>
      </c>
      <c r="F690" s="308" t="n">
        <v>13.93</v>
      </c>
      <c r="G690" s="308" t="n">
        <f aca="false">VLOOKUP(A690,'INSUMOS SINAPI'!A:E,5,0)</f>
        <v>13.93</v>
      </c>
      <c r="H690" s="309" t="n">
        <f aca="false">F690-G690</f>
        <v>0</v>
      </c>
      <c r="I690" s="288"/>
    </row>
    <row r="691" customFormat="false" ht="15" hidden="false" customHeight="false" outlineLevel="0" collapsed="false">
      <c r="A691" s="304" t="n">
        <v>4750</v>
      </c>
      <c r="B691" s="305" t="s">
        <v>1463</v>
      </c>
      <c r="C691" s="306" t="s">
        <v>3665</v>
      </c>
      <c r="D691" s="306" t="s">
        <v>1444</v>
      </c>
      <c r="E691" s="307" t="n">
        <v>12195.0271951398</v>
      </c>
      <c r="F691" s="308" t="n">
        <v>20.22</v>
      </c>
      <c r="G691" s="308" t="n">
        <f aca="false">VLOOKUP(A691,'INSUMOS SINAPI'!A:E,5,0)</f>
        <v>20.22</v>
      </c>
      <c r="H691" s="309" t="n">
        <f aca="false">F691-G691</f>
        <v>0</v>
      </c>
      <c r="I691" s="288"/>
    </row>
    <row r="692" customFormat="false" ht="15" hidden="false" customHeight="false" outlineLevel="0" collapsed="false">
      <c r="A692" s="304" t="n">
        <v>4783</v>
      </c>
      <c r="B692" s="305" t="s">
        <v>1517</v>
      </c>
      <c r="C692" s="306" t="s">
        <v>3665</v>
      </c>
      <c r="D692" s="306" t="s">
        <v>1444</v>
      </c>
      <c r="E692" s="307" t="n">
        <v>4060.68943651493</v>
      </c>
      <c r="F692" s="308" t="n">
        <v>20.22</v>
      </c>
      <c r="G692" s="308" t="n">
        <f aca="false">VLOOKUP(A692,'INSUMOS SINAPI'!A:E,5,0)</f>
        <v>20.22</v>
      </c>
      <c r="H692" s="309" t="n">
        <f aca="false">F692-G692</f>
        <v>0</v>
      </c>
      <c r="I692" s="288"/>
    </row>
    <row r="693" customFormat="false" ht="15" hidden="false" customHeight="false" outlineLevel="0" collapsed="false">
      <c r="A693" s="304" t="n">
        <v>6110</v>
      </c>
      <c r="B693" s="305" t="s">
        <v>1601</v>
      </c>
      <c r="C693" s="306" t="s">
        <v>3665</v>
      </c>
      <c r="D693" s="306" t="s">
        <v>1444</v>
      </c>
      <c r="E693" s="307" t="n">
        <v>1103.50790483262</v>
      </c>
      <c r="F693" s="308" t="n">
        <v>20.22</v>
      </c>
      <c r="G693" s="308" t="n">
        <f aca="false">VLOOKUP(A693,'INSUMOS SINAPI'!A:E,5,0)</f>
        <v>20.22</v>
      </c>
      <c r="H693" s="309" t="n">
        <f aca="false">F693-G693</f>
        <v>0</v>
      </c>
      <c r="I693" s="288"/>
    </row>
    <row r="694" customFormat="false" ht="15" hidden="false" customHeight="false" outlineLevel="0" collapsed="false">
      <c r="A694" s="304" t="n">
        <v>6111</v>
      </c>
      <c r="B694" s="305" t="s">
        <v>1464</v>
      </c>
      <c r="C694" s="306" t="s">
        <v>3665</v>
      </c>
      <c r="D694" s="306" t="s">
        <v>1444</v>
      </c>
      <c r="E694" s="307" t="n">
        <v>18933.9712442962</v>
      </c>
      <c r="F694" s="308" t="n">
        <v>12.95</v>
      </c>
      <c r="G694" s="308" t="n">
        <f aca="false">VLOOKUP(A694,'INSUMOS SINAPI'!A:E,5,0)</f>
        <v>12.95</v>
      </c>
      <c r="H694" s="309" t="n">
        <f aca="false">F694-G694</f>
        <v>0</v>
      </c>
      <c r="I694" s="288"/>
    </row>
    <row r="695" customFormat="false" ht="15" hidden="false" customHeight="false" outlineLevel="0" collapsed="false">
      <c r="A695" s="304" t="n">
        <v>40944</v>
      </c>
      <c r="B695" s="305" t="s">
        <v>1425</v>
      </c>
      <c r="C695" s="306" t="s">
        <v>3665</v>
      </c>
      <c r="D695" s="306" t="s">
        <v>1416</v>
      </c>
      <c r="E695" s="307" t="n">
        <v>16.21664</v>
      </c>
      <c r="F695" s="308" t="n">
        <v>4760.93</v>
      </c>
      <c r="G695" s="308" t="n">
        <f aca="false">VLOOKUP(A695,'INSUMOS SINAPI'!A:E,5,0)</f>
        <v>4760.93</v>
      </c>
      <c r="H695" s="309" t="n">
        <f aca="false">F695-G695</f>
        <v>0</v>
      </c>
      <c r="I695" s="288"/>
    </row>
    <row r="696" customFormat="false" ht="15" hidden="false" customHeight="false" outlineLevel="0" collapsed="false">
      <c r="A696" s="304" t="n">
        <v>12869</v>
      </c>
      <c r="B696" s="305" t="s">
        <v>1488</v>
      </c>
      <c r="C696" s="306" t="s">
        <v>3665</v>
      </c>
      <c r="D696" s="306" t="s">
        <v>1444</v>
      </c>
      <c r="E696" s="307" t="n">
        <v>304.6169359104</v>
      </c>
      <c r="F696" s="308" t="n">
        <v>19.98</v>
      </c>
      <c r="G696" s="308" t="n">
        <f aca="false">VLOOKUP(A696,'INSUMOS SINAPI'!A:E,5,0)</f>
        <v>19.98</v>
      </c>
      <c r="H696" s="309" t="n">
        <f aca="false">F696-G696</f>
        <v>0</v>
      </c>
      <c r="I696" s="288"/>
    </row>
    <row r="697" customFormat="false" ht="15" hidden="false" customHeight="false" outlineLevel="0" collapsed="false">
      <c r="A697" s="304" t="n">
        <v>40820</v>
      </c>
      <c r="B697" s="305" t="s">
        <v>1421</v>
      </c>
      <c r="C697" s="306" t="s">
        <v>3665</v>
      </c>
      <c r="D697" s="306" t="s">
        <v>1416</v>
      </c>
      <c r="E697" s="307" t="n">
        <v>1.00626</v>
      </c>
      <c r="F697" s="308" t="n">
        <v>3561.68</v>
      </c>
      <c r="G697" s="308" t="n">
        <f aca="false">VLOOKUP(A697,'INSUMOS SINAPI'!A:E,5,0)</f>
        <v>3561.68</v>
      </c>
      <c r="H697" s="309" t="n">
        <f aca="false">F697-G697</f>
        <v>0</v>
      </c>
      <c r="I697" s="288"/>
    </row>
    <row r="698" customFormat="false" ht="15" hidden="false" customHeight="false" outlineLevel="0" collapsed="false">
      <c r="A698" s="304" t="n">
        <v>10489</v>
      </c>
      <c r="B698" s="305" t="s">
        <v>1779</v>
      </c>
      <c r="C698" s="306" t="s">
        <v>3665</v>
      </c>
      <c r="D698" s="306" t="s">
        <v>1444</v>
      </c>
      <c r="E698" s="307" t="n">
        <v>230.360870552</v>
      </c>
      <c r="F698" s="308" t="n">
        <v>17.42</v>
      </c>
      <c r="G698" s="308" t="n">
        <f aca="false">VLOOKUP(A698,'INSUMOS SINAPI'!A:E,5,0)</f>
        <v>17.42</v>
      </c>
      <c r="H698" s="309" t="n">
        <f aca="false">F698-G698</f>
        <v>0</v>
      </c>
      <c r="I698" s="288"/>
    </row>
    <row r="699" customFormat="false" ht="15" hidden="false" customHeight="false" outlineLevel="0" collapsed="false">
      <c r="A699" s="304" t="n">
        <v>41096</v>
      </c>
      <c r="B699" s="305" t="s">
        <v>1440</v>
      </c>
      <c r="C699" s="306" t="s">
        <v>3665</v>
      </c>
      <c r="D699" s="306" t="s">
        <v>1416</v>
      </c>
      <c r="E699" s="307" t="n">
        <v>22.02986</v>
      </c>
      <c r="F699" s="308" t="n">
        <v>2473.48</v>
      </c>
      <c r="G699" s="308" t="n">
        <f aca="false">VLOOKUP(A699,'INSUMOS SINAPI'!A:E,5,0)</f>
        <v>2473.48</v>
      </c>
      <c r="H699" s="309" t="n">
        <f aca="false">F699-G699</f>
        <v>0</v>
      </c>
      <c r="I699" s="288"/>
    </row>
    <row r="700" customFormat="false" ht="21" hidden="false" customHeight="false" outlineLevel="0" collapsed="false">
      <c r="A700" s="310" t="n">
        <v>10658</v>
      </c>
      <c r="B700" s="311" t="s">
        <v>1946</v>
      </c>
      <c r="C700" s="312" t="s">
        <v>2941</v>
      </c>
      <c r="D700" s="312" t="s">
        <v>31</v>
      </c>
      <c r="E700" s="313" t="n">
        <v>0.000421280832</v>
      </c>
      <c r="F700" s="314" t="n">
        <v>9400</v>
      </c>
      <c r="G700" s="314" t="n">
        <f aca="false">VLOOKUP(A700,'INSUMOS SINAPI'!A:E,5,0)</f>
        <v>0</v>
      </c>
      <c r="H700" s="315" t="n">
        <f aca="false">F700-G700</f>
        <v>9400</v>
      </c>
      <c r="I700" s="288"/>
    </row>
    <row r="701" customFormat="false" ht="31.5" hidden="false" customHeight="false" outlineLevel="0" collapsed="false">
      <c r="A701" s="310" t="s">
        <v>2790</v>
      </c>
      <c r="B701" s="311" t="s">
        <v>2791</v>
      </c>
      <c r="C701" s="312" t="s">
        <v>2941</v>
      </c>
      <c r="D701" s="312" t="s">
        <v>1538</v>
      </c>
      <c r="E701" s="316" t="n">
        <v>1</v>
      </c>
      <c r="F701" s="314" t="n">
        <v>17764</v>
      </c>
      <c r="G701" s="314" t="e">
        <f aca="false">VLOOKUP(A701,'INSUMOS SINAPI'!A:E,5,0)</f>
        <v>#N/A</v>
      </c>
      <c r="H701" s="315" t="e">
        <f aca="false">F701-G701</f>
        <v>#N/A</v>
      </c>
      <c r="I701" s="288" t="str">
        <f aca="false">IF(F701=VLOOKUP(A701,04_PESQUISAS!A:G,7,0),"OK","NÃO")</f>
        <v>OK</v>
      </c>
    </row>
    <row r="702" customFormat="false" ht="31.5" hidden="false" customHeight="false" outlineLevel="0" collapsed="false">
      <c r="A702" s="310" t="s">
        <v>2796</v>
      </c>
      <c r="B702" s="311" t="s">
        <v>2797</v>
      </c>
      <c r="C702" s="312" t="s">
        <v>2941</v>
      </c>
      <c r="D702" s="312" t="s">
        <v>1538</v>
      </c>
      <c r="E702" s="313" t="n">
        <v>1</v>
      </c>
      <c r="F702" s="314" t="n">
        <v>20248.3333333333</v>
      </c>
      <c r="G702" s="314" t="e">
        <f aca="false">VLOOKUP(A702,'INSUMOS SINAPI'!A:E,5,0)</f>
        <v>#N/A</v>
      </c>
      <c r="H702" s="315" t="e">
        <f aca="false">F702-G702</f>
        <v>#N/A</v>
      </c>
      <c r="I702" s="288" t="str">
        <f aca="false">IF(F702=VLOOKUP(A702,04_PESQUISAS!A:G,7,0),"OK","NÃO")</f>
        <v>OK</v>
      </c>
    </row>
    <row r="703" customFormat="false" ht="31.5" hidden="false" customHeight="false" outlineLevel="0" collapsed="false">
      <c r="A703" s="310" t="s">
        <v>2802</v>
      </c>
      <c r="B703" s="311" t="s">
        <v>2803</v>
      </c>
      <c r="C703" s="312" t="s">
        <v>2941</v>
      </c>
      <c r="D703" s="312" t="s">
        <v>31</v>
      </c>
      <c r="E703" s="313" t="n">
        <v>3</v>
      </c>
      <c r="F703" s="314" t="n">
        <v>21955</v>
      </c>
      <c r="G703" s="314" t="e">
        <f aca="false">VLOOKUP(A703,'INSUMOS SINAPI'!A:E,5,0)</f>
        <v>#N/A</v>
      </c>
      <c r="H703" s="315" t="e">
        <f aca="false">F703-G703</f>
        <v>#N/A</v>
      </c>
      <c r="I703" s="288" t="str">
        <f aca="false">IF(F703=VLOOKUP(A703,04_PESQUISAS!A:G,7,0),"OK","NÃO")</f>
        <v>OK</v>
      </c>
    </row>
    <row r="704" customFormat="false" ht="31.5" hidden="false" customHeight="false" outlineLevel="0" collapsed="false">
      <c r="A704" s="310" t="s">
        <v>2799</v>
      </c>
      <c r="B704" s="311" t="s">
        <v>2800</v>
      </c>
      <c r="C704" s="312" t="s">
        <v>2941</v>
      </c>
      <c r="D704" s="312" t="s">
        <v>31</v>
      </c>
      <c r="E704" s="316" t="n">
        <v>1</v>
      </c>
      <c r="F704" s="314" t="n">
        <v>25429</v>
      </c>
      <c r="G704" s="314" t="e">
        <f aca="false">VLOOKUP(A704,'INSUMOS SINAPI'!A:E,5,0)</f>
        <v>#N/A</v>
      </c>
      <c r="H704" s="315" t="e">
        <f aca="false">F704-G704</f>
        <v>#N/A</v>
      </c>
      <c r="I704" s="288" t="str">
        <f aca="false">IF(F704=VLOOKUP(A704,04_PESQUISAS!A:G,7,0),"OK","NÃO")</f>
        <v>OK</v>
      </c>
    </row>
    <row r="705" customFormat="false" ht="21" hidden="false" customHeight="false" outlineLevel="0" collapsed="false">
      <c r="A705" s="310" t="s">
        <v>2787</v>
      </c>
      <c r="B705" s="311" t="s">
        <v>2788</v>
      </c>
      <c r="C705" s="312" t="s">
        <v>2941</v>
      </c>
      <c r="D705" s="312" t="s">
        <v>1538</v>
      </c>
      <c r="E705" s="313" t="n">
        <v>2</v>
      </c>
      <c r="F705" s="314" t="n">
        <v>16526.6666666667</v>
      </c>
      <c r="G705" s="314" t="e">
        <f aca="false">VLOOKUP(A705,'INSUMOS SINAPI'!A:E,5,0)</f>
        <v>#N/A</v>
      </c>
      <c r="H705" s="315" t="e">
        <f aca="false">F705-G705</f>
        <v>#N/A</v>
      </c>
      <c r="I705" s="288" t="str">
        <f aca="false">IF(F705=VLOOKUP(A705,04_PESQUISAS!A:G,7,0),"OK","NÃO")</f>
        <v>OK</v>
      </c>
    </row>
    <row r="706" customFormat="false" ht="21" hidden="false" customHeight="false" outlineLevel="0" collapsed="false">
      <c r="A706" s="310" t="s">
        <v>2793</v>
      </c>
      <c r="B706" s="311" t="s">
        <v>2794</v>
      </c>
      <c r="C706" s="312" t="s">
        <v>2941</v>
      </c>
      <c r="D706" s="312" t="s">
        <v>1538</v>
      </c>
      <c r="E706" s="313" t="n">
        <v>1</v>
      </c>
      <c r="F706" s="314" t="n">
        <v>16119</v>
      </c>
      <c r="G706" s="314" t="e">
        <f aca="false">VLOOKUP(A706,'INSUMOS SINAPI'!A:E,5,0)</f>
        <v>#N/A</v>
      </c>
      <c r="H706" s="315" t="e">
        <f aca="false">F706-G706</f>
        <v>#N/A</v>
      </c>
      <c r="I706" s="288" t="str">
        <f aca="false">IF(F706=VLOOKUP(A706,04_PESQUISAS!A:G,7,0),"OK","NÃO")</f>
        <v>OK</v>
      </c>
    </row>
    <row r="707" customFormat="false" ht="21" hidden="false" customHeight="false" outlineLevel="0" collapsed="false">
      <c r="A707" s="310" t="s">
        <v>2805</v>
      </c>
      <c r="B707" s="311" t="s">
        <v>2806</v>
      </c>
      <c r="C707" s="312" t="s">
        <v>2941</v>
      </c>
      <c r="D707" s="312" t="s">
        <v>1538</v>
      </c>
      <c r="E707" s="313" t="n">
        <v>2</v>
      </c>
      <c r="F707" s="314" t="n">
        <v>27618.6666666667</v>
      </c>
      <c r="G707" s="314" t="e">
        <f aca="false">VLOOKUP(A707,'INSUMOS SINAPI'!A:E,5,0)</f>
        <v>#N/A</v>
      </c>
      <c r="H707" s="315" t="e">
        <f aca="false">F707-G707</f>
        <v>#N/A</v>
      </c>
      <c r="I707" s="288" t="str">
        <f aca="false">IF(F707=VLOOKUP(A707,04_PESQUISAS!A:G,7,0),"OK","NÃO")</f>
        <v>OK</v>
      </c>
    </row>
    <row r="708" customFormat="false" ht="21" hidden="false" customHeight="false" outlineLevel="0" collapsed="false">
      <c r="A708" s="310" t="s">
        <v>2784</v>
      </c>
      <c r="B708" s="311" t="s">
        <v>2785</v>
      </c>
      <c r="C708" s="312" t="s">
        <v>2941</v>
      </c>
      <c r="D708" s="312" t="s">
        <v>1538</v>
      </c>
      <c r="E708" s="313" t="n">
        <v>1</v>
      </c>
      <c r="F708" s="314" t="n">
        <v>9904.33333333333</v>
      </c>
      <c r="G708" s="314" t="e">
        <f aca="false">VLOOKUP(A708,'INSUMOS SINAPI'!A:E,5,0)</f>
        <v>#N/A</v>
      </c>
      <c r="H708" s="315" t="e">
        <f aca="false">F708-G708</f>
        <v>#N/A</v>
      </c>
      <c r="I708" s="288" t="str">
        <f aca="false">IF(F708=VLOOKUP(A708,04_PESQUISAS!A:G,7,0),"OK","NÃO")</f>
        <v>OK</v>
      </c>
    </row>
    <row r="709" customFormat="false" ht="31.5" hidden="false" customHeight="false" outlineLevel="0" collapsed="false">
      <c r="A709" s="310" t="s">
        <v>2779</v>
      </c>
      <c r="B709" s="311" t="s">
        <v>2780</v>
      </c>
      <c r="C709" s="312" t="s">
        <v>2941</v>
      </c>
      <c r="D709" s="312" t="s">
        <v>31</v>
      </c>
      <c r="E709" s="313" t="n">
        <v>2</v>
      </c>
      <c r="F709" s="314" t="n">
        <v>14849.7933333333</v>
      </c>
      <c r="G709" s="314" t="e">
        <f aca="false">VLOOKUP(A709,'INSUMOS SINAPI'!A:E,5,0)</f>
        <v>#N/A</v>
      </c>
      <c r="H709" s="315" t="e">
        <f aca="false">F709-G709</f>
        <v>#N/A</v>
      </c>
      <c r="I709" s="288" t="str">
        <f aca="false">IF(F709=VLOOKUP(A709,04_PESQUISAS!A:G,7,0),"OK","NÃO")</f>
        <v>OK</v>
      </c>
    </row>
    <row r="710" customFormat="false" ht="31.5" hidden="false" customHeight="false" outlineLevel="0" collapsed="false">
      <c r="A710" s="310" t="n">
        <v>39555</v>
      </c>
      <c r="B710" s="311" t="s">
        <v>2766</v>
      </c>
      <c r="C710" s="312" t="s">
        <v>2941</v>
      </c>
      <c r="D710" s="312" t="s">
        <v>31</v>
      </c>
      <c r="E710" s="313" t="n">
        <v>1</v>
      </c>
      <c r="F710" s="314" t="n">
        <v>2338.65</v>
      </c>
      <c r="G710" s="314" t="n">
        <f aca="false">VLOOKUP(A710,'INSUMOS SINAPI'!A:E,5,0)</f>
        <v>2338.65</v>
      </c>
      <c r="H710" s="315" t="n">
        <f aca="false">F710-G710</f>
        <v>0</v>
      </c>
      <c r="I710" s="288"/>
    </row>
    <row r="711" customFormat="false" ht="31.5" hidden="false" customHeight="false" outlineLevel="0" collapsed="false">
      <c r="A711" s="310" t="n">
        <v>39548</v>
      </c>
      <c r="B711" s="311" t="s">
        <v>2768</v>
      </c>
      <c r="C711" s="312" t="s">
        <v>2941</v>
      </c>
      <c r="D711" s="312" t="s">
        <v>31</v>
      </c>
      <c r="E711" s="313" t="n">
        <v>4</v>
      </c>
      <c r="F711" s="314" t="n">
        <v>3468.95</v>
      </c>
      <c r="G711" s="314" t="n">
        <f aca="false">VLOOKUP(A711,'INSUMOS SINAPI'!A:E,5,0)</f>
        <v>3468.95</v>
      </c>
      <c r="H711" s="315" t="n">
        <f aca="false">F711-G711</f>
        <v>0</v>
      </c>
      <c r="I711" s="288"/>
    </row>
    <row r="712" customFormat="false" ht="31.5" hidden="false" customHeight="false" outlineLevel="0" collapsed="false">
      <c r="A712" s="310" t="n">
        <v>39554</v>
      </c>
      <c r="B712" s="311" t="s">
        <v>2770</v>
      </c>
      <c r="C712" s="312" t="s">
        <v>2941</v>
      </c>
      <c r="D712" s="312" t="s">
        <v>31</v>
      </c>
      <c r="E712" s="313" t="n">
        <v>3</v>
      </c>
      <c r="F712" s="314" t="n">
        <v>4587.16</v>
      </c>
      <c r="G712" s="314" t="n">
        <f aca="false">VLOOKUP(A712,'INSUMOS SINAPI'!A:E,5,0)</f>
        <v>4587.16</v>
      </c>
      <c r="H712" s="315" t="n">
        <f aca="false">F712-G712</f>
        <v>0</v>
      </c>
      <c r="I712" s="288"/>
    </row>
    <row r="713" customFormat="false" ht="31.5" hidden="false" customHeight="false" outlineLevel="0" collapsed="false">
      <c r="A713" s="310" t="n">
        <v>39551</v>
      </c>
      <c r="B713" s="311" t="s">
        <v>2763</v>
      </c>
      <c r="C713" s="312" t="s">
        <v>2941</v>
      </c>
      <c r="D713" s="312" t="s">
        <v>31</v>
      </c>
      <c r="E713" s="313" t="n">
        <v>5</v>
      </c>
      <c r="F713" s="314" t="n">
        <v>2039.32</v>
      </c>
      <c r="G713" s="314" t="n">
        <f aca="false">VLOOKUP(A713,'INSUMOS SINAPI'!A:E,5,0)</f>
        <v>2039.32</v>
      </c>
      <c r="H713" s="315" t="n">
        <f aca="false">F713-G713</f>
        <v>0</v>
      </c>
      <c r="I713" s="288"/>
    </row>
    <row r="714" customFormat="false" ht="15" hidden="false" customHeight="false" outlineLevel="0" collapsed="false">
      <c r="A714" s="310" t="s">
        <v>2772</v>
      </c>
      <c r="B714" s="311" t="s">
        <v>2773</v>
      </c>
      <c r="C714" s="312" t="s">
        <v>2941</v>
      </c>
      <c r="D714" s="312" t="s">
        <v>31</v>
      </c>
      <c r="E714" s="313" t="n">
        <v>2</v>
      </c>
      <c r="F714" s="314" t="n">
        <v>15962.3333333333</v>
      </c>
      <c r="G714" s="314" t="e">
        <f aca="false">VLOOKUP(A714,'INSUMOS SINAPI'!A:E,5,0)</f>
        <v>#N/A</v>
      </c>
      <c r="H714" s="315" t="e">
        <f aca="false">F714-G714</f>
        <v>#N/A</v>
      </c>
      <c r="I714" s="288" t="str">
        <f aca="false">IF(F714=VLOOKUP(A714,04_PESQUISAS!A:G,7,0),"OK","NÃO")</f>
        <v>OK</v>
      </c>
    </row>
    <row r="715" customFormat="false" ht="15" hidden="false" customHeight="false" outlineLevel="0" collapsed="false">
      <c r="A715" s="310" t="s">
        <v>2776</v>
      </c>
      <c r="B715" s="311" t="s">
        <v>2777</v>
      </c>
      <c r="C715" s="312" t="s">
        <v>2941</v>
      </c>
      <c r="D715" s="312" t="s">
        <v>31</v>
      </c>
      <c r="E715" s="313" t="n">
        <v>8</v>
      </c>
      <c r="F715" s="314" t="n">
        <v>19647.12</v>
      </c>
      <c r="G715" s="314" t="e">
        <f aca="false">VLOOKUP(A715,'INSUMOS SINAPI'!A:E,5,0)</f>
        <v>#N/A</v>
      </c>
      <c r="H715" s="315" t="e">
        <f aca="false">F715-G715</f>
        <v>#N/A</v>
      </c>
      <c r="I715" s="288" t="str">
        <f aca="false">IF(F715=VLOOKUP(A715,04_PESQUISAS!A:G,7,0),"OK","NÃO")</f>
        <v>OK</v>
      </c>
    </row>
    <row r="716" customFormat="false" ht="31.5" hidden="false" customHeight="false" outlineLevel="0" collapsed="false">
      <c r="A716" s="310" t="n">
        <v>10535</v>
      </c>
      <c r="B716" s="311" t="s">
        <v>1525</v>
      </c>
      <c r="C716" s="312" t="s">
        <v>2941</v>
      </c>
      <c r="D716" s="312" t="s">
        <v>31</v>
      </c>
      <c r="E716" s="313" t="n">
        <v>0.0742088812263172</v>
      </c>
      <c r="F716" s="314" t="n">
        <v>4699</v>
      </c>
      <c r="G716" s="314" t="n">
        <f aca="false">VLOOKUP(A716,'INSUMOS SINAPI'!A:E,5,0)</f>
        <v>4699</v>
      </c>
      <c r="H716" s="315" t="n">
        <f aca="false">F716-G716</f>
        <v>0</v>
      </c>
      <c r="I716" s="288"/>
    </row>
    <row r="717" customFormat="false" ht="31.5" hidden="false" customHeight="false" outlineLevel="0" collapsed="false">
      <c r="A717" s="310" t="n">
        <v>36397</v>
      </c>
      <c r="B717" s="311" t="s">
        <v>1888</v>
      </c>
      <c r="C717" s="312" t="s">
        <v>2941</v>
      </c>
      <c r="D717" s="312" t="s">
        <v>31</v>
      </c>
      <c r="E717" s="313" t="n">
        <v>0.0010341273275196</v>
      </c>
      <c r="F717" s="314" t="n">
        <v>19114.57</v>
      </c>
      <c r="G717" s="314" t="n">
        <f aca="false">VLOOKUP(A717,'INSUMOS SINAPI'!A:E,5,0)</f>
        <v>19114.57</v>
      </c>
      <c r="H717" s="315" t="n">
        <f aca="false">F717-G717</f>
        <v>0</v>
      </c>
      <c r="I717" s="288"/>
    </row>
    <row r="718" customFormat="false" ht="15" hidden="false" customHeight="false" outlineLevel="0" collapsed="false">
      <c r="A718" s="310" t="s">
        <v>2726</v>
      </c>
      <c r="B718" s="311" t="s">
        <v>2727</v>
      </c>
      <c r="C718" s="312" t="s">
        <v>2941</v>
      </c>
      <c r="D718" s="312" t="s">
        <v>31</v>
      </c>
      <c r="E718" s="313" t="n">
        <v>2</v>
      </c>
      <c r="F718" s="314" t="n">
        <v>4539.03</v>
      </c>
      <c r="G718" s="314" t="e">
        <f aca="false">VLOOKUP(A718,'INSUMOS SINAPI'!A:E,5,0)</f>
        <v>#N/A</v>
      </c>
      <c r="H718" s="315" t="e">
        <f aca="false">F718-G718</f>
        <v>#N/A</v>
      </c>
      <c r="I718" s="288" t="str">
        <f aca="false">IF(F718=VLOOKUP(A718,04_PESQUISAS!A:G,7,0),"OK","NÃO")</f>
        <v>OK</v>
      </c>
    </row>
    <row r="719" customFormat="false" ht="21" hidden="false" customHeight="false" outlineLevel="0" collapsed="false">
      <c r="A719" s="310" t="n">
        <v>37734</v>
      </c>
      <c r="B719" s="311" t="s">
        <v>1471</v>
      </c>
      <c r="C719" s="312" t="s">
        <v>2941</v>
      </c>
      <c r="D719" s="312" t="s">
        <v>31</v>
      </c>
      <c r="E719" s="313" t="n">
        <v>0.00471695367732</v>
      </c>
      <c r="F719" s="314" t="n">
        <v>81699.7</v>
      </c>
      <c r="G719" s="314" t="n">
        <f aca="false">VLOOKUP(A719,'INSUMOS SINAPI'!A:E,5,0)</f>
        <v>0</v>
      </c>
      <c r="H719" s="315" t="n">
        <f aca="false">F719-G719</f>
        <v>81699.7</v>
      </c>
      <c r="I719" s="288"/>
    </row>
    <row r="720" customFormat="false" ht="21" hidden="false" customHeight="false" outlineLevel="0" collapsed="false">
      <c r="A720" s="310" t="n">
        <v>37733</v>
      </c>
      <c r="B720" s="311" t="s">
        <v>1615</v>
      </c>
      <c r="C720" s="312" t="s">
        <v>2941</v>
      </c>
      <c r="D720" s="312" t="s">
        <v>31</v>
      </c>
      <c r="E720" s="313" t="n">
        <v>0.001463460891958</v>
      </c>
      <c r="F720" s="314" t="n">
        <v>61258.13</v>
      </c>
      <c r="G720" s="314" t="n">
        <f aca="false">VLOOKUP(A720,'INSUMOS SINAPI'!A:E,5,0)</f>
        <v>0</v>
      </c>
      <c r="H720" s="315" t="n">
        <f aca="false">F720-G720</f>
        <v>61258.13</v>
      </c>
      <c r="I720" s="288"/>
    </row>
    <row r="721" customFormat="false" ht="31.5" hidden="false" customHeight="false" outlineLevel="0" collapsed="false">
      <c r="A721" s="310" t="n">
        <v>44056</v>
      </c>
      <c r="B721" s="311" t="s">
        <v>2888</v>
      </c>
      <c r="C721" s="312" t="s">
        <v>2941</v>
      </c>
      <c r="D721" s="312" t="s">
        <v>31</v>
      </c>
      <c r="E721" s="313" t="n">
        <v>0.00027038048</v>
      </c>
      <c r="F721" s="314" t="n">
        <v>477088.26</v>
      </c>
      <c r="G721" s="314" t="n">
        <f aca="false">VLOOKUP(A721,'INSUMOS SINAPI'!A:E,5,0)</f>
        <v>0</v>
      </c>
      <c r="H721" s="315" t="n">
        <f aca="false">F721-G721</f>
        <v>477088.26</v>
      </c>
      <c r="I721" s="288"/>
    </row>
    <row r="722" customFormat="false" ht="31.5" hidden="false" customHeight="false" outlineLevel="0" collapsed="false">
      <c r="A722" s="310" t="n">
        <v>37752</v>
      </c>
      <c r="B722" s="311" t="s">
        <v>1616</v>
      </c>
      <c r="C722" s="312" t="s">
        <v>2941</v>
      </c>
      <c r="D722" s="312" t="s">
        <v>31</v>
      </c>
      <c r="E722" s="313" t="n">
        <v>0.001026966114564</v>
      </c>
      <c r="F722" s="314" t="n">
        <v>578010.79</v>
      </c>
      <c r="G722" s="314" t="n">
        <f aca="false">VLOOKUP(A722,'INSUMOS SINAPI'!A:E,5,0)</f>
        <v>0</v>
      </c>
      <c r="H722" s="315" t="n">
        <f aca="false">F722-G722</f>
        <v>578010.79</v>
      </c>
      <c r="I722" s="288"/>
    </row>
    <row r="723" customFormat="false" ht="31.5" hidden="false" customHeight="false" outlineLevel="0" collapsed="false">
      <c r="A723" s="310" t="n">
        <v>37758</v>
      </c>
      <c r="B723" s="311" t="s">
        <v>1472</v>
      </c>
      <c r="C723" s="312" t="s">
        <v>2941</v>
      </c>
      <c r="D723" s="312" t="s">
        <v>31</v>
      </c>
      <c r="E723" s="313" t="n">
        <v>0.0050924012176523</v>
      </c>
      <c r="F723" s="314" t="n">
        <v>728477.1</v>
      </c>
      <c r="G723" s="314" t="n">
        <f aca="false">VLOOKUP(A723,'INSUMOS SINAPI'!A:E,5,0)</f>
        <v>0</v>
      </c>
      <c r="H723" s="315" t="n">
        <f aca="false">F723-G723</f>
        <v>728477.1</v>
      </c>
      <c r="I723" s="288"/>
    </row>
    <row r="724" customFormat="false" ht="42" hidden="false" customHeight="false" outlineLevel="0" collapsed="false">
      <c r="A724" s="310" t="n">
        <v>37763</v>
      </c>
      <c r="B724" s="311" t="s">
        <v>1495</v>
      </c>
      <c r="C724" s="312" t="s">
        <v>2941</v>
      </c>
      <c r="D724" s="312" t="s">
        <v>31</v>
      </c>
      <c r="E724" s="313" t="n">
        <v>0.004039416216</v>
      </c>
      <c r="F724" s="314" t="n">
        <v>765159.12</v>
      </c>
      <c r="G724" s="314" t="n">
        <f aca="false">VLOOKUP(A724,'INSUMOS SINAPI'!A:E,5,0)</f>
        <v>0</v>
      </c>
      <c r="H724" s="315" t="n">
        <f aca="false">F724-G724</f>
        <v>765159.12</v>
      </c>
      <c r="I724" s="288"/>
    </row>
    <row r="725" customFormat="false" ht="42" hidden="false" customHeight="false" outlineLevel="0" collapsed="false">
      <c r="A725" s="310" t="n">
        <v>11281</v>
      </c>
      <c r="B725" s="311" t="s">
        <v>1561</v>
      </c>
      <c r="C725" s="312" t="s">
        <v>2941</v>
      </c>
      <c r="D725" s="312" t="s">
        <v>31</v>
      </c>
      <c r="E725" s="313" t="n">
        <v>0.00023051724</v>
      </c>
      <c r="F725" s="314" t="n">
        <v>12782.95</v>
      </c>
      <c r="G725" s="314" t="n">
        <f aca="false">VLOOKUP(A725,'INSUMOS SINAPI'!A:E,5,0)</f>
        <v>0</v>
      </c>
      <c r="H725" s="315" t="n">
        <f aca="false">F725-G725</f>
        <v>12782.95</v>
      </c>
      <c r="I725" s="288"/>
    </row>
    <row r="726" customFormat="false" ht="42" hidden="false" customHeight="false" outlineLevel="0" collapsed="false">
      <c r="A726" s="310" t="n">
        <v>1442</v>
      </c>
      <c r="B726" s="311" t="s">
        <v>1562</v>
      </c>
      <c r="C726" s="312" t="s">
        <v>2941</v>
      </c>
      <c r="D726" s="312" t="s">
        <v>31</v>
      </c>
      <c r="E726" s="313" t="n">
        <v>0.0051702099467</v>
      </c>
      <c r="F726" s="314" t="n">
        <v>10731.19</v>
      </c>
      <c r="G726" s="314" t="n">
        <f aca="false">VLOOKUP(A726,'INSUMOS SINAPI'!A:E,5,0)</f>
        <v>0</v>
      </c>
      <c r="H726" s="315" t="n">
        <f aca="false">F726-G726</f>
        <v>10731.19</v>
      </c>
      <c r="I726" s="288"/>
    </row>
    <row r="727" customFormat="false" ht="21" hidden="false" customHeight="false" outlineLevel="0" collapsed="false">
      <c r="A727" s="310" t="n">
        <v>13458</v>
      </c>
      <c r="B727" s="311" t="s">
        <v>1723</v>
      </c>
      <c r="C727" s="312" t="s">
        <v>2941</v>
      </c>
      <c r="D727" s="312" t="s">
        <v>31</v>
      </c>
      <c r="E727" s="313" t="n">
        <v>0.004956650778812</v>
      </c>
      <c r="F727" s="314" t="n">
        <v>15839.74</v>
      </c>
      <c r="G727" s="314" t="n">
        <f aca="false">VLOOKUP(A727,'INSUMOS SINAPI'!A:E,5,0)</f>
        <v>0</v>
      </c>
      <c r="H727" s="315" t="n">
        <f aca="false">F727-G727</f>
        <v>15839.74</v>
      </c>
      <c r="I727" s="288"/>
    </row>
    <row r="728" customFormat="false" ht="21" hidden="false" customHeight="false" outlineLevel="0" collapsed="false">
      <c r="A728" s="310" t="n">
        <v>36522</v>
      </c>
      <c r="B728" s="311" t="s">
        <v>1729</v>
      </c>
      <c r="C728" s="312" t="s">
        <v>2941</v>
      </c>
      <c r="D728" s="312" t="s">
        <v>31</v>
      </c>
      <c r="E728" s="313" t="n">
        <v>4.339667429955E-005</v>
      </c>
      <c r="F728" s="314" t="n">
        <v>98588.33</v>
      </c>
      <c r="G728" s="314" t="n">
        <f aca="false">VLOOKUP(A728,'INSUMOS SINAPI'!A:E,5,0)</f>
        <v>0</v>
      </c>
      <c r="H728" s="315" t="n">
        <f aca="false">F728-G728</f>
        <v>98588.33</v>
      </c>
      <c r="I728" s="288"/>
    </row>
    <row r="729" customFormat="false" ht="21" hidden="false" customHeight="false" outlineLevel="0" collapsed="false">
      <c r="A729" s="310" t="n">
        <v>13803</v>
      </c>
      <c r="B729" s="311" t="s">
        <v>1460</v>
      </c>
      <c r="C729" s="312" t="s">
        <v>2941</v>
      </c>
      <c r="D729" s="312" t="s">
        <v>31</v>
      </c>
      <c r="E729" s="313" t="n">
        <v>0.0226483872228</v>
      </c>
      <c r="F729" s="314" t="n">
        <v>131655</v>
      </c>
      <c r="G729" s="314" t="n">
        <f aca="false">VLOOKUP(A729,'INSUMOS SINAPI'!A:E,5,0)</f>
        <v>0</v>
      </c>
      <c r="H729" s="315" t="n">
        <f aca="false">F729-G729</f>
        <v>131655</v>
      </c>
      <c r="I729" s="288"/>
    </row>
    <row r="730" customFormat="false" ht="31.5" hidden="false" customHeight="false" outlineLevel="0" collapsed="false">
      <c r="A730" s="310" t="n">
        <v>11280</v>
      </c>
      <c r="B730" s="311" t="s">
        <v>1710</v>
      </c>
      <c r="C730" s="312" t="s">
        <v>2941</v>
      </c>
      <c r="D730" s="312" t="s">
        <v>31</v>
      </c>
      <c r="E730" s="313" t="n">
        <v>0.0057503290024</v>
      </c>
      <c r="F730" s="314" t="n">
        <v>11783.29</v>
      </c>
      <c r="G730" s="314" t="n">
        <f aca="false">VLOOKUP(A730,'INSUMOS SINAPI'!A:E,5,0)</f>
        <v>11783.29</v>
      </c>
      <c r="H730" s="315" t="n">
        <f aca="false">F730-G730</f>
        <v>0</v>
      </c>
      <c r="I730" s="288"/>
    </row>
    <row r="731" customFormat="false" ht="21" hidden="false" customHeight="false" outlineLevel="0" collapsed="false">
      <c r="A731" s="310" t="n">
        <v>14525</v>
      </c>
      <c r="B731" s="311" t="s">
        <v>1496</v>
      </c>
      <c r="C731" s="312" t="s">
        <v>2941</v>
      </c>
      <c r="D731" s="312" t="s">
        <v>31</v>
      </c>
      <c r="E731" s="313" t="n">
        <v>0.0018329050656</v>
      </c>
      <c r="F731" s="314" t="n">
        <v>961801.77</v>
      </c>
      <c r="G731" s="314" t="n">
        <f aca="false">VLOOKUP(A731,'INSUMOS SINAPI'!A:E,5,0)</f>
        <v>0</v>
      </c>
      <c r="H731" s="315" t="n">
        <f aca="false">F731-G731</f>
        <v>961801.77</v>
      </c>
      <c r="I731" s="288"/>
    </row>
    <row r="732" customFormat="false" ht="21" hidden="false" customHeight="false" outlineLevel="0" collapsed="false">
      <c r="A732" s="310" t="n">
        <v>10685</v>
      </c>
      <c r="B732" s="311" t="s">
        <v>1473</v>
      </c>
      <c r="C732" s="312" t="s">
        <v>2941</v>
      </c>
      <c r="D732" s="312" t="s">
        <v>31</v>
      </c>
      <c r="E732" s="313" t="n">
        <v>0.003649999838284</v>
      </c>
      <c r="F732" s="314" t="n">
        <v>850000</v>
      </c>
      <c r="G732" s="314" t="n">
        <f aca="false">VLOOKUP(A732,'INSUMOS SINAPI'!A:E,5,0)</f>
        <v>0</v>
      </c>
      <c r="H732" s="315" t="n">
        <f aca="false">F732-G732</f>
        <v>850000</v>
      </c>
      <c r="I732" s="288"/>
    </row>
    <row r="733" customFormat="false" ht="31.5" hidden="false" customHeight="false" outlineLevel="0" collapsed="false">
      <c r="A733" s="310" t="s">
        <v>2011</v>
      </c>
      <c r="B733" s="311" t="s">
        <v>2010</v>
      </c>
      <c r="C733" s="312" t="s">
        <v>2941</v>
      </c>
      <c r="D733" s="312" t="s">
        <v>31</v>
      </c>
      <c r="E733" s="313" t="n">
        <v>1</v>
      </c>
      <c r="F733" s="314" t="n">
        <v>183355.03</v>
      </c>
      <c r="G733" s="314" t="e">
        <f aca="false">VLOOKUP(A733,'INSUMOS SINAPI'!A:E,5,0)</f>
        <v>#N/A</v>
      </c>
      <c r="H733" s="315" t="e">
        <f aca="false">F733-G733</f>
        <v>#N/A</v>
      </c>
      <c r="I733" s="288" t="str">
        <f aca="false">IF(F733=VLOOKUP(A733,04_PESQUISAS!A:G,7,0),"OK","NÃO")</f>
        <v>OK</v>
      </c>
    </row>
    <row r="734" customFormat="false" ht="21" hidden="false" customHeight="false" outlineLevel="0" collapsed="false">
      <c r="A734" s="310" t="s">
        <v>2009</v>
      </c>
      <c r="B734" s="311" t="s">
        <v>2008</v>
      </c>
      <c r="C734" s="312" t="s">
        <v>2941</v>
      </c>
      <c r="D734" s="312" t="s">
        <v>31</v>
      </c>
      <c r="E734" s="313" t="n">
        <v>1</v>
      </c>
      <c r="F734" s="314" t="n">
        <v>181322.22</v>
      </c>
      <c r="G734" s="314" t="e">
        <f aca="false">VLOOKUP(A734,'INSUMOS SINAPI'!A:E,5,0)</f>
        <v>#N/A</v>
      </c>
      <c r="H734" s="315" t="e">
        <f aca="false">F734-G734</f>
        <v>#N/A</v>
      </c>
      <c r="I734" s="288" t="str">
        <f aca="false">IF(F734=VLOOKUP(A734,04_PESQUISAS!A:G,7,0),"OK","NÃO")</f>
        <v>OK</v>
      </c>
    </row>
    <row r="735" customFormat="false" ht="21" hidden="false" customHeight="false" outlineLevel="0" collapsed="false">
      <c r="A735" s="310" t="n">
        <v>36487</v>
      </c>
      <c r="B735" s="311" t="s">
        <v>1526</v>
      </c>
      <c r="C735" s="312" t="s">
        <v>2941</v>
      </c>
      <c r="D735" s="312" t="s">
        <v>31</v>
      </c>
      <c r="E735" s="313" t="n">
        <v>0.0042709141556</v>
      </c>
      <c r="F735" s="314" t="n">
        <v>6017.74</v>
      </c>
      <c r="G735" s="314" t="n">
        <f aca="false">VLOOKUP(A735,'INSUMOS SINAPI'!A:E,5,0)</f>
        <v>6017.74</v>
      </c>
      <c r="H735" s="315" t="n">
        <f aca="false">F735-G735</f>
        <v>0</v>
      </c>
      <c r="I735" s="288"/>
    </row>
    <row r="736" customFormat="false" ht="31.5" hidden="false" customHeight="false" outlineLevel="0" collapsed="false">
      <c r="A736" s="310" t="n">
        <v>44474</v>
      </c>
      <c r="B736" s="311" t="s">
        <v>1563</v>
      </c>
      <c r="C736" s="312" t="s">
        <v>2941</v>
      </c>
      <c r="D736" s="312" t="s">
        <v>31</v>
      </c>
      <c r="E736" s="313" t="n">
        <v>0.0016545532118</v>
      </c>
      <c r="F736" s="314" t="n">
        <v>2485831.6</v>
      </c>
      <c r="G736" s="314" t="n">
        <f aca="false">VLOOKUP(A736,'INSUMOS SINAPI'!A:E,5,0)</f>
        <v>0</v>
      </c>
      <c r="H736" s="315" t="n">
        <f aca="false">F736-G736</f>
        <v>2485831.6</v>
      </c>
      <c r="I736" s="288"/>
    </row>
    <row r="737" customFormat="false" ht="42" hidden="false" customHeight="false" outlineLevel="0" collapsed="false">
      <c r="A737" s="310" t="n">
        <v>10712</v>
      </c>
      <c r="B737" s="311" t="s">
        <v>2889</v>
      </c>
      <c r="C737" s="312" t="s">
        <v>2941</v>
      </c>
      <c r="D737" s="312" t="s">
        <v>31</v>
      </c>
      <c r="E737" s="313" t="n">
        <v>0.00035992604</v>
      </c>
      <c r="F737" s="314" t="n">
        <v>101983.98</v>
      </c>
      <c r="G737" s="314" t="n">
        <f aca="false">VLOOKUP(A737,'INSUMOS SINAPI'!A:E,5,0)</f>
        <v>0</v>
      </c>
      <c r="H737" s="315" t="n">
        <f aca="false">F737-G737</f>
        <v>101983.98</v>
      </c>
      <c r="I737" s="288"/>
    </row>
    <row r="738" customFormat="false" ht="21" hidden="false" customHeight="false" outlineLevel="0" collapsed="false">
      <c r="A738" s="310" t="n">
        <v>40271</v>
      </c>
      <c r="B738" s="311" t="s">
        <v>1637</v>
      </c>
      <c r="C738" s="312" t="s">
        <v>2941</v>
      </c>
      <c r="D738" s="312" t="s">
        <v>3666</v>
      </c>
      <c r="E738" s="313" t="n">
        <v>243.351076867</v>
      </c>
      <c r="F738" s="314" t="n">
        <v>22.96</v>
      </c>
      <c r="G738" s="314" t="n">
        <f aca="false">VLOOKUP(A738,'INSUMOS SINAPI'!A:E,5,0)</f>
        <v>22.96</v>
      </c>
      <c r="H738" s="315" t="n">
        <f aca="false">F738-G738</f>
        <v>0</v>
      </c>
      <c r="I738" s="288"/>
    </row>
    <row r="739" customFormat="false" ht="21" hidden="false" customHeight="false" outlineLevel="0" collapsed="false">
      <c r="A739" s="310" t="n">
        <v>40287</v>
      </c>
      <c r="B739" s="311" t="s">
        <v>1639</v>
      </c>
      <c r="C739" s="312" t="s">
        <v>2941</v>
      </c>
      <c r="D739" s="312" t="s">
        <v>1416</v>
      </c>
      <c r="E739" s="313" t="n">
        <v>1559.396883734</v>
      </c>
      <c r="F739" s="314" t="n">
        <v>8.84</v>
      </c>
      <c r="G739" s="314" t="n">
        <f aca="false">VLOOKUP(A739,'INSUMOS SINAPI'!A:E,5,0)</f>
        <v>8.84</v>
      </c>
      <c r="H739" s="315" t="n">
        <f aca="false">F739-G739</f>
        <v>0</v>
      </c>
      <c r="I739" s="288"/>
    </row>
    <row r="740" customFormat="false" ht="31.5" hidden="false" customHeight="false" outlineLevel="0" collapsed="false">
      <c r="A740" s="310" t="n">
        <v>10777</v>
      </c>
      <c r="B740" s="311" t="s">
        <v>1521</v>
      </c>
      <c r="C740" s="312" t="s">
        <v>2941</v>
      </c>
      <c r="D740" s="312" t="s">
        <v>1416</v>
      </c>
      <c r="E740" s="313" t="n">
        <v>16</v>
      </c>
      <c r="F740" s="314" t="n">
        <v>962.26</v>
      </c>
      <c r="G740" s="314" t="n">
        <f aca="false">VLOOKUP(A740,'INSUMOS SINAPI'!A:E,5,0)</f>
        <v>0</v>
      </c>
      <c r="H740" s="315" t="n">
        <f aca="false">F740-G740</f>
        <v>962.26</v>
      </c>
      <c r="I740" s="288"/>
    </row>
    <row r="741" customFormat="false" ht="31.5" hidden="false" customHeight="false" outlineLevel="0" collapsed="false">
      <c r="A741" s="310" t="n">
        <v>10775</v>
      </c>
      <c r="B741" s="311" t="s">
        <v>1519</v>
      </c>
      <c r="C741" s="312" t="s">
        <v>2941</v>
      </c>
      <c r="D741" s="312" t="s">
        <v>1416</v>
      </c>
      <c r="E741" s="313" t="n">
        <v>16</v>
      </c>
      <c r="F741" s="314" t="n">
        <v>847.5</v>
      </c>
      <c r="G741" s="314" t="n">
        <f aca="false">VLOOKUP(A741,'INSUMOS SINAPI'!A:E,5,0)</f>
        <v>0</v>
      </c>
      <c r="H741" s="315" t="n">
        <f aca="false">F741-G741</f>
        <v>847.5</v>
      </c>
      <c r="I741" s="288"/>
    </row>
    <row r="742" customFormat="false" ht="31.5" hidden="false" customHeight="false" outlineLevel="0" collapsed="false">
      <c r="A742" s="310" t="n">
        <v>40339</v>
      </c>
      <c r="B742" s="311" t="s">
        <v>1675</v>
      </c>
      <c r="C742" s="312" t="s">
        <v>2941</v>
      </c>
      <c r="D742" s="312" t="s">
        <v>3666</v>
      </c>
      <c r="E742" s="313" t="n">
        <v>1647.87584</v>
      </c>
      <c r="F742" s="314" t="n">
        <v>8.05</v>
      </c>
      <c r="G742" s="314" t="n">
        <f aca="false">VLOOKUP(A742,'INSUMOS SINAPI'!A:E,5,0)</f>
        <v>8.05</v>
      </c>
      <c r="H742" s="315" t="n">
        <f aca="false">F742-G742</f>
        <v>0</v>
      </c>
      <c r="I742" s="288"/>
    </row>
    <row r="743" customFormat="false" ht="31.5" hidden="false" customHeight="false" outlineLevel="0" collapsed="false">
      <c r="A743" s="310" t="n">
        <v>10749</v>
      </c>
      <c r="B743" s="311" t="s">
        <v>1676</v>
      </c>
      <c r="C743" s="312" t="s">
        <v>2941</v>
      </c>
      <c r="D743" s="312" t="s">
        <v>3666</v>
      </c>
      <c r="E743" s="313" t="n">
        <v>1810.16547</v>
      </c>
      <c r="F743" s="314" t="n">
        <v>26.62</v>
      </c>
      <c r="G743" s="314" t="n">
        <f aca="false">VLOOKUP(A743,'INSUMOS SINAPI'!A:E,5,0)</f>
        <v>26.62</v>
      </c>
      <c r="H743" s="315" t="n">
        <f aca="false">F743-G743</f>
        <v>0</v>
      </c>
      <c r="I743" s="288"/>
    </row>
    <row r="744" customFormat="false" ht="31.5" hidden="false" customHeight="false" outlineLevel="0" collapsed="false">
      <c r="A744" s="310" t="n">
        <v>40291</v>
      </c>
      <c r="B744" s="311" t="s">
        <v>1754</v>
      </c>
      <c r="C744" s="312" t="s">
        <v>2941</v>
      </c>
      <c r="D744" s="312" t="s">
        <v>3666</v>
      </c>
      <c r="E744" s="313" t="n">
        <v>0.197</v>
      </c>
      <c r="F744" s="314" t="n">
        <v>750</v>
      </c>
      <c r="G744" s="314" t="n">
        <f aca="false">VLOOKUP(A744,'INSUMOS SINAPI'!A:E,5,0)</f>
        <v>750</v>
      </c>
      <c r="H744" s="315" t="n">
        <f aca="false">F744-G744</f>
        <v>0</v>
      </c>
      <c r="I744" s="288"/>
    </row>
    <row r="745" customFormat="false" ht="31.5" hidden="false" customHeight="false" outlineLevel="0" collapsed="false">
      <c r="A745" s="310" t="n">
        <v>40275</v>
      </c>
      <c r="B745" s="311" t="s">
        <v>1640</v>
      </c>
      <c r="C745" s="312" t="s">
        <v>2941</v>
      </c>
      <c r="D745" s="312" t="s">
        <v>3666</v>
      </c>
      <c r="E745" s="313" t="n">
        <v>949.251451231</v>
      </c>
      <c r="F745" s="314" t="n">
        <v>24</v>
      </c>
      <c r="G745" s="314" t="n">
        <f aca="false">VLOOKUP(A745,'INSUMOS SINAPI'!A:E,5,0)</f>
        <v>24</v>
      </c>
      <c r="H745" s="315" t="n">
        <f aca="false">F745-G745</f>
        <v>0</v>
      </c>
      <c r="I745" s="288"/>
    </row>
    <row r="746" customFormat="false" ht="52.5" hidden="false" customHeight="false" outlineLevel="0" collapsed="false">
      <c r="A746" s="310" t="n">
        <v>39813</v>
      </c>
      <c r="B746" s="311" t="s">
        <v>1730</v>
      </c>
      <c r="C746" s="312" t="s">
        <v>2941</v>
      </c>
      <c r="D746" s="312" t="s">
        <v>31</v>
      </c>
      <c r="E746" s="313" t="n">
        <v>4.94608646532E-005</v>
      </c>
      <c r="F746" s="314" t="n">
        <v>38940.2</v>
      </c>
      <c r="G746" s="314" t="n">
        <f aca="false">VLOOKUP(A746,'INSUMOS SINAPI'!A:E,5,0)</f>
        <v>0</v>
      </c>
      <c r="H746" s="315" t="n">
        <f aca="false">F746-G746</f>
        <v>38940.2</v>
      </c>
      <c r="I746" s="288"/>
    </row>
    <row r="747" customFormat="false" ht="31.5" hidden="false" customHeight="false" outlineLevel="0" collapsed="false">
      <c r="A747" s="310" t="n">
        <v>40703</v>
      </c>
      <c r="B747" s="311" t="s">
        <v>1466</v>
      </c>
      <c r="C747" s="312" t="s">
        <v>2941</v>
      </c>
      <c r="D747" s="312" t="s">
        <v>31</v>
      </c>
      <c r="E747" s="313" t="n">
        <v>0.1132782257824</v>
      </c>
      <c r="F747" s="314" t="n">
        <v>10808.5</v>
      </c>
      <c r="G747" s="314" t="n">
        <f aca="false">VLOOKUP(A747,'INSUMOS SINAPI'!A:E,5,0)</f>
        <v>0</v>
      </c>
      <c r="H747" s="315" t="n">
        <f aca="false">F747-G747</f>
        <v>10808.5</v>
      </c>
      <c r="I747" s="288"/>
    </row>
    <row r="748" customFormat="false" ht="21" hidden="false" customHeight="false" outlineLevel="0" collapsed="false">
      <c r="A748" s="310" t="n">
        <v>41898</v>
      </c>
      <c r="B748" s="311" t="s">
        <v>1461</v>
      </c>
      <c r="C748" s="312" t="s">
        <v>2941</v>
      </c>
      <c r="D748" s="312" t="s">
        <v>31</v>
      </c>
      <c r="E748" s="313" t="n">
        <v>0.0266746524</v>
      </c>
      <c r="F748" s="314" t="n">
        <v>24642.12</v>
      </c>
      <c r="G748" s="314" t="n">
        <f aca="false">VLOOKUP(A748,'INSUMOS SINAPI'!A:E,5,0)</f>
        <v>0</v>
      </c>
      <c r="H748" s="315" t="n">
        <f aca="false">F748-G748</f>
        <v>24642.12</v>
      </c>
      <c r="I748" s="288"/>
    </row>
    <row r="749" customFormat="false" ht="21" hidden="false" customHeight="false" outlineLevel="0" collapsed="false">
      <c r="A749" s="310" t="n">
        <v>37514</v>
      </c>
      <c r="B749" s="311" t="s">
        <v>1724</v>
      </c>
      <c r="C749" s="312" t="s">
        <v>2941</v>
      </c>
      <c r="D749" s="312" t="s">
        <v>31</v>
      </c>
      <c r="E749" s="313" t="n">
        <v>0.000460005126</v>
      </c>
      <c r="F749" s="314" t="n">
        <v>332500</v>
      </c>
      <c r="G749" s="314" t="n">
        <f aca="false">VLOOKUP(A749,'INSUMOS SINAPI'!A:E,5,0)</f>
        <v>0</v>
      </c>
      <c r="H749" s="315" t="n">
        <f aca="false">F749-G749</f>
        <v>332500</v>
      </c>
      <c r="I749" s="288"/>
    </row>
    <row r="750" customFormat="false" ht="21" hidden="false" customHeight="false" outlineLevel="0" collapsed="false">
      <c r="A750" s="310" t="n">
        <v>37520</v>
      </c>
      <c r="B750" s="311" t="s">
        <v>1649</v>
      </c>
      <c r="C750" s="312" t="s">
        <v>2941</v>
      </c>
      <c r="D750" s="312" t="s">
        <v>31</v>
      </c>
      <c r="E750" s="313" t="n">
        <v>0.002303652896</v>
      </c>
      <c r="F750" s="314" t="n">
        <v>504732.83</v>
      </c>
      <c r="G750" s="314" t="n">
        <f aca="false">VLOOKUP(A750,'INSUMOS SINAPI'!A:E,5,0)</f>
        <v>0</v>
      </c>
      <c r="H750" s="315" t="n">
        <f aca="false">F750-G750</f>
        <v>504732.83</v>
      </c>
      <c r="I750" s="288"/>
    </row>
    <row r="751" customFormat="false" ht="21" hidden="false" customHeight="false" outlineLevel="0" collapsed="false">
      <c r="A751" s="310" t="n">
        <v>4090</v>
      </c>
      <c r="B751" s="311" t="s">
        <v>1499</v>
      </c>
      <c r="C751" s="312" t="s">
        <v>2941</v>
      </c>
      <c r="D751" s="312" t="s">
        <v>31</v>
      </c>
      <c r="E751" s="313" t="n">
        <v>0.0021460461216205</v>
      </c>
      <c r="F751" s="314" t="n">
        <v>1150000</v>
      </c>
      <c r="G751" s="314" t="n">
        <f aca="false">VLOOKUP(A751,'INSUMOS SINAPI'!A:E,5,0)</f>
        <v>0</v>
      </c>
      <c r="H751" s="315" t="n">
        <f aca="false">F751-G751</f>
        <v>1150000</v>
      </c>
      <c r="I751" s="288"/>
    </row>
    <row r="752" customFormat="false" ht="15" hidden="false" customHeight="false" outlineLevel="0" collapsed="false">
      <c r="A752" s="310" t="s">
        <v>2524</v>
      </c>
      <c r="B752" s="311" t="s">
        <v>2525</v>
      </c>
      <c r="C752" s="312" t="s">
        <v>2941</v>
      </c>
      <c r="D752" s="312" t="s">
        <v>31</v>
      </c>
      <c r="E752" s="313" t="n">
        <v>1</v>
      </c>
      <c r="F752" s="314" t="n">
        <v>46489.9166666667</v>
      </c>
      <c r="G752" s="314" t="e">
        <f aca="false">VLOOKUP(A752,'INSUMOS SINAPI'!A:E,5,0)</f>
        <v>#N/A</v>
      </c>
      <c r="H752" s="315" t="e">
        <f aca="false">F752-G752</f>
        <v>#N/A</v>
      </c>
      <c r="I752" s="288" t="str">
        <f aca="false">IF(F752=VLOOKUP(A752,04_PESQUISAS!A:G,7,0),"OK","NÃO")</f>
        <v>OK</v>
      </c>
    </row>
    <row r="753" customFormat="false" ht="31.5" hidden="false" customHeight="false" outlineLevel="0" collapsed="false">
      <c r="A753" s="310" t="n">
        <v>4262</v>
      </c>
      <c r="B753" s="311" t="s">
        <v>1450</v>
      </c>
      <c r="C753" s="312" t="s">
        <v>2941</v>
      </c>
      <c r="D753" s="312" t="s">
        <v>31</v>
      </c>
      <c r="E753" s="313" t="n">
        <v>0.015335165835192</v>
      </c>
      <c r="F753" s="314" t="n">
        <v>665000</v>
      </c>
      <c r="G753" s="314" t="n">
        <f aca="false">VLOOKUP(A753,'INSUMOS SINAPI'!A:E,5,0)</f>
        <v>0</v>
      </c>
      <c r="H753" s="315" t="n">
        <f aca="false">F753-G753</f>
        <v>665000</v>
      </c>
      <c r="I753" s="288"/>
    </row>
    <row r="754" customFormat="false" ht="42" hidden="false" customHeight="false" outlineLevel="0" collapsed="false">
      <c r="A754" s="310" t="n">
        <v>38541</v>
      </c>
      <c r="B754" s="311" t="s">
        <v>1617</v>
      </c>
      <c r="C754" s="312" t="s">
        <v>2941</v>
      </c>
      <c r="D754" s="312" t="s">
        <v>31</v>
      </c>
      <c r="E754" s="313" t="n">
        <v>0.0157734005</v>
      </c>
      <c r="F754" s="314" t="n">
        <v>4594594.59</v>
      </c>
      <c r="G754" s="314" t="n">
        <f aca="false">VLOOKUP(A754,'INSUMOS SINAPI'!A:E,5,0)</f>
        <v>0</v>
      </c>
      <c r="H754" s="315" t="n">
        <f aca="false">F754-G754</f>
        <v>4594594.59</v>
      </c>
      <c r="I754" s="288"/>
    </row>
    <row r="755" customFormat="false" ht="31.5" hidden="false" customHeight="false" outlineLevel="0" collapsed="false">
      <c r="A755" s="310" t="n">
        <v>40791</v>
      </c>
      <c r="B755" s="311" t="s">
        <v>1750</v>
      </c>
      <c r="C755" s="312" t="s">
        <v>2941</v>
      </c>
      <c r="D755" s="312" t="s">
        <v>31</v>
      </c>
      <c r="E755" s="313" t="n">
        <v>7.0404E-005</v>
      </c>
      <c r="F755" s="314" t="n">
        <v>32836.22</v>
      </c>
      <c r="G755" s="314" t="n">
        <f aca="false">VLOOKUP(A755,'INSUMOS SINAPI'!A:E,5,0)</f>
        <v>0</v>
      </c>
      <c r="H755" s="315" t="n">
        <f aca="false">F755-G755</f>
        <v>32836.22</v>
      </c>
      <c r="I755" s="288"/>
    </row>
    <row r="756" customFormat="false" ht="15" hidden="false" customHeight="false" outlineLevel="0" collapsed="false">
      <c r="A756" s="310" t="s">
        <v>2353</v>
      </c>
      <c r="B756" s="311" t="s">
        <v>2354</v>
      </c>
      <c r="C756" s="312" t="s">
        <v>2941</v>
      </c>
      <c r="D756" s="312" t="s">
        <v>31</v>
      </c>
      <c r="E756" s="313" t="n">
        <v>1</v>
      </c>
      <c r="F756" s="314" t="n">
        <v>848.966666666667</v>
      </c>
      <c r="G756" s="314" t="e">
        <f aca="false">VLOOKUP(A756,'INSUMOS SINAPI'!A:E,5,0)</f>
        <v>#N/A</v>
      </c>
      <c r="H756" s="315" t="e">
        <f aca="false">F756-G756</f>
        <v>#N/A</v>
      </c>
      <c r="I756" s="288" t="str">
        <f aca="false">IF(F756=VLOOKUP(A756,04_PESQUISAS!A:G,7,0),"OK","NÃO")</f>
        <v>OK</v>
      </c>
    </row>
    <row r="757" customFormat="false" ht="52.5" hidden="false" customHeight="false" outlineLevel="0" collapsed="false">
      <c r="A757" s="310" t="n">
        <v>36531</v>
      </c>
      <c r="B757" s="311" t="s">
        <v>1493</v>
      </c>
      <c r="C757" s="312" t="s">
        <v>2941</v>
      </c>
      <c r="D757" s="312" t="s">
        <v>31</v>
      </c>
      <c r="E757" s="313" t="n">
        <v>0.00336491493171409</v>
      </c>
      <c r="F757" s="314" t="n">
        <v>466463.38</v>
      </c>
      <c r="G757" s="314" t="n">
        <f aca="false">VLOOKUP(A757,'INSUMOS SINAPI'!A:E,5,0)</f>
        <v>0</v>
      </c>
      <c r="H757" s="315" t="n">
        <f aca="false">F757-G757</f>
        <v>466463.38</v>
      </c>
      <c r="I757" s="288"/>
    </row>
    <row r="758" customFormat="false" ht="31.5" hidden="false" customHeight="false" outlineLevel="0" collapsed="false">
      <c r="A758" s="310" t="n">
        <v>14511</v>
      </c>
      <c r="B758" s="311" t="s">
        <v>1506</v>
      </c>
      <c r="C758" s="312" t="s">
        <v>2941</v>
      </c>
      <c r="D758" s="312" t="s">
        <v>31</v>
      </c>
      <c r="E758" s="313" t="n">
        <v>0.00067050596774</v>
      </c>
      <c r="F758" s="314" t="n">
        <v>1051962.75</v>
      </c>
      <c r="G758" s="314" t="n">
        <f aca="false">VLOOKUP(A758,'INSUMOS SINAPI'!A:E,5,0)</f>
        <v>0</v>
      </c>
      <c r="H758" s="315" t="n">
        <f aca="false">F758-G758</f>
        <v>1051962.75</v>
      </c>
      <c r="I758" s="288"/>
    </row>
    <row r="759" customFormat="false" ht="31.5" hidden="false" customHeight="false" outlineLevel="0" collapsed="false">
      <c r="A759" s="310" t="n">
        <v>14513</v>
      </c>
      <c r="B759" s="311" t="s">
        <v>1500</v>
      </c>
      <c r="C759" s="312" t="s">
        <v>2941</v>
      </c>
      <c r="D759" s="312" t="s">
        <v>31</v>
      </c>
      <c r="E759" s="313" t="n">
        <v>0.0014736863821218</v>
      </c>
      <c r="F759" s="314" t="n">
        <v>659269.78</v>
      </c>
      <c r="G759" s="314" t="n">
        <f aca="false">VLOOKUP(A759,'INSUMOS SINAPI'!A:E,5,0)</f>
        <v>0</v>
      </c>
      <c r="H759" s="315" t="n">
        <f aca="false">F759-G759</f>
        <v>659269.78</v>
      </c>
      <c r="I759" s="288"/>
    </row>
    <row r="760" customFormat="false" ht="31.5" hidden="false" customHeight="false" outlineLevel="0" collapsed="false">
      <c r="A760" s="310" t="n">
        <v>37744</v>
      </c>
      <c r="B760" s="311" t="s">
        <v>1497</v>
      </c>
      <c r="C760" s="312" t="s">
        <v>2941</v>
      </c>
      <c r="D760" s="312" t="s">
        <v>31</v>
      </c>
      <c r="E760" s="313" t="n">
        <v>0.0057471354504</v>
      </c>
      <c r="F760" s="314" t="n">
        <v>279656.7</v>
      </c>
      <c r="G760" s="314" t="n">
        <f aca="false">VLOOKUP(A760,'INSUMOS SINAPI'!A:E,5,0)</f>
        <v>0</v>
      </c>
      <c r="H760" s="315" t="n">
        <f aca="false">F760-G760</f>
        <v>279656.7</v>
      </c>
      <c r="I760" s="288"/>
    </row>
    <row r="761" customFormat="false" ht="21" hidden="false" customHeight="false" outlineLevel="0" collapsed="false">
      <c r="A761" s="310" t="n">
        <v>14618</v>
      </c>
      <c r="B761" s="311" t="s">
        <v>1592</v>
      </c>
      <c r="C761" s="312" t="s">
        <v>2941</v>
      </c>
      <c r="D761" s="312" t="s">
        <v>31</v>
      </c>
      <c r="E761" s="313" t="n">
        <v>0.109472787185491</v>
      </c>
      <c r="F761" s="314" t="n">
        <v>1283.38</v>
      </c>
      <c r="G761" s="314" t="n">
        <f aca="false">VLOOKUP(A761,'INSUMOS SINAPI'!A:E,5,0)</f>
        <v>1283.38</v>
      </c>
      <c r="H761" s="315" t="n">
        <f aca="false">F761-G761</f>
        <v>0</v>
      </c>
      <c r="I761" s="288"/>
    </row>
    <row r="762" customFormat="false" ht="42" hidden="false" customHeight="false" outlineLevel="0" collapsed="false">
      <c r="A762" s="310" t="n">
        <v>37736</v>
      </c>
      <c r="B762" s="311" t="s">
        <v>1501</v>
      </c>
      <c r="C762" s="312" t="s">
        <v>2941</v>
      </c>
      <c r="D762" s="312" t="s">
        <v>31</v>
      </c>
      <c r="E762" s="313" t="n">
        <v>0.0023658132902219</v>
      </c>
      <c r="F762" s="314" t="n">
        <v>85950</v>
      </c>
      <c r="G762" s="314" t="n">
        <f aca="false">VLOOKUP(A762,'INSUMOS SINAPI'!A:E,5,0)</f>
        <v>0</v>
      </c>
      <c r="H762" s="315" t="n">
        <f aca="false">F762-G762</f>
        <v>85950</v>
      </c>
      <c r="I762" s="288"/>
    </row>
    <row r="763" customFormat="false" ht="21" hidden="false" customHeight="false" outlineLevel="0" collapsed="false">
      <c r="A763" s="310" t="n">
        <v>13896</v>
      </c>
      <c r="B763" s="311" t="s">
        <v>1564</v>
      </c>
      <c r="C763" s="312" t="s">
        <v>2941</v>
      </c>
      <c r="D763" s="312" t="s">
        <v>31</v>
      </c>
      <c r="E763" s="313" t="n">
        <v>0.039966066149324</v>
      </c>
      <c r="F763" s="314" t="n">
        <v>3390.99</v>
      </c>
      <c r="G763" s="314" t="n">
        <f aca="false">VLOOKUP(A763,'INSUMOS SINAPI'!A:E,5,0)</f>
        <v>0</v>
      </c>
      <c r="H763" s="315" t="n">
        <f aca="false">F763-G763</f>
        <v>3390.99</v>
      </c>
      <c r="I763" s="288"/>
    </row>
    <row r="764" customFormat="false" ht="21" hidden="false" customHeight="false" outlineLevel="0" collapsed="false">
      <c r="A764" s="317" t="n">
        <v>43505</v>
      </c>
      <c r="B764" s="318" t="s">
        <v>1417</v>
      </c>
      <c r="C764" s="319" t="s">
        <v>2941</v>
      </c>
      <c r="D764" s="319" t="s">
        <v>3667</v>
      </c>
      <c r="E764" s="320"/>
      <c r="F764" s="321" t="n">
        <v>138.98</v>
      </c>
      <c r="G764" s="321" t="n">
        <f aca="false">VLOOKUP(A764,'INSUMOS SINAPI'!A:E,5,0)</f>
        <v>138.98</v>
      </c>
      <c r="H764" s="322" t="n">
        <f aca="false">F764-G764</f>
        <v>0</v>
      </c>
      <c r="I764" s="288"/>
    </row>
    <row r="765" customFormat="false" ht="21" hidden="false" customHeight="false" outlineLevel="0" collapsed="false">
      <c r="A765" s="317" t="n">
        <v>40863</v>
      </c>
      <c r="B765" s="318" t="s">
        <v>1418</v>
      </c>
      <c r="C765" s="319" t="s">
        <v>2941</v>
      </c>
      <c r="D765" s="319" t="s">
        <v>3667</v>
      </c>
      <c r="E765" s="320"/>
      <c r="F765" s="321" t="n">
        <v>270.51</v>
      </c>
      <c r="G765" s="321" t="n">
        <f aca="false">VLOOKUP(A765,'INSUMOS SINAPI'!A:E,5,0)</f>
        <v>270.51</v>
      </c>
      <c r="H765" s="322" t="n">
        <f aca="false">F765-G765</f>
        <v>0</v>
      </c>
      <c r="I765" s="288"/>
    </row>
    <row r="766" customFormat="false" ht="21" hidden="false" customHeight="false" outlineLevel="0" collapsed="false">
      <c r="A766" s="317" t="n">
        <v>43481</v>
      </c>
      <c r="B766" s="318" t="s">
        <v>1419</v>
      </c>
      <c r="C766" s="319" t="s">
        <v>2941</v>
      </c>
      <c r="D766" s="319" t="s">
        <v>3667</v>
      </c>
      <c r="E766" s="320"/>
      <c r="F766" s="321" t="n">
        <v>9.89</v>
      </c>
      <c r="G766" s="321" t="n">
        <f aca="false">VLOOKUP(A766,'INSUMOS SINAPI'!A:E,5,0)</f>
        <v>9.89</v>
      </c>
      <c r="H766" s="322" t="n">
        <f aca="false">F766-G766</f>
        <v>0</v>
      </c>
      <c r="I766" s="288"/>
    </row>
    <row r="767" customFormat="false" ht="21" hidden="false" customHeight="false" outlineLevel="0" collapsed="false">
      <c r="A767" s="317" t="n">
        <v>40864</v>
      </c>
      <c r="B767" s="318" t="s">
        <v>1420</v>
      </c>
      <c r="C767" s="319" t="s">
        <v>2941</v>
      </c>
      <c r="D767" s="319" t="s">
        <v>3667</v>
      </c>
      <c r="E767" s="320"/>
      <c r="F767" s="321" t="n">
        <v>15.46</v>
      </c>
      <c r="G767" s="321" t="n">
        <f aca="false">VLOOKUP(A767,'INSUMOS SINAPI'!A:E,5,0)</f>
        <v>15.46</v>
      </c>
      <c r="H767" s="322" t="n">
        <f aca="false">F767-G767</f>
        <v>0</v>
      </c>
      <c r="I767" s="288"/>
    </row>
    <row r="768" customFormat="false" ht="21" hidden="false" customHeight="false" outlineLevel="0" collapsed="false">
      <c r="A768" s="317" t="n">
        <v>43494</v>
      </c>
      <c r="B768" s="318" t="s">
        <v>1423</v>
      </c>
      <c r="C768" s="319" t="s">
        <v>2941</v>
      </c>
      <c r="D768" s="319" t="s">
        <v>3667</v>
      </c>
      <c r="E768" s="320"/>
      <c r="F768" s="321" t="n">
        <v>153.54</v>
      </c>
      <c r="G768" s="321" t="n">
        <f aca="false">VLOOKUP(A768,'INSUMOS SINAPI'!A:E,5,0)</f>
        <v>153.54</v>
      </c>
      <c r="H768" s="322" t="n">
        <f aca="false">F768-G768</f>
        <v>0</v>
      </c>
      <c r="I768" s="288"/>
    </row>
    <row r="769" customFormat="false" ht="21" hidden="false" customHeight="false" outlineLevel="0" collapsed="false">
      <c r="A769" s="317" t="n">
        <v>43470</v>
      </c>
      <c r="B769" s="318" t="s">
        <v>1424</v>
      </c>
      <c r="C769" s="319" t="s">
        <v>2941</v>
      </c>
      <c r="D769" s="319" t="s">
        <v>3667</v>
      </c>
      <c r="E769" s="320"/>
      <c r="F769" s="321" t="n">
        <v>11.14</v>
      </c>
      <c r="G769" s="321" t="n">
        <f aca="false">VLOOKUP(A769,'INSUMOS SINAPI'!A:E,5,0)</f>
        <v>11.14</v>
      </c>
      <c r="H769" s="322" t="n">
        <f aca="false">F769-G769</f>
        <v>0</v>
      </c>
      <c r="I769" s="288"/>
    </row>
    <row r="770" customFormat="false" ht="21" hidden="false" customHeight="false" outlineLevel="0" collapsed="false">
      <c r="A770" s="317" t="n">
        <v>43498</v>
      </c>
      <c r="B770" s="318" t="s">
        <v>1427</v>
      </c>
      <c r="C770" s="319" t="s">
        <v>2941</v>
      </c>
      <c r="D770" s="319" t="s">
        <v>3667</v>
      </c>
      <c r="E770" s="320"/>
      <c r="F770" s="321" t="n">
        <v>146</v>
      </c>
      <c r="G770" s="321" t="n">
        <f aca="false">VLOOKUP(A770,'INSUMOS SINAPI'!A:E,5,0)</f>
        <v>146</v>
      </c>
      <c r="H770" s="322" t="n">
        <f aca="false">F770-G770</f>
        <v>0</v>
      </c>
      <c r="I770" s="288"/>
    </row>
    <row r="771" customFormat="false" ht="21" hidden="false" customHeight="false" outlineLevel="0" collapsed="false">
      <c r="A771" s="317" t="n">
        <v>43474</v>
      </c>
      <c r="B771" s="318" t="s">
        <v>1428</v>
      </c>
      <c r="C771" s="319" t="s">
        <v>2941</v>
      </c>
      <c r="D771" s="319" t="s">
        <v>3667</v>
      </c>
      <c r="E771" s="320"/>
      <c r="F771" s="321" t="n">
        <v>2.35</v>
      </c>
      <c r="G771" s="321" t="n">
        <f aca="false">VLOOKUP(A771,'INSUMOS SINAPI'!A:E,5,0)</f>
        <v>2.35</v>
      </c>
      <c r="H771" s="322" t="n">
        <f aca="false">F771-G771</f>
        <v>0</v>
      </c>
      <c r="I771" s="288"/>
    </row>
    <row r="772" customFormat="false" ht="21" hidden="false" customHeight="false" outlineLevel="0" collapsed="false">
      <c r="A772" s="317" t="n">
        <v>43499</v>
      </c>
      <c r="B772" s="318" t="s">
        <v>1431</v>
      </c>
      <c r="C772" s="319" t="s">
        <v>2941</v>
      </c>
      <c r="D772" s="319" t="s">
        <v>3667</v>
      </c>
      <c r="E772" s="320"/>
      <c r="F772" s="321" t="n">
        <v>241.99</v>
      </c>
      <c r="G772" s="321" t="n">
        <f aca="false">VLOOKUP(A772,'INSUMOS SINAPI'!A:E,5,0)</f>
        <v>241.99</v>
      </c>
      <c r="H772" s="322" t="n">
        <f aca="false">F772-G772</f>
        <v>0</v>
      </c>
      <c r="I772" s="288"/>
    </row>
    <row r="773" customFormat="false" ht="21" hidden="false" customHeight="false" outlineLevel="0" collapsed="false">
      <c r="A773" s="317" t="n">
        <v>43475</v>
      </c>
      <c r="B773" s="318" t="s">
        <v>1432</v>
      </c>
      <c r="C773" s="319" t="s">
        <v>2941</v>
      </c>
      <c r="D773" s="319" t="s">
        <v>3667</v>
      </c>
      <c r="E773" s="320"/>
      <c r="F773" s="321" t="n">
        <v>15.46</v>
      </c>
      <c r="G773" s="321" t="n">
        <f aca="false">VLOOKUP(A773,'INSUMOS SINAPI'!A:E,5,0)</f>
        <v>15.46</v>
      </c>
      <c r="H773" s="322" t="n">
        <f aca="false">F773-G773</f>
        <v>0</v>
      </c>
      <c r="I773" s="288"/>
    </row>
    <row r="774" customFormat="false" ht="21" hidden="false" customHeight="false" outlineLevel="0" collapsed="false">
      <c r="A774" s="317" t="n">
        <v>40862</v>
      </c>
      <c r="B774" s="318" t="s">
        <v>1436</v>
      </c>
      <c r="C774" s="319" t="s">
        <v>2941</v>
      </c>
      <c r="D774" s="319" t="s">
        <v>3667</v>
      </c>
      <c r="E774" s="320"/>
      <c r="F774" s="321" t="n">
        <v>625.14</v>
      </c>
      <c r="G774" s="321" t="n">
        <f aca="false">VLOOKUP(A774,'INSUMOS SINAPI'!A:E,5,0)</f>
        <v>625.14</v>
      </c>
      <c r="H774" s="322" t="n">
        <f aca="false">F774-G774</f>
        <v>0</v>
      </c>
      <c r="I774" s="288"/>
    </row>
    <row r="775" customFormat="false" ht="21" hidden="false" customHeight="false" outlineLevel="0" collapsed="false">
      <c r="A775" s="317" t="n">
        <v>43503</v>
      </c>
      <c r="B775" s="318" t="s">
        <v>1437</v>
      </c>
      <c r="C775" s="319" t="s">
        <v>2941</v>
      </c>
      <c r="D775" s="319" t="s">
        <v>3667</v>
      </c>
      <c r="E775" s="320"/>
      <c r="F775" s="321" t="n">
        <v>261.93</v>
      </c>
      <c r="G775" s="321" t="n">
        <f aca="false">VLOOKUP(A775,'INSUMOS SINAPI'!A:E,5,0)</f>
        <v>261.93</v>
      </c>
      <c r="H775" s="322" t="n">
        <f aca="false">F775-G775</f>
        <v>0</v>
      </c>
      <c r="I775" s="288"/>
    </row>
    <row r="776" customFormat="false" ht="21" hidden="false" customHeight="false" outlineLevel="0" collapsed="false">
      <c r="A776" s="317" t="n">
        <v>43479</v>
      </c>
      <c r="B776" s="318" t="s">
        <v>1438</v>
      </c>
      <c r="C776" s="319" t="s">
        <v>2941</v>
      </c>
      <c r="D776" s="319" t="s">
        <v>3667</v>
      </c>
      <c r="E776" s="320"/>
      <c r="F776" s="321" t="n">
        <v>114.77</v>
      </c>
      <c r="G776" s="321" t="n">
        <f aca="false">VLOOKUP(A776,'INSUMOS SINAPI'!A:E,5,0)</f>
        <v>114.77</v>
      </c>
      <c r="H776" s="322" t="n">
        <f aca="false">F776-G776</f>
        <v>0</v>
      </c>
      <c r="I776" s="288"/>
    </row>
    <row r="777" customFormat="false" ht="21" hidden="false" customHeight="false" outlineLevel="0" collapsed="false">
      <c r="A777" s="317" t="n">
        <v>40861</v>
      </c>
      <c r="B777" s="318" t="s">
        <v>1439</v>
      </c>
      <c r="C777" s="319" t="s">
        <v>2941</v>
      </c>
      <c r="D777" s="319" t="s">
        <v>3667</v>
      </c>
      <c r="E777" s="320"/>
      <c r="F777" s="321" t="n">
        <v>111.9</v>
      </c>
      <c r="G777" s="321" t="n">
        <f aca="false">VLOOKUP(A777,'INSUMOS SINAPI'!A:E,5,0)</f>
        <v>111.9</v>
      </c>
      <c r="H777" s="322" t="n">
        <f aca="false">F777-G777</f>
        <v>0</v>
      </c>
      <c r="I777" s="288"/>
    </row>
    <row r="778" customFormat="false" ht="21" hidden="false" customHeight="false" outlineLevel="0" collapsed="false">
      <c r="A778" s="317" t="n">
        <v>37370</v>
      </c>
      <c r="B778" s="318" t="s">
        <v>1443</v>
      </c>
      <c r="C778" s="319" t="s">
        <v>2941</v>
      </c>
      <c r="D778" s="319" t="s">
        <v>3668</v>
      </c>
      <c r="E778" s="320"/>
      <c r="F778" s="321" t="n">
        <v>3.32</v>
      </c>
      <c r="G778" s="321" t="n">
        <f aca="false">VLOOKUP(A778,'INSUMOS SINAPI'!A:E,5,0)</f>
        <v>3.32</v>
      </c>
      <c r="H778" s="322" t="n">
        <f aca="false">F778-G778</f>
        <v>0</v>
      </c>
      <c r="I778" s="288"/>
    </row>
    <row r="779" customFormat="false" ht="21" hidden="false" customHeight="false" outlineLevel="0" collapsed="false">
      <c r="A779" s="317" t="n">
        <v>43488</v>
      </c>
      <c r="B779" s="318" t="s">
        <v>1445</v>
      </c>
      <c r="C779" s="319" t="s">
        <v>2941</v>
      </c>
      <c r="D779" s="319" t="s">
        <v>3668</v>
      </c>
      <c r="E779" s="320"/>
      <c r="F779" s="321" t="n">
        <v>0.89</v>
      </c>
      <c r="G779" s="321" t="n">
        <f aca="false">VLOOKUP(A779,'INSUMOS SINAPI'!A:E,5,0)</f>
        <v>0.89</v>
      </c>
      <c r="H779" s="322" t="n">
        <f aca="false">F779-G779</f>
        <v>0</v>
      </c>
      <c r="I779" s="288"/>
    </row>
    <row r="780" customFormat="false" ht="21" hidden="false" customHeight="false" outlineLevel="0" collapsed="false">
      <c r="A780" s="317" t="n">
        <v>37372</v>
      </c>
      <c r="B780" s="318" t="s">
        <v>1446</v>
      </c>
      <c r="C780" s="319" t="s">
        <v>2941</v>
      </c>
      <c r="D780" s="319" t="s">
        <v>3668</v>
      </c>
      <c r="E780" s="320"/>
      <c r="F780" s="321" t="n">
        <v>1.43</v>
      </c>
      <c r="G780" s="321" t="n">
        <f aca="false">VLOOKUP(A780,'INSUMOS SINAPI'!A:E,5,0)</f>
        <v>1.43</v>
      </c>
      <c r="H780" s="322" t="n">
        <f aca="false">F780-G780</f>
        <v>0</v>
      </c>
      <c r="I780" s="288"/>
    </row>
    <row r="781" customFormat="false" ht="21" hidden="false" customHeight="false" outlineLevel="0" collapsed="false">
      <c r="A781" s="317" t="n">
        <v>43464</v>
      </c>
      <c r="B781" s="318" t="s">
        <v>1447</v>
      </c>
      <c r="C781" s="319" t="s">
        <v>2941</v>
      </c>
      <c r="D781" s="319" t="s">
        <v>3668</v>
      </c>
      <c r="E781" s="320"/>
      <c r="F781" s="321" t="n">
        <v>0.01</v>
      </c>
      <c r="G781" s="321" t="n">
        <f aca="false">VLOOKUP(A781,'INSUMOS SINAPI'!A:E,5,0)</f>
        <v>0.01</v>
      </c>
      <c r="H781" s="322" t="n">
        <f aca="false">F781-G781</f>
        <v>0</v>
      </c>
      <c r="I781" s="288"/>
    </row>
    <row r="782" customFormat="false" ht="21" hidden="false" customHeight="false" outlineLevel="0" collapsed="false">
      <c r="A782" s="317" t="n">
        <v>37373</v>
      </c>
      <c r="B782" s="318" t="s">
        <v>1448</v>
      </c>
      <c r="C782" s="319" t="s">
        <v>2941</v>
      </c>
      <c r="D782" s="319" t="s">
        <v>3668</v>
      </c>
      <c r="E782" s="320"/>
      <c r="F782" s="321" t="n">
        <v>0.08</v>
      </c>
      <c r="G782" s="321" t="n">
        <f aca="false">VLOOKUP(A782,'INSUMOS SINAPI'!A:E,5,0)</f>
        <v>0.08</v>
      </c>
      <c r="H782" s="322" t="n">
        <f aca="false">F782-G782</f>
        <v>0</v>
      </c>
      <c r="I782" s="288"/>
    </row>
    <row r="783" customFormat="false" ht="21" hidden="false" customHeight="false" outlineLevel="0" collapsed="false">
      <c r="A783" s="317" t="n">
        <v>37371</v>
      </c>
      <c r="B783" s="318" t="s">
        <v>1449</v>
      </c>
      <c r="C783" s="319" t="s">
        <v>2941</v>
      </c>
      <c r="D783" s="319" t="s">
        <v>3668</v>
      </c>
      <c r="E783" s="320"/>
      <c r="F783" s="321" t="n">
        <v>0.59</v>
      </c>
      <c r="G783" s="321" t="n">
        <f aca="false">VLOOKUP(A783,'INSUMOS SINAPI'!A:E,5,0)</f>
        <v>0.59</v>
      </c>
      <c r="H783" s="322" t="n">
        <f aca="false">F783-G783</f>
        <v>0</v>
      </c>
      <c r="I783" s="288"/>
    </row>
    <row r="784" customFormat="false" ht="21" hidden="false" customHeight="false" outlineLevel="0" collapsed="false">
      <c r="A784" s="317" t="n">
        <v>43489</v>
      </c>
      <c r="B784" s="318" t="s">
        <v>1456</v>
      </c>
      <c r="C784" s="319" t="s">
        <v>2941</v>
      </c>
      <c r="D784" s="319" t="s">
        <v>3668</v>
      </c>
      <c r="E784" s="320"/>
      <c r="F784" s="321" t="n">
        <v>1.31</v>
      </c>
      <c r="G784" s="321" t="n">
        <f aca="false">VLOOKUP(A784,'INSUMOS SINAPI'!A:E,5,0)</f>
        <v>1.31</v>
      </c>
      <c r="H784" s="322" t="n">
        <f aca="false">F784-G784</f>
        <v>0</v>
      </c>
      <c r="I784" s="288"/>
    </row>
    <row r="785" customFormat="false" ht="21" hidden="false" customHeight="false" outlineLevel="0" collapsed="false">
      <c r="A785" s="317" t="n">
        <v>43491</v>
      </c>
      <c r="B785" s="318" t="s">
        <v>1457</v>
      </c>
      <c r="C785" s="319" t="s">
        <v>2941</v>
      </c>
      <c r="D785" s="319" t="s">
        <v>3668</v>
      </c>
      <c r="E785" s="320"/>
      <c r="F785" s="321" t="n">
        <v>1.39</v>
      </c>
      <c r="G785" s="321" t="n">
        <f aca="false">VLOOKUP(A785,'INSUMOS SINAPI'!A:E,5,0)</f>
        <v>1.39</v>
      </c>
      <c r="H785" s="322" t="n">
        <f aca="false">F785-G785</f>
        <v>0</v>
      </c>
      <c r="I785" s="288"/>
    </row>
    <row r="786" customFormat="false" ht="21" hidden="false" customHeight="false" outlineLevel="0" collapsed="false">
      <c r="A786" s="317" t="n">
        <v>43465</v>
      </c>
      <c r="B786" s="318" t="s">
        <v>1458</v>
      </c>
      <c r="C786" s="319" t="s">
        <v>2941</v>
      </c>
      <c r="D786" s="319" t="s">
        <v>3668</v>
      </c>
      <c r="E786" s="320"/>
      <c r="F786" s="321" t="n">
        <v>0.78</v>
      </c>
      <c r="G786" s="321" t="n">
        <f aca="false">VLOOKUP(A786,'INSUMOS SINAPI'!A:E,5,0)</f>
        <v>0.78</v>
      </c>
      <c r="H786" s="322" t="n">
        <f aca="false">F786-G786</f>
        <v>0</v>
      </c>
      <c r="I786" s="288"/>
    </row>
    <row r="787" customFormat="false" ht="21" hidden="false" customHeight="false" outlineLevel="0" collapsed="false">
      <c r="A787" s="317" t="n">
        <v>43467</v>
      </c>
      <c r="B787" s="318" t="s">
        <v>1459</v>
      </c>
      <c r="C787" s="319" t="s">
        <v>2941</v>
      </c>
      <c r="D787" s="319" t="s">
        <v>3668</v>
      </c>
      <c r="E787" s="320"/>
      <c r="F787" s="321" t="n">
        <v>0.61</v>
      </c>
      <c r="G787" s="321" t="n">
        <f aca="false">VLOOKUP(A787,'INSUMOS SINAPI'!A:E,5,0)</f>
        <v>0.61</v>
      </c>
      <c r="H787" s="322" t="n">
        <f aca="false">F787-G787</f>
        <v>0</v>
      </c>
      <c r="I787" s="288"/>
    </row>
    <row r="788" customFormat="false" ht="15" hidden="false" customHeight="false" outlineLevel="0" collapsed="false">
      <c r="A788" s="317" t="n">
        <v>2705</v>
      </c>
      <c r="B788" s="318" t="s">
        <v>1467</v>
      </c>
      <c r="C788" s="319" t="s">
        <v>2941</v>
      </c>
      <c r="D788" s="319" t="s">
        <v>3669</v>
      </c>
      <c r="E788" s="320"/>
      <c r="F788" s="321" t="n">
        <v>0.92</v>
      </c>
      <c r="G788" s="321" t="n">
        <f aca="false">VLOOKUP(A788,'INSUMOS SINAPI'!A:E,5,0)</f>
        <v>0.92</v>
      </c>
      <c r="H788" s="322" t="n">
        <f aca="false">F788-G788</f>
        <v>0</v>
      </c>
      <c r="I788" s="288"/>
    </row>
    <row r="789" customFormat="false" ht="21" hidden="false" customHeight="false" outlineLevel="0" collapsed="false">
      <c r="A789" s="317" t="n">
        <v>43485</v>
      </c>
      <c r="B789" s="318" t="s">
        <v>1481</v>
      </c>
      <c r="C789" s="319" t="s">
        <v>2941</v>
      </c>
      <c r="D789" s="319" t="s">
        <v>3668</v>
      </c>
      <c r="E789" s="323"/>
      <c r="F789" s="321" t="n">
        <v>1.13</v>
      </c>
      <c r="G789" s="321" t="n">
        <f aca="false">VLOOKUP(A789,'INSUMOS SINAPI'!A:E,5,0)</f>
        <v>1.13</v>
      </c>
      <c r="H789" s="322" t="n">
        <f aca="false">F789-G789</f>
        <v>0</v>
      </c>
      <c r="I789" s="288"/>
    </row>
    <row r="790" customFormat="false" ht="21" hidden="false" customHeight="false" outlineLevel="0" collapsed="false">
      <c r="A790" s="317" t="n">
        <v>43461</v>
      </c>
      <c r="B790" s="318" t="s">
        <v>1482</v>
      </c>
      <c r="C790" s="319" t="s">
        <v>2941</v>
      </c>
      <c r="D790" s="319" t="s">
        <v>3668</v>
      </c>
      <c r="E790" s="320"/>
      <c r="F790" s="321" t="n">
        <v>0.31</v>
      </c>
      <c r="G790" s="321" t="n">
        <f aca="false">VLOOKUP(A790,'INSUMOS SINAPI'!A:E,5,0)</f>
        <v>0.31</v>
      </c>
      <c r="H790" s="322" t="n">
        <f aca="false">F790-G790</f>
        <v>0</v>
      </c>
      <c r="I790" s="288"/>
    </row>
    <row r="791" customFormat="false" ht="21" hidden="false" customHeight="false" outlineLevel="0" collapsed="false">
      <c r="A791" s="317" t="n">
        <v>43483</v>
      </c>
      <c r="B791" s="318" t="s">
        <v>1486</v>
      </c>
      <c r="C791" s="319" t="s">
        <v>2941</v>
      </c>
      <c r="D791" s="319" t="s">
        <v>3668</v>
      </c>
      <c r="E791" s="323"/>
      <c r="F791" s="321" t="n">
        <v>1.43</v>
      </c>
      <c r="G791" s="321" t="n">
        <f aca="false">VLOOKUP(A791,'INSUMOS SINAPI'!A:E,5,0)</f>
        <v>1.43</v>
      </c>
      <c r="H791" s="322" t="n">
        <f aca="false">F791-G791</f>
        <v>0</v>
      </c>
      <c r="I791" s="288"/>
    </row>
    <row r="792" customFormat="false" ht="21" hidden="false" customHeight="false" outlineLevel="0" collapsed="false">
      <c r="A792" s="317" t="n">
        <v>43459</v>
      </c>
      <c r="B792" s="318" t="s">
        <v>1487</v>
      </c>
      <c r="C792" s="319" t="s">
        <v>2941</v>
      </c>
      <c r="D792" s="319" t="s">
        <v>3668</v>
      </c>
      <c r="E792" s="320"/>
      <c r="F792" s="321" t="n">
        <v>0.44</v>
      </c>
      <c r="G792" s="321" t="n">
        <f aca="false">VLOOKUP(A792,'INSUMOS SINAPI'!A:E,5,0)</f>
        <v>0.44</v>
      </c>
      <c r="H792" s="322" t="n">
        <f aca="false">F792-G792</f>
        <v>0</v>
      </c>
      <c r="I792" s="288"/>
    </row>
    <row r="793" customFormat="false" ht="21" hidden="false" customHeight="false" outlineLevel="0" collapsed="false">
      <c r="A793" s="317" t="n">
        <v>43490</v>
      </c>
      <c r="B793" s="318" t="s">
        <v>1508</v>
      </c>
      <c r="C793" s="319" t="s">
        <v>2941</v>
      </c>
      <c r="D793" s="319" t="s">
        <v>3668</v>
      </c>
      <c r="E793" s="323"/>
      <c r="F793" s="321" t="n">
        <v>1.85</v>
      </c>
      <c r="G793" s="321" t="n">
        <f aca="false">VLOOKUP(A793,'INSUMOS SINAPI'!A:E,5,0)</f>
        <v>1.85</v>
      </c>
      <c r="H793" s="322" t="n">
        <f aca="false">F793-G793</f>
        <v>0</v>
      </c>
      <c r="I793" s="288"/>
    </row>
    <row r="794" customFormat="false" ht="21" hidden="false" customHeight="false" outlineLevel="0" collapsed="false">
      <c r="A794" s="317" t="n">
        <v>43466</v>
      </c>
      <c r="B794" s="318" t="s">
        <v>1509</v>
      </c>
      <c r="C794" s="319" t="s">
        <v>2941</v>
      </c>
      <c r="D794" s="319" t="s">
        <v>3668</v>
      </c>
      <c r="E794" s="323"/>
      <c r="F794" s="321" t="n">
        <v>2.05</v>
      </c>
      <c r="G794" s="321" t="n">
        <f aca="false">VLOOKUP(A794,'INSUMOS SINAPI'!A:E,5,0)</f>
        <v>2.05</v>
      </c>
      <c r="H794" s="322" t="n">
        <f aca="false">F794-G794</f>
        <v>0</v>
      </c>
      <c r="I794" s="288"/>
    </row>
    <row r="795" customFormat="false" ht="21" hidden="false" customHeight="false" outlineLevel="0" collapsed="false">
      <c r="A795" s="317" t="n">
        <v>43484</v>
      </c>
      <c r="B795" s="318" t="s">
        <v>1523</v>
      </c>
      <c r="C795" s="319" t="s">
        <v>2941</v>
      </c>
      <c r="D795" s="319" t="s">
        <v>3668</v>
      </c>
      <c r="E795" s="323"/>
      <c r="F795" s="321" t="n">
        <v>1.26</v>
      </c>
      <c r="G795" s="321" t="n">
        <f aca="false">VLOOKUP(A795,'INSUMOS SINAPI'!A:E,5,0)</f>
        <v>1.26</v>
      </c>
      <c r="H795" s="322" t="n">
        <f aca="false">F795-G795</f>
        <v>0</v>
      </c>
      <c r="I795" s="288"/>
    </row>
    <row r="796" customFormat="false" ht="21" hidden="false" customHeight="false" outlineLevel="0" collapsed="false">
      <c r="A796" s="317" t="n">
        <v>43460</v>
      </c>
      <c r="B796" s="318" t="s">
        <v>1524</v>
      </c>
      <c r="C796" s="319" t="s">
        <v>2941</v>
      </c>
      <c r="D796" s="319" t="s">
        <v>3668</v>
      </c>
      <c r="E796" s="323"/>
      <c r="F796" s="321" t="n">
        <v>0.86</v>
      </c>
      <c r="G796" s="321" t="n">
        <f aca="false">VLOOKUP(A796,'INSUMOS SINAPI'!A:E,5,0)</f>
        <v>0.86</v>
      </c>
      <c r="H796" s="322" t="n">
        <f aca="false">F796-G796</f>
        <v>0</v>
      </c>
      <c r="I796" s="288"/>
    </row>
    <row r="797" customFormat="false" ht="21" hidden="false" customHeight="false" outlineLevel="0" collapsed="false">
      <c r="A797" s="317" t="n">
        <v>43487</v>
      </c>
      <c r="B797" s="318" t="s">
        <v>1611</v>
      </c>
      <c r="C797" s="319" t="s">
        <v>2941</v>
      </c>
      <c r="D797" s="319" t="s">
        <v>3668</v>
      </c>
      <c r="E797" s="323"/>
      <c r="F797" s="321" t="n">
        <v>1.28</v>
      </c>
      <c r="G797" s="321" t="n">
        <f aca="false">VLOOKUP(A797,'INSUMOS SINAPI'!A:E,5,0)</f>
        <v>1.28</v>
      </c>
      <c r="H797" s="322" t="n">
        <f aca="false">F797-G797</f>
        <v>0</v>
      </c>
      <c r="I797" s="288"/>
    </row>
    <row r="798" customFormat="false" ht="21" hidden="false" customHeight="false" outlineLevel="0" collapsed="false">
      <c r="A798" s="317" t="n">
        <v>43486</v>
      </c>
      <c r="B798" s="318" t="s">
        <v>1612</v>
      </c>
      <c r="C798" s="319" t="s">
        <v>2941</v>
      </c>
      <c r="D798" s="319" t="s">
        <v>3668</v>
      </c>
      <c r="E798" s="323"/>
      <c r="F798" s="321" t="n">
        <v>0.77</v>
      </c>
      <c r="G798" s="321" t="n">
        <f aca="false">VLOOKUP(A798,'INSUMOS SINAPI'!A:E,5,0)</f>
        <v>0.77</v>
      </c>
      <c r="H798" s="322" t="n">
        <f aca="false">F798-G798</f>
        <v>0</v>
      </c>
      <c r="I798" s="288"/>
    </row>
    <row r="799" customFormat="false" ht="21" hidden="false" customHeight="false" outlineLevel="0" collapsed="false">
      <c r="A799" s="317" t="n">
        <v>43463</v>
      </c>
      <c r="B799" s="318" t="s">
        <v>1613</v>
      </c>
      <c r="C799" s="319" t="s">
        <v>2941</v>
      </c>
      <c r="D799" s="319" t="s">
        <v>3668</v>
      </c>
      <c r="E799" s="320"/>
      <c r="F799" s="321" t="n">
        <v>0.08</v>
      </c>
      <c r="G799" s="321" t="n">
        <f aca="false">VLOOKUP(A799,'INSUMOS SINAPI'!A:E,5,0)</f>
        <v>0.08</v>
      </c>
      <c r="H799" s="322" t="n">
        <f aca="false">F799-G799</f>
        <v>0</v>
      </c>
      <c r="I799" s="288"/>
    </row>
    <row r="800" customFormat="false" ht="21" hidden="false" customHeight="false" outlineLevel="0" collapsed="false">
      <c r="A800" s="317" t="n">
        <v>43462</v>
      </c>
      <c r="B800" s="318" t="s">
        <v>1614</v>
      </c>
      <c r="C800" s="319" t="s">
        <v>2941</v>
      </c>
      <c r="D800" s="319" t="s">
        <v>3668</v>
      </c>
      <c r="E800" s="320"/>
      <c r="F800" s="321" t="n">
        <v>0.01</v>
      </c>
      <c r="G800" s="321" t="n">
        <f aca="false">VLOOKUP(A800,'INSUMOS SINAPI'!A:E,5,0)</f>
        <v>0.01</v>
      </c>
      <c r="H800" s="322" t="n">
        <f aca="false">F800-G800</f>
        <v>0</v>
      </c>
      <c r="I800" s="288"/>
    </row>
    <row r="801" customFormat="false" ht="21" hidden="false" customHeight="false" outlineLevel="0" collapsed="false">
      <c r="A801" s="317" t="n">
        <v>43493</v>
      </c>
      <c r="B801" s="318" t="s">
        <v>2933</v>
      </c>
      <c r="C801" s="319" t="s">
        <v>2941</v>
      </c>
      <c r="D801" s="319" t="s">
        <v>3668</v>
      </c>
      <c r="E801" s="320"/>
      <c r="F801" s="321" t="n">
        <v>0.74</v>
      </c>
      <c r="G801" s="321" t="n">
        <f aca="false">VLOOKUP(A801,'INSUMOS SINAPI'!A:E,5,0)</f>
        <v>0.74</v>
      </c>
      <c r="H801" s="322" t="n">
        <f aca="false">F801-G801</f>
        <v>0</v>
      </c>
      <c r="I801" s="288"/>
    </row>
    <row r="802" customFormat="false" ht="21" hidden="false" customHeight="false" outlineLevel="0" collapsed="false">
      <c r="A802" s="317" t="n">
        <v>43469</v>
      </c>
      <c r="B802" s="318" t="s">
        <v>2934</v>
      </c>
      <c r="C802" s="319" t="s">
        <v>2941</v>
      </c>
      <c r="D802" s="319" t="s">
        <v>3668</v>
      </c>
      <c r="E802" s="320"/>
      <c r="F802" s="321" t="n">
        <v>0.05</v>
      </c>
      <c r="G802" s="321" t="n">
        <f aca="false">VLOOKUP(A802,'INSUMOS SINAPI'!A:E,5,0)</f>
        <v>0.05</v>
      </c>
      <c r="H802" s="322" t="n">
        <f aca="false">F802-G802</f>
        <v>0</v>
      </c>
      <c r="I802" s="288"/>
    </row>
  </sheetData>
  <autoFilter ref="A3:H802"/>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1:E4835"/>
  <sheetViews>
    <sheetView showFormulas="false" showGridLines="true" showRowColHeaders="true" showZeros="true" rightToLeft="false" tabSelected="false" showOutlineSymbols="true" defaultGridColor="true" view="pageBreakPreview" topLeftCell="A3776" colorId="64" zoomScale="100" zoomScaleNormal="85" zoomScalePageLayoutView="100" workbookViewId="0">
      <selection pane="topLeft" activeCell="E3798" activeCellId="0" sqref="E3798"/>
    </sheetView>
  </sheetViews>
  <sheetFormatPr defaultRowHeight="15" zeroHeight="false" outlineLevelRow="0" outlineLevelCol="0"/>
  <cols>
    <col collapsed="false" customWidth="true" hidden="false" outlineLevel="0" max="1" min="1" style="0" width="8.67"/>
    <col collapsed="false" customWidth="true" hidden="false" outlineLevel="0" max="2" min="2" style="0" width="255.71"/>
    <col collapsed="false" customWidth="true" hidden="false" outlineLevel="0" max="1025" min="3" style="0" width="8.67"/>
  </cols>
  <sheetData>
    <row r="1" customFormat="false" ht="15" hidden="false" customHeight="false" outlineLevel="0" collapsed="false">
      <c r="A1" s="0" t="n">
        <v>11270</v>
      </c>
      <c r="B1" s="0" t="s">
        <v>3670</v>
      </c>
      <c r="C1" s="0" t="s">
        <v>31</v>
      </c>
      <c r="D1" s="0" t="s">
        <v>3671</v>
      </c>
    </row>
    <row r="2" customFormat="false" ht="15" hidden="false" customHeight="false" outlineLevel="0" collapsed="false">
      <c r="A2" s="0" t="n">
        <v>412</v>
      </c>
      <c r="B2" s="0" t="s">
        <v>3672</v>
      </c>
      <c r="C2" s="0" t="s">
        <v>31</v>
      </c>
      <c r="D2" s="0" t="s">
        <v>3671</v>
      </c>
      <c r="E2" s="0" t="n">
        <v>0.77</v>
      </c>
    </row>
    <row r="3" customFormat="false" ht="15" hidden="false" customHeight="false" outlineLevel="0" collapsed="false">
      <c r="A3" s="0" t="n">
        <v>414</v>
      </c>
      <c r="B3" s="0" t="s">
        <v>3673</v>
      </c>
      <c r="C3" s="0" t="s">
        <v>31</v>
      </c>
      <c r="D3" s="0" t="s">
        <v>3671</v>
      </c>
      <c r="E3" s="0" t="n">
        <v>0.04</v>
      </c>
    </row>
    <row r="4" customFormat="false" ht="15" hidden="false" customHeight="false" outlineLevel="0" collapsed="false">
      <c r="A4" s="0" t="n">
        <v>410</v>
      </c>
      <c r="B4" s="0" t="s">
        <v>3674</v>
      </c>
      <c r="C4" s="0" t="s">
        <v>31</v>
      </c>
      <c r="D4" s="0" t="s">
        <v>3671</v>
      </c>
      <c r="E4" s="0" t="n">
        <v>0.11</v>
      </c>
    </row>
    <row r="5" customFormat="false" ht="15" hidden="false" customHeight="false" outlineLevel="0" collapsed="false">
      <c r="A5" s="0" t="n">
        <v>411</v>
      </c>
      <c r="B5" s="0" t="s">
        <v>3675</v>
      </c>
      <c r="C5" s="0" t="s">
        <v>31</v>
      </c>
      <c r="D5" s="0" t="s">
        <v>3676</v>
      </c>
      <c r="E5" s="0" t="n">
        <v>0.15</v>
      </c>
    </row>
    <row r="6" customFormat="false" ht="15" hidden="false" customHeight="false" outlineLevel="0" collapsed="false">
      <c r="A6" s="0" t="n">
        <v>408</v>
      </c>
      <c r="B6" s="0" t="s">
        <v>2811</v>
      </c>
      <c r="C6" s="0" t="s">
        <v>31</v>
      </c>
      <c r="D6" s="0" t="s">
        <v>3671</v>
      </c>
      <c r="E6" s="0" t="n">
        <v>0.74</v>
      </c>
    </row>
    <row r="7" customFormat="false" ht="15" hidden="false" customHeight="false" outlineLevel="0" collapsed="false">
      <c r="A7" s="0" t="n">
        <v>39131</v>
      </c>
      <c r="B7" s="0" t="s">
        <v>3677</v>
      </c>
      <c r="C7" s="0" t="s">
        <v>31</v>
      </c>
      <c r="D7" s="0" t="s">
        <v>3671</v>
      </c>
      <c r="E7" s="0" t="n">
        <v>3.06</v>
      </c>
    </row>
    <row r="8" customFormat="false" ht="15" hidden="false" customHeight="false" outlineLevel="0" collapsed="false">
      <c r="A8" s="0" t="n">
        <v>394</v>
      </c>
      <c r="B8" s="0" t="s">
        <v>3678</v>
      </c>
      <c r="C8" s="0" t="s">
        <v>31</v>
      </c>
      <c r="D8" s="0" t="s">
        <v>3671</v>
      </c>
      <c r="E8" s="0" t="n">
        <v>3.1</v>
      </c>
    </row>
    <row r="9" customFormat="false" ht="15" hidden="false" customHeight="false" outlineLevel="0" collapsed="false">
      <c r="A9" s="0" t="n">
        <v>39130</v>
      </c>
      <c r="B9" s="0" t="s">
        <v>3679</v>
      </c>
      <c r="C9" s="0" t="s">
        <v>31</v>
      </c>
      <c r="D9" s="0" t="s">
        <v>3671</v>
      </c>
      <c r="E9" s="0" t="n">
        <v>2.79</v>
      </c>
    </row>
    <row r="10" customFormat="false" ht="15" hidden="false" customHeight="false" outlineLevel="0" collapsed="false">
      <c r="A10" s="0" t="n">
        <v>395</v>
      </c>
      <c r="B10" s="0" t="s">
        <v>3680</v>
      </c>
      <c r="C10" s="0" t="s">
        <v>31</v>
      </c>
      <c r="D10" s="0" t="s">
        <v>3671</v>
      </c>
      <c r="E10" s="0" t="n">
        <v>2.98</v>
      </c>
    </row>
    <row r="11" customFormat="false" ht="15" hidden="false" customHeight="false" outlineLevel="0" collapsed="false">
      <c r="A11" s="0" t="n">
        <v>39129</v>
      </c>
      <c r="B11" s="0" t="s">
        <v>3681</v>
      </c>
      <c r="C11" s="0" t="s">
        <v>31</v>
      </c>
      <c r="D11" s="0" t="s">
        <v>3671</v>
      </c>
      <c r="E11" s="0" t="n">
        <v>1.72</v>
      </c>
    </row>
    <row r="12" customFormat="false" ht="15" hidden="false" customHeight="false" outlineLevel="0" collapsed="false">
      <c r="A12" s="0" t="n">
        <v>393</v>
      </c>
      <c r="B12" s="0" t="s">
        <v>3682</v>
      </c>
      <c r="C12" s="0" t="s">
        <v>31</v>
      </c>
      <c r="D12" s="0" t="s">
        <v>3676</v>
      </c>
      <c r="E12" s="0" t="n">
        <v>1.8</v>
      </c>
    </row>
    <row r="13" customFormat="false" ht="15" hidden="false" customHeight="false" outlineLevel="0" collapsed="false">
      <c r="A13" s="0" t="n">
        <v>39127</v>
      </c>
      <c r="B13" s="0" t="s">
        <v>3683</v>
      </c>
      <c r="C13" s="0" t="s">
        <v>31</v>
      </c>
      <c r="D13" s="0" t="s">
        <v>3671</v>
      </c>
      <c r="E13" s="0" t="n">
        <v>1.47</v>
      </c>
    </row>
    <row r="14" customFormat="false" ht="15" hidden="false" customHeight="false" outlineLevel="0" collapsed="false">
      <c r="A14" s="0" t="n">
        <v>392</v>
      </c>
      <c r="B14" s="0" t="s">
        <v>2386</v>
      </c>
      <c r="C14" s="0" t="s">
        <v>31</v>
      </c>
      <c r="D14" s="0" t="s">
        <v>3671</v>
      </c>
      <c r="E14" s="0" t="n">
        <v>1.51</v>
      </c>
    </row>
    <row r="15" customFormat="false" ht="15" hidden="false" customHeight="false" outlineLevel="0" collapsed="false">
      <c r="A15" s="0" t="n">
        <v>39133</v>
      </c>
      <c r="B15" s="0" t="s">
        <v>3684</v>
      </c>
      <c r="C15" s="0" t="s">
        <v>31</v>
      </c>
      <c r="D15" s="0" t="s">
        <v>3671</v>
      </c>
      <c r="E15" s="0" t="n">
        <v>4.02</v>
      </c>
    </row>
    <row r="16" customFormat="false" ht="15" hidden="false" customHeight="false" outlineLevel="0" collapsed="false">
      <c r="A16" s="0" t="n">
        <v>397</v>
      </c>
      <c r="B16" s="0" t="s">
        <v>3685</v>
      </c>
      <c r="C16" s="0" t="s">
        <v>31</v>
      </c>
      <c r="D16" s="0" t="s">
        <v>3671</v>
      </c>
      <c r="E16" s="0" t="n">
        <v>4.44</v>
      </c>
    </row>
    <row r="17" customFormat="false" ht="15" hidden="false" customHeight="false" outlineLevel="0" collapsed="false">
      <c r="A17" s="0" t="n">
        <v>39132</v>
      </c>
      <c r="B17" s="0" t="s">
        <v>3686</v>
      </c>
      <c r="C17" s="0" t="s">
        <v>31</v>
      </c>
      <c r="D17" s="0" t="s">
        <v>3671</v>
      </c>
      <c r="E17" s="0" t="n">
        <v>3.21</v>
      </c>
    </row>
    <row r="18" customFormat="false" ht="15" hidden="false" customHeight="false" outlineLevel="0" collapsed="false">
      <c r="A18" s="0" t="n">
        <v>396</v>
      </c>
      <c r="B18" s="0" t="s">
        <v>3687</v>
      </c>
      <c r="C18" s="0" t="s">
        <v>31</v>
      </c>
      <c r="D18" s="0" t="s">
        <v>3671</v>
      </c>
      <c r="E18" s="0" t="n">
        <v>3.44</v>
      </c>
    </row>
    <row r="19" customFormat="false" ht="15" hidden="false" customHeight="false" outlineLevel="0" collapsed="false">
      <c r="A19" s="0" t="n">
        <v>39135</v>
      </c>
      <c r="B19" s="0" t="s">
        <v>3688</v>
      </c>
      <c r="C19" s="0" t="s">
        <v>31</v>
      </c>
      <c r="D19" s="0" t="s">
        <v>3671</v>
      </c>
      <c r="E19" s="0" t="n">
        <v>6.43</v>
      </c>
    </row>
    <row r="20" customFormat="false" ht="15" hidden="false" customHeight="false" outlineLevel="0" collapsed="false">
      <c r="A20" s="0" t="n">
        <v>39134</v>
      </c>
      <c r="B20" s="0" t="s">
        <v>3689</v>
      </c>
      <c r="C20" s="0" t="s">
        <v>31</v>
      </c>
      <c r="D20" s="0" t="s">
        <v>3671</v>
      </c>
      <c r="E20" s="0" t="n">
        <v>5.36</v>
      </c>
    </row>
    <row r="21" customFormat="false" ht="15" hidden="false" customHeight="false" outlineLevel="0" collapsed="false">
      <c r="A21" s="0" t="n">
        <v>398</v>
      </c>
      <c r="B21" s="0" t="s">
        <v>3690</v>
      </c>
      <c r="C21" s="0" t="s">
        <v>31</v>
      </c>
      <c r="D21" s="0" t="s">
        <v>3671</v>
      </c>
      <c r="E21" s="0" t="n">
        <v>4.94</v>
      </c>
    </row>
    <row r="22" customFormat="false" ht="15" hidden="false" customHeight="false" outlineLevel="0" collapsed="false">
      <c r="A22" s="0" t="n">
        <v>39128</v>
      </c>
      <c r="B22" s="0" t="s">
        <v>3691</v>
      </c>
      <c r="C22" s="0" t="s">
        <v>31</v>
      </c>
      <c r="D22" s="0" t="s">
        <v>3671</v>
      </c>
      <c r="E22" s="0" t="n">
        <v>1.6</v>
      </c>
    </row>
    <row r="23" customFormat="false" ht="15" hidden="false" customHeight="false" outlineLevel="0" collapsed="false">
      <c r="A23" s="0" t="n">
        <v>400</v>
      </c>
      <c r="B23" s="0" t="s">
        <v>3692</v>
      </c>
      <c r="C23" s="0" t="s">
        <v>31</v>
      </c>
      <c r="D23" s="0" t="s">
        <v>3671</v>
      </c>
      <c r="E23" s="0" t="n">
        <v>1.57</v>
      </c>
    </row>
    <row r="24" customFormat="false" ht="15" hidden="false" customHeight="false" outlineLevel="0" collapsed="false">
      <c r="A24" s="0" t="n">
        <v>39125</v>
      </c>
      <c r="B24" s="0" t="s">
        <v>3693</v>
      </c>
      <c r="C24" s="0" t="s">
        <v>31</v>
      </c>
      <c r="D24" s="0" t="s">
        <v>3671</v>
      </c>
      <c r="E24" s="0" t="n">
        <v>1.6</v>
      </c>
    </row>
    <row r="25" customFormat="false" ht="15" hidden="false" customHeight="false" outlineLevel="0" collapsed="false">
      <c r="A25" s="0" t="n">
        <v>39126</v>
      </c>
      <c r="B25" s="0" t="s">
        <v>3694</v>
      </c>
      <c r="C25" s="0" t="s">
        <v>31</v>
      </c>
      <c r="D25" s="0" t="s">
        <v>3671</v>
      </c>
      <c r="E25" s="0" t="n">
        <v>7.23</v>
      </c>
    </row>
    <row r="26" customFormat="false" ht="15" hidden="false" customHeight="false" outlineLevel="0" collapsed="false">
      <c r="A26" s="0" t="n">
        <v>399</v>
      </c>
      <c r="B26" s="0" t="s">
        <v>1926</v>
      </c>
      <c r="C26" s="0" t="s">
        <v>31</v>
      </c>
      <c r="D26" s="0" t="s">
        <v>3671</v>
      </c>
      <c r="E26" s="0" t="n">
        <v>6.37</v>
      </c>
    </row>
    <row r="27" customFormat="false" ht="15" hidden="false" customHeight="false" outlineLevel="0" collapsed="false">
      <c r="A27" s="0" t="n">
        <v>39158</v>
      </c>
      <c r="B27" s="0" t="s">
        <v>3695</v>
      </c>
      <c r="C27" s="0" t="s">
        <v>31</v>
      </c>
      <c r="D27" s="0" t="s">
        <v>3671</v>
      </c>
      <c r="E27" s="0" t="n">
        <v>17.11</v>
      </c>
    </row>
    <row r="28" customFormat="false" ht="15" hidden="false" customHeight="false" outlineLevel="0" collapsed="false">
      <c r="A28" s="0" t="n">
        <v>39141</v>
      </c>
      <c r="B28" s="0" t="s">
        <v>3696</v>
      </c>
      <c r="C28" s="0" t="s">
        <v>31</v>
      </c>
      <c r="D28" s="0" t="s">
        <v>3671</v>
      </c>
      <c r="E28" s="0" t="n">
        <v>1.24</v>
      </c>
    </row>
    <row r="29" customFormat="false" ht="15" hidden="false" customHeight="false" outlineLevel="0" collapsed="false">
      <c r="A29" s="0" t="n">
        <v>39140</v>
      </c>
      <c r="B29" s="0" t="s">
        <v>3697</v>
      </c>
      <c r="C29" s="0" t="s">
        <v>31</v>
      </c>
      <c r="D29" s="0" t="s">
        <v>3671</v>
      </c>
      <c r="E29" s="0" t="n">
        <v>1.12</v>
      </c>
    </row>
    <row r="30" customFormat="false" ht="15" hidden="false" customHeight="false" outlineLevel="0" collapsed="false">
      <c r="A30" s="0" t="n">
        <v>39139</v>
      </c>
      <c r="B30" s="0" t="s">
        <v>3698</v>
      </c>
      <c r="C30" s="0" t="s">
        <v>31</v>
      </c>
      <c r="D30" s="0" t="s">
        <v>3671</v>
      </c>
      <c r="E30" s="0" t="n">
        <v>0.93</v>
      </c>
    </row>
    <row r="31" customFormat="false" ht="15" hidden="false" customHeight="false" outlineLevel="0" collapsed="false">
      <c r="A31" s="0" t="n">
        <v>39137</v>
      </c>
      <c r="B31" s="0" t="s">
        <v>3699</v>
      </c>
      <c r="C31" s="0" t="s">
        <v>31</v>
      </c>
      <c r="D31" s="0" t="s">
        <v>3671</v>
      </c>
      <c r="E31" s="0" t="n">
        <v>0.65</v>
      </c>
    </row>
    <row r="32" customFormat="false" ht="15" hidden="false" customHeight="false" outlineLevel="0" collapsed="false">
      <c r="A32" s="0" t="n">
        <v>39143</v>
      </c>
      <c r="B32" s="0" t="s">
        <v>3700</v>
      </c>
      <c r="C32" s="0" t="s">
        <v>31</v>
      </c>
      <c r="D32" s="0" t="s">
        <v>3671</v>
      </c>
      <c r="E32" s="0" t="n">
        <v>2.56</v>
      </c>
    </row>
    <row r="33" customFormat="false" ht="15" hidden="false" customHeight="false" outlineLevel="0" collapsed="false">
      <c r="A33" s="0" t="n">
        <v>39142</v>
      </c>
      <c r="B33" s="0" t="s">
        <v>3701</v>
      </c>
      <c r="C33" s="0" t="s">
        <v>31</v>
      </c>
      <c r="D33" s="0" t="s">
        <v>3671</v>
      </c>
      <c r="E33" s="0" t="n">
        <v>1.83</v>
      </c>
    </row>
    <row r="34" customFormat="false" ht="15" hidden="false" customHeight="false" outlineLevel="0" collapsed="false">
      <c r="A34" s="0" t="n">
        <v>39144</v>
      </c>
      <c r="B34" s="0" t="s">
        <v>3702</v>
      </c>
      <c r="C34" s="0" t="s">
        <v>31</v>
      </c>
      <c r="D34" s="0" t="s">
        <v>3671</v>
      </c>
      <c r="E34" s="0" t="n">
        <v>2.98</v>
      </c>
    </row>
    <row r="35" customFormat="false" ht="15" hidden="false" customHeight="false" outlineLevel="0" collapsed="false">
      <c r="A35" s="0" t="n">
        <v>39138</v>
      </c>
      <c r="B35" s="0" t="s">
        <v>3703</v>
      </c>
      <c r="C35" s="0" t="s">
        <v>31</v>
      </c>
      <c r="D35" s="0" t="s">
        <v>3671</v>
      </c>
      <c r="E35" s="0" t="n">
        <v>0.68</v>
      </c>
    </row>
    <row r="36" customFormat="false" ht="15" hidden="false" customHeight="false" outlineLevel="0" collapsed="false">
      <c r="A36" s="0" t="n">
        <v>39136</v>
      </c>
      <c r="B36" s="0" t="s">
        <v>3704</v>
      </c>
      <c r="C36" s="0" t="s">
        <v>31</v>
      </c>
      <c r="D36" s="0" t="s">
        <v>3671</v>
      </c>
      <c r="E36" s="0" t="n">
        <v>0.45</v>
      </c>
    </row>
    <row r="37" customFormat="false" ht="15" hidden="false" customHeight="false" outlineLevel="0" collapsed="false">
      <c r="A37" s="0" t="n">
        <v>39145</v>
      </c>
      <c r="B37" s="0" t="s">
        <v>3705</v>
      </c>
      <c r="C37" s="0" t="s">
        <v>31</v>
      </c>
      <c r="D37" s="0" t="s">
        <v>3671</v>
      </c>
      <c r="E37" s="0" t="n">
        <v>4.92</v>
      </c>
    </row>
    <row r="38" customFormat="false" ht="15" hidden="false" customHeight="false" outlineLevel="0" collapsed="false">
      <c r="A38" s="0" t="n">
        <v>12615</v>
      </c>
      <c r="B38" s="0" t="s">
        <v>3706</v>
      </c>
      <c r="C38" s="0" t="s">
        <v>31</v>
      </c>
      <c r="D38" s="0" t="s">
        <v>3671</v>
      </c>
      <c r="E38" s="0" t="n">
        <v>13.3</v>
      </c>
    </row>
    <row r="39" customFormat="false" ht="15" hidden="false" customHeight="false" outlineLevel="0" collapsed="false">
      <c r="A39" s="0" t="n">
        <v>11927</v>
      </c>
      <c r="B39" s="0" t="s">
        <v>3707</v>
      </c>
      <c r="C39" s="0" t="s">
        <v>31</v>
      </c>
      <c r="D39" s="0" t="s">
        <v>3671</v>
      </c>
    </row>
    <row r="40" customFormat="false" ht="15" hidden="false" customHeight="false" outlineLevel="0" collapsed="false">
      <c r="A40" s="0" t="n">
        <v>11928</v>
      </c>
      <c r="B40" s="0" t="s">
        <v>3708</v>
      </c>
      <c r="C40" s="0" t="s">
        <v>31</v>
      </c>
      <c r="D40" s="0" t="s">
        <v>3671</v>
      </c>
    </row>
    <row r="41" customFormat="false" ht="15" hidden="false" customHeight="false" outlineLevel="0" collapsed="false">
      <c r="A41" s="0" t="n">
        <v>11929</v>
      </c>
      <c r="B41" s="0" t="s">
        <v>3709</v>
      </c>
      <c r="C41" s="0" t="s">
        <v>31</v>
      </c>
      <c r="D41" s="0" t="s">
        <v>3671</v>
      </c>
    </row>
    <row r="42" customFormat="false" ht="15" hidden="false" customHeight="false" outlineLevel="0" collapsed="false">
      <c r="A42" s="0" t="n">
        <v>36801</v>
      </c>
      <c r="B42" s="0" t="s">
        <v>3710</v>
      </c>
      <c r="C42" s="0" t="s">
        <v>31</v>
      </c>
      <c r="D42" s="0" t="s">
        <v>3671</v>
      </c>
      <c r="E42" s="0" t="n">
        <v>40.34</v>
      </c>
    </row>
    <row r="43" customFormat="false" ht="15" hidden="false" customHeight="false" outlineLevel="0" collapsed="false">
      <c r="A43" s="0" t="n">
        <v>36246</v>
      </c>
      <c r="B43" s="0" t="s">
        <v>3711</v>
      </c>
      <c r="C43" s="0" t="s">
        <v>1455</v>
      </c>
      <c r="D43" s="0" t="s">
        <v>3671</v>
      </c>
      <c r="E43" s="0" t="n">
        <v>3.27</v>
      </c>
    </row>
    <row r="44" customFormat="false" ht="15" hidden="false" customHeight="false" outlineLevel="0" collapsed="false">
      <c r="A44" s="0" t="n">
        <v>37600</v>
      </c>
      <c r="B44" s="0" t="s">
        <v>3712</v>
      </c>
      <c r="C44" s="0" t="s">
        <v>31</v>
      </c>
      <c r="D44" s="0" t="s">
        <v>3671</v>
      </c>
    </row>
    <row r="45" customFormat="false" ht="15" hidden="false" customHeight="false" outlineLevel="0" collapsed="false">
      <c r="A45" s="0" t="n">
        <v>37599</v>
      </c>
      <c r="B45" s="0" t="s">
        <v>3713</v>
      </c>
      <c r="C45" s="0" t="s">
        <v>31</v>
      </c>
      <c r="D45" s="0" t="s">
        <v>3671</v>
      </c>
    </row>
    <row r="46" customFormat="false" ht="15" hidden="false" customHeight="false" outlineLevel="0" collapsed="false">
      <c r="A46" s="0" t="n">
        <v>1</v>
      </c>
      <c r="B46" s="0" t="s">
        <v>3714</v>
      </c>
      <c r="C46" s="0" t="s">
        <v>1513</v>
      </c>
      <c r="D46" s="0" t="s">
        <v>3676</v>
      </c>
      <c r="E46" s="0" t="n">
        <v>73.33</v>
      </c>
    </row>
    <row r="47" customFormat="false" ht="15" hidden="false" customHeight="false" outlineLevel="0" collapsed="false">
      <c r="A47" s="0" t="n">
        <v>3</v>
      </c>
      <c r="B47" s="0" t="s">
        <v>3715</v>
      </c>
      <c r="C47" s="0" t="s">
        <v>1452</v>
      </c>
      <c r="D47" s="0" t="s">
        <v>3671</v>
      </c>
      <c r="E47" s="0" t="n">
        <v>15.6</v>
      </c>
    </row>
    <row r="48" customFormat="false" ht="15" hidden="false" customHeight="false" outlineLevel="0" collapsed="false">
      <c r="A48" s="0" t="n">
        <v>43054</v>
      </c>
      <c r="B48" s="0" t="s">
        <v>3716</v>
      </c>
      <c r="C48" s="0" t="s">
        <v>1513</v>
      </c>
      <c r="D48" s="0" t="s">
        <v>3671</v>
      </c>
      <c r="E48" s="0" t="n">
        <v>8.25</v>
      </c>
    </row>
    <row r="49" customFormat="false" ht="15" hidden="false" customHeight="false" outlineLevel="0" collapsed="false">
      <c r="A49" s="0" t="n">
        <v>42402</v>
      </c>
      <c r="B49" s="0" t="s">
        <v>1706</v>
      </c>
      <c r="C49" s="0" t="s">
        <v>1513</v>
      </c>
      <c r="D49" s="0" t="s">
        <v>3671</v>
      </c>
      <c r="E49" s="0" t="n">
        <v>7.88</v>
      </c>
    </row>
    <row r="50" customFormat="false" ht="15" hidden="false" customHeight="false" outlineLevel="0" collapsed="false">
      <c r="A50" s="0" t="n">
        <v>42403</v>
      </c>
      <c r="B50" s="0" t="s">
        <v>3717</v>
      </c>
      <c r="C50" s="0" t="s">
        <v>1513</v>
      </c>
      <c r="D50" s="0" t="s">
        <v>3671</v>
      </c>
      <c r="E50" s="0" t="n">
        <v>10.11</v>
      </c>
    </row>
    <row r="51" customFormat="false" ht="15" hidden="false" customHeight="false" outlineLevel="0" collapsed="false">
      <c r="A51" s="0" t="n">
        <v>42404</v>
      </c>
      <c r="B51" s="0" t="s">
        <v>3718</v>
      </c>
      <c r="C51" s="0" t="s">
        <v>1513</v>
      </c>
      <c r="D51" s="0" t="s">
        <v>3671</v>
      </c>
      <c r="E51" s="0" t="n">
        <v>10.05</v>
      </c>
    </row>
    <row r="52" customFormat="false" ht="15" hidden="false" customHeight="false" outlineLevel="0" collapsed="false">
      <c r="A52" s="0" t="n">
        <v>42405</v>
      </c>
      <c r="B52" s="0" t="s">
        <v>3719</v>
      </c>
      <c r="C52" s="0" t="s">
        <v>1513</v>
      </c>
      <c r="D52" s="0" t="s">
        <v>3671</v>
      </c>
      <c r="E52" s="0" t="n">
        <v>10.71</v>
      </c>
    </row>
    <row r="53" customFormat="false" ht="15" hidden="false" customHeight="false" outlineLevel="0" collapsed="false">
      <c r="A53" s="0" t="n">
        <v>34341</v>
      </c>
      <c r="B53" s="0" t="s">
        <v>3720</v>
      </c>
      <c r="C53" s="0" t="s">
        <v>1513</v>
      </c>
      <c r="D53" s="0" t="s">
        <v>3671</v>
      </c>
      <c r="E53" s="0" t="n">
        <v>9.3</v>
      </c>
    </row>
    <row r="54" customFormat="false" ht="15" hidden="false" customHeight="false" outlineLevel="0" collapsed="false">
      <c r="A54" s="0" t="n">
        <v>43053</v>
      </c>
      <c r="B54" s="0" t="s">
        <v>3721</v>
      </c>
      <c r="C54" s="0" t="s">
        <v>1513</v>
      </c>
      <c r="D54" s="0" t="s">
        <v>3671</v>
      </c>
      <c r="E54" s="0" t="n">
        <v>7.37</v>
      </c>
    </row>
    <row r="55" customFormat="false" ht="15" hidden="false" customHeight="false" outlineLevel="0" collapsed="false">
      <c r="A55" s="0" t="n">
        <v>43058</v>
      </c>
      <c r="B55" s="0" t="s">
        <v>3722</v>
      </c>
      <c r="C55" s="0" t="s">
        <v>1513</v>
      </c>
      <c r="D55" s="0" t="s">
        <v>3671</v>
      </c>
      <c r="E55" s="0" t="n">
        <v>7.64</v>
      </c>
    </row>
    <row r="56" customFormat="false" ht="15" hidden="false" customHeight="false" outlineLevel="0" collapsed="false">
      <c r="A56" s="0" t="n">
        <v>34</v>
      </c>
      <c r="B56" s="0" t="s">
        <v>1645</v>
      </c>
      <c r="C56" s="0" t="s">
        <v>1513</v>
      </c>
      <c r="D56" s="0" t="s">
        <v>3671</v>
      </c>
      <c r="E56" s="0" t="n">
        <v>7.68</v>
      </c>
    </row>
    <row r="57" customFormat="false" ht="15" hidden="false" customHeight="false" outlineLevel="0" collapsed="false">
      <c r="A57" s="0" t="n">
        <v>43055</v>
      </c>
      <c r="B57" s="0" t="s">
        <v>1618</v>
      </c>
      <c r="C57" s="0" t="s">
        <v>1513</v>
      </c>
      <c r="D57" s="0" t="s">
        <v>3676</v>
      </c>
      <c r="E57" s="0" t="n">
        <v>6.65</v>
      </c>
    </row>
    <row r="58" customFormat="false" ht="15" hidden="false" customHeight="false" outlineLevel="0" collapsed="false">
      <c r="A58" s="0" t="n">
        <v>43056</v>
      </c>
      <c r="B58" s="0" t="s">
        <v>1671</v>
      </c>
      <c r="C58" s="0" t="s">
        <v>1513</v>
      </c>
      <c r="D58" s="0" t="s">
        <v>3671</v>
      </c>
      <c r="E58" s="0" t="n">
        <v>7.67</v>
      </c>
    </row>
    <row r="59" customFormat="false" ht="15" hidden="false" customHeight="false" outlineLevel="0" collapsed="false">
      <c r="A59" s="0" t="n">
        <v>43057</v>
      </c>
      <c r="B59" s="0" t="s">
        <v>3723</v>
      </c>
      <c r="C59" s="0" t="s">
        <v>1513</v>
      </c>
      <c r="D59" s="0" t="s">
        <v>3671</v>
      </c>
      <c r="E59" s="0" t="n">
        <v>8.42</v>
      </c>
    </row>
    <row r="60" customFormat="false" ht="15" hidden="false" customHeight="false" outlineLevel="0" collapsed="false">
      <c r="A60" s="0" t="n">
        <v>34449</v>
      </c>
      <c r="B60" s="0" t="s">
        <v>3724</v>
      </c>
      <c r="C60" s="0" t="s">
        <v>1513</v>
      </c>
      <c r="D60" s="0" t="s">
        <v>3671</v>
      </c>
      <c r="E60" s="0" t="n">
        <v>9.01</v>
      </c>
    </row>
    <row r="61" customFormat="false" ht="15" hidden="false" customHeight="false" outlineLevel="0" collapsed="false">
      <c r="A61" s="0" t="n">
        <v>32</v>
      </c>
      <c r="B61" s="0" t="s">
        <v>1619</v>
      </c>
      <c r="C61" s="0" t="s">
        <v>1513</v>
      </c>
      <c r="D61" s="0" t="s">
        <v>3671</v>
      </c>
      <c r="E61" s="0" t="n">
        <v>8.1</v>
      </c>
    </row>
    <row r="62" customFormat="false" ht="15" hidden="false" customHeight="false" outlineLevel="0" collapsed="false">
      <c r="A62" s="0" t="n">
        <v>33</v>
      </c>
      <c r="B62" s="0" t="s">
        <v>1633</v>
      </c>
      <c r="C62" s="0" t="s">
        <v>1513</v>
      </c>
      <c r="D62" s="0" t="s">
        <v>3671</v>
      </c>
      <c r="E62" s="0" t="n">
        <v>8.14</v>
      </c>
    </row>
    <row r="63" customFormat="false" ht="15" hidden="false" customHeight="false" outlineLevel="0" collapsed="false">
      <c r="A63" s="0" t="n">
        <v>43061</v>
      </c>
      <c r="B63" s="0" t="s">
        <v>2677</v>
      </c>
      <c r="C63" s="0" t="s">
        <v>1513</v>
      </c>
      <c r="D63" s="0" t="s">
        <v>3671</v>
      </c>
      <c r="E63" s="0" t="n">
        <v>7.61</v>
      </c>
    </row>
    <row r="64" customFormat="false" ht="15" hidden="false" customHeight="false" outlineLevel="0" collapsed="false">
      <c r="A64" s="0" t="n">
        <v>43059</v>
      </c>
      <c r="B64" s="0" t="s">
        <v>1630</v>
      </c>
      <c r="C64" s="0" t="s">
        <v>1513</v>
      </c>
      <c r="D64" s="0" t="s">
        <v>3671</v>
      </c>
      <c r="E64" s="0" t="n">
        <v>7.26</v>
      </c>
    </row>
    <row r="65" customFormat="false" ht="15" hidden="false" customHeight="false" outlineLevel="0" collapsed="false">
      <c r="A65" s="0" t="n">
        <v>43062</v>
      </c>
      <c r="B65" s="0" t="s">
        <v>3725</v>
      </c>
      <c r="C65" s="0" t="s">
        <v>1513</v>
      </c>
      <c r="D65" s="0" t="s">
        <v>3671</v>
      </c>
      <c r="E65" s="0" t="n">
        <v>8.05</v>
      </c>
    </row>
    <row r="66" customFormat="false" ht="15" hidden="false" customHeight="false" outlineLevel="0" collapsed="false">
      <c r="A66" s="0" t="n">
        <v>43060</v>
      </c>
      <c r="B66" s="0" t="s">
        <v>3726</v>
      </c>
      <c r="C66" s="0" t="s">
        <v>1513</v>
      </c>
      <c r="D66" s="0" t="s">
        <v>3671</v>
      </c>
      <c r="E66" s="0" t="n">
        <v>6.33</v>
      </c>
    </row>
    <row r="67" customFormat="false" ht="15" hidden="false" customHeight="false" outlineLevel="0" collapsed="false">
      <c r="A67" s="0" t="n">
        <v>40410</v>
      </c>
      <c r="B67" s="0" t="s">
        <v>3727</v>
      </c>
      <c r="C67" s="0" t="s">
        <v>31</v>
      </c>
      <c r="D67" s="0" t="s">
        <v>3676</v>
      </c>
    </row>
    <row r="68" customFormat="false" ht="15" hidden="false" customHeight="false" outlineLevel="0" collapsed="false">
      <c r="A68" s="0" t="n">
        <v>40411</v>
      </c>
      <c r="B68" s="0" t="s">
        <v>3728</v>
      </c>
      <c r="C68" s="0" t="s">
        <v>31</v>
      </c>
      <c r="D68" s="0" t="s">
        <v>3671</v>
      </c>
    </row>
    <row r="69" customFormat="false" ht="15" hidden="false" customHeight="false" outlineLevel="0" collapsed="false">
      <c r="A69" s="0" t="n">
        <v>40412</v>
      </c>
      <c r="B69" s="0" t="s">
        <v>3729</v>
      </c>
      <c r="C69" s="0" t="s">
        <v>31</v>
      </c>
      <c r="D69" s="0" t="s">
        <v>3671</v>
      </c>
    </row>
    <row r="70" customFormat="false" ht="15" hidden="false" customHeight="false" outlineLevel="0" collapsed="false">
      <c r="A70" s="0" t="n">
        <v>44254</v>
      </c>
      <c r="B70" s="0" t="s">
        <v>3730</v>
      </c>
      <c r="C70" s="0" t="s">
        <v>31</v>
      </c>
      <c r="D70" s="0" t="s">
        <v>3671</v>
      </c>
      <c r="E70" s="0" t="n">
        <v>27.38</v>
      </c>
    </row>
    <row r="71" customFormat="false" ht="15" hidden="false" customHeight="false" outlineLevel="0" collapsed="false">
      <c r="A71" s="0" t="n">
        <v>44255</v>
      </c>
      <c r="B71" s="0" t="s">
        <v>3731</v>
      </c>
      <c r="C71" s="0" t="s">
        <v>31</v>
      </c>
      <c r="D71" s="0" t="s">
        <v>3671</v>
      </c>
      <c r="E71" s="0" t="n">
        <v>30.35</v>
      </c>
    </row>
    <row r="72" customFormat="false" ht="15" hidden="false" customHeight="false" outlineLevel="0" collapsed="false">
      <c r="A72" s="0" t="n">
        <v>44256</v>
      </c>
      <c r="B72" s="0" t="s">
        <v>3732</v>
      </c>
      <c r="C72" s="0" t="s">
        <v>31</v>
      </c>
      <c r="D72" s="0" t="s">
        <v>3671</v>
      </c>
      <c r="E72" s="0" t="n">
        <v>34.28</v>
      </c>
    </row>
    <row r="73" customFormat="false" ht="15" hidden="false" customHeight="false" outlineLevel="0" collapsed="false">
      <c r="A73" s="0" t="n">
        <v>44257</v>
      </c>
      <c r="B73" s="0" t="s">
        <v>3733</v>
      </c>
      <c r="C73" s="0" t="s">
        <v>31</v>
      </c>
      <c r="D73" s="0" t="s">
        <v>3671</v>
      </c>
      <c r="E73" s="0" t="n">
        <v>54.23</v>
      </c>
    </row>
    <row r="74" customFormat="false" ht="15" hidden="false" customHeight="false" outlineLevel="0" collapsed="false">
      <c r="A74" s="0" t="n">
        <v>44258</v>
      </c>
      <c r="B74" s="0" t="s">
        <v>3734</v>
      </c>
      <c r="C74" s="0" t="s">
        <v>31</v>
      </c>
      <c r="D74" s="0" t="s">
        <v>3671</v>
      </c>
      <c r="E74" s="0" t="n">
        <v>61.97</v>
      </c>
    </row>
    <row r="75" customFormat="false" ht="15" hidden="false" customHeight="false" outlineLevel="0" collapsed="false">
      <c r="A75" s="0" t="n">
        <v>44259</v>
      </c>
      <c r="B75" s="0" t="s">
        <v>3735</v>
      </c>
      <c r="C75" s="0" t="s">
        <v>31</v>
      </c>
      <c r="D75" s="0" t="s">
        <v>3671</v>
      </c>
      <c r="E75" s="0" t="n">
        <v>85.07</v>
      </c>
    </row>
    <row r="76" customFormat="false" ht="15" hidden="false" customHeight="false" outlineLevel="0" collapsed="false">
      <c r="A76" s="0" t="n">
        <v>37997</v>
      </c>
      <c r="B76" s="0" t="s">
        <v>3736</v>
      </c>
      <c r="C76" s="0" t="s">
        <v>31</v>
      </c>
      <c r="D76" s="0" t="s">
        <v>3671</v>
      </c>
      <c r="E76" s="0" t="n">
        <v>16.31</v>
      </c>
    </row>
    <row r="77" customFormat="false" ht="15" hidden="false" customHeight="false" outlineLevel="0" collapsed="false">
      <c r="A77" s="0" t="n">
        <v>37998</v>
      </c>
      <c r="B77" s="0" t="s">
        <v>3737</v>
      </c>
      <c r="C77" s="0" t="s">
        <v>31</v>
      </c>
      <c r="D77" s="0" t="s">
        <v>3671</v>
      </c>
      <c r="E77" s="0" t="n">
        <v>21.84</v>
      </c>
    </row>
    <row r="78" customFormat="false" ht="15" hidden="false" customHeight="false" outlineLevel="0" collapsed="false">
      <c r="A78" s="0" t="n">
        <v>55</v>
      </c>
      <c r="B78" s="0" t="s">
        <v>3738</v>
      </c>
      <c r="C78" s="0" t="s">
        <v>31</v>
      </c>
      <c r="D78" s="0" t="s">
        <v>3676</v>
      </c>
    </row>
    <row r="79" customFormat="false" ht="15" hidden="false" customHeight="false" outlineLevel="0" collapsed="false">
      <c r="A79" s="0" t="n">
        <v>61</v>
      </c>
      <c r="B79" s="0" t="s">
        <v>3739</v>
      </c>
      <c r="C79" s="0" t="s">
        <v>31</v>
      </c>
      <c r="D79" s="0" t="s">
        <v>3671</v>
      </c>
    </row>
    <row r="80" customFormat="false" ht="15" hidden="false" customHeight="false" outlineLevel="0" collapsed="false">
      <c r="A80" s="0" t="n">
        <v>62</v>
      </c>
      <c r="B80" s="0" t="s">
        <v>3740</v>
      </c>
      <c r="C80" s="0" t="s">
        <v>31</v>
      </c>
      <c r="D80" s="0" t="s">
        <v>3671</v>
      </c>
    </row>
    <row r="81" customFormat="false" ht="15" hidden="false" customHeight="false" outlineLevel="0" collapsed="false">
      <c r="A81" s="0" t="n">
        <v>10899</v>
      </c>
      <c r="B81" s="0" t="s">
        <v>2670</v>
      </c>
      <c r="C81" s="0" t="s">
        <v>31</v>
      </c>
      <c r="D81" s="0" t="s">
        <v>3671</v>
      </c>
    </row>
    <row r="82" customFormat="false" ht="15" hidden="false" customHeight="false" outlineLevel="0" collapsed="false">
      <c r="A82" s="0" t="n">
        <v>10900</v>
      </c>
      <c r="B82" s="0" t="s">
        <v>3741</v>
      </c>
      <c r="C82" s="0" t="s">
        <v>31</v>
      </c>
      <c r="D82" s="0" t="s">
        <v>3671</v>
      </c>
    </row>
    <row r="83" customFormat="false" ht="15" hidden="false" customHeight="false" outlineLevel="0" collapsed="false">
      <c r="A83" s="0" t="n">
        <v>47</v>
      </c>
      <c r="B83" s="0" t="s">
        <v>3742</v>
      </c>
      <c r="C83" s="0" t="s">
        <v>31</v>
      </c>
      <c r="D83" s="0" t="s">
        <v>3671</v>
      </c>
    </row>
    <row r="84" customFormat="false" ht="15" hidden="false" customHeight="false" outlineLevel="0" collapsed="false">
      <c r="A84" s="0" t="n">
        <v>48</v>
      </c>
      <c r="B84" s="0" t="s">
        <v>3743</v>
      </c>
      <c r="C84" s="0" t="s">
        <v>31</v>
      </c>
      <c r="D84" s="0" t="s">
        <v>3671</v>
      </c>
    </row>
    <row r="85" customFormat="false" ht="15" hidden="false" customHeight="false" outlineLevel="0" collapsed="false">
      <c r="A85" s="0" t="n">
        <v>46</v>
      </c>
      <c r="B85" s="0" t="s">
        <v>3744</v>
      </c>
      <c r="C85" s="0" t="s">
        <v>31</v>
      </c>
      <c r="D85" s="0" t="s">
        <v>3671</v>
      </c>
    </row>
    <row r="86" customFormat="false" ht="15" hidden="false" customHeight="false" outlineLevel="0" collapsed="false">
      <c r="A86" s="0" t="n">
        <v>52</v>
      </c>
      <c r="B86" s="0" t="s">
        <v>3745</v>
      </c>
      <c r="C86" s="0" t="s">
        <v>31</v>
      </c>
      <c r="D86" s="0" t="s">
        <v>3671</v>
      </c>
    </row>
    <row r="87" customFormat="false" ht="15" hidden="false" customHeight="false" outlineLevel="0" collapsed="false">
      <c r="A87" s="0" t="n">
        <v>43</v>
      </c>
      <c r="B87" s="0" t="s">
        <v>3746</v>
      </c>
      <c r="C87" s="0" t="s">
        <v>31</v>
      </c>
      <c r="D87" s="0" t="s">
        <v>3671</v>
      </c>
    </row>
    <row r="88" customFormat="false" ht="15" hidden="false" customHeight="false" outlineLevel="0" collapsed="false">
      <c r="A88" s="0" t="n">
        <v>103</v>
      </c>
      <c r="B88" s="0" t="s">
        <v>3747</v>
      </c>
      <c r="C88" s="0" t="s">
        <v>31</v>
      </c>
      <c r="D88" s="0" t="s">
        <v>3671</v>
      </c>
      <c r="E88" s="0" t="n">
        <v>43.43</v>
      </c>
    </row>
    <row r="89" customFormat="false" ht="15" hidden="false" customHeight="false" outlineLevel="0" collapsed="false">
      <c r="A89" s="0" t="n">
        <v>107</v>
      </c>
      <c r="B89" s="0" t="s">
        <v>3748</v>
      </c>
      <c r="C89" s="0" t="s">
        <v>31</v>
      </c>
      <c r="D89" s="0" t="s">
        <v>3671</v>
      </c>
      <c r="E89" s="0" t="n">
        <v>0.81</v>
      </c>
    </row>
    <row r="90" customFormat="false" ht="15" hidden="false" customHeight="false" outlineLevel="0" collapsed="false">
      <c r="A90" s="0" t="n">
        <v>65</v>
      </c>
      <c r="B90" s="0" t="s">
        <v>2102</v>
      </c>
      <c r="C90" s="0" t="s">
        <v>31</v>
      </c>
      <c r="D90" s="0" t="s">
        <v>3671</v>
      </c>
      <c r="E90" s="0" t="n">
        <v>0.89</v>
      </c>
    </row>
    <row r="91" customFormat="false" ht="15" hidden="false" customHeight="false" outlineLevel="0" collapsed="false">
      <c r="A91" s="0" t="n">
        <v>108</v>
      </c>
      <c r="B91" s="0" t="s">
        <v>2295</v>
      </c>
      <c r="C91" s="0" t="s">
        <v>31</v>
      </c>
      <c r="D91" s="0" t="s">
        <v>3671</v>
      </c>
      <c r="E91" s="0" t="n">
        <v>1.8</v>
      </c>
    </row>
    <row r="92" customFormat="false" ht="15" hidden="false" customHeight="false" outlineLevel="0" collapsed="false">
      <c r="A92" s="0" t="n">
        <v>110</v>
      </c>
      <c r="B92" s="0" t="s">
        <v>3749</v>
      </c>
      <c r="C92" s="0" t="s">
        <v>31</v>
      </c>
      <c r="D92" s="0" t="s">
        <v>3671</v>
      </c>
      <c r="E92" s="0" t="n">
        <v>6.25</v>
      </c>
    </row>
    <row r="93" customFormat="false" ht="15" hidden="false" customHeight="false" outlineLevel="0" collapsed="false">
      <c r="A93" s="0" t="n">
        <v>109</v>
      </c>
      <c r="B93" s="0" t="s">
        <v>3750</v>
      </c>
      <c r="C93" s="0" t="s">
        <v>31</v>
      </c>
      <c r="D93" s="0" t="s">
        <v>3671</v>
      </c>
      <c r="E93" s="0" t="n">
        <v>3.72</v>
      </c>
    </row>
    <row r="94" customFormat="false" ht="15" hidden="false" customHeight="false" outlineLevel="0" collapsed="false">
      <c r="A94" s="0" t="n">
        <v>111</v>
      </c>
      <c r="B94" s="0" t="s">
        <v>2299</v>
      </c>
      <c r="C94" s="0" t="s">
        <v>31</v>
      </c>
      <c r="D94" s="0" t="s">
        <v>3671</v>
      </c>
      <c r="E94" s="0" t="n">
        <v>8.45</v>
      </c>
    </row>
    <row r="95" customFormat="false" ht="15" hidden="false" customHeight="false" outlineLevel="0" collapsed="false">
      <c r="A95" s="0" t="n">
        <v>112</v>
      </c>
      <c r="B95" s="0" t="s">
        <v>2297</v>
      </c>
      <c r="C95" s="0" t="s">
        <v>31</v>
      </c>
      <c r="D95" s="0" t="s">
        <v>3671</v>
      </c>
      <c r="E95" s="0" t="n">
        <v>4.48</v>
      </c>
    </row>
    <row r="96" customFormat="false" ht="15" hidden="false" customHeight="false" outlineLevel="0" collapsed="false">
      <c r="A96" s="0" t="n">
        <v>113</v>
      </c>
      <c r="B96" s="0" t="s">
        <v>3751</v>
      </c>
      <c r="C96" s="0" t="s">
        <v>31</v>
      </c>
      <c r="D96" s="0" t="s">
        <v>3671</v>
      </c>
      <c r="E96" s="0" t="n">
        <v>11.21</v>
      </c>
    </row>
    <row r="97" customFormat="false" ht="15" hidden="false" customHeight="false" outlineLevel="0" collapsed="false">
      <c r="A97" s="0" t="n">
        <v>104</v>
      </c>
      <c r="B97" s="0" t="s">
        <v>3752</v>
      </c>
      <c r="C97" s="0" t="s">
        <v>31</v>
      </c>
      <c r="D97" s="0" t="s">
        <v>3671</v>
      </c>
      <c r="E97" s="0" t="n">
        <v>19.52</v>
      </c>
    </row>
    <row r="98" customFormat="false" ht="15" hidden="false" customHeight="false" outlineLevel="0" collapsed="false">
      <c r="A98" s="0" t="n">
        <v>102</v>
      </c>
      <c r="B98" s="0" t="s">
        <v>3753</v>
      </c>
      <c r="C98" s="0" t="s">
        <v>31</v>
      </c>
      <c r="D98" s="0" t="s">
        <v>3671</v>
      </c>
      <c r="E98" s="0" t="n">
        <v>26.91</v>
      </c>
    </row>
    <row r="99" customFormat="false" ht="15" hidden="false" customHeight="false" outlineLevel="0" collapsed="false">
      <c r="A99" s="0" t="n">
        <v>95</v>
      </c>
      <c r="B99" s="0" t="s">
        <v>3754</v>
      </c>
      <c r="C99" s="0" t="s">
        <v>31</v>
      </c>
      <c r="D99" s="0" t="s">
        <v>3671</v>
      </c>
      <c r="E99" s="0" t="n">
        <v>11.37</v>
      </c>
    </row>
    <row r="100" customFormat="false" ht="15" hidden="false" customHeight="false" outlineLevel="0" collapsed="false">
      <c r="A100" s="0" t="n">
        <v>96</v>
      </c>
      <c r="B100" s="0" t="s">
        <v>2100</v>
      </c>
      <c r="C100" s="0" t="s">
        <v>31</v>
      </c>
      <c r="D100" s="0" t="s">
        <v>3671</v>
      </c>
      <c r="E100" s="0" t="n">
        <v>12.37</v>
      </c>
    </row>
    <row r="101" customFormat="false" ht="15" hidden="false" customHeight="false" outlineLevel="0" collapsed="false">
      <c r="A101" s="0" t="n">
        <v>97</v>
      </c>
      <c r="B101" s="0" t="s">
        <v>2288</v>
      </c>
      <c r="C101" s="0" t="s">
        <v>31</v>
      </c>
      <c r="D101" s="0" t="s">
        <v>3671</v>
      </c>
      <c r="E101" s="0" t="n">
        <v>18.61</v>
      </c>
    </row>
    <row r="102" customFormat="false" ht="15" hidden="false" customHeight="false" outlineLevel="0" collapsed="false">
      <c r="A102" s="0" t="n">
        <v>98</v>
      </c>
      <c r="B102" s="0" t="s">
        <v>3755</v>
      </c>
      <c r="C102" s="0" t="s">
        <v>31</v>
      </c>
      <c r="D102" s="0" t="s">
        <v>3671</v>
      </c>
      <c r="E102" s="0" t="n">
        <v>27.86</v>
      </c>
    </row>
    <row r="103" customFormat="false" ht="15" hidden="false" customHeight="false" outlineLevel="0" collapsed="false">
      <c r="A103" s="0" t="n">
        <v>99</v>
      </c>
      <c r="B103" s="0" t="s">
        <v>2290</v>
      </c>
      <c r="C103" s="0" t="s">
        <v>31</v>
      </c>
      <c r="D103" s="0" t="s">
        <v>3671</v>
      </c>
      <c r="E103" s="0" t="n">
        <v>26.33</v>
      </c>
    </row>
    <row r="104" customFormat="false" ht="15" hidden="false" customHeight="false" outlineLevel="0" collapsed="false">
      <c r="A104" s="0" t="n">
        <v>60</v>
      </c>
      <c r="B104" s="0" t="s">
        <v>3756</v>
      </c>
      <c r="C104" s="0" t="s">
        <v>31</v>
      </c>
      <c r="D104" s="0" t="s">
        <v>3671</v>
      </c>
    </row>
    <row r="105" customFormat="false" ht="15" hidden="false" customHeight="false" outlineLevel="0" collapsed="false">
      <c r="A105" s="0" t="n">
        <v>72</v>
      </c>
      <c r="B105" s="0" t="s">
        <v>3757</v>
      </c>
      <c r="C105" s="0" t="s">
        <v>31</v>
      </c>
      <c r="D105" s="0" t="s">
        <v>3671</v>
      </c>
      <c r="E105" s="0" t="n">
        <v>50.5</v>
      </c>
    </row>
    <row r="106" customFormat="false" ht="15" hidden="false" customHeight="false" outlineLevel="0" collapsed="false">
      <c r="A106" s="0" t="n">
        <v>71</v>
      </c>
      <c r="B106" s="0" t="s">
        <v>3758</v>
      </c>
      <c r="C106" s="0" t="s">
        <v>31</v>
      </c>
      <c r="D106" s="0" t="s">
        <v>3671</v>
      </c>
      <c r="E106" s="0" t="n">
        <v>31.19</v>
      </c>
    </row>
    <row r="107" customFormat="false" ht="15" hidden="false" customHeight="false" outlineLevel="0" collapsed="false">
      <c r="A107" s="0" t="n">
        <v>67</v>
      </c>
      <c r="B107" s="0" t="s">
        <v>3759</v>
      </c>
      <c r="C107" s="0" t="s">
        <v>31</v>
      </c>
      <c r="D107" s="0" t="s">
        <v>3671</v>
      </c>
      <c r="E107" s="0" t="n">
        <v>16.33</v>
      </c>
    </row>
    <row r="108" customFormat="false" ht="15" hidden="false" customHeight="false" outlineLevel="0" collapsed="false">
      <c r="A108" s="0" t="n">
        <v>73</v>
      </c>
      <c r="B108" s="0" t="s">
        <v>3760</v>
      </c>
      <c r="C108" s="0" t="s">
        <v>31</v>
      </c>
      <c r="D108" s="0" t="s">
        <v>3671</v>
      </c>
      <c r="E108" s="0" t="n">
        <v>15.62</v>
      </c>
    </row>
    <row r="109" customFormat="false" ht="15" hidden="false" customHeight="false" outlineLevel="0" collapsed="false">
      <c r="A109" s="0" t="n">
        <v>100</v>
      </c>
      <c r="B109" s="0" t="s">
        <v>3761</v>
      </c>
      <c r="C109" s="0" t="s">
        <v>31</v>
      </c>
      <c r="D109" s="0" t="s">
        <v>3671</v>
      </c>
      <c r="E109" s="0" t="n">
        <v>46</v>
      </c>
    </row>
    <row r="110" customFormat="false" ht="15" hidden="false" customHeight="false" outlineLevel="0" collapsed="false">
      <c r="A110" s="0" t="n">
        <v>75</v>
      </c>
      <c r="B110" s="0" t="s">
        <v>3762</v>
      </c>
      <c r="C110" s="0" t="s">
        <v>31</v>
      </c>
      <c r="D110" s="0" t="s">
        <v>3671</v>
      </c>
      <c r="E110" s="0" t="n">
        <v>268.22</v>
      </c>
    </row>
    <row r="111" customFormat="false" ht="15" hidden="false" customHeight="false" outlineLevel="0" collapsed="false">
      <c r="A111" s="0" t="n">
        <v>83</v>
      </c>
      <c r="B111" s="0" t="s">
        <v>2292</v>
      </c>
      <c r="C111" s="0" t="s">
        <v>31</v>
      </c>
      <c r="D111" s="0" t="s">
        <v>3671</v>
      </c>
      <c r="E111" s="0" t="n">
        <v>214.43</v>
      </c>
    </row>
    <row r="112" customFormat="false" ht="15" hidden="false" customHeight="false" outlineLevel="0" collapsed="false">
      <c r="A112" s="0" t="n">
        <v>74</v>
      </c>
      <c r="B112" s="0" t="s">
        <v>3763</v>
      </c>
      <c r="C112" s="0" t="s">
        <v>31</v>
      </c>
      <c r="D112" s="0" t="s">
        <v>3671</v>
      </c>
      <c r="E112" s="0" t="n">
        <v>306.58</v>
      </c>
    </row>
    <row r="113" customFormat="false" ht="15" hidden="false" customHeight="false" outlineLevel="0" collapsed="false">
      <c r="A113" s="0" t="n">
        <v>106</v>
      </c>
      <c r="B113" s="0" t="s">
        <v>3764</v>
      </c>
      <c r="C113" s="0" t="s">
        <v>31</v>
      </c>
      <c r="D113" s="0" t="s">
        <v>3671</v>
      </c>
      <c r="E113" s="0" t="n">
        <v>387.68</v>
      </c>
    </row>
    <row r="114" customFormat="false" ht="15" hidden="false" customHeight="false" outlineLevel="0" collapsed="false">
      <c r="A114" s="0" t="n">
        <v>88</v>
      </c>
      <c r="B114" s="0" t="s">
        <v>3765</v>
      </c>
      <c r="C114" s="0" t="s">
        <v>31</v>
      </c>
      <c r="D114" s="0" t="s">
        <v>3671</v>
      </c>
      <c r="E114" s="0" t="n">
        <v>10.89</v>
      </c>
    </row>
    <row r="115" customFormat="false" ht="15" hidden="false" customHeight="false" outlineLevel="0" collapsed="false">
      <c r="A115" s="0" t="n">
        <v>82</v>
      </c>
      <c r="B115" s="0" t="s">
        <v>3766</v>
      </c>
      <c r="C115" s="0" t="s">
        <v>31</v>
      </c>
      <c r="D115" s="0" t="s">
        <v>3671</v>
      </c>
      <c r="E115" s="0" t="n">
        <v>204.01</v>
      </c>
    </row>
    <row r="116" customFormat="false" ht="15" hidden="false" customHeight="false" outlineLevel="0" collapsed="false">
      <c r="A116" s="0" t="n">
        <v>105</v>
      </c>
      <c r="B116" s="0" t="s">
        <v>3767</v>
      </c>
      <c r="C116" s="0" t="s">
        <v>31</v>
      </c>
      <c r="D116" s="0" t="s">
        <v>3671</v>
      </c>
      <c r="E116" s="0" t="n">
        <v>289.08</v>
      </c>
    </row>
    <row r="117" customFormat="false" ht="15" hidden="false" customHeight="false" outlineLevel="0" collapsed="false">
      <c r="A117" s="0" t="n">
        <v>39719</v>
      </c>
      <c r="B117" s="0" t="s">
        <v>3768</v>
      </c>
      <c r="C117" s="0" t="s">
        <v>1452</v>
      </c>
      <c r="D117" s="0" t="s">
        <v>3671</v>
      </c>
      <c r="E117" s="0" t="n">
        <v>164.13</v>
      </c>
    </row>
    <row r="118" customFormat="false" ht="15" hidden="false" customHeight="false" outlineLevel="0" collapsed="false">
      <c r="A118" s="0" t="n">
        <v>3410</v>
      </c>
      <c r="B118" s="0" t="s">
        <v>3769</v>
      </c>
      <c r="C118" s="0" t="s">
        <v>1513</v>
      </c>
      <c r="D118" s="0" t="s">
        <v>3671</v>
      </c>
      <c r="E118" s="0" t="n">
        <v>36.92</v>
      </c>
    </row>
    <row r="119" customFormat="false" ht="15" hidden="false" customHeight="false" outlineLevel="0" collapsed="false">
      <c r="A119" s="0" t="n">
        <v>4791</v>
      </c>
      <c r="B119" s="0" t="s">
        <v>3770</v>
      </c>
      <c r="C119" s="0" t="s">
        <v>1513</v>
      </c>
      <c r="D119" s="0" t="s">
        <v>3671</v>
      </c>
      <c r="E119" s="0" t="n">
        <v>49.97</v>
      </c>
    </row>
    <row r="120" customFormat="false" ht="15" hidden="false" customHeight="false" outlineLevel="0" collapsed="false">
      <c r="A120" s="0" t="n">
        <v>157</v>
      </c>
      <c r="B120" s="0" t="s">
        <v>3771</v>
      </c>
      <c r="C120" s="0" t="s">
        <v>1513</v>
      </c>
      <c r="D120" s="0" t="s">
        <v>3671</v>
      </c>
      <c r="E120" s="0" t="n">
        <v>141.34</v>
      </c>
    </row>
    <row r="121" customFormat="false" ht="15" hidden="false" customHeight="false" outlineLevel="0" collapsed="false">
      <c r="A121" s="0" t="n">
        <v>156</v>
      </c>
      <c r="B121" s="0" t="s">
        <v>3772</v>
      </c>
      <c r="C121" s="0" t="s">
        <v>1513</v>
      </c>
      <c r="D121" s="0" t="s">
        <v>3671</v>
      </c>
      <c r="E121" s="0" t="n">
        <v>50.32</v>
      </c>
    </row>
    <row r="122" customFormat="false" ht="15" hidden="false" customHeight="false" outlineLevel="0" collapsed="false">
      <c r="A122" s="0" t="n">
        <v>131</v>
      </c>
      <c r="B122" s="0" t="s">
        <v>1751</v>
      </c>
      <c r="C122" s="0" t="s">
        <v>1513</v>
      </c>
      <c r="D122" s="0" t="s">
        <v>3671</v>
      </c>
      <c r="E122" s="0" t="n">
        <v>43.03</v>
      </c>
    </row>
    <row r="123" customFormat="false" ht="15" hidden="false" customHeight="false" outlineLevel="0" collapsed="false">
      <c r="A123" s="0" t="n">
        <v>21114</v>
      </c>
      <c r="B123" s="0" t="s">
        <v>3773</v>
      </c>
      <c r="C123" s="0" t="s">
        <v>31</v>
      </c>
      <c r="D123" s="0" t="s">
        <v>3671</v>
      </c>
      <c r="E123" s="0" t="n">
        <v>32.35</v>
      </c>
    </row>
    <row r="124" customFormat="false" ht="15" hidden="false" customHeight="false" outlineLevel="0" collapsed="false">
      <c r="A124" s="0" t="n">
        <v>119</v>
      </c>
      <c r="B124" s="0" t="s">
        <v>3774</v>
      </c>
      <c r="C124" s="0" t="s">
        <v>31</v>
      </c>
      <c r="D124" s="0" t="s">
        <v>3676</v>
      </c>
      <c r="E124" s="0" t="n">
        <v>8.2</v>
      </c>
    </row>
    <row r="125" customFormat="false" ht="15" hidden="false" customHeight="false" outlineLevel="0" collapsed="false">
      <c r="A125" s="0" t="n">
        <v>122</v>
      </c>
      <c r="B125" s="0" t="s">
        <v>2097</v>
      </c>
      <c r="C125" s="0" t="s">
        <v>31</v>
      </c>
      <c r="D125" s="0" t="s">
        <v>3671</v>
      </c>
      <c r="E125" s="0" t="n">
        <v>63.09</v>
      </c>
    </row>
    <row r="126" customFormat="false" ht="15" hidden="false" customHeight="false" outlineLevel="0" collapsed="false">
      <c r="A126" s="0" t="n">
        <v>20080</v>
      </c>
      <c r="B126" s="0" t="s">
        <v>2092</v>
      </c>
      <c r="C126" s="0" t="s">
        <v>31</v>
      </c>
      <c r="D126" s="0" t="s">
        <v>3671</v>
      </c>
      <c r="E126" s="0" t="n">
        <v>20.59</v>
      </c>
    </row>
    <row r="127" customFormat="false" ht="15" hidden="false" customHeight="false" outlineLevel="0" collapsed="false">
      <c r="A127" s="0" t="n">
        <v>124</v>
      </c>
      <c r="B127" s="0" t="s">
        <v>3775</v>
      </c>
      <c r="C127" s="0" t="s">
        <v>1452</v>
      </c>
      <c r="D127" s="0" t="s">
        <v>3671</v>
      </c>
      <c r="E127" s="0" t="n">
        <v>16.59</v>
      </c>
    </row>
    <row r="128" customFormat="false" ht="15" hidden="false" customHeight="false" outlineLevel="0" collapsed="false">
      <c r="A128" s="0" t="n">
        <v>7334</v>
      </c>
      <c r="B128" s="0" t="s">
        <v>1916</v>
      </c>
      <c r="C128" s="0" t="s">
        <v>1452</v>
      </c>
      <c r="D128" s="0" t="s">
        <v>3671</v>
      </c>
      <c r="E128" s="0" t="n">
        <v>13.5</v>
      </c>
    </row>
    <row r="129" customFormat="false" ht="15" hidden="false" customHeight="false" outlineLevel="0" collapsed="false">
      <c r="A129" s="0" t="n">
        <v>45146</v>
      </c>
      <c r="B129" s="0" t="s">
        <v>3776</v>
      </c>
      <c r="C129" s="0" t="s">
        <v>1513</v>
      </c>
      <c r="D129" s="0" t="s">
        <v>3671</v>
      </c>
      <c r="E129" s="0" t="n">
        <v>31.82</v>
      </c>
    </row>
    <row r="130" customFormat="false" ht="15" hidden="false" customHeight="false" outlineLevel="0" collapsed="false">
      <c r="A130" s="0" t="n">
        <v>123</v>
      </c>
      <c r="B130" s="0" t="s">
        <v>2208</v>
      </c>
      <c r="C130" s="0" t="s">
        <v>1452</v>
      </c>
      <c r="D130" s="0" t="s">
        <v>3676</v>
      </c>
      <c r="E130" s="0" t="n">
        <v>6.79</v>
      </c>
    </row>
    <row r="131" customFormat="false" ht="15" hidden="false" customHeight="false" outlineLevel="0" collapsed="false">
      <c r="A131" s="0" t="n">
        <v>127</v>
      </c>
      <c r="B131" s="0" t="s">
        <v>3777</v>
      </c>
      <c r="C131" s="0" t="s">
        <v>1452</v>
      </c>
      <c r="D131" s="0" t="s">
        <v>3671</v>
      </c>
      <c r="E131" s="0" t="n">
        <v>16.21</v>
      </c>
    </row>
    <row r="132" customFormat="false" ht="15" hidden="false" customHeight="false" outlineLevel="0" collapsed="false">
      <c r="A132" s="0" t="n">
        <v>133</v>
      </c>
      <c r="B132" s="0" t="s">
        <v>3778</v>
      </c>
      <c r="C132" s="0" t="s">
        <v>1452</v>
      </c>
      <c r="D132" s="0" t="s">
        <v>3671</v>
      </c>
      <c r="E132" s="0" t="n">
        <v>6.73</v>
      </c>
    </row>
    <row r="133" customFormat="false" ht="15" hidden="false" customHeight="false" outlineLevel="0" collapsed="false">
      <c r="A133" s="0" t="n">
        <v>43617</v>
      </c>
      <c r="B133" s="0" t="s">
        <v>1825</v>
      </c>
      <c r="C133" s="0" t="s">
        <v>1452</v>
      </c>
      <c r="D133" s="0" t="s">
        <v>3671</v>
      </c>
      <c r="E133" s="0" t="n">
        <v>7.52</v>
      </c>
    </row>
    <row r="134" customFormat="false" ht="15" hidden="false" customHeight="false" outlineLevel="0" collapsed="false">
      <c r="A134" s="0" t="n">
        <v>132</v>
      </c>
      <c r="B134" s="0" t="s">
        <v>3779</v>
      </c>
      <c r="C134" s="0" t="s">
        <v>1452</v>
      </c>
      <c r="D134" s="0" t="s">
        <v>3671</v>
      </c>
      <c r="E134" s="0" t="n">
        <v>6.98</v>
      </c>
    </row>
    <row r="135" customFormat="false" ht="15" hidden="false" customHeight="false" outlineLevel="0" collapsed="false">
      <c r="A135" s="0" t="n">
        <v>43618</v>
      </c>
      <c r="B135" s="0" t="s">
        <v>3780</v>
      </c>
      <c r="C135" s="0" t="s">
        <v>1513</v>
      </c>
      <c r="D135" s="0" t="s">
        <v>3671</v>
      </c>
      <c r="E135" s="0" t="n">
        <v>17.57</v>
      </c>
    </row>
    <row r="136" customFormat="false" ht="15" hidden="false" customHeight="false" outlineLevel="0" collapsed="false">
      <c r="A136" s="0" t="n">
        <v>37476</v>
      </c>
      <c r="B136" s="0" t="s">
        <v>3781</v>
      </c>
      <c r="C136" s="0" t="s">
        <v>31</v>
      </c>
      <c r="D136" s="0" t="s">
        <v>3671</v>
      </c>
    </row>
    <row r="137" customFormat="false" ht="15" hidden="false" customHeight="false" outlineLevel="0" collapsed="false">
      <c r="A137" s="0" t="n">
        <v>37478</v>
      </c>
      <c r="B137" s="0" t="s">
        <v>3782</v>
      </c>
      <c r="C137" s="0" t="s">
        <v>31</v>
      </c>
      <c r="D137" s="0" t="s">
        <v>3671</v>
      </c>
    </row>
    <row r="138" customFormat="false" ht="15" hidden="false" customHeight="false" outlineLevel="0" collapsed="false">
      <c r="A138" s="0" t="n">
        <v>37477</v>
      </c>
      <c r="B138" s="0" t="s">
        <v>3783</v>
      </c>
      <c r="C138" s="0" t="s">
        <v>31</v>
      </c>
      <c r="D138" s="0" t="s">
        <v>3671</v>
      </c>
    </row>
    <row r="139" customFormat="false" ht="15" hidden="false" customHeight="false" outlineLevel="0" collapsed="false">
      <c r="A139" s="0" t="n">
        <v>37479</v>
      </c>
      <c r="B139" s="0" t="s">
        <v>3784</v>
      </c>
      <c r="C139" s="0" t="s">
        <v>31</v>
      </c>
      <c r="D139" s="0" t="s">
        <v>3671</v>
      </c>
    </row>
    <row r="140" customFormat="false" ht="15" hidden="false" customHeight="false" outlineLevel="0" collapsed="false">
      <c r="A140" s="0" t="n">
        <v>4319</v>
      </c>
      <c r="B140" s="0" t="s">
        <v>3785</v>
      </c>
      <c r="C140" s="0" t="s">
        <v>31</v>
      </c>
      <c r="D140" s="0" t="s">
        <v>3671</v>
      </c>
      <c r="E140" s="0" t="n">
        <v>1.41</v>
      </c>
    </row>
    <row r="141" customFormat="false" ht="15" hidden="false" customHeight="false" outlineLevel="0" collapsed="false">
      <c r="A141" s="0" t="n">
        <v>42409</v>
      </c>
      <c r="B141" s="0" t="s">
        <v>3786</v>
      </c>
      <c r="C141" s="0" t="s">
        <v>1513</v>
      </c>
      <c r="D141" s="0" t="s">
        <v>3671</v>
      </c>
      <c r="E141" s="0" t="n">
        <v>11.06</v>
      </c>
    </row>
    <row r="142" customFormat="false" ht="15" hidden="false" customHeight="false" outlineLevel="0" collapsed="false">
      <c r="A142" s="0" t="n">
        <v>40553</v>
      </c>
      <c r="B142" s="0" t="s">
        <v>3787</v>
      </c>
      <c r="C142" s="0" t="s">
        <v>1442</v>
      </c>
      <c r="D142" s="0" t="s">
        <v>3676</v>
      </c>
    </row>
    <row r="143" customFormat="false" ht="15" hidden="false" customHeight="false" outlineLevel="0" collapsed="false">
      <c r="A143" s="0" t="n">
        <v>6114</v>
      </c>
      <c r="B143" s="0" t="s">
        <v>1588</v>
      </c>
      <c r="C143" s="0" t="s">
        <v>1444</v>
      </c>
      <c r="D143" s="0" t="s">
        <v>3671</v>
      </c>
      <c r="E143" s="0" t="n">
        <v>13.26</v>
      </c>
    </row>
    <row r="144" customFormat="false" ht="15" hidden="false" customHeight="false" outlineLevel="0" collapsed="false">
      <c r="A144" s="0" t="n">
        <v>40912</v>
      </c>
      <c r="B144" s="0" t="s">
        <v>3788</v>
      </c>
      <c r="C144" s="0" t="s">
        <v>1416</v>
      </c>
      <c r="D144" s="0" t="s">
        <v>3671</v>
      </c>
      <c r="E144" s="0" t="n">
        <v>2335.01</v>
      </c>
    </row>
    <row r="145" customFormat="false" ht="15" hidden="false" customHeight="false" outlineLevel="0" collapsed="false">
      <c r="A145" s="0" t="n">
        <v>247</v>
      </c>
      <c r="B145" s="0" t="s">
        <v>1554</v>
      </c>
      <c r="C145" s="0" t="s">
        <v>1444</v>
      </c>
      <c r="D145" s="0" t="s">
        <v>3671</v>
      </c>
      <c r="E145" s="0" t="n">
        <v>13.26</v>
      </c>
    </row>
    <row r="146" customFormat="false" ht="15" hidden="false" customHeight="false" outlineLevel="0" collapsed="false">
      <c r="A146" s="0" t="n">
        <v>40919</v>
      </c>
      <c r="B146" s="0" t="s">
        <v>3789</v>
      </c>
      <c r="C146" s="0" t="s">
        <v>1416</v>
      </c>
      <c r="D146" s="0" t="s">
        <v>3671</v>
      </c>
      <c r="E146" s="0" t="n">
        <v>2335.01</v>
      </c>
    </row>
    <row r="147" customFormat="false" ht="15" hidden="false" customHeight="false" outlineLevel="0" collapsed="false">
      <c r="A147" s="0" t="n">
        <v>44499</v>
      </c>
      <c r="B147" s="0" t="s">
        <v>1738</v>
      </c>
      <c r="C147" s="0" t="s">
        <v>1444</v>
      </c>
      <c r="D147" s="0" t="s">
        <v>3671</v>
      </c>
      <c r="E147" s="0" t="n">
        <v>13.26</v>
      </c>
    </row>
    <row r="148" customFormat="false" ht="15" hidden="false" customHeight="false" outlineLevel="0" collapsed="false">
      <c r="A148" s="0" t="n">
        <v>40984</v>
      </c>
      <c r="B148" s="0" t="s">
        <v>3790</v>
      </c>
      <c r="C148" s="0" t="s">
        <v>1416</v>
      </c>
      <c r="D148" s="0" t="s">
        <v>3671</v>
      </c>
      <c r="E148" s="0" t="n">
        <v>2335.01</v>
      </c>
    </row>
    <row r="149" customFormat="false" ht="15" hidden="false" customHeight="false" outlineLevel="0" collapsed="false">
      <c r="A149" s="0" t="n">
        <v>248</v>
      </c>
      <c r="B149" s="0" t="s">
        <v>3791</v>
      </c>
      <c r="C149" s="0" t="s">
        <v>1444</v>
      </c>
      <c r="D149" s="0" t="s">
        <v>3671</v>
      </c>
      <c r="E149" s="0" t="n">
        <v>13.61</v>
      </c>
    </row>
    <row r="150" customFormat="false" ht="15" hidden="false" customHeight="false" outlineLevel="0" collapsed="false">
      <c r="A150" s="0" t="n">
        <v>41086</v>
      </c>
      <c r="B150" s="0" t="s">
        <v>3792</v>
      </c>
      <c r="C150" s="0" t="s">
        <v>1416</v>
      </c>
      <c r="D150" s="0" t="s">
        <v>3671</v>
      </c>
      <c r="E150" s="0" t="n">
        <v>2399.54</v>
      </c>
    </row>
    <row r="151" customFormat="false" ht="15" hidden="false" customHeight="false" outlineLevel="0" collapsed="false">
      <c r="A151" s="0" t="n">
        <v>34466</v>
      </c>
      <c r="B151" s="0" t="s">
        <v>3793</v>
      </c>
      <c r="C151" s="0" t="s">
        <v>1444</v>
      </c>
      <c r="D151" s="0" t="s">
        <v>3671</v>
      </c>
      <c r="E151" s="0" t="n">
        <v>13.26</v>
      </c>
    </row>
    <row r="152" customFormat="false" ht="15" hidden="false" customHeight="false" outlineLevel="0" collapsed="false">
      <c r="A152" s="0" t="n">
        <v>41083</v>
      </c>
      <c r="B152" s="0" t="s">
        <v>3794</v>
      </c>
      <c r="C152" s="0" t="s">
        <v>1416</v>
      </c>
      <c r="D152" s="0" t="s">
        <v>3671</v>
      </c>
      <c r="E152" s="0" t="n">
        <v>2335.01</v>
      </c>
    </row>
    <row r="153" customFormat="false" ht="15" hidden="false" customHeight="false" outlineLevel="0" collapsed="false">
      <c r="A153" s="0" t="n">
        <v>252</v>
      </c>
      <c r="B153" s="0" t="s">
        <v>1600</v>
      </c>
      <c r="C153" s="0" t="s">
        <v>1444</v>
      </c>
      <c r="D153" s="0" t="s">
        <v>3671</v>
      </c>
      <c r="E153" s="0" t="n">
        <v>13.26</v>
      </c>
    </row>
    <row r="154" customFormat="false" ht="15" hidden="false" customHeight="false" outlineLevel="0" collapsed="false">
      <c r="A154" s="0" t="n">
        <v>40909</v>
      </c>
      <c r="B154" s="0" t="s">
        <v>3795</v>
      </c>
      <c r="C154" s="0" t="s">
        <v>1416</v>
      </c>
      <c r="D154" s="0" t="s">
        <v>3671</v>
      </c>
      <c r="E154" s="0" t="n">
        <v>2335.01</v>
      </c>
    </row>
    <row r="155" customFormat="false" ht="15" hidden="false" customHeight="false" outlineLevel="0" collapsed="false">
      <c r="A155" s="0" t="n">
        <v>242</v>
      </c>
      <c r="B155" s="0" t="s">
        <v>1660</v>
      </c>
      <c r="C155" s="0" t="s">
        <v>1444</v>
      </c>
      <c r="D155" s="0" t="s">
        <v>3671</v>
      </c>
      <c r="E155" s="0" t="n">
        <v>13.61</v>
      </c>
    </row>
    <row r="156" customFormat="false" ht="15" hidden="false" customHeight="false" outlineLevel="0" collapsed="false">
      <c r="A156" s="0" t="n">
        <v>41085</v>
      </c>
      <c r="B156" s="0" t="s">
        <v>3796</v>
      </c>
      <c r="C156" s="0" t="s">
        <v>1416</v>
      </c>
      <c r="D156" s="0" t="s">
        <v>3671</v>
      </c>
      <c r="E156" s="0" t="n">
        <v>2399.54</v>
      </c>
    </row>
    <row r="157" customFormat="false" ht="15" hidden="false" customHeight="false" outlineLevel="0" collapsed="false">
      <c r="A157" s="0" t="n">
        <v>427</v>
      </c>
      <c r="B157" s="0" t="s">
        <v>3797</v>
      </c>
      <c r="C157" s="0" t="s">
        <v>31</v>
      </c>
      <c r="D157" s="0" t="s">
        <v>3671</v>
      </c>
      <c r="E157" s="0" t="n">
        <v>9.71</v>
      </c>
    </row>
    <row r="158" customFormat="false" ht="15" hidden="false" customHeight="false" outlineLevel="0" collapsed="false">
      <c r="A158" s="0" t="n">
        <v>417</v>
      </c>
      <c r="B158" s="0" t="s">
        <v>3798</v>
      </c>
      <c r="C158" s="0" t="s">
        <v>31</v>
      </c>
      <c r="D158" s="0" t="s">
        <v>3671</v>
      </c>
      <c r="E158" s="0" t="n">
        <v>4.57</v>
      </c>
    </row>
    <row r="159" customFormat="false" ht="15" hidden="false" customHeight="false" outlineLevel="0" collapsed="false">
      <c r="A159" s="0" t="n">
        <v>11273</v>
      </c>
      <c r="B159" s="0" t="s">
        <v>3799</v>
      </c>
      <c r="C159" s="0" t="s">
        <v>31</v>
      </c>
      <c r="D159" s="0" t="s">
        <v>3671</v>
      </c>
      <c r="E159" s="0" t="n">
        <v>14.2</v>
      </c>
    </row>
    <row r="160" customFormat="false" ht="15" hidden="false" customHeight="false" outlineLevel="0" collapsed="false">
      <c r="A160" s="0" t="n">
        <v>11272</v>
      </c>
      <c r="B160" s="0" t="s">
        <v>3800</v>
      </c>
      <c r="C160" s="0" t="s">
        <v>31</v>
      </c>
      <c r="D160" s="0" t="s">
        <v>3671</v>
      </c>
      <c r="E160" s="0" t="n">
        <v>8.57</v>
      </c>
    </row>
    <row r="161" customFormat="false" ht="15" hidden="false" customHeight="false" outlineLevel="0" collapsed="false">
      <c r="A161" s="0" t="n">
        <v>11275</v>
      </c>
      <c r="B161" s="0" t="s">
        <v>3801</v>
      </c>
      <c r="C161" s="0" t="s">
        <v>31</v>
      </c>
      <c r="D161" s="0" t="s">
        <v>3671</v>
      </c>
      <c r="E161" s="0" t="n">
        <v>3.44</v>
      </c>
    </row>
    <row r="162" customFormat="false" ht="15" hidden="false" customHeight="false" outlineLevel="0" collapsed="false">
      <c r="A162" s="0" t="n">
        <v>11274</v>
      </c>
      <c r="B162" s="0" t="s">
        <v>3802</v>
      </c>
      <c r="C162" s="0" t="s">
        <v>31</v>
      </c>
      <c r="D162" s="0" t="s">
        <v>3671</v>
      </c>
      <c r="E162" s="0" t="n">
        <v>2.62</v>
      </c>
    </row>
    <row r="163" customFormat="false" ht="15" hidden="false" customHeight="false" outlineLevel="0" collapsed="false">
      <c r="A163" s="0" t="n">
        <v>38470</v>
      </c>
      <c r="B163" s="0" t="s">
        <v>3803</v>
      </c>
      <c r="C163" s="0" t="s">
        <v>31</v>
      </c>
      <c r="D163" s="0" t="s">
        <v>3676</v>
      </c>
      <c r="E163" s="0" t="n">
        <v>40.26</v>
      </c>
    </row>
    <row r="164" customFormat="false" ht="15" hidden="false" customHeight="false" outlineLevel="0" collapsed="false">
      <c r="A164" s="0" t="n">
        <v>38547</v>
      </c>
      <c r="B164" s="0" t="s">
        <v>3804</v>
      </c>
      <c r="C164" s="0" t="s">
        <v>31</v>
      </c>
      <c r="D164" s="0" t="s">
        <v>3671</v>
      </c>
      <c r="E164" s="0" t="n">
        <v>109.86</v>
      </c>
    </row>
    <row r="165" customFormat="false" ht="15" hidden="false" customHeight="false" outlineLevel="0" collapsed="false">
      <c r="A165" s="0" t="n">
        <v>38467</v>
      </c>
      <c r="B165" s="0" t="s">
        <v>3805</v>
      </c>
      <c r="C165" s="0" t="s">
        <v>31</v>
      </c>
      <c r="D165" s="0" t="s">
        <v>3671</v>
      </c>
      <c r="E165" s="0" t="n">
        <v>66.47</v>
      </c>
    </row>
    <row r="166" customFormat="false" ht="15" hidden="false" customHeight="false" outlineLevel="0" collapsed="false">
      <c r="A166" s="0" t="n">
        <v>38468</v>
      </c>
      <c r="B166" s="0" t="s">
        <v>3806</v>
      </c>
      <c r="C166" s="0" t="s">
        <v>31</v>
      </c>
      <c r="D166" s="0" t="s">
        <v>3671</v>
      </c>
      <c r="E166" s="0" t="n">
        <v>73.14</v>
      </c>
    </row>
    <row r="167" customFormat="false" ht="15" hidden="false" customHeight="false" outlineLevel="0" collapsed="false">
      <c r="A167" s="0" t="n">
        <v>38469</v>
      </c>
      <c r="B167" s="0" t="s">
        <v>3807</v>
      </c>
      <c r="C167" s="0" t="s">
        <v>31</v>
      </c>
      <c r="D167" s="0" t="s">
        <v>3671</v>
      </c>
      <c r="E167" s="0" t="n">
        <v>118.13</v>
      </c>
    </row>
    <row r="168" customFormat="false" ht="15" hidden="false" customHeight="false" outlineLevel="0" collapsed="false">
      <c r="A168" s="0" t="n">
        <v>38471</v>
      </c>
      <c r="B168" s="0" t="s">
        <v>3808</v>
      </c>
      <c r="C168" s="0" t="s">
        <v>31</v>
      </c>
      <c r="D168" s="0" t="s">
        <v>3671</v>
      </c>
      <c r="E168" s="0" t="n">
        <v>94.98</v>
      </c>
    </row>
    <row r="169" customFormat="false" ht="15" hidden="false" customHeight="false" outlineLevel="0" collapsed="false">
      <c r="A169" s="0" t="n">
        <v>37370</v>
      </c>
      <c r="B169" s="0" t="s">
        <v>1443</v>
      </c>
      <c r="C169" s="0" t="s">
        <v>1444</v>
      </c>
      <c r="D169" s="0" t="s">
        <v>3676</v>
      </c>
      <c r="E169" s="0" t="n">
        <v>3.32</v>
      </c>
    </row>
    <row r="170" customFormat="false" ht="15" hidden="false" customHeight="false" outlineLevel="0" collapsed="false">
      <c r="A170" s="0" t="n">
        <v>40862</v>
      </c>
      <c r="B170" s="0" t="s">
        <v>1436</v>
      </c>
      <c r="C170" s="0" t="s">
        <v>1416</v>
      </c>
      <c r="D170" s="0" t="s">
        <v>3676</v>
      </c>
      <c r="E170" s="0" t="n">
        <v>625.14</v>
      </c>
    </row>
    <row r="171" customFormat="false" ht="15" hidden="false" customHeight="false" outlineLevel="0" collapsed="false">
      <c r="A171" s="0" t="n">
        <v>10658</v>
      </c>
      <c r="B171" s="0" t="s">
        <v>1946</v>
      </c>
      <c r="C171" s="0" t="s">
        <v>31</v>
      </c>
      <c r="D171" s="0" t="s">
        <v>3676</v>
      </c>
    </row>
    <row r="172" customFormat="false" ht="15" hidden="false" customHeight="false" outlineLevel="0" collapsed="false">
      <c r="A172" s="0" t="n">
        <v>253</v>
      </c>
      <c r="B172" s="0" t="s">
        <v>3809</v>
      </c>
      <c r="C172" s="0" t="s">
        <v>1444</v>
      </c>
      <c r="D172" s="0" t="s">
        <v>3676</v>
      </c>
      <c r="E172" s="0" t="n">
        <v>20.22</v>
      </c>
    </row>
    <row r="173" customFormat="false" ht="15" hidden="false" customHeight="false" outlineLevel="0" collapsed="false">
      <c r="A173" s="0" t="n">
        <v>40809</v>
      </c>
      <c r="B173" s="0" t="s">
        <v>3810</v>
      </c>
      <c r="C173" s="0" t="s">
        <v>1416</v>
      </c>
      <c r="D173" s="0" t="s">
        <v>3671</v>
      </c>
      <c r="E173" s="0" t="n">
        <v>3561.68</v>
      </c>
    </row>
    <row r="174" customFormat="false" ht="15" hidden="false" customHeight="false" outlineLevel="0" collapsed="false">
      <c r="A174" s="0" t="n">
        <v>42428</v>
      </c>
      <c r="B174" s="0" t="s">
        <v>3811</v>
      </c>
      <c r="C174" s="0" t="s">
        <v>31</v>
      </c>
      <c r="D174" s="0" t="s">
        <v>3676</v>
      </c>
    </row>
    <row r="175" customFormat="false" ht="15" hidden="false" customHeight="false" outlineLevel="0" collapsed="false">
      <c r="A175" s="0" t="n">
        <v>301</v>
      </c>
      <c r="B175" s="0" t="s">
        <v>2125</v>
      </c>
      <c r="C175" s="0" t="s">
        <v>31</v>
      </c>
      <c r="D175" s="0" t="s">
        <v>3676</v>
      </c>
      <c r="E175" s="0" t="n">
        <v>3</v>
      </c>
    </row>
    <row r="176" customFormat="false" ht="15" hidden="false" customHeight="false" outlineLevel="0" collapsed="false">
      <c r="A176" s="0" t="n">
        <v>296</v>
      </c>
      <c r="B176" s="0" t="s">
        <v>2121</v>
      </c>
      <c r="C176" s="0" t="s">
        <v>31</v>
      </c>
      <c r="D176" s="0" t="s">
        <v>3671</v>
      </c>
      <c r="E176" s="0" t="n">
        <v>1.69</v>
      </c>
    </row>
    <row r="177" customFormat="false" ht="15" hidden="false" customHeight="false" outlineLevel="0" collapsed="false">
      <c r="A177" s="0" t="n">
        <v>297</v>
      </c>
      <c r="B177" s="0" t="s">
        <v>2130</v>
      </c>
      <c r="C177" s="0" t="s">
        <v>31</v>
      </c>
      <c r="D177" s="0" t="s">
        <v>3671</v>
      </c>
      <c r="E177" s="0" t="n">
        <v>2.49</v>
      </c>
    </row>
    <row r="178" customFormat="false" ht="15" hidden="false" customHeight="false" outlineLevel="0" collapsed="false">
      <c r="A178" s="0" t="n">
        <v>299</v>
      </c>
      <c r="B178" s="0" t="s">
        <v>2224</v>
      </c>
      <c r="C178" s="0" t="s">
        <v>31</v>
      </c>
      <c r="D178" s="0" t="s">
        <v>3671</v>
      </c>
      <c r="E178" s="0" t="n">
        <v>3.52</v>
      </c>
    </row>
    <row r="179" customFormat="false" ht="15" hidden="false" customHeight="false" outlineLevel="0" collapsed="false">
      <c r="A179" s="0" t="n">
        <v>300</v>
      </c>
      <c r="B179" s="0" t="s">
        <v>2227</v>
      </c>
      <c r="C179" s="0" t="s">
        <v>31</v>
      </c>
      <c r="D179" s="0" t="s">
        <v>3671</v>
      </c>
      <c r="E179" s="0" t="n">
        <v>12.18</v>
      </c>
    </row>
    <row r="180" customFormat="false" ht="15" hidden="false" customHeight="false" outlineLevel="0" collapsed="false">
      <c r="A180" s="0" t="n">
        <v>20085</v>
      </c>
      <c r="B180" s="0" t="s">
        <v>2263</v>
      </c>
      <c r="C180" s="0" t="s">
        <v>31</v>
      </c>
      <c r="D180" s="0" t="s">
        <v>3671</v>
      </c>
      <c r="E180" s="0" t="n">
        <v>2.22</v>
      </c>
    </row>
    <row r="181" customFormat="false" ht="15" hidden="false" customHeight="false" outlineLevel="0" collapsed="false">
      <c r="A181" s="0" t="n">
        <v>298</v>
      </c>
      <c r="B181" s="0" t="s">
        <v>2230</v>
      </c>
      <c r="C181" s="0" t="s">
        <v>31</v>
      </c>
      <c r="D181" s="0" t="s">
        <v>3671</v>
      </c>
      <c r="E181" s="0" t="n">
        <v>2.7</v>
      </c>
    </row>
    <row r="182" customFormat="false" ht="15" hidden="false" customHeight="false" outlineLevel="0" collapsed="false">
      <c r="A182" s="0" t="n">
        <v>311</v>
      </c>
      <c r="B182" s="0" t="s">
        <v>3812</v>
      </c>
      <c r="C182" s="0" t="s">
        <v>31</v>
      </c>
      <c r="D182" s="0" t="s">
        <v>3671</v>
      </c>
      <c r="E182" s="0" t="n">
        <v>10.04</v>
      </c>
    </row>
    <row r="183" customFormat="false" ht="15" hidden="false" customHeight="false" outlineLevel="0" collapsed="false">
      <c r="A183" s="0" t="n">
        <v>318</v>
      </c>
      <c r="B183" s="0" t="s">
        <v>3813</v>
      </c>
      <c r="C183" s="0" t="s">
        <v>31</v>
      </c>
      <c r="D183" s="0" t="s">
        <v>3671</v>
      </c>
      <c r="E183" s="0" t="n">
        <v>20.22</v>
      </c>
    </row>
    <row r="184" customFormat="false" ht="15" hidden="false" customHeight="false" outlineLevel="0" collapsed="false">
      <c r="A184" s="0" t="n">
        <v>319</v>
      </c>
      <c r="B184" s="0" t="s">
        <v>3814</v>
      </c>
      <c r="C184" s="0" t="s">
        <v>31</v>
      </c>
      <c r="D184" s="0" t="s">
        <v>3671</v>
      </c>
      <c r="E184" s="0" t="n">
        <v>31.71</v>
      </c>
    </row>
    <row r="185" customFormat="false" ht="15" hidden="false" customHeight="false" outlineLevel="0" collapsed="false">
      <c r="A185" s="0" t="n">
        <v>303</v>
      </c>
      <c r="B185" s="0" t="s">
        <v>2170</v>
      </c>
      <c r="C185" s="0" t="s">
        <v>31</v>
      </c>
      <c r="D185" s="0" t="s">
        <v>3671</v>
      </c>
      <c r="E185" s="0" t="n">
        <v>3.32</v>
      </c>
    </row>
    <row r="186" customFormat="false" ht="15" hidden="false" customHeight="false" outlineLevel="0" collapsed="false">
      <c r="A186" s="0" t="n">
        <v>305</v>
      </c>
      <c r="B186" s="0" t="s">
        <v>3815</v>
      </c>
      <c r="C186" s="0" t="s">
        <v>31</v>
      </c>
      <c r="D186" s="0" t="s">
        <v>3671</v>
      </c>
      <c r="E186" s="0" t="n">
        <v>10.45</v>
      </c>
    </row>
    <row r="187" customFormat="false" ht="15" hidden="false" customHeight="false" outlineLevel="0" collapsed="false">
      <c r="A187" s="0" t="n">
        <v>306</v>
      </c>
      <c r="B187" s="0" t="s">
        <v>3816</v>
      </c>
      <c r="C187" s="0" t="s">
        <v>31</v>
      </c>
      <c r="D187" s="0" t="s">
        <v>3671</v>
      </c>
      <c r="E187" s="0" t="n">
        <v>15.85</v>
      </c>
    </row>
    <row r="188" customFormat="false" ht="15" hidden="false" customHeight="false" outlineLevel="0" collapsed="false">
      <c r="A188" s="0" t="n">
        <v>307</v>
      </c>
      <c r="B188" s="0" t="s">
        <v>3817</v>
      </c>
      <c r="C188" s="0" t="s">
        <v>31</v>
      </c>
      <c r="D188" s="0" t="s">
        <v>3671</v>
      </c>
      <c r="E188" s="0" t="n">
        <v>40.06</v>
      </c>
    </row>
    <row r="189" customFormat="false" ht="15" hidden="false" customHeight="false" outlineLevel="0" collapsed="false">
      <c r="A189" s="0" t="n">
        <v>309</v>
      </c>
      <c r="B189" s="0" t="s">
        <v>3818</v>
      </c>
      <c r="C189" s="0" t="s">
        <v>31</v>
      </c>
      <c r="D189" s="0" t="s">
        <v>3671</v>
      </c>
      <c r="E189" s="0" t="n">
        <v>65.62</v>
      </c>
    </row>
    <row r="190" customFormat="false" ht="15" hidden="false" customHeight="false" outlineLevel="0" collapsed="false">
      <c r="A190" s="0" t="n">
        <v>310</v>
      </c>
      <c r="B190" s="0" t="s">
        <v>3819</v>
      </c>
      <c r="C190" s="0" t="s">
        <v>31</v>
      </c>
      <c r="D190" s="0" t="s">
        <v>3671</v>
      </c>
      <c r="E190" s="0" t="n">
        <v>90.95</v>
      </c>
    </row>
    <row r="191" customFormat="false" ht="15" hidden="false" customHeight="false" outlineLevel="0" collapsed="false">
      <c r="A191" s="0" t="n">
        <v>308</v>
      </c>
      <c r="B191" s="0" t="s">
        <v>3820</v>
      </c>
      <c r="C191" s="0" t="s">
        <v>31</v>
      </c>
      <c r="D191" s="0" t="s">
        <v>3671</v>
      </c>
      <c r="E191" s="0" t="n">
        <v>89.4</v>
      </c>
    </row>
    <row r="192" customFormat="false" ht="15" hidden="false" customHeight="false" outlineLevel="0" collapsed="false">
      <c r="A192" s="0" t="n">
        <v>328</v>
      </c>
      <c r="B192" s="0" t="s">
        <v>3821</v>
      </c>
      <c r="C192" s="0" t="s">
        <v>31</v>
      </c>
      <c r="D192" s="0" t="s">
        <v>3671</v>
      </c>
      <c r="E192" s="0" t="n">
        <v>7.95</v>
      </c>
    </row>
    <row r="193" customFormat="false" ht="15" hidden="false" customHeight="false" outlineLevel="0" collapsed="false">
      <c r="A193" s="0" t="n">
        <v>325</v>
      </c>
      <c r="B193" s="0" t="s">
        <v>3822</v>
      </c>
      <c r="C193" s="0" t="s">
        <v>31</v>
      </c>
      <c r="D193" s="0" t="s">
        <v>3671</v>
      </c>
      <c r="E193" s="0" t="n">
        <v>2.34</v>
      </c>
    </row>
    <row r="194" customFormat="false" ht="15" hidden="false" customHeight="false" outlineLevel="0" collapsed="false">
      <c r="A194" s="0" t="n">
        <v>20326</v>
      </c>
      <c r="B194" s="0" t="s">
        <v>3823</v>
      </c>
      <c r="C194" s="0" t="s">
        <v>31</v>
      </c>
      <c r="D194" s="0" t="s">
        <v>3671</v>
      </c>
      <c r="E194" s="0" t="n">
        <v>4.29</v>
      </c>
    </row>
    <row r="195" customFormat="false" ht="15" hidden="false" customHeight="false" outlineLevel="0" collapsed="false">
      <c r="A195" s="0" t="n">
        <v>329</v>
      </c>
      <c r="B195" s="0" t="s">
        <v>3824</v>
      </c>
      <c r="C195" s="0" t="s">
        <v>31</v>
      </c>
      <c r="D195" s="0" t="s">
        <v>3671</v>
      </c>
      <c r="E195" s="0" t="n">
        <v>6.65</v>
      </c>
    </row>
    <row r="196" customFormat="false" ht="15" hidden="false" customHeight="false" outlineLevel="0" collapsed="false">
      <c r="A196" s="0" t="n">
        <v>39642</v>
      </c>
      <c r="B196" s="0" t="s">
        <v>3825</v>
      </c>
      <c r="C196" s="0" t="s">
        <v>31</v>
      </c>
      <c r="D196" s="0" t="s">
        <v>3671</v>
      </c>
      <c r="E196" s="0" t="n">
        <v>2.94</v>
      </c>
    </row>
    <row r="197" customFormat="false" ht="15" hidden="false" customHeight="false" outlineLevel="0" collapsed="false">
      <c r="A197" s="0" t="n">
        <v>39641</v>
      </c>
      <c r="B197" s="0" t="s">
        <v>3826</v>
      </c>
      <c r="C197" s="0" t="s">
        <v>31</v>
      </c>
      <c r="D197" s="0" t="s">
        <v>3671</v>
      </c>
      <c r="E197" s="0" t="n">
        <v>2.58</v>
      </c>
    </row>
    <row r="198" customFormat="false" ht="15" hidden="false" customHeight="false" outlineLevel="0" collapsed="false">
      <c r="A198" s="0" t="n">
        <v>39643</v>
      </c>
      <c r="B198" s="0" t="s">
        <v>3827</v>
      </c>
      <c r="C198" s="0" t="s">
        <v>31</v>
      </c>
      <c r="D198" s="0" t="s">
        <v>3671</v>
      </c>
      <c r="E198" s="0" t="n">
        <v>3.46</v>
      </c>
    </row>
    <row r="199" customFormat="false" ht="15" hidden="false" customHeight="false" outlineLevel="0" collapsed="false">
      <c r="A199" s="0" t="n">
        <v>39644</v>
      </c>
      <c r="B199" s="0" t="s">
        <v>3828</v>
      </c>
      <c r="C199" s="0" t="s">
        <v>31</v>
      </c>
      <c r="D199" s="0" t="s">
        <v>3671</v>
      </c>
      <c r="E199" s="0" t="n">
        <v>5.36</v>
      </c>
    </row>
    <row r="200" customFormat="false" ht="15" hidden="false" customHeight="false" outlineLevel="0" collapsed="false">
      <c r="A200" s="0" t="n">
        <v>39645</v>
      </c>
      <c r="B200" s="0" t="s">
        <v>3829</v>
      </c>
      <c r="C200" s="0" t="s">
        <v>31</v>
      </c>
      <c r="D200" s="0" t="s">
        <v>3671</v>
      </c>
      <c r="E200" s="0" t="n">
        <v>5.88</v>
      </c>
    </row>
    <row r="201" customFormat="false" ht="15" hidden="false" customHeight="false" outlineLevel="0" collapsed="false">
      <c r="A201" s="0" t="n">
        <v>41610</v>
      </c>
      <c r="B201" s="0" t="s">
        <v>3830</v>
      </c>
      <c r="C201" s="0" t="s">
        <v>31</v>
      </c>
      <c r="D201" s="0" t="s">
        <v>3671</v>
      </c>
    </row>
    <row r="202" customFormat="false" ht="15" hidden="false" customHeight="false" outlineLevel="0" collapsed="false">
      <c r="A202" s="0" t="n">
        <v>41611</v>
      </c>
      <c r="B202" s="0" t="s">
        <v>3831</v>
      </c>
      <c r="C202" s="0" t="s">
        <v>31</v>
      </c>
      <c r="D202" s="0" t="s">
        <v>3671</v>
      </c>
    </row>
    <row r="203" customFormat="false" ht="15" hidden="false" customHeight="false" outlineLevel="0" collapsed="false">
      <c r="A203" s="0" t="n">
        <v>41612</v>
      </c>
      <c r="B203" s="0" t="s">
        <v>3832</v>
      </c>
      <c r="C203" s="0" t="s">
        <v>31</v>
      </c>
      <c r="D203" s="0" t="s">
        <v>3671</v>
      </c>
    </row>
    <row r="204" customFormat="false" ht="15" hidden="false" customHeight="false" outlineLevel="0" collapsed="false">
      <c r="A204" s="0" t="n">
        <v>41637</v>
      </c>
      <c r="B204" s="0" t="s">
        <v>3833</v>
      </c>
      <c r="C204" s="0" t="s">
        <v>31</v>
      </c>
      <c r="D204" s="0" t="s">
        <v>3671</v>
      </c>
    </row>
    <row r="205" customFormat="false" ht="15" hidden="false" customHeight="false" outlineLevel="0" collapsed="false">
      <c r="A205" s="0" t="n">
        <v>41638</v>
      </c>
      <c r="B205" s="0" t="s">
        <v>3834</v>
      </c>
      <c r="C205" s="0" t="s">
        <v>31</v>
      </c>
      <c r="D205" s="0" t="s">
        <v>3671</v>
      </c>
    </row>
    <row r="206" customFormat="false" ht="15" hidden="false" customHeight="false" outlineLevel="0" collapsed="false">
      <c r="A206" s="0" t="n">
        <v>41639</v>
      </c>
      <c r="B206" s="0" t="s">
        <v>3835</v>
      </c>
      <c r="C206" s="0" t="s">
        <v>31</v>
      </c>
      <c r="D206" s="0" t="s">
        <v>3671</v>
      </c>
    </row>
    <row r="207" customFormat="false" ht="15" hidden="false" customHeight="false" outlineLevel="0" collapsed="false">
      <c r="A207" s="0" t="n">
        <v>11789</v>
      </c>
      <c r="B207" s="0" t="s">
        <v>3836</v>
      </c>
      <c r="C207" s="0" t="s">
        <v>31</v>
      </c>
      <c r="D207" s="0" t="s">
        <v>3671</v>
      </c>
      <c r="E207" s="0" t="n">
        <v>1.29</v>
      </c>
    </row>
    <row r="208" customFormat="false" ht="15" hidden="false" customHeight="false" outlineLevel="0" collapsed="false">
      <c r="A208" s="0" t="n">
        <v>20975</v>
      </c>
      <c r="B208" s="0" t="s">
        <v>3837</v>
      </c>
      <c r="C208" s="0" t="s">
        <v>31</v>
      </c>
      <c r="D208" s="0" t="s">
        <v>3671</v>
      </c>
    </row>
    <row r="209" customFormat="false" ht="15" hidden="false" customHeight="false" outlineLevel="0" collapsed="false">
      <c r="A209" s="0" t="n">
        <v>20976</v>
      </c>
      <c r="B209" s="0" t="s">
        <v>3838</v>
      </c>
      <c r="C209" s="0" t="s">
        <v>31</v>
      </c>
      <c r="D209" s="0" t="s">
        <v>3671</v>
      </c>
    </row>
    <row r="210" customFormat="false" ht="15" hidden="false" customHeight="false" outlineLevel="0" collapsed="false">
      <c r="A210" s="0" t="n">
        <v>6138</v>
      </c>
      <c r="B210" s="0" t="s">
        <v>2013</v>
      </c>
      <c r="C210" s="0" t="s">
        <v>31</v>
      </c>
      <c r="D210" s="0" t="s">
        <v>3671</v>
      </c>
      <c r="E210" s="0" t="n">
        <v>12.26</v>
      </c>
    </row>
    <row r="211" customFormat="false" ht="15" hidden="false" customHeight="false" outlineLevel="0" collapsed="false">
      <c r="A211" s="0" t="n">
        <v>40340</v>
      </c>
      <c r="B211" s="0" t="s">
        <v>3839</v>
      </c>
      <c r="C211" s="0" t="s">
        <v>31</v>
      </c>
      <c r="D211" s="0" t="s">
        <v>3671</v>
      </c>
      <c r="E211" s="0" t="n">
        <v>22.07</v>
      </c>
    </row>
    <row r="212" customFormat="false" ht="15" hidden="false" customHeight="false" outlineLevel="0" collapsed="false">
      <c r="A212" s="0" t="n">
        <v>40341</v>
      </c>
      <c r="B212" s="0" t="s">
        <v>3840</v>
      </c>
      <c r="C212" s="0" t="s">
        <v>31</v>
      </c>
      <c r="D212" s="0" t="s">
        <v>3671</v>
      </c>
      <c r="E212" s="0" t="n">
        <v>26.34</v>
      </c>
    </row>
    <row r="213" customFormat="false" ht="15" hidden="false" customHeight="false" outlineLevel="0" collapsed="false">
      <c r="A213" s="0" t="n">
        <v>40342</v>
      </c>
      <c r="B213" s="0" t="s">
        <v>3841</v>
      </c>
      <c r="C213" s="0" t="s">
        <v>31</v>
      </c>
      <c r="D213" s="0" t="s">
        <v>3671</v>
      </c>
      <c r="E213" s="0" t="n">
        <v>31.41</v>
      </c>
    </row>
    <row r="214" customFormat="false" ht="15" hidden="false" customHeight="false" outlineLevel="0" collapsed="false">
      <c r="A214" s="0" t="n">
        <v>40343</v>
      </c>
      <c r="B214" s="0" t="s">
        <v>3842</v>
      </c>
      <c r="C214" s="0" t="s">
        <v>31</v>
      </c>
      <c r="D214" s="0" t="s">
        <v>3671</v>
      </c>
      <c r="E214" s="0" t="n">
        <v>37.26</v>
      </c>
    </row>
    <row r="215" customFormat="false" ht="15" hidden="false" customHeight="false" outlineLevel="0" collapsed="false">
      <c r="A215" s="0" t="n">
        <v>40344</v>
      </c>
      <c r="B215" s="0" t="s">
        <v>3843</v>
      </c>
      <c r="C215" s="0" t="s">
        <v>31</v>
      </c>
      <c r="D215" s="0" t="s">
        <v>3671</v>
      </c>
      <c r="E215" s="0" t="n">
        <v>50.79</v>
      </c>
    </row>
    <row r="216" customFormat="false" ht="15" hidden="false" customHeight="false" outlineLevel="0" collapsed="false">
      <c r="A216" s="0" t="n">
        <v>40345</v>
      </c>
      <c r="B216" s="0" t="s">
        <v>3844</v>
      </c>
      <c r="C216" s="0" t="s">
        <v>31</v>
      </c>
      <c r="D216" s="0" t="s">
        <v>3671</v>
      </c>
      <c r="E216" s="0" t="n">
        <v>62.58</v>
      </c>
    </row>
    <row r="217" customFormat="false" ht="15" hidden="false" customHeight="false" outlineLevel="0" collapsed="false">
      <c r="A217" s="0" t="n">
        <v>40346</v>
      </c>
      <c r="B217" s="0" t="s">
        <v>3845</v>
      </c>
      <c r="C217" s="0" t="s">
        <v>31</v>
      </c>
      <c r="D217" s="0" t="s">
        <v>3671</v>
      </c>
      <c r="E217" s="0" t="n">
        <v>72.6</v>
      </c>
    </row>
    <row r="218" customFormat="false" ht="15" hidden="false" customHeight="false" outlineLevel="0" collapsed="false">
      <c r="A218" s="0" t="n">
        <v>40347</v>
      </c>
      <c r="B218" s="0" t="s">
        <v>3846</v>
      </c>
      <c r="C218" s="0" t="s">
        <v>31</v>
      </c>
      <c r="D218" s="0" t="s">
        <v>3671</v>
      </c>
      <c r="E218" s="0" t="n">
        <v>91.21</v>
      </c>
    </row>
    <row r="219" customFormat="false" ht="15" hidden="false" customHeight="false" outlineLevel="0" collapsed="false">
      <c r="A219" s="0" t="n">
        <v>43424</v>
      </c>
      <c r="B219" s="0" t="s">
        <v>3847</v>
      </c>
      <c r="C219" s="0" t="s">
        <v>31</v>
      </c>
      <c r="D219" s="0" t="s">
        <v>3671</v>
      </c>
    </row>
    <row r="220" customFormat="false" ht="15" hidden="false" customHeight="false" outlineLevel="0" collapsed="false">
      <c r="A220" s="0" t="n">
        <v>43426</v>
      </c>
      <c r="B220" s="0" t="s">
        <v>3848</v>
      </c>
      <c r="C220" s="0" t="s">
        <v>31</v>
      </c>
      <c r="D220" s="0" t="s">
        <v>3671</v>
      </c>
    </row>
    <row r="221" customFormat="false" ht="15" hidden="false" customHeight="false" outlineLevel="0" collapsed="false">
      <c r="A221" s="0" t="n">
        <v>12565</v>
      </c>
      <c r="B221" s="0" t="s">
        <v>3849</v>
      </c>
      <c r="C221" s="0" t="s">
        <v>31</v>
      </c>
      <c r="D221" s="0" t="s">
        <v>3671</v>
      </c>
    </row>
    <row r="222" customFormat="false" ht="15" hidden="false" customHeight="false" outlineLevel="0" collapsed="false">
      <c r="A222" s="0" t="n">
        <v>12567</v>
      </c>
      <c r="B222" s="0" t="s">
        <v>3850</v>
      </c>
      <c r="C222" s="0" t="s">
        <v>31</v>
      </c>
      <c r="D222" s="0" t="s">
        <v>3671</v>
      </c>
    </row>
    <row r="223" customFormat="false" ht="15" hidden="false" customHeight="false" outlineLevel="0" collapsed="false">
      <c r="A223" s="0" t="n">
        <v>12568</v>
      </c>
      <c r="B223" s="0" t="s">
        <v>3851</v>
      </c>
      <c r="C223" s="0" t="s">
        <v>31</v>
      </c>
      <c r="D223" s="0" t="s">
        <v>3671</v>
      </c>
    </row>
    <row r="224" customFormat="false" ht="15" hidden="false" customHeight="false" outlineLevel="0" collapsed="false">
      <c r="A224" s="0" t="n">
        <v>43441</v>
      </c>
      <c r="B224" s="0" t="s">
        <v>3852</v>
      </c>
      <c r="C224" s="0" t="s">
        <v>31</v>
      </c>
      <c r="D224" s="0" t="s">
        <v>3671</v>
      </c>
    </row>
    <row r="225" customFormat="false" ht="15" hidden="false" customHeight="false" outlineLevel="0" collapsed="false">
      <c r="A225" s="0" t="n">
        <v>43423</v>
      </c>
      <c r="B225" s="0" t="s">
        <v>3853</v>
      </c>
      <c r="C225" s="0" t="s">
        <v>31</v>
      </c>
      <c r="D225" s="0" t="s">
        <v>3671</v>
      </c>
    </row>
    <row r="226" customFormat="false" ht="15" hidden="false" customHeight="false" outlineLevel="0" collapsed="false">
      <c r="A226" s="0" t="n">
        <v>12532</v>
      </c>
      <c r="B226" s="0" t="s">
        <v>3854</v>
      </c>
      <c r="C226" s="0" t="s">
        <v>31</v>
      </c>
      <c r="D226" s="0" t="s">
        <v>3671</v>
      </c>
    </row>
    <row r="227" customFormat="false" ht="15" hidden="false" customHeight="false" outlineLevel="0" collapsed="false">
      <c r="A227" s="0" t="n">
        <v>43444</v>
      </c>
      <c r="B227" s="0" t="s">
        <v>3855</v>
      </c>
      <c r="C227" s="0" t="s">
        <v>31</v>
      </c>
      <c r="D227" s="0" t="s">
        <v>3671</v>
      </c>
    </row>
    <row r="228" customFormat="false" ht="15" hidden="false" customHeight="false" outlineLevel="0" collapsed="false">
      <c r="A228" s="0" t="n">
        <v>12551</v>
      </c>
      <c r="B228" s="0" t="s">
        <v>3856</v>
      </c>
      <c r="C228" s="0" t="s">
        <v>31</v>
      </c>
      <c r="D228" s="0" t="s">
        <v>3671</v>
      </c>
    </row>
    <row r="229" customFormat="false" ht="15" hidden="false" customHeight="false" outlineLevel="0" collapsed="false">
      <c r="A229" s="0" t="n">
        <v>43442</v>
      </c>
      <c r="B229" s="0" t="s">
        <v>3857</v>
      </c>
      <c r="C229" s="0" t="s">
        <v>31</v>
      </c>
      <c r="D229" s="0" t="s">
        <v>3671</v>
      </c>
    </row>
    <row r="230" customFormat="false" ht="15" hidden="false" customHeight="false" outlineLevel="0" collapsed="false">
      <c r="A230" s="0" t="n">
        <v>43443</v>
      </c>
      <c r="B230" s="0" t="s">
        <v>3858</v>
      </c>
      <c r="C230" s="0" t="s">
        <v>31</v>
      </c>
      <c r="D230" s="0" t="s">
        <v>3671</v>
      </c>
    </row>
    <row r="231" customFormat="false" ht="15" hidden="false" customHeight="false" outlineLevel="0" collapsed="false">
      <c r="A231" s="0" t="n">
        <v>12544</v>
      </c>
      <c r="B231" s="0" t="s">
        <v>3859</v>
      </c>
      <c r="C231" s="0" t="s">
        <v>31</v>
      </c>
      <c r="D231" s="0" t="s">
        <v>3671</v>
      </c>
    </row>
    <row r="232" customFormat="false" ht="15" hidden="false" customHeight="false" outlineLevel="0" collapsed="false">
      <c r="A232" s="0" t="n">
        <v>12547</v>
      </c>
      <c r="B232" s="0" t="s">
        <v>3860</v>
      </c>
      <c r="C232" s="0" t="s">
        <v>31</v>
      </c>
      <c r="D232" s="0" t="s">
        <v>3671</v>
      </c>
    </row>
    <row r="233" customFormat="false" ht="15" hidden="false" customHeight="false" outlineLevel="0" collapsed="false">
      <c r="A233" s="0" t="n">
        <v>43445</v>
      </c>
      <c r="B233" s="0" t="s">
        <v>3861</v>
      </c>
      <c r="C233" s="0" t="s">
        <v>31</v>
      </c>
      <c r="D233" s="0" t="s">
        <v>3671</v>
      </c>
    </row>
    <row r="234" customFormat="false" ht="15" hidden="false" customHeight="false" outlineLevel="0" collapsed="false">
      <c r="A234" s="0" t="n">
        <v>12563</v>
      </c>
      <c r="B234" s="0" t="s">
        <v>3862</v>
      </c>
      <c r="C234" s="0" t="s">
        <v>31</v>
      </c>
      <c r="D234" s="0" t="s">
        <v>3671</v>
      </c>
    </row>
    <row r="235" customFormat="false" ht="15" hidden="false" customHeight="false" outlineLevel="0" collapsed="false">
      <c r="A235" s="0" t="n">
        <v>43425</v>
      </c>
      <c r="B235" s="0" t="s">
        <v>3863</v>
      </c>
      <c r="C235" s="0" t="s">
        <v>31</v>
      </c>
      <c r="D235" s="0" t="s">
        <v>3671</v>
      </c>
    </row>
    <row r="236" customFormat="false" ht="15" hidden="false" customHeight="false" outlineLevel="0" collapsed="false">
      <c r="A236" s="0" t="n">
        <v>43446</v>
      </c>
      <c r="B236" s="0" t="s">
        <v>2209</v>
      </c>
      <c r="C236" s="0" t="s">
        <v>31</v>
      </c>
      <c r="D236" s="0" t="s">
        <v>3671</v>
      </c>
    </row>
    <row r="237" customFormat="false" ht="15" hidden="false" customHeight="false" outlineLevel="0" collapsed="false">
      <c r="A237" s="0" t="n">
        <v>43447</v>
      </c>
      <c r="B237" s="0" t="s">
        <v>3864</v>
      </c>
      <c r="C237" s="0" t="s">
        <v>31</v>
      </c>
      <c r="D237" s="0" t="s">
        <v>3671</v>
      </c>
    </row>
    <row r="238" customFormat="false" ht="15" hidden="false" customHeight="false" outlineLevel="0" collapsed="false">
      <c r="A238" s="0" t="n">
        <v>43448</v>
      </c>
      <c r="B238" s="0" t="s">
        <v>3865</v>
      </c>
      <c r="C238" s="0" t="s">
        <v>31</v>
      </c>
      <c r="D238" s="0" t="s">
        <v>3671</v>
      </c>
    </row>
    <row r="239" customFormat="false" ht="15" hidden="false" customHeight="false" outlineLevel="0" collapsed="false">
      <c r="A239" s="0" t="n">
        <v>13761</v>
      </c>
      <c r="B239" s="0" t="s">
        <v>3866</v>
      </c>
      <c r="C239" s="0" t="s">
        <v>31</v>
      </c>
      <c r="D239" s="0" t="s">
        <v>3671</v>
      </c>
      <c r="E239" s="0" t="n">
        <v>3206.66</v>
      </c>
    </row>
    <row r="240" customFormat="false" ht="15" hidden="false" customHeight="false" outlineLevel="0" collapsed="false">
      <c r="A240" s="0" t="n">
        <v>4814</v>
      </c>
      <c r="B240" s="0" t="s">
        <v>3867</v>
      </c>
      <c r="C240" s="0" t="s">
        <v>31</v>
      </c>
      <c r="D240" s="0" t="s">
        <v>3671</v>
      </c>
      <c r="E240" s="0" t="n">
        <v>50.85</v>
      </c>
    </row>
    <row r="241" customFormat="false" ht="15" hidden="false" customHeight="false" outlineLevel="0" collapsed="false">
      <c r="A241" s="0" t="n">
        <v>44473</v>
      </c>
      <c r="B241" s="0" t="s">
        <v>3868</v>
      </c>
      <c r="C241" s="0" t="s">
        <v>31</v>
      </c>
      <c r="D241" s="0" t="s">
        <v>3671</v>
      </c>
    </row>
    <row r="242" customFormat="false" ht="15" hidden="false" customHeight="false" outlineLevel="0" collapsed="false">
      <c r="A242" s="0" t="n">
        <v>6122</v>
      </c>
      <c r="B242" s="0" t="s">
        <v>3869</v>
      </c>
      <c r="C242" s="0" t="s">
        <v>1444</v>
      </c>
      <c r="D242" s="0" t="s">
        <v>3671</v>
      </c>
      <c r="E242" s="0" t="n">
        <v>20.45</v>
      </c>
    </row>
    <row r="243" customFormat="false" ht="15" hidden="false" customHeight="false" outlineLevel="0" collapsed="false">
      <c r="A243" s="0" t="n">
        <v>40810</v>
      </c>
      <c r="B243" s="0" t="s">
        <v>3870</v>
      </c>
      <c r="C243" s="0" t="s">
        <v>1416</v>
      </c>
      <c r="D243" s="0" t="s">
        <v>3671</v>
      </c>
      <c r="E243" s="0" t="n">
        <v>3604.59</v>
      </c>
    </row>
    <row r="244" customFormat="false" ht="15" hidden="false" customHeight="false" outlineLevel="0" collapsed="false">
      <c r="A244" s="0" t="n">
        <v>21100</v>
      </c>
      <c r="B244" s="0" t="s">
        <v>3871</v>
      </c>
      <c r="C244" s="0" t="s">
        <v>31</v>
      </c>
      <c r="D244" s="0" t="s">
        <v>3671</v>
      </c>
    </row>
    <row r="245" customFormat="false" ht="15" hidden="false" customHeight="false" outlineLevel="0" collapsed="false">
      <c r="A245" s="0" t="n">
        <v>11811</v>
      </c>
      <c r="B245" s="0" t="s">
        <v>3872</v>
      </c>
      <c r="C245" s="0" t="s">
        <v>31</v>
      </c>
      <c r="D245" s="0" t="s">
        <v>3671</v>
      </c>
    </row>
    <row r="246" customFormat="false" ht="15" hidden="false" customHeight="false" outlineLevel="0" collapsed="false">
      <c r="A246" s="0" t="n">
        <v>11816</v>
      </c>
      <c r="B246" s="0" t="s">
        <v>3873</v>
      </c>
      <c r="C246" s="0" t="s">
        <v>31</v>
      </c>
      <c r="D246" s="0" t="s">
        <v>3676</v>
      </c>
    </row>
    <row r="247" customFormat="false" ht="15" hidden="false" customHeight="false" outlineLevel="0" collapsed="false">
      <c r="A247" s="0" t="n">
        <v>11814</v>
      </c>
      <c r="B247" s="0" t="s">
        <v>3874</v>
      </c>
      <c r="C247" s="0" t="s">
        <v>31</v>
      </c>
      <c r="D247" s="0" t="s">
        <v>3671</v>
      </c>
    </row>
    <row r="248" customFormat="false" ht="15" hidden="false" customHeight="false" outlineLevel="0" collapsed="false">
      <c r="A248" s="0" t="n">
        <v>14186</v>
      </c>
      <c r="B248" s="0" t="s">
        <v>3875</v>
      </c>
      <c r="C248" s="0" t="s">
        <v>31</v>
      </c>
      <c r="D248" s="0" t="s">
        <v>3671</v>
      </c>
    </row>
    <row r="249" customFormat="false" ht="15" hidden="false" customHeight="false" outlineLevel="0" collapsed="false">
      <c r="A249" s="0" t="n">
        <v>14185</v>
      </c>
      <c r="B249" s="0" t="s">
        <v>3876</v>
      </c>
      <c r="C249" s="0" t="s">
        <v>31</v>
      </c>
      <c r="D249" s="0" t="s">
        <v>3671</v>
      </c>
    </row>
    <row r="250" customFormat="false" ht="15" hidden="false" customHeight="false" outlineLevel="0" collapsed="false">
      <c r="A250" s="0" t="n">
        <v>44498</v>
      </c>
      <c r="B250" s="0" t="s">
        <v>3877</v>
      </c>
      <c r="C250" s="0" t="s">
        <v>31</v>
      </c>
      <c r="D250" s="0" t="s">
        <v>3671</v>
      </c>
    </row>
    <row r="251" customFormat="false" ht="15" hidden="false" customHeight="false" outlineLevel="0" collapsed="false">
      <c r="A251" s="0" t="n">
        <v>34469</v>
      </c>
      <c r="B251" s="0" t="s">
        <v>3878</v>
      </c>
      <c r="C251" s="0" t="s">
        <v>31</v>
      </c>
      <c r="D251" s="0" t="s">
        <v>3671</v>
      </c>
    </row>
    <row r="252" customFormat="false" ht="15" hidden="false" customHeight="false" outlineLevel="0" collapsed="false">
      <c r="A252" s="0" t="n">
        <v>34476</v>
      </c>
      <c r="B252" s="0" t="s">
        <v>3879</v>
      </c>
      <c r="C252" s="0" t="s">
        <v>31</v>
      </c>
      <c r="D252" s="0" t="s">
        <v>3671</v>
      </c>
    </row>
    <row r="253" customFormat="false" ht="15" hidden="false" customHeight="false" outlineLevel="0" collapsed="false">
      <c r="A253" s="0" t="n">
        <v>34477</v>
      </c>
      <c r="B253" s="0" t="s">
        <v>3880</v>
      </c>
      <c r="C253" s="0" t="s">
        <v>31</v>
      </c>
      <c r="D253" s="0" t="s">
        <v>3671</v>
      </c>
    </row>
    <row r="254" customFormat="false" ht="15" hidden="false" customHeight="false" outlineLevel="0" collapsed="false">
      <c r="A254" s="0" t="n">
        <v>34482</v>
      </c>
      <c r="B254" s="0" t="s">
        <v>3881</v>
      </c>
      <c r="C254" s="0" t="s">
        <v>31</v>
      </c>
      <c r="D254" s="0" t="s">
        <v>3671</v>
      </c>
    </row>
    <row r="255" customFormat="false" ht="15" hidden="false" customHeight="false" outlineLevel="0" collapsed="false">
      <c r="A255" s="0" t="n">
        <v>34472</v>
      </c>
      <c r="B255" s="0" t="s">
        <v>3882</v>
      </c>
      <c r="C255" s="0" t="s">
        <v>31</v>
      </c>
      <c r="D255" s="0" t="s">
        <v>3676</v>
      </c>
    </row>
    <row r="256" customFormat="false" ht="15" hidden="false" customHeight="false" outlineLevel="0" collapsed="false">
      <c r="A256" s="0" t="n">
        <v>42425</v>
      </c>
      <c r="B256" s="0" t="s">
        <v>3883</v>
      </c>
      <c r="C256" s="0" t="s">
        <v>31</v>
      </c>
      <c r="D256" s="0" t="s">
        <v>3671</v>
      </c>
      <c r="E256" s="0" t="n">
        <v>2693.78</v>
      </c>
    </row>
    <row r="257" customFormat="false" ht="15" hidden="false" customHeight="false" outlineLevel="0" collapsed="false">
      <c r="A257" s="0" t="n">
        <v>42422</v>
      </c>
      <c r="B257" s="0" t="s">
        <v>3884</v>
      </c>
      <c r="C257" s="0" t="s">
        <v>31</v>
      </c>
      <c r="D257" s="0" t="s">
        <v>3676</v>
      </c>
      <c r="E257" s="0" t="n">
        <v>3999</v>
      </c>
    </row>
    <row r="258" customFormat="false" ht="15" hidden="false" customHeight="false" outlineLevel="0" collapsed="false">
      <c r="A258" s="0" t="n">
        <v>43184</v>
      </c>
      <c r="B258" s="0" t="s">
        <v>3885</v>
      </c>
      <c r="C258" s="0" t="s">
        <v>31</v>
      </c>
      <c r="D258" s="0" t="s">
        <v>3671</v>
      </c>
      <c r="E258" s="0" t="n">
        <v>5527</v>
      </c>
    </row>
    <row r="259" customFormat="false" ht="15" hidden="false" customHeight="false" outlineLevel="0" collapsed="false">
      <c r="A259" s="0" t="n">
        <v>42424</v>
      </c>
      <c r="B259" s="0" t="s">
        <v>3886</v>
      </c>
      <c r="C259" s="0" t="s">
        <v>31</v>
      </c>
      <c r="D259" s="0" t="s">
        <v>3671</v>
      </c>
      <c r="E259" s="0" t="n">
        <v>2405.78</v>
      </c>
    </row>
    <row r="260" customFormat="false" ht="15" hidden="false" customHeight="false" outlineLevel="0" collapsed="false">
      <c r="A260" s="0" t="n">
        <v>42416</v>
      </c>
      <c r="B260" s="0" t="s">
        <v>3887</v>
      </c>
      <c r="C260" s="0" t="s">
        <v>31</v>
      </c>
      <c r="D260" s="0" t="s">
        <v>3671</v>
      </c>
      <c r="E260" s="0" t="n">
        <v>10371.02</v>
      </c>
    </row>
    <row r="261" customFormat="false" ht="15" hidden="false" customHeight="false" outlineLevel="0" collapsed="false">
      <c r="A261" s="0" t="n">
        <v>42417</v>
      </c>
      <c r="B261" s="0" t="s">
        <v>3888</v>
      </c>
      <c r="C261" s="0" t="s">
        <v>31</v>
      </c>
      <c r="D261" s="0" t="s">
        <v>3671</v>
      </c>
      <c r="E261" s="0" t="n">
        <v>11626.77</v>
      </c>
    </row>
    <row r="262" customFormat="false" ht="15" hidden="false" customHeight="false" outlineLevel="0" collapsed="false">
      <c r="A262" s="0" t="n">
        <v>42419</v>
      </c>
      <c r="B262" s="0" t="s">
        <v>3889</v>
      </c>
      <c r="C262" s="0" t="s">
        <v>31</v>
      </c>
      <c r="D262" s="0" t="s">
        <v>3671</v>
      </c>
      <c r="E262" s="0" t="n">
        <v>13135.78</v>
      </c>
    </row>
    <row r="263" customFormat="false" ht="15" hidden="false" customHeight="false" outlineLevel="0" collapsed="false">
      <c r="A263" s="0" t="n">
        <v>42420</v>
      </c>
      <c r="B263" s="0" t="s">
        <v>3890</v>
      </c>
      <c r="C263" s="0" t="s">
        <v>31</v>
      </c>
      <c r="D263" s="0" t="s">
        <v>3671</v>
      </c>
      <c r="E263" s="0" t="n">
        <v>18054.15</v>
      </c>
    </row>
    <row r="264" customFormat="false" ht="15" hidden="false" customHeight="false" outlineLevel="0" collapsed="false">
      <c r="A264" s="0" t="n">
        <v>42421</v>
      </c>
      <c r="B264" s="0" t="s">
        <v>3891</v>
      </c>
      <c r="C264" s="0" t="s">
        <v>31</v>
      </c>
      <c r="D264" s="0" t="s">
        <v>3671</v>
      </c>
      <c r="E264" s="0" t="n">
        <v>21904.33</v>
      </c>
    </row>
    <row r="265" customFormat="false" ht="15" hidden="false" customHeight="false" outlineLevel="0" collapsed="false">
      <c r="A265" s="0" t="n">
        <v>39556</v>
      </c>
      <c r="B265" s="0" t="s">
        <v>3892</v>
      </c>
      <c r="C265" s="0" t="s">
        <v>31</v>
      </c>
      <c r="D265" s="0" t="s">
        <v>3671</v>
      </c>
      <c r="E265" s="0" t="n">
        <v>7606.88</v>
      </c>
    </row>
    <row r="266" customFormat="false" ht="15" hidden="false" customHeight="false" outlineLevel="0" collapsed="false">
      <c r="A266" s="0" t="n">
        <v>39557</v>
      </c>
      <c r="B266" s="0" t="s">
        <v>3893</v>
      </c>
      <c r="C266" s="0" t="s">
        <v>31</v>
      </c>
      <c r="D266" s="0" t="s">
        <v>3671</v>
      </c>
      <c r="E266" s="0" t="n">
        <v>8190.95</v>
      </c>
    </row>
    <row r="267" customFormat="false" ht="15" hidden="false" customHeight="false" outlineLevel="0" collapsed="false">
      <c r="A267" s="0" t="n">
        <v>39559</v>
      </c>
      <c r="B267" s="0" t="s">
        <v>3894</v>
      </c>
      <c r="C267" s="0" t="s">
        <v>31</v>
      </c>
      <c r="D267" s="0" t="s">
        <v>3671</v>
      </c>
      <c r="E267" s="0" t="n">
        <v>12104.65</v>
      </c>
    </row>
    <row r="268" customFormat="false" ht="15" hidden="false" customHeight="false" outlineLevel="0" collapsed="false">
      <c r="A268" s="0" t="n">
        <v>39560</v>
      </c>
      <c r="B268" s="0" t="s">
        <v>3895</v>
      </c>
      <c r="C268" s="0" t="s">
        <v>31</v>
      </c>
      <c r="D268" s="0" t="s">
        <v>3671</v>
      </c>
      <c r="E268" s="0" t="n">
        <v>14003.9</v>
      </c>
    </row>
    <row r="269" customFormat="false" ht="15" hidden="false" customHeight="false" outlineLevel="0" collapsed="false">
      <c r="A269" s="0" t="n">
        <v>39561</v>
      </c>
      <c r="B269" s="0" t="s">
        <v>3896</v>
      </c>
      <c r="C269" s="0" t="s">
        <v>31</v>
      </c>
      <c r="D269" s="0" t="s">
        <v>3671</v>
      </c>
      <c r="E269" s="0" t="n">
        <v>14649.87</v>
      </c>
    </row>
    <row r="270" customFormat="false" ht="15" hidden="false" customHeight="false" outlineLevel="0" collapsed="false">
      <c r="A270" s="0" t="n">
        <v>43195</v>
      </c>
      <c r="B270" s="0" t="s">
        <v>3897</v>
      </c>
      <c r="C270" s="0" t="s">
        <v>31</v>
      </c>
      <c r="D270" s="0" t="s">
        <v>3671</v>
      </c>
      <c r="E270" s="0" t="n">
        <v>6357.12</v>
      </c>
    </row>
    <row r="271" customFormat="false" ht="15" hidden="false" customHeight="false" outlineLevel="0" collapsed="false">
      <c r="A271" s="0" t="n">
        <v>43196</v>
      </c>
      <c r="B271" s="0" t="s">
        <v>3898</v>
      </c>
      <c r="C271" s="0" t="s">
        <v>31</v>
      </c>
      <c r="D271" s="0" t="s">
        <v>3671</v>
      </c>
      <c r="E271" s="0" t="n">
        <v>7878.74</v>
      </c>
    </row>
    <row r="272" customFormat="false" ht="15" hidden="false" customHeight="false" outlineLevel="0" collapsed="false">
      <c r="A272" s="0" t="n">
        <v>43198</v>
      </c>
      <c r="B272" s="0" t="s">
        <v>3899</v>
      </c>
      <c r="C272" s="0" t="s">
        <v>31</v>
      </c>
      <c r="D272" s="0" t="s">
        <v>3671</v>
      </c>
      <c r="E272" s="0" t="n">
        <v>11707.62</v>
      </c>
    </row>
    <row r="273" customFormat="false" ht="15" hidden="false" customHeight="false" outlineLevel="0" collapsed="false">
      <c r="A273" s="0" t="n">
        <v>43199</v>
      </c>
      <c r="B273" s="0" t="s">
        <v>3900</v>
      </c>
      <c r="C273" s="0" t="s">
        <v>31</v>
      </c>
      <c r="D273" s="0" t="s">
        <v>3671</v>
      </c>
      <c r="E273" s="0" t="n">
        <v>12136.63</v>
      </c>
    </row>
    <row r="274" customFormat="false" ht="15" hidden="false" customHeight="false" outlineLevel="0" collapsed="false">
      <c r="A274" s="0" t="n">
        <v>43200</v>
      </c>
      <c r="B274" s="0" t="s">
        <v>3901</v>
      </c>
      <c r="C274" s="0" t="s">
        <v>31</v>
      </c>
      <c r="D274" s="0" t="s">
        <v>3671</v>
      </c>
      <c r="E274" s="0" t="n">
        <v>13927.67</v>
      </c>
    </row>
    <row r="275" customFormat="false" ht="15" hidden="false" customHeight="false" outlineLevel="0" collapsed="false">
      <c r="A275" s="0" t="n">
        <v>43190</v>
      </c>
      <c r="B275" s="0" t="s">
        <v>3902</v>
      </c>
      <c r="C275" s="0" t="s">
        <v>31</v>
      </c>
      <c r="D275" s="0" t="s">
        <v>3671</v>
      </c>
      <c r="E275" s="0" t="n">
        <v>2161.93</v>
      </c>
    </row>
    <row r="276" customFormat="false" ht="15" hidden="false" customHeight="false" outlineLevel="0" collapsed="false">
      <c r="A276" s="0" t="n">
        <v>39555</v>
      </c>
      <c r="B276" s="0" t="s">
        <v>2766</v>
      </c>
      <c r="C276" s="0" t="s">
        <v>31</v>
      </c>
      <c r="D276" s="0" t="s">
        <v>3671</v>
      </c>
      <c r="E276" s="0" t="n">
        <v>2338.65</v>
      </c>
    </row>
    <row r="277" customFormat="false" ht="15" hidden="false" customHeight="false" outlineLevel="0" collapsed="false">
      <c r="A277" s="0" t="n">
        <v>43191</v>
      </c>
      <c r="B277" s="0" t="s">
        <v>3903</v>
      </c>
      <c r="C277" s="0" t="s">
        <v>31</v>
      </c>
      <c r="D277" s="0" t="s">
        <v>3671</v>
      </c>
      <c r="E277" s="0" t="n">
        <v>3110.73</v>
      </c>
    </row>
    <row r="278" customFormat="false" ht="15" hidden="false" customHeight="false" outlineLevel="0" collapsed="false">
      <c r="A278" s="0" t="n">
        <v>39548</v>
      </c>
      <c r="B278" s="0" t="s">
        <v>2768</v>
      </c>
      <c r="C278" s="0" t="s">
        <v>31</v>
      </c>
      <c r="D278" s="0" t="s">
        <v>3671</v>
      </c>
      <c r="E278" s="0" t="n">
        <v>3468.95</v>
      </c>
    </row>
    <row r="279" customFormat="false" ht="15" hidden="false" customHeight="false" outlineLevel="0" collapsed="false">
      <c r="A279" s="0" t="n">
        <v>43192</v>
      </c>
      <c r="B279" s="0" t="s">
        <v>3904</v>
      </c>
      <c r="C279" s="0" t="s">
        <v>31</v>
      </c>
      <c r="D279" s="0" t="s">
        <v>3671</v>
      </c>
      <c r="E279" s="0" t="n">
        <v>4074.78</v>
      </c>
    </row>
    <row r="280" customFormat="false" ht="15" hidden="false" customHeight="false" outlineLevel="0" collapsed="false">
      <c r="A280" s="0" t="n">
        <v>39554</v>
      </c>
      <c r="B280" s="0" t="s">
        <v>2770</v>
      </c>
      <c r="C280" s="0" t="s">
        <v>31</v>
      </c>
      <c r="D280" s="0" t="s">
        <v>3671</v>
      </c>
      <c r="E280" s="0" t="n">
        <v>4587.16</v>
      </c>
    </row>
    <row r="281" customFormat="false" ht="15" hidden="false" customHeight="false" outlineLevel="0" collapsed="false">
      <c r="A281" s="0" t="n">
        <v>43194</v>
      </c>
      <c r="B281" s="0" t="s">
        <v>3905</v>
      </c>
      <c r="C281" s="0" t="s">
        <v>31</v>
      </c>
      <c r="D281" s="0" t="s">
        <v>3671</v>
      </c>
      <c r="E281" s="0" t="n">
        <v>1852.06</v>
      </c>
    </row>
    <row r="282" customFormat="false" ht="15" hidden="false" customHeight="false" outlineLevel="0" collapsed="false">
      <c r="A282" s="0" t="n">
        <v>39551</v>
      </c>
      <c r="B282" s="0" t="s">
        <v>2763</v>
      </c>
      <c r="C282" s="0" t="s">
        <v>31</v>
      </c>
      <c r="D282" s="0" t="s">
        <v>3671</v>
      </c>
      <c r="E282" s="0" t="n">
        <v>2039.32</v>
      </c>
    </row>
    <row r="283" customFormat="false" ht="15" hidden="false" customHeight="false" outlineLevel="0" collapsed="false">
      <c r="A283" s="0" t="n">
        <v>43185</v>
      </c>
      <c r="B283" s="0" t="s">
        <v>3906</v>
      </c>
      <c r="C283" s="0" t="s">
        <v>31</v>
      </c>
      <c r="D283" s="0" t="s">
        <v>3671</v>
      </c>
      <c r="E283" s="0" t="n">
        <v>5795.38</v>
      </c>
    </row>
    <row r="284" customFormat="false" ht="15" hidden="false" customHeight="false" outlineLevel="0" collapsed="false">
      <c r="A284" s="0" t="n">
        <v>43186</v>
      </c>
      <c r="B284" s="0" t="s">
        <v>3907</v>
      </c>
      <c r="C284" s="0" t="s">
        <v>31</v>
      </c>
      <c r="D284" s="0" t="s">
        <v>3671</v>
      </c>
      <c r="E284" s="0" t="n">
        <v>6112.95</v>
      </c>
    </row>
    <row r="285" customFormat="false" ht="15" hidden="false" customHeight="false" outlineLevel="0" collapsed="false">
      <c r="A285" s="0" t="n">
        <v>43187</v>
      </c>
      <c r="B285" s="0" t="s">
        <v>3908</v>
      </c>
      <c r="C285" s="0" t="s">
        <v>31</v>
      </c>
      <c r="D285" s="0" t="s">
        <v>3671</v>
      </c>
      <c r="E285" s="0" t="n">
        <v>8111.95</v>
      </c>
    </row>
    <row r="286" customFormat="false" ht="15" hidden="false" customHeight="false" outlineLevel="0" collapsed="false">
      <c r="A286" s="0" t="n">
        <v>43188</v>
      </c>
      <c r="B286" s="0" t="s">
        <v>3909</v>
      </c>
      <c r="C286" s="0" t="s">
        <v>31</v>
      </c>
      <c r="D286" s="0" t="s">
        <v>3671</v>
      </c>
      <c r="E286" s="0" t="n">
        <v>9828.71</v>
      </c>
    </row>
    <row r="287" customFormat="false" ht="15" hidden="false" customHeight="false" outlineLevel="0" collapsed="false">
      <c r="A287" s="0" t="n">
        <v>43189</v>
      </c>
      <c r="B287" s="0" t="s">
        <v>3910</v>
      </c>
      <c r="C287" s="0" t="s">
        <v>31</v>
      </c>
      <c r="D287" s="0" t="s">
        <v>3671</v>
      </c>
      <c r="E287" s="0" t="n">
        <v>11055.65</v>
      </c>
    </row>
    <row r="288" customFormat="false" ht="15" hidden="false" customHeight="false" outlineLevel="0" collapsed="false">
      <c r="A288" s="0" t="n">
        <v>39580</v>
      </c>
      <c r="B288" s="0" t="s">
        <v>3911</v>
      </c>
      <c r="C288" s="0" t="s">
        <v>31</v>
      </c>
      <c r="D288" s="0" t="s">
        <v>3671</v>
      </c>
      <c r="E288" s="0" t="n">
        <v>87123.09</v>
      </c>
    </row>
    <row r="289" customFormat="false" ht="15" hidden="false" customHeight="false" outlineLevel="0" collapsed="false">
      <c r="A289" s="0" t="n">
        <v>39577</v>
      </c>
      <c r="B289" s="0" t="s">
        <v>3912</v>
      </c>
      <c r="C289" s="0" t="s">
        <v>31</v>
      </c>
      <c r="D289" s="0" t="s">
        <v>3671</v>
      </c>
      <c r="E289" s="0" t="n">
        <v>27269.34</v>
      </c>
    </row>
    <row r="290" customFormat="false" ht="15" hidden="false" customHeight="false" outlineLevel="0" collapsed="false">
      <c r="A290" s="0" t="n">
        <v>39578</v>
      </c>
      <c r="B290" s="0" t="s">
        <v>3913</v>
      </c>
      <c r="C290" s="0" t="s">
        <v>31</v>
      </c>
      <c r="D290" s="0" t="s">
        <v>3671</v>
      </c>
      <c r="E290" s="0" t="n">
        <v>35191.62</v>
      </c>
    </row>
    <row r="291" customFormat="false" ht="15" hidden="false" customHeight="false" outlineLevel="0" collapsed="false">
      <c r="A291" s="0" t="n">
        <v>39579</v>
      </c>
      <c r="B291" s="0" t="s">
        <v>3914</v>
      </c>
      <c r="C291" s="0" t="s">
        <v>31</v>
      </c>
      <c r="D291" s="0" t="s">
        <v>3671</v>
      </c>
      <c r="E291" s="0" t="n">
        <v>51201.06</v>
      </c>
    </row>
    <row r="292" customFormat="false" ht="15" hidden="false" customHeight="false" outlineLevel="0" collapsed="false">
      <c r="A292" s="0" t="n">
        <v>39826</v>
      </c>
      <c r="B292" s="0" t="s">
        <v>3915</v>
      </c>
      <c r="C292" s="0" t="s">
        <v>31</v>
      </c>
      <c r="D292" s="0" t="s">
        <v>3671</v>
      </c>
      <c r="E292" s="0" t="n">
        <v>6288.42</v>
      </c>
    </row>
    <row r="293" customFormat="false" ht="15" hidden="false" customHeight="false" outlineLevel="0" collapsed="false">
      <c r="A293" s="0" t="n">
        <v>10700</v>
      </c>
      <c r="B293" s="0" t="s">
        <v>3916</v>
      </c>
      <c r="C293" s="0" t="s">
        <v>31</v>
      </c>
      <c r="D293" s="0" t="s">
        <v>3671</v>
      </c>
    </row>
    <row r="294" customFormat="false" ht="15" hidden="false" customHeight="false" outlineLevel="0" collapsed="false">
      <c r="A294" s="0" t="n">
        <v>346</v>
      </c>
      <c r="B294" s="0" t="s">
        <v>3917</v>
      </c>
      <c r="C294" s="0" t="s">
        <v>1513</v>
      </c>
      <c r="D294" s="0" t="s">
        <v>3671</v>
      </c>
      <c r="E294" s="0" t="n">
        <v>33.17</v>
      </c>
    </row>
    <row r="295" customFormat="false" ht="15" hidden="false" customHeight="false" outlineLevel="0" collapsed="false">
      <c r="A295" s="0" t="n">
        <v>3312</v>
      </c>
      <c r="B295" s="0" t="s">
        <v>3918</v>
      </c>
      <c r="C295" s="0" t="s">
        <v>1513</v>
      </c>
      <c r="D295" s="0" t="s">
        <v>3671</v>
      </c>
      <c r="E295" s="0" t="n">
        <v>29.37</v>
      </c>
    </row>
    <row r="296" customFormat="false" ht="15" hidden="false" customHeight="false" outlineLevel="0" collapsed="false">
      <c r="A296" s="0" t="n">
        <v>339</v>
      </c>
      <c r="B296" s="0" t="s">
        <v>3919</v>
      </c>
      <c r="C296" s="0" t="s">
        <v>1455</v>
      </c>
      <c r="D296" s="0" t="s">
        <v>3671</v>
      </c>
      <c r="E296" s="0" t="n">
        <v>1.71</v>
      </c>
    </row>
    <row r="297" customFormat="false" ht="15" hidden="false" customHeight="false" outlineLevel="0" collapsed="false">
      <c r="A297" s="0" t="n">
        <v>340</v>
      </c>
      <c r="B297" s="0" t="s">
        <v>3920</v>
      </c>
      <c r="C297" s="0" t="s">
        <v>1455</v>
      </c>
      <c r="D297" s="0" t="s">
        <v>3671</v>
      </c>
      <c r="E297" s="0" t="n">
        <v>1.54</v>
      </c>
    </row>
    <row r="298" customFormat="false" ht="15" hidden="false" customHeight="false" outlineLevel="0" collapsed="false">
      <c r="A298" s="0" t="n">
        <v>43130</v>
      </c>
      <c r="B298" s="0" t="s">
        <v>1603</v>
      </c>
      <c r="C298" s="0" t="s">
        <v>1513</v>
      </c>
      <c r="D298" s="0" t="s">
        <v>3676</v>
      </c>
      <c r="E298" s="0" t="n">
        <v>28</v>
      </c>
    </row>
    <row r="299" customFormat="false" ht="15" hidden="false" customHeight="false" outlineLevel="0" collapsed="false">
      <c r="A299" s="0" t="n">
        <v>344</v>
      </c>
      <c r="B299" s="0" t="s">
        <v>3921</v>
      </c>
      <c r="C299" s="0" t="s">
        <v>1513</v>
      </c>
      <c r="D299" s="0" t="s">
        <v>3671</v>
      </c>
      <c r="E299" s="0" t="n">
        <v>36.81</v>
      </c>
    </row>
    <row r="300" customFormat="false" ht="15" hidden="false" customHeight="false" outlineLevel="0" collapsed="false">
      <c r="A300" s="0" t="n">
        <v>345</v>
      </c>
      <c r="B300" s="0" t="s">
        <v>2004</v>
      </c>
      <c r="C300" s="0" t="s">
        <v>1513</v>
      </c>
      <c r="D300" s="0" t="s">
        <v>3671</v>
      </c>
      <c r="E300" s="0" t="n">
        <v>39.94</v>
      </c>
    </row>
    <row r="301" customFormat="false" ht="15" hidden="false" customHeight="false" outlineLevel="0" collapsed="false">
      <c r="A301" s="0" t="n">
        <v>43131</v>
      </c>
      <c r="B301" s="0" t="s">
        <v>3922</v>
      </c>
      <c r="C301" s="0" t="s">
        <v>1513</v>
      </c>
      <c r="D301" s="0" t="s">
        <v>3671</v>
      </c>
      <c r="E301" s="0" t="n">
        <v>32.52</v>
      </c>
    </row>
    <row r="302" customFormat="false" ht="15" hidden="false" customHeight="false" outlineLevel="0" collapsed="false">
      <c r="A302" s="0" t="n">
        <v>3313</v>
      </c>
      <c r="B302" s="0" t="s">
        <v>3923</v>
      </c>
      <c r="C302" s="0" t="s">
        <v>1513</v>
      </c>
      <c r="D302" s="0" t="s">
        <v>3671</v>
      </c>
      <c r="E302" s="0" t="n">
        <v>37.8</v>
      </c>
    </row>
    <row r="303" customFormat="false" ht="15" hidden="false" customHeight="false" outlineLevel="0" collapsed="false">
      <c r="A303" s="0" t="n">
        <v>43132</v>
      </c>
      <c r="B303" s="0" t="s">
        <v>1565</v>
      </c>
      <c r="C303" s="0" t="s">
        <v>1513</v>
      </c>
      <c r="D303" s="0" t="s">
        <v>3671</v>
      </c>
      <c r="E303" s="0" t="n">
        <v>28</v>
      </c>
    </row>
    <row r="304" customFormat="false" ht="15" hidden="false" customHeight="false" outlineLevel="0" collapsed="false">
      <c r="A304" s="0" t="n">
        <v>366</v>
      </c>
      <c r="B304" s="0" t="s">
        <v>3924</v>
      </c>
      <c r="C304" s="0" t="s">
        <v>1442</v>
      </c>
      <c r="D304" s="0" t="s">
        <v>3676</v>
      </c>
      <c r="E304" s="0" t="n">
        <v>150</v>
      </c>
    </row>
    <row r="305" customFormat="false" ht="15" hidden="false" customHeight="false" outlineLevel="0" collapsed="false">
      <c r="A305" s="0" t="n">
        <v>367</v>
      </c>
      <c r="B305" s="0" t="s">
        <v>1962</v>
      </c>
      <c r="C305" s="0" t="s">
        <v>1442</v>
      </c>
      <c r="D305" s="0" t="s">
        <v>3671</v>
      </c>
      <c r="E305" s="0" t="n">
        <v>151.96</v>
      </c>
    </row>
    <row r="306" customFormat="false" ht="15" hidden="false" customHeight="false" outlineLevel="0" collapsed="false">
      <c r="A306" s="0" t="n">
        <v>370</v>
      </c>
      <c r="B306" s="0" t="s">
        <v>1527</v>
      </c>
      <c r="C306" s="0" t="s">
        <v>1442</v>
      </c>
      <c r="D306" s="0" t="s">
        <v>3671</v>
      </c>
      <c r="E306" s="0" t="n">
        <v>150</v>
      </c>
    </row>
    <row r="307" customFormat="false" ht="15" hidden="false" customHeight="false" outlineLevel="0" collapsed="false">
      <c r="A307" s="0" t="n">
        <v>368</v>
      </c>
      <c r="B307" s="0" t="s">
        <v>3925</v>
      </c>
      <c r="C307" s="0" t="s">
        <v>1442</v>
      </c>
      <c r="D307" s="0" t="s">
        <v>3671</v>
      </c>
      <c r="E307" s="0" t="n">
        <v>75</v>
      </c>
    </row>
    <row r="308" customFormat="false" ht="15" hidden="false" customHeight="false" outlineLevel="0" collapsed="false">
      <c r="A308" s="0" t="n">
        <v>11075</v>
      </c>
      <c r="B308" s="0" t="s">
        <v>3926</v>
      </c>
      <c r="C308" s="0" t="s">
        <v>1442</v>
      </c>
      <c r="D308" s="0" t="s">
        <v>3671</v>
      </c>
      <c r="E308" s="0" t="n">
        <v>1721.53</v>
      </c>
    </row>
    <row r="309" customFormat="false" ht="15" hidden="false" customHeight="false" outlineLevel="0" collapsed="false">
      <c r="A309" s="0" t="n">
        <v>1381</v>
      </c>
      <c r="B309" s="0" t="s">
        <v>1942</v>
      </c>
      <c r="C309" s="0" t="s">
        <v>1513</v>
      </c>
      <c r="D309" s="0" t="s">
        <v>3676</v>
      </c>
      <c r="E309" s="0" t="n">
        <v>0.8</v>
      </c>
    </row>
    <row r="310" customFormat="false" ht="15" hidden="false" customHeight="false" outlineLevel="0" collapsed="false">
      <c r="A310" s="0" t="n">
        <v>34353</v>
      </c>
      <c r="B310" s="0" t="s">
        <v>3927</v>
      </c>
      <c r="C310" s="0" t="s">
        <v>1513</v>
      </c>
      <c r="D310" s="0" t="s">
        <v>3671</v>
      </c>
      <c r="E310" s="0" t="n">
        <v>1.49</v>
      </c>
    </row>
    <row r="311" customFormat="false" ht="15" hidden="false" customHeight="false" outlineLevel="0" collapsed="false">
      <c r="A311" s="0" t="n">
        <v>37595</v>
      </c>
      <c r="B311" s="0" t="s">
        <v>1822</v>
      </c>
      <c r="C311" s="0" t="s">
        <v>1513</v>
      </c>
      <c r="D311" s="0" t="s">
        <v>3671</v>
      </c>
      <c r="E311" s="0" t="n">
        <v>2.46</v>
      </c>
    </row>
    <row r="312" customFormat="false" ht="15" hidden="false" customHeight="false" outlineLevel="0" collapsed="false">
      <c r="A312" s="0" t="n">
        <v>37596</v>
      </c>
      <c r="B312" s="0" t="s">
        <v>1781</v>
      </c>
      <c r="C312" s="0" t="s">
        <v>1513</v>
      </c>
      <c r="D312" s="0" t="s">
        <v>3671</v>
      </c>
      <c r="E312" s="0" t="n">
        <v>2.82</v>
      </c>
    </row>
    <row r="313" customFormat="false" ht="15" hidden="false" customHeight="false" outlineLevel="0" collapsed="false">
      <c r="A313" s="0" t="n">
        <v>371</v>
      </c>
      <c r="B313" s="0" t="s">
        <v>3928</v>
      </c>
      <c r="C313" s="0" t="s">
        <v>1513</v>
      </c>
      <c r="D313" s="0" t="s">
        <v>3671</v>
      </c>
      <c r="E313" s="0" t="n">
        <v>0.87</v>
      </c>
    </row>
    <row r="314" customFormat="false" ht="15" hidden="false" customHeight="false" outlineLevel="0" collapsed="false">
      <c r="A314" s="0" t="n">
        <v>37553</v>
      </c>
      <c r="B314" s="0" t="s">
        <v>3929</v>
      </c>
      <c r="C314" s="0" t="s">
        <v>1513</v>
      </c>
      <c r="D314" s="0" t="s">
        <v>3671</v>
      </c>
      <c r="E314" s="0" t="n">
        <v>1.63</v>
      </c>
    </row>
    <row r="315" customFormat="false" ht="15" hidden="false" customHeight="false" outlineLevel="0" collapsed="false">
      <c r="A315" s="0" t="n">
        <v>37552</v>
      </c>
      <c r="B315" s="0" t="s">
        <v>3930</v>
      </c>
      <c r="C315" s="0" t="s">
        <v>1513</v>
      </c>
      <c r="D315" s="0" t="s">
        <v>3671</v>
      </c>
      <c r="E315" s="0" t="n">
        <v>2.63</v>
      </c>
    </row>
    <row r="316" customFormat="false" ht="15" hidden="false" customHeight="false" outlineLevel="0" collapsed="false">
      <c r="A316" s="0" t="n">
        <v>36880</v>
      </c>
      <c r="B316" s="0" t="s">
        <v>3931</v>
      </c>
      <c r="C316" s="0" t="s">
        <v>1513</v>
      </c>
      <c r="D316" s="0" t="s">
        <v>3671</v>
      </c>
      <c r="E316" s="0" t="n">
        <v>2.67</v>
      </c>
    </row>
    <row r="317" customFormat="false" ht="15" hidden="false" customHeight="false" outlineLevel="0" collapsed="false">
      <c r="A317" s="0" t="n">
        <v>34355</v>
      </c>
      <c r="B317" s="0" t="s">
        <v>3932</v>
      </c>
      <c r="C317" s="0" t="s">
        <v>1513</v>
      </c>
      <c r="D317" s="0" t="s">
        <v>3671</v>
      </c>
      <c r="E317" s="0" t="n">
        <v>2.3</v>
      </c>
    </row>
    <row r="318" customFormat="false" ht="15" hidden="false" customHeight="false" outlineLevel="0" collapsed="false">
      <c r="A318" s="0" t="n">
        <v>130</v>
      </c>
      <c r="B318" s="0" t="s">
        <v>3933</v>
      </c>
      <c r="C318" s="0" t="s">
        <v>1513</v>
      </c>
      <c r="D318" s="0" t="s">
        <v>3671</v>
      </c>
      <c r="E318" s="0" t="n">
        <v>3.87</v>
      </c>
    </row>
    <row r="319" customFormat="false" ht="15" hidden="false" customHeight="false" outlineLevel="0" collapsed="false">
      <c r="A319" s="0" t="n">
        <v>135</v>
      </c>
      <c r="B319" s="0" t="s">
        <v>1763</v>
      </c>
      <c r="C319" s="0" t="s">
        <v>1513</v>
      </c>
      <c r="D319" s="0" t="s">
        <v>3671</v>
      </c>
      <c r="E319" s="0" t="n">
        <v>3.11</v>
      </c>
    </row>
    <row r="320" customFormat="false" ht="15" hidden="false" customHeight="false" outlineLevel="0" collapsed="false">
      <c r="A320" s="0" t="n">
        <v>36886</v>
      </c>
      <c r="B320" s="0" t="s">
        <v>3934</v>
      </c>
      <c r="C320" s="0" t="s">
        <v>1513</v>
      </c>
      <c r="D320" s="0" t="s">
        <v>3671</v>
      </c>
      <c r="E320" s="0" t="n">
        <v>0.83</v>
      </c>
    </row>
    <row r="321" customFormat="false" ht="15" hidden="false" customHeight="false" outlineLevel="0" collapsed="false">
      <c r="A321" s="0" t="n">
        <v>38546</v>
      </c>
      <c r="B321" s="0" t="s">
        <v>3935</v>
      </c>
      <c r="C321" s="0" t="s">
        <v>1442</v>
      </c>
      <c r="D321" s="0" t="s">
        <v>3671</v>
      </c>
      <c r="E321" s="0" t="n">
        <v>635.04</v>
      </c>
    </row>
    <row r="322" customFormat="false" ht="15" hidden="false" customHeight="false" outlineLevel="0" collapsed="false">
      <c r="A322" s="0" t="n">
        <v>34549</v>
      </c>
      <c r="B322" s="0" t="s">
        <v>3936</v>
      </c>
      <c r="C322" s="0" t="s">
        <v>1442</v>
      </c>
      <c r="D322" s="0" t="s">
        <v>3671</v>
      </c>
    </row>
    <row r="323" customFormat="false" ht="15" hidden="false" customHeight="false" outlineLevel="0" collapsed="false">
      <c r="A323" s="0" t="n">
        <v>6081</v>
      </c>
      <c r="B323" s="0" t="s">
        <v>3937</v>
      </c>
      <c r="C323" s="0" t="s">
        <v>1442</v>
      </c>
      <c r="D323" s="0" t="s">
        <v>3671</v>
      </c>
    </row>
    <row r="324" customFormat="false" ht="15" hidden="false" customHeight="false" outlineLevel="0" collapsed="false">
      <c r="A324" s="0" t="n">
        <v>6077</v>
      </c>
      <c r="B324" s="0" t="s">
        <v>3938</v>
      </c>
      <c r="C324" s="0" t="s">
        <v>1442</v>
      </c>
      <c r="D324" s="0" t="s">
        <v>3671</v>
      </c>
    </row>
    <row r="325" customFormat="false" ht="15" hidden="false" customHeight="false" outlineLevel="0" collapsed="false">
      <c r="A325" s="0" t="n">
        <v>6079</v>
      </c>
      <c r="B325" s="0" t="s">
        <v>1725</v>
      </c>
      <c r="C325" s="0" t="s">
        <v>1442</v>
      </c>
      <c r="D325" s="0" t="s">
        <v>3671</v>
      </c>
    </row>
    <row r="326" customFormat="false" ht="15" hidden="false" customHeight="false" outlineLevel="0" collapsed="false">
      <c r="A326" s="0" t="n">
        <v>1091</v>
      </c>
      <c r="B326" s="0" t="s">
        <v>3939</v>
      </c>
      <c r="C326" s="0" t="s">
        <v>31</v>
      </c>
      <c r="D326" s="0" t="s">
        <v>3671</v>
      </c>
      <c r="E326" s="0" t="n">
        <v>38.66</v>
      </c>
    </row>
    <row r="327" customFormat="false" ht="15" hidden="false" customHeight="false" outlineLevel="0" collapsed="false">
      <c r="A327" s="0" t="n">
        <v>1094</v>
      </c>
      <c r="B327" s="0" t="s">
        <v>3940</v>
      </c>
      <c r="C327" s="0" t="s">
        <v>31</v>
      </c>
      <c r="D327" s="0" t="s">
        <v>3671</v>
      </c>
      <c r="E327" s="0" t="n">
        <v>27.04</v>
      </c>
    </row>
    <row r="328" customFormat="false" ht="15" hidden="false" customHeight="false" outlineLevel="0" collapsed="false">
      <c r="A328" s="0" t="n">
        <v>1095</v>
      </c>
      <c r="B328" s="0" t="s">
        <v>3941</v>
      </c>
      <c r="C328" s="0" t="s">
        <v>31</v>
      </c>
      <c r="D328" s="0" t="s">
        <v>3671</v>
      </c>
      <c r="E328" s="0" t="n">
        <v>57.47</v>
      </c>
    </row>
    <row r="329" customFormat="false" ht="15" hidden="false" customHeight="false" outlineLevel="0" collapsed="false">
      <c r="A329" s="0" t="n">
        <v>1092</v>
      </c>
      <c r="B329" s="0" t="s">
        <v>3942</v>
      </c>
      <c r="C329" s="0" t="s">
        <v>31</v>
      </c>
      <c r="D329" s="0" t="s">
        <v>3676</v>
      </c>
      <c r="E329" s="0" t="n">
        <v>44.47</v>
      </c>
    </row>
    <row r="330" customFormat="false" ht="15" hidden="false" customHeight="false" outlineLevel="0" collapsed="false">
      <c r="A330" s="0" t="n">
        <v>1093</v>
      </c>
      <c r="B330" s="0" t="s">
        <v>3943</v>
      </c>
      <c r="C330" s="0" t="s">
        <v>31</v>
      </c>
      <c r="D330" s="0" t="s">
        <v>3671</v>
      </c>
      <c r="E330" s="0" t="n">
        <v>103.85</v>
      </c>
    </row>
    <row r="331" customFormat="false" ht="15" hidden="false" customHeight="false" outlineLevel="0" collapsed="false">
      <c r="A331" s="0" t="n">
        <v>1090</v>
      </c>
      <c r="B331" s="0" t="s">
        <v>3944</v>
      </c>
      <c r="C331" s="0" t="s">
        <v>31</v>
      </c>
      <c r="D331" s="0" t="s">
        <v>3671</v>
      </c>
      <c r="E331" s="0" t="n">
        <v>74.35</v>
      </c>
    </row>
    <row r="332" customFormat="false" ht="15" hidden="false" customHeight="false" outlineLevel="0" collapsed="false">
      <c r="A332" s="0" t="n">
        <v>1096</v>
      </c>
      <c r="B332" s="0" t="s">
        <v>3945</v>
      </c>
      <c r="C332" s="0" t="s">
        <v>31</v>
      </c>
      <c r="D332" s="0" t="s">
        <v>3671</v>
      </c>
      <c r="E332" s="0" t="n">
        <v>133.81</v>
      </c>
    </row>
    <row r="333" customFormat="false" ht="15" hidden="false" customHeight="false" outlineLevel="0" collapsed="false">
      <c r="A333" s="0" t="n">
        <v>1097</v>
      </c>
      <c r="B333" s="0" t="s">
        <v>3946</v>
      </c>
      <c r="C333" s="0" t="s">
        <v>31</v>
      </c>
      <c r="D333" s="0" t="s">
        <v>3671</v>
      </c>
      <c r="E333" s="0" t="n">
        <v>113.59</v>
      </c>
    </row>
    <row r="334" customFormat="false" ht="15" hidden="false" customHeight="false" outlineLevel="0" collapsed="false">
      <c r="A334" s="0" t="n">
        <v>378</v>
      </c>
      <c r="B334" s="0" t="s">
        <v>1589</v>
      </c>
      <c r="C334" s="0" t="s">
        <v>1444</v>
      </c>
      <c r="D334" s="0" t="s">
        <v>3671</v>
      </c>
      <c r="E334" s="0" t="n">
        <v>20.22</v>
      </c>
    </row>
    <row r="335" customFormat="false" ht="15" hidden="false" customHeight="false" outlineLevel="0" collapsed="false">
      <c r="A335" s="0" t="n">
        <v>40911</v>
      </c>
      <c r="B335" s="0" t="s">
        <v>3947</v>
      </c>
      <c r="C335" s="0" t="s">
        <v>1416</v>
      </c>
      <c r="D335" s="0" t="s">
        <v>3671</v>
      </c>
      <c r="E335" s="0" t="n">
        <v>3561.68</v>
      </c>
    </row>
    <row r="336" customFormat="false" ht="15" hidden="false" customHeight="false" outlineLevel="0" collapsed="false">
      <c r="A336" s="0" t="n">
        <v>33939</v>
      </c>
      <c r="B336" s="0" t="s">
        <v>3948</v>
      </c>
      <c r="C336" s="0" t="s">
        <v>1444</v>
      </c>
      <c r="D336" s="0" t="s">
        <v>3671</v>
      </c>
      <c r="E336" s="0" t="n">
        <v>108.1</v>
      </c>
    </row>
    <row r="337" customFormat="false" ht="15" hidden="false" customHeight="false" outlineLevel="0" collapsed="false">
      <c r="A337" s="0" t="n">
        <v>40815</v>
      </c>
      <c r="B337" s="0" t="s">
        <v>3949</v>
      </c>
      <c r="C337" s="0" t="s">
        <v>1416</v>
      </c>
      <c r="D337" s="0" t="s">
        <v>3671</v>
      </c>
      <c r="E337" s="0" t="n">
        <v>19037.3</v>
      </c>
    </row>
    <row r="338" customFormat="false" ht="15" hidden="false" customHeight="false" outlineLevel="0" collapsed="false">
      <c r="A338" s="0" t="n">
        <v>33952</v>
      </c>
      <c r="B338" s="0" t="s">
        <v>3950</v>
      </c>
      <c r="C338" s="0" t="s">
        <v>1444</v>
      </c>
      <c r="D338" s="0" t="s">
        <v>3671</v>
      </c>
      <c r="E338" s="0" t="n">
        <v>114.53</v>
      </c>
    </row>
    <row r="339" customFormat="false" ht="15" hidden="false" customHeight="false" outlineLevel="0" collapsed="false">
      <c r="A339" s="0" t="n">
        <v>40816</v>
      </c>
      <c r="B339" s="0" t="s">
        <v>3951</v>
      </c>
      <c r="C339" s="0" t="s">
        <v>1416</v>
      </c>
      <c r="D339" s="0" t="s">
        <v>3671</v>
      </c>
      <c r="E339" s="0" t="n">
        <v>20168.19</v>
      </c>
    </row>
    <row r="340" customFormat="false" ht="15" hidden="false" customHeight="false" outlineLevel="0" collapsed="false">
      <c r="A340" s="0" t="n">
        <v>33953</v>
      </c>
      <c r="B340" s="0" t="s">
        <v>3952</v>
      </c>
      <c r="C340" s="0" t="s">
        <v>1444</v>
      </c>
      <c r="D340" s="0" t="s">
        <v>3671</v>
      </c>
      <c r="E340" s="0" t="n">
        <v>120.03</v>
      </c>
    </row>
    <row r="341" customFormat="false" ht="15" hidden="false" customHeight="false" outlineLevel="0" collapsed="false">
      <c r="A341" s="0" t="n">
        <v>40817</v>
      </c>
      <c r="B341" s="0" t="s">
        <v>3953</v>
      </c>
      <c r="C341" s="0" t="s">
        <v>1416</v>
      </c>
      <c r="D341" s="0" t="s">
        <v>3671</v>
      </c>
      <c r="E341" s="0" t="n">
        <v>21136.91</v>
      </c>
    </row>
    <row r="342" customFormat="false" ht="15" hidden="false" customHeight="false" outlineLevel="0" collapsed="false">
      <c r="A342" s="0" t="n">
        <v>13348</v>
      </c>
      <c r="B342" s="0" t="s">
        <v>2774</v>
      </c>
      <c r="C342" s="0" t="s">
        <v>31</v>
      </c>
      <c r="D342" s="0" t="s">
        <v>3671</v>
      </c>
    </row>
    <row r="343" customFormat="false" ht="15" hidden="false" customHeight="false" outlineLevel="0" collapsed="false">
      <c r="A343" s="0" t="n">
        <v>39212</v>
      </c>
      <c r="B343" s="0" t="s">
        <v>3954</v>
      </c>
      <c r="C343" s="0" t="s">
        <v>31</v>
      </c>
      <c r="D343" s="0" t="s">
        <v>3671</v>
      </c>
      <c r="E343" s="0" t="n">
        <v>1.68</v>
      </c>
    </row>
    <row r="344" customFormat="false" ht="15" hidden="false" customHeight="false" outlineLevel="0" collapsed="false">
      <c r="A344" s="0" t="n">
        <v>39211</v>
      </c>
      <c r="B344" s="0" t="s">
        <v>3955</v>
      </c>
      <c r="C344" s="0" t="s">
        <v>31</v>
      </c>
      <c r="D344" s="0" t="s">
        <v>3671</v>
      </c>
      <c r="E344" s="0" t="n">
        <v>1.51</v>
      </c>
    </row>
    <row r="345" customFormat="false" ht="15" hidden="false" customHeight="false" outlineLevel="0" collapsed="false">
      <c r="A345" s="0" t="n">
        <v>39210</v>
      </c>
      <c r="B345" s="0" t="s">
        <v>3956</v>
      </c>
      <c r="C345" s="0" t="s">
        <v>31</v>
      </c>
      <c r="D345" s="0" t="s">
        <v>3671</v>
      </c>
      <c r="E345" s="0" t="n">
        <v>0.84</v>
      </c>
    </row>
    <row r="346" customFormat="false" ht="15" hidden="false" customHeight="false" outlineLevel="0" collapsed="false">
      <c r="A346" s="0" t="n">
        <v>39208</v>
      </c>
      <c r="B346" s="0" t="s">
        <v>3957</v>
      </c>
      <c r="C346" s="0" t="s">
        <v>31</v>
      </c>
      <c r="D346" s="0" t="s">
        <v>3671</v>
      </c>
      <c r="E346" s="0" t="n">
        <v>0.46</v>
      </c>
    </row>
    <row r="347" customFormat="false" ht="15" hidden="false" customHeight="false" outlineLevel="0" collapsed="false">
      <c r="A347" s="0" t="n">
        <v>39214</v>
      </c>
      <c r="B347" s="0" t="s">
        <v>3958</v>
      </c>
      <c r="C347" s="0" t="s">
        <v>31</v>
      </c>
      <c r="D347" s="0" t="s">
        <v>3671</v>
      </c>
      <c r="E347" s="0" t="n">
        <v>3.11</v>
      </c>
    </row>
    <row r="348" customFormat="false" ht="15" hidden="false" customHeight="false" outlineLevel="0" collapsed="false">
      <c r="A348" s="0" t="n">
        <v>39213</v>
      </c>
      <c r="B348" s="0" t="s">
        <v>3959</v>
      </c>
      <c r="C348" s="0" t="s">
        <v>31</v>
      </c>
      <c r="D348" s="0" t="s">
        <v>3671</v>
      </c>
      <c r="E348" s="0" t="n">
        <v>2.2</v>
      </c>
    </row>
    <row r="349" customFormat="false" ht="15" hidden="false" customHeight="false" outlineLevel="0" collapsed="false">
      <c r="A349" s="0" t="n">
        <v>39215</v>
      </c>
      <c r="B349" s="0" t="s">
        <v>3960</v>
      </c>
      <c r="C349" s="0" t="s">
        <v>31</v>
      </c>
      <c r="D349" s="0" t="s">
        <v>3671</v>
      </c>
      <c r="E349" s="0" t="n">
        <v>5.67</v>
      </c>
    </row>
    <row r="350" customFormat="false" ht="15" hidden="false" customHeight="false" outlineLevel="0" collapsed="false">
      <c r="A350" s="0" t="n">
        <v>39209</v>
      </c>
      <c r="B350" s="0" t="s">
        <v>3961</v>
      </c>
      <c r="C350" s="0" t="s">
        <v>31</v>
      </c>
      <c r="D350" s="0" t="s">
        <v>3671</v>
      </c>
      <c r="E350" s="0" t="n">
        <v>0.54</v>
      </c>
    </row>
    <row r="351" customFormat="false" ht="15" hidden="false" customHeight="false" outlineLevel="0" collapsed="false">
      <c r="A351" s="0" t="n">
        <v>39207</v>
      </c>
      <c r="B351" s="0" t="s">
        <v>3962</v>
      </c>
      <c r="C351" s="0" t="s">
        <v>31</v>
      </c>
      <c r="D351" s="0" t="s">
        <v>3671</v>
      </c>
      <c r="E351" s="0" t="n">
        <v>0.84</v>
      </c>
    </row>
    <row r="352" customFormat="false" ht="15" hidden="false" customHeight="false" outlineLevel="0" collapsed="false">
      <c r="A352" s="0" t="n">
        <v>39216</v>
      </c>
      <c r="B352" s="0" t="s">
        <v>3963</v>
      </c>
      <c r="C352" s="0" t="s">
        <v>31</v>
      </c>
      <c r="D352" s="0" t="s">
        <v>3671</v>
      </c>
      <c r="E352" s="0" t="n">
        <v>7.91</v>
      </c>
    </row>
    <row r="353" customFormat="false" ht="15" hidden="false" customHeight="false" outlineLevel="0" collapsed="false">
      <c r="A353" s="0" t="n">
        <v>11267</v>
      </c>
      <c r="B353" s="0" t="s">
        <v>2431</v>
      </c>
      <c r="C353" s="0" t="s">
        <v>31</v>
      </c>
      <c r="D353" s="0" t="s">
        <v>3671</v>
      </c>
    </row>
    <row r="354" customFormat="false" ht="15" hidden="false" customHeight="false" outlineLevel="0" collapsed="false">
      <c r="A354" s="0" t="n">
        <v>379</v>
      </c>
      <c r="B354" s="0" t="s">
        <v>3964</v>
      </c>
      <c r="C354" s="0" t="s">
        <v>31</v>
      </c>
      <c r="D354" s="0" t="s">
        <v>3671</v>
      </c>
    </row>
    <row r="355" customFormat="false" ht="15" hidden="false" customHeight="false" outlineLevel="0" collapsed="false">
      <c r="A355" s="0" t="n">
        <v>510</v>
      </c>
      <c r="B355" s="0" t="s">
        <v>3965</v>
      </c>
      <c r="C355" s="0" t="s">
        <v>1513</v>
      </c>
      <c r="D355" s="0" t="s">
        <v>3671</v>
      </c>
      <c r="E355" s="0" t="n">
        <v>13.48</v>
      </c>
    </row>
    <row r="356" customFormat="false" ht="15" hidden="false" customHeight="false" outlineLevel="0" collapsed="false">
      <c r="A356" s="0" t="n">
        <v>516</v>
      </c>
      <c r="B356" s="0" t="s">
        <v>3966</v>
      </c>
      <c r="C356" s="0" t="s">
        <v>1513</v>
      </c>
      <c r="D356" s="0" t="s">
        <v>3671</v>
      </c>
      <c r="E356" s="0" t="n">
        <v>15.97</v>
      </c>
    </row>
    <row r="357" customFormat="false" ht="15" hidden="false" customHeight="false" outlineLevel="0" collapsed="false">
      <c r="A357" s="0" t="n">
        <v>509</v>
      </c>
      <c r="B357" s="0" t="s">
        <v>3967</v>
      </c>
      <c r="C357" s="0" t="s">
        <v>1513</v>
      </c>
      <c r="D357" s="0" t="s">
        <v>3671</v>
      </c>
      <c r="E357" s="0" t="n">
        <v>17.92</v>
      </c>
    </row>
    <row r="358" customFormat="false" ht="15" hidden="false" customHeight="false" outlineLevel="0" collapsed="false">
      <c r="A358" s="0" t="n">
        <v>40331</v>
      </c>
      <c r="B358" s="0" t="s">
        <v>2218</v>
      </c>
      <c r="C358" s="0" t="s">
        <v>1444</v>
      </c>
      <c r="D358" s="0" t="s">
        <v>3671</v>
      </c>
      <c r="E358" s="0" t="n">
        <v>10.21</v>
      </c>
    </row>
    <row r="359" customFormat="false" ht="15" hidden="false" customHeight="false" outlineLevel="0" collapsed="false">
      <c r="A359" s="0" t="n">
        <v>40930</v>
      </c>
      <c r="B359" s="0" t="s">
        <v>3968</v>
      </c>
      <c r="C359" s="0" t="s">
        <v>1416</v>
      </c>
      <c r="D359" s="0" t="s">
        <v>3671</v>
      </c>
      <c r="E359" s="0" t="n">
        <v>1800.53</v>
      </c>
    </row>
    <row r="360" customFormat="false" ht="15" hidden="false" customHeight="false" outlineLevel="0" collapsed="false">
      <c r="A360" s="0" t="n">
        <v>377</v>
      </c>
      <c r="B360" s="0" t="s">
        <v>2023</v>
      </c>
      <c r="C360" s="0" t="s">
        <v>31</v>
      </c>
      <c r="D360" s="0" t="s">
        <v>3676</v>
      </c>
      <c r="E360" s="0" t="n">
        <v>37.65</v>
      </c>
    </row>
    <row r="361" customFormat="false" ht="15" hidden="false" customHeight="false" outlineLevel="0" collapsed="false">
      <c r="A361" s="0" t="n">
        <v>11761</v>
      </c>
      <c r="B361" s="0" t="s">
        <v>3969</v>
      </c>
      <c r="C361" s="0" t="s">
        <v>31</v>
      </c>
      <c r="D361" s="0" t="s">
        <v>3671</v>
      </c>
      <c r="E361" s="0" t="n">
        <v>80.12</v>
      </c>
    </row>
    <row r="362" customFormat="false" ht="15" hidden="false" customHeight="false" outlineLevel="0" collapsed="false">
      <c r="A362" s="0" t="n">
        <v>7588</v>
      </c>
      <c r="B362" s="0" t="s">
        <v>3970</v>
      </c>
      <c r="C362" s="0" t="s">
        <v>31</v>
      </c>
      <c r="D362" s="0" t="s">
        <v>3676</v>
      </c>
      <c r="E362" s="0" t="n">
        <v>43.5</v>
      </c>
    </row>
    <row r="363" customFormat="false" ht="15" hidden="false" customHeight="false" outlineLevel="0" collapsed="false">
      <c r="A363" s="0" t="n">
        <v>34551</v>
      </c>
      <c r="B363" s="0" t="s">
        <v>3971</v>
      </c>
      <c r="C363" s="0" t="s">
        <v>1444</v>
      </c>
      <c r="D363" s="0" t="s">
        <v>3671</v>
      </c>
      <c r="E363" s="0" t="n">
        <v>12.92</v>
      </c>
    </row>
    <row r="364" customFormat="false" ht="15" hidden="false" customHeight="false" outlineLevel="0" collapsed="false">
      <c r="A364" s="0" t="n">
        <v>41078</v>
      </c>
      <c r="B364" s="0" t="s">
        <v>3972</v>
      </c>
      <c r="C364" s="0" t="s">
        <v>1416</v>
      </c>
      <c r="D364" s="0" t="s">
        <v>3671</v>
      </c>
      <c r="E364" s="0" t="n">
        <v>2277.91</v>
      </c>
    </row>
    <row r="365" customFormat="false" ht="15" hidden="false" customHeight="false" outlineLevel="0" collapsed="false">
      <c r="A365" s="0" t="n">
        <v>246</v>
      </c>
      <c r="B365" s="0" t="s">
        <v>1752</v>
      </c>
      <c r="C365" s="0" t="s">
        <v>1444</v>
      </c>
      <c r="D365" s="0" t="s">
        <v>3671</v>
      </c>
      <c r="E365" s="0" t="n">
        <v>13.26</v>
      </c>
    </row>
    <row r="366" customFormat="false" ht="15" hidden="false" customHeight="false" outlineLevel="0" collapsed="false">
      <c r="A366" s="0" t="n">
        <v>40927</v>
      </c>
      <c r="B366" s="0" t="s">
        <v>3973</v>
      </c>
      <c r="C366" s="0" t="s">
        <v>1416</v>
      </c>
      <c r="D366" s="0" t="s">
        <v>3671</v>
      </c>
      <c r="E366" s="0" t="n">
        <v>2335.01</v>
      </c>
    </row>
    <row r="367" customFormat="false" ht="15" hidden="false" customHeight="false" outlineLevel="0" collapsed="false">
      <c r="A367" s="0" t="n">
        <v>2350</v>
      </c>
      <c r="B367" s="0" t="s">
        <v>3974</v>
      </c>
      <c r="C367" s="0" t="s">
        <v>1444</v>
      </c>
      <c r="D367" s="0" t="s">
        <v>3671</v>
      </c>
      <c r="E367" s="0" t="n">
        <v>16.8</v>
      </c>
    </row>
    <row r="368" customFormat="false" ht="15" hidden="false" customHeight="false" outlineLevel="0" collapsed="false">
      <c r="A368" s="0" t="n">
        <v>40812</v>
      </c>
      <c r="B368" s="0" t="s">
        <v>3975</v>
      </c>
      <c r="C368" s="0" t="s">
        <v>1416</v>
      </c>
      <c r="D368" s="0" t="s">
        <v>3671</v>
      </c>
      <c r="E368" s="0" t="n">
        <v>2962.43</v>
      </c>
    </row>
    <row r="369" customFormat="false" ht="15" hidden="false" customHeight="false" outlineLevel="0" collapsed="false">
      <c r="A369" s="0" t="n">
        <v>245</v>
      </c>
      <c r="B369" s="0" t="s">
        <v>3976</v>
      </c>
      <c r="C369" s="0" t="s">
        <v>1444</v>
      </c>
      <c r="D369" s="0" t="s">
        <v>3671</v>
      </c>
      <c r="E369" s="0" t="n">
        <v>23</v>
      </c>
    </row>
    <row r="370" customFormat="false" ht="15" hidden="false" customHeight="false" outlineLevel="0" collapsed="false">
      <c r="A370" s="0" t="n">
        <v>41090</v>
      </c>
      <c r="B370" s="0" t="s">
        <v>3977</v>
      </c>
      <c r="C370" s="0" t="s">
        <v>1416</v>
      </c>
      <c r="D370" s="0" t="s">
        <v>3671</v>
      </c>
      <c r="E370" s="0" t="n">
        <v>4053.06</v>
      </c>
    </row>
    <row r="371" customFormat="false" ht="15" hidden="false" customHeight="false" outlineLevel="0" collapsed="false">
      <c r="A371" s="0" t="n">
        <v>251</v>
      </c>
      <c r="B371" s="0" t="s">
        <v>3978</v>
      </c>
      <c r="C371" s="0" t="s">
        <v>1444</v>
      </c>
      <c r="D371" s="0" t="s">
        <v>3671</v>
      </c>
      <c r="E371" s="0" t="n">
        <v>13.26</v>
      </c>
    </row>
    <row r="372" customFormat="false" ht="15" hidden="false" customHeight="false" outlineLevel="0" collapsed="false">
      <c r="A372" s="0" t="n">
        <v>40975</v>
      </c>
      <c r="B372" s="0" t="s">
        <v>3979</v>
      </c>
      <c r="C372" s="0" t="s">
        <v>1416</v>
      </c>
      <c r="D372" s="0" t="s">
        <v>3671</v>
      </c>
      <c r="E372" s="0" t="n">
        <v>2335.01</v>
      </c>
    </row>
    <row r="373" customFormat="false" ht="15" hidden="false" customHeight="false" outlineLevel="0" collapsed="false">
      <c r="A373" s="0" t="n">
        <v>6127</v>
      </c>
      <c r="B373" s="0" t="s">
        <v>3980</v>
      </c>
      <c r="C373" s="0" t="s">
        <v>1444</v>
      </c>
      <c r="D373" s="0" t="s">
        <v>3671</v>
      </c>
      <c r="E373" s="0" t="n">
        <v>13.26</v>
      </c>
    </row>
    <row r="374" customFormat="false" ht="15" hidden="false" customHeight="false" outlineLevel="0" collapsed="false">
      <c r="A374" s="0" t="n">
        <v>41072</v>
      </c>
      <c r="B374" s="0" t="s">
        <v>3981</v>
      </c>
      <c r="C374" s="0" t="s">
        <v>1416</v>
      </c>
      <c r="D374" s="0" t="s">
        <v>3671</v>
      </c>
      <c r="E374" s="0" t="n">
        <v>2335.01</v>
      </c>
    </row>
    <row r="375" customFormat="false" ht="15" hidden="false" customHeight="false" outlineLevel="0" collapsed="false">
      <c r="A375" s="0" t="n">
        <v>6121</v>
      </c>
      <c r="B375" s="0" t="s">
        <v>3982</v>
      </c>
      <c r="C375" s="0" t="s">
        <v>1444</v>
      </c>
      <c r="D375" s="0" t="s">
        <v>3671</v>
      </c>
      <c r="E375" s="0" t="n">
        <v>12.95</v>
      </c>
    </row>
    <row r="376" customFormat="false" ht="15" hidden="false" customHeight="false" outlineLevel="0" collapsed="false">
      <c r="A376" s="0" t="n">
        <v>41071</v>
      </c>
      <c r="B376" s="0" t="s">
        <v>3983</v>
      </c>
      <c r="C376" s="0" t="s">
        <v>1416</v>
      </c>
      <c r="D376" s="0" t="s">
        <v>3671</v>
      </c>
      <c r="E376" s="0" t="n">
        <v>2281.85</v>
      </c>
    </row>
    <row r="377" customFormat="false" ht="15" hidden="false" customHeight="false" outlineLevel="0" collapsed="false">
      <c r="A377" s="0" t="n">
        <v>244</v>
      </c>
      <c r="B377" s="0" t="s">
        <v>3984</v>
      </c>
      <c r="C377" s="0" t="s">
        <v>1444</v>
      </c>
      <c r="D377" s="0" t="s">
        <v>3671</v>
      </c>
      <c r="E377" s="0" t="n">
        <v>9.09</v>
      </c>
    </row>
    <row r="378" customFormat="false" ht="15" hidden="false" customHeight="false" outlineLevel="0" collapsed="false">
      <c r="A378" s="0" t="n">
        <v>41093</v>
      </c>
      <c r="B378" s="0" t="s">
        <v>3985</v>
      </c>
      <c r="C378" s="0" t="s">
        <v>1416</v>
      </c>
      <c r="D378" s="0" t="s">
        <v>3671</v>
      </c>
      <c r="E378" s="0" t="n">
        <v>1602.86</v>
      </c>
    </row>
    <row r="379" customFormat="false" ht="15" hidden="false" customHeight="false" outlineLevel="0" collapsed="false">
      <c r="A379" s="0" t="n">
        <v>532</v>
      </c>
      <c r="B379" s="0" t="s">
        <v>3986</v>
      </c>
      <c r="C379" s="0" t="s">
        <v>1444</v>
      </c>
      <c r="D379" s="0" t="s">
        <v>3671</v>
      </c>
      <c r="E379" s="0" t="n">
        <v>26.76</v>
      </c>
    </row>
    <row r="380" customFormat="false" ht="15" hidden="false" customHeight="false" outlineLevel="0" collapsed="false">
      <c r="A380" s="0" t="n">
        <v>40931</v>
      </c>
      <c r="B380" s="0" t="s">
        <v>3987</v>
      </c>
      <c r="C380" s="0" t="s">
        <v>1416</v>
      </c>
      <c r="D380" s="0" t="s">
        <v>3671</v>
      </c>
      <c r="E380" s="0" t="n">
        <v>4715.32</v>
      </c>
    </row>
    <row r="381" customFormat="false" ht="15" hidden="false" customHeight="false" outlineLevel="0" collapsed="false">
      <c r="A381" s="0" t="n">
        <v>36150</v>
      </c>
      <c r="B381" s="0" t="s">
        <v>3988</v>
      </c>
      <c r="C381" s="0" t="s">
        <v>31</v>
      </c>
      <c r="D381" s="0" t="s">
        <v>3671</v>
      </c>
      <c r="E381" s="0" t="n">
        <v>38.87</v>
      </c>
    </row>
    <row r="382" customFormat="false" ht="15" hidden="false" customHeight="false" outlineLevel="0" collapsed="false">
      <c r="A382" s="0" t="n">
        <v>4760</v>
      </c>
      <c r="B382" s="0" t="s">
        <v>1939</v>
      </c>
      <c r="C382" s="0" t="s">
        <v>1444</v>
      </c>
      <c r="D382" s="0" t="s">
        <v>3671</v>
      </c>
      <c r="E382" s="0" t="n">
        <v>20.79</v>
      </c>
    </row>
    <row r="383" customFormat="false" ht="15" hidden="false" customHeight="false" outlineLevel="0" collapsed="false">
      <c r="A383" s="0" t="n">
        <v>41069</v>
      </c>
      <c r="B383" s="0" t="s">
        <v>3989</v>
      </c>
      <c r="C383" s="0" t="s">
        <v>1416</v>
      </c>
      <c r="D383" s="0" t="s">
        <v>3671</v>
      </c>
      <c r="E383" s="0" t="n">
        <v>3663.02</v>
      </c>
    </row>
    <row r="384" customFormat="false" ht="15" hidden="false" customHeight="false" outlineLevel="0" collapsed="false">
      <c r="A384" s="0" t="n">
        <v>10422</v>
      </c>
      <c r="B384" s="0" t="s">
        <v>2014</v>
      </c>
      <c r="C384" s="0" t="s">
        <v>31</v>
      </c>
      <c r="D384" s="0" t="s">
        <v>3671</v>
      </c>
      <c r="E384" s="0" t="n">
        <v>378.32</v>
      </c>
    </row>
    <row r="385" customFormat="false" ht="15" hidden="false" customHeight="false" outlineLevel="0" collapsed="false">
      <c r="A385" s="0" t="n">
        <v>44019</v>
      </c>
      <c r="B385" s="0" t="s">
        <v>3990</v>
      </c>
      <c r="C385" s="0" t="s">
        <v>31</v>
      </c>
      <c r="D385" s="0" t="s">
        <v>3671</v>
      </c>
      <c r="E385" s="0" t="n">
        <v>523.69</v>
      </c>
    </row>
    <row r="386" customFormat="false" ht="15" hidden="false" customHeight="false" outlineLevel="0" collapsed="false">
      <c r="A386" s="0" t="n">
        <v>36520</v>
      </c>
      <c r="B386" s="0" t="s">
        <v>3991</v>
      </c>
      <c r="C386" s="0" t="s">
        <v>31</v>
      </c>
      <c r="D386" s="0" t="s">
        <v>3671</v>
      </c>
      <c r="E386" s="0" t="n">
        <v>636.75</v>
      </c>
    </row>
    <row r="387" customFormat="false" ht="15" hidden="false" customHeight="false" outlineLevel="0" collapsed="false">
      <c r="A387" s="0" t="n">
        <v>42319</v>
      </c>
      <c r="B387" s="0" t="s">
        <v>3992</v>
      </c>
      <c r="C387" s="0" t="s">
        <v>31</v>
      </c>
      <c r="D387" s="0" t="s">
        <v>3671</v>
      </c>
      <c r="E387" s="0" t="n">
        <v>570.57</v>
      </c>
    </row>
    <row r="388" customFormat="false" ht="15" hidden="false" customHeight="false" outlineLevel="0" collapsed="false">
      <c r="A388" s="0" t="n">
        <v>10420</v>
      </c>
      <c r="B388" s="0" t="s">
        <v>2020</v>
      </c>
      <c r="C388" s="0" t="s">
        <v>31</v>
      </c>
      <c r="D388" s="0" t="s">
        <v>3676</v>
      </c>
      <c r="E388" s="0" t="n">
        <v>202.4</v>
      </c>
    </row>
    <row r="389" customFormat="false" ht="15" hidden="false" customHeight="false" outlineLevel="0" collapsed="false">
      <c r="A389" s="0" t="n">
        <v>10421</v>
      </c>
      <c r="B389" s="0" t="s">
        <v>3993</v>
      </c>
      <c r="C389" s="0" t="s">
        <v>31</v>
      </c>
      <c r="D389" s="0" t="s">
        <v>3671</v>
      </c>
      <c r="E389" s="0" t="n">
        <v>222.41</v>
      </c>
    </row>
    <row r="390" customFormat="false" ht="15" hidden="false" customHeight="false" outlineLevel="0" collapsed="false">
      <c r="A390" s="0" t="n">
        <v>11786</v>
      </c>
      <c r="B390" s="0" t="s">
        <v>3994</v>
      </c>
      <c r="C390" s="0" t="s">
        <v>31</v>
      </c>
      <c r="D390" s="0" t="s">
        <v>3671</v>
      </c>
      <c r="E390" s="0" t="n">
        <v>448.47</v>
      </c>
    </row>
    <row r="391" customFormat="false" ht="15" hidden="false" customHeight="false" outlineLevel="0" collapsed="false">
      <c r="A391" s="0" t="n">
        <v>4815</v>
      </c>
      <c r="B391" s="0" t="s">
        <v>3995</v>
      </c>
      <c r="C391" s="0" t="s">
        <v>31</v>
      </c>
      <c r="D391" s="0" t="s">
        <v>3671</v>
      </c>
      <c r="E391" s="0" t="n">
        <v>5.49</v>
      </c>
    </row>
    <row r="392" customFormat="false" ht="15" hidden="false" customHeight="false" outlineLevel="0" collapsed="false">
      <c r="A392" s="0" t="n">
        <v>541</v>
      </c>
      <c r="B392" s="0" t="s">
        <v>3996</v>
      </c>
      <c r="C392" s="0" t="s">
        <v>31</v>
      </c>
      <c r="D392" s="0" t="s">
        <v>3676</v>
      </c>
      <c r="E392" s="0" t="n">
        <v>189.7</v>
      </c>
    </row>
    <row r="393" customFormat="false" ht="15" hidden="false" customHeight="false" outlineLevel="0" collapsed="false">
      <c r="A393" s="0" t="n">
        <v>542</v>
      </c>
      <c r="B393" s="0" t="s">
        <v>3997</v>
      </c>
      <c r="C393" s="0" t="s">
        <v>31</v>
      </c>
      <c r="D393" s="0" t="s">
        <v>3671</v>
      </c>
      <c r="E393" s="0" t="n">
        <v>237.79</v>
      </c>
    </row>
    <row r="394" customFormat="false" ht="15" hidden="false" customHeight="false" outlineLevel="0" collapsed="false">
      <c r="A394" s="0" t="n">
        <v>540</v>
      </c>
      <c r="B394" s="0" t="s">
        <v>3998</v>
      </c>
      <c r="C394" s="0" t="s">
        <v>31</v>
      </c>
      <c r="D394" s="0" t="s">
        <v>3671</v>
      </c>
      <c r="E394" s="0" t="n">
        <v>535.86</v>
      </c>
    </row>
    <row r="395" customFormat="false" ht="15" hidden="false" customHeight="false" outlineLevel="0" collapsed="false">
      <c r="A395" s="0" t="n">
        <v>38364</v>
      </c>
      <c r="B395" s="0" t="s">
        <v>3999</v>
      </c>
      <c r="C395" s="0" t="s">
        <v>31</v>
      </c>
      <c r="D395" s="0" t="s">
        <v>3671</v>
      </c>
      <c r="E395" s="0" t="n">
        <v>817.61</v>
      </c>
    </row>
    <row r="396" customFormat="false" ht="15" hidden="false" customHeight="false" outlineLevel="0" collapsed="false">
      <c r="A396" s="0" t="n">
        <v>11692</v>
      </c>
      <c r="B396" s="0" t="s">
        <v>4000</v>
      </c>
      <c r="C396" s="0" t="s">
        <v>1477</v>
      </c>
      <c r="D396" s="0" t="s">
        <v>3671</v>
      </c>
      <c r="E396" s="0" t="n">
        <v>664.87</v>
      </c>
    </row>
    <row r="397" customFormat="false" ht="15" hidden="false" customHeight="false" outlineLevel="0" collapsed="false">
      <c r="A397" s="0" t="n">
        <v>1746</v>
      </c>
      <c r="B397" s="0" t="s">
        <v>4001</v>
      </c>
      <c r="C397" s="0" t="s">
        <v>31</v>
      </c>
      <c r="D397" s="0" t="s">
        <v>3676</v>
      </c>
      <c r="E397" s="0" t="n">
        <v>241</v>
      </c>
    </row>
    <row r="398" customFormat="false" ht="15" hidden="false" customHeight="false" outlineLevel="0" collapsed="false">
      <c r="A398" s="0" t="n">
        <v>1748</v>
      </c>
      <c r="B398" s="0" t="s">
        <v>4002</v>
      </c>
      <c r="C398" s="0" t="s">
        <v>31</v>
      </c>
      <c r="D398" s="0" t="s">
        <v>3671</v>
      </c>
      <c r="E398" s="0" t="n">
        <v>320.47</v>
      </c>
    </row>
    <row r="399" customFormat="false" ht="15" hidden="false" customHeight="false" outlineLevel="0" collapsed="false">
      <c r="A399" s="0" t="n">
        <v>1749</v>
      </c>
      <c r="B399" s="0" t="s">
        <v>4003</v>
      </c>
      <c r="C399" s="0" t="s">
        <v>31</v>
      </c>
      <c r="D399" s="0" t="s">
        <v>3671</v>
      </c>
      <c r="E399" s="0" t="n">
        <v>464.3</v>
      </c>
    </row>
    <row r="400" customFormat="false" ht="15" hidden="false" customHeight="false" outlineLevel="0" collapsed="false">
      <c r="A400" s="0" t="n">
        <v>37412</v>
      </c>
      <c r="B400" s="0" t="s">
        <v>4004</v>
      </c>
      <c r="C400" s="0" t="s">
        <v>31</v>
      </c>
      <c r="D400" s="0" t="s">
        <v>3671</v>
      </c>
      <c r="E400" s="0" t="n">
        <v>235.58</v>
      </c>
    </row>
    <row r="401" customFormat="false" ht="15" hidden="false" customHeight="false" outlineLevel="0" collapsed="false">
      <c r="A401" s="0" t="n">
        <v>1745</v>
      </c>
      <c r="B401" s="0" t="s">
        <v>4005</v>
      </c>
      <c r="C401" s="0" t="s">
        <v>31</v>
      </c>
      <c r="D401" s="0" t="s">
        <v>3671</v>
      </c>
      <c r="E401" s="0" t="n">
        <v>280.13</v>
      </c>
    </row>
    <row r="402" customFormat="false" ht="15" hidden="false" customHeight="false" outlineLevel="0" collapsed="false">
      <c r="A402" s="0" t="n">
        <v>1750</v>
      </c>
      <c r="B402" s="0" t="s">
        <v>4006</v>
      </c>
      <c r="C402" s="0" t="s">
        <v>31</v>
      </c>
      <c r="D402" s="0" t="s">
        <v>3671</v>
      </c>
      <c r="E402" s="0" t="n">
        <v>654.63</v>
      </c>
    </row>
    <row r="403" customFormat="false" ht="15" hidden="false" customHeight="false" outlineLevel="0" collapsed="false">
      <c r="A403" s="0" t="n">
        <v>11687</v>
      </c>
      <c r="B403" s="0" t="s">
        <v>4007</v>
      </c>
      <c r="C403" s="0" t="s">
        <v>1455</v>
      </c>
      <c r="D403" s="0" t="s">
        <v>3671</v>
      </c>
      <c r="E403" s="0" t="n">
        <v>1043.02</v>
      </c>
    </row>
    <row r="404" customFormat="false" ht="15" hidden="false" customHeight="false" outlineLevel="0" collapsed="false">
      <c r="A404" s="0" t="n">
        <v>11689</v>
      </c>
      <c r="B404" s="0" t="s">
        <v>4008</v>
      </c>
      <c r="C404" s="0" t="s">
        <v>1455</v>
      </c>
      <c r="D404" s="0" t="s">
        <v>3671</v>
      </c>
      <c r="E404" s="0" t="n">
        <v>1306.84</v>
      </c>
    </row>
    <row r="405" customFormat="false" ht="15" hidden="false" customHeight="false" outlineLevel="0" collapsed="false">
      <c r="A405" s="0" t="n">
        <v>11693</v>
      </c>
      <c r="B405" s="0" t="s">
        <v>4009</v>
      </c>
      <c r="C405" s="0" t="s">
        <v>1477</v>
      </c>
      <c r="D405" s="0" t="s">
        <v>3671</v>
      </c>
      <c r="E405" s="0" t="n">
        <v>210.33</v>
      </c>
    </row>
    <row r="406" customFormat="false" ht="15" hidden="false" customHeight="false" outlineLevel="0" collapsed="false">
      <c r="A406" s="0" t="n">
        <v>36215</v>
      </c>
      <c r="B406" s="0" t="s">
        <v>4010</v>
      </c>
      <c r="C406" s="0" t="s">
        <v>31</v>
      </c>
      <c r="D406" s="0" t="s">
        <v>3671</v>
      </c>
    </row>
    <row r="407" customFormat="false" ht="15" hidden="false" customHeight="false" outlineLevel="0" collapsed="false">
      <c r="A407" s="0" t="n">
        <v>42439</v>
      </c>
      <c r="B407" s="0" t="s">
        <v>4011</v>
      </c>
      <c r="C407" s="0" t="s">
        <v>31</v>
      </c>
      <c r="D407" s="0" t="s">
        <v>3671</v>
      </c>
    </row>
    <row r="408" customFormat="false" ht="15" hidden="false" customHeight="false" outlineLevel="0" collapsed="false">
      <c r="A408" s="0" t="n">
        <v>38381</v>
      </c>
      <c r="B408" s="0" t="s">
        <v>4012</v>
      </c>
      <c r="C408" s="0" t="s">
        <v>31</v>
      </c>
      <c r="D408" s="0" t="s">
        <v>3671</v>
      </c>
      <c r="E408" s="0" t="n">
        <v>10.91</v>
      </c>
    </row>
    <row r="409" customFormat="false" ht="15" hidden="false" customHeight="false" outlineLevel="0" collapsed="false">
      <c r="A409" s="0" t="n">
        <v>39621</v>
      </c>
      <c r="B409" s="0" t="s">
        <v>4013</v>
      </c>
      <c r="C409" s="0" t="s">
        <v>1568</v>
      </c>
      <c r="D409" s="0" t="s">
        <v>3671</v>
      </c>
      <c r="E409" s="0" t="n">
        <v>1501.77</v>
      </c>
    </row>
    <row r="410" customFormat="false" ht="15" hidden="false" customHeight="false" outlineLevel="0" collapsed="false">
      <c r="A410" s="0" t="n">
        <v>39624</v>
      </c>
      <c r="B410" s="0" t="s">
        <v>4014</v>
      </c>
      <c r="C410" s="0" t="s">
        <v>1568</v>
      </c>
      <c r="D410" s="0" t="s">
        <v>3671</v>
      </c>
      <c r="E410" s="0" t="n">
        <v>1656.62</v>
      </c>
    </row>
    <row r="411" customFormat="false" ht="15" hidden="false" customHeight="false" outlineLevel="0" collapsed="false">
      <c r="A411" s="0" t="n">
        <v>39615</v>
      </c>
      <c r="B411" s="0" t="s">
        <v>4015</v>
      </c>
      <c r="C411" s="0" t="s">
        <v>31</v>
      </c>
      <c r="D411" s="0" t="s">
        <v>3671</v>
      </c>
      <c r="E411" s="0" t="n">
        <v>669.43</v>
      </c>
    </row>
    <row r="412" customFormat="false" ht="15" hidden="false" customHeight="false" outlineLevel="0" collapsed="false">
      <c r="A412" s="0" t="n">
        <v>39620</v>
      </c>
      <c r="B412" s="0" t="s">
        <v>4016</v>
      </c>
      <c r="C412" s="0" t="s">
        <v>31</v>
      </c>
      <c r="D412" s="0" t="s">
        <v>3671</v>
      </c>
      <c r="E412" s="0" t="n">
        <v>1022.4</v>
      </c>
    </row>
    <row r="413" customFormat="false" ht="15" hidden="false" customHeight="false" outlineLevel="0" collapsed="false">
      <c r="A413" s="0" t="n">
        <v>39623</v>
      </c>
      <c r="B413" s="0" t="s">
        <v>4017</v>
      </c>
      <c r="C413" s="0" t="s">
        <v>31</v>
      </c>
      <c r="D413" s="0" t="s">
        <v>3671</v>
      </c>
      <c r="E413" s="0" t="n">
        <v>1095.07</v>
      </c>
    </row>
    <row r="414" customFormat="false" ht="15" hidden="false" customHeight="false" outlineLevel="0" collapsed="false">
      <c r="A414" s="0" t="n">
        <v>546</v>
      </c>
      <c r="B414" s="0" t="s">
        <v>1818</v>
      </c>
      <c r="C414" s="0" t="s">
        <v>1513</v>
      </c>
      <c r="D414" s="0" t="s">
        <v>3676</v>
      </c>
      <c r="E414" s="0" t="n">
        <v>10.51</v>
      </c>
    </row>
    <row r="415" customFormat="false" ht="15" hidden="false" customHeight="false" outlineLevel="0" collapsed="false">
      <c r="A415" s="0" t="n">
        <v>566</v>
      </c>
      <c r="B415" s="0" t="s">
        <v>4018</v>
      </c>
      <c r="C415" s="0" t="s">
        <v>1455</v>
      </c>
      <c r="D415" s="0" t="s">
        <v>3671</v>
      </c>
      <c r="E415" s="0" t="n">
        <v>4.99</v>
      </c>
    </row>
    <row r="416" customFormat="false" ht="15" hidden="false" customHeight="false" outlineLevel="0" collapsed="false">
      <c r="A416" s="0" t="n">
        <v>565</v>
      </c>
      <c r="B416" s="0" t="s">
        <v>4019</v>
      </c>
      <c r="C416" s="0" t="s">
        <v>1455</v>
      </c>
      <c r="D416" s="0" t="s">
        <v>3671</v>
      </c>
      <c r="E416" s="0" t="n">
        <v>18.18</v>
      </c>
    </row>
    <row r="417" customFormat="false" ht="15" hidden="false" customHeight="false" outlineLevel="0" collapsed="false">
      <c r="A417" s="0" t="n">
        <v>555</v>
      </c>
      <c r="B417" s="0" t="s">
        <v>4020</v>
      </c>
      <c r="C417" s="0" t="s">
        <v>1455</v>
      </c>
      <c r="D417" s="0" t="s">
        <v>3671</v>
      </c>
      <c r="E417" s="0" t="n">
        <v>12.89</v>
      </c>
    </row>
    <row r="418" customFormat="false" ht="15" hidden="false" customHeight="false" outlineLevel="0" collapsed="false">
      <c r="A418" s="0" t="n">
        <v>557</v>
      </c>
      <c r="B418" s="0" t="s">
        <v>4021</v>
      </c>
      <c r="C418" s="0" t="s">
        <v>1455</v>
      </c>
      <c r="D418" s="0" t="s">
        <v>3671</v>
      </c>
      <c r="E418" s="0" t="n">
        <v>40.44</v>
      </c>
    </row>
    <row r="419" customFormat="false" ht="15" hidden="false" customHeight="false" outlineLevel="0" collapsed="false">
      <c r="A419" s="0" t="n">
        <v>552</v>
      </c>
      <c r="B419" s="0" t="s">
        <v>4022</v>
      </c>
      <c r="C419" s="0" t="s">
        <v>1455</v>
      </c>
      <c r="D419" s="0" t="s">
        <v>3671</v>
      </c>
      <c r="E419" s="0" t="n">
        <v>20.06</v>
      </c>
    </row>
    <row r="420" customFormat="false" ht="15" hidden="false" customHeight="false" outlineLevel="0" collapsed="false">
      <c r="A420" s="0" t="n">
        <v>563</v>
      </c>
      <c r="B420" s="0" t="s">
        <v>4023</v>
      </c>
      <c r="C420" s="0" t="s">
        <v>1455</v>
      </c>
      <c r="D420" s="0" t="s">
        <v>3671</v>
      </c>
      <c r="E420" s="0" t="n">
        <v>30.15</v>
      </c>
    </row>
    <row r="421" customFormat="false" ht="15" hidden="false" customHeight="false" outlineLevel="0" collapsed="false">
      <c r="A421" s="0" t="n">
        <v>549</v>
      </c>
      <c r="B421" s="0" t="s">
        <v>4024</v>
      </c>
      <c r="C421" s="0" t="s">
        <v>1455</v>
      </c>
      <c r="D421" s="0" t="s">
        <v>3671</v>
      </c>
      <c r="E421" s="0" t="n">
        <v>54.26</v>
      </c>
    </row>
    <row r="422" customFormat="false" ht="15" hidden="false" customHeight="false" outlineLevel="0" collapsed="false">
      <c r="A422" s="0" t="n">
        <v>551</v>
      </c>
      <c r="B422" s="0" t="s">
        <v>4025</v>
      </c>
      <c r="C422" s="0" t="s">
        <v>1455</v>
      </c>
      <c r="D422" s="0" t="s">
        <v>3671</v>
      </c>
      <c r="E422" s="0" t="n">
        <v>107.44</v>
      </c>
    </row>
    <row r="423" customFormat="false" ht="15" hidden="false" customHeight="false" outlineLevel="0" collapsed="false">
      <c r="A423" s="0" t="n">
        <v>559</v>
      </c>
      <c r="B423" s="0" t="s">
        <v>4026</v>
      </c>
      <c r="C423" s="0" t="s">
        <v>1455</v>
      </c>
      <c r="D423" s="0" t="s">
        <v>3671</v>
      </c>
      <c r="E423" s="0" t="n">
        <v>26.86</v>
      </c>
    </row>
    <row r="424" customFormat="false" ht="15" hidden="false" customHeight="false" outlineLevel="0" collapsed="false">
      <c r="A424" s="0" t="n">
        <v>560</v>
      </c>
      <c r="B424" s="0" t="s">
        <v>4027</v>
      </c>
      <c r="C424" s="0" t="s">
        <v>1455</v>
      </c>
      <c r="D424" s="0" t="s">
        <v>3671</v>
      </c>
      <c r="E424" s="0" t="n">
        <v>33.6</v>
      </c>
    </row>
    <row r="425" customFormat="false" ht="15" hidden="false" customHeight="false" outlineLevel="0" collapsed="false">
      <c r="A425" s="0" t="n">
        <v>547</v>
      </c>
      <c r="B425" s="0" t="s">
        <v>4028</v>
      </c>
      <c r="C425" s="0" t="s">
        <v>1455</v>
      </c>
      <c r="D425" s="0" t="s">
        <v>3671</v>
      </c>
      <c r="E425" s="0" t="n">
        <v>40.23</v>
      </c>
    </row>
    <row r="426" customFormat="false" ht="15" hidden="false" customHeight="false" outlineLevel="0" collapsed="false">
      <c r="A426" s="0" t="n">
        <v>36207</v>
      </c>
      <c r="B426" s="0" t="s">
        <v>4029</v>
      </c>
      <c r="C426" s="0" t="s">
        <v>31</v>
      </c>
      <c r="D426" s="0" t="s">
        <v>3671</v>
      </c>
    </row>
    <row r="427" customFormat="false" ht="15" hidden="false" customHeight="false" outlineLevel="0" collapsed="false">
      <c r="A427" s="0" t="n">
        <v>36209</v>
      </c>
      <c r="B427" s="0" t="s">
        <v>4030</v>
      </c>
      <c r="C427" s="0" t="s">
        <v>31</v>
      </c>
      <c r="D427" s="0" t="s">
        <v>3671</v>
      </c>
    </row>
    <row r="428" customFormat="false" ht="15" hidden="false" customHeight="false" outlineLevel="0" collapsed="false">
      <c r="A428" s="0" t="n">
        <v>36210</v>
      </c>
      <c r="B428" s="0" t="s">
        <v>4031</v>
      </c>
      <c r="C428" s="0" t="s">
        <v>31</v>
      </c>
      <c r="D428" s="0" t="s">
        <v>3671</v>
      </c>
    </row>
    <row r="429" customFormat="false" ht="15" hidden="false" customHeight="false" outlineLevel="0" collapsed="false">
      <c r="A429" s="0" t="n">
        <v>36204</v>
      </c>
      <c r="B429" s="0" t="s">
        <v>1883</v>
      </c>
      <c r="C429" s="0" t="s">
        <v>31</v>
      </c>
      <c r="D429" s="0" t="s">
        <v>3671</v>
      </c>
    </row>
    <row r="430" customFormat="false" ht="15" hidden="false" customHeight="false" outlineLevel="0" collapsed="false">
      <c r="A430" s="0" t="n">
        <v>36205</v>
      </c>
      <c r="B430" s="0" t="s">
        <v>2063</v>
      </c>
      <c r="C430" s="0" t="s">
        <v>31</v>
      </c>
      <c r="D430" s="0" t="s">
        <v>3671</v>
      </c>
    </row>
    <row r="431" customFormat="false" ht="15" hidden="false" customHeight="false" outlineLevel="0" collapsed="false">
      <c r="A431" s="0" t="n">
        <v>36081</v>
      </c>
      <c r="B431" s="0" t="s">
        <v>2061</v>
      </c>
      <c r="C431" s="0" t="s">
        <v>31</v>
      </c>
      <c r="D431" s="0" t="s">
        <v>3676</v>
      </c>
    </row>
    <row r="432" customFormat="false" ht="15" hidden="false" customHeight="false" outlineLevel="0" collapsed="false">
      <c r="A432" s="0" t="n">
        <v>36206</v>
      </c>
      <c r="B432" s="0" t="s">
        <v>4032</v>
      </c>
      <c r="C432" s="0" t="s">
        <v>31</v>
      </c>
      <c r="D432" s="0" t="s">
        <v>3671</v>
      </c>
    </row>
    <row r="433" customFormat="false" ht="15" hidden="false" customHeight="false" outlineLevel="0" collapsed="false">
      <c r="A433" s="0" t="n">
        <v>36218</v>
      </c>
      <c r="B433" s="0" t="s">
        <v>4033</v>
      </c>
      <c r="C433" s="0" t="s">
        <v>31</v>
      </c>
      <c r="D433" s="0" t="s">
        <v>3671</v>
      </c>
    </row>
    <row r="434" customFormat="false" ht="15" hidden="false" customHeight="false" outlineLevel="0" collapsed="false">
      <c r="A434" s="0" t="n">
        <v>36220</v>
      </c>
      <c r="B434" s="0" t="s">
        <v>4034</v>
      </c>
      <c r="C434" s="0" t="s">
        <v>31</v>
      </c>
      <c r="D434" s="0" t="s">
        <v>3671</v>
      </c>
    </row>
    <row r="435" customFormat="false" ht="15" hidden="false" customHeight="false" outlineLevel="0" collapsed="false">
      <c r="A435" s="0" t="n">
        <v>36080</v>
      </c>
      <c r="B435" s="0" t="s">
        <v>4035</v>
      </c>
      <c r="C435" s="0" t="s">
        <v>31</v>
      </c>
      <c r="D435" s="0" t="s">
        <v>3676</v>
      </c>
    </row>
    <row r="436" customFormat="false" ht="15" hidden="false" customHeight="false" outlineLevel="0" collapsed="false">
      <c r="A436" s="0" t="n">
        <v>36223</v>
      </c>
      <c r="B436" s="0" t="s">
        <v>4036</v>
      </c>
      <c r="C436" s="0" t="s">
        <v>31</v>
      </c>
      <c r="D436" s="0" t="s">
        <v>3671</v>
      </c>
    </row>
    <row r="437" customFormat="false" ht="15" hidden="false" customHeight="false" outlineLevel="0" collapsed="false">
      <c r="A437" s="0" t="n">
        <v>38127</v>
      </c>
      <c r="B437" s="0" t="s">
        <v>4037</v>
      </c>
      <c r="C437" s="0" t="s">
        <v>31</v>
      </c>
      <c r="D437" s="0" t="s">
        <v>3671</v>
      </c>
      <c r="E437" s="0" t="n">
        <v>513.55</v>
      </c>
    </row>
    <row r="438" customFormat="false" ht="15" hidden="false" customHeight="false" outlineLevel="0" collapsed="false">
      <c r="A438" s="0" t="n">
        <v>38060</v>
      </c>
      <c r="B438" s="0" t="s">
        <v>2614</v>
      </c>
      <c r="C438" s="0" t="s">
        <v>31</v>
      </c>
      <c r="D438" s="0" t="s">
        <v>3671</v>
      </c>
      <c r="E438" s="0" t="n">
        <v>56.07</v>
      </c>
    </row>
    <row r="439" customFormat="false" ht="15" hidden="false" customHeight="false" outlineLevel="0" collapsed="false">
      <c r="A439" s="0" t="n">
        <v>10956</v>
      </c>
      <c r="B439" s="0" t="s">
        <v>4038</v>
      </c>
      <c r="C439" s="0" t="s">
        <v>31</v>
      </c>
      <c r="D439" s="0" t="s">
        <v>3671</v>
      </c>
      <c r="E439" s="0" t="n">
        <v>61.49</v>
      </c>
    </row>
    <row r="440" customFormat="false" ht="15" hidden="false" customHeight="false" outlineLevel="0" collapsed="false">
      <c r="A440" s="0" t="n">
        <v>39380</v>
      </c>
      <c r="B440" s="0" t="s">
        <v>4039</v>
      </c>
      <c r="C440" s="0" t="s">
        <v>31</v>
      </c>
      <c r="D440" s="0" t="s">
        <v>3671</v>
      </c>
    </row>
    <row r="441" customFormat="false" ht="15" hidden="false" customHeight="false" outlineLevel="0" collapsed="false">
      <c r="A441" s="0" t="n">
        <v>44172</v>
      </c>
      <c r="B441" s="0" t="s">
        <v>4040</v>
      </c>
      <c r="C441" s="0" t="s">
        <v>31</v>
      </c>
      <c r="D441" s="0" t="s">
        <v>3671</v>
      </c>
      <c r="E441" s="0" t="n">
        <v>7.53</v>
      </c>
    </row>
    <row r="442" customFormat="false" ht="15" hidden="false" customHeight="false" outlineLevel="0" collapsed="false">
      <c r="A442" s="0" t="n">
        <v>37597</v>
      </c>
      <c r="B442" s="0" t="s">
        <v>4041</v>
      </c>
      <c r="C442" s="0" t="s">
        <v>31</v>
      </c>
      <c r="D442" s="0" t="s">
        <v>3671</v>
      </c>
    </row>
    <row r="443" customFormat="false" ht="15" hidden="false" customHeight="false" outlineLevel="0" collapsed="false">
      <c r="A443" s="0" t="n">
        <v>183</v>
      </c>
      <c r="B443" s="0" t="s">
        <v>1841</v>
      </c>
      <c r="C443" s="0" t="s">
        <v>1842</v>
      </c>
      <c r="D443" s="0" t="s">
        <v>3676</v>
      </c>
      <c r="E443" s="0" t="n">
        <v>175</v>
      </c>
    </row>
    <row r="444" customFormat="false" ht="15" hidden="false" customHeight="false" outlineLevel="0" collapsed="false">
      <c r="A444" s="0" t="n">
        <v>184</v>
      </c>
      <c r="B444" s="0" t="s">
        <v>4042</v>
      </c>
      <c r="C444" s="0" t="s">
        <v>1842</v>
      </c>
      <c r="D444" s="0" t="s">
        <v>3671</v>
      </c>
      <c r="E444" s="0" t="n">
        <v>108.38</v>
      </c>
    </row>
    <row r="445" customFormat="false" ht="15" hidden="false" customHeight="false" outlineLevel="0" collapsed="false">
      <c r="A445" s="0" t="n">
        <v>181</v>
      </c>
      <c r="B445" s="0" t="s">
        <v>4043</v>
      </c>
      <c r="C445" s="0" t="s">
        <v>1842</v>
      </c>
      <c r="D445" s="0" t="s">
        <v>3671</v>
      </c>
      <c r="E445" s="0" t="n">
        <v>233.7</v>
      </c>
    </row>
    <row r="446" customFormat="false" ht="15" hidden="false" customHeight="false" outlineLevel="0" collapsed="false">
      <c r="A446" s="0" t="n">
        <v>20001</v>
      </c>
      <c r="B446" s="0" t="s">
        <v>4044</v>
      </c>
      <c r="C446" s="0" t="s">
        <v>1842</v>
      </c>
      <c r="D446" s="0" t="s">
        <v>3671</v>
      </c>
      <c r="E446" s="0" t="n">
        <v>135.48</v>
      </c>
    </row>
    <row r="447" customFormat="false" ht="15" hidden="false" customHeight="false" outlineLevel="0" collapsed="false">
      <c r="A447" s="0" t="n">
        <v>39837</v>
      </c>
      <c r="B447" s="0" t="s">
        <v>4045</v>
      </c>
      <c r="C447" s="0" t="s">
        <v>1842</v>
      </c>
      <c r="D447" s="0" t="s">
        <v>3671</v>
      </c>
    </row>
    <row r="448" customFormat="false" ht="15" hidden="false" customHeight="false" outlineLevel="0" collapsed="false">
      <c r="A448" s="0" t="n">
        <v>43366</v>
      </c>
      <c r="B448" s="0" t="s">
        <v>4046</v>
      </c>
      <c r="C448" s="0" t="s">
        <v>1513</v>
      </c>
      <c r="D448" s="0" t="s">
        <v>3671</v>
      </c>
    </row>
    <row r="449" customFormat="false" ht="15" hidden="false" customHeight="false" outlineLevel="0" collapsed="false">
      <c r="A449" s="0" t="n">
        <v>10535</v>
      </c>
      <c r="B449" s="0" t="s">
        <v>1525</v>
      </c>
      <c r="C449" s="0" t="s">
        <v>31</v>
      </c>
      <c r="D449" s="0" t="s">
        <v>3676</v>
      </c>
      <c r="E449" s="0" t="n">
        <v>4699</v>
      </c>
    </row>
    <row r="450" customFormat="false" ht="15" hidden="false" customHeight="false" outlineLevel="0" collapsed="false">
      <c r="A450" s="0" t="n">
        <v>10537</v>
      </c>
      <c r="B450" s="0" t="s">
        <v>4047</v>
      </c>
      <c r="C450" s="0" t="s">
        <v>31</v>
      </c>
      <c r="D450" s="0" t="s">
        <v>3671</v>
      </c>
      <c r="E450" s="0" t="n">
        <v>6408.16</v>
      </c>
    </row>
    <row r="451" customFormat="false" ht="15" hidden="false" customHeight="false" outlineLevel="0" collapsed="false">
      <c r="A451" s="0" t="n">
        <v>13891</v>
      </c>
      <c r="B451" s="0" t="s">
        <v>4048</v>
      </c>
      <c r="C451" s="0" t="s">
        <v>31</v>
      </c>
      <c r="D451" s="0" t="s">
        <v>3671</v>
      </c>
      <c r="E451" s="0" t="n">
        <v>5877.73</v>
      </c>
    </row>
    <row r="452" customFormat="false" ht="15" hidden="false" customHeight="false" outlineLevel="0" collapsed="false">
      <c r="A452" s="0" t="n">
        <v>44492</v>
      </c>
      <c r="B452" s="0" t="s">
        <v>4049</v>
      </c>
      <c r="C452" s="0" t="s">
        <v>31</v>
      </c>
      <c r="D452" s="0" t="s">
        <v>3671</v>
      </c>
      <c r="E452" s="0" t="n">
        <v>25565.74</v>
      </c>
    </row>
    <row r="453" customFormat="false" ht="15" hidden="false" customHeight="false" outlineLevel="0" collapsed="false">
      <c r="A453" s="0" t="n">
        <v>36396</v>
      </c>
      <c r="B453" s="0" t="s">
        <v>4050</v>
      </c>
      <c r="C453" s="0" t="s">
        <v>31</v>
      </c>
      <c r="D453" s="0" t="s">
        <v>3671</v>
      </c>
      <c r="E453" s="0" t="n">
        <v>5375.97</v>
      </c>
    </row>
    <row r="454" customFormat="false" ht="15" hidden="false" customHeight="false" outlineLevel="0" collapsed="false">
      <c r="A454" s="0" t="n">
        <v>36397</v>
      </c>
      <c r="B454" s="0" t="s">
        <v>1888</v>
      </c>
      <c r="C454" s="0" t="s">
        <v>31</v>
      </c>
      <c r="D454" s="0" t="s">
        <v>3671</v>
      </c>
      <c r="E454" s="0" t="n">
        <v>19114.57</v>
      </c>
    </row>
    <row r="455" customFormat="false" ht="15" hidden="false" customHeight="false" outlineLevel="0" collapsed="false">
      <c r="A455" s="0" t="n">
        <v>36398</v>
      </c>
      <c r="B455" s="0" t="s">
        <v>4051</v>
      </c>
      <c r="C455" s="0" t="s">
        <v>31</v>
      </c>
      <c r="D455" s="0" t="s">
        <v>3671</v>
      </c>
      <c r="E455" s="0" t="n">
        <v>23232.17</v>
      </c>
    </row>
    <row r="456" customFormat="false" ht="15" hidden="false" customHeight="false" outlineLevel="0" collapsed="false">
      <c r="A456" s="0" t="n">
        <v>647</v>
      </c>
      <c r="B456" s="0" t="s">
        <v>4052</v>
      </c>
      <c r="C456" s="0" t="s">
        <v>1444</v>
      </c>
      <c r="D456" s="0" t="s">
        <v>3671</v>
      </c>
      <c r="E456" s="0" t="n">
        <v>14.36</v>
      </c>
    </row>
    <row r="457" customFormat="false" ht="15" hidden="false" customHeight="false" outlineLevel="0" collapsed="false">
      <c r="A457" s="0" t="n">
        <v>40920</v>
      </c>
      <c r="B457" s="0" t="s">
        <v>4053</v>
      </c>
      <c r="C457" s="0" t="s">
        <v>1416</v>
      </c>
      <c r="D457" s="0" t="s">
        <v>3671</v>
      </c>
      <c r="E457" s="0" t="n">
        <v>2532.06</v>
      </c>
    </row>
    <row r="458" customFormat="false" ht="15" hidden="false" customHeight="false" outlineLevel="0" collapsed="false">
      <c r="A458" s="0" t="n">
        <v>715</v>
      </c>
      <c r="B458" s="0" t="s">
        <v>4054</v>
      </c>
      <c r="C458" s="0" t="s">
        <v>31</v>
      </c>
      <c r="D458" s="0" t="s">
        <v>3676</v>
      </c>
    </row>
    <row r="459" customFormat="false" ht="15" hidden="false" customHeight="false" outlineLevel="0" collapsed="false">
      <c r="A459" s="0" t="n">
        <v>716</v>
      </c>
      <c r="B459" s="0" t="s">
        <v>4055</v>
      </c>
      <c r="C459" s="0" t="s">
        <v>31</v>
      </c>
      <c r="D459" s="0" t="s">
        <v>3671</v>
      </c>
    </row>
    <row r="460" customFormat="false" ht="15" hidden="false" customHeight="false" outlineLevel="0" collapsed="false">
      <c r="A460" s="0" t="n">
        <v>7270</v>
      </c>
      <c r="B460" s="0" t="s">
        <v>4056</v>
      </c>
      <c r="C460" s="0" t="s">
        <v>31</v>
      </c>
      <c r="D460" s="0" t="s">
        <v>3671</v>
      </c>
      <c r="E460" s="0" t="n">
        <v>1</v>
      </c>
    </row>
    <row r="461" customFormat="false" ht="15" hidden="false" customHeight="false" outlineLevel="0" collapsed="false">
      <c r="A461" s="0" t="n">
        <v>44460</v>
      </c>
      <c r="B461" s="0" t="s">
        <v>4057</v>
      </c>
      <c r="C461" s="0" t="s">
        <v>31</v>
      </c>
      <c r="D461" s="0" t="s">
        <v>3671</v>
      </c>
      <c r="E461" s="0" t="n">
        <v>1.68</v>
      </c>
    </row>
    <row r="462" customFormat="false" ht="15" hidden="false" customHeight="false" outlineLevel="0" collapsed="false">
      <c r="A462" s="0" t="n">
        <v>44461</v>
      </c>
      <c r="B462" s="0" t="s">
        <v>4058</v>
      </c>
      <c r="C462" s="0" t="s">
        <v>31</v>
      </c>
      <c r="D462" s="0" t="s">
        <v>3671</v>
      </c>
      <c r="E462" s="0" t="n">
        <v>2.29</v>
      </c>
    </row>
    <row r="463" customFormat="false" ht="15" hidden="false" customHeight="false" outlineLevel="0" collapsed="false">
      <c r="A463" s="0" t="n">
        <v>7267</v>
      </c>
      <c r="B463" s="0" t="s">
        <v>1771</v>
      </c>
      <c r="C463" s="0" t="s">
        <v>31</v>
      </c>
      <c r="D463" s="0" t="s">
        <v>3671</v>
      </c>
      <c r="E463" s="0" t="n">
        <v>0.84</v>
      </c>
    </row>
    <row r="464" customFormat="false" ht="15" hidden="false" customHeight="false" outlineLevel="0" collapsed="false">
      <c r="A464" s="0" t="n">
        <v>44458</v>
      </c>
      <c r="B464" s="0" t="s">
        <v>4059</v>
      </c>
      <c r="C464" s="0" t="s">
        <v>31</v>
      </c>
      <c r="D464" s="0" t="s">
        <v>3671</v>
      </c>
      <c r="E464" s="0" t="n">
        <v>1.02</v>
      </c>
    </row>
    <row r="465" customFormat="false" ht="15" hidden="false" customHeight="false" outlineLevel="0" collapsed="false">
      <c r="A465" s="0" t="n">
        <v>44457</v>
      </c>
      <c r="B465" s="0" t="s">
        <v>4060</v>
      </c>
      <c r="C465" s="0" t="s">
        <v>31</v>
      </c>
      <c r="D465" s="0" t="s">
        <v>3671</v>
      </c>
      <c r="E465" s="0" t="n">
        <v>1.98</v>
      </c>
    </row>
    <row r="466" customFormat="false" ht="15" hidden="false" customHeight="false" outlineLevel="0" collapsed="false">
      <c r="A466" s="0" t="n">
        <v>7271</v>
      </c>
      <c r="B466" s="0" t="s">
        <v>1767</v>
      </c>
      <c r="C466" s="0" t="s">
        <v>31</v>
      </c>
      <c r="D466" s="0" t="s">
        <v>3676</v>
      </c>
      <c r="E466" s="0" t="n">
        <v>1.07</v>
      </c>
    </row>
    <row r="467" customFormat="false" ht="15" hidden="false" customHeight="false" outlineLevel="0" collapsed="false">
      <c r="A467" s="0" t="n">
        <v>7268</v>
      </c>
      <c r="B467" s="0" t="s">
        <v>4061</v>
      </c>
      <c r="C467" s="0" t="s">
        <v>31</v>
      </c>
      <c r="D467" s="0" t="s">
        <v>3671</v>
      </c>
      <c r="E467" s="0" t="n">
        <v>1.67</v>
      </c>
    </row>
    <row r="468" customFormat="false" ht="15" hidden="false" customHeight="false" outlineLevel="0" collapsed="false">
      <c r="A468" s="0" t="n">
        <v>44459</v>
      </c>
      <c r="B468" s="0" t="s">
        <v>4062</v>
      </c>
      <c r="C468" s="0" t="s">
        <v>31</v>
      </c>
      <c r="D468" s="0" t="s">
        <v>3671</v>
      </c>
      <c r="E468" s="0" t="n">
        <v>1.08</v>
      </c>
    </row>
    <row r="469" customFormat="false" ht="15" hidden="false" customHeight="false" outlineLevel="0" collapsed="false">
      <c r="A469" s="0" t="n">
        <v>44462</v>
      </c>
      <c r="B469" s="0" t="s">
        <v>4063</v>
      </c>
      <c r="C469" s="0" t="s">
        <v>31</v>
      </c>
      <c r="D469" s="0" t="s">
        <v>3671</v>
      </c>
      <c r="E469" s="0" t="n">
        <v>1.91</v>
      </c>
    </row>
    <row r="470" customFormat="false" ht="15" hidden="false" customHeight="false" outlineLevel="0" collapsed="false">
      <c r="A470" s="0" t="n">
        <v>44463</v>
      </c>
      <c r="B470" s="0" t="s">
        <v>4064</v>
      </c>
      <c r="C470" s="0" t="s">
        <v>31</v>
      </c>
      <c r="D470" s="0" t="s">
        <v>3671</v>
      </c>
      <c r="E470" s="0" t="n">
        <v>2.46</v>
      </c>
    </row>
    <row r="471" customFormat="false" ht="15" hidden="false" customHeight="false" outlineLevel="0" collapsed="false">
      <c r="A471" s="0" t="n">
        <v>44464</v>
      </c>
      <c r="B471" s="0" t="s">
        <v>4065</v>
      </c>
      <c r="C471" s="0" t="s">
        <v>31</v>
      </c>
      <c r="D471" s="0" t="s">
        <v>3671</v>
      </c>
      <c r="E471" s="0" t="n">
        <v>2.54</v>
      </c>
    </row>
    <row r="472" customFormat="false" ht="15" hidden="false" customHeight="false" outlineLevel="0" collapsed="false">
      <c r="A472" s="0" t="n">
        <v>44465</v>
      </c>
      <c r="B472" s="0" t="s">
        <v>4066</v>
      </c>
      <c r="C472" s="0" t="s">
        <v>31</v>
      </c>
      <c r="D472" s="0" t="s">
        <v>3671</v>
      </c>
      <c r="E472" s="0" t="n">
        <v>3.49</v>
      </c>
    </row>
    <row r="473" customFormat="false" ht="15" hidden="false" customHeight="false" outlineLevel="0" collapsed="false">
      <c r="A473" s="0" t="n">
        <v>38783</v>
      </c>
      <c r="B473" s="0" t="s">
        <v>4067</v>
      </c>
      <c r="C473" s="0" t="s">
        <v>31</v>
      </c>
      <c r="D473" s="0" t="s">
        <v>3671</v>
      </c>
      <c r="E473" s="0" t="n">
        <v>1.22</v>
      </c>
    </row>
    <row r="474" customFormat="false" ht="15" hidden="false" customHeight="false" outlineLevel="0" collapsed="false">
      <c r="A474" s="0" t="n">
        <v>44466</v>
      </c>
      <c r="B474" s="0" t="s">
        <v>4068</v>
      </c>
      <c r="C474" s="0" t="s">
        <v>31</v>
      </c>
      <c r="D474" s="0" t="s">
        <v>3671</v>
      </c>
      <c r="E474" s="0" t="n">
        <v>2.48</v>
      </c>
    </row>
    <row r="475" customFormat="false" ht="15" hidden="false" customHeight="false" outlineLevel="0" collapsed="false">
      <c r="A475" s="0" t="n">
        <v>44467</v>
      </c>
      <c r="B475" s="0" t="s">
        <v>4069</v>
      </c>
      <c r="C475" s="0" t="s">
        <v>31</v>
      </c>
      <c r="D475" s="0" t="s">
        <v>3671</v>
      </c>
      <c r="E475" s="0" t="n">
        <v>2.99</v>
      </c>
    </row>
    <row r="476" customFormat="false" ht="15" hidden="false" customHeight="false" outlineLevel="0" collapsed="false">
      <c r="A476" s="0" t="n">
        <v>44468</v>
      </c>
      <c r="B476" s="0" t="s">
        <v>4070</v>
      </c>
      <c r="C476" s="0" t="s">
        <v>31</v>
      </c>
      <c r="D476" s="0" t="s">
        <v>3671</v>
      </c>
      <c r="E476" s="0" t="n">
        <v>2.59</v>
      </c>
    </row>
    <row r="477" customFormat="false" ht="15" hidden="false" customHeight="false" outlineLevel="0" collapsed="false">
      <c r="A477" s="0" t="n">
        <v>37593</v>
      </c>
      <c r="B477" s="0" t="s">
        <v>4071</v>
      </c>
      <c r="C477" s="0" t="s">
        <v>31</v>
      </c>
      <c r="D477" s="0" t="s">
        <v>3671</v>
      </c>
      <c r="E477" s="0" t="n">
        <v>3.34</v>
      </c>
    </row>
    <row r="478" customFormat="false" ht="15" hidden="false" customHeight="false" outlineLevel="0" collapsed="false">
      <c r="A478" s="0" t="n">
        <v>37594</v>
      </c>
      <c r="B478" s="0" t="s">
        <v>4072</v>
      </c>
      <c r="C478" s="0" t="s">
        <v>31</v>
      </c>
      <c r="D478" s="0" t="s">
        <v>3671</v>
      </c>
      <c r="E478" s="0" t="n">
        <v>3.96</v>
      </c>
    </row>
    <row r="479" customFormat="false" ht="15" hidden="false" customHeight="false" outlineLevel="0" collapsed="false">
      <c r="A479" s="0" t="n">
        <v>37592</v>
      </c>
      <c r="B479" s="0" t="s">
        <v>4073</v>
      </c>
      <c r="C479" s="0" t="s">
        <v>31</v>
      </c>
      <c r="D479" s="0" t="s">
        <v>3671</v>
      </c>
      <c r="E479" s="0" t="n">
        <v>2.64</v>
      </c>
    </row>
    <row r="480" customFormat="false" ht="15" hidden="false" customHeight="false" outlineLevel="0" collapsed="false">
      <c r="A480" s="0" t="n">
        <v>41372</v>
      </c>
      <c r="B480" s="0" t="s">
        <v>4074</v>
      </c>
      <c r="C480" s="0" t="s">
        <v>1477</v>
      </c>
      <c r="D480" s="0" t="s">
        <v>3671</v>
      </c>
    </row>
    <row r="481" customFormat="false" ht="15" hidden="false" customHeight="false" outlineLevel="0" collapsed="false">
      <c r="A481" s="0" t="n">
        <v>41371</v>
      </c>
      <c r="B481" s="0" t="s">
        <v>4075</v>
      </c>
      <c r="C481" s="0" t="s">
        <v>1477</v>
      </c>
      <c r="D481" s="0" t="s">
        <v>3671</v>
      </c>
    </row>
    <row r="482" customFormat="false" ht="15" hidden="false" customHeight="false" outlineLevel="0" collapsed="false">
      <c r="A482" s="0" t="n">
        <v>34556</v>
      </c>
      <c r="B482" s="0" t="s">
        <v>4076</v>
      </c>
      <c r="C482" s="0" t="s">
        <v>31</v>
      </c>
      <c r="D482" s="0" t="s">
        <v>3671</v>
      </c>
      <c r="E482" s="0" t="n">
        <v>4.96</v>
      </c>
    </row>
    <row r="483" customFormat="false" ht="15" hidden="false" customHeight="false" outlineLevel="0" collapsed="false">
      <c r="A483" s="0" t="n">
        <v>37873</v>
      </c>
      <c r="B483" s="0" t="s">
        <v>4077</v>
      </c>
      <c r="C483" s="0" t="s">
        <v>31</v>
      </c>
      <c r="D483" s="0" t="s">
        <v>3671</v>
      </c>
      <c r="E483" s="0" t="n">
        <v>5.05</v>
      </c>
    </row>
    <row r="484" customFormat="false" ht="15" hidden="false" customHeight="false" outlineLevel="0" collapsed="false">
      <c r="A484" s="0" t="n">
        <v>34564</v>
      </c>
      <c r="B484" s="0" t="s">
        <v>4078</v>
      </c>
      <c r="C484" s="0" t="s">
        <v>31</v>
      </c>
      <c r="D484" s="0" t="s">
        <v>3671</v>
      </c>
      <c r="E484" s="0" t="n">
        <v>5.28</v>
      </c>
    </row>
    <row r="485" customFormat="false" ht="15" hidden="false" customHeight="false" outlineLevel="0" collapsed="false">
      <c r="A485" s="0" t="n">
        <v>34565</v>
      </c>
      <c r="B485" s="0" t="s">
        <v>4079</v>
      </c>
      <c r="C485" s="0" t="s">
        <v>31</v>
      </c>
      <c r="D485" s="0" t="s">
        <v>3671</v>
      </c>
      <c r="E485" s="0" t="n">
        <v>5.59</v>
      </c>
    </row>
    <row r="486" customFormat="false" ht="15" hidden="false" customHeight="false" outlineLevel="0" collapsed="false">
      <c r="A486" s="0" t="n">
        <v>38590</v>
      </c>
      <c r="B486" s="0" t="s">
        <v>4080</v>
      </c>
      <c r="C486" s="0" t="s">
        <v>31</v>
      </c>
      <c r="D486" s="0" t="s">
        <v>3671</v>
      </c>
      <c r="E486" s="0" t="n">
        <v>4.13</v>
      </c>
    </row>
    <row r="487" customFormat="false" ht="15" hidden="false" customHeight="false" outlineLevel="0" collapsed="false">
      <c r="A487" s="0" t="n">
        <v>34566</v>
      </c>
      <c r="B487" s="0" t="s">
        <v>4081</v>
      </c>
      <c r="C487" s="0" t="s">
        <v>31</v>
      </c>
      <c r="D487" s="0" t="s">
        <v>3671</v>
      </c>
      <c r="E487" s="0" t="n">
        <v>4.34</v>
      </c>
    </row>
    <row r="488" customFormat="false" ht="15" hidden="false" customHeight="false" outlineLevel="0" collapsed="false">
      <c r="A488" s="0" t="n">
        <v>34567</v>
      </c>
      <c r="B488" s="0" t="s">
        <v>4082</v>
      </c>
      <c r="C488" s="0" t="s">
        <v>31</v>
      </c>
      <c r="D488" s="0" t="s">
        <v>3671</v>
      </c>
      <c r="E488" s="0" t="n">
        <v>4.6</v>
      </c>
    </row>
    <row r="489" customFormat="false" ht="15" hidden="false" customHeight="false" outlineLevel="0" collapsed="false">
      <c r="A489" s="0" t="n">
        <v>38591</v>
      </c>
      <c r="B489" s="0" t="s">
        <v>1743</v>
      </c>
      <c r="C489" s="0" t="s">
        <v>31</v>
      </c>
      <c r="D489" s="0" t="s">
        <v>3671</v>
      </c>
      <c r="E489" s="0" t="n">
        <v>4.17</v>
      </c>
    </row>
    <row r="490" customFormat="false" ht="15" hidden="false" customHeight="false" outlineLevel="0" collapsed="false">
      <c r="A490" s="0" t="n">
        <v>34568</v>
      </c>
      <c r="B490" s="0" t="s">
        <v>4083</v>
      </c>
      <c r="C490" s="0" t="s">
        <v>31</v>
      </c>
      <c r="D490" s="0" t="s">
        <v>3671</v>
      </c>
      <c r="E490" s="0" t="n">
        <v>5.44</v>
      </c>
    </row>
    <row r="491" customFormat="false" ht="15" hidden="false" customHeight="false" outlineLevel="0" collapsed="false">
      <c r="A491" s="0" t="n">
        <v>34569</v>
      </c>
      <c r="B491" s="0" t="s">
        <v>4084</v>
      </c>
      <c r="C491" s="0" t="s">
        <v>31</v>
      </c>
      <c r="D491" s="0" t="s">
        <v>3671</v>
      </c>
      <c r="E491" s="0" t="n">
        <v>5.59</v>
      </c>
    </row>
    <row r="492" customFormat="false" ht="15" hidden="false" customHeight="false" outlineLevel="0" collapsed="false">
      <c r="A492" s="0" t="n">
        <v>34570</v>
      </c>
      <c r="B492" s="0" t="s">
        <v>4085</v>
      </c>
      <c r="C492" s="0" t="s">
        <v>31</v>
      </c>
      <c r="D492" s="0" t="s">
        <v>3671</v>
      </c>
      <c r="E492" s="0" t="n">
        <v>6.07</v>
      </c>
    </row>
    <row r="493" customFormat="false" ht="15" hidden="false" customHeight="false" outlineLevel="0" collapsed="false">
      <c r="A493" s="0" t="n">
        <v>25070</v>
      </c>
      <c r="B493" s="0" t="s">
        <v>1744</v>
      </c>
      <c r="C493" s="0" t="s">
        <v>31</v>
      </c>
      <c r="D493" s="0" t="s">
        <v>3671</v>
      </c>
      <c r="E493" s="0" t="n">
        <v>4.57</v>
      </c>
    </row>
    <row r="494" customFormat="false" ht="15" hidden="false" customHeight="false" outlineLevel="0" collapsed="false">
      <c r="A494" s="0" t="n">
        <v>34571</v>
      </c>
      <c r="B494" s="0" t="s">
        <v>4086</v>
      </c>
      <c r="C494" s="0" t="s">
        <v>31</v>
      </c>
      <c r="D494" s="0" t="s">
        <v>3671</v>
      </c>
      <c r="E494" s="0" t="n">
        <v>4.61</v>
      </c>
    </row>
    <row r="495" customFormat="false" ht="15" hidden="false" customHeight="false" outlineLevel="0" collapsed="false">
      <c r="A495" s="0" t="n">
        <v>34573</v>
      </c>
      <c r="B495" s="0" t="s">
        <v>4087</v>
      </c>
      <c r="C495" s="0" t="s">
        <v>31</v>
      </c>
      <c r="D495" s="0" t="s">
        <v>3671</v>
      </c>
      <c r="E495" s="0" t="n">
        <v>4.85</v>
      </c>
    </row>
    <row r="496" customFormat="false" ht="15" hidden="false" customHeight="false" outlineLevel="0" collapsed="false">
      <c r="A496" s="0" t="n">
        <v>37107</v>
      </c>
      <c r="B496" s="0" t="s">
        <v>4088</v>
      </c>
      <c r="C496" s="0" t="s">
        <v>31</v>
      </c>
      <c r="D496" s="0" t="s">
        <v>3671</v>
      </c>
      <c r="E496" s="0" t="n">
        <v>6.41</v>
      </c>
    </row>
    <row r="497" customFormat="false" ht="15" hidden="false" customHeight="false" outlineLevel="0" collapsed="false">
      <c r="A497" s="0" t="n">
        <v>34576</v>
      </c>
      <c r="B497" s="0" t="s">
        <v>4089</v>
      </c>
      <c r="C497" s="0" t="s">
        <v>31</v>
      </c>
      <c r="D497" s="0" t="s">
        <v>3671</v>
      </c>
      <c r="E497" s="0" t="n">
        <v>7.07</v>
      </c>
    </row>
    <row r="498" customFormat="false" ht="15" hidden="false" customHeight="false" outlineLevel="0" collapsed="false">
      <c r="A498" s="0" t="n">
        <v>34577</v>
      </c>
      <c r="B498" s="0" t="s">
        <v>4090</v>
      </c>
      <c r="C498" s="0" t="s">
        <v>31</v>
      </c>
      <c r="D498" s="0" t="s">
        <v>3671</v>
      </c>
      <c r="E498" s="0" t="n">
        <v>7.37</v>
      </c>
    </row>
    <row r="499" customFormat="false" ht="15" hidden="false" customHeight="false" outlineLevel="0" collapsed="false">
      <c r="A499" s="0" t="n">
        <v>34578</v>
      </c>
      <c r="B499" s="0" t="s">
        <v>4091</v>
      </c>
      <c r="C499" s="0" t="s">
        <v>31</v>
      </c>
      <c r="D499" s="0" t="s">
        <v>3671</v>
      </c>
      <c r="E499" s="0" t="n">
        <v>8</v>
      </c>
    </row>
    <row r="500" customFormat="false" ht="15" hidden="false" customHeight="false" outlineLevel="0" collapsed="false">
      <c r="A500" s="0" t="n">
        <v>34579</v>
      </c>
      <c r="B500" s="0" t="s">
        <v>4092</v>
      </c>
      <c r="C500" s="0" t="s">
        <v>31</v>
      </c>
      <c r="D500" s="0" t="s">
        <v>3671</v>
      </c>
      <c r="E500" s="0" t="n">
        <v>8.53</v>
      </c>
    </row>
    <row r="501" customFormat="false" ht="15" hidden="false" customHeight="false" outlineLevel="0" collapsed="false">
      <c r="A501" s="0" t="n">
        <v>25067</v>
      </c>
      <c r="B501" s="0" t="s">
        <v>4093</v>
      </c>
      <c r="C501" s="0" t="s">
        <v>31</v>
      </c>
      <c r="D501" s="0" t="s">
        <v>3671</v>
      </c>
      <c r="E501" s="0" t="n">
        <v>5.71</v>
      </c>
    </row>
    <row r="502" customFormat="false" ht="15" hidden="false" customHeight="false" outlineLevel="0" collapsed="false">
      <c r="A502" s="0" t="n">
        <v>34580</v>
      </c>
      <c r="B502" s="0" t="s">
        <v>4094</v>
      </c>
      <c r="C502" s="0" t="s">
        <v>31</v>
      </c>
      <c r="D502" s="0" t="s">
        <v>3671</v>
      </c>
      <c r="E502" s="0" t="n">
        <v>6.37</v>
      </c>
    </row>
    <row r="503" customFormat="false" ht="15" hidden="false" customHeight="false" outlineLevel="0" collapsed="false">
      <c r="A503" s="0" t="n">
        <v>25071</v>
      </c>
      <c r="B503" s="0" t="s">
        <v>4095</v>
      </c>
      <c r="C503" s="0" t="s">
        <v>31</v>
      </c>
      <c r="D503" s="0" t="s">
        <v>3671</v>
      </c>
      <c r="E503" s="0" t="n">
        <v>3.17</v>
      </c>
    </row>
    <row r="504" customFormat="false" ht="15" hidden="false" customHeight="false" outlineLevel="0" collapsed="false">
      <c r="A504" s="0" t="n">
        <v>44171</v>
      </c>
      <c r="B504" s="0" t="s">
        <v>4096</v>
      </c>
      <c r="C504" s="0" t="s">
        <v>31</v>
      </c>
      <c r="D504" s="0" t="s">
        <v>3671</v>
      </c>
      <c r="E504" s="0" t="n">
        <v>21.49</v>
      </c>
    </row>
    <row r="505" customFormat="false" ht="15" hidden="false" customHeight="false" outlineLevel="0" collapsed="false">
      <c r="A505" s="0" t="n">
        <v>38395</v>
      </c>
      <c r="B505" s="0" t="s">
        <v>4097</v>
      </c>
      <c r="C505" s="0" t="s">
        <v>31</v>
      </c>
      <c r="D505" s="0" t="s">
        <v>3671</v>
      </c>
      <c r="E505" s="0" t="n">
        <v>9.11</v>
      </c>
    </row>
    <row r="506" customFormat="false" ht="15" hidden="false" customHeight="false" outlineLevel="0" collapsed="false">
      <c r="A506" s="0" t="n">
        <v>34583</v>
      </c>
      <c r="B506" s="0" t="s">
        <v>4098</v>
      </c>
      <c r="C506" s="0" t="s">
        <v>1477</v>
      </c>
      <c r="D506" s="0" t="s">
        <v>3671</v>
      </c>
      <c r="E506" s="0" t="n">
        <v>55.76</v>
      </c>
    </row>
    <row r="507" customFormat="false" ht="15" hidden="false" customHeight="false" outlineLevel="0" collapsed="false">
      <c r="A507" s="0" t="n">
        <v>34584</v>
      </c>
      <c r="B507" s="0" t="s">
        <v>4099</v>
      </c>
      <c r="C507" s="0" t="s">
        <v>1477</v>
      </c>
      <c r="D507" s="0" t="s">
        <v>3671</v>
      </c>
      <c r="E507" s="0" t="n">
        <v>40.89</v>
      </c>
    </row>
    <row r="508" customFormat="false" ht="15" hidden="false" customHeight="false" outlineLevel="0" collapsed="false">
      <c r="A508" s="0" t="n">
        <v>709</v>
      </c>
      <c r="B508" s="0" t="s">
        <v>4100</v>
      </c>
      <c r="C508" s="0" t="s">
        <v>1477</v>
      </c>
      <c r="D508" s="0" t="s">
        <v>3671</v>
      </c>
    </row>
    <row r="509" customFormat="false" ht="15" hidden="false" customHeight="false" outlineLevel="0" collapsed="false">
      <c r="A509" s="0" t="n">
        <v>34592</v>
      </c>
      <c r="B509" s="0" t="s">
        <v>4101</v>
      </c>
      <c r="C509" s="0" t="s">
        <v>31</v>
      </c>
      <c r="D509" s="0" t="s">
        <v>3671</v>
      </c>
      <c r="E509" s="0" t="n">
        <v>3.63</v>
      </c>
    </row>
    <row r="510" customFormat="false" ht="15" hidden="false" customHeight="false" outlineLevel="0" collapsed="false">
      <c r="A510" s="0" t="n">
        <v>34599</v>
      </c>
      <c r="B510" s="0" t="s">
        <v>4102</v>
      </c>
      <c r="C510" s="0" t="s">
        <v>31</v>
      </c>
      <c r="D510" s="0" t="s">
        <v>3671</v>
      </c>
      <c r="E510" s="0" t="n">
        <v>3.26</v>
      </c>
    </row>
    <row r="511" customFormat="false" ht="15" hidden="false" customHeight="false" outlineLevel="0" collapsed="false">
      <c r="A511" s="0" t="n">
        <v>651</v>
      </c>
      <c r="B511" s="0" t="s">
        <v>4103</v>
      </c>
      <c r="C511" s="0" t="s">
        <v>31</v>
      </c>
      <c r="D511" s="0" t="s">
        <v>3671</v>
      </c>
      <c r="E511" s="0" t="n">
        <v>4</v>
      </c>
    </row>
    <row r="512" customFormat="false" ht="15" hidden="false" customHeight="false" outlineLevel="0" collapsed="false">
      <c r="A512" s="0" t="n">
        <v>654</v>
      </c>
      <c r="B512" s="0" t="s">
        <v>4104</v>
      </c>
      <c r="C512" s="0" t="s">
        <v>31</v>
      </c>
      <c r="D512" s="0" t="s">
        <v>3671</v>
      </c>
      <c r="E512" s="0" t="n">
        <v>4.96</v>
      </c>
    </row>
    <row r="513" customFormat="false" ht="15" hidden="false" customHeight="false" outlineLevel="0" collapsed="false">
      <c r="A513" s="0" t="n">
        <v>37103</v>
      </c>
      <c r="B513" s="0" t="s">
        <v>4105</v>
      </c>
      <c r="C513" s="0" t="s">
        <v>31</v>
      </c>
      <c r="D513" s="0" t="s">
        <v>3671</v>
      </c>
      <c r="E513" s="0" t="n">
        <v>4.15</v>
      </c>
    </row>
    <row r="514" customFormat="false" ht="15" hidden="false" customHeight="false" outlineLevel="0" collapsed="false">
      <c r="A514" s="0" t="n">
        <v>34555</v>
      </c>
      <c r="B514" s="0" t="s">
        <v>4106</v>
      </c>
      <c r="C514" s="0" t="s">
        <v>31</v>
      </c>
      <c r="D514" s="0" t="s">
        <v>3671</v>
      </c>
      <c r="E514" s="0" t="n">
        <v>5.27</v>
      </c>
    </row>
    <row r="515" customFormat="false" ht="15" hidden="false" customHeight="false" outlineLevel="0" collapsed="false">
      <c r="A515" s="0" t="n">
        <v>674</v>
      </c>
      <c r="B515" s="0" t="s">
        <v>4107</v>
      </c>
      <c r="C515" s="0" t="s">
        <v>1477</v>
      </c>
      <c r="D515" s="0" t="s">
        <v>3671</v>
      </c>
    </row>
    <row r="516" customFormat="false" ht="15" hidden="false" customHeight="false" outlineLevel="0" collapsed="false">
      <c r="A516" s="0" t="n">
        <v>34600</v>
      </c>
      <c r="B516" s="0" t="s">
        <v>4108</v>
      </c>
      <c r="C516" s="0" t="s">
        <v>1477</v>
      </c>
      <c r="D516" s="0" t="s">
        <v>3676</v>
      </c>
    </row>
    <row r="517" customFormat="false" ht="15" hidden="false" customHeight="false" outlineLevel="0" collapsed="false">
      <c r="A517" s="0" t="n">
        <v>652</v>
      </c>
      <c r="B517" s="0" t="s">
        <v>4109</v>
      </c>
      <c r="C517" s="0" t="s">
        <v>1477</v>
      </c>
      <c r="D517" s="0" t="s">
        <v>3671</v>
      </c>
    </row>
    <row r="518" customFormat="false" ht="15" hidden="false" customHeight="false" outlineLevel="0" collapsed="false">
      <c r="A518" s="0" t="n">
        <v>650</v>
      </c>
      <c r="B518" s="0" t="s">
        <v>4110</v>
      </c>
      <c r="C518" s="0" t="s">
        <v>31</v>
      </c>
      <c r="D518" s="0" t="s">
        <v>3676</v>
      </c>
      <c r="E518" s="0" t="n">
        <v>3.2</v>
      </c>
    </row>
    <row r="519" customFormat="false" ht="15" hidden="false" customHeight="false" outlineLevel="0" collapsed="false">
      <c r="A519" s="0" t="n">
        <v>718</v>
      </c>
      <c r="B519" s="0" t="s">
        <v>4111</v>
      </c>
      <c r="C519" s="0" t="s">
        <v>31</v>
      </c>
      <c r="D519" s="0" t="s">
        <v>3671</v>
      </c>
    </row>
    <row r="520" customFormat="false" ht="15" hidden="false" customHeight="false" outlineLevel="0" collapsed="false">
      <c r="A520" s="0" t="n">
        <v>11981</v>
      </c>
      <c r="B520" s="0" t="s">
        <v>4112</v>
      </c>
      <c r="C520" s="0" t="s">
        <v>31</v>
      </c>
      <c r="D520" s="0" t="s">
        <v>3671</v>
      </c>
    </row>
    <row r="521" customFormat="false" ht="15" hidden="false" customHeight="false" outlineLevel="0" collapsed="false">
      <c r="A521" s="0" t="n">
        <v>34586</v>
      </c>
      <c r="B521" s="0" t="s">
        <v>4113</v>
      </c>
      <c r="C521" s="0" t="s">
        <v>31</v>
      </c>
      <c r="D521" s="0" t="s">
        <v>3671</v>
      </c>
      <c r="E521" s="0" t="n">
        <v>2.64</v>
      </c>
    </row>
    <row r="522" customFormat="false" ht="15" hidden="false" customHeight="false" outlineLevel="0" collapsed="false">
      <c r="A522" s="0" t="n">
        <v>38603</v>
      </c>
      <c r="B522" s="0" t="s">
        <v>4114</v>
      </c>
      <c r="C522" s="0" t="s">
        <v>31</v>
      </c>
      <c r="D522" s="0" t="s">
        <v>3671</v>
      </c>
      <c r="E522" s="0" t="n">
        <v>3.13</v>
      </c>
    </row>
    <row r="523" customFormat="false" ht="15" hidden="false" customHeight="false" outlineLevel="0" collapsed="false">
      <c r="A523" s="0" t="n">
        <v>34588</v>
      </c>
      <c r="B523" s="0" t="s">
        <v>4115</v>
      </c>
      <c r="C523" s="0" t="s">
        <v>31</v>
      </c>
      <c r="D523" s="0" t="s">
        <v>3671</v>
      </c>
      <c r="E523" s="0" t="n">
        <v>3.57</v>
      </c>
    </row>
    <row r="524" customFormat="false" ht="15" hidden="false" customHeight="false" outlineLevel="0" collapsed="false">
      <c r="A524" s="0" t="n">
        <v>34590</v>
      </c>
      <c r="B524" s="0" t="s">
        <v>4116</v>
      </c>
      <c r="C524" s="0" t="s">
        <v>31</v>
      </c>
      <c r="D524" s="0" t="s">
        <v>3671</v>
      </c>
      <c r="E524" s="0" t="n">
        <v>3.53</v>
      </c>
    </row>
    <row r="525" customFormat="false" ht="15" hidden="false" customHeight="false" outlineLevel="0" collapsed="false">
      <c r="A525" s="0" t="n">
        <v>34591</v>
      </c>
      <c r="B525" s="0" t="s">
        <v>4117</v>
      </c>
      <c r="C525" s="0" t="s">
        <v>31</v>
      </c>
      <c r="D525" s="0" t="s">
        <v>3671</v>
      </c>
      <c r="E525" s="0" t="n">
        <v>4.31</v>
      </c>
    </row>
    <row r="526" customFormat="false" ht="15" hidden="false" customHeight="false" outlineLevel="0" collapsed="false">
      <c r="A526" s="0" t="n">
        <v>40517</v>
      </c>
      <c r="B526" s="0" t="s">
        <v>4118</v>
      </c>
      <c r="C526" s="0" t="s">
        <v>1477</v>
      </c>
      <c r="D526" s="0" t="s">
        <v>3671</v>
      </c>
      <c r="E526" s="0" t="n">
        <v>67.07</v>
      </c>
    </row>
    <row r="527" customFormat="false" ht="15" hidden="false" customHeight="false" outlineLevel="0" collapsed="false">
      <c r="A527" s="0" t="n">
        <v>40515</v>
      </c>
      <c r="B527" s="0" t="s">
        <v>4119</v>
      </c>
      <c r="C527" s="0" t="s">
        <v>1477</v>
      </c>
      <c r="D527" s="0" t="s">
        <v>3671</v>
      </c>
      <c r="E527" s="0" t="n">
        <v>150.92</v>
      </c>
    </row>
    <row r="528" customFormat="false" ht="15" hidden="false" customHeight="false" outlineLevel="0" collapsed="false">
      <c r="A528" s="0" t="n">
        <v>40524</v>
      </c>
      <c r="B528" s="0" t="s">
        <v>4120</v>
      </c>
      <c r="C528" s="0" t="s">
        <v>1477</v>
      </c>
      <c r="D528" s="0" t="s">
        <v>3671</v>
      </c>
      <c r="E528" s="0" t="n">
        <v>94.32</v>
      </c>
    </row>
    <row r="529" customFormat="false" ht="15" hidden="false" customHeight="false" outlineLevel="0" collapsed="false">
      <c r="A529" s="0" t="n">
        <v>40529</v>
      </c>
      <c r="B529" s="0" t="s">
        <v>4121</v>
      </c>
      <c r="C529" s="0" t="s">
        <v>1477</v>
      </c>
      <c r="D529" s="0" t="s">
        <v>3671</v>
      </c>
      <c r="E529" s="0" t="n">
        <v>96.42</v>
      </c>
    </row>
    <row r="530" customFormat="false" ht="15" hidden="false" customHeight="false" outlineLevel="0" collapsed="false">
      <c r="A530" s="0" t="n">
        <v>36156</v>
      </c>
      <c r="B530" s="0" t="s">
        <v>4122</v>
      </c>
      <c r="C530" s="0" t="s">
        <v>1477</v>
      </c>
      <c r="D530" s="0" t="s">
        <v>3671</v>
      </c>
      <c r="E530" s="0" t="n">
        <v>73.36</v>
      </c>
    </row>
    <row r="531" customFormat="false" ht="15" hidden="false" customHeight="false" outlineLevel="0" collapsed="false">
      <c r="A531" s="0" t="n">
        <v>36155</v>
      </c>
      <c r="B531" s="0" t="s">
        <v>4123</v>
      </c>
      <c r="C531" s="0" t="s">
        <v>1477</v>
      </c>
      <c r="D531" s="0" t="s">
        <v>3671</v>
      </c>
      <c r="E531" s="0" t="n">
        <v>63.33</v>
      </c>
    </row>
    <row r="532" customFormat="false" ht="15" hidden="false" customHeight="false" outlineLevel="0" collapsed="false">
      <c r="A532" s="0" t="n">
        <v>36154</v>
      </c>
      <c r="B532" s="0" t="s">
        <v>4124</v>
      </c>
      <c r="C532" s="0" t="s">
        <v>1477</v>
      </c>
      <c r="D532" s="0" t="s">
        <v>3671</v>
      </c>
      <c r="E532" s="0" t="n">
        <v>88.03</v>
      </c>
    </row>
    <row r="533" customFormat="false" ht="15" hidden="false" customHeight="false" outlineLevel="0" collapsed="false">
      <c r="A533" s="0" t="n">
        <v>36170</v>
      </c>
      <c r="B533" s="0" t="s">
        <v>1952</v>
      </c>
      <c r="C533" s="0" t="s">
        <v>1477</v>
      </c>
      <c r="D533" s="0" t="s">
        <v>3676</v>
      </c>
      <c r="E533" s="0" t="n">
        <v>80</v>
      </c>
    </row>
    <row r="534" customFormat="false" ht="15" hidden="false" customHeight="false" outlineLevel="0" collapsed="false">
      <c r="A534" s="0" t="n">
        <v>695</v>
      </c>
      <c r="B534" s="0" t="s">
        <v>4125</v>
      </c>
      <c r="C534" s="0" t="s">
        <v>1477</v>
      </c>
      <c r="D534" s="0" t="s">
        <v>3671</v>
      </c>
      <c r="E534" s="0" t="n">
        <v>64.66</v>
      </c>
    </row>
    <row r="535" customFormat="false" ht="15" hidden="false" customHeight="false" outlineLevel="0" collapsed="false">
      <c r="A535" s="0" t="n">
        <v>679</v>
      </c>
      <c r="B535" s="0" t="s">
        <v>4126</v>
      </c>
      <c r="C535" s="0" t="s">
        <v>1477</v>
      </c>
      <c r="D535" s="0" t="s">
        <v>3671</v>
      </c>
      <c r="E535" s="0" t="n">
        <v>96.42</v>
      </c>
    </row>
    <row r="536" customFormat="false" ht="15" hidden="false" customHeight="false" outlineLevel="0" collapsed="false">
      <c r="A536" s="0" t="n">
        <v>711</v>
      </c>
      <c r="B536" s="0" t="s">
        <v>4127</v>
      </c>
      <c r="C536" s="0" t="s">
        <v>1477</v>
      </c>
      <c r="D536" s="0" t="s">
        <v>3671</v>
      </c>
      <c r="E536" s="0" t="n">
        <v>63.78</v>
      </c>
    </row>
    <row r="537" customFormat="false" ht="15" hidden="false" customHeight="false" outlineLevel="0" collapsed="false">
      <c r="A537" s="0" t="n">
        <v>712</v>
      </c>
      <c r="B537" s="0" t="s">
        <v>4128</v>
      </c>
      <c r="C537" s="0" t="s">
        <v>1477</v>
      </c>
      <c r="D537" s="0" t="s">
        <v>3671</v>
      </c>
      <c r="E537" s="0" t="n">
        <v>80.34</v>
      </c>
    </row>
    <row r="538" customFormat="false" ht="15" hidden="false" customHeight="false" outlineLevel="0" collapsed="false">
      <c r="A538" s="0" t="n">
        <v>12614</v>
      </c>
      <c r="B538" s="0" t="s">
        <v>4129</v>
      </c>
      <c r="C538" s="0" t="s">
        <v>31</v>
      </c>
      <c r="D538" s="0" t="s">
        <v>3671</v>
      </c>
      <c r="E538" s="0" t="n">
        <v>57.35</v>
      </c>
    </row>
    <row r="539" customFormat="false" ht="15" hidden="false" customHeight="false" outlineLevel="0" collapsed="false">
      <c r="A539" s="0" t="n">
        <v>6140</v>
      </c>
      <c r="B539" s="0" t="s">
        <v>2021</v>
      </c>
      <c r="C539" s="0" t="s">
        <v>31</v>
      </c>
      <c r="D539" s="0" t="s">
        <v>3671</v>
      </c>
      <c r="E539" s="0" t="n">
        <v>4.34</v>
      </c>
    </row>
    <row r="540" customFormat="false" ht="15" hidden="false" customHeight="false" outlineLevel="0" collapsed="false">
      <c r="A540" s="0" t="n">
        <v>38399</v>
      </c>
      <c r="B540" s="0" t="s">
        <v>4130</v>
      </c>
      <c r="C540" s="0" t="s">
        <v>31</v>
      </c>
      <c r="D540" s="0" t="s">
        <v>3671</v>
      </c>
      <c r="E540" s="0" t="n">
        <v>282.05</v>
      </c>
    </row>
    <row r="541" customFormat="false" ht="15" hidden="false" customHeight="false" outlineLevel="0" collapsed="false">
      <c r="A541" s="0" t="n">
        <v>729</v>
      </c>
      <c r="B541" s="0" t="s">
        <v>4131</v>
      </c>
      <c r="C541" s="0" t="s">
        <v>31</v>
      </c>
      <c r="D541" s="0" t="s">
        <v>3676</v>
      </c>
      <c r="E541" s="0" t="n">
        <v>775</v>
      </c>
    </row>
    <row r="542" customFormat="false" ht="15" hidden="false" customHeight="false" outlineLevel="0" collapsed="false">
      <c r="A542" s="0" t="n">
        <v>39925</v>
      </c>
      <c r="B542" s="0" t="s">
        <v>4132</v>
      </c>
      <c r="C542" s="0" t="s">
        <v>31</v>
      </c>
      <c r="D542" s="0" t="s">
        <v>3671</v>
      </c>
      <c r="E542" s="0" t="n">
        <v>11198.68</v>
      </c>
    </row>
    <row r="543" customFormat="false" ht="15" hidden="false" customHeight="false" outlineLevel="0" collapsed="false">
      <c r="A543" s="0" t="n">
        <v>731</v>
      </c>
      <c r="B543" s="0" t="s">
        <v>4133</v>
      </c>
      <c r="C543" s="0" t="s">
        <v>31</v>
      </c>
      <c r="D543" s="0" t="s">
        <v>3671</v>
      </c>
      <c r="E543" s="0" t="n">
        <v>754.26</v>
      </c>
    </row>
    <row r="544" customFormat="false" ht="15" hidden="false" customHeight="false" outlineLevel="0" collapsed="false">
      <c r="A544" s="0" t="n">
        <v>10575</v>
      </c>
      <c r="B544" s="0" t="s">
        <v>4134</v>
      </c>
      <c r="C544" s="0" t="s">
        <v>31</v>
      </c>
      <c r="D544" s="0" t="s">
        <v>3671</v>
      </c>
      <c r="E544" s="0" t="n">
        <v>1177.09</v>
      </c>
    </row>
    <row r="545" customFormat="false" ht="15" hidden="false" customHeight="false" outlineLevel="0" collapsed="false">
      <c r="A545" s="0" t="n">
        <v>733</v>
      </c>
      <c r="B545" s="0" t="s">
        <v>4135</v>
      </c>
      <c r="C545" s="0" t="s">
        <v>31</v>
      </c>
      <c r="D545" s="0" t="s">
        <v>3671</v>
      </c>
      <c r="E545" s="0" t="n">
        <v>1288.77</v>
      </c>
    </row>
    <row r="546" customFormat="false" ht="15" hidden="false" customHeight="false" outlineLevel="0" collapsed="false">
      <c r="A546" s="0" t="n">
        <v>732</v>
      </c>
      <c r="B546" s="0" t="s">
        <v>4136</v>
      </c>
      <c r="C546" s="0" t="s">
        <v>31</v>
      </c>
      <c r="D546" s="0" t="s">
        <v>3671</v>
      </c>
      <c r="E546" s="0" t="n">
        <v>1271.44</v>
      </c>
    </row>
    <row r="547" customFormat="false" ht="15" hidden="false" customHeight="false" outlineLevel="0" collapsed="false">
      <c r="A547" s="0" t="n">
        <v>735</v>
      </c>
      <c r="B547" s="0" t="s">
        <v>4137</v>
      </c>
      <c r="C547" s="0" t="s">
        <v>31</v>
      </c>
      <c r="D547" s="0" t="s">
        <v>3671</v>
      </c>
      <c r="E547" s="0" t="n">
        <v>2261.83</v>
      </c>
    </row>
    <row r="548" customFormat="false" ht="15" hidden="false" customHeight="false" outlineLevel="0" collapsed="false">
      <c r="A548" s="0" t="n">
        <v>737</v>
      </c>
      <c r="B548" s="0" t="s">
        <v>4138</v>
      </c>
      <c r="C548" s="0" t="s">
        <v>31</v>
      </c>
      <c r="D548" s="0" t="s">
        <v>3671</v>
      </c>
      <c r="E548" s="0" t="n">
        <v>7129.87</v>
      </c>
    </row>
    <row r="549" customFormat="false" ht="15" hidden="false" customHeight="false" outlineLevel="0" collapsed="false">
      <c r="A549" s="0" t="n">
        <v>736</v>
      </c>
      <c r="B549" s="0" t="s">
        <v>4139</v>
      </c>
      <c r="C549" s="0" t="s">
        <v>31</v>
      </c>
      <c r="D549" s="0" t="s">
        <v>3671</v>
      </c>
      <c r="E549" s="0" t="n">
        <v>1901.79</v>
      </c>
    </row>
    <row r="550" customFormat="false" ht="15" hidden="false" customHeight="false" outlineLevel="0" collapsed="false">
      <c r="A550" s="0" t="n">
        <v>738</v>
      </c>
      <c r="B550" s="0" t="s">
        <v>4140</v>
      </c>
      <c r="C550" s="0" t="s">
        <v>31</v>
      </c>
      <c r="D550" s="0" t="s">
        <v>3671</v>
      </c>
      <c r="E550" s="0" t="n">
        <v>3306.07</v>
      </c>
    </row>
    <row r="551" customFormat="false" ht="15" hidden="false" customHeight="false" outlineLevel="0" collapsed="false">
      <c r="A551" s="0" t="n">
        <v>740</v>
      </c>
      <c r="B551" s="0" t="s">
        <v>4141</v>
      </c>
      <c r="C551" s="0" t="s">
        <v>31</v>
      </c>
      <c r="D551" s="0" t="s">
        <v>3671</v>
      </c>
      <c r="E551" s="0" t="n">
        <v>6707.33</v>
      </c>
    </row>
    <row r="552" customFormat="false" ht="15" hidden="false" customHeight="false" outlineLevel="0" collapsed="false">
      <c r="A552" s="0" t="n">
        <v>734</v>
      </c>
      <c r="B552" s="0" t="s">
        <v>4142</v>
      </c>
      <c r="C552" s="0" t="s">
        <v>31</v>
      </c>
      <c r="D552" s="0" t="s">
        <v>3671</v>
      </c>
      <c r="E552" s="0" t="n">
        <v>1362.98</v>
      </c>
    </row>
    <row r="553" customFormat="false" ht="15" hidden="false" customHeight="false" outlineLevel="0" collapsed="false">
      <c r="A553" s="0" t="n">
        <v>39008</v>
      </c>
      <c r="B553" s="0" t="s">
        <v>4143</v>
      </c>
      <c r="C553" s="0" t="s">
        <v>31</v>
      </c>
      <c r="D553" s="0" t="s">
        <v>3671</v>
      </c>
      <c r="E553" s="0" t="n">
        <v>57282.24</v>
      </c>
    </row>
    <row r="554" customFormat="false" ht="15" hidden="false" customHeight="false" outlineLevel="0" collapsed="false">
      <c r="A554" s="0" t="n">
        <v>39009</v>
      </c>
      <c r="B554" s="0" t="s">
        <v>4144</v>
      </c>
      <c r="C554" s="0" t="s">
        <v>31</v>
      </c>
      <c r="D554" s="0" t="s">
        <v>3671</v>
      </c>
      <c r="E554" s="0" t="n">
        <v>61370.82</v>
      </c>
    </row>
    <row r="555" customFormat="false" ht="15" hidden="false" customHeight="false" outlineLevel="0" collapsed="false">
      <c r="A555" s="0" t="n">
        <v>10587</v>
      </c>
      <c r="B555" s="0" t="s">
        <v>4145</v>
      </c>
      <c r="C555" s="0" t="s">
        <v>31</v>
      </c>
      <c r="D555" s="0" t="s">
        <v>3671</v>
      </c>
      <c r="E555" s="0" t="n">
        <v>4292.94</v>
      </c>
    </row>
    <row r="556" customFormat="false" ht="15" hidden="false" customHeight="false" outlineLevel="0" collapsed="false">
      <c r="A556" s="0" t="n">
        <v>759</v>
      </c>
      <c r="B556" s="0" t="s">
        <v>4146</v>
      </c>
      <c r="C556" s="0" t="s">
        <v>31</v>
      </c>
      <c r="D556" s="0" t="s">
        <v>3671</v>
      </c>
      <c r="E556" s="0" t="n">
        <v>6172.4</v>
      </c>
    </row>
    <row r="557" customFormat="false" ht="15" hidden="false" customHeight="false" outlineLevel="0" collapsed="false">
      <c r="A557" s="0" t="n">
        <v>761</v>
      </c>
      <c r="B557" s="0" t="s">
        <v>4147</v>
      </c>
      <c r="C557" s="0" t="s">
        <v>31</v>
      </c>
      <c r="D557" s="0" t="s">
        <v>3671</v>
      </c>
      <c r="E557" s="0" t="n">
        <v>10462.73</v>
      </c>
    </row>
    <row r="558" customFormat="false" ht="15" hidden="false" customHeight="false" outlineLevel="0" collapsed="false">
      <c r="A558" s="0" t="n">
        <v>750</v>
      </c>
      <c r="B558" s="0" t="s">
        <v>4148</v>
      </c>
      <c r="C558" s="0" t="s">
        <v>31</v>
      </c>
      <c r="D558" s="0" t="s">
        <v>3671</v>
      </c>
      <c r="E558" s="0" t="n">
        <v>9933.53</v>
      </c>
    </row>
    <row r="559" customFormat="false" ht="15" hidden="false" customHeight="false" outlineLevel="0" collapsed="false">
      <c r="A559" s="0" t="n">
        <v>755</v>
      </c>
      <c r="B559" s="0" t="s">
        <v>4149</v>
      </c>
      <c r="C559" s="0" t="s">
        <v>31</v>
      </c>
      <c r="D559" s="0" t="s">
        <v>3671</v>
      </c>
      <c r="E559" s="0" t="n">
        <v>40762.39</v>
      </c>
    </row>
    <row r="560" customFormat="false" ht="15" hidden="false" customHeight="false" outlineLevel="0" collapsed="false">
      <c r="A560" s="0" t="n">
        <v>749</v>
      </c>
      <c r="B560" s="0" t="s">
        <v>4150</v>
      </c>
      <c r="C560" s="0" t="s">
        <v>31</v>
      </c>
      <c r="D560" s="0" t="s">
        <v>3671</v>
      </c>
      <c r="E560" s="0" t="n">
        <v>14991.65</v>
      </c>
    </row>
    <row r="561" customFormat="false" ht="15" hidden="false" customHeight="false" outlineLevel="0" collapsed="false">
      <c r="A561" s="0" t="n">
        <v>756</v>
      </c>
      <c r="B561" s="0" t="s">
        <v>4151</v>
      </c>
      <c r="C561" s="0" t="s">
        <v>31</v>
      </c>
      <c r="D561" s="0" t="s">
        <v>3671</v>
      </c>
      <c r="E561" s="0" t="n">
        <v>44456.85</v>
      </c>
    </row>
    <row r="562" customFormat="false" ht="15" hidden="false" customHeight="false" outlineLevel="0" collapsed="false">
      <c r="A562" s="0" t="n">
        <v>10588</v>
      </c>
      <c r="B562" s="0" t="s">
        <v>4152</v>
      </c>
      <c r="C562" s="0" t="s">
        <v>31</v>
      </c>
      <c r="D562" s="0" t="s">
        <v>3671</v>
      </c>
      <c r="E562" s="0" t="n">
        <v>4456.61</v>
      </c>
    </row>
    <row r="563" customFormat="false" ht="15" hidden="false" customHeight="false" outlineLevel="0" collapsed="false">
      <c r="A563" s="0" t="n">
        <v>10592</v>
      </c>
      <c r="B563" s="0" t="s">
        <v>4153</v>
      </c>
      <c r="C563" s="0" t="s">
        <v>31</v>
      </c>
      <c r="D563" s="0" t="s">
        <v>3676</v>
      </c>
      <c r="E563" s="0" t="n">
        <v>5383</v>
      </c>
    </row>
    <row r="564" customFormat="false" ht="15" hidden="false" customHeight="false" outlineLevel="0" collapsed="false">
      <c r="A564" s="0" t="n">
        <v>10589</v>
      </c>
      <c r="B564" s="0" t="s">
        <v>4154</v>
      </c>
      <c r="C564" s="0" t="s">
        <v>31</v>
      </c>
      <c r="D564" s="0" t="s">
        <v>3671</v>
      </c>
      <c r="E564" s="0" t="n">
        <v>7231.72</v>
      </c>
    </row>
    <row r="565" customFormat="false" ht="15" hidden="false" customHeight="false" outlineLevel="0" collapsed="false">
      <c r="A565" s="0" t="n">
        <v>760</v>
      </c>
      <c r="B565" s="0" t="s">
        <v>4155</v>
      </c>
      <c r="C565" s="0" t="s">
        <v>31</v>
      </c>
      <c r="D565" s="0" t="s">
        <v>3671</v>
      </c>
      <c r="E565" s="0" t="n">
        <v>40372.5</v>
      </c>
    </row>
    <row r="566" customFormat="false" ht="15" hidden="false" customHeight="false" outlineLevel="0" collapsed="false">
      <c r="A566" s="0" t="n">
        <v>751</v>
      </c>
      <c r="B566" s="0" t="s">
        <v>4156</v>
      </c>
      <c r="C566" s="0" t="s">
        <v>31</v>
      </c>
      <c r="D566" s="0" t="s">
        <v>3671</v>
      </c>
      <c r="E566" s="0" t="n">
        <v>6358.66</v>
      </c>
    </row>
    <row r="567" customFormat="false" ht="15" hidden="false" customHeight="false" outlineLevel="0" collapsed="false">
      <c r="A567" s="0" t="n">
        <v>754</v>
      </c>
      <c r="B567" s="0" t="s">
        <v>4157</v>
      </c>
      <c r="C567" s="0" t="s">
        <v>31</v>
      </c>
      <c r="D567" s="0" t="s">
        <v>3671</v>
      </c>
      <c r="E567" s="0" t="n">
        <v>10093.12</v>
      </c>
    </row>
    <row r="568" customFormat="false" ht="15" hidden="false" customHeight="false" outlineLevel="0" collapsed="false">
      <c r="A568" s="0" t="n">
        <v>757</v>
      </c>
      <c r="B568" s="0" t="s">
        <v>4158</v>
      </c>
      <c r="C568" s="0" t="s">
        <v>31</v>
      </c>
      <c r="D568" s="0" t="s">
        <v>3671</v>
      </c>
      <c r="E568" s="0" t="n">
        <v>20186.25</v>
      </c>
    </row>
    <row r="569" customFormat="false" ht="15" hidden="false" customHeight="false" outlineLevel="0" collapsed="false">
      <c r="A569" s="0" t="n">
        <v>44489</v>
      </c>
      <c r="B569" s="0" t="s">
        <v>4159</v>
      </c>
      <c r="C569" s="0" t="s">
        <v>31</v>
      </c>
      <c r="D569" s="0" t="s">
        <v>3671</v>
      </c>
      <c r="E569" s="0" t="n">
        <v>192664.65</v>
      </c>
    </row>
    <row r="570" customFormat="false" ht="15" hidden="false" customHeight="false" outlineLevel="0" collapsed="false">
      <c r="A570" s="0" t="n">
        <v>39917</v>
      </c>
      <c r="B570" s="0" t="s">
        <v>4160</v>
      </c>
      <c r="C570" s="0" t="s">
        <v>31</v>
      </c>
      <c r="D570" s="0" t="s">
        <v>3671</v>
      </c>
      <c r="E570" s="0" t="n">
        <v>87989.66</v>
      </c>
    </row>
    <row r="571" customFormat="false" ht="15" hidden="false" customHeight="false" outlineLevel="0" collapsed="false">
      <c r="A571" s="0" t="n">
        <v>38167</v>
      </c>
      <c r="B571" s="0" t="s">
        <v>4161</v>
      </c>
      <c r="C571" s="0" t="s">
        <v>1568</v>
      </c>
      <c r="D571" s="0" t="s">
        <v>3671</v>
      </c>
      <c r="E571" s="0" t="n">
        <v>31.4</v>
      </c>
    </row>
    <row r="572" customFormat="false" ht="15" hidden="false" customHeight="false" outlineLevel="0" collapsed="false">
      <c r="A572" s="0" t="n">
        <v>36145</v>
      </c>
      <c r="B572" s="0" t="s">
        <v>4162</v>
      </c>
      <c r="C572" s="0" t="s">
        <v>1568</v>
      </c>
      <c r="D572" s="0" t="s">
        <v>3671</v>
      </c>
      <c r="E572" s="0" t="n">
        <v>37.69</v>
      </c>
    </row>
    <row r="573" customFormat="false" ht="15" hidden="false" customHeight="false" outlineLevel="0" collapsed="false">
      <c r="A573" s="0" t="n">
        <v>12893</v>
      </c>
      <c r="B573" s="0" t="s">
        <v>4163</v>
      </c>
      <c r="C573" s="0" t="s">
        <v>1568</v>
      </c>
      <c r="D573" s="0" t="s">
        <v>3671</v>
      </c>
      <c r="E573" s="0" t="n">
        <v>62.83</v>
      </c>
    </row>
    <row r="574" customFormat="false" ht="15" hidden="false" customHeight="false" outlineLevel="0" collapsed="false">
      <c r="A574" s="0" t="n">
        <v>11685</v>
      </c>
      <c r="B574" s="0" t="s">
        <v>4164</v>
      </c>
      <c r="C574" s="0" t="s">
        <v>31</v>
      </c>
      <c r="D574" s="0" t="s">
        <v>3671</v>
      </c>
      <c r="E574" s="0" t="n">
        <v>33.54</v>
      </c>
    </row>
    <row r="575" customFormat="false" ht="15" hidden="false" customHeight="false" outlineLevel="0" collapsed="false">
      <c r="A575" s="0" t="n">
        <v>11680</v>
      </c>
      <c r="B575" s="0" t="s">
        <v>4165</v>
      </c>
      <c r="C575" s="0" t="s">
        <v>31</v>
      </c>
      <c r="D575" s="0" t="s">
        <v>3671</v>
      </c>
      <c r="E575" s="0" t="n">
        <v>18.76</v>
      </c>
    </row>
    <row r="576" customFormat="false" ht="15" hidden="false" customHeight="false" outlineLevel="0" collapsed="false">
      <c r="A576" s="0" t="n">
        <v>11679</v>
      </c>
      <c r="B576" s="0" t="s">
        <v>4166</v>
      </c>
      <c r="C576" s="0" t="s">
        <v>31</v>
      </c>
      <c r="D576" s="0" t="s">
        <v>3671</v>
      </c>
      <c r="E576" s="0" t="n">
        <v>25.44</v>
      </c>
    </row>
    <row r="577" customFormat="false" ht="15" hidden="false" customHeight="false" outlineLevel="0" collapsed="false">
      <c r="A577" s="0" t="n">
        <v>2512</v>
      </c>
      <c r="B577" s="0" t="s">
        <v>4167</v>
      </c>
      <c r="C577" s="0" t="s">
        <v>31</v>
      </c>
      <c r="D577" s="0" t="s">
        <v>3671</v>
      </c>
    </row>
    <row r="578" customFormat="false" ht="15" hidden="false" customHeight="false" outlineLevel="0" collapsed="false">
      <c r="A578" s="0" t="n">
        <v>4374</v>
      </c>
      <c r="B578" s="0" t="s">
        <v>2781</v>
      </c>
      <c r="C578" s="0" t="s">
        <v>31</v>
      </c>
      <c r="D578" s="0" t="s">
        <v>3671</v>
      </c>
      <c r="E578" s="0" t="n">
        <v>0.48</v>
      </c>
    </row>
    <row r="579" customFormat="false" ht="15" hidden="false" customHeight="false" outlineLevel="0" collapsed="false">
      <c r="A579" s="0" t="n">
        <v>7568</v>
      </c>
      <c r="B579" s="0" t="s">
        <v>1815</v>
      </c>
      <c r="C579" s="0" t="s">
        <v>31</v>
      </c>
      <c r="D579" s="0" t="s">
        <v>3671</v>
      </c>
      <c r="E579" s="0" t="n">
        <v>0.79</v>
      </c>
    </row>
    <row r="580" customFormat="false" ht="15" hidden="false" customHeight="false" outlineLevel="0" collapsed="false">
      <c r="A580" s="0" t="n">
        <v>7584</v>
      </c>
      <c r="B580" s="0" t="s">
        <v>4168</v>
      </c>
      <c r="C580" s="0" t="s">
        <v>31</v>
      </c>
      <c r="D580" s="0" t="s">
        <v>3671</v>
      </c>
      <c r="E580" s="0" t="n">
        <v>1.21</v>
      </c>
    </row>
    <row r="581" customFormat="false" ht="15" hidden="false" customHeight="false" outlineLevel="0" collapsed="false">
      <c r="A581" s="0" t="n">
        <v>11945</v>
      </c>
      <c r="B581" s="0" t="s">
        <v>4169</v>
      </c>
      <c r="C581" s="0" t="s">
        <v>31</v>
      </c>
      <c r="D581" s="0" t="s">
        <v>3671</v>
      </c>
      <c r="E581" s="0" t="n">
        <v>0.07</v>
      </c>
    </row>
    <row r="582" customFormat="false" ht="15" hidden="false" customHeight="false" outlineLevel="0" collapsed="false">
      <c r="A582" s="0" t="n">
        <v>11946</v>
      </c>
      <c r="B582" s="0" t="s">
        <v>4170</v>
      </c>
      <c r="C582" s="0" t="s">
        <v>31</v>
      </c>
      <c r="D582" s="0" t="s">
        <v>3671</v>
      </c>
      <c r="E582" s="0" t="n">
        <v>0.09</v>
      </c>
    </row>
    <row r="583" customFormat="false" ht="15" hidden="false" customHeight="false" outlineLevel="0" collapsed="false">
      <c r="A583" s="0" t="n">
        <v>4375</v>
      </c>
      <c r="B583" s="0" t="s">
        <v>2043</v>
      </c>
      <c r="C583" s="0" t="s">
        <v>31</v>
      </c>
      <c r="D583" s="0" t="s">
        <v>3676</v>
      </c>
      <c r="E583" s="0" t="n">
        <v>0.13</v>
      </c>
    </row>
    <row r="584" customFormat="false" ht="15" hidden="false" customHeight="false" outlineLevel="0" collapsed="false">
      <c r="A584" s="0" t="n">
        <v>11950</v>
      </c>
      <c r="B584" s="0" t="s">
        <v>1774</v>
      </c>
      <c r="C584" s="0" t="s">
        <v>31</v>
      </c>
      <c r="D584" s="0" t="s">
        <v>3671</v>
      </c>
      <c r="E584" s="0" t="n">
        <v>0.26</v>
      </c>
    </row>
    <row r="585" customFormat="false" ht="15" hidden="false" customHeight="false" outlineLevel="0" collapsed="false">
      <c r="A585" s="0" t="n">
        <v>4376</v>
      </c>
      <c r="B585" s="0" t="s">
        <v>4171</v>
      </c>
      <c r="C585" s="0" t="s">
        <v>31</v>
      </c>
      <c r="D585" s="0" t="s">
        <v>3671</v>
      </c>
      <c r="E585" s="0" t="n">
        <v>0.25</v>
      </c>
    </row>
    <row r="586" customFormat="false" ht="15" hidden="false" customHeight="false" outlineLevel="0" collapsed="false">
      <c r="A586" s="0" t="n">
        <v>7583</v>
      </c>
      <c r="B586" s="0" t="s">
        <v>2603</v>
      </c>
      <c r="C586" s="0" t="s">
        <v>31</v>
      </c>
      <c r="D586" s="0" t="s">
        <v>3671</v>
      </c>
      <c r="E586" s="0" t="n">
        <v>0.54</v>
      </c>
    </row>
    <row r="587" customFormat="false" ht="15" hidden="false" customHeight="false" outlineLevel="0" collapsed="false">
      <c r="A587" s="0" t="n">
        <v>4350</v>
      </c>
      <c r="B587" s="0" t="s">
        <v>2668</v>
      </c>
      <c r="C587" s="0" t="s">
        <v>31</v>
      </c>
      <c r="D587" s="0" t="s">
        <v>3671</v>
      </c>
    </row>
    <row r="588" customFormat="false" ht="15" hidden="false" customHeight="false" outlineLevel="0" collapsed="false">
      <c r="A588" s="0" t="n">
        <v>44400</v>
      </c>
      <c r="B588" s="0" t="s">
        <v>4172</v>
      </c>
      <c r="C588" s="0" t="s">
        <v>31</v>
      </c>
      <c r="D588" s="0" t="s">
        <v>3671</v>
      </c>
      <c r="E588" s="0" t="n">
        <v>30.24</v>
      </c>
    </row>
    <row r="589" customFormat="false" ht="15" hidden="false" customHeight="false" outlineLevel="0" collapsed="false">
      <c r="A589" s="0" t="n">
        <v>39886</v>
      </c>
      <c r="B589" s="0" t="s">
        <v>4173</v>
      </c>
      <c r="C589" s="0" t="s">
        <v>31</v>
      </c>
      <c r="D589" s="0" t="s">
        <v>3671</v>
      </c>
    </row>
    <row r="590" customFormat="false" ht="15" hidden="false" customHeight="false" outlineLevel="0" collapsed="false">
      <c r="A590" s="0" t="n">
        <v>39887</v>
      </c>
      <c r="B590" s="0" t="s">
        <v>4174</v>
      </c>
      <c r="C590" s="0" t="s">
        <v>31</v>
      </c>
      <c r="D590" s="0" t="s">
        <v>3671</v>
      </c>
    </row>
    <row r="591" customFormat="false" ht="15" hidden="false" customHeight="false" outlineLevel="0" collapsed="false">
      <c r="A591" s="0" t="n">
        <v>39888</v>
      </c>
      <c r="B591" s="0" t="s">
        <v>4175</v>
      </c>
      <c r="C591" s="0" t="s">
        <v>31</v>
      </c>
      <c r="D591" s="0" t="s">
        <v>3671</v>
      </c>
    </row>
    <row r="592" customFormat="false" ht="15" hidden="false" customHeight="false" outlineLevel="0" collapsed="false">
      <c r="A592" s="0" t="n">
        <v>39890</v>
      </c>
      <c r="B592" s="0" t="s">
        <v>4176</v>
      </c>
      <c r="C592" s="0" t="s">
        <v>31</v>
      </c>
      <c r="D592" s="0" t="s">
        <v>3671</v>
      </c>
    </row>
    <row r="593" customFormat="false" ht="15" hidden="false" customHeight="false" outlineLevel="0" collapsed="false">
      <c r="A593" s="0" t="n">
        <v>39891</v>
      </c>
      <c r="B593" s="0" t="s">
        <v>4177</v>
      </c>
      <c r="C593" s="0" t="s">
        <v>31</v>
      </c>
      <c r="D593" s="0" t="s">
        <v>3671</v>
      </c>
    </row>
    <row r="594" customFormat="false" ht="15" hidden="false" customHeight="false" outlineLevel="0" collapsed="false">
      <c r="A594" s="0" t="n">
        <v>39892</v>
      </c>
      <c r="B594" s="0" t="s">
        <v>4178</v>
      </c>
      <c r="C594" s="0" t="s">
        <v>31</v>
      </c>
      <c r="D594" s="0" t="s">
        <v>3671</v>
      </c>
    </row>
    <row r="595" customFormat="false" ht="15" hidden="false" customHeight="false" outlineLevel="0" collapsed="false">
      <c r="A595" s="0" t="n">
        <v>790</v>
      </c>
      <c r="B595" s="0" t="s">
        <v>4179</v>
      </c>
      <c r="C595" s="0" t="s">
        <v>31</v>
      </c>
      <c r="D595" s="0" t="s">
        <v>3671</v>
      </c>
    </row>
    <row r="596" customFormat="false" ht="15" hidden="false" customHeight="false" outlineLevel="0" collapsed="false">
      <c r="A596" s="0" t="n">
        <v>791</v>
      </c>
      <c r="B596" s="0" t="s">
        <v>4180</v>
      </c>
      <c r="C596" s="0" t="s">
        <v>31</v>
      </c>
      <c r="D596" s="0" t="s">
        <v>3671</v>
      </c>
    </row>
    <row r="597" customFormat="false" ht="15" hidden="false" customHeight="false" outlineLevel="0" collapsed="false">
      <c r="A597" s="0" t="n">
        <v>766</v>
      </c>
      <c r="B597" s="0" t="s">
        <v>4181</v>
      </c>
      <c r="C597" s="0" t="s">
        <v>31</v>
      </c>
      <c r="D597" s="0" t="s">
        <v>3671</v>
      </c>
    </row>
    <row r="598" customFormat="false" ht="15" hidden="false" customHeight="false" outlineLevel="0" collapsed="false">
      <c r="A598" s="0" t="n">
        <v>767</v>
      </c>
      <c r="B598" s="0" t="s">
        <v>4182</v>
      </c>
      <c r="C598" s="0" t="s">
        <v>31</v>
      </c>
      <c r="D598" s="0" t="s">
        <v>3671</v>
      </c>
    </row>
    <row r="599" customFormat="false" ht="15" hidden="false" customHeight="false" outlineLevel="0" collapsed="false">
      <c r="A599" s="0" t="n">
        <v>789</v>
      </c>
      <c r="B599" s="0" t="s">
        <v>4183</v>
      </c>
      <c r="C599" s="0" t="s">
        <v>31</v>
      </c>
      <c r="D599" s="0" t="s">
        <v>3671</v>
      </c>
    </row>
    <row r="600" customFormat="false" ht="15" hidden="false" customHeight="false" outlineLevel="0" collapsed="false">
      <c r="A600" s="0" t="n">
        <v>768</v>
      </c>
      <c r="B600" s="0" t="s">
        <v>4184</v>
      </c>
      <c r="C600" s="0" t="s">
        <v>31</v>
      </c>
      <c r="D600" s="0" t="s">
        <v>3671</v>
      </c>
    </row>
    <row r="601" customFormat="false" ht="15" hidden="false" customHeight="false" outlineLevel="0" collapsed="false">
      <c r="A601" s="0" t="n">
        <v>769</v>
      </c>
      <c r="B601" s="0" t="s">
        <v>4185</v>
      </c>
      <c r="C601" s="0" t="s">
        <v>31</v>
      </c>
      <c r="D601" s="0" t="s">
        <v>3671</v>
      </c>
    </row>
    <row r="602" customFormat="false" ht="15" hidden="false" customHeight="false" outlineLevel="0" collapsed="false">
      <c r="A602" s="0" t="n">
        <v>764</v>
      </c>
      <c r="B602" s="0" t="s">
        <v>4186</v>
      </c>
      <c r="C602" s="0" t="s">
        <v>31</v>
      </c>
      <c r="D602" s="0" t="s">
        <v>3676</v>
      </c>
    </row>
    <row r="603" customFormat="false" ht="15" hidden="false" customHeight="false" outlineLevel="0" collapsed="false">
      <c r="A603" s="0" t="n">
        <v>765</v>
      </c>
      <c r="B603" s="0" t="s">
        <v>4187</v>
      </c>
      <c r="C603" s="0" t="s">
        <v>31</v>
      </c>
      <c r="D603" s="0" t="s">
        <v>3671</v>
      </c>
    </row>
    <row r="604" customFormat="false" ht="15" hidden="false" customHeight="false" outlineLevel="0" collapsed="false">
      <c r="A604" s="0" t="n">
        <v>770</v>
      </c>
      <c r="B604" s="0" t="s">
        <v>4188</v>
      </c>
      <c r="C604" s="0" t="s">
        <v>31</v>
      </c>
      <c r="D604" s="0" t="s">
        <v>3671</v>
      </c>
    </row>
    <row r="605" customFormat="false" ht="15" hidden="false" customHeight="false" outlineLevel="0" collapsed="false">
      <c r="A605" s="0" t="n">
        <v>12394</v>
      </c>
      <c r="B605" s="0" t="s">
        <v>4189</v>
      </c>
      <c r="C605" s="0" t="s">
        <v>31</v>
      </c>
      <c r="D605" s="0" t="s">
        <v>3671</v>
      </c>
    </row>
    <row r="606" customFormat="false" ht="15" hidden="false" customHeight="false" outlineLevel="0" collapsed="false">
      <c r="A606" s="0" t="n">
        <v>787</v>
      </c>
      <c r="B606" s="0" t="s">
        <v>4190</v>
      </c>
      <c r="C606" s="0" t="s">
        <v>31</v>
      </c>
      <c r="D606" s="0" t="s">
        <v>3671</v>
      </c>
    </row>
    <row r="607" customFormat="false" ht="15" hidden="false" customHeight="false" outlineLevel="0" collapsed="false">
      <c r="A607" s="0" t="n">
        <v>774</v>
      </c>
      <c r="B607" s="0" t="s">
        <v>4191</v>
      </c>
      <c r="C607" s="0" t="s">
        <v>31</v>
      </c>
      <c r="D607" s="0" t="s">
        <v>3671</v>
      </c>
    </row>
    <row r="608" customFormat="false" ht="15" hidden="false" customHeight="false" outlineLevel="0" collapsed="false">
      <c r="A608" s="0" t="n">
        <v>773</v>
      </c>
      <c r="B608" s="0" t="s">
        <v>4192</v>
      </c>
      <c r="C608" s="0" t="s">
        <v>31</v>
      </c>
      <c r="D608" s="0" t="s">
        <v>3671</v>
      </c>
    </row>
    <row r="609" customFormat="false" ht="15" hidden="false" customHeight="false" outlineLevel="0" collapsed="false">
      <c r="A609" s="0" t="n">
        <v>775</v>
      </c>
      <c r="B609" s="0" t="s">
        <v>4193</v>
      </c>
      <c r="C609" s="0" t="s">
        <v>31</v>
      </c>
      <c r="D609" s="0" t="s">
        <v>3671</v>
      </c>
    </row>
    <row r="610" customFormat="false" ht="15" hidden="false" customHeight="false" outlineLevel="0" collapsed="false">
      <c r="A610" s="0" t="n">
        <v>788</v>
      </c>
      <c r="B610" s="0" t="s">
        <v>4194</v>
      </c>
      <c r="C610" s="0" t="s">
        <v>31</v>
      </c>
      <c r="D610" s="0" t="s">
        <v>3671</v>
      </c>
    </row>
    <row r="611" customFormat="false" ht="15" hidden="false" customHeight="false" outlineLevel="0" collapsed="false">
      <c r="A611" s="0" t="n">
        <v>772</v>
      </c>
      <c r="B611" s="0" t="s">
        <v>4195</v>
      </c>
      <c r="C611" s="0" t="s">
        <v>31</v>
      </c>
      <c r="D611" s="0" t="s">
        <v>3671</v>
      </c>
    </row>
    <row r="612" customFormat="false" ht="15" hidden="false" customHeight="false" outlineLevel="0" collapsed="false">
      <c r="A612" s="0" t="n">
        <v>771</v>
      </c>
      <c r="B612" s="0" t="s">
        <v>4196</v>
      </c>
      <c r="C612" s="0" t="s">
        <v>31</v>
      </c>
      <c r="D612" s="0" t="s">
        <v>3671</v>
      </c>
    </row>
    <row r="613" customFormat="false" ht="15" hidden="false" customHeight="false" outlineLevel="0" collapsed="false">
      <c r="A613" s="0" t="n">
        <v>776</v>
      </c>
      <c r="B613" s="0" t="s">
        <v>4197</v>
      </c>
      <c r="C613" s="0" t="s">
        <v>31</v>
      </c>
      <c r="D613" s="0" t="s">
        <v>3671</v>
      </c>
    </row>
    <row r="614" customFormat="false" ht="15" hidden="false" customHeight="false" outlineLevel="0" collapsed="false">
      <c r="A614" s="0" t="n">
        <v>777</v>
      </c>
      <c r="B614" s="0" t="s">
        <v>4198</v>
      </c>
      <c r="C614" s="0" t="s">
        <v>31</v>
      </c>
      <c r="D614" s="0" t="s">
        <v>3671</v>
      </c>
    </row>
    <row r="615" customFormat="false" ht="15" hidden="false" customHeight="false" outlineLevel="0" collapsed="false">
      <c r="A615" s="0" t="n">
        <v>780</v>
      </c>
      <c r="B615" s="0" t="s">
        <v>4199</v>
      </c>
      <c r="C615" s="0" t="s">
        <v>31</v>
      </c>
      <c r="D615" s="0" t="s">
        <v>3671</v>
      </c>
    </row>
    <row r="616" customFormat="false" ht="15" hidden="false" customHeight="false" outlineLevel="0" collapsed="false">
      <c r="A616" s="0" t="n">
        <v>778</v>
      </c>
      <c r="B616" s="0" t="s">
        <v>4200</v>
      </c>
      <c r="C616" s="0" t="s">
        <v>31</v>
      </c>
      <c r="D616" s="0" t="s">
        <v>3671</v>
      </c>
    </row>
    <row r="617" customFormat="false" ht="15" hidden="false" customHeight="false" outlineLevel="0" collapsed="false">
      <c r="A617" s="0" t="n">
        <v>779</v>
      </c>
      <c r="B617" s="0" t="s">
        <v>4201</v>
      </c>
      <c r="C617" s="0" t="s">
        <v>31</v>
      </c>
      <c r="D617" s="0" t="s">
        <v>3671</v>
      </c>
    </row>
    <row r="618" customFormat="false" ht="15" hidden="false" customHeight="false" outlineLevel="0" collapsed="false">
      <c r="A618" s="0" t="n">
        <v>781</v>
      </c>
      <c r="B618" s="0" t="s">
        <v>4202</v>
      </c>
      <c r="C618" s="0" t="s">
        <v>31</v>
      </c>
      <c r="D618" s="0" t="s">
        <v>3671</v>
      </c>
    </row>
    <row r="619" customFormat="false" ht="15" hidden="false" customHeight="false" outlineLevel="0" collapsed="false">
      <c r="A619" s="0" t="n">
        <v>786</v>
      </c>
      <c r="B619" s="0" t="s">
        <v>4203</v>
      </c>
      <c r="C619" s="0" t="s">
        <v>31</v>
      </c>
      <c r="D619" s="0" t="s">
        <v>3671</v>
      </c>
    </row>
    <row r="620" customFormat="false" ht="15" hidden="false" customHeight="false" outlineLevel="0" collapsed="false">
      <c r="A620" s="0" t="n">
        <v>782</v>
      </c>
      <c r="B620" s="0" t="s">
        <v>4204</v>
      </c>
      <c r="C620" s="0" t="s">
        <v>31</v>
      </c>
      <c r="D620" s="0" t="s">
        <v>3671</v>
      </c>
    </row>
    <row r="621" customFormat="false" ht="15" hidden="false" customHeight="false" outlineLevel="0" collapsed="false">
      <c r="A621" s="0" t="n">
        <v>783</v>
      </c>
      <c r="B621" s="0" t="s">
        <v>4205</v>
      </c>
      <c r="C621" s="0" t="s">
        <v>31</v>
      </c>
      <c r="D621" s="0" t="s">
        <v>3671</v>
      </c>
    </row>
    <row r="622" customFormat="false" ht="15" hidden="false" customHeight="false" outlineLevel="0" collapsed="false">
      <c r="A622" s="0" t="n">
        <v>785</v>
      </c>
      <c r="B622" s="0" t="s">
        <v>4206</v>
      </c>
      <c r="C622" s="0" t="s">
        <v>31</v>
      </c>
      <c r="D622" s="0" t="s">
        <v>3671</v>
      </c>
    </row>
    <row r="623" customFormat="false" ht="15" hidden="false" customHeight="false" outlineLevel="0" collapsed="false">
      <c r="A623" s="0" t="n">
        <v>784</v>
      </c>
      <c r="B623" s="0" t="s">
        <v>4207</v>
      </c>
      <c r="C623" s="0" t="s">
        <v>31</v>
      </c>
      <c r="D623" s="0" t="s">
        <v>3671</v>
      </c>
    </row>
    <row r="624" customFormat="false" ht="15" hidden="false" customHeight="false" outlineLevel="0" collapsed="false">
      <c r="A624" s="0" t="n">
        <v>828</v>
      </c>
      <c r="B624" s="0" t="s">
        <v>4208</v>
      </c>
      <c r="C624" s="0" t="s">
        <v>31</v>
      </c>
      <c r="D624" s="0" t="s">
        <v>3671</v>
      </c>
      <c r="E624" s="0" t="n">
        <v>0.59</v>
      </c>
    </row>
    <row r="625" customFormat="false" ht="15" hidden="false" customHeight="false" outlineLevel="0" collapsed="false">
      <c r="A625" s="0" t="n">
        <v>829</v>
      </c>
      <c r="B625" s="0" t="s">
        <v>2301</v>
      </c>
      <c r="C625" s="0" t="s">
        <v>31</v>
      </c>
      <c r="D625" s="0" t="s">
        <v>3671</v>
      </c>
      <c r="E625" s="0" t="n">
        <v>0.96</v>
      </c>
    </row>
    <row r="626" customFormat="false" ht="15" hidden="false" customHeight="false" outlineLevel="0" collapsed="false">
      <c r="A626" s="0" t="n">
        <v>812</v>
      </c>
      <c r="B626" s="0" t="s">
        <v>4209</v>
      </c>
      <c r="C626" s="0" t="s">
        <v>31</v>
      </c>
      <c r="D626" s="0" t="s">
        <v>3671</v>
      </c>
      <c r="E626" s="0" t="n">
        <v>2.11</v>
      </c>
    </row>
    <row r="627" customFormat="false" ht="15" hidden="false" customHeight="false" outlineLevel="0" collapsed="false">
      <c r="A627" s="0" t="n">
        <v>819</v>
      </c>
      <c r="B627" s="0" t="s">
        <v>2827</v>
      </c>
      <c r="C627" s="0" t="s">
        <v>31</v>
      </c>
      <c r="D627" s="0" t="s">
        <v>3671</v>
      </c>
      <c r="E627" s="0" t="n">
        <v>3.67</v>
      </c>
    </row>
    <row r="628" customFormat="false" ht="15" hidden="false" customHeight="false" outlineLevel="0" collapsed="false">
      <c r="A628" s="0" t="n">
        <v>818</v>
      </c>
      <c r="B628" s="0" t="s">
        <v>4210</v>
      </c>
      <c r="C628" s="0" t="s">
        <v>31</v>
      </c>
      <c r="D628" s="0" t="s">
        <v>3671</v>
      </c>
      <c r="E628" s="0" t="n">
        <v>6.85</v>
      </c>
    </row>
    <row r="629" customFormat="false" ht="15" hidden="false" customHeight="false" outlineLevel="0" collapsed="false">
      <c r="A629" s="0" t="n">
        <v>20086</v>
      </c>
      <c r="B629" s="0" t="s">
        <v>2122</v>
      </c>
      <c r="C629" s="0" t="s">
        <v>31</v>
      </c>
      <c r="D629" s="0" t="s">
        <v>3671</v>
      </c>
      <c r="E629" s="0" t="n">
        <v>3.28</v>
      </c>
    </row>
    <row r="630" customFormat="false" ht="15" hidden="false" customHeight="false" outlineLevel="0" collapsed="false">
      <c r="A630" s="0" t="n">
        <v>832</v>
      </c>
      <c r="B630" s="0" t="s">
        <v>4211</v>
      </c>
      <c r="C630" s="0" t="s">
        <v>31</v>
      </c>
      <c r="D630" s="0" t="s">
        <v>3671</v>
      </c>
      <c r="E630" s="0" t="n">
        <v>2.82</v>
      </c>
    </row>
    <row r="631" customFormat="false" ht="15" hidden="false" customHeight="false" outlineLevel="0" collapsed="false">
      <c r="A631" s="0" t="n">
        <v>834</v>
      </c>
      <c r="B631" s="0" t="s">
        <v>2829</v>
      </c>
      <c r="C631" s="0" t="s">
        <v>31</v>
      </c>
      <c r="D631" s="0" t="s">
        <v>3671</v>
      </c>
      <c r="E631" s="0" t="n">
        <v>3.66</v>
      </c>
    </row>
    <row r="632" customFormat="false" ht="15" hidden="false" customHeight="false" outlineLevel="0" collapsed="false">
      <c r="A632" s="0" t="n">
        <v>813</v>
      </c>
      <c r="B632" s="0" t="s">
        <v>2303</v>
      </c>
      <c r="C632" s="0" t="s">
        <v>31</v>
      </c>
      <c r="D632" s="0" t="s">
        <v>3671</v>
      </c>
      <c r="E632" s="0" t="n">
        <v>4.26</v>
      </c>
    </row>
    <row r="633" customFormat="false" ht="15" hidden="false" customHeight="false" outlineLevel="0" collapsed="false">
      <c r="A633" s="0" t="n">
        <v>820</v>
      </c>
      <c r="B633" s="0" t="s">
        <v>4212</v>
      </c>
      <c r="C633" s="0" t="s">
        <v>31</v>
      </c>
      <c r="D633" s="0" t="s">
        <v>3671</v>
      </c>
      <c r="E633" s="0" t="n">
        <v>5.73</v>
      </c>
    </row>
    <row r="634" customFormat="false" ht="15" hidden="false" customHeight="false" outlineLevel="0" collapsed="false">
      <c r="A634" s="0" t="n">
        <v>816</v>
      </c>
      <c r="B634" s="0" t="s">
        <v>4213</v>
      </c>
      <c r="C634" s="0" t="s">
        <v>31</v>
      </c>
      <c r="D634" s="0" t="s">
        <v>3671</v>
      </c>
      <c r="E634" s="0" t="n">
        <v>10.22</v>
      </c>
    </row>
    <row r="635" customFormat="false" ht="15" hidden="false" customHeight="false" outlineLevel="0" collapsed="false">
      <c r="A635" s="0" t="n">
        <v>814</v>
      </c>
      <c r="B635" s="0" t="s">
        <v>4214</v>
      </c>
      <c r="C635" s="0" t="s">
        <v>31</v>
      </c>
      <c r="D635" s="0" t="s">
        <v>3671</v>
      </c>
      <c r="E635" s="0" t="n">
        <v>12.69</v>
      </c>
    </row>
    <row r="636" customFormat="false" ht="15" hidden="false" customHeight="false" outlineLevel="0" collapsed="false">
      <c r="A636" s="0" t="n">
        <v>822</v>
      </c>
      <c r="B636" s="0" t="s">
        <v>4215</v>
      </c>
      <c r="C636" s="0" t="s">
        <v>31</v>
      </c>
      <c r="D636" s="0" t="s">
        <v>3671</v>
      </c>
      <c r="E636" s="0" t="n">
        <v>16.57</v>
      </c>
    </row>
    <row r="637" customFormat="false" ht="15" hidden="false" customHeight="false" outlineLevel="0" collapsed="false">
      <c r="A637" s="0" t="n">
        <v>821</v>
      </c>
      <c r="B637" s="0" t="s">
        <v>2305</v>
      </c>
      <c r="C637" s="0" t="s">
        <v>31</v>
      </c>
      <c r="D637" s="0" t="s">
        <v>3671</v>
      </c>
      <c r="E637" s="0" t="n">
        <v>18.95</v>
      </c>
    </row>
    <row r="638" customFormat="false" ht="15" hidden="false" customHeight="false" outlineLevel="0" collapsed="false">
      <c r="A638" s="0" t="n">
        <v>39191</v>
      </c>
      <c r="B638" s="0" t="s">
        <v>4216</v>
      </c>
      <c r="C638" s="0" t="s">
        <v>31</v>
      </c>
      <c r="D638" s="0" t="s">
        <v>3671</v>
      </c>
      <c r="E638" s="0" t="n">
        <v>17.68</v>
      </c>
    </row>
    <row r="639" customFormat="false" ht="15" hidden="false" customHeight="false" outlineLevel="0" collapsed="false">
      <c r="A639" s="0" t="n">
        <v>39190</v>
      </c>
      <c r="B639" s="0" t="s">
        <v>4217</v>
      </c>
      <c r="C639" s="0" t="s">
        <v>31</v>
      </c>
      <c r="D639" s="0" t="s">
        <v>3671</v>
      </c>
      <c r="E639" s="0" t="n">
        <v>18.47</v>
      </c>
    </row>
    <row r="640" customFormat="false" ht="15" hidden="false" customHeight="false" outlineLevel="0" collapsed="false">
      <c r="A640" s="0" t="n">
        <v>39189</v>
      </c>
      <c r="B640" s="0" t="s">
        <v>4218</v>
      </c>
      <c r="C640" s="0" t="s">
        <v>31</v>
      </c>
      <c r="D640" s="0" t="s">
        <v>3671</v>
      </c>
      <c r="E640" s="0" t="n">
        <v>19.54</v>
      </c>
    </row>
    <row r="641" customFormat="false" ht="15" hidden="false" customHeight="false" outlineLevel="0" collapsed="false">
      <c r="A641" s="0" t="n">
        <v>39188</v>
      </c>
      <c r="B641" s="0" t="s">
        <v>4219</v>
      </c>
      <c r="C641" s="0" t="s">
        <v>31</v>
      </c>
      <c r="D641" s="0" t="s">
        <v>3671</v>
      </c>
      <c r="E641" s="0" t="n">
        <v>14.39</v>
      </c>
    </row>
    <row r="642" customFormat="false" ht="15" hidden="false" customHeight="false" outlineLevel="0" collapsed="false">
      <c r="A642" s="0" t="n">
        <v>39186</v>
      </c>
      <c r="B642" s="0" t="s">
        <v>4220</v>
      </c>
      <c r="C642" s="0" t="s">
        <v>31</v>
      </c>
      <c r="D642" s="0" t="s">
        <v>3671</v>
      </c>
      <c r="E642" s="0" t="n">
        <v>17.49</v>
      </c>
    </row>
    <row r="643" customFormat="false" ht="15" hidden="false" customHeight="false" outlineLevel="0" collapsed="false">
      <c r="A643" s="0" t="n">
        <v>39187</v>
      </c>
      <c r="B643" s="0" t="s">
        <v>4221</v>
      </c>
      <c r="C643" s="0" t="s">
        <v>31</v>
      </c>
      <c r="D643" s="0" t="s">
        <v>3671</v>
      </c>
      <c r="E643" s="0" t="n">
        <v>15.08</v>
      </c>
    </row>
    <row r="644" customFormat="false" ht="15" hidden="false" customHeight="false" outlineLevel="0" collapsed="false">
      <c r="A644" s="0" t="n">
        <v>39184</v>
      </c>
      <c r="B644" s="0" t="s">
        <v>4222</v>
      </c>
      <c r="C644" s="0" t="s">
        <v>31</v>
      </c>
      <c r="D644" s="0" t="s">
        <v>3671</v>
      </c>
      <c r="E644" s="0" t="n">
        <v>5.67</v>
      </c>
    </row>
    <row r="645" customFormat="false" ht="15" hidden="false" customHeight="false" outlineLevel="0" collapsed="false">
      <c r="A645" s="0" t="n">
        <v>39185</v>
      </c>
      <c r="B645" s="0" t="s">
        <v>4223</v>
      </c>
      <c r="C645" s="0" t="s">
        <v>31</v>
      </c>
      <c r="D645" s="0" t="s">
        <v>3671</v>
      </c>
      <c r="E645" s="0" t="n">
        <v>5.17</v>
      </c>
    </row>
    <row r="646" customFormat="false" ht="15" hidden="false" customHeight="false" outlineLevel="0" collapsed="false">
      <c r="A646" s="0" t="n">
        <v>39198</v>
      </c>
      <c r="B646" s="0" t="s">
        <v>4224</v>
      </c>
      <c r="C646" s="0" t="s">
        <v>31</v>
      </c>
      <c r="D646" s="0" t="s">
        <v>3671</v>
      </c>
      <c r="E646" s="0" t="n">
        <v>58</v>
      </c>
    </row>
    <row r="647" customFormat="false" ht="15" hidden="false" customHeight="false" outlineLevel="0" collapsed="false">
      <c r="A647" s="0" t="n">
        <v>39197</v>
      </c>
      <c r="B647" s="0" t="s">
        <v>4225</v>
      </c>
      <c r="C647" s="0" t="s">
        <v>31</v>
      </c>
      <c r="D647" s="0" t="s">
        <v>3671</v>
      </c>
      <c r="E647" s="0" t="n">
        <v>60.59</v>
      </c>
    </row>
    <row r="648" customFormat="false" ht="15" hidden="false" customHeight="false" outlineLevel="0" collapsed="false">
      <c r="A648" s="0" t="n">
        <v>39196</v>
      </c>
      <c r="B648" s="0" t="s">
        <v>4226</v>
      </c>
      <c r="C648" s="0" t="s">
        <v>31</v>
      </c>
      <c r="D648" s="0" t="s">
        <v>3671</v>
      </c>
      <c r="E648" s="0" t="n">
        <v>62.48</v>
      </c>
    </row>
    <row r="649" customFormat="false" ht="15" hidden="false" customHeight="false" outlineLevel="0" collapsed="false">
      <c r="A649" s="0" t="n">
        <v>39199</v>
      </c>
      <c r="B649" s="0" t="s">
        <v>4227</v>
      </c>
      <c r="C649" s="0" t="s">
        <v>31</v>
      </c>
      <c r="D649" s="0" t="s">
        <v>3671</v>
      </c>
      <c r="E649" s="0" t="n">
        <v>55.82</v>
      </c>
    </row>
    <row r="650" customFormat="false" ht="15" hidden="false" customHeight="false" outlineLevel="0" collapsed="false">
      <c r="A650" s="0" t="n">
        <v>39195</v>
      </c>
      <c r="B650" s="0" t="s">
        <v>4228</v>
      </c>
      <c r="C650" s="0" t="s">
        <v>31</v>
      </c>
      <c r="D650" s="0" t="s">
        <v>3671</v>
      </c>
      <c r="E650" s="0" t="n">
        <v>32.22</v>
      </c>
    </row>
    <row r="651" customFormat="false" ht="15" hidden="false" customHeight="false" outlineLevel="0" collapsed="false">
      <c r="A651" s="0" t="n">
        <v>39194</v>
      </c>
      <c r="B651" s="0" t="s">
        <v>4229</v>
      </c>
      <c r="C651" s="0" t="s">
        <v>31</v>
      </c>
      <c r="D651" s="0" t="s">
        <v>3671</v>
      </c>
      <c r="E651" s="0" t="n">
        <v>34.48</v>
      </c>
    </row>
    <row r="652" customFormat="false" ht="15" hidden="false" customHeight="false" outlineLevel="0" collapsed="false">
      <c r="A652" s="0" t="n">
        <v>39193</v>
      </c>
      <c r="B652" s="0" t="s">
        <v>4230</v>
      </c>
      <c r="C652" s="0" t="s">
        <v>31</v>
      </c>
      <c r="D652" s="0" t="s">
        <v>3671</v>
      </c>
      <c r="E652" s="0" t="n">
        <v>37.79</v>
      </c>
    </row>
    <row r="653" customFormat="false" ht="15" hidden="false" customHeight="false" outlineLevel="0" collapsed="false">
      <c r="A653" s="0" t="n">
        <v>39192</v>
      </c>
      <c r="B653" s="0" t="s">
        <v>4231</v>
      </c>
      <c r="C653" s="0" t="s">
        <v>31</v>
      </c>
      <c r="D653" s="0" t="s">
        <v>3671</v>
      </c>
      <c r="E653" s="0" t="n">
        <v>39.31</v>
      </c>
    </row>
    <row r="654" customFormat="false" ht="15" hidden="false" customHeight="false" outlineLevel="0" collapsed="false">
      <c r="A654" s="0" t="n">
        <v>39201</v>
      </c>
      <c r="B654" s="0" t="s">
        <v>4232</v>
      </c>
      <c r="C654" s="0" t="s">
        <v>31</v>
      </c>
      <c r="D654" s="0" t="s">
        <v>3671</v>
      </c>
      <c r="E654" s="0" t="n">
        <v>69.34</v>
      </c>
    </row>
    <row r="655" customFormat="false" ht="15" hidden="false" customHeight="false" outlineLevel="0" collapsed="false">
      <c r="A655" s="0" t="n">
        <v>39200</v>
      </c>
      <c r="B655" s="0" t="s">
        <v>4233</v>
      </c>
      <c r="C655" s="0" t="s">
        <v>31</v>
      </c>
      <c r="D655" s="0" t="s">
        <v>3671</v>
      </c>
      <c r="E655" s="0" t="n">
        <v>69.9</v>
      </c>
    </row>
    <row r="656" customFormat="false" ht="15" hidden="false" customHeight="false" outlineLevel="0" collapsed="false">
      <c r="A656" s="0" t="n">
        <v>39203</v>
      </c>
      <c r="B656" s="0" t="s">
        <v>4234</v>
      </c>
      <c r="C656" s="0" t="s">
        <v>31</v>
      </c>
      <c r="D656" s="0" t="s">
        <v>3671</v>
      </c>
      <c r="E656" s="0" t="n">
        <v>56.44</v>
      </c>
    </row>
    <row r="657" customFormat="false" ht="15" hidden="false" customHeight="false" outlineLevel="0" collapsed="false">
      <c r="A657" s="0" t="n">
        <v>39202</v>
      </c>
      <c r="B657" s="0" t="s">
        <v>4235</v>
      </c>
      <c r="C657" s="0" t="s">
        <v>31</v>
      </c>
      <c r="D657" s="0" t="s">
        <v>3671</v>
      </c>
      <c r="E657" s="0" t="n">
        <v>66.3</v>
      </c>
    </row>
    <row r="658" customFormat="false" ht="15" hidden="false" customHeight="false" outlineLevel="0" collapsed="false">
      <c r="A658" s="0" t="n">
        <v>39920</v>
      </c>
      <c r="B658" s="0" t="s">
        <v>4236</v>
      </c>
      <c r="C658" s="0" t="s">
        <v>31</v>
      </c>
      <c r="D658" s="0" t="s">
        <v>3671</v>
      </c>
      <c r="E658" s="0" t="n">
        <v>4.76</v>
      </c>
    </row>
    <row r="659" customFormat="false" ht="15" hidden="false" customHeight="false" outlineLevel="0" collapsed="false">
      <c r="A659" s="0" t="n">
        <v>39205</v>
      </c>
      <c r="B659" s="0" t="s">
        <v>4237</v>
      </c>
      <c r="C659" s="0" t="s">
        <v>31</v>
      </c>
      <c r="D659" s="0" t="s">
        <v>3671</v>
      </c>
      <c r="E659" s="0" t="n">
        <v>110.62</v>
      </c>
    </row>
    <row r="660" customFormat="false" ht="15" hidden="false" customHeight="false" outlineLevel="0" collapsed="false">
      <c r="A660" s="0" t="n">
        <v>39204</v>
      </c>
      <c r="B660" s="0" t="s">
        <v>4238</v>
      </c>
      <c r="C660" s="0" t="s">
        <v>31</v>
      </c>
      <c r="D660" s="0" t="s">
        <v>3671</v>
      </c>
      <c r="E660" s="0" t="n">
        <v>113.29</v>
      </c>
    </row>
    <row r="661" customFormat="false" ht="15" hidden="false" customHeight="false" outlineLevel="0" collapsed="false">
      <c r="A661" s="0" t="n">
        <v>39206</v>
      </c>
      <c r="B661" s="0" t="s">
        <v>4239</v>
      </c>
      <c r="C661" s="0" t="s">
        <v>31</v>
      </c>
      <c r="D661" s="0" t="s">
        <v>3671</v>
      </c>
      <c r="E661" s="0" t="n">
        <v>107.48</v>
      </c>
    </row>
    <row r="662" customFormat="false" ht="15" hidden="false" customHeight="false" outlineLevel="0" collapsed="false">
      <c r="A662" s="0" t="n">
        <v>798</v>
      </c>
      <c r="B662" s="0" t="s">
        <v>4240</v>
      </c>
      <c r="C662" s="0" t="s">
        <v>31</v>
      </c>
      <c r="D662" s="0" t="s">
        <v>3671</v>
      </c>
      <c r="E662" s="0" t="n">
        <v>1.18</v>
      </c>
    </row>
    <row r="663" customFormat="false" ht="15" hidden="false" customHeight="false" outlineLevel="0" collapsed="false">
      <c r="A663" s="0" t="n">
        <v>797</v>
      </c>
      <c r="B663" s="0" t="s">
        <v>4241</v>
      </c>
      <c r="C663" s="0" t="s">
        <v>31</v>
      </c>
      <c r="D663" s="0" t="s">
        <v>3671</v>
      </c>
      <c r="E663" s="0" t="n">
        <v>8.58</v>
      </c>
    </row>
    <row r="664" customFormat="false" ht="15" hidden="false" customHeight="false" outlineLevel="0" collapsed="false">
      <c r="A664" s="0" t="n">
        <v>796</v>
      </c>
      <c r="B664" s="0" t="s">
        <v>4242</v>
      </c>
      <c r="C664" s="0" t="s">
        <v>31</v>
      </c>
      <c r="D664" s="0" t="s">
        <v>3671</v>
      </c>
      <c r="E664" s="0" t="n">
        <v>7.29</v>
      </c>
    </row>
    <row r="665" customFormat="false" ht="15" hidden="false" customHeight="false" outlineLevel="0" collapsed="false">
      <c r="A665" s="0" t="n">
        <v>799</v>
      </c>
      <c r="B665" s="0" t="s">
        <v>4243</v>
      </c>
      <c r="C665" s="0" t="s">
        <v>31</v>
      </c>
      <c r="D665" s="0" t="s">
        <v>3671</v>
      </c>
      <c r="E665" s="0" t="n">
        <v>3.52</v>
      </c>
    </row>
    <row r="666" customFormat="false" ht="15" hidden="false" customHeight="false" outlineLevel="0" collapsed="false">
      <c r="A666" s="0" t="n">
        <v>792</v>
      </c>
      <c r="B666" s="0" t="s">
        <v>4244</v>
      </c>
      <c r="C666" s="0" t="s">
        <v>31</v>
      </c>
      <c r="D666" s="0" t="s">
        <v>3671</v>
      </c>
      <c r="E666" s="0" t="n">
        <v>3.41</v>
      </c>
    </row>
    <row r="667" customFormat="false" ht="15" hidden="false" customHeight="false" outlineLevel="0" collapsed="false">
      <c r="A667" s="0" t="n">
        <v>38001</v>
      </c>
      <c r="B667" s="0" t="s">
        <v>4245</v>
      </c>
      <c r="C667" s="0" t="s">
        <v>31</v>
      </c>
      <c r="D667" s="0" t="s">
        <v>3671</v>
      </c>
      <c r="E667" s="0" t="n">
        <v>1.12</v>
      </c>
    </row>
    <row r="668" customFormat="false" ht="15" hidden="false" customHeight="false" outlineLevel="0" collapsed="false">
      <c r="A668" s="0" t="n">
        <v>38002</v>
      </c>
      <c r="B668" s="0" t="s">
        <v>4246</v>
      </c>
      <c r="C668" s="0" t="s">
        <v>31</v>
      </c>
      <c r="D668" s="0" t="s">
        <v>3671</v>
      </c>
      <c r="E668" s="0" t="n">
        <v>3.9</v>
      </c>
    </row>
    <row r="669" customFormat="false" ht="15" hidden="false" customHeight="false" outlineLevel="0" collapsed="false">
      <c r="A669" s="0" t="n">
        <v>38003</v>
      </c>
      <c r="B669" s="0" t="s">
        <v>4247</v>
      </c>
      <c r="C669" s="0" t="s">
        <v>31</v>
      </c>
      <c r="D669" s="0" t="s">
        <v>3671</v>
      </c>
      <c r="E669" s="0" t="n">
        <v>26.66</v>
      </c>
    </row>
    <row r="670" customFormat="false" ht="15" hidden="false" customHeight="false" outlineLevel="0" collapsed="false">
      <c r="A670" s="0" t="n">
        <v>38004</v>
      </c>
      <c r="B670" s="0" t="s">
        <v>4248</v>
      </c>
      <c r="C670" s="0" t="s">
        <v>31</v>
      </c>
      <c r="D670" s="0" t="s">
        <v>3671</v>
      </c>
      <c r="E670" s="0" t="n">
        <v>30.66</v>
      </c>
    </row>
    <row r="671" customFormat="false" ht="15" hidden="false" customHeight="false" outlineLevel="0" collapsed="false">
      <c r="A671" s="0" t="n">
        <v>44263</v>
      </c>
      <c r="B671" s="0" t="s">
        <v>4249</v>
      </c>
      <c r="C671" s="0" t="s">
        <v>31</v>
      </c>
      <c r="D671" s="0" t="s">
        <v>3671</v>
      </c>
      <c r="E671" s="0" t="n">
        <v>55.04</v>
      </c>
    </row>
    <row r="672" customFormat="false" ht="15" hidden="false" customHeight="false" outlineLevel="0" collapsed="false">
      <c r="A672" s="0" t="n">
        <v>36327</v>
      </c>
      <c r="B672" s="0" t="s">
        <v>4250</v>
      </c>
      <c r="C672" s="0" t="s">
        <v>31</v>
      </c>
      <c r="D672" s="0" t="s">
        <v>3671</v>
      </c>
    </row>
    <row r="673" customFormat="false" ht="15" hidden="false" customHeight="false" outlineLevel="0" collapsed="false">
      <c r="A673" s="0" t="n">
        <v>38992</v>
      </c>
      <c r="B673" s="0" t="s">
        <v>4251</v>
      </c>
      <c r="C673" s="0" t="s">
        <v>31</v>
      </c>
      <c r="D673" s="0" t="s">
        <v>3671</v>
      </c>
    </row>
    <row r="674" customFormat="false" ht="15" hidden="false" customHeight="false" outlineLevel="0" collapsed="false">
      <c r="A674" s="0" t="n">
        <v>38993</v>
      </c>
      <c r="B674" s="0" t="s">
        <v>4252</v>
      </c>
      <c r="C674" s="0" t="s">
        <v>31</v>
      </c>
      <c r="D674" s="0" t="s">
        <v>3671</v>
      </c>
    </row>
    <row r="675" customFormat="false" ht="15" hidden="false" customHeight="false" outlineLevel="0" collapsed="false">
      <c r="A675" s="0" t="n">
        <v>44175</v>
      </c>
      <c r="B675" s="0" t="s">
        <v>4253</v>
      </c>
      <c r="C675" s="0" t="s">
        <v>31</v>
      </c>
      <c r="D675" s="0" t="s">
        <v>3671</v>
      </c>
    </row>
    <row r="676" customFormat="false" ht="15" hidden="false" customHeight="false" outlineLevel="0" collapsed="false">
      <c r="A676" s="0" t="n">
        <v>44177</v>
      </c>
      <c r="B676" s="0" t="s">
        <v>4254</v>
      </c>
      <c r="C676" s="0" t="s">
        <v>31</v>
      </c>
      <c r="D676" s="0" t="s">
        <v>3671</v>
      </c>
    </row>
    <row r="677" customFormat="false" ht="15" hidden="false" customHeight="false" outlineLevel="0" collapsed="false">
      <c r="A677" s="0" t="n">
        <v>38418</v>
      </c>
      <c r="B677" s="0" t="s">
        <v>4255</v>
      </c>
      <c r="C677" s="0" t="s">
        <v>31</v>
      </c>
      <c r="D677" s="0" t="s">
        <v>3671</v>
      </c>
      <c r="E677" s="0" t="n">
        <v>5.64</v>
      </c>
    </row>
    <row r="678" customFormat="false" ht="15" hidden="false" customHeight="false" outlineLevel="0" collapsed="false">
      <c r="A678" s="0" t="n">
        <v>39178</v>
      </c>
      <c r="B678" s="0" t="s">
        <v>4256</v>
      </c>
      <c r="C678" s="0" t="s">
        <v>31</v>
      </c>
      <c r="D678" s="0" t="s">
        <v>3671</v>
      </c>
      <c r="E678" s="0" t="n">
        <v>1.91</v>
      </c>
    </row>
    <row r="679" customFormat="false" ht="15" hidden="false" customHeight="false" outlineLevel="0" collapsed="false">
      <c r="A679" s="0" t="n">
        <v>39177</v>
      </c>
      <c r="B679" s="0" t="s">
        <v>4257</v>
      </c>
      <c r="C679" s="0" t="s">
        <v>31</v>
      </c>
      <c r="D679" s="0" t="s">
        <v>3671</v>
      </c>
      <c r="E679" s="0" t="n">
        <v>1.73</v>
      </c>
    </row>
    <row r="680" customFormat="false" ht="15" hidden="false" customHeight="false" outlineLevel="0" collapsed="false">
      <c r="A680" s="0" t="n">
        <v>39176</v>
      </c>
      <c r="B680" s="0" t="s">
        <v>4258</v>
      </c>
      <c r="C680" s="0" t="s">
        <v>31</v>
      </c>
      <c r="D680" s="0" t="s">
        <v>3671</v>
      </c>
      <c r="E680" s="0" t="n">
        <v>1.13</v>
      </c>
    </row>
    <row r="681" customFormat="false" ht="15" hidden="false" customHeight="false" outlineLevel="0" collapsed="false">
      <c r="A681" s="0" t="n">
        <v>39174</v>
      </c>
      <c r="B681" s="0" t="s">
        <v>4259</v>
      </c>
      <c r="C681" s="0" t="s">
        <v>31</v>
      </c>
      <c r="D681" s="0" t="s">
        <v>3671</v>
      </c>
      <c r="E681" s="0" t="n">
        <v>0.86</v>
      </c>
    </row>
    <row r="682" customFormat="false" ht="15" hidden="false" customHeight="false" outlineLevel="0" collapsed="false">
      <c r="A682" s="0" t="n">
        <v>39180</v>
      </c>
      <c r="B682" s="0" t="s">
        <v>4260</v>
      </c>
      <c r="C682" s="0" t="s">
        <v>31</v>
      </c>
      <c r="D682" s="0" t="s">
        <v>3671</v>
      </c>
      <c r="E682" s="0" t="n">
        <v>5.19</v>
      </c>
    </row>
    <row r="683" customFormat="false" ht="15" hidden="false" customHeight="false" outlineLevel="0" collapsed="false">
      <c r="A683" s="0" t="n">
        <v>39179</v>
      </c>
      <c r="B683" s="0" t="s">
        <v>4261</v>
      </c>
      <c r="C683" s="0" t="s">
        <v>31</v>
      </c>
      <c r="D683" s="0" t="s">
        <v>3671</v>
      </c>
      <c r="E683" s="0" t="n">
        <v>4.59</v>
      </c>
    </row>
    <row r="684" customFormat="false" ht="15" hidden="false" customHeight="false" outlineLevel="0" collapsed="false">
      <c r="A684" s="0" t="n">
        <v>39181</v>
      </c>
      <c r="B684" s="0" t="s">
        <v>4262</v>
      </c>
      <c r="C684" s="0" t="s">
        <v>31</v>
      </c>
      <c r="D684" s="0" t="s">
        <v>3671</v>
      </c>
      <c r="E684" s="0" t="n">
        <v>6.96</v>
      </c>
    </row>
    <row r="685" customFormat="false" ht="15" hidden="false" customHeight="false" outlineLevel="0" collapsed="false">
      <c r="A685" s="0" t="n">
        <v>39175</v>
      </c>
      <c r="B685" s="0" t="s">
        <v>4263</v>
      </c>
      <c r="C685" s="0" t="s">
        <v>31</v>
      </c>
      <c r="D685" s="0" t="s">
        <v>3671</v>
      </c>
      <c r="E685" s="0" t="n">
        <v>1.05</v>
      </c>
    </row>
    <row r="686" customFormat="false" ht="15" hidden="false" customHeight="false" outlineLevel="0" collapsed="false">
      <c r="A686" s="0" t="n">
        <v>39217</v>
      </c>
      <c r="B686" s="0" t="s">
        <v>4264</v>
      </c>
      <c r="C686" s="0" t="s">
        <v>31</v>
      </c>
      <c r="D686" s="0" t="s">
        <v>3671</v>
      </c>
      <c r="E686" s="0" t="n">
        <v>0.81</v>
      </c>
    </row>
    <row r="687" customFormat="false" ht="15" hidden="false" customHeight="false" outlineLevel="0" collapsed="false">
      <c r="A687" s="0" t="n">
        <v>39182</v>
      </c>
      <c r="B687" s="0" t="s">
        <v>4265</v>
      </c>
      <c r="C687" s="0" t="s">
        <v>31</v>
      </c>
      <c r="D687" s="0" t="s">
        <v>3671</v>
      </c>
      <c r="E687" s="0" t="n">
        <v>9.79</v>
      </c>
    </row>
    <row r="688" customFormat="false" ht="15" hidden="false" customHeight="false" outlineLevel="0" collapsed="false">
      <c r="A688" s="0" t="n">
        <v>12616</v>
      </c>
      <c r="B688" s="0" t="s">
        <v>4266</v>
      </c>
      <c r="C688" s="0" t="s">
        <v>31</v>
      </c>
      <c r="D688" s="0" t="s">
        <v>3671</v>
      </c>
      <c r="E688" s="0" t="n">
        <v>17.39</v>
      </c>
    </row>
    <row r="689" customFormat="false" ht="15" hidden="false" customHeight="false" outlineLevel="0" collapsed="false">
      <c r="A689" s="0" t="n">
        <v>1049</v>
      </c>
      <c r="B689" s="0" t="s">
        <v>4267</v>
      </c>
      <c r="C689" s="0" t="s">
        <v>31</v>
      </c>
      <c r="D689" s="0" t="s">
        <v>3671</v>
      </c>
      <c r="E689" s="0" t="n">
        <v>8.19</v>
      </c>
    </row>
    <row r="690" customFormat="false" ht="15" hidden="false" customHeight="false" outlineLevel="0" collapsed="false">
      <c r="A690" s="0" t="n">
        <v>1099</v>
      </c>
      <c r="B690" s="0" t="s">
        <v>4268</v>
      </c>
      <c r="C690" s="0" t="s">
        <v>31</v>
      </c>
      <c r="D690" s="0" t="s">
        <v>3671</v>
      </c>
      <c r="E690" s="0" t="n">
        <v>6.27</v>
      </c>
    </row>
    <row r="691" customFormat="false" ht="15" hidden="false" customHeight="false" outlineLevel="0" collapsed="false">
      <c r="A691" s="0" t="n">
        <v>1050</v>
      </c>
      <c r="B691" s="0" t="s">
        <v>4269</v>
      </c>
      <c r="C691" s="0" t="s">
        <v>31</v>
      </c>
      <c r="D691" s="0" t="s">
        <v>3671</v>
      </c>
      <c r="E691" s="0" t="n">
        <v>4.29</v>
      </c>
    </row>
    <row r="692" customFormat="false" ht="15" hidden="false" customHeight="false" outlineLevel="0" collapsed="false">
      <c r="A692" s="0" t="n">
        <v>39678</v>
      </c>
      <c r="B692" s="0" t="s">
        <v>4270</v>
      </c>
      <c r="C692" s="0" t="s">
        <v>31</v>
      </c>
      <c r="D692" s="0" t="s">
        <v>3671</v>
      </c>
      <c r="E692" s="0" t="n">
        <v>2.53</v>
      </c>
    </row>
    <row r="693" customFormat="false" ht="15" hidden="false" customHeight="false" outlineLevel="0" collapsed="false">
      <c r="A693" s="0" t="n">
        <v>1101</v>
      </c>
      <c r="B693" s="0" t="s">
        <v>4271</v>
      </c>
      <c r="C693" s="0" t="s">
        <v>31</v>
      </c>
      <c r="D693" s="0" t="s">
        <v>3671</v>
      </c>
      <c r="E693" s="0" t="n">
        <v>27.03</v>
      </c>
    </row>
    <row r="694" customFormat="false" ht="15" hidden="false" customHeight="false" outlineLevel="0" collapsed="false">
      <c r="A694" s="0" t="n">
        <v>1100</v>
      </c>
      <c r="B694" s="0" t="s">
        <v>4272</v>
      </c>
      <c r="C694" s="0" t="s">
        <v>31</v>
      </c>
      <c r="D694" s="0" t="s">
        <v>3671</v>
      </c>
      <c r="E694" s="0" t="n">
        <v>13.95</v>
      </c>
    </row>
    <row r="695" customFormat="false" ht="15" hidden="false" customHeight="false" outlineLevel="0" collapsed="false">
      <c r="A695" s="0" t="n">
        <v>39679</v>
      </c>
      <c r="B695" s="0" t="s">
        <v>4273</v>
      </c>
      <c r="C695" s="0" t="s">
        <v>31</v>
      </c>
      <c r="D695" s="0" t="s">
        <v>3671</v>
      </c>
      <c r="E695" s="0" t="n">
        <v>53.87</v>
      </c>
    </row>
    <row r="696" customFormat="false" ht="15" hidden="false" customHeight="false" outlineLevel="0" collapsed="false">
      <c r="A696" s="0" t="n">
        <v>1102</v>
      </c>
      <c r="B696" s="0" t="s">
        <v>4274</v>
      </c>
      <c r="C696" s="0" t="s">
        <v>31</v>
      </c>
      <c r="D696" s="0" t="s">
        <v>3671</v>
      </c>
      <c r="E696" s="0" t="n">
        <v>40.31</v>
      </c>
    </row>
    <row r="697" customFormat="false" ht="15" hidden="false" customHeight="false" outlineLevel="0" collapsed="false">
      <c r="A697" s="0" t="n">
        <v>1098</v>
      </c>
      <c r="B697" s="0" t="s">
        <v>4275</v>
      </c>
      <c r="C697" s="0" t="s">
        <v>31</v>
      </c>
      <c r="D697" s="0" t="s">
        <v>3671</v>
      </c>
      <c r="E697" s="0" t="n">
        <v>3.34</v>
      </c>
    </row>
    <row r="698" customFormat="false" ht="15" hidden="false" customHeight="false" outlineLevel="0" collapsed="false">
      <c r="A698" s="0" t="n">
        <v>1051</v>
      </c>
      <c r="B698" s="0" t="s">
        <v>4276</v>
      </c>
      <c r="C698" s="0" t="s">
        <v>31</v>
      </c>
      <c r="D698" s="0" t="s">
        <v>3671</v>
      </c>
      <c r="E698" s="0" t="n">
        <v>58.59</v>
      </c>
    </row>
    <row r="699" customFormat="false" ht="15" hidden="false" customHeight="false" outlineLevel="0" collapsed="false">
      <c r="A699" s="0" t="n">
        <v>37399</v>
      </c>
      <c r="B699" s="0" t="s">
        <v>4277</v>
      </c>
      <c r="C699" s="0" t="s">
        <v>31</v>
      </c>
      <c r="D699" s="0" t="s">
        <v>3671</v>
      </c>
      <c r="E699" s="0" t="n">
        <v>15.96</v>
      </c>
    </row>
    <row r="700" customFormat="false" ht="15" hidden="false" customHeight="false" outlineLevel="0" collapsed="false">
      <c r="A700" s="0" t="n">
        <v>43834</v>
      </c>
      <c r="B700" s="0" t="s">
        <v>4278</v>
      </c>
      <c r="C700" s="0" t="s">
        <v>1455</v>
      </c>
      <c r="D700" s="0" t="s">
        <v>3671</v>
      </c>
      <c r="E700" s="0" t="n">
        <v>19.96</v>
      </c>
    </row>
    <row r="701" customFormat="false" ht="15" hidden="false" customHeight="false" outlineLevel="0" collapsed="false">
      <c r="A701" s="0" t="n">
        <v>43835</v>
      </c>
      <c r="B701" s="0" t="s">
        <v>4279</v>
      </c>
      <c r="C701" s="0" t="s">
        <v>1455</v>
      </c>
      <c r="D701" s="0" t="s">
        <v>3671</v>
      </c>
      <c r="E701" s="0" t="n">
        <v>1.79</v>
      </c>
    </row>
    <row r="702" customFormat="false" ht="15" hidden="false" customHeight="false" outlineLevel="0" collapsed="false">
      <c r="A702" s="0" t="n">
        <v>43833</v>
      </c>
      <c r="B702" s="0" t="s">
        <v>4280</v>
      </c>
      <c r="C702" s="0" t="s">
        <v>1455</v>
      </c>
      <c r="D702" s="0" t="s">
        <v>3671</v>
      </c>
      <c r="E702" s="0" t="n">
        <v>1.86</v>
      </c>
    </row>
    <row r="703" customFormat="false" ht="15" hidden="false" customHeight="false" outlineLevel="0" collapsed="false">
      <c r="A703" s="0" t="n">
        <v>41955</v>
      </c>
      <c r="B703" s="0" t="s">
        <v>4281</v>
      </c>
      <c r="C703" s="0" t="s">
        <v>1513</v>
      </c>
      <c r="D703" s="0" t="s">
        <v>3671</v>
      </c>
      <c r="E703" s="0" t="n">
        <v>93.71</v>
      </c>
    </row>
    <row r="704" customFormat="false" ht="15" hidden="false" customHeight="false" outlineLevel="0" collapsed="false">
      <c r="A704" s="0" t="n">
        <v>41953</v>
      </c>
      <c r="B704" s="0" t="s">
        <v>4282</v>
      </c>
      <c r="C704" s="0" t="s">
        <v>1513</v>
      </c>
      <c r="D704" s="0" t="s">
        <v>3671</v>
      </c>
      <c r="E704" s="0" t="n">
        <v>89.43</v>
      </c>
    </row>
    <row r="705" customFormat="false" ht="15" hidden="false" customHeight="false" outlineLevel="0" collapsed="false">
      <c r="A705" s="0" t="n">
        <v>41954</v>
      </c>
      <c r="B705" s="0" t="s">
        <v>4283</v>
      </c>
      <c r="C705" s="0" t="s">
        <v>1513</v>
      </c>
      <c r="D705" s="0" t="s">
        <v>3671</v>
      </c>
      <c r="E705" s="0" t="n">
        <v>88.58</v>
      </c>
    </row>
    <row r="706" customFormat="false" ht="15" hidden="false" customHeight="false" outlineLevel="0" collapsed="false">
      <c r="A706" s="0" t="n">
        <v>25004</v>
      </c>
      <c r="B706" s="0" t="s">
        <v>4284</v>
      </c>
      <c r="C706" s="0" t="s">
        <v>1513</v>
      </c>
      <c r="D706" s="0" t="s">
        <v>3671</v>
      </c>
      <c r="E706" s="0" t="n">
        <v>51.86</v>
      </c>
    </row>
    <row r="707" customFormat="false" ht="15" hidden="false" customHeight="false" outlineLevel="0" collapsed="false">
      <c r="A707" s="0" t="n">
        <v>25002</v>
      </c>
      <c r="B707" s="0" t="s">
        <v>4285</v>
      </c>
      <c r="C707" s="0" t="s">
        <v>1513</v>
      </c>
      <c r="D707" s="0" t="s">
        <v>3671</v>
      </c>
      <c r="E707" s="0" t="n">
        <v>51.86</v>
      </c>
    </row>
    <row r="708" customFormat="false" ht="15" hidden="false" customHeight="false" outlineLevel="0" collapsed="false">
      <c r="A708" s="0" t="n">
        <v>37409</v>
      </c>
      <c r="B708" s="0" t="s">
        <v>4286</v>
      </c>
      <c r="C708" s="0" t="s">
        <v>1513</v>
      </c>
      <c r="D708" s="0" t="s">
        <v>3671</v>
      </c>
      <c r="E708" s="0" t="n">
        <v>51.86</v>
      </c>
    </row>
    <row r="709" customFormat="false" ht="15" hidden="false" customHeight="false" outlineLevel="0" collapsed="false">
      <c r="A709" s="0" t="n">
        <v>841</v>
      </c>
      <c r="B709" s="0" t="s">
        <v>4287</v>
      </c>
      <c r="C709" s="0" t="s">
        <v>1513</v>
      </c>
      <c r="D709" s="0" t="s">
        <v>3671</v>
      </c>
      <c r="E709" s="0" t="n">
        <v>52.5</v>
      </c>
    </row>
    <row r="710" customFormat="false" ht="15" hidden="false" customHeight="false" outlineLevel="0" collapsed="false">
      <c r="A710" s="0" t="n">
        <v>25005</v>
      </c>
      <c r="B710" s="0" t="s">
        <v>4288</v>
      </c>
      <c r="C710" s="0" t="s">
        <v>1513</v>
      </c>
      <c r="D710" s="0" t="s">
        <v>3671</v>
      </c>
      <c r="E710" s="0" t="n">
        <v>56.91</v>
      </c>
    </row>
    <row r="711" customFormat="false" ht="15" hidden="false" customHeight="false" outlineLevel="0" collapsed="false">
      <c r="A711" s="0" t="n">
        <v>25003</v>
      </c>
      <c r="B711" s="0" t="s">
        <v>4289</v>
      </c>
      <c r="C711" s="0" t="s">
        <v>1513</v>
      </c>
      <c r="D711" s="0" t="s">
        <v>3671</v>
      </c>
      <c r="E711" s="0" t="n">
        <v>57.77</v>
      </c>
    </row>
    <row r="712" customFormat="false" ht="15" hidden="false" customHeight="false" outlineLevel="0" collapsed="false">
      <c r="A712" s="0" t="n">
        <v>37410</v>
      </c>
      <c r="B712" s="0" t="s">
        <v>4290</v>
      </c>
      <c r="C712" s="0" t="s">
        <v>1513</v>
      </c>
      <c r="D712" s="0" t="s">
        <v>3671</v>
      </c>
      <c r="E712" s="0" t="n">
        <v>56.91</v>
      </c>
    </row>
    <row r="713" customFormat="false" ht="15" hidden="false" customHeight="false" outlineLevel="0" collapsed="false">
      <c r="A713" s="0" t="n">
        <v>842</v>
      </c>
      <c r="B713" s="0" t="s">
        <v>4291</v>
      </c>
      <c r="C713" s="0" t="s">
        <v>1513</v>
      </c>
      <c r="D713" s="0" t="s">
        <v>3671</v>
      </c>
      <c r="E713" s="0" t="n">
        <v>57.72</v>
      </c>
    </row>
    <row r="714" customFormat="false" ht="15" hidden="false" customHeight="false" outlineLevel="0" collapsed="false">
      <c r="A714" s="0" t="n">
        <v>44391</v>
      </c>
      <c r="B714" s="0" t="s">
        <v>4292</v>
      </c>
      <c r="C714" s="0" t="s">
        <v>1455</v>
      </c>
      <c r="D714" s="0" t="s">
        <v>3671</v>
      </c>
      <c r="E714" s="0" t="n">
        <v>122.99</v>
      </c>
    </row>
    <row r="715" customFormat="false" ht="15" hidden="false" customHeight="false" outlineLevel="0" collapsed="false">
      <c r="A715" s="0" t="n">
        <v>44388</v>
      </c>
      <c r="B715" s="0" t="s">
        <v>4293</v>
      </c>
      <c r="C715" s="0" t="s">
        <v>1455</v>
      </c>
      <c r="D715" s="0" t="s">
        <v>3671</v>
      </c>
      <c r="E715" s="0" t="n">
        <v>2.66</v>
      </c>
    </row>
    <row r="716" customFormat="false" ht="15" hidden="false" customHeight="false" outlineLevel="0" collapsed="false">
      <c r="A716" s="0" t="n">
        <v>44392</v>
      </c>
      <c r="B716" s="0" t="s">
        <v>4294</v>
      </c>
      <c r="C716" s="0" t="s">
        <v>1455</v>
      </c>
      <c r="D716" s="0" t="s">
        <v>3671</v>
      </c>
      <c r="E716" s="0" t="n">
        <v>244.89</v>
      </c>
    </row>
    <row r="717" customFormat="false" ht="15" hidden="false" customHeight="false" outlineLevel="0" collapsed="false">
      <c r="A717" s="0" t="n">
        <v>44390</v>
      </c>
      <c r="B717" s="0" t="s">
        <v>4295</v>
      </c>
      <c r="C717" s="0" t="s">
        <v>1455</v>
      </c>
      <c r="D717" s="0" t="s">
        <v>3671</v>
      </c>
      <c r="E717" s="0" t="n">
        <v>51.89</v>
      </c>
    </row>
    <row r="718" customFormat="false" ht="15" hidden="false" customHeight="false" outlineLevel="0" collapsed="false">
      <c r="A718" s="0" t="n">
        <v>44389</v>
      </c>
      <c r="B718" s="0" t="s">
        <v>4296</v>
      </c>
      <c r="C718" s="0" t="s">
        <v>1455</v>
      </c>
      <c r="D718" s="0" t="s">
        <v>3671</v>
      </c>
      <c r="E718" s="0" t="n">
        <v>6.12</v>
      </c>
    </row>
    <row r="719" customFormat="false" ht="15" hidden="false" customHeight="false" outlineLevel="0" collapsed="false">
      <c r="A719" s="0" t="n">
        <v>862</v>
      </c>
      <c r="B719" s="0" t="s">
        <v>4297</v>
      </c>
      <c r="C719" s="0" t="s">
        <v>1455</v>
      </c>
      <c r="D719" s="0" t="s">
        <v>3671</v>
      </c>
      <c r="E719" s="0" t="n">
        <v>11.22</v>
      </c>
    </row>
    <row r="720" customFormat="false" ht="15" hidden="false" customHeight="false" outlineLevel="0" collapsed="false">
      <c r="A720" s="0" t="n">
        <v>866</v>
      </c>
      <c r="B720" s="0" t="s">
        <v>4298</v>
      </c>
      <c r="C720" s="0" t="s">
        <v>1455</v>
      </c>
      <c r="D720" s="0" t="s">
        <v>3671</v>
      </c>
      <c r="E720" s="0" t="n">
        <v>142.6</v>
      </c>
    </row>
    <row r="721" customFormat="false" ht="15" hidden="false" customHeight="false" outlineLevel="0" collapsed="false">
      <c r="A721" s="0" t="n">
        <v>892</v>
      </c>
      <c r="B721" s="0" t="s">
        <v>4299</v>
      </c>
      <c r="C721" s="0" t="s">
        <v>1455</v>
      </c>
      <c r="D721" s="0" t="s">
        <v>3671</v>
      </c>
      <c r="E721" s="0" t="n">
        <v>172.62</v>
      </c>
    </row>
    <row r="722" customFormat="false" ht="15" hidden="false" customHeight="false" outlineLevel="0" collapsed="false">
      <c r="A722" s="0" t="n">
        <v>857</v>
      </c>
      <c r="B722" s="0" t="s">
        <v>4300</v>
      </c>
      <c r="C722" s="0" t="s">
        <v>1455</v>
      </c>
      <c r="D722" s="0" t="s">
        <v>3671</v>
      </c>
      <c r="E722" s="0" t="n">
        <v>18.77</v>
      </c>
    </row>
    <row r="723" customFormat="false" ht="15" hidden="false" customHeight="false" outlineLevel="0" collapsed="false">
      <c r="A723" s="0" t="n">
        <v>37404</v>
      </c>
      <c r="B723" s="0" t="s">
        <v>4301</v>
      </c>
      <c r="C723" s="0" t="s">
        <v>1455</v>
      </c>
      <c r="D723" s="0" t="s">
        <v>3671</v>
      </c>
      <c r="E723" s="0" t="n">
        <v>199.71</v>
      </c>
    </row>
    <row r="724" customFormat="false" ht="15" hidden="false" customHeight="false" outlineLevel="0" collapsed="false">
      <c r="A724" s="0" t="n">
        <v>868</v>
      </c>
      <c r="B724" s="0" t="s">
        <v>4302</v>
      </c>
      <c r="C724" s="0" t="s">
        <v>1455</v>
      </c>
      <c r="D724" s="0" t="s">
        <v>3671</v>
      </c>
      <c r="E724" s="0" t="n">
        <v>26.75</v>
      </c>
    </row>
    <row r="725" customFormat="false" ht="15" hidden="false" customHeight="false" outlineLevel="0" collapsed="false">
      <c r="A725" s="0" t="n">
        <v>863</v>
      </c>
      <c r="B725" s="0" t="s">
        <v>2618</v>
      </c>
      <c r="C725" s="0" t="s">
        <v>1455</v>
      </c>
      <c r="D725" s="0" t="s">
        <v>3671</v>
      </c>
      <c r="E725" s="0" t="n">
        <v>39.4</v>
      </c>
    </row>
    <row r="726" customFormat="false" ht="15" hidden="false" customHeight="false" outlineLevel="0" collapsed="false">
      <c r="A726" s="0" t="n">
        <v>867</v>
      </c>
      <c r="B726" s="0" t="s">
        <v>2637</v>
      </c>
      <c r="C726" s="0" t="s">
        <v>1455</v>
      </c>
      <c r="D726" s="0" t="s">
        <v>3671</v>
      </c>
      <c r="E726" s="0" t="n">
        <v>56.13</v>
      </c>
    </row>
    <row r="727" customFormat="false" ht="15" hidden="false" customHeight="false" outlineLevel="0" collapsed="false">
      <c r="A727" s="0" t="n">
        <v>864</v>
      </c>
      <c r="B727" s="0" t="s">
        <v>4303</v>
      </c>
      <c r="C727" s="0" t="s">
        <v>1455</v>
      </c>
      <c r="D727" s="0" t="s">
        <v>3671</v>
      </c>
      <c r="E727" s="0" t="n">
        <v>74.15</v>
      </c>
    </row>
    <row r="728" customFormat="false" ht="15" hidden="false" customHeight="false" outlineLevel="0" collapsed="false">
      <c r="A728" s="0" t="n">
        <v>865</v>
      </c>
      <c r="B728" s="0" t="s">
        <v>4304</v>
      </c>
      <c r="C728" s="0" t="s">
        <v>1455</v>
      </c>
      <c r="D728" s="0" t="s">
        <v>3671</v>
      </c>
      <c r="E728" s="0" t="n">
        <v>106.65</v>
      </c>
    </row>
    <row r="729" customFormat="false" ht="15" hidden="false" customHeight="false" outlineLevel="0" collapsed="false">
      <c r="A729" s="0" t="n">
        <v>39251</v>
      </c>
      <c r="B729" s="0" t="s">
        <v>4305</v>
      </c>
      <c r="C729" s="0" t="s">
        <v>1455</v>
      </c>
      <c r="D729" s="0" t="s">
        <v>3671</v>
      </c>
      <c r="E729" s="0" t="n">
        <v>0.7</v>
      </c>
    </row>
    <row r="730" customFormat="false" ht="15" hidden="false" customHeight="false" outlineLevel="0" collapsed="false">
      <c r="A730" s="0" t="n">
        <v>1011</v>
      </c>
      <c r="B730" s="0" t="s">
        <v>4306</v>
      </c>
      <c r="C730" s="0" t="s">
        <v>1455</v>
      </c>
      <c r="D730" s="0" t="s">
        <v>3671</v>
      </c>
      <c r="E730" s="0" t="n">
        <v>0.95</v>
      </c>
    </row>
    <row r="731" customFormat="false" ht="15" hidden="false" customHeight="false" outlineLevel="0" collapsed="false">
      <c r="A731" s="0" t="n">
        <v>39252</v>
      </c>
      <c r="B731" s="0" t="s">
        <v>4307</v>
      </c>
      <c r="C731" s="0" t="s">
        <v>1455</v>
      </c>
      <c r="D731" s="0" t="s">
        <v>3671</v>
      </c>
      <c r="E731" s="0" t="n">
        <v>1.25</v>
      </c>
    </row>
    <row r="732" customFormat="false" ht="15" hidden="false" customHeight="false" outlineLevel="0" collapsed="false">
      <c r="A732" s="0" t="n">
        <v>1013</v>
      </c>
      <c r="B732" s="0" t="s">
        <v>1528</v>
      </c>
      <c r="C732" s="0" t="s">
        <v>1455</v>
      </c>
      <c r="D732" s="0" t="s">
        <v>3671</v>
      </c>
      <c r="E732" s="0" t="n">
        <v>1.5</v>
      </c>
    </row>
    <row r="733" customFormat="false" ht="15" hidden="false" customHeight="false" outlineLevel="0" collapsed="false">
      <c r="A733" s="0" t="n">
        <v>980</v>
      </c>
      <c r="B733" s="0" t="s">
        <v>4308</v>
      </c>
      <c r="C733" s="0" t="s">
        <v>1455</v>
      </c>
      <c r="D733" s="0" t="s">
        <v>3671</v>
      </c>
      <c r="E733" s="0" t="n">
        <v>10.85</v>
      </c>
    </row>
    <row r="734" customFormat="false" ht="15" hidden="false" customHeight="false" outlineLevel="0" collapsed="false">
      <c r="A734" s="0" t="n">
        <v>39237</v>
      </c>
      <c r="B734" s="0" t="s">
        <v>4309</v>
      </c>
      <c r="C734" s="0" t="s">
        <v>1455</v>
      </c>
      <c r="D734" s="0" t="s">
        <v>3671</v>
      </c>
      <c r="E734" s="0" t="n">
        <v>115.44</v>
      </c>
    </row>
    <row r="735" customFormat="false" ht="15" hidden="false" customHeight="false" outlineLevel="0" collapsed="false">
      <c r="A735" s="0" t="n">
        <v>39238</v>
      </c>
      <c r="B735" s="0" t="s">
        <v>4310</v>
      </c>
      <c r="C735" s="0" t="s">
        <v>1455</v>
      </c>
      <c r="D735" s="0" t="s">
        <v>3671</v>
      </c>
      <c r="E735" s="0" t="n">
        <v>145.6</v>
      </c>
    </row>
    <row r="736" customFormat="false" ht="15" hidden="false" customHeight="false" outlineLevel="0" collapsed="false">
      <c r="A736" s="0" t="n">
        <v>979</v>
      </c>
      <c r="B736" s="0" t="s">
        <v>4311</v>
      </c>
      <c r="C736" s="0" t="s">
        <v>1455</v>
      </c>
      <c r="D736" s="0" t="s">
        <v>3671</v>
      </c>
      <c r="E736" s="0" t="n">
        <v>15.5</v>
      </c>
    </row>
    <row r="737" customFormat="false" ht="15" hidden="false" customHeight="false" outlineLevel="0" collapsed="false">
      <c r="A737" s="0" t="n">
        <v>39239</v>
      </c>
      <c r="B737" s="0" t="s">
        <v>4312</v>
      </c>
      <c r="C737" s="0" t="s">
        <v>1455</v>
      </c>
      <c r="D737" s="0" t="s">
        <v>3671</v>
      </c>
      <c r="E737" s="0" t="n">
        <v>175.9</v>
      </c>
    </row>
    <row r="738" customFormat="false" ht="15" hidden="false" customHeight="false" outlineLevel="0" collapsed="false">
      <c r="A738" s="0" t="n">
        <v>1014</v>
      </c>
      <c r="B738" s="0" t="s">
        <v>1529</v>
      </c>
      <c r="C738" s="0" t="s">
        <v>1455</v>
      </c>
      <c r="D738" s="0" t="s">
        <v>3671</v>
      </c>
      <c r="E738" s="0" t="n">
        <v>2.38</v>
      </c>
    </row>
    <row r="739" customFormat="false" ht="15" hidden="false" customHeight="false" outlineLevel="0" collapsed="false">
      <c r="A739" s="0" t="n">
        <v>39240</v>
      </c>
      <c r="B739" s="0" t="s">
        <v>4313</v>
      </c>
      <c r="C739" s="0" t="s">
        <v>1455</v>
      </c>
      <c r="D739" s="0" t="s">
        <v>3671</v>
      </c>
      <c r="E739" s="0" t="n">
        <v>231.35</v>
      </c>
    </row>
    <row r="740" customFormat="false" ht="15" hidden="false" customHeight="false" outlineLevel="0" collapsed="false">
      <c r="A740" s="0" t="n">
        <v>39232</v>
      </c>
      <c r="B740" s="0" t="s">
        <v>4314</v>
      </c>
      <c r="C740" s="0" t="s">
        <v>1455</v>
      </c>
      <c r="D740" s="0" t="s">
        <v>3671</v>
      </c>
      <c r="E740" s="0" t="n">
        <v>24.28</v>
      </c>
    </row>
    <row r="741" customFormat="false" ht="15" hidden="false" customHeight="false" outlineLevel="0" collapsed="false">
      <c r="A741" s="0" t="n">
        <v>39233</v>
      </c>
      <c r="B741" s="0" t="s">
        <v>4315</v>
      </c>
      <c r="C741" s="0" t="s">
        <v>1455</v>
      </c>
      <c r="D741" s="0" t="s">
        <v>3671</v>
      </c>
      <c r="E741" s="0" t="n">
        <v>35.39</v>
      </c>
    </row>
    <row r="742" customFormat="false" ht="15" hidden="false" customHeight="false" outlineLevel="0" collapsed="false">
      <c r="A742" s="0" t="n">
        <v>981</v>
      </c>
      <c r="B742" s="0" t="s">
        <v>2373</v>
      </c>
      <c r="C742" s="0" t="s">
        <v>1455</v>
      </c>
      <c r="D742" s="0" t="s">
        <v>3676</v>
      </c>
      <c r="E742" s="0" t="n">
        <v>3.95</v>
      </c>
    </row>
    <row r="743" customFormat="false" ht="15" hidden="false" customHeight="false" outlineLevel="0" collapsed="false">
      <c r="A743" s="0" t="n">
        <v>39234</v>
      </c>
      <c r="B743" s="0" t="s">
        <v>4316</v>
      </c>
      <c r="C743" s="0" t="s">
        <v>1455</v>
      </c>
      <c r="D743" s="0" t="s">
        <v>3671</v>
      </c>
      <c r="E743" s="0" t="n">
        <v>49.26</v>
      </c>
    </row>
    <row r="744" customFormat="false" ht="15" hidden="false" customHeight="false" outlineLevel="0" collapsed="false">
      <c r="A744" s="0" t="n">
        <v>982</v>
      </c>
      <c r="B744" s="0" t="s">
        <v>4317</v>
      </c>
      <c r="C744" s="0" t="s">
        <v>1455</v>
      </c>
      <c r="D744" s="0" t="s">
        <v>3671</v>
      </c>
      <c r="E744" s="0" t="n">
        <v>5.68</v>
      </c>
    </row>
    <row r="745" customFormat="false" ht="15" hidden="false" customHeight="false" outlineLevel="0" collapsed="false">
      <c r="A745" s="0" t="n">
        <v>39235</v>
      </c>
      <c r="B745" s="0" t="s">
        <v>4318</v>
      </c>
      <c r="C745" s="0" t="s">
        <v>1455</v>
      </c>
      <c r="D745" s="0" t="s">
        <v>3671</v>
      </c>
      <c r="E745" s="0" t="n">
        <v>72.65</v>
      </c>
    </row>
    <row r="746" customFormat="false" ht="15" hidden="false" customHeight="false" outlineLevel="0" collapsed="false">
      <c r="A746" s="0" t="n">
        <v>39236</v>
      </c>
      <c r="B746" s="0" t="s">
        <v>4319</v>
      </c>
      <c r="C746" s="0" t="s">
        <v>1455</v>
      </c>
      <c r="D746" s="0" t="s">
        <v>3671</v>
      </c>
      <c r="E746" s="0" t="n">
        <v>96.29</v>
      </c>
    </row>
    <row r="747" customFormat="false" ht="15" hidden="false" customHeight="false" outlineLevel="0" collapsed="false">
      <c r="A747" s="0" t="n">
        <v>993</v>
      </c>
      <c r="B747" s="0" t="s">
        <v>4320</v>
      </c>
      <c r="C747" s="0" t="s">
        <v>1455</v>
      </c>
      <c r="D747" s="0" t="s">
        <v>3671</v>
      </c>
      <c r="E747" s="0" t="n">
        <v>2.03</v>
      </c>
    </row>
    <row r="748" customFormat="false" ht="15" hidden="false" customHeight="false" outlineLevel="0" collapsed="false">
      <c r="A748" s="0" t="n">
        <v>1020</v>
      </c>
      <c r="B748" s="0" t="s">
        <v>2358</v>
      </c>
      <c r="C748" s="0" t="s">
        <v>1455</v>
      </c>
      <c r="D748" s="0" t="s">
        <v>3671</v>
      </c>
      <c r="E748" s="0" t="n">
        <v>10.35</v>
      </c>
    </row>
    <row r="749" customFormat="false" ht="15" hidden="false" customHeight="false" outlineLevel="0" collapsed="false">
      <c r="A749" s="0" t="n">
        <v>1017</v>
      </c>
      <c r="B749" s="0" t="s">
        <v>4321</v>
      </c>
      <c r="C749" s="0" t="s">
        <v>1455</v>
      </c>
      <c r="D749" s="0" t="s">
        <v>3671</v>
      </c>
      <c r="E749" s="0" t="n">
        <v>126.81</v>
      </c>
    </row>
    <row r="750" customFormat="false" ht="15" hidden="false" customHeight="false" outlineLevel="0" collapsed="false">
      <c r="A750" s="0" t="n">
        <v>999</v>
      </c>
      <c r="B750" s="0" t="s">
        <v>4322</v>
      </c>
      <c r="C750" s="0" t="s">
        <v>1455</v>
      </c>
      <c r="D750" s="0" t="s">
        <v>3671</v>
      </c>
      <c r="E750" s="0" t="n">
        <v>153.63</v>
      </c>
    </row>
    <row r="751" customFormat="false" ht="15" hidden="false" customHeight="false" outlineLevel="0" collapsed="false">
      <c r="A751" s="0" t="n">
        <v>995</v>
      </c>
      <c r="B751" s="0" t="s">
        <v>2360</v>
      </c>
      <c r="C751" s="0" t="s">
        <v>1455</v>
      </c>
      <c r="D751" s="0" t="s">
        <v>3671</v>
      </c>
      <c r="E751" s="0" t="n">
        <v>16.48</v>
      </c>
    </row>
    <row r="752" customFormat="false" ht="15" hidden="false" customHeight="false" outlineLevel="0" collapsed="false">
      <c r="A752" s="0" t="n">
        <v>1000</v>
      </c>
      <c r="B752" s="0" t="s">
        <v>4323</v>
      </c>
      <c r="C752" s="0" t="s">
        <v>1455</v>
      </c>
      <c r="D752" s="0" t="s">
        <v>3671</v>
      </c>
      <c r="E752" s="0" t="n">
        <v>188.71</v>
      </c>
    </row>
    <row r="753" customFormat="false" ht="15" hidden="false" customHeight="false" outlineLevel="0" collapsed="false">
      <c r="A753" s="0" t="n">
        <v>1022</v>
      </c>
      <c r="B753" s="0" t="s">
        <v>4324</v>
      </c>
      <c r="C753" s="0" t="s">
        <v>1455</v>
      </c>
      <c r="D753" s="0" t="s">
        <v>3671</v>
      </c>
      <c r="E753" s="0" t="n">
        <v>2.83</v>
      </c>
    </row>
    <row r="754" customFormat="false" ht="15" hidden="false" customHeight="false" outlineLevel="0" collapsed="false">
      <c r="A754" s="0" t="n">
        <v>1015</v>
      </c>
      <c r="B754" s="0" t="s">
        <v>4325</v>
      </c>
      <c r="C754" s="0" t="s">
        <v>1455</v>
      </c>
      <c r="D754" s="0" t="s">
        <v>3671</v>
      </c>
      <c r="E754" s="0" t="n">
        <v>250.76</v>
      </c>
    </row>
    <row r="755" customFormat="false" ht="15" hidden="false" customHeight="false" outlineLevel="0" collapsed="false">
      <c r="A755" s="0" t="n">
        <v>996</v>
      </c>
      <c r="B755" s="0" t="s">
        <v>2362</v>
      </c>
      <c r="C755" s="0" t="s">
        <v>1455</v>
      </c>
      <c r="D755" s="0" t="s">
        <v>3671</v>
      </c>
      <c r="E755" s="0" t="n">
        <v>25.55</v>
      </c>
    </row>
    <row r="756" customFormat="false" ht="15" hidden="false" customHeight="false" outlineLevel="0" collapsed="false">
      <c r="A756" s="0" t="n">
        <v>1001</v>
      </c>
      <c r="B756" s="0" t="s">
        <v>4326</v>
      </c>
      <c r="C756" s="0" t="s">
        <v>1455</v>
      </c>
      <c r="D756" s="0" t="s">
        <v>3671</v>
      </c>
      <c r="E756" s="0" t="n">
        <v>325.36</v>
      </c>
    </row>
    <row r="757" customFormat="false" ht="15" hidden="false" customHeight="false" outlineLevel="0" collapsed="false">
      <c r="A757" s="0" t="n">
        <v>1019</v>
      </c>
      <c r="B757" s="0" t="s">
        <v>2364</v>
      </c>
      <c r="C757" s="0" t="s">
        <v>1455</v>
      </c>
      <c r="D757" s="0" t="s">
        <v>3671</v>
      </c>
      <c r="E757" s="0" t="n">
        <v>36.1</v>
      </c>
    </row>
    <row r="758" customFormat="false" ht="15" hidden="false" customHeight="false" outlineLevel="0" collapsed="false">
      <c r="A758" s="0" t="n">
        <v>1021</v>
      </c>
      <c r="B758" s="0" t="s">
        <v>4327</v>
      </c>
      <c r="C758" s="0" t="s">
        <v>1455</v>
      </c>
      <c r="D758" s="0" t="s">
        <v>3671</v>
      </c>
      <c r="E758" s="0" t="n">
        <v>4.34</v>
      </c>
    </row>
    <row r="759" customFormat="false" ht="15" hidden="false" customHeight="false" outlineLevel="0" collapsed="false">
      <c r="A759" s="0" t="n">
        <v>39249</v>
      </c>
      <c r="B759" s="0" t="s">
        <v>4328</v>
      </c>
      <c r="C759" s="0" t="s">
        <v>1455</v>
      </c>
      <c r="D759" s="0" t="s">
        <v>3671</v>
      </c>
      <c r="E759" s="0" t="n">
        <v>437.47</v>
      </c>
    </row>
    <row r="760" customFormat="false" ht="15" hidden="false" customHeight="false" outlineLevel="0" collapsed="false">
      <c r="A760" s="0" t="n">
        <v>1018</v>
      </c>
      <c r="B760" s="0" t="s">
        <v>2366</v>
      </c>
      <c r="C760" s="0" t="s">
        <v>1455</v>
      </c>
      <c r="D760" s="0" t="s">
        <v>3671</v>
      </c>
      <c r="E760" s="0" t="n">
        <v>53.39</v>
      </c>
    </row>
    <row r="761" customFormat="false" ht="15" hidden="false" customHeight="false" outlineLevel="0" collapsed="false">
      <c r="A761" s="0" t="n">
        <v>39250</v>
      </c>
      <c r="B761" s="0" t="s">
        <v>4329</v>
      </c>
      <c r="C761" s="0" t="s">
        <v>1455</v>
      </c>
      <c r="D761" s="0" t="s">
        <v>3671</v>
      </c>
      <c r="E761" s="0" t="n">
        <v>523.31</v>
      </c>
    </row>
    <row r="762" customFormat="false" ht="15" hidden="false" customHeight="false" outlineLevel="0" collapsed="false">
      <c r="A762" s="0" t="n">
        <v>994</v>
      </c>
      <c r="B762" s="0" t="s">
        <v>4330</v>
      </c>
      <c r="C762" s="0" t="s">
        <v>1455</v>
      </c>
      <c r="D762" s="0" t="s">
        <v>3671</v>
      </c>
      <c r="E762" s="0" t="n">
        <v>6.31</v>
      </c>
    </row>
    <row r="763" customFormat="false" ht="15" hidden="false" customHeight="false" outlineLevel="0" collapsed="false">
      <c r="A763" s="0" t="n">
        <v>977</v>
      </c>
      <c r="B763" s="0" t="s">
        <v>2368</v>
      </c>
      <c r="C763" s="0" t="s">
        <v>1455</v>
      </c>
      <c r="D763" s="0" t="s">
        <v>3671</v>
      </c>
      <c r="E763" s="0" t="n">
        <v>74.69</v>
      </c>
    </row>
    <row r="764" customFormat="false" ht="15" hidden="false" customHeight="false" outlineLevel="0" collapsed="false">
      <c r="A764" s="0" t="n">
        <v>998</v>
      </c>
      <c r="B764" s="0" t="s">
        <v>2370</v>
      </c>
      <c r="C764" s="0" t="s">
        <v>1455</v>
      </c>
      <c r="D764" s="0" t="s">
        <v>3671</v>
      </c>
      <c r="E764" s="0" t="n">
        <v>96.97</v>
      </c>
    </row>
    <row r="765" customFormat="false" ht="15" hidden="false" customHeight="false" outlineLevel="0" collapsed="false">
      <c r="A765" s="0" t="n">
        <v>1006</v>
      </c>
      <c r="B765" s="0" t="s">
        <v>4331</v>
      </c>
      <c r="C765" s="0" t="s">
        <v>1455</v>
      </c>
      <c r="D765" s="0" t="s">
        <v>3671</v>
      </c>
      <c r="E765" s="0" t="n">
        <v>128.49</v>
      </c>
    </row>
    <row r="766" customFormat="false" ht="15" hidden="false" customHeight="false" outlineLevel="0" collapsed="false">
      <c r="A766" s="0" t="n">
        <v>990</v>
      </c>
      <c r="B766" s="0" t="s">
        <v>4332</v>
      </c>
      <c r="C766" s="0" t="s">
        <v>1455</v>
      </c>
      <c r="D766" s="0" t="s">
        <v>3671</v>
      </c>
      <c r="E766" s="0" t="n">
        <v>170.85</v>
      </c>
    </row>
    <row r="767" customFormat="false" ht="15" hidden="false" customHeight="false" outlineLevel="0" collapsed="false">
      <c r="A767" s="0" t="n">
        <v>39241</v>
      </c>
      <c r="B767" s="0" t="s">
        <v>4333</v>
      </c>
      <c r="C767" s="0" t="s">
        <v>1455</v>
      </c>
      <c r="D767" s="0" t="s">
        <v>3671</v>
      </c>
      <c r="E767" s="0" t="n">
        <v>16.82</v>
      </c>
    </row>
    <row r="768" customFormat="false" ht="15" hidden="false" customHeight="false" outlineLevel="0" collapsed="false">
      <c r="A768" s="0" t="n">
        <v>1005</v>
      </c>
      <c r="B768" s="0" t="s">
        <v>4334</v>
      </c>
      <c r="C768" s="0" t="s">
        <v>1455</v>
      </c>
      <c r="D768" s="0" t="s">
        <v>3671</v>
      </c>
      <c r="E768" s="0" t="n">
        <v>212.72</v>
      </c>
    </row>
    <row r="769" customFormat="false" ht="15" hidden="false" customHeight="false" outlineLevel="0" collapsed="false">
      <c r="A769" s="0" t="n">
        <v>991</v>
      </c>
      <c r="B769" s="0" t="s">
        <v>4335</v>
      </c>
      <c r="C769" s="0" t="s">
        <v>1455</v>
      </c>
      <c r="D769" s="0" t="s">
        <v>3671</v>
      </c>
      <c r="E769" s="0" t="n">
        <v>278.62</v>
      </c>
    </row>
    <row r="770" customFormat="false" ht="15" hidden="false" customHeight="false" outlineLevel="0" collapsed="false">
      <c r="A770" s="0" t="n">
        <v>986</v>
      </c>
      <c r="B770" s="0" t="s">
        <v>4336</v>
      </c>
      <c r="C770" s="0" t="s">
        <v>1455</v>
      </c>
      <c r="D770" s="0" t="s">
        <v>3671</v>
      </c>
      <c r="E770" s="0" t="n">
        <v>26.57</v>
      </c>
    </row>
    <row r="771" customFormat="false" ht="15" hidden="false" customHeight="false" outlineLevel="0" collapsed="false">
      <c r="A771" s="0" t="n">
        <v>987</v>
      </c>
      <c r="B771" s="0" t="s">
        <v>4337</v>
      </c>
      <c r="C771" s="0" t="s">
        <v>1455</v>
      </c>
      <c r="D771" s="0" t="s">
        <v>3671</v>
      </c>
      <c r="E771" s="0" t="n">
        <v>36.38</v>
      </c>
    </row>
    <row r="772" customFormat="false" ht="15" hidden="false" customHeight="false" outlineLevel="0" collapsed="false">
      <c r="A772" s="0" t="n">
        <v>1007</v>
      </c>
      <c r="B772" s="0" t="s">
        <v>4338</v>
      </c>
      <c r="C772" s="0" t="s">
        <v>1455</v>
      </c>
      <c r="D772" s="0" t="s">
        <v>3671</v>
      </c>
      <c r="E772" s="0" t="n">
        <v>50.36</v>
      </c>
    </row>
    <row r="773" customFormat="false" ht="15" hidden="false" customHeight="false" outlineLevel="0" collapsed="false">
      <c r="A773" s="0" t="n">
        <v>1008</v>
      </c>
      <c r="B773" s="0" t="s">
        <v>4339</v>
      </c>
      <c r="C773" s="0" t="s">
        <v>1455</v>
      </c>
      <c r="D773" s="0" t="s">
        <v>3671</v>
      </c>
      <c r="E773" s="0" t="n">
        <v>6.39</v>
      </c>
    </row>
    <row r="774" customFormat="false" ht="15" hidden="false" customHeight="false" outlineLevel="0" collapsed="false">
      <c r="A774" s="0" t="n">
        <v>988</v>
      </c>
      <c r="B774" s="0" t="s">
        <v>4340</v>
      </c>
      <c r="C774" s="0" t="s">
        <v>1455</v>
      </c>
      <c r="D774" s="0" t="s">
        <v>3671</v>
      </c>
      <c r="E774" s="0" t="n">
        <v>69.43</v>
      </c>
    </row>
    <row r="775" customFormat="false" ht="15" hidden="false" customHeight="false" outlineLevel="0" collapsed="false">
      <c r="A775" s="0" t="n">
        <v>989</v>
      </c>
      <c r="B775" s="0" t="s">
        <v>4341</v>
      </c>
      <c r="C775" s="0" t="s">
        <v>1455</v>
      </c>
      <c r="D775" s="0" t="s">
        <v>3671</v>
      </c>
      <c r="E775" s="0" t="n">
        <v>95.84</v>
      </c>
    </row>
    <row r="776" customFormat="false" ht="15" hidden="false" customHeight="false" outlineLevel="0" collapsed="false">
      <c r="A776" s="0" t="n">
        <v>43972</v>
      </c>
      <c r="B776" s="0" t="s">
        <v>4342</v>
      </c>
      <c r="C776" s="0" t="s">
        <v>1455</v>
      </c>
      <c r="D776" s="0" t="s">
        <v>3671</v>
      </c>
      <c r="E776" s="0" t="n">
        <v>3.81</v>
      </c>
    </row>
    <row r="777" customFormat="false" ht="15" hidden="false" customHeight="false" outlineLevel="0" collapsed="false">
      <c r="A777" s="0" t="n">
        <v>43971</v>
      </c>
      <c r="B777" s="0" t="s">
        <v>4343</v>
      </c>
      <c r="C777" s="0" t="s">
        <v>1455</v>
      </c>
      <c r="D777" s="0" t="s">
        <v>3676</v>
      </c>
      <c r="E777" s="0" t="n">
        <v>2.91</v>
      </c>
    </row>
    <row r="778" customFormat="false" ht="15" hidden="false" customHeight="false" outlineLevel="0" collapsed="false">
      <c r="A778" s="0" t="n">
        <v>39598</v>
      </c>
      <c r="B778" s="0" t="s">
        <v>4344</v>
      </c>
      <c r="C778" s="0" t="s">
        <v>1455</v>
      </c>
      <c r="D778" s="0" t="s">
        <v>3671</v>
      </c>
      <c r="E778" s="0" t="n">
        <v>5.39</v>
      </c>
    </row>
    <row r="779" customFormat="false" ht="15" hidden="false" customHeight="false" outlineLevel="0" collapsed="false">
      <c r="A779" s="0" t="n">
        <v>43973</v>
      </c>
      <c r="B779" s="0" t="s">
        <v>4345</v>
      </c>
      <c r="C779" s="0" t="s">
        <v>1455</v>
      </c>
      <c r="D779" s="0" t="s">
        <v>3671</v>
      </c>
      <c r="E779" s="0" t="n">
        <v>3.98</v>
      </c>
    </row>
    <row r="780" customFormat="false" ht="15" hidden="false" customHeight="false" outlineLevel="0" collapsed="false">
      <c r="A780" s="0" t="n">
        <v>39599</v>
      </c>
      <c r="B780" s="0" t="s">
        <v>2560</v>
      </c>
      <c r="C780" s="0" t="s">
        <v>1455</v>
      </c>
      <c r="D780" s="0" t="s">
        <v>3671</v>
      </c>
      <c r="E780" s="0" t="n">
        <v>7.76</v>
      </c>
    </row>
    <row r="781" customFormat="false" ht="15" hidden="false" customHeight="false" outlineLevel="0" collapsed="false">
      <c r="A781" s="0" t="n">
        <v>43832</v>
      </c>
      <c r="B781" s="0" t="s">
        <v>4346</v>
      </c>
      <c r="C781" s="0" t="s">
        <v>1455</v>
      </c>
      <c r="D781" s="0" t="s">
        <v>3671</v>
      </c>
      <c r="E781" s="0" t="n">
        <v>20.45</v>
      </c>
    </row>
    <row r="782" customFormat="false" ht="15" hidden="false" customHeight="false" outlineLevel="0" collapsed="false">
      <c r="A782" s="0" t="n">
        <v>34602</v>
      </c>
      <c r="B782" s="0" t="s">
        <v>4347</v>
      </c>
      <c r="C782" s="0" t="s">
        <v>1455</v>
      </c>
      <c r="D782" s="0" t="s">
        <v>3671</v>
      </c>
      <c r="E782" s="0" t="n">
        <v>4.4</v>
      </c>
    </row>
    <row r="783" customFormat="false" ht="15" hidden="false" customHeight="false" outlineLevel="0" collapsed="false">
      <c r="A783" s="0" t="n">
        <v>34607</v>
      </c>
      <c r="B783" s="0" t="s">
        <v>4348</v>
      </c>
      <c r="C783" s="0" t="s">
        <v>1455</v>
      </c>
      <c r="D783" s="0" t="s">
        <v>3671</v>
      </c>
      <c r="E783" s="0" t="n">
        <v>10.77</v>
      </c>
    </row>
    <row r="784" customFormat="false" ht="15" hidden="false" customHeight="false" outlineLevel="0" collapsed="false">
      <c r="A784" s="0" t="n">
        <v>34609</v>
      </c>
      <c r="B784" s="0" t="s">
        <v>4349</v>
      </c>
      <c r="C784" s="0" t="s">
        <v>1455</v>
      </c>
      <c r="D784" s="0" t="s">
        <v>3671</v>
      </c>
      <c r="E784" s="0" t="n">
        <v>15.67</v>
      </c>
    </row>
    <row r="785" customFormat="false" ht="15" hidden="false" customHeight="false" outlineLevel="0" collapsed="false">
      <c r="A785" s="0" t="n">
        <v>34618</v>
      </c>
      <c r="B785" s="0" t="s">
        <v>4350</v>
      </c>
      <c r="C785" s="0" t="s">
        <v>1455</v>
      </c>
      <c r="D785" s="0" t="s">
        <v>3671</v>
      </c>
      <c r="E785" s="0" t="n">
        <v>5.99</v>
      </c>
    </row>
    <row r="786" customFormat="false" ht="15" hidden="false" customHeight="false" outlineLevel="0" collapsed="false">
      <c r="A786" s="0" t="n">
        <v>34621</v>
      </c>
      <c r="B786" s="0" t="s">
        <v>4351</v>
      </c>
      <c r="C786" s="0" t="s">
        <v>1455</v>
      </c>
      <c r="D786" s="0" t="s">
        <v>3671</v>
      </c>
      <c r="E786" s="0" t="n">
        <v>14.85</v>
      </c>
    </row>
    <row r="787" customFormat="false" ht="15" hidden="false" customHeight="false" outlineLevel="0" collapsed="false">
      <c r="A787" s="0" t="n">
        <v>34622</v>
      </c>
      <c r="B787" s="0" t="s">
        <v>4352</v>
      </c>
      <c r="C787" s="0" t="s">
        <v>1455</v>
      </c>
      <c r="D787" s="0" t="s">
        <v>3671</v>
      </c>
      <c r="E787" s="0" t="n">
        <v>22.06</v>
      </c>
    </row>
    <row r="788" customFormat="false" ht="15" hidden="false" customHeight="false" outlineLevel="0" collapsed="false">
      <c r="A788" s="0" t="n">
        <v>34624</v>
      </c>
      <c r="B788" s="0" t="s">
        <v>4353</v>
      </c>
      <c r="C788" s="0" t="s">
        <v>1455</v>
      </c>
      <c r="D788" s="0" t="s">
        <v>3671</v>
      </c>
      <c r="E788" s="0" t="n">
        <v>8</v>
      </c>
    </row>
    <row r="789" customFormat="false" ht="15" hidden="false" customHeight="false" outlineLevel="0" collapsed="false">
      <c r="A789" s="0" t="n">
        <v>34627</v>
      </c>
      <c r="B789" s="0" t="s">
        <v>4354</v>
      </c>
      <c r="C789" s="0" t="s">
        <v>1455</v>
      </c>
      <c r="D789" s="0" t="s">
        <v>3671</v>
      </c>
      <c r="E789" s="0" t="n">
        <v>19.3</v>
      </c>
    </row>
    <row r="790" customFormat="false" ht="15" hidden="false" customHeight="false" outlineLevel="0" collapsed="false">
      <c r="A790" s="0" t="n">
        <v>34629</v>
      </c>
      <c r="B790" s="0" t="s">
        <v>4355</v>
      </c>
      <c r="C790" s="0" t="s">
        <v>1455</v>
      </c>
      <c r="D790" s="0" t="s">
        <v>3671</v>
      </c>
      <c r="E790" s="0" t="n">
        <v>29.48</v>
      </c>
    </row>
    <row r="791" customFormat="false" ht="15" hidden="false" customHeight="false" outlineLevel="0" collapsed="false">
      <c r="A791" s="0" t="n">
        <v>39257</v>
      </c>
      <c r="B791" s="0" t="s">
        <v>2750</v>
      </c>
      <c r="C791" s="0" t="s">
        <v>1455</v>
      </c>
      <c r="D791" s="0" t="s">
        <v>3671</v>
      </c>
      <c r="E791" s="0" t="n">
        <v>6</v>
      </c>
    </row>
    <row r="792" customFormat="false" ht="15" hidden="false" customHeight="false" outlineLevel="0" collapsed="false">
      <c r="A792" s="0" t="n">
        <v>39261</v>
      </c>
      <c r="B792" s="0" t="s">
        <v>4356</v>
      </c>
      <c r="C792" s="0" t="s">
        <v>1455</v>
      </c>
      <c r="D792" s="0" t="s">
        <v>3671</v>
      </c>
      <c r="E792" s="0" t="n">
        <v>34.35</v>
      </c>
    </row>
    <row r="793" customFormat="false" ht="15" hidden="false" customHeight="false" outlineLevel="0" collapsed="false">
      <c r="A793" s="0" t="n">
        <v>39268</v>
      </c>
      <c r="B793" s="0" t="s">
        <v>4357</v>
      </c>
      <c r="C793" s="0" t="s">
        <v>1455</v>
      </c>
      <c r="D793" s="0" t="s">
        <v>3671</v>
      </c>
      <c r="E793" s="0" t="n">
        <v>536.89</v>
      </c>
    </row>
    <row r="794" customFormat="false" ht="15" hidden="false" customHeight="false" outlineLevel="0" collapsed="false">
      <c r="A794" s="0" t="n">
        <v>39262</v>
      </c>
      <c r="B794" s="0" t="s">
        <v>4358</v>
      </c>
      <c r="C794" s="0" t="s">
        <v>1455</v>
      </c>
      <c r="D794" s="0" t="s">
        <v>3671</v>
      </c>
      <c r="E794" s="0" t="n">
        <v>54.7</v>
      </c>
    </row>
    <row r="795" customFormat="false" ht="15" hidden="false" customHeight="false" outlineLevel="0" collapsed="false">
      <c r="A795" s="0" t="n">
        <v>39258</v>
      </c>
      <c r="B795" s="0" t="s">
        <v>2535</v>
      </c>
      <c r="C795" s="0" t="s">
        <v>1455</v>
      </c>
      <c r="D795" s="0" t="s">
        <v>3671</v>
      </c>
      <c r="E795" s="0" t="n">
        <v>9.04</v>
      </c>
    </row>
    <row r="796" customFormat="false" ht="15" hidden="false" customHeight="false" outlineLevel="0" collapsed="false">
      <c r="A796" s="0" t="n">
        <v>39263</v>
      </c>
      <c r="B796" s="0" t="s">
        <v>4359</v>
      </c>
      <c r="C796" s="0" t="s">
        <v>1455</v>
      </c>
      <c r="D796" s="0" t="s">
        <v>3671</v>
      </c>
      <c r="E796" s="0" t="n">
        <v>94.58</v>
      </c>
    </row>
    <row r="797" customFormat="false" ht="15" hidden="false" customHeight="false" outlineLevel="0" collapsed="false">
      <c r="A797" s="0" t="n">
        <v>39264</v>
      </c>
      <c r="B797" s="0" t="s">
        <v>4360</v>
      </c>
      <c r="C797" s="0" t="s">
        <v>1455</v>
      </c>
      <c r="D797" s="0" t="s">
        <v>3671</v>
      </c>
      <c r="E797" s="0" t="n">
        <v>131.02</v>
      </c>
    </row>
    <row r="798" customFormat="false" ht="15" hidden="false" customHeight="false" outlineLevel="0" collapsed="false">
      <c r="A798" s="0" t="n">
        <v>39259</v>
      </c>
      <c r="B798" s="0" t="s">
        <v>4361</v>
      </c>
      <c r="C798" s="0" t="s">
        <v>1455</v>
      </c>
      <c r="D798" s="0" t="s">
        <v>3671</v>
      </c>
      <c r="E798" s="0" t="n">
        <v>13.92</v>
      </c>
    </row>
    <row r="799" customFormat="false" ht="15" hidden="false" customHeight="false" outlineLevel="0" collapsed="false">
      <c r="A799" s="0" t="n">
        <v>39265</v>
      </c>
      <c r="B799" s="0" t="s">
        <v>4362</v>
      </c>
      <c r="C799" s="0" t="s">
        <v>1455</v>
      </c>
      <c r="D799" s="0" t="s">
        <v>3671</v>
      </c>
      <c r="E799" s="0" t="n">
        <v>177.88</v>
      </c>
    </row>
    <row r="800" customFormat="false" ht="15" hidden="false" customHeight="false" outlineLevel="0" collapsed="false">
      <c r="A800" s="0" t="n">
        <v>39260</v>
      </c>
      <c r="B800" s="0" t="s">
        <v>4363</v>
      </c>
      <c r="C800" s="0" t="s">
        <v>1455</v>
      </c>
      <c r="D800" s="0" t="s">
        <v>3671</v>
      </c>
      <c r="E800" s="0" t="n">
        <v>21.32</v>
      </c>
    </row>
    <row r="801" customFormat="false" ht="15" hidden="false" customHeight="false" outlineLevel="0" collapsed="false">
      <c r="A801" s="0" t="n">
        <v>39266</v>
      </c>
      <c r="B801" s="0" t="s">
        <v>4364</v>
      </c>
      <c r="C801" s="0" t="s">
        <v>1455</v>
      </c>
      <c r="D801" s="0" t="s">
        <v>3671</v>
      </c>
      <c r="E801" s="0" t="n">
        <v>268.42</v>
      </c>
    </row>
    <row r="802" customFormat="false" ht="15" hidden="false" customHeight="false" outlineLevel="0" collapsed="false">
      <c r="A802" s="0" t="n">
        <v>39267</v>
      </c>
      <c r="B802" s="0" t="s">
        <v>4365</v>
      </c>
      <c r="C802" s="0" t="s">
        <v>1455</v>
      </c>
      <c r="D802" s="0" t="s">
        <v>3671</v>
      </c>
      <c r="E802" s="0" t="n">
        <v>335.6</v>
      </c>
    </row>
    <row r="803" customFormat="false" ht="15" hidden="false" customHeight="false" outlineLevel="0" collapsed="false">
      <c r="A803" s="0" t="n">
        <v>11901</v>
      </c>
      <c r="B803" s="0" t="s">
        <v>4366</v>
      </c>
      <c r="C803" s="0" t="s">
        <v>1455</v>
      </c>
      <c r="D803" s="0" t="s">
        <v>3671</v>
      </c>
      <c r="E803" s="0" t="n">
        <v>0.7</v>
      </c>
    </row>
    <row r="804" customFormat="false" ht="15" hidden="false" customHeight="false" outlineLevel="0" collapsed="false">
      <c r="A804" s="0" t="n">
        <v>11902</v>
      </c>
      <c r="B804" s="0" t="s">
        <v>4367</v>
      </c>
      <c r="C804" s="0" t="s">
        <v>1455</v>
      </c>
      <c r="D804" s="0" t="s">
        <v>3671</v>
      </c>
      <c r="E804" s="0" t="n">
        <v>1.34</v>
      </c>
    </row>
    <row r="805" customFormat="false" ht="15" hidden="false" customHeight="false" outlineLevel="0" collapsed="false">
      <c r="A805" s="0" t="n">
        <v>11903</v>
      </c>
      <c r="B805" s="0" t="s">
        <v>4368</v>
      </c>
      <c r="C805" s="0" t="s">
        <v>1455</v>
      </c>
      <c r="D805" s="0" t="s">
        <v>3671</v>
      </c>
      <c r="E805" s="0" t="n">
        <v>1.41</v>
      </c>
    </row>
    <row r="806" customFormat="false" ht="15" hidden="false" customHeight="false" outlineLevel="0" collapsed="false">
      <c r="A806" s="0" t="n">
        <v>11904</v>
      </c>
      <c r="B806" s="0" t="s">
        <v>4369</v>
      </c>
      <c r="C806" s="0" t="s">
        <v>1455</v>
      </c>
      <c r="D806" s="0" t="s">
        <v>3671</v>
      </c>
      <c r="E806" s="0" t="n">
        <v>2.15</v>
      </c>
    </row>
    <row r="807" customFormat="false" ht="15" hidden="false" customHeight="false" outlineLevel="0" collapsed="false">
      <c r="A807" s="0" t="n">
        <v>11905</v>
      </c>
      <c r="B807" s="0" t="s">
        <v>4370</v>
      </c>
      <c r="C807" s="0" t="s">
        <v>1455</v>
      </c>
      <c r="D807" s="0" t="s">
        <v>3671</v>
      </c>
      <c r="E807" s="0" t="n">
        <v>2.62</v>
      </c>
    </row>
    <row r="808" customFormat="false" ht="15" hidden="false" customHeight="false" outlineLevel="0" collapsed="false">
      <c r="A808" s="0" t="n">
        <v>11906</v>
      </c>
      <c r="B808" s="0" t="s">
        <v>4371</v>
      </c>
      <c r="C808" s="0" t="s">
        <v>1455</v>
      </c>
      <c r="D808" s="0" t="s">
        <v>3671</v>
      </c>
      <c r="E808" s="0" t="n">
        <v>3.33</v>
      </c>
    </row>
    <row r="809" customFormat="false" ht="15" hidden="false" customHeight="false" outlineLevel="0" collapsed="false">
      <c r="A809" s="0" t="n">
        <v>11919</v>
      </c>
      <c r="B809" s="0" t="s">
        <v>4372</v>
      </c>
      <c r="C809" s="0" t="s">
        <v>1455</v>
      </c>
      <c r="D809" s="0" t="s">
        <v>3671</v>
      </c>
      <c r="E809" s="0" t="n">
        <v>6.1</v>
      </c>
    </row>
    <row r="810" customFormat="false" ht="15" hidden="false" customHeight="false" outlineLevel="0" collapsed="false">
      <c r="A810" s="0" t="n">
        <v>11920</v>
      </c>
      <c r="B810" s="0" t="s">
        <v>4373</v>
      </c>
      <c r="C810" s="0" t="s">
        <v>1455</v>
      </c>
      <c r="D810" s="0" t="s">
        <v>3671</v>
      </c>
      <c r="E810" s="0" t="n">
        <v>11.6</v>
      </c>
    </row>
    <row r="811" customFormat="false" ht="15" hidden="false" customHeight="false" outlineLevel="0" collapsed="false">
      <c r="A811" s="0" t="n">
        <v>11924</v>
      </c>
      <c r="B811" s="0" t="s">
        <v>4374</v>
      </c>
      <c r="C811" s="0" t="s">
        <v>1455</v>
      </c>
      <c r="D811" s="0" t="s">
        <v>3671</v>
      </c>
      <c r="E811" s="0" t="n">
        <v>97.35</v>
      </c>
    </row>
    <row r="812" customFormat="false" ht="15" hidden="false" customHeight="false" outlineLevel="0" collapsed="false">
      <c r="A812" s="0" t="n">
        <v>11921</v>
      </c>
      <c r="B812" s="0" t="s">
        <v>4375</v>
      </c>
      <c r="C812" s="0" t="s">
        <v>1455</v>
      </c>
      <c r="D812" s="0" t="s">
        <v>3671</v>
      </c>
      <c r="E812" s="0" t="n">
        <v>16.97</v>
      </c>
    </row>
    <row r="813" customFormat="false" ht="15" hidden="false" customHeight="false" outlineLevel="0" collapsed="false">
      <c r="A813" s="0" t="n">
        <v>11922</v>
      </c>
      <c r="B813" s="0" t="s">
        <v>4376</v>
      </c>
      <c r="C813" s="0" t="s">
        <v>1455</v>
      </c>
      <c r="D813" s="0" t="s">
        <v>3671</v>
      </c>
      <c r="E813" s="0" t="n">
        <v>27.44</v>
      </c>
    </row>
    <row r="814" customFormat="false" ht="15" hidden="false" customHeight="false" outlineLevel="0" collapsed="false">
      <c r="A814" s="0" t="n">
        <v>11923</v>
      </c>
      <c r="B814" s="0" t="s">
        <v>4377</v>
      </c>
      <c r="C814" s="0" t="s">
        <v>1455</v>
      </c>
      <c r="D814" s="0" t="s">
        <v>3671</v>
      </c>
      <c r="E814" s="0" t="n">
        <v>40.17</v>
      </c>
    </row>
    <row r="815" customFormat="false" ht="15" hidden="false" customHeight="false" outlineLevel="0" collapsed="false">
      <c r="A815" s="0" t="n">
        <v>11916</v>
      </c>
      <c r="B815" s="0" t="s">
        <v>4378</v>
      </c>
      <c r="C815" s="0" t="s">
        <v>1455</v>
      </c>
      <c r="D815" s="0" t="s">
        <v>3671</v>
      </c>
      <c r="E815" s="0" t="n">
        <v>8.35</v>
      </c>
    </row>
    <row r="816" customFormat="false" ht="15" hidden="false" customHeight="false" outlineLevel="0" collapsed="false">
      <c r="A816" s="0" t="n">
        <v>11914</v>
      </c>
      <c r="B816" s="0" t="s">
        <v>4379</v>
      </c>
      <c r="C816" s="0" t="s">
        <v>1455</v>
      </c>
      <c r="D816" s="0" t="s">
        <v>3671</v>
      </c>
      <c r="E816" s="0" t="n">
        <v>60.18</v>
      </c>
    </row>
    <row r="817" customFormat="false" ht="15" hidden="false" customHeight="false" outlineLevel="0" collapsed="false">
      <c r="A817" s="0" t="n">
        <v>11917</v>
      </c>
      <c r="B817" s="0" t="s">
        <v>4380</v>
      </c>
      <c r="C817" s="0" t="s">
        <v>1455</v>
      </c>
      <c r="D817" s="0" t="s">
        <v>3671</v>
      </c>
      <c r="E817" s="0" t="n">
        <v>14.71</v>
      </c>
    </row>
    <row r="818" customFormat="false" ht="15" hidden="false" customHeight="false" outlineLevel="0" collapsed="false">
      <c r="A818" s="0" t="n">
        <v>11918</v>
      </c>
      <c r="B818" s="0" t="s">
        <v>4381</v>
      </c>
      <c r="C818" s="0" t="s">
        <v>1455</v>
      </c>
      <c r="D818" s="0" t="s">
        <v>3671</v>
      </c>
      <c r="E818" s="0" t="n">
        <v>17.45</v>
      </c>
    </row>
    <row r="819" customFormat="false" ht="15" hidden="false" customHeight="false" outlineLevel="0" collapsed="false">
      <c r="A819" s="0" t="n">
        <v>37734</v>
      </c>
      <c r="B819" s="0" t="s">
        <v>1471</v>
      </c>
      <c r="C819" s="0" t="s">
        <v>31</v>
      </c>
      <c r="D819" s="0" t="s">
        <v>3671</v>
      </c>
    </row>
    <row r="820" customFormat="false" ht="15" hidden="false" customHeight="false" outlineLevel="0" collapsed="false">
      <c r="A820" s="0" t="n">
        <v>42251</v>
      </c>
      <c r="B820" s="0" t="s">
        <v>4382</v>
      </c>
      <c r="C820" s="0" t="s">
        <v>31</v>
      </c>
      <c r="D820" s="0" t="s">
        <v>3671</v>
      </c>
    </row>
    <row r="821" customFormat="false" ht="15" hidden="false" customHeight="false" outlineLevel="0" collapsed="false">
      <c r="A821" s="0" t="n">
        <v>37733</v>
      </c>
      <c r="B821" s="0" t="s">
        <v>1615</v>
      </c>
      <c r="C821" s="0" t="s">
        <v>31</v>
      </c>
      <c r="D821" s="0" t="s">
        <v>3671</v>
      </c>
    </row>
    <row r="822" customFormat="false" ht="15" hidden="false" customHeight="false" outlineLevel="0" collapsed="false">
      <c r="A822" s="0" t="n">
        <v>37735</v>
      </c>
      <c r="B822" s="0" t="s">
        <v>4383</v>
      </c>
      <c r="C822" s="0" t="s">
        <v>31</v>
      </c>
      <c r="D822" s="0" t="s">
        <v>3671</v>
      </c>
    </row>
    <row r="823" customFormat="false" ht="15" hidden="false" customHeight="false" outlineLevel="0" collapsed="false">
      <c r="A823" s="0" t="n">
        <v>5090</v>
      </c>
      <c r="B823" s="0" t="s">
        <v>1530</v>
      </c>
      <c r="C823" s="0" t="s">
        <v>31</v>
      </c>
      <c r="D823" s="0" t="s">
        <v>3676</v>
      </c>
      <c r="E823" s="0" t="n">
        <v>23.05</v>
      </c>
    </row>
    <row r="824" customFormat="false" ht="15" hidden="false" customHeight="false" outlineLevel="0" collapsed="false">
      <c r="A824" s="0" t="n">
        <v>5085</v>
      </c>
      <c r="B824" s="0" t="s">
        <v>4384</v>
      </c>
      <c r="C824" s="0" t="s">
        <v>31</v>
      </c>
      <c r="D824" s="0" t="s">
        <v>3671</v>
      </c>
      <c r="E824" s="0" t="n">
        <v>34.31</v>
      </c>
    </row>
    <row r="825" customFormat="false" ht="15" hidden="false" customHeight="false" outlineLevel="0" collapsed="false">
      <c r="A825" s="0" t="n">
        <v>43603</v>
      </c>
      <c r="B825" s="0" t="s">
        <v>1531</v>
      </c>
      <c r="C825" s="0" t="s">
        <v>31</v>
      </c>
      <c r="D825" s="0" t="s">
        <v>3671</v>
      </c>
      <c r="E825" s="0" t="n">
        <v>49.02</v>
      </c>
    </row>
    <row r="826" customFormat="false" ht="15" hidden="false" customHeight="false" outlineLevel="0" collapsed="false">
      <c r="A826" s="0" t="n">
        <v>38374</v>
      </c>
      <c r="B826" s="0" t="s">
        <v>4385</v>
      </c>
      <c r="C826" s="0" t="s">
        <v>31</v>
      </c>
      <c r="D826" s="0" t="s">
        <v>3671</v>
      </c>
      <c r="E826" s="0" t="n">
        <v>945.03</v>
      </c>
    </row>
    <row r="827" customFormat="false" ht="15" hidden="false" customHeight="false" outlineLevel="0" collapsed="false">
      <c r="A827" s="0" t="n">
        <v>4513</v>
      </c>
      <c r="B827" s="0" t="s">
        <v>4386</v>
      </c>
      <c r="C827" s="0" t="s">
        <v>1455</v>
      </c>
      <c r="D827" s="0" t="s">
        <v>3671</v>
      </c>
      <c r="E827" s="0" t="n">
        <v>7.21</v>
      </c>
    </row>
    <row r="828" customFormat="false" ht="15" hidden="false" customHeight="false" outlineLevel="0" collapsed="false">
      <c r="A828" s="0" t="n">
        <v>20212</v>
      </c>
      <c r="B828" s="0" t="s">
        <v>4387</v>
      </c>
      <c r="C828" s="0" t="s">
        <v>1455</v>
      </c>
      <c r="D828" s="0" t="s">
        <v>3671</v>
      </c>
      <c r="E828" s="0" t="n">
        <v>18.79</v>
      </c>
    </row>
    <row r="829" customFormat="false" ht="15" hidden="false" customHeight="false" outlineLevel="0" collapsed="false">
      <c r="A829" s="0" t="n">
        <v>20209</v>
      </c>
      <c r="B829" s="0" t="s">
        <v>4388</v>
      </c>
      <c r="C829" s="0" t="s">
        <v>1455</v>
      </c>
      <c r="D829" s="0" t="s">
        <v>3671</v>
      </c>
      <c r="E829" s="0" t="n">
        <v>22.45</v>
      </c>
    </row>
    <row r="830" customFormat="false" ht="15" hidden="false" customHeight="false" outlineLevel="0" collapsed="false">
      <c r="A830" s="0" t="n">
        <v>4430</v>
      </c>
      <c r="B830" s="0" t="s">
        <v>4389</v>
      </c>
      <c r="C830" s="0" t="s">
        <v>1455</v>
      </c>
      <c r="D830" s="0" t="s">
        <v>3676</v>
      </c>
      <c r="E830" s="0" t="n">
        <v>11</v>
      </c>
    </row>
    <row r="831" customFormat="false" ht="15" hidden="false" customHeight="false" outlineLevel="0" collapsed="false">
      <c r="A831" s="0" t="n">
        <v>4433</v>
      </c>
      <c r="B831" s="0" t="s">
        <v>1532</v>
      </c>
      <c r="C831" s="0" t="s">
        <v>1455</v>
      </c>
      <c r="D831" s="0" t="s">
        <v>3671</v>
      </c>
      <c r="E831" s="0" t="n">
        <v>21.51</v>
      </c>
    </row>
    <row r="832" customFormat="false" ht="15" hidden="false" customHeight="false" outlineLevel="0" collapsed="false">
      <c r="A832" s="0" t="n">
        <v>4400</v>
      </c>
      <c r="B832" s="0" t="s">
        <v>1566</v>
      </c>
      <c r="C832" s="0" t="s">
        <v>1455</v>
      </c>
      <c r="D832" s="0" t="s">
        <v>3671</v>
      </c>
      <c r="E832" s="0" t="n">
        <v>17.5</v>
      </c>
    </row>
    <row r="833" customFormat="false" ht="15" hidden="false" customHeight="false" outlineLevel="0" collapsed="false">
      <c r="A833" s="0" t="n">
        <v>2729</v>
      </c>
      <c r="B833" s="0" t="s">
        <v>4390</v>
      </c>
      <c r="C833" s="0" t="s">
        <v>31</v>
      </c>
      <c r="D833" s="0" t="s">
        <v>3671</v>
      </c>
      <c r="E833" s="0" t="n">
        <v>31.68</v>
      </c>
    </row>
    <row r="834" customFormat="false" ht="15" hidden="false" customHeight="false" outlineLevel="0" collapsed="false">
      <c r="A834" s="0" t="n">
        <v>37106</v>
      </c>
      <c r="B834" s="0" t="s">
        <v>2356</v>
      </c>
      <c r="C834" s="0" t="s">
        <v>31</v>
      </c>
      <c r="D834" s="0" t="s">
        <v>3671</v>
      </c>
      <c r="E834" s="0" t="n">
        <v>4632</v>
      </c>
    </row>
    <row r="835" customFormat="false" ht="15" hidden="false" customHeight="false" outlineLevel="0" collapsed="false">
      <c r="A835" s="0" t="n">
        <v>11869</v>
      </c>
      <c r="B835" s="0" t="s">
        <v>4391</v>
      </c>
      <c r="C835" s="0" t="s">
        <v>31</v>
      </c>
      <c r="D835" s="0" t="s">
        <v>3671</v>
      </c>
      <c r="E835" s="0" t="n">
        <v>926.4</v>
      </c>
    </row>
    <row r="836" customFormat="false" ht="15" hidden="false" customHeight="false" outlineLevel="0" collapsed="false">
      <c r="A836" s="0" t="n">
        <v>43981</v>
      </c>
      <c r="B836" s="0" t="s">
        <v>4392</v>
      </c>
      <c r="C836" s="0" t="s">
        <v>31</v>
      </c>
      <c r="D836" s="0" t="s">
        <v>3671</v>
      </c>
      <c r="E836" s="0" t="n">
        <v>6980.37</v>
      </c>
    </row>
    <row r="837" customFormat="false" ht="15" hidden="false" customHeight="false" outlineLevel="0" collapsed="false">
      <c r="A837" s="0" t="n">
        <v>37104</v>
      </c>
      <c r="B837" s="0" t="s">
        <v>4393</v>
      </c>
      <c r="C837" s="0" t="s">
        <v>31</v>
      </c>
      <c r="D837" s="0" t="s">
        <v>3671</v>
      </c>
      <c r="E837" s="0" t="n">
        <v>1162.65</v>
      </c>
    </row>
    <row r="838" customFormat="false" ht="15" hidden="false" customHeight="false" outlineLevel="0" collapsed="false">
      <c r="A838" s="0" t="n">
        <v>43982</v>
      </c>
      <c r="B838" s="0" t="s">
        <v>4394</v>
      </c>
      <c r="C838" s="0" t="s">
        <v>31</v>
      </c>
      <c r="D838" s="0" t="s">
        <v>3671</v>
      </c>
      <c r="E838" s="0" t="n">
        <v>11027.24</v>
      </c>
    </row>
    <row r="839" customFormat="false" ht="15" hidden="false" customHeight="false" outlineLevel="0" collapsed="false">
      <c r="A839" s="0" t="n">
        <v>43978</v>
      </c>
      <c r="B839" s="0" t="s">
        <v>4395</v>
      </c>
      <c r="C839" s="0" t="s">
        <v>31</v>
      </c>
      <c r="D839" s="0" t="s">
        <v>3671</v>
      </c>
      <c r="E839" s="0" t="n">
        <v>1723.02</v>
      </c>
    </row>
    <row r="840" customFormat="false" ht="15" hidden="false" customHeight="false" outlineLevel="0" collapsed="false">
      <c r="A840" s="0" t="n">
        <v>11871</v>
      </c>
      <c r="B840" s="0" t="s">
        <v>4396</v>
      </c>
      <c r="C840" s="0" t="s">
        <v>31</v>
      </c>
      <c r="D840" s="0" t="s">
        <v>3671</v>
      </c>
      <c r="E840" s="0" t="n">
        <v>431.84</v>
      </c>
    </row>
    <row r="841" customFormat="false" ht="15" hidden="false" customHeight="false" outlineLevel="0" collapsed="false">
      <c r="A841" s="0" t="n">
        <v>37105</v>
      </c>
      <c r="B841" s="0" t="s">
        <v>4397</v>
      </c>
      <c r="C841" s="0" t="s">
        <v>31</v>
      </c>
      <c r="D841" s="0" t="s">
        <v>3671</v>
      </c>
      <c r="E841" s="0" t="n">
        <v>2657.1</v>
      </c>
    </row>
    <row r="842" customFormat="false" ht="15" hidden="false" customHeight="false" outlineLevel="0" collapsed="false">
      <c r="A842" s="0" t="n">
        <v>43980</v>
      </c>
      <c r="B842" s="0" t="s">
        <v>4398</v>
      </c>
      <c r="C842" s="0" t="s">
        <v>31</v>
      </c>
      <c r="D842" s="0" t="s">
        <v>3671</v>
      </c>
      <c r="E842" s="0" t="n">
        <v>3309.13</v>
      </c>
    </row>
    <row r="843" customFormat="false" ht="15" hidden="false" customHeight="false" outlineLevel="0" collapsed="false">
      <c r="A843" s="0" t="n">
        <v>43979</v>
      </c>
      <c r="B843" s="0" t="s">
        <v>4399</v>
      </c>
      <c r="C843" s="0" t="s">
        <v>31</v>
      </c>
      <c r="D843" s="0" t="s">
        <v>3671</v>
      </c>
      <c r="E843" s="0" t="n">
        <v>621.75</v>
      </c>
    </row>
    <row r="844" customFormat="false" ht="15" hidden="false" customHeight="false" outlineLevel="0" collapsed="false">
      <c r="A844" s="0" t="n">
        <v>11868</v>
      </c>
      <c r="B844" s="0" t="s">
        <v>4400</v>
      </c>
      <c r="C844" s="0" t="s">
        <v>31</v>
      </c>
      <c r="D844" s="0" t="s">
        <v>3671</v>
      </c>
      <c r="E844" s="0" t="n">
        <v>601.3</v>
      </c>
    </row>
    <row r="845" customFormat="false" ht="15" hidden="false" customHeight="false" outlineLevel="0" collapsed="false">
      <c r="A845" s="0" t="n">
        <v>34636</v>
      </c>
      <c r="B845" s="0" t="s">
        <v>4401</v>
      </c>
      <c r="C845" s="0" t="s">
        <v>31</v>
      </c>
      <c r="D845" s="0" t="s">
        <v>3676</v>
      </c>
      <c r="E845" s="0" t="n">
        <v>427</v>
      </c>
    </row>
    <row r="846" customFormat="false" ht="15" hidden="false" customHeight="false" outlineLevel="0" collapsed="false">
      <c r="A846" s="0" t="n">
        <v>34639</v>
      </c>
      <c r="B846" s="0" t="s">
        <v>4402</v>
      </c>
      <c r="C846" s="0" t="s">
        <v>31</v>
      </c>
      <c r="D846" s="0" t="s">
        <v>3671</v>
      </c>
      <c r="E846" s="0" t="n">
        <v>985.59</v>
      </c>
    </row>
    <row r="847" customFormat="false" ht="15" hidden="false" customHeight="false" outlineLevel="0" collapsed="false">
      <c r="A847" s="0" t="n">
        <v>34640</v>
      </c>
      <c r="B847" s="0" t="s">
        <v>4403</v>
      </c>
      <c r="C847" s="0" t="s">
        <v>31</v>
      </c>
      <c r="D847" s="0" t="s">
        <v>3671</v>
      </c>
      <c r="E847" s="0" t="n">
        <v>1118</v>
      </c>
    </row>
    <row r="848" customFormat="false" ht="15" hidden="false" customHeight="false" outlineLevel="0" collapsed="false">
      <c r="A848" s="0" t="n">
        <v>43977</v>
      </c>
      <c r="B848" s="0" t="s">
        <v>4404</v>
      </c>
      <c r="C848" s="0" t="s">
        <v>31</v>
      </c>
      <c r="D848" s="0" t="s">
        <v>3671</v>
      </c>
      <c r="E848" s="0" t="n">
        <v>1927.36</v>
      </c>
    </row>
    <row r="849" customFormat="false" ht="15" hidden="false" customHeight="false" outlineLevel="0" collapsed="false">
      <c r="A849" s="0" t="n">
        <v>34637</v>
      </c>
      <c r="B849" s="0" t="s">
        <v>4405</v>
      </c>
      <c r="C849" s="0" t="s">
        <v>31</v>
      </c>
      <c r="D849" s="0" t="s">
        <v>3671</v>
      </c>
      <c r="E849" s="0" t="n">
        <v>258.22</v>
      </c>
    </row>
    <row r="850" customFormat="false" ht="15" hidden="false" customHeight="false" outlineLevel="0" collapsed="false">
      <c r="A850" s="0" t="n">
        <v>34638</v>
      </c>
      <c r="B850" s="0" t="s">
        <v>4406</v>
      </c>
      <c r="C850" s="0" t="s">
        <v>31</v>
      </c>
      <c r="D850" s="0" t="s">
        <v>3671</v>
      </c>
      <c r="E850" s="0" t="n">
        <v>399.43</v>
      </c>
    </row>
    <row r="851" customFormat="false" ht="15" hidden="false" customHeight="false" outlineLevel="0" collapsed="false">
      <c r="A851" s="0" t="n">
        <v>34641</v>
      </c>
      <c r="B851" s="0" t="s">
        <v>4407</v>
      </c>
      <c r="C851" s="0" t="s">
        <v>31</v>
      </c>
      <c r="D851" s="0" t="s">
        <v>3671</v>
      </c>
    </row>
    <row r="852" customFormat="false" ht="15" hidden="false" customHeight="false" outlineLevel="0" collapsed="false">
      <c r="A852" s="0" t="n">
        <v>43434</v>
      </c>
      <c r="B852" s="0" t="s">
        <v>4408</v>
      </c>
      <c r="C852" s="0" t="s">
        <v>31</v>
      </c>
      <c r="D852" s="0" t="s">
        <v>3671</v>
      </c>
    </row>
    <row r="853" customFormat="false" ht="15" hidden="false" customHeight="false" outlineLevel="0" collapsed="false">
      <c r="A853" s="0" t="n">
        <v>43435</v>
      </c>
      <c r="B853" s="0" t="s">
        <v>4409</v>
      </c>
      <c r="C853" s="0" t="s">
        <v>31</v>
      </c>
      <c r="D853" s="0" t="s">
        <v>3671</v>
      </c>
    </row>
    <row r="854" customFormat="false" ht="15" hidden="false" customHeight="false" outlineLevel="0" collapsed="false">
      <c r="A854" s="0" t="n">
        <v>43436</v>
      </c>
      <c r="B854" s="0" t="s">
        <v>4410</v>
      </c>
      <c r="C854" s="0" t="s">
        <v>31</v>
      </c>
      <c r="D854" s="0" t="s">
        <v>3671</v>
      </c>
    </row>
    <row r="855" customFormat="false" ht="15" hidden="false" customHeight="false" outlineLevel="0" collapsed="false">
      <c r="A855" s="0" t="n">
        <v>43437</v>
      </c>
      <c r="B855" s="0" t="s">
        <v>4411</v>
      </c>
      <c r="C855" s="0" t="s">
        <v>31</v>
      </c>
      <c r="D855" s="0" t="s">
        <v>3671</v>
      </c>
    </row>
    <row r="856" customFormat="false" ht="15" hidden="false" customHeight="false" outlineLevel="0" collapsed="false">
      <c r="A856" s="0" t="n">
        <v>43438</v>
      </c>
      <c r="B856" s="0" t="s">
        <v>4412</v>
      </c>
      <c r="C856" s="0" t="s">
        <v>31</v>
      </c>
      <c r="D856" s="0" t="s">
        <v>3671</v>
      </c>
    </row>
    <row r="857" customFormat="false" ht="15" hidden="false" customHeight="false" outlineLevel="0" collapsed="false">
      <c r="A857" s="0" t="n">
        <v>41627</v>
      </c>
      <c r="B857" s="0" t="s">
        <v>4413</v>
      </c>
      <c r="C857" s="0" t="s">
        <v>31</v>
      </c>
      <c r="D857" s="0" t="s">
        <v>3671</v>
      </c>
    </row>
    <row r="858" customFormat="false" ht="15" hidden="false" customHeight="false" outlineLevel="0" collapsed="false">
      <c r="A858" s="0" t="n">
        <v>41628</v>
      </c>
      <c r="B858" s="0" t="s">
        <v>4414</v>
      </c>
      <c r="C858" s="0" t="s">
        <v>31</v>
      </c>
      <c r="D858" s="0" t="s">
        <v>3671</v>
      </c>
    </row>
    <row r="859" customFormat="false" ht="15" hidden="false" customHeight="false" outlineLevel="0" collapsed="false">
      <c r="A859" s="0" t="n">
        <v>41629</v>
      </c>
      <c r="B859" s="0" t="s">
        <v>2205</v>
      </c>
      <c r="C859" s="0" t="s">
        <v>31</v>
      </c>
      <c r="D859" s="0" t="s">
        <v>3671</v>
      </c>
    </row>
    <row r="860" customFormat="false" ht="15" hidden="false" customHeight="false" outlineLevel="0" collapsed="false">
      <c r="A860" s="0" t="n">
        <v>43429</v>
      </c>
      <c r="B860" s="0" t="s">
        <v>2531</v>
      </c>
      <c r="C860" s="0" t="s">
        <v>31</v>
      </c>
      <c r="D860" s="0" t="s">
        <v>3671</v>
      </c>
    </row>
    <row r="861" customFormat="false" ht="15" hidden="false" customHeight="false" outlineLevel="0" collapsed="false">
      <c r="A861" s="0" t="n">
        <v>43430</v>
      </c>
      <c r="B861" s="0" t="s">
        <v>4415</v>
      </c>
      <c r="C861" s="0" t="s">
        <v>31</v>
      </c>
      <c r="D861" s="0" t="s">
        <v>3671</v>
      </c>
    </row>
    <row r="862" customFormat="false" ht="15" hidden="false" customHeight="false" outlineLevel="0" collapsed="false">
      <c r="A862" s="0" t="n">
        <v>43431</v>
      </c>
      <c r="B862" s="0" t="s">
        <v>4416</v>
      </c>
      <c r="C862" s="0" t="s">
        <v>31</v>
      </c>
      <c r="D862" s="0" t="s">
        <v>3671</v>
      </c>
    </row>
    <row r="863" customFormat="false" ht="15" hidden="false" customHeight="false" outlineLevel="0" collapsed="false">
      <c r="A863" s="0" t="n">
        <v>43432</v>
      </c>
      <c r="B863" s="0" t="s">
        <v>4417</v>
      </c>
      <c r="C863" s="0" t="s">
        <v>31</v>
      </c>
      <c r="D863" s="0" t="s">
        <v>3671</v>
      </c>
    </row>
    <row r="864" customFormat="false" ht="15" hidden="false" customHeight="false" outlineLevel="0" collapsed="false">
      <c r="A864" s="0" t="n">
        <v>43433</v>
      </c>
      <c r="B864" s="0" t="s">
        <v>4418</v>
      </c>
      <c r="C864" s="0" t="s">
        <v>31</v>
      </c>
      <c r="D864" s="0" t="s">
        <v>3671</v>
      </c>
    </row>
    <row r="865" customFormat="false" ht="15" hidden="false" customHeight="false" outlineLevel="0" collapsed="false">
      <c r="A865" s="0" t="n">
        <v>43094</v>
      </c>
      <c r="B865" s="0" t="s">
        <v>4419</v>
      </c>
      <c r="C865" s="0" t="s">
        <v>31</v>
      </c>
      <c r="D865" s="0" t="s">
        <v>3671</v>
      </c>
      <c r="E865" s="0" t="n">
        <v>229.48</v>
      </c>
    </row>
    <row r="866" customFormat="false" ht="15" hidden="false" customHeight="false" outlineLevel="0" collapsed="false">
      <c r="A866" s="0" t="n">
        <v>43093</v>
      </c>
      <c r="B866" s="0" t="s">
        <v>4420</v>
      </c>
      <c r="C866" s="0" t="s">
        <v>31</v>
      </c>
      <c r="D866" s="0" t="s">
        <v>3671</v>
      </c>
      <c r="E866" s="0" t="n">
        <v>243.87</v>
      </c>
    </row>
    <row r="867" customFormat="false" ht="15" hidden="false" customHeight="false" outlineLevel="0" collapsed="false">
      <c r="A867" s="0" t="n">
        <v>11694</v>
      </c>
      <c r="B867" s="0" t="s">
        <v>4421</v>
      </c>
      <c r="C867" s="0" t="s">
        <v>31</v>
      </c>
      <c r="D867" s="0" t="s">
        <v>3671</v>
      </c>
      <c r="E867" s="0" t="n">
        <v>1103.05</v>
      </c>
    </row>
    <row r="868" customFormat="false" ht="15" hidden="false" customHeight="false" outlineLevel="0" collapsed="false">
      <c r="A868" s="0" t="n">
        <v>1030</v>
      </c>
      <c r="B868" s="0" t="s">
        <v>4422</v>
      </c>
      <c r="C868" s="0" t="s">
        <v>31</v>
      </c>
      <c r="D868" s="0" t="s">
        <v>3676</v>
      </c>
      <c r="E868" s="0" t="n">
        <v>49.9</v>
      </c>
    </row>
    <row r="869" customFormat="false" ht="15" hidden="false" customHeight="false" outlineLevel="0" collapsed="false">
      <c r="A869" s="0" t="n">
        <v>11881</v>
      </c>
      <c r="B869" s="0" t="s">
        <v>2203</v>
      </c>
      <c r="C869" s="0" t="s">
        <v>31</v>
      </c>
      <c r="D869" s="0" t="s">
        <v>3671</v>
      </c>
    </row>
    <row r="870" customFormat="false" ht="15" hidden="false" customHeight="false" outlineLevel="0" collapsed="false">
      <c r="A870" s="0" t="n">
        <v>35277</v>
      </c>
      <c r="B870" s="0" t="s">
        <v>4423</v>
      </c>
      <c r="C870" s="0" t="s">
        <v>31</v>
      </c>
      <c r="D870" s="0" t="s">
        <v>3671</v>
      </c>
      <c r="E870" s="0" t="n">
        <v>402.44</v>
      </c>
    </row>
    <row r="871" customFormat="false" ht="15" hidden="false" customHeight="false" outlineLevel="0" collapsed="false">
      <c r="A871" s="0" t="n">
        <v>10521</v>
      </c>
      <c r="B871" s="0" t="s">
        <v>4424</v>
      </c>
      <c r="C871" s="0" t="s">
        <v>31</v>
      </c>
      <c r="D871" s="0" t="s">
        <v>3671</v>
      </c>
      <c r="E871" s="0" t="n">
        <v>286.36</v>
      </c>
    </row>
    <row r="872" customFormat="false" ht="15" hidden="false" customHeight="false" outlineLevel="0" collapsed="false">
      <c r="A872" s="0" t="n">
        <v>10885</v>
      </c>
      <c r="B872" s="0" t="s">
        <v>4425</v>
      </c>
      <c r="C872" s="0" t="s">
        <v>31</v>
      </c>
      <c r="D872" s="0" t="s">
        <v>3671</v>
      </c>
      <c r="E872" s="0" t="n">
        <v>362.21</v>
      </c>
    </row>
    <row r="873" customFormat="false" ht="15" hidden="false" customHeight="false" outlineLevel="0" collapsed="false">
      <c r="A873" s="0" t="n">
        <v>20962</v>
      </c>
      <c r="B873" s="0" t="s">
        <v>2671</v>
      </c>
      <c r="C873" s="0" t="s">
        <v>31</v>
      </c>
      <c r="D873" s="0" t="s">
        <v>3676</v>
      </c>
      <c r="E873" s="0" t="n">
        <v>300</v>
      </c>
    </row>
    <row r="874" customFormat="false" ht="15" hidden="false" customHeight="false" outlineLevel="0" collapsed="false">
      <c r="A874" s="0" t="n">
        <v>20963</v>
      </c>
      <c r="B874" s="0" t="s">
        <v>4426</v>
      </c>
      <c r="C874" s="0" t="s">
        <v>31</v>
      </c>
      <c r="D874" s="0" t="s">
        <v>3671</v>
      </c>
      <c r="E874" s="0" t="n">
        <v>366.47</v>
      </c>
    </row>
    <row r="875" customFormat="false" ht="15" hidden="false" customHeight="false" outlineLevel="0" collapsed="false">
      <c r="A875" s="0" t="n">
        <v>34643</v>
      </c>
      <c r="B875" s="0" t="s">
        <v>2635</v>
      </c>
      <c r="C875" s="0" t="s">
        <v>31</v>
      </c>
      <c r="D875" s="0" t="s">
        <v>3671</v>
      </c>
      <c r="E875" s="0" t="n">
        <v>46.35</v>
      </c>
    </row>
    <row r="876" customFormat="false" ht="15" hidden="false" customHeight="false" outlineLevel="0" collapsed="false">
      <c r="A876" s="0" t="n">
        <v>41480</v>
      </c>
      <c r="B876" s="0" t="s">
        <v>4427</v>
      </c>
      <c r="C876" s="0" t="s">
        <v>31</v>
      </c>
      <c r="D876" s="0" t="s">
        <v>3671</v>
      </c>
      <c r="E876" s="0" t="n">
        <v>53.74</v>
      </c>
    </row>
    <row r="877" customFormat="false" ht="15" hidden="false" customHeight="false" outlineLevel="0" collapsed="false">
      <c r="A877" s="0" t="n">
        <v>41474</v>
      </c>
      <c r="B877" s="0" t="s">
        <v>4428</v>
      </c>
      <c r="C877" s="0" t="s">
        <v>31</v>
      </c>
      <c r="D877" s="0" t="s">
        <v>3671</v>
      </c>
      <c r="E877" s="0" t="n">
        <v>85.84</v>
      </c>
    </row>
    <row r="878" customFormat="false" ht="15" hidden="false" customHeight="false" outlineLevel="0" collapsed="false">
      <c r="A878" s="0" t="n">
        <v>41475</v>
      </c>
      <c r="B878" s="0" t="s">
        <v>4429</v>
      </c>
      <c r="C878" s="0" t="s">
        <v>31</v>
      </c>
      <c r="D878" s="0" t="s">
        <v>3671</v>
      </c>
      <c r="E878" s="0" t="n">
        <v>73.24</v>
      </c>
    </row>
    <row r="879" customFormat="false" ht="15" hidden="false" customHeight="false" outlineLevel="0" collapsed="false">
      <c r="A879" s="0" t="n">
        <v>41476</v>
      </c>
      <c r="B879" s="0" t="s">
        <v>4430</v>
      </c>
      <c r="C879" s="0" t="s">
        <v>31</v>
      </c>
      <c r="D879" s="0" t="s">
        <v>3671</v>
      </c>
      <c r="E879" s="0" t="n">
        <v>160.38</v>
      </c>
    </row>
    <row r="880" customFormat="false" ht="15" hidden="false" customHeight="false" outlineLevel="0" collapsed="false">
      <c r="A880" s="0" t="n">
        <v>2555</v>
      </c>
      <c r="B880" s="0" t="s">
        <v>4431</v>
      </c>
      <c r="C880" s="0" t="s">
        <v>31</v>
      </c>
      <c r="D880" s="0" t="s">
        <v>3671</v>
      </c>
    </row>
    <row r="881" customFormat="false" ht="15" hidden="false" customHeight="false" outlineLevel="0" collapsed="false">
      <c r="A881" s="0" t="n">
        <v>2556</v>
      </c>
      <c r="B881" s="0" t="s">
        <v>2380</v>
      </c>
      <c r="C881" s="0" t="s">
        <v>31</v>
      </c>
      <c r="D881" s="0" t="s">
        <v>3671</v>
      </c>
    </row>
    <row r="882" customFormat="false" ht="15" hidden="false" customHeight="false" outlineLevel="0" collapsed="false">
      <c r="A882" s="0" t="n">
        <v>2557</v>
      </c>
      <c r="B882" s="0" t="s">
        <v>4432</v>
      </c>
      <c r="C882" s="0" t="s">
        <v>31</v>
      </c>
      <c r="D882" s="0" t="s">
        <v>3671</v>
      </c>
    </row>
    <row r="883" customFormat="false" ht="15" hidden="false" customHeight="false" outlineLevel="0" collapsed="false">
      <c r="A883" s="0" t="n">
        <v>10569</v>
      </c>
      <c r="B883" s="0" t="s">
        <v>4433</v>
      </c>
      <c r="C883" s="0" t="s">
        <v>31</v>
      </c>
      <c r="D883" s="0" t="s">
        <v>3671</v>
      </c>
    </row>
    <row r="884" customFormat="false" ht="15" hidden="false" customHeight="false" outlineLevel="0" collapsed="false">
      <c r="A884" s="0" t="n">
        <v>39810</v>
      </c>
      <c r="B884" s="0" t="s">
        <v>4434</v>
      </c>
      <c r="C884" s="0" t="s">
        <v>31</v>
      </c>
      <c r="D884" s="0" t="s">
        <v>3671</v>
      </c>
      <c r="E884" s="0" t="n">
        <v>30.97</v>
      </c>
    </row>
    <row r="885" customFormat="false" ht="15" hidden="false" customHeight="false" outlineLevel="0" collapsed="false">
      <c r="A885" s="0" t="n">
        <v>39811</v>
      </c>
      <c r="B885" s="0" t="s">
        <v>4435</v>
      </c>
      <c r="C885" s="0" t="s">
        <v>31</v>
      </c>
      <c r="D885" s="0" t="s">
        <v>3671</v>
      </c>
      <c r="E885" s="0" t="n">
        <v>37.88</v>
      </c>
    </row>
    <row r="886" customFormat="false" ht="15" hidden="false" customHeight="false" outlineLevel="0" collapsed="false">
      <c r="A886" s="0" t="n">
        <v>39812</v>
      </c>
      <c r="B886" s="0" t="s">
        <v>2562</v>
      </c>
      <c r="C886" s="0" t="s">
        <v>31</v>
      </c>
      <c r="D886" s="0" t="s">
        <v>3671</v>
      </c>
      <c r="E886" s="0" t="n">
        <v>62.28</v>
      </c>
    </row>
    <row r="887" customFormat="false" ht="15" hidden="false" customHeight="false" outlineLevel="0" collapsed="false">
      <c r="A887" s="0" t="n">
        <v>43096</v>
      </c>
      <c r="B887" s="0" t="s">
        <v>4436</v>
      </c>
      <c r="C887" s="0" t="s">
        <v>31</v>
      </c>
      <c r="D887" s="0" t="s">
        <v>3671</v>
      </c>
      <c r="E887" s="0" t="n">
        <v>206.46</v>
      </c>
    </row>
    <row r="888" customFormat="false" ht="15" hidden="false" customHeight="false" outlineLevel="0" collapsed="false">
      <c r="A888" s="0" t="n">
        <v>43102</v>
      </c>
      <c r="B888" s="0" t="s">
        <v>4437</v>
      </c>
      <c r="C888" s="0" t="s">
        <v>31</v>
      </c>
      <c r="D888" s="0" t="s">
        <v>3671</v>
      </c>
      <c r="E888" s="0" t="n">
        <v>125.54</v>
      </c>
    </row>
    <row r="889" customFormat="false" ht="15" hidden="false" customHeight="false" outlineLevel="0" collapsed="false">
      <c r="A889" s="0" t="n">
        <v>43103</v>
      </c>
      <c r="B889" s="0" t="s">
        <v>4438</v>
      </c>
      <c r="C889" s="0" t="s">
        <v>31</v>
      </c>
      <c r="D889" s="0" t="s">
        <v>3671</v>
      </c>
      <c r="E889" s="0" t="n">
        <v>184.86</v>
      </c>
    </row>
    <row r="890" customFormat="false" ht="15" hidden="false" customHeight="false" outlineLevel="0" collapsed="false">
      <c r="A890" s="0" t="n">
        <v>43098</v>
      </c>
      <c r="B890" s="0" t="s">
        <v>4439</v>
      </c>
      <c r="C890" s="0" t="s">
        <v>31</v>
      </c>
      <c r="D890" s="0" t="s">
        <v>3671</v>
      </c>
      <c r="E890" s="0" t="n">
        <v>69.93</v>
      </c>
    </row>
    <row r="891" customFormat="false" ht="15" hidden="false" customHeight="false" outlineLevel="0" collapsed="false">
      <c r="A891" s="0" t="n">
        <v>43097</v>
      </c>
      <c r="B891" s="0" t="s">
        <v>4440</v>
      </c>
      <c r="C891" s="0" t="s">
        <v>31</v>
      </c>
      <c r="D891" s="0" t="s">
        <v>3671</v>
      </c>
      <c r="E891" s="0" t="n">
        <v>41.43</v>
      </c>
    </row>
    <row r="892" customFormat="false" ht="15" hidden="false" customHeight="false" outlineLevel="0" collapsed="false">
      <c r="A892" s="0" t="n">
        <v>43104</v>
      </c>
      <c r="B892" s="0" t="s">
        <v>4441</v>
      </c>
      <c r="C892" s="0" t="s">
        <v>31</v>
      </c>
      <c r="D892" s="0" t="s">
        <v>3671</v>
      </c>
      <c r="E892" s="0" t="n">
        <v>490.11</v>
      </c>
    </row>
    <row r="893" customFormat="false" ht="15" hidden="false" customHeight="false" outlineLevel="0" collapsed="false">
      <c r="A893" s="0" t="n">
        <v>39771</v>
      </c>
      <c r="B893" s="0" t="s">
        <v>4442</v>
      </c>
      <c r="C893" s="0" t="s">
        <v>31</v>
      </c>
      <c r="D893" s="0" t="s">
        <v>3671</v>
      </c>
    </row>
    <row r="894" customFormat="false" ht="15" hidden="false" customHeight="false" outlineLevel="0" collapsed="false">
      <c r="A894" s="0" t="n">
        <v>39772</v>
      </c>
      <c r="B894" s="0" t="s">
        <v>4443</v>
      </c>
      <c r="C894" s="0" t="s">
        <v>31</v>
      </c>
      <c r="D894" s="0" t="s">
        <v>3671</v>
      </c>
    </row>
    <row r="895" customFormat="false" ht="15" hidden="false" customHeight="false" outlineLevel="0" collapsed="false">
      <c r="A895" s="0" t="n">
        <v>39773</v>
      </c>
      <c r="B895" s="0" t="s">
        <v>4444</v>
      </c>
      <c r="C895" s="0" t="s">
        <v>31</v>
      </c>
      <c r="D895" s="0" t="s">
        <v>3671</v>
      </c>
    </row>
    <row r="896" customFormat="false" ht="15" hidden="false" customHeight="false" outlineLevel="0" collapsed="false">
      <c r="A896" s="0" t="n">
        <v>39774</v>
      </c>
      <c r="B896" s="0" t="s">
        <v>4445</v>
      </c>
      <c r="C896" s="0" t="s">
        <v>31</v>
      </c>
      <c r="D896" s="0" t="s">
        <v>3671</v>
      </c>
    </row>
    <row r="897" customFormat="false" ht="15" hidden="false" customHeight="false" outlineLevel="0" collapsed="false">
      <c r="A897" s="0" t="n">
        <v>39775</v>
      </c>
      <c r="B897" s="0" t="s">
        <v>4446</v>
      </c>
      <c r="C897" s="0" t="s">
        <v>31</v>
      </c>
      <c r="D897" s="0" t="s">
        <v>3671</v>
      </c>
    </row>
    <row r="898" customFormat="false" ht="15" hidden="false" customHeight="false" outlineLevel="0" collapsed="false">
      <c r="A898" s="0" t="n">
        <v>39776</v>
      </c>
      <c r="B898" s="0" t="s">
        <v>4447</v>
      </c>
      <c r="C898" s="0" t="s">
        <v>31</v>
      </c>
      <c r="D898" s="0" t="s">
        <v>3671</v>
      </c>
    </row>
    <row r="899" customFormat="false" ht="15" hidden="false" customHeight="false" outlineLevel="0" collapsed="false">
      <c r="A899" s="0" t="n">
        <v>39777</v>
      </c>
      <c r="B899" s="0" t="s">
        <v>4448</v>
      </c>
      <c r="C899" s="0" t="s">
        <v>31</v>
      </c>
      <c r="D899" s="0" t="s">
        <v>3671</v>
      </c>
    </row>
    <row r="900" customFormat="false" ht="15" hidden="false" customHeight="false" outlineLevel="0" collapsed="false">
      <c r="A900" s="0" t="n">
        <v>20254</v>
      </c>
      <c r="B900" s="0" t="s">
        <v>4449</v>
      </c>
      <c r="C900" s="0" t="s">
        <v>31</v>
      </c>
      <c r="D900" s="0" t="s">
        <v>3671</v>
      </c>
    </row>
    <row r="901" customFormat="false" ht="15" hidden="false" customHeight="false" outlineLevel="0" collapsed="false">
      <c r="A901" s="0" t="n">
        <v>20253</v>
      </c>
      <c r="B901" s="0" t="s">
        <v>4450</v>
      </c>
      <c r="C901" s="0" t="s">
        <v>31</v>
      </c>
      <c r="D901" s="0" t="s">
        <v>3671</v>
      </c>
    </row>
    <row r="902" customFormat="false" ht="15" hidden="false" customHeight="false" outlineLevel="0" collapsed="false">
      <c r="A902" s="0" t="n">
        <v>1872</v>
      </c>
      <c r="B902" s="0" t="s">
        <v>1533</v>
      </c>
      <c r="C902" s="0" t="s">
        <v>31</v>
      </c>
      <c r="D902" s="0" t="s">
        <v>3671</v>
      </c>
      <c r="E902" s="0" t="n">
        <v>1.41</v>
      </c>
    </row>
    <row r="903" customFormat="false" ht="15" hidden="false" customHeight="false" outlineLevel="0" collapsed="false">
      <c r="A903" s="0" t="n">
        <v>1873</v>
      </c>
      <c r="B903" s="0" t="s">
        <v>2376</v>
      </c>
      <c r="C903" s="0" t="s">
        <v>31</v>
      </c>
      <c r="D903" s="0" t="s">
        <v>3671</v>
      </c>
      <c r="E903" s="0" t="n">
        <v>2.81</v>
      </c>
    </row>
    <row r="904" customFormat="false" ht="15" hidden="false" customHeight="false" outlineLevel="0" collapsed="false">
      <c r="A904" s="0" t="n">
        <v>14055</v>
      </c>
      <c r="B904" s="0" t="s">
        <v>4451</v>
      </c>
      <c r="C904" s="0" t="s">
        <v>31</v>
      </c>
      <c r="D904" s="0" t="s">
        <v>3671</v>
      </c>
    </row>
    <row r="905" customFormat="false" ht="15" hidden="false" customHeight="false" outlineLevel="0" collapsed="false">
      <c r="A905" s="0" t="n">
        <v>11247</v>
      </c>
      <c r="B905" s="0" t="s">
        <v>4452</v>
      </c>
      <c r="C905" s="0" t="s">
        <v>31</v>
      </c>
      <c r="D905" s="0" t="s">
        <v>3671</v>
      </c>
    </row>
    <row r="906" customFormat="false" ht="15" hidden="false" customHeight="false" outlineLevel="0" collapsed="false">
      <c r="A906" s="0" t="n">
        <v>11250</v>
      </c>
      <c r="B906" s="0" t="s">
        <v>4453</v>
      </c>
      <c r="C906" s="0" t="s">
        <v>31</v>
      </c>
      <c r="D906" s="0" t="s">
        <v>3671</v>
      </c>
    </row>
    <row r="907" customFormat="false" ht="15" hidden="false" customHeight="false" outlineLevel="0" collapsed="false">
      <c r="A907" s="0" t="n">
        <v>11249</v>
      </c>
      <c r="B907" s="0" t="s">
        <v>4454</v>
      </c>
      <c r="C907" s="0" t="s">
        <v>31</v>
      </c>
      <c r="D907" s="0" t="s">
        <v>3671</v>
      </c>
    </row>
    <row r="908" customFormat="false" ht="15" hidden="false" customHeight="false" outlineLevel="0" collapsed="false">
      <c r="A908" s="0" t="n">
        <v>11251</v>
      </c>
      <c r="B908" s="0" t="s">
        <v>4455</v>
      </c>
      <c r="C908" s="0" t="s">
        <v>31</v>
      </c>
      <c r="D908" s="0" t="s">
        <v>3671</v>
      </c>
    </row>
    <row r="909" customFormat="false" ht="15" hidden="false" customHeight="false" outlineLevel="0" collapsed="false">
      <c r="A909" s="0" t="n">
        <v>11253</v>
      </c>
      <c r="B909" s="0" t="s">
        <v>4456</v>
      </c>
      <c r="C909" s="0" t="s">
        <v>31</v>
      </c>
      <c r="D909" s="0" t="s">
        <v>3671</v>
      </c>
    </row>
    <row r="910" customFormat="false" ht="15" hidden="false" customHeight="false" outlineLevel="0" collapsed="false">
      <c r="A910" s="0" t="n">
        <v>11255</v>
      </c>
      <c r="B910" s="0" t="s">
        <v>4457</v>
      </c>
      <c r="C910" s="0" t="s">
        <v>31</v>
      </c>
      <c r="D910" s="0" t="s">
        <v>3671</v>
      </c>
    </row>
    <row r="911" customFormat="false" ht="15" hidden="false" customHeight="false" outlineLevel="0" collapsed="false">
      <c r="A911" s="0" t="n">
        <v>11256</v>
      </c>
      <c r="B911" s="0" t="s">
        <v>4458</v>
      </c>
      <c r="C911" s="0" t="s">
        <v>31</v>
      </c>
      <c r="D911" s="0" t="s">
        <v>3671</v>
      </c>
    </row>
    <row r="912" customFormat="false" ht="15" hidden="false" customHeight="false" outlineLevel="0" collapsed="false">
      <c r="A912" s="0" t="n">
        <v>39693</v>
      </c>
      <c r="B912" s="0" t="s">
        <v>4459</v>
      </c>
      <c r="C912" s="0" t="s">
        <v>31</v>
      </c>
      <c r="D912" s="0" t="s">
        <v>3671</v>
      </c>
    </row>
    <row r="913" customFormat="false" ht="15" hidden="false" customHeight="false" outlineLevel="0" collapsed="false">
      <c r="A913" s="0" t="n">
        <v>39692</v>
      </c>
      <c r="B913" s="0" t="s">
        <v>4460</v>
      </c>
      <c r="C913" s="0" t="s">
        <v>31</v>
      </c>
      <c r="D913" s="0" t="s">
        <v>3671</v>
      </c>
    </row>
    <row r="914" customFormat="false" ht="15" hidden="false" customHeight="false" outlineLevel="0" collapsed="false">
      <c r="A914" s="0" t="n">
        <v>1062</v>
      </c>
      <c r="B914" s="0" t="s">
        <v>4461</v>
      </c>
      <c r="C914" s="0" t="s">
        <v>31</v>
      </c>
      <c r="D914" s="0" t="s">
        <v>3671</v>
      </c>
    </row>
    <row r="915" customFormat="false" ht="15" hidden="false" customHeight="false" outlineLevel="0" collapsed="false">
      <c r="A915" s="0" t="n">
        <v>39686</v>
      </c>
      <c r="B915" s="0" t="s">
        <v>4462</v>
      </c>
      <c r="C915" s="0" t="s">
        <v>31</v>
      </c>
      <c r="D915" s="0" t="s">
        <v>3671</v>
      </c>
    </row>
    <row r="916" customFormat="false" ht="15" hidden="false" customHeight="false" outlineLevel="0" collapsed="false">
      <c r="A916" s="0" t="n">
        <v>43095</v>
      </c>
      <c r="B916" s="0" t="s">
        <v>4463</v>
      </c>
      <c r="C916" s="0" t="s">
        <v>31</v>
      </c>
      <c r="D916" s="0" t="s">
        <v>3671</v>
      </c>
      <c r="E916" s="0" t="n">
        <v>136.05</v>
      </c>
    </row>
    <row r="917" customFormat="false" ht="15" hidden="false" customHeight="false" outlineLevel="0" collapsed="false">
      <c r="A917" s="0" t="n">
        <v>1871</v>
      </c>
      <c r="B917" s="0" t="s">
        <v>1534</v>
      </c>
      <c r="C917" s="0" t="s">
        <v>31</v>
      </c>
      <c r="D917" s="0" t="s">
        <v>3671</v>
      </c>
      <c r="E917" s="0" t="n">
        <v>2.53</v>
      </c>
    </row>
    <row r="918" customFormat="false" ht="15" hidden="false" customHeight="false" outlineLevel="0" collapsed="false">
      <c r="A918" s="0" t="n">
        <v>12001</v>
      </c>
      <c r="B918" s="0" t="s">
        <v>2378</v>
      </c>
      <c r="C918" s="0" t="s">
        <v>31</v>
      </c>
      <c r="D918" s="0" t="s">
        <v>3671</v>
      </c>
      <c r="E918" s="0" t="n">
        <v>3.66</v>
      </c>
    </row>
    <row r="919" customFormat="false" ht="15" hidden="false" customHeight="false" outlineLevel="0" collapsed="false">
      <c r="A919" s="0" t="n">
        <v>11882</v>
      </c>
      <c r="B919" s="0" t="s">
        <v>4464</v>
      </c>
      <c r="C919" s="0" t="s">
        <v>31</v>
      </c>
      <c r="D919" s="0" t="s">
        <v>3671</v>
      </c>
    </row>
    <row r="920" customFormat="false" ht="15" hidden="false" customHeight="false" outlineLevel="0" collapsed="false">
      <c r="A920" s="0" t="n">
        <v>1068</v>
      </c>
      <c r="B920" s="0" t="s">
        <v>4465</v>
      </c>
      <c r="C920" s="0" t="s">
        <v>31</v>
      </c>
      <c r="D920" s="0" t="s">
        <v>3671</v>
      </c>
    </row>
    <row r="921" customFormat="false" ht="15" hidden="false" customHeight="false" outlineLevel="0" collapsed="false">
      <c r="A921" s="0" t="n">
        <v>39690</v>
      </c>
      <c r="B921" s="0" t="s">
        <v>4466</v>
      </c>
      <c r="C921" s="0" t="s">
        <v>31</v>
      </c>
      <c r="D921" s="0" t="s">
        <v>3671</v>
      </c>
    </row>
    <row r="922" customFormat="false" ht="15" hidden="false" customHeight="false" outlineLevel="0" collapsed="false">
      <c r="A922" s="0" t="n">
        <v>39691</v>
      </c>
      <c r="B922" s="0" t="s">
        <v>4467</v>
      </c>
      <c r="C922" s="0" t="s">
        <v>31</v>
      </c>
      <c r="D922" s="0" t="s">
        <v>3671</v>
      </c>
    </row>
    <row r="923" customFormat="false" ht="15" hidden="false" customHeight="false" outlineLevel="0" collapsed="false">
      <c r="A923" s="0" t="n">
        <v>39808</v>
      </c>
      <c r="B923" s="0" t="s">
        <v>4468</v>
      </c>
      <c r="C923" s="0" t="s">
        <v>31</v>
      </c>
      <c r="D923" s="0" t="s">
        <v>3671</v>
      </c>
      <c r="E923" s="0" t="n">
        <v>71.03</v>
      </c>
    </row>
    <row r="924" customFormat="false" ht="15" hidden="false" customHeight="false" outlineLevel="0" collapsed="false">
      <c r="A924" s="0" t="n">
        <v>39809</v>
      </c>
      <c r="B924" s="0" t="s">
        <v>4469</v>
      </c>
      <c r="C924" s="0" t="s">
        <v>31</v>
      </c>
      <c r="D924" s="0" t="s">
        <v>3671</v>
      </c>
      <c r="E924" s="0" t="n">
        <v>168.46</v>
      </c>
    </row>
    <row r="925" customFormat="false" ht="15" hidden="false" customHeight="false" outlineLevel="0" collapsed="false">
      <c r="A925" s="0" t="n">
        <v>43439</v>
      </c>
      <c r="B925" s="0" t="s">
        <v>4470</v>
      </c>
      <c r="C925" s="0" t="s">
        <v>31</v>
      </c>
      <c r="D925" s="0" t="s">
        <v>3671</v>
      </c>
    </row>
    <row r="926" customFormat="false" ht="15" hidden="false" customHeight="false" outlineLevel="0" collapsed="false">
      <c r="A926" s="0" t="n">
        <v>5103</v>
      </c>
      <c r="B926" s="0" t="s">
        <v>4471</v>
      </c>
      <c r="C926" s="0" t="s">
        <v>31</v>
      </c>
      <c r="D926" s="0" t="s">
        <v>3671</v>
      </c>
      <c r="E926" s="0" t="n">
        <v>25.48</v>
      </c>
    </row>
    <row r="927" customFormat="false" ht="15" hidden="false" customHeight="false" outlineLevel="0" collapsed="false">
      <c r="A927" s="0" t="n">
        <v>11880</v>
      </c>
      <c r="B927" s="0" t="s">
        <v>4472</v>
      </c>
      <c r="C927" s="0" t="s">
        <v>31</v>
      </c>
      <c r="D927" s="0" t="s">
        <v>3671</v>
      </c>
      <c r="E927" s="0" t="n">
        <v>107.16</v>
      </c>
    </row>
    <row r="928" customFormat="false" ht="15" hidden="false" customHeight="false" outlineLevel="0" collapsed="false">
      <c r="A928" s="0" t="n">
        <v>11714</v>
      </c>
      <c r="B928" s="0" t="s">
        <v>2119</v>
      </c>
      <c r="C928" s="0" t="s">
        <v>31</v>
      </c>
      <c r="D928" s="0" t="s">
        <v>3671</v>
      </c>
      <c r="E928" s="0" t="n">
        <v>73</v>
      </c>
    </row>
    <row r="929" customFormat="false" ht="15" hidden="false" customHeight="false" outlineLevel="0" collapsed="false">
      <c r="A929" s="0" t="n">
        <v>11712</v>
      </c>
      <c r="B929" s="0" t="s">
        <v>4473</v>
      </c>
      <c r="C929" s="0" t="s">
        <v>31</v>
      </c>
      <c r="D929" s="0" t="s">
        <v>3676</v>
      </c>
      <c r="E929" s="0" t="n">
        <v>47.67</v>
      </c>
    </row>
    <row r="930" customFormat="false" ht="15" hidden="false" customHeight="false" outlineLevel="0" collapsed="false">
      <c r="A930" s="0" t="n">
        <v>11717</v>
      </c>
      <c r="B930" s="0" t="s">
        <v>2117</v>
      </c>
      <c r="C930" s="0" t="s">
        <v>31</v>
      </c>
      <c r="D930" s="0" t="s">
        <v>3671</v>
      </c>
      <c r="E930" s="0" t="n">
        <v>57.46</v>
      </c>
    </row>
    <row r="931" customFormat="false" ht="15" hidden="false" customHeight="false" outlineLevel="0" collapsed="false">
      <c r="A931" s="0" t="n">
        <v>1106</v>
      </c>
      <c r="B931" s="0" t="s">
        <v>1745</v>
      </c>
      <c r="C931" s="0" t="s">
        <v>1513</v>
      </c>
      <c r="D931" s="0" t="s">
        <v>3676</v>
      </c>
      <c r="E931" s="0" t="n">
        <v>1.39</v>
      </c>
    </row>
    <row r="932" customFormat="false" ht="15" hidden="false" customHeight="false" outlineLevel="0" collapsed="false">
      <c r="A932" s="0" t="n">
        <v>11161</v>
      </c>
      <c r="B932" s="0" t="s">
        <v>4474</v>
      </c>
      <c r="C932" s="0" t="s">
        <v>1513</v>
      </c>
      <c r="D932" s="0" t="s">
        <v>3671</v>
      </c>
      <c r="E932" s="0" t="n">
        <v>2.32</v>
      </c>
    </row>
    <row r="933" customFormat="false" ht="15" hidden="false" customHeight="false" outlineLevel="0" collapsed="false">
      <c r="A933" s="0" t="n">
        <v>1107</v>
      </c>
      <c r="B933" s="0" t="s">
        <v>2678</v>
      </c>
      <c r="C933" s="0" t="s">
        <v>1513</v>
      </c>
      <c r="D933" s="0" t="s">
        <v>3671</v>
      </c>
      <c r="E933" s="0" t="n">
        <v>1.18</v>
      </c>
    </row>
    <row r="934" customFormat="false" ht="15" hidden="false" customHeight="false" outlineLevel="0" collapsed="false">
      <c r="A934" s="0" t="n">
        <v>44479</v>
      </c>
      <c r="B934" s="0" t="s">
        <v>4475</v>
      </c>
      <c r="C934" s="0" t="s">
        <v>1513</v>
      </c>
      <c r="D934" s="0" t="s">
        <v>3671</v>
      </c>
      <c r="E934" s="0" t="n">
        <v>0.17</v>
      </c>
    </row>
    <row r="935" customFormat="false" ht="15" hidden="false" customHeight="false" outlineLevel="0" collapsed="false">
      <c r="A935" s="0" t="n">
        <v>4759</v>
      </c>
      <c r="B935" s="0" t="s">
        <v>1954</v>
      </c>
      <c r="C935" s="0" t="s">
        <v>1444</v>
      </c>
      <c r="D935" s="0" t="s">
        <v>3671</v>
      </c>
      <c r="E935" s="0" t="n">
        <v>18.31</v>
      </c>
    </row>
    <row r="936" customFormat="false" ht="15" hidden="false" customHeight="false" outlineLevel="0" collapsed="false">
      <c r="A936" s="0" t="n">
        <v>41068</v>
      </c>
      <c r="B936" s="0" t="s">
        <v>4476</v>
      </c>
      <c r="C936" s="0" t="s">
        <v>1416</v>
      </c>
      <c r="D936" s="0" t="s">
        <v>3671</v>
      </c>
      <c r="E936" s="0" t="n">
        <v>3225.95</v>
      </c>
    </row>
    <row r="937" customFormat="false" ht="15" hidden="false" customHeight="false" outlineLevel="0" collapsed="false">
      <c r="A937" s="0" t="n">
        <v>12618</v>
      </c>
      <c r="B937" s="0" t="s">
        <v>4477</v>
      </c>
      <c r="C937" s="0" t="s">
        <v>31</v>
      </c>
      <c r="D937" s="0" t="s">
        <v>3671</v>
      </c>
      <c r="E937" s="0" t="n">
        <v>177.46</v>
      </c>
    </row>
    <row r="938" customFormat="false" ht="15" hidden="false" customHeight="false" outlineLevel="0" collapsed="false">
      <c r="A938" s="0" t="n">
        <v>1108</v>
      </c>
      <c r="B938" s="0" t="s">
        <v>4478</v>
      </c>
      <c r="C938" s="0" t="s">
        <v>1455</v>
      </c>
      <c r="D938" s="0" t="s">
        <v>3671</v>
      </c>
    </row>
    <row r="939" customFormat="false" ht="15" hidden="false" customHeight="false" outlineLevel="0" collapsed="false">
      <c r="A939" s="0" t="n">
        <v>1117</v>
      </c>
      <c r="B939" s="0" t="s">
        <v>4479</v>
      </c>
      <c r="C939" s="0" t="s">
        <v>1455</v>
      </c>
      <c r="D939" s="0" t="s">
        <v>3671</v>
      </c>
    </row>
    <row r="940" customFormat="false" ht="15" hidden="false" customHeight="false" outlineLevel="0" collapsed="false">
      <c r="A940" s="0" t="n">
        <v>1118</v>
      </c>
      <c r="B940" s="0" t="s">
        <v>4480</v>
      </c>
      <c r="C940" s="0" t="s">
        <v>1455</v>
      </c>
      <c r="D940" s="0" t="s">
        <v>3671</v>
      </c>
    </row>
    <row r="941" customFormat="false" ht="15" hidden="false" customHeight="false" outlineLevel="0" collapsed="false">
      <c r="A941" s="0" t="n">
        <v>1110</v>
      </c>
      <c r="B941" s="0" t="s">
        <v>4481</v>
      </c>
      <c r="C941" s="0" t="s">
        <v>1455</v>
      </c>
      <c r="D941" s="0" t="s">
        <v>3671</v>
      </c>
    </row>
    <row r="942" customFormat="false" ht="15" hidden="false" customHeight="false" outlineLevel="0" collapsed="false">
      <c r="A942" s="0" t="n">
        <v>40784</v>
      </c>
      <c r="B942" s="0" t="s">
        <v>4482</v>
      </c>
      <c r="C942" s="0" t="s">
        <v>1455</v>
      </c>
      <c r="D942" s="0" t="s">
        <v>3671</v>
      </c>
    </row>
    <row r="943" customFormat="false" ht="15" hidden="false" customHeight="false" outlineLevel="0" collapsed="false">
      <c r="A943" s="0" t="n">
        <v>40782</v>
      </c>
      <c r="B943" s="0" t="s">
        <v>4483</v>
      </c>
      <c r="C943" s="0" t="s">
        <v>1455</v>
      </c>
      <c r="D943" s="0" t="s">
        <v>3671</v>
      </c>
    </row>
    <row r="944" customFormat="false" ht="15" hidden="false" customHeight="false" outlineLevel="0" collapsed="false">
      <c r="A944" s="0" t="n">
        <v>40783</v>
      </c>
      <c r="B944" s="0" t="s">
        <v>1900</v>
      </c>
      <c r="C944" s="0" t="s">
        <v>1455</v>
      </c>
      <c r="D944" s="0" t="s">
        <v>3671</v>
      </c>
    </row>
    <row r="945" customFormat="false" ht="15" hidden="false" customHeight="false" outlineLevel="0" collapsed="false">
      <c r="A945" s="0" t="n">
        <v>1109</v>
      </c>
      <c r="B945" s="0" t="s">
        <v>4484</v>
      </c>
      <c r="C945" s="0" t="s">
        <v>1455</v>
      </c>
      <c r="D945" s="0" t="s">
        <v>3671</v>
      </c>
    </row>
    <row r="946" customFormat="false" ht="15" hidden="false" customHeight="false" outlineLevel="0" collapsed="false">
      <c r="A946" s="0" t="n">
        <v>1119</v>
      </c>
      <c r="B946" s="0" t="s">
        <v>4485</v>
      </c>
      <c r="C946" s="0" t="s">
        <v>1455</v>
      </c>
      <c r="D946" s="0" t="s">
        <v>3671</v>
      </c>
    </row>
    <row r="947" customFormat="false" ht="15" hidden="false" customHeight="false" outlineLevel="0" collapsed="false">
      <c r="A947" s="0" t="n">
        <v>13115</v>
      </c>
      <c r="B947" s="0" t="s">
        <v>4486</v>
      </c>
      <c r="C947" s="0" t="s">
        <v>1455</v>
      </c>
      <c r="D947" s="0" t="s">
        <v>3671</v>
      </c>
    </row>
    <row r="948" customFormat="false" ht="15" hidden="false" customHeight="false" outlineLevel="0" collapsed="false">
      <c r="A948" s="0" t="n">
        <v>10541</v>
      </c>
      <c r="B948" s="0" t="s">
        <v>4487</v>
      </c>
      <c r="C948" s="0" t="s">
        <v>1455</v>
      </c>
      <c r="D948" s="0" t="s">
        <v>3671</v>
      </c>
    </row>
    <row r="949" customFormat="false" ht="15" hidden="false" customHeight="false" outlineLevel="0" collapsed="false">
      <c r="A949" s="0" t="n">
        <v>10542</v>
      </c>
      <c r="B949" s="0" t="s">
        <v>4488</v>
      </c>
      <c r="C949" s="0" t="s">
        <v>1455</v>
      </c>
      <c r="D949" s="0" t="s">
        <v>3671</v>
      </c>
    </row>
    <row r="950" customFormat="false" ht="15" hidden="false" customHeight="false" outlineLevel="0" collapsed="false">
      <c r="A950" s="0" t="n">
        <v>10543</v>
      </c>
      <c r="B950" s="0" t="s">
        <v>4489</v>
      </c>
      <c r="C950" s="0" t="s">
        <v>1455</v>
      </c>
      <c r="D950" s="0" t="s">
        <v>3671</v>
      </c>
    </row>
    <row r="951" customFormat="false" ht="15" hidden="false" customHeight="false" outlineLevel="0" collapsed="false">
      <c r="A951" s="0" t="n">
        <v>10544</v>
      </c>
      <c r="B951" s="0" t="s">
        <v>4490</v>
      </c>
      <c r="C951" s="0" t="s">
        <v>1455</v>
      </c>
      <c r="D951" s="0" t="s">
        <v>3671</v>
      </c>
    </row>
    <row r="952" customFormat="false" ht="15" hidden="false" customHeight="false" outlineLevel="0" collapsed="false">
      <c r="A952" s="0" t="n">
        <v>10545</v>
      </c>
      <c r="B952" s="0" t="s">
        <v>4491</v>
      </c>
      <c r="C952" s="0" t="s">
        <v>1455</v>
      </c>
      <c r="D952" s="0" t="s">
        <v>3671</v>
      </c>
    </row>
    <row r="953" customFormat="false" ht="15" hidden="false" customHeight="false" outlineLevel="0" collapsed="false">
      <c r="A953" s="0" t="n">
        <v>38365</v>
      </c>
      <c r="B953" s="0" t="s">
        <v>4492</v>
      </c>
      <c r="C953" s="0" t="s">
        <v>1477</v>
      </c>
      <c r="D953" s="0" t="s">
        <v>3671</v>
      </c>
      <c r="E953" s="0" t="n">
        <v>1.75</v>
      </c>
    </row>
    <row r="954" customFormat="false" ht="15" hidden="false" customHeight="false" outlineLevel="0" collapsed="false">
      <c r="A954" s="0" t="n">
        <v>44056</v>
      </c>
      <c r="B954" s="0" t="s">
        <v>2888</v>
      </c>
      <c r="C954" s="0" t="s">
        <v>31</v>
      </c>
      <c r="D954" s="0" t="s">
        <v>3671</v>
      </c>
    </row>
    <row r="955" customFormat="false" ht="15" hidden="false" customHeight="false" outlineLevel="0" collapsed="false">
      <c r="A955" s="0" t="n">
        <v>44057</v>
      </c>
      <c r="B955" s="0" t="s">
        <v>4493</v>
      </c>
      <c r="C955" s="0" t="s">
        <v>31</v>
      </c>
      <c r="D955" s="0" t="s">
        <v>3676</v>
      </c>
    </row>
    <row r="956" customFormat="false" ht="15" hidden="false" customHeight="false" outlineLevel="0" collapsed="false">
      <c r="A956" s="0" t="n">
        <v>37754</v>
      </c>
      <c r="B956" s="0" t="s">
        <v>4494</v>
      </c>
      <c r="C956" s="0" t="s">
        <v>31</v>
      </c>
      <c r="D956" s="0" t="s">
        <v>3671</v>
      </c>
    </row>
    <row r="957" customFormat="false" ht="15" hidden="false" customHeight="false" outlineLevel="0" collapsed="false">
      <c r="A957" s="0" t="n">
        <v>37757</v>
      </c>
      <c r="B957" s="0" t="s">
        <v>4495</v>
      </c>
      <c r="C957" s="0" t="s">
        <v>31</v>
      </c>
      <c r="D957" s="0" t="s">
        <v>3671</v>
      </c>
    </row>
    <row r="958" customFormat="false" ht="15" hidden="false" customHeight="false" outlineLevel="0" collapsed="false">
      <c r="A958" s="0" t="n">
        <v>44058</v>
      </c>
      <c r="B958" s="0" t="s">
        <v>4496</v>
      </c>
      <c r="C958" s="0" t="s">
        <v>31</v>
      </c>
      <c r="D958" s="0" t="s">
        <v>3671</v>
      </c>
    </row>
    <row r="959" customFormat="false" ht="15" hidden="false" customHeight="false" outlineLevel="0" collapsed="false">
      <c r="A959" s="0" t="n">
        <v>37752</v>
      </c>
      <c r="B959" s="0" t="s">
        <v>1616</v>
      </c>
      <c r="C959" s="0" t="s">
        <v>31</v>
      </c>
      <c r="D959" s="0" t="s">
        <v>3671</v>
      </c>
    </row>
    <row r="960" customFormat="false" ht="15" hidden="false" customHeight="false" outlineLevel="0" collapsed="false">
      <c r="A960" s="0" t="n">
        <v>44059</v>
      </c>
      <c r="B960" s="0" t="s">
        <v>4497</v>
      </c>
      <c r="C960" s="0" t="s">
        <v>31</v>
      </c>
      <c r="D960" s="0" t="s">
        <v>3671</v>
      </c>
    </row>
    <row r="961" customFormat="false" ht="15" hidden="false" customHeight="false" outlineLevel="0" collapsed="false">
      <c r="A961" s="0" t="n">
        <v>37750</v>
      </c>
      <c r="B961" s="0" t="s">
        <v>4498</v>
      </c>
      <c r="C961" s="0" t="s">
        <v>31</v>
      </c>
      <c r="D961" s="0" t="s">
        <v>3671</v>
      </c>
    </row>
    <row r="962" customFormat="false" ht="15" hidden="false" customHeight="false" outlineLevel="0" collapsed="false">
      <c r="A962" s="0" t="n">
        <v>37758</v>
      </c>
      <c r="B962" s="0" t="s">
        <v>1472</v>
      </c>
      <c r="C962" s="0" t="s">
        <v>31</v>
      </c>
      <c r="D962" s="0" t="s">
        <v>3671</v>
      </c>
    </row>
    <row r="963" customFormat="false" ht="15" hidden="false" customHeight="false" outlineLevel="0" collapsed="false">
      <c r="A963" s="0" t="n">
        <v>44060</v>
      </c>
      <c r="B963" s="0" t="s">
        <v>4499</v>
      </c>
      <c r="C963" s="0" t="s">
        <v>31</v>
      </c>
      <c r="D963" s="0" t="s">
        <v>3671</v>
      </c>
    </row>
    <row r="964" customFormat="false" ht="15" hidden="false" customHeight="false" outlineLevel="0" collapsed="false">
      <c r="A964" s="0" t="n">
        <v>37749</v>
      </c>
      <c r="B964" s="0" t="s">
        <v>4500</v>
      </c>
      <c r="C964" s="0" t="s">
        <v>31</v>
      </c>
      <c r="D964" s="0" t="s">
        <v>3671</v>
      </c>
    </row>
    <row r="965" customFormat="false" ht="15" hidden="false" customHeight="false" outlineLevel="0" collapsed="false">
      <c r="A965" s="0" t="n">
        <v>44061</v>
      </c>
      <c r="B965" s="0" t="s">
        <v>4501</v>
      </c>
      <c r="C965" s="0" t="s">
        <v>31</v>
      </c>
      <c r="D965" s="0" t="s">
        <v>3671</v>
      </c>
    </row>
    <row r="966" customFormat="false" ht="15" hidden="false" customHeight="false" outlineLevel="0" collapsed="false">
      <c r="A966" s="0" t="n">
        <v>1159</v>
      </c>
      <c r="B966" s="0" t="s">
        <v>4502</v>
      </c>
      <c r="C966" s="0" t="s">
        <v>31</v>
      </c>
      <c r="D966" s="0" t="s">
        <v>3676</v>
      </c>
      <c r="E966" s="0" t="n">
        <v>265433.83</v>
      </c>
    </row>
    <row r="967" customFormat="false" ht="15" hidden="false" customHeight="false" outlineLevel="0" collapsed="false">
      <c r="A967" s="0" t="n">
        <v>12114</v>
      </c>
      <c r="B967" s="0" t="s">
        <v>4503</v>
      </c>
      <c r="C967" s="0" t="s">
        <v>31</v>
      </c>
      <c r="D967" s="0" t="s">
        <v>3671</v>
      </c>
      <c r="E967" s="0" t="n">
        <v>121.8</v>
      </c>
    </row>
    <row r="968" customFormat="false" ht="15" hidden="false" customHeight="false" outlineLevel="0" collapsed="false">
      <c r="A968" s="0" t="n">
        <v>38106</v>
      </c>
      <c r="B968" s="0" t="s">
        <v>4504</v>
      </c>
      <c r="C968" s="0" t="s">
        <v>31</v>
      </c>
      <c r="D968" s="0" t="s">
        <v>3671</v>
      </c>
      <c r="E968" s="0" t="n">
        <v>16.55</v>
      </c>
    </row>
    <row r="969" customFormat="false" ht="15" hidden="false" customHeight="false" outlineLevel="0" collapsed="false">
      <c r="A969" s="0" t="n">
        <v>38085</v>
      </c>
      <c r="B969" s="0" t="s">
        <v>4505</v>
      </c>
      <c r="C969" s="0" t="s">
        <v>31</v>
      </c>
      <c r="D969" s="0" t="s">
        <v>3671</v>
      </c>
      <c r="E969" s="0" t="n">
        <v>19.55</v>
      </c>
    </row>
    <row r="970" customFormat="false" ht="15" hidden="false" customHeight="false" outlineLevel="0" collapsed="false">
      <c r="A970" s="0" t="n">
        <v>659</v>
      </c>
      <c r="B970" s="0" t="s">
        <v>4506</v>
      </c>
      <c r="C970" s="0" t="s">
        <v>31</v>
      </c>
      <c r="D970" s="0" t="s">
        <v>3671</v>
      </c>
      <c r="E970" s="0" t="n">
        <v>2.96</v>
      </c>
    </row>
    <row r="971" customFormat="false" ht="15" hidden="false" customHeight="false" outlineLevel="0" collapsed="false">
      <c r="A971" s="0" t="n">
        <v>660</v>
      </c>
      <c r="B971" s="0" t="s">
        <v>4507</v>
      </c>
      <c r="C971" s="0" t="s">
        <v>31</v>
      </c>
      <c r="D971" s="0" t="s">
        <v>3671</v>
      </c>
      <c r="E971" s="0" t="n">
        <v>3.54</v>
      </c>
    </row>
    <row r="972" customFormat="false" ht="15" hidden="false" customHeight="false" outlineLevel="0" collapsed="false">
      <c r="A972" s="0" t="n">
        <v>658</v>
      </c>
      <c r="B972" s="0" t="s">
        <v>4508</v>
      </c>
      <c r="C972" s="0" t="s">
        <v>31</v>
      </c>
      <c r="D972" s="0" t="s">
        <v>3671</v>
      </c>
      <c r="E972" s="0" t="n">
        <v>2</v>
      </c>
    </row>
    <row r="973" customFormat="false" ht="15" hidden="false" customHeight="false" outlineLevel="0" collapsed="false">
      <c r="A973" s="0" t="n">
        <v>38599</v>
      </c>
      <c r="B973" s="0" t="s">
        <v>4509</v>
      </c>
      <c r="C973" s="0" t="s">
        <v>31</v>
      </c>
      <c r="D973" s="0" t="s">
        <v>3671</v>
      </c>
      <c r="E973" s="0" t="n">
        <v>6.16</v>
      </c>
    </row>
    <row r="974" customFormat="false" ht="15" hidden="false" customHeight="false" outlineLevel="0" collapsed="false">
      <c r="A974" s="0" t="n">
        <v>38596</v>
      </c>
      <c r="B974" s="0" t="s">
        <v>4510</v>
      </c>
      <c r="C974" s="0" t="s">
        <v>31</v>
      </c>
      <c r="D974" s="0" t="s">
        <v>3671</v>
      </c>
      <c r="E974" s="0" t="n">
        <v>5.11</v>
      </c>
    </row>
    <row r="975" customFormat="false" ht="15" hidden="false" customHeight="false" outlineLevel="0" collapsed="false">
      <c r="A975" s="0" t="n">
        <v>38600</v>
      </c>
      <c r="B975" s="0" t="s">
        <v>4511</v>
      </c>
      <c r="C975" s="0" t="s">
        <v>31</v>
      </c>
      <c r="D975" s="0" t="s">
        <v>3671</v>
      </c>
      <c r="E975" s="0" t="n">
        <v>6.53</v>
      </c>
    </row>
    <row r="976" customFormat="false" ht="15" hidden="false" customHeight="false" outlineLevel="0" collapsed="false">
      <c r="A976" s="0" t="n">
        <v>38597</v>
      </c>
      <c r="B976" s="0" t="s">
        <v>1746</v>
      </c>
      <c r="C976" s="0" t="s">
        <v>31</v>
      </c>
      <c r="D976" s="0" t="s">
        <v>3671</v>
      </c>
      <c r="E976" s="0" t="n">
        <v>5.14</v>
      </c>
    </row>
    <row r="977" customFormat="false" ht="15" hidden="false" customHeight="false" outlineLevel="0" collapsed="false">
      <c r="A977" s="0" t="n">
        <v>38548</v>
      </c>
      <c r="B977" s="0" t="s">
        <v>4512</v>
      </c>
      <c r="C977" s="0" t="s">
        <v>31</v>
      </c>
      <c r="D977" s="0" t="s">
        <v>3671</v>
      </c>
      <c r="E977" s="0" t="n">
        <v>2.4</v>
      </c>
    </row>
    <row r="978" customFormat="false" ht="15" hidden="false" customHeight="false" outlineLevel="0" collapsed="false">
      <c r="A978" s="0" t="n">
        <v>34649</v>
      </c>
      <c r="B978" s="0" t="s">
        <v>4513</v>
      </c>
      <c r="C978" s="0" t="s">
        <v>31</v>
      </c>
      <c r="D978" s="0" t="s">
        <v>3671</v>
      </c>
      <c r="E978" s="0" t="n">
        <v>3.52</v>
      </c>
    </row>
    <row r="979" customFormat="false" ht="15" hidden="false" customHeight="false" outlineLevel="0" collapsed="false">
      <c r="A979" s="0" t="n">
        <v>34655</v>
      </c>
      <c r="B979" s="0" t="s">
        <v>4514</v>
      </c>
      <c r="C979" s="0" t="s">
        <v>31</v>
      </c>
      <c r="D979" s="0" t="s">
        <v>3671</v>
      </c>
      <c r="E979" s="0" t="n">
        <v>5.17</v>
      </c>
    </row>
    <row r="980" customFormat="false" ht="15" hidden="false" customHeight="false" outlineLevel="0" collapsed="false">
      <c r="A980" s="0" t="n">
        <v>40607</v>
      </c>
      <c r="B980" s="0" t="s">
        <v>4515</v>
      </c>
      <c r="C980" s="0" t="s">
        <v>31</v>
      </c>
      <c r="D980" s="0" t="s">
        <v>3671</v>
      </c>
      <c r="E980" s="0" t="n">
        <v>4.57</v>
      </c>
    </row>
    <row r="981" customFormat="false" ht="15" hidden="false" customHeight="false" outlineLevel="0" collapsed="false">
      <c r="A981" s="0" t="n">
        <v>567</v>
      </c>
      <c r="B981" s="0" t="s">
        <v>4516</v>
      </c>
      <c r="C981" s="0" t="s">
        <v>1455</v>
      </c>
      <c r="D981" s="0" t="s">
        <v>3671</v>
      </c>
      <c r="E981" s="0" t="n">
        <v>13.33</v>
      </c>
    </row>
    <row r="982" customFormat="false" ht="15" hidden="false" customHeight="false" outlineLevel="0" collapsed="false">
      <c r="A982" s="0" t="n">
        <v>574</v>
      </c>
      <c r="B982" s="0" t="s">
        <v>4517</v>
      </c>
      <c r="C982" s="0" t="s">
        <v>1455</v>
      </c>
      <c r="D982" s="0" t="s">
        <v>3671</v>
      </c>
      <c r="E982" s="0" t="n">
        <v>35.04</v>
      </c>
    </row>
    <row r="983" customFormat="false" ht="15" hidden="false" customHeight="false" outlineLevel="0" collapsed="false">
      <c r="A983" s="0" t="n">
        <v>568</v>
      </c>
      <c r="B983" s="0" t="s">
        <v>4518</v>
      </c>
      <c r="C983" s="0" t="s">
        <v>1455</v>
      </c>
      <c r="D983" s="0" t="s">
        <v>3671</v>
      </c>
      <c r="E983" s="0" t="n">
        <v>73.83</v>
      </c>
    </row>
    <row r="984" customFormat="false" ht="15" hidden="false" customHeight="false" outlineLevel="0" collapsed="false">
      <c r="A984" s="0" t="n">
        <v>4777</v>
      </c>
      <c r="B984" s="0" t="s">
        <v>4519</v>
      </c>
      <c r="C984" s="0" t="s">
        <v>1513</v>
      </c>
      <c r="D984" s="0" t="s">
        <v>3671</v>
      </c>
    </row>
    <row r="985" customFormat="false" ht="15" hidden="false" customHeight="false" outlineLevel="0" collapsed="false">
      <c r="A985" s="0" t="n">
        <v>592</v>
      </c>
      <c r="B985" s="0" t="s">
        <v>4520</v>
      </c>
      <c r="C985" s="0" t="s">
        <v>1513</v>
      </c>
      <c r="D985" s="0" t="s">
        <v>3676</v>
      </c>
    </row>
    <row r="986" customFormat="false" ht="15" hidden="false" customHeight="false" outlineLevel="0" collapsed="false">
      <c r="A986" s="0" t="n">
        <v>586</v>
      </c>
      <c r="B986" s="0" t="s">
        <v>4521</v>
      </c>
      <c r="C986" s="0" t="s">
        <v>1455</v>
      </c>
      <c r="D986" s="0" t="s">
        <v>3671</v>
      </c>
    </row>
    <row r="987" customFormat="false" ht="15" hidden="false" customHeight="false" outlineLevel="0" collapsed="false">
      <c r="A987" s="0" t="n">
        <v>588</v>
      </c>
      <c r="B987" s="0" t="s">
        <v>4522</v>
      </c>
      <c r="C987" s="0" t="s">
        <v>1455</v>
      </c>
      <c r="D987" s="0" t="s">
        <v>3671</v>
      </c>
    </row>
    <row r="988" customFormat="false" ht="15" hidden="false" customHeight="false" outlineLevel="0" collapsed="false">
      <c r="A988" s="0" t="n">
        <v>591</v>
      </c>
      <c r="B988" s="0" t="s">
        <v>4523</v>
      </c>
      <c r="C988" s="0" t="s">
        <v>1513</v>
      </c>
      <c r="D988" s="0" t="s">
        <v>3671</v>
      </c>
    </row>
    <row r="989" customFormat="false" ht="15" hidden="false" customHeight="false" outlineLevel="0" collapsed="false">
      <c r="A989" s="0" t="n">
        <v>584</v>
      </c>
      <c r="B989" s="0" t="s">
        <v>4524</v>
      </c>
      <c r="C989" s="0" t="s">
        <v>1455</v>
      </c>
      <c r="D989" s="0" t="s">
        <v>3671</v>
      </c>
    </row>
    <row r="990" customFormat="false" ht="15" hidden="false" customHeight="false" outlineLevel="0" collapsed="false">
      <c r="A990" s="0" t="n">
        <v>589</v>
      </c>
      <c r="B990" s="0" t="s">
        <v>4525</v>
      </c>
      <c r="C990" s="0" t="s">
        <v>1455</v>
      </c>
      <c r="D990" s="0" t="s">
        <v>3671</v>
      </c>
    </row>
    <row r="991" customFormat="false" ht="15" hidden="false" customHeight="false" outlineLevel="0" collapsed="false">
      <c r="A991" s="0" t="n">
        <v>1165</v>
      </c>
      <c r="B991" s="0" t="s">
        <v>4526</v>
      </c>
      <c r="C991" s="0" t="s">
        <v>31</v>
      </c>
      <c r="D991" s="0" t="s">
        <v>3671</v>
      </c>
    </row>
    <row r="992" customFormat="false" ht="15" hidden="false" customHeight="false" outlineLevel="0" collapsed="false">
      <c r="A992" s="0" t="n">
        <v>1164</v>
      </c>
      <c r="B992" s="0" t="s">
        <v>4527</v>
      </c>
      <c r="C992" s="0" t="s">
        <v>31</v>
      </c>
      <c r="D992" s="0" t="s">
        <v>3671</v>
      </c>
    </row>
    <row r="993" customFormat="false" ht="15" hidden="false" customHeight="false" outlineLevel="0" collapsed="false">
      <c r="A993" s="0" t="n">
        <v>1170</v>
      </c>
      <c r="B993" s="0" t="s">
        <v>4528</v>
      </c>
      <c r="C993" s="0" t="s">
        <v>31</v>
      </c>
      <c r="D993" s="0" t="s">
        <v>3671</v>
      </c>
    </row>
    <row r="994" customFormat="false" ht="15" hidden="false" customHeight="false" outlineLevel="0" collapsed="false">
      <c r="A994" s="0" t="n">
        <v>1162</v>
      </c>
      <c r="B994" s="0" t="s">
        <v>4529</v>
      </c>
      <c r="C994" s="0" t="s">
        <v>31</v>
      </c>
      <c r="D994" s="0" t="s">
        <v>3671</v>
      </c>
    </row>
    <row r="995" customFormat="false" ht="15" hidden="false" customHeight="false" outlineLevel="0" collapsed="false">
      <c r="A995" s="0" t="n">
        <v>12395</v>
      </c>
      <c r="B995" s="0" t="s">
        <v>4530</v>
      </c>
      <c r="C995" s="0" t="s">
        <v>31</v>
      </c>
      <c r="D995" s="0" t="s">
        <v>3671</v>
      </c>
    </row>
    <row r="996" customFormat="false" ht="15" hidden="false" customHeight="false" outlineLevel="0" collapsed="false">
      <c r="A996" s="0" t="n">
        <v>1169</v>
      </c>
      <c r="B996" s="0" t="s">
        <v>4531</v>
      </c>
      <c r="C996" s="0" t="s">
        <v>31</v>
      </c>
      <c r="D996" s="0" t="s">
        <v>3671</v>
      </c>
    </row>
    <row r="997" customFormat="false" ht="15" hidden="false" customHeight="false" outlineLevel="0" collapsed="false">
      <c r="A997" s="0" t="n">
        <v>1166</v>
      </c>
      <c r="B997" s="0" t="s">
        <v>4532</v>
      </c>
      <c r="C997" s="0" t="s">
        <v>31</v>
      </c>
      <c r="D997" s="0" t="s">
        <v>3671</v>
      </c>
    </row>
    <row r="998" customFormat="false" ht="15" hidden="false" customHeight="false" outlineLevel="0" collapsed="false">
      <c r="A998" s="0" t="n">
        <v>1168</v>
      </c>
      <c r="B998" s="0" t="s">
        <v>4533</v>
      </c>
      <c r="C998" s="0" t="s">
        <v>31</v>
      </c>
      <c r="D998" s="0" t="s">
        <v>3671</v>
      </c>
    </row>
    <row r="999" customFormat="false" ht="15" hidden="false" customHeight="false" outlineLevel="0" collapsed="false">
      <c r="A999" s="0" t="n">
        <v>1163</v>
      </c>
      <c r="B999" s="0" t="s">
        <v>4534</v>
      </c>
      <c r="C999" s="0" t="s">
        <v>31</v>
      </c>
      <c r="D999" s="0" t="s">
        <v>3671</v>
      </c>
    </row>
    <row r="1000" customFormat="false" ht="15" hidden="false" customHeight="false" outlineLevel="0" collapsed="false">
      <c r="A1000" s="0" t="n">
        <v>12396</v>
      </c>
      <c r="B1000" s="0" t="s">
        <v>4535</v>
      </c>
      <c r="C1000" s="0" t="s">
        <v>31</v>
      </c>
      <c r="D1000" s="0" t="s">
        <v>3671</v>
      </c>
    </row>
    <row r="1001" customFormat="false" ht="15" hidden="false" customHeight="false" outlineLevel="0" collapsed="false">
      <c r="A1001" s="0" t="n">
        <v>1167</v>
      </c>
      <c r="B1001" s="0" t="s">
        <v>4536</v>
      </c>
      <c r="C1001" s="0" t="s">
        <v>31</v>
      </c>
      <c r="D1001" s="0" t="s">
        <v>3671</v>
      </c>
    </row>
    <row r="1002" customFormat="false" ht="15" hidden="false" customHeight="false" outlineLevel="0" collapsed="false">
      <c r="A1002" s="0" t="n">
        <v>36331</v>
      </c>
      <c r="B1002" s="0" t="s">
        <v>4537</v>
      </c>
      <c r="C1002" s="0" t="s">
        <v>31</v>
      </c>
      <c r="D1002" s="0" t="s">
        <v>3671</v>
      </c>
    </row>
    <row r="1003" customFormat="false" ht="15" hidden="false" customHeight="false" outlineLevel="0" collapsed="false">
      <c r="A1003" s="0" t="n">
        <v>36346</v>
      </c>
      <c r="B1003" s="0" t="s">
        <v>4538</v>
      </c>
      <c r="C1003" s="0" t="s">
        <v>31</v>
      </c>
      <c r="D1003" s="0" t="s">
        <v>3671</v>
      </c>
    </row>
    <row r="1004" customFormat="false" ht="15" hidden="false" customHeight="false" outlineLevel="0" collapsed="false">
      <c r="A1004" s="0" t="n">
        <v>1202</v>
      </c>
      <c r="B1004" s="0" t="s">
        <v>4539</v>
      </c>
      <c r="C1004" s="0" t="s">
        <v>31</v>
      </c>
      <c r="D1004" s="0" t="s">
        <v>3671</v>
      </c>
      <c r="E1004" s="0" t="n">
        <v>4.99</v>
      </c>
    </row>
    <row r="1005" customFormat="false" ht="15" hidden="false" customHeight="false" outlineLevel="0" collapsed="false">
      <c r="A1005" s="0" t="n">
        <v>1197</v>
      </c>
      <c r="B1005" s="0" t="s">
        <v>4540</v>
      </c>
      <c r="C1005" s="0" t="s">
        <v>31</v>
      </c>
      <c r="D1005" s="0" t="s">
        <v>3671</v>
      </c>
      <c r="E1005" s="0" t="n">
        <v>1.76</v>
      </c>
    </row>
    <row r="1006" customFormat="false" ht="15" hidden="false" customHeight="false" outlineLevel="0" collapsed="false">
      <c r="A1006" s="0" t="n">
        <v>1198</v>
      </c>
      <c r="B1006" s="0" t="s">
        <v>4541</v>
      </c>
      <c r="C1006" s="0" t="s">
        <v>31</v>
      </c>
      <c r="D1006" s="0" t="s">
        <v>3671</v>
      </c>
      <c r="E1006" s="0" t="n">
        <v>2.3</v>
      </c>
    </row>
    <row r="1007" customFormat="false" ht="15" hidden="false" customHeight="false" outlineLevel="0" collapsed="false">
      <c r="A1007" s="0" t="n">
        <v>20088</v>
      </c>
      <c r="B1007" s="0" t="s">
        <v>4542</v>
      </c>
      <c r="C1007" s="0" t="s">
        <v>31</v>
      </c>
      <c r="D1007" s="0" t="s">
        <v>3671</v>
      </c>
      <c r="E1007" s="0" t="n">
        <v>13.65</v>
      </c>
    </row>
    <row r="1008" customFormat="false" ht="15" hidden="false" customHeight="false" outlineLevel="0" collapsed="false">
      <c r="A1008" s="0" t="n">
        <v>20089</v>
      </c>
      <c r="B1008" s="0" t="s">
        <v>4543</v>
      </c>
      <c r="C1008" s="0" t="s">
        <v>31</v>
      </c>
      <c r="D1008" s="0" t="s">
        <v>3671</v>
      </c>
      <c r="E1008" s="0" t="n">
        <v>66.94</v>
      </c>
    </row>
    <row r="1009" customFormat="false" ht="15" hidden="false" customHeight="false" outlineLevel="0" collapsed="false">
      <c r="A1009" s="0" t="n">
        <v>20087</v>
      </c>
      <c r="B1009" s="0" t="s">
        <v>4544</v>
      </c>
      <c r="C1009" s="0" t="s">
        <v>31</v>
      </c>
      <c r="D1009" s="0" t="s">
        <v>3671</v>
      </c>
      <c r="E1009" s="0" t="n">
        <v>11.3</v>
      </c>
    </row>
    <row r="1010" customFormat="false" ht="15" hidden="false" customHeight="false" outlineLevel="0" collapsed="false">
      <c r="A1010" s="0" t="n">
        <v>1191</v>
      </c>
      <c r="B1010" s="0" t="s">
        <v>4545</v>
      </c>
      <c r="C1010" s="0" t="s">
        <v>31</v>
      </c>
      <c r="D1010" s="0" t="s">
        <v>3671</v>
      </c>
      <c r="E1010" s="0" t="n">
        <v>1.25</v>
      </c>
    </row>
    <row r="1011" customFormat="false" ht="15" hidden="false" customHeight="false" outlineLevel="0" collapsed="false">
      <c r="A1011" s="0" t="n">
        <v>1185</v>
      </c>
      <c r="B1011" s="0" t="s">
        <v>4546</v>
      </c>
      <c r="C1011" s="0" t="s">
        <v>31</v>
      </c>
      <c r="D1011" s="0" t="s">
        <v>3671</v>
      </c>
      <c r="E1011" s="0" t="n">
        <v>1.25</v>
      </c>
    </row>
    <row r="1012" customFormat="false" ht="15" hidden="false" customHeight="false" outlineLevel="0" collapsed="false">
      <c r="A1012" s="0" t="n">
        <v>1189</v>
      </c>
      <c r="B1012" s="0" t="s">
        <v>4547</v>
      </c>
      <c r="C1012" s="0" t="s">
        <v>31</v>
      </c>
      <c r="D1012" s="0" t="s">
        <v>3671</v>
      </c>
      <c r="E1012" s="0" t="n">
        <v>2.05</v>
      </c>
    </row>
    <row r="1013" customFormat="false" ht="15" hidden="false" customHeight="false" outlineLevel="0" collapsed="false">
      <c r="A1013" s="0" t="n">
        <v>1193</v>
      </c>
      <c r="B1013" s="0" t="s">
        <v>4548</v>
      </c>
      <c r="C1013" s="0" t="s">
        <v>31</v>
      </c>
      <c r="D1013" s="0" t="s">
        <v>3671</v>
      </c>
      <c r="E1013" s="0" t="n">
        <v>3.94</v>
      </c>
    </row>
    <row r="1014" customFormat="false" ht="15" hidden="false" customHeight="false" outlineLevel="0" collapsed="false">
      <c r="A1014" s="0" t="n">
        <v>1194</v>
      </c>
      <c r="B1014" s="0" t="s">
        <v>4549</v>
      </c>
      <c r="C1014" s="0" t="s">
        <v>31</v>
      </c>
      <c r="D1014" s="0" t="s">
        <v>3671</v>
      </c>
      <c r="E1014" s="0" t="n">
        <v>7.12</v>
      </c>
    </row>
    <row r="1015" customFormat="false" ht="15" hidden="false" customHeight="false" outlineLevel="0" collapsed="false">
      <c r="A1015" s="0" t="n">
        <v>1195</v>
      </c>
      <c r="B1015" s="0" t="s">
        <v>4550</v>
      </c>
      <c r="C1015" s="0" t="s">
        <v>31</v>
      </c>
      <c r="D1015" s="0" t="s">
        <v>3671</v>
      </c>
      <c r="E1015" s="0" t="n">
        <v>11.99</v>
      </c>
    </row>
    <row r="1016" customFormat="false" ht="15" hidden="false" customHeight="false" outlineLevel="0" collapsed="false">
      <c r="A1016" s="0" t="n">
        <v>1204</v>
      </c>
      <c r="B1016" s="0" t="s">
        <v>4551</v>
      </c>
      <c r="C1016" s="0" t="s">
        <v>31</v>
      </c>
      <c r="D1016" s="0" t="s">
        <v>3671</v>
      </c>
      <c r="E1016" s="0" t="n">
        <v>20.97</v>
      </c>
    </row>
    <row r="1017" customFormat="false" ht="15" hidden="false" customHeight="false" outlineLevel="0" collapsed="false">
      <c r="A1017" s="0" t="n">
        <v>1200</v>
      </c>
      <c r="B1017" s="0" t="s">
        <v>4552</v>
      </c>
      <c r="C1017" s="0" t="s">
        <v>31</v>
      </c>
      <c r="D1017" s="0" t="s">
        <v>3671</v>
      </c>
      <c r="E1017" s="0" t="n">
        <v>10.26</v>
      </c>
    </row>
    <row r="1018" customFormat="false" ht="15" hidden="false" customHeight="false" outlineLevel="0" collapsed="false">
      <c r="A1018" s="0" t="n">
        <v>12909</v>
      </c>
      <c r="B1018" s="0" t="s">
        <v>4553</v>
      </c>
      <c r="C1018" s="0" t="s">
        <v>31</v>
      </c>
      <c r="D1018" s="0" t="s">
        <v>3671</v>
      </c>
      <c r="E1018" s="0" t="n">
        <v>4.76</v>
      </c>
    </row>
    <row r="1019" customFormat="false" ht="15" hidden="false" customHeight="false" outlineLevel="0" collapsed="false">
      <c r="A1019" s="0" t="n">
        <v>12910</v>
      </c>
      <c r="B1019" s="0" t="s">
        <v>4554</v>
      </c>
      <c r="C1019" s="0" t="s">
        <v>31</v>
      </c>
      <c r="D1019" s="0" t="s">
        <v>3671</v>
      </c>
      <c r="E1019" s="0" t="n">
        <v>8.55</v>
      </c>
    </row>
    <row r="1020" customFormat="false" ht="15" hidden="false" customHeight="false" outlineLevel="0" collapsed="false">
      <c r="A1020" s="0" t="n">
        <v>1207</v>
      </c>
      <c r="B1020" s="0" t="s">
        <v>4555</v>
      </c>
      <c r="C1020" s="0" t="s">
        <v>31</v>
      </c>
      <c r="D1020" s="0" t="s">
        <v>3671</v>
      </c>
    </row>
    <row r="1021" customFormat="false" ht="15" hidden="false" customHeight="false" outlineLevel="0" collapsed="false">
      <c r="A1021" s="0" t="n">
        <v>1206</v>
      </c>
      <c r="B1021" s="0" t="s">
        <v>4556</v>
      </c>
      <c r="C1021" s="0" t="s">
        <v>31</v>
      </c>
      <c r="D1021" s="0" t="s">
        <v>3671</v>
      </c>
    </row>
    <row r="1022" customFormat="false" ht="15" hidden="false" customHeight="false" outlineLevel="0" collapsed="false">
      <c r="A1022" s="0" t="n">
        <v>1183</v>
      </c>
      <c r="B1022" s="0" t="s">
        <v>4557</v>
      </c>
      <c r="C1022" s="0" t="s">
        <v>31</v>
      </c>
      <c r="D1022" s="0" t="s">
        <v>3671</v>
      </c>
    </row>
    <row r="1023" customFormat="false" ht="15" hidden="false" customHeight="false" outlineLevel="0" collapsed="false">
      <c r="A1023" s="0" t="n">
        <v>42685</v>
      </c>
      <c r="B1023" s="0" t="s">
        <v>4558</v>
      </c>
      <c r="C1023" s="0" t="s">
        <v>31</v>
      </c>
      <c r="D1023" s="0" t="s">
        <v>3671</v>
      </c>
      <c r="E1023" s="0" t="n">
        <v>69.37</v>
      </c>
    </row>
    <row r="1024" customFormat="false" ht="15" hidden="false" customHeight="false" outlineLevel="0" collapsed="false">
      <c r="A1024" s="0" t="n">
        <v>42686</v>
      </c>
      <c r="B1024" s="0" t="s">
        <v>4559</v>
      </c>
      <c r="C1024" s="0" t="s">
        <v>31</v>
      </c>
      <c r="D1024" s="0" t="s">
        <v>3671</v>
      </c>
      <c r="E1024" s="0" t="n">
        <v>76.4</v>
      </c>
    </row>
    <row r="1025" customFormat="false" ht="15" hidden="false" customHeight="false" outlineLevel="0" collapsed="false">
      <c r="A1025" s="0" t="n">
        <v>12894</v>
      </c>
      <c r="B1025" s="0" t="s">
        <v>4560</v>
      </c>
      <c r="C1025" s="0" t="s">
        <v>31</v>
      </c>
      <c r="D1025" s="0" t="s">
        <v>3671</v>
      </c>
      <c r="E1025" s="0" t="n">
        <v>17.01</v>
      </c>
    </row>
    <row r="1026" customFormat="false" ht="15" hidden="false" customHeight="false" outlineLevel="0" collapsed="false">
      <c r="A1026" s="0" t="n">
        <v>12895</v>
      </c>
      <c r="B1026" s="0" t="s">
        <v>4561</v>
      </c>
      <c r="C1026" s="0" t="s">
        <v>31</v>
      </c>
      <c r="D1026" s="0" t="s">
        <v>3676</v>
      </c>
      <c r="E1026" s="0" t="n">
        <v>13.09</v>
      </c>
    </row>
    <row r="1027" customFormat="false" ht="15" hidden="false" customHeight="false" outlineLevel="0" collapsed="false">
      <c r="A1027" s="0" t="n">
        <v>1631</v>
      </c>
      <c r="B1027" s="0" t="s">
        <v>4562</v>
      </c>
      <c r="C1027" s="0" t="s">
        <v>31</v>
      </c>
      <c r="D1027" s="0" t="s">
        <v>3671</v>
      </c>
      <c r="E1027" s="0" t="n">
        <v>103.69</v>
      </c>
    </row>
    <row r="1028" customFormat="false" ht="15" hidden="false" customHeight="false" outlineLevel="0" collapsed="false">
      <c r="A1028" s="0" t="n">
        <v>1633</v>
      </c>
      <c r="B1028" s="0" t="s">
        <v>4563</v>
      </c>
      <c r="C1028" s="0" t="s">
        <v>31</v>
      </c>
      <c r="D1028" s="0" t="s">
        <v>3671</v>
      </c>
      <c r="E1028" s="0" t="n">
        <v>176.18</v>
      </c>
    </row>
    <row r="1029" customFormat="false" ht="15" hidden="false" customHeight="false" outlineLevel="0" collapsed="false">
      <c r="A1029" s="0" t="n">
        <v>10818</v>
      </c>
      <c r="B1029" s="0" t="s">
        <v>4564</v>
      </c>
      <c r="C1029" s="0" t="s">
        <v>1513</v>
      </c>
      <c r="D1029" s="0" t="s">
        <v>3671</v>
      </c>
      <c r="E1029" s="0" t="n">
        <v>51.75</v>
      </c>
    </row>
    <row r="1030" customFormat="false" ht="15" hidden="false" customHeight="false" outlineLevel="0" collapsed="false">
      <c r="A1030" s="0" t="n">
        <v>41410</v>
      </c>
      <c r="B1030" s="0" t="s">
        <v>4565</v>
      </c>
      <c r="C1030" s="0" t="s">
        <v>31</v>
      </c>
      <c r="D1030" s="0" t="s">
        <v>3671</v>
      </c>
      <c r="E1030" s="0" t="n">
        <v>79.25</v>
      </c>
    </row>
    <row r="1031" customFormat="false" ht="15" hidden="false" customHeight="false" outlineLevel="0" collapsed="false">
      <c r="A1031" s="0" t="n">
        <v>41411</v>
      </c>
      <c r="B1031" s="0" t="s">
        <v>4566</v>
      </c>
      <c r="C1031" s="0" t="s">
        <v>31</v>
      </c>
      <c r="D1031" s="0" t="s">
        <v>3671</v>
      </c>
      <c r="E1031" s="0" t="n">
        <v>71.84</v>
      </c>
    </row>
    <row r="1032" customFormat="false" ht="15" hidden="false" customHeight="false" outlineLevel="0" collapsed="false">
      <c r="A1032" s="0" t="n">
        <v>41412</v>
      </c>
      <c r="B1032" s="0" t="s">
        <v>4567</v>
      </c>
      <c r="C1032" s="0" t="s">
        <v>31</v>
      </c>
      <c r="D1032" s="0" t="s">
        <v>3671</v>
      </c>
      <c r="E1032" s="0" t="n">
        <v>138.96</v>
      </c>
    </row>
    <row r="1033" customFormat="false" ht="15" hidden="false" customHeight="false" outlineLevel="0" collapsed="false">
      <c r="A1033" s="0" t="n">
        <v>41413</v>
      </c>
      <c r="B1033" s="0" t="s">
        <v>4568</v>
      </c>
      <c r="C1033" s="0" t="s">
        <v>31</v>
      </c>
      <c r="D1033" s="0" t="s">
        <v>3671</v>
      </c>
      <c r="E1033" s="0" t="n">
        <v>125.04</v>
      </c>
    </row>
    <row r="1034" customFormat="false" ht="15" hidden="false" customHeight="false" outlineLevel="0" collapsed="false">
      <c r="A1034" s="0" t="n">
        <v>39359</v>
      </c>
      <c r="B1034" s="0" t="s">
        <v>4569</v>
      </c>
      <c r="C1034" s="0" t="s">
        <v>31</v>
      </c>
      <c r="D1034" s="0" t="s">
        <v>3671</v>
      </c>
    </row>
    <row r="1035" customFormat="false" ht="15" hidden="false" customHeight="false" outlineLevel="0" collapsed="false">
      <c r="A1035" s="0" t="n">
        <v>39360</v>
      </c>
      <c r="B1035" s="0" t="s">
        <v>4570</v>
      </c>
      <c r="C1035" s="0" t="s">
        <v>31</v>
      </c>
      <c r="D1035" s="0" t="s">
        <v>3671</v>
      </c>
    </row>
    <row r="1036" customFormat="false" ht="15" hidden="false" customHeight="false" outlineLevel="0" collapsed="false">
      <c r="A1036" s="0" t="n">
        <v>10710</v>
      </c>
      <c r="B1036" s="0" t="s">
        <v>4571</v>
      </c>
      <c r="C1036" s="0" t="s">
        <v>1477</v>
      </c>
      <c r="D1036" s="0" t="s">
        <v>3676</v>
      </c>
    </row>
    <row r="1037" customFormat="false" ht="15" hidden="false" customHeight="false" outlineLevel="0" collapsed="false">
      <c r="A1037" s="0" t="n">
        <v>10709</v>
      </c>
      <c r="B1037" s="0" t="s">
        <v>4572</v>
      </c>
      <c r="C1037" s="0" t="s">
        <v>1477</v>
      </c>
      <c r="D1037" s="0" t="s">
        <v>3671</v>
      </c>
    </row>
    <row r="1038" customFormat="false" ht="15" hidden="false" customHeight="false" outlineLevel="0" collapsed="false">
      <c r="A1038" s="0" t="n">
        <v>39636</v>
      </c>
      <c r="B1038" s="0" t="s">
        <v>4573</v>
      </c>
      <c r="C1038" s="0" t="s">
        <v>1477</v>
      </c>
      <c r="D1038" s="0" t="s">
        <v>3671</v>
      </c>
    </row>
    <row r="1039" customFormat="false" ht="15" hidden="false" customHeight="false" outlineLevel="0" collapsed="false">
      <c r="A1039" s="0" t="n">
        <v>10708</v>
      </c>
      <c r="B1039" s="0" t="s">
        <v>4574</v>
      </c>
      <c r="C1039" s="0" t="s">
        <v>1477</v>
      </c>
      <c r="D1039" s="0" t="s">
        <v>3671</v>
      </c>
    </row>
    <row r="1040" customFormat="false" ht="15" hidden="false" customHeight="false" outlineLevel="0" collapsed="false">
      <c r="A1040" s="0" t="n">
        <v>39635</v>
      </c>
      <c r="B1040" s="0" t="s">
        <v>4575</v>
      </c>
      <c r="C1040" s="0" t="s">
        <v>1477</v>
      </c>
      <c r="D1040" s="0" t="s">
        <v>3671</v>
      </c>
    </row>
    <row r="1041" customFormat="false" ht="15" hidden="false" customHeight="false" outlineLevel="0" collapsed="false">
      <c r="A1041" s="0" t="n">
        <v>6117</v>
      </c>
      <c r="B1041" s="0" t="s">
        <v>1555</v>
      </c>
      <c r="C1041" s="0" t="s">
        <v>1444</v>
      </c>
      <c r="D1041" s="0" t="s">
        <v>3671</v>
      </c>
      <c r="E1041" s="0" t="n">
        <v>13.26</v>
      </c>
    </row>
    <row r="1042" customFormat="false" ht="15" hidden="false" customHeight="false" outlineLevel="0" collapsed="false">
      <c r="A1042" s="0" t="n">
        <v>40913</v>
      </c>
      <c r="B1042" s="0" t="s">
        <v>4576</v>
      </c>
      <c r="C1042" s="0" t="s">
        <v>1416</v>
      </c>
      <c r="D1042" s="0" t="s">
        <v>3671</v>
      </c>
      <c r="E1042" s="0" t="n">
        <v>2335.01</v>
      </c>
    </row>
    <row r="1043" customFormat="false" ht="15" hidden="false" customHeight="false" outlineLevel="0" collapsed="false">
      <c r="A1043" s="0" t="n">
        <v>1214</v>
      </c>
      <c r="B1043" s="0" t="s">
        <v>1556</v>
      </c>
      <c r="C1043" s="0" t="s">
        <v>1444</v>
      </c>
      <c r="D1043" s="0" t="s">
        <v>3671</v>
      </c>
      <c r="E1043" s="0" t="n">
        <v>19.04</v>
      </c>
    </row>
    <row r="1044" customFormat="false" ht="15" hidden="false" customHeight="false" outlineLevel="0" collapsed="false">
      <c r="A1044" s="0" t="n">
        <v>40915</v>
      </c>
      <c r="B1044" s="0" t="s">
        <v>4577</v>
      </c>
      <c r="C1044" s="0" t="s">
        <v>1416</v>
      </c>
      <c r="D1044" s="0" t="s">
        <v>3671</v>
      </c>
      <c r="E1044" s="0" t="n">
        <v>3353.84</v>
      </c>
    </row>
    <row r="1045" customFormat="false" ht="15" hidden="false" customHeight="false" outlineLevel="0" collapsed="false">
      <c r="A1045" s="0" t="n">
        <v>40914</v>
      </c>
      <c r="B1045" s="0" t="s">
        <v>4578</v>
      </c>
      <c r="C1045" s="0" t="s">
        <v>1416</v>
      </c>
      <c r="D1045" s="0" t="s">
        <v>3671</v>
      </c>
      <c r="E1045" s="0" t="n">
        <v>3561.68</v>
      </c>
    </row>
    <row r="1046" customFormat="false" ht="15" hidden="false" customHeight="false" outlineLevel="0" collapsed="false">
      <c r="A1046" s="0" t="n">
        <v>1213</v>
      </c>
      <c r="B1046" s="0" t="s">
        <v>1516</v>
      </c>
      <c r="C1046" s="0" t="s">
        <v>1444</v>
      </c>
      <c r="D1046" s="0" t="s">
        <v>3676</v>
      </c>
      <c r="E1046" s="0" t="n">
        <v>20.22</v>
      </c>
    </row>
    <row r="1047" customFormat="false" ht="15" hidden="false" customHeight="false" outlineLevel="0" collapsed="false">
      <c r="A1047" s="0" t="n">
        <v>5091</v>
      </c>
      <c r="B1047" s="0" t="s">
        <v>4579</v>
      </c>
      <c r="C1047" s="0" t="s">
        <v>31</v>
      </c>
      <c r="D1047" s="0" t="s">
        <v>3671</v>
      </c>
      <c r="E1047" s="0" t="n">
        <v>22.5</v>
      </c>
    </row>
    <row r="1048" customFormat="false" ht="15" hidden="false" customHeight="false" outlineLevel="0" collapsed="false">
      <c r="A1048" s="0" t="n">
        <v>14615</v>
      </c>
      <c r="B1048" s="0" t="s">
        <v>4580</v>
      </c>
      <c r="C1048" s="0" t="s">
        <v>31</v>
      </c>
      <c r="D1048" s="0" t="s">
        <v>3671</v>
      </c>
      <c r="E1048" s="0" t="n">
        <v>4638.3</v>
      </c>
    </row>
    <row r="1049" customFormat="false" ht="15" hidden="false" customHeight="false" outlineLevel="0" collapsed="false">
      <c r="A1049" s="0" t="n">
        <v>2711</v>
      </c>
      <c r="B1049" s="0" t="s">
        <v>4581</v>
      </c>
      <c r="C1049" s="0" t="s">
        <v>31</v>
      </c>
      <c r="D1049" s="0" t="s">
        <v>3676</v>
      </c>
      <c r="E1049" s="0" t="n">
        <v>228.25</v>
      </c>
    </row>
    <row r="1050" customFormat="false" ht="15" hidden="false" customHeight="false" outlineLevel="0" collapsed="false">
      <c r="A1050" s="0" t="n">
        <v>37727</v>
      </c>
      <c r="B1050" s="0" t="s">
        <v>4582</v>
      </c>
      <c r="C1050" s="0" t="s">
        <v>31</v>
      </c>
      <c r="D1050" s="0" t="s">
        <v>3676</v>
      </c>
    </row>
    <row r="1051" customFormat="false" ht="15" hidden="false" customHeight="false" outlineLevel="0" collapsed="false">
      <c r="A1051" s="0" t="n">
        <v>37728</v>
      </c>
      <c r="B1051" s="0" t="s">
        <v>4583</v>
      </c>
      <c r="C1051" s="0" t="s">
        <v>31</v>
      </c>
      <c r="D1051" s="0" t="s">
        <v>3671</v>
      </c>
    </row>
    <row r="1052" customFormat="false" ht="15" hidden="false" customHeight="false" outlineLevel="0" collapsed="false">
      <c r="A1052" s="0" t="n">
        <v>37729</v>
      </c>
      <c r="B1052" s="0" t="s">
        <v>4584</v>
      </c>
      <c r="C1052" s="0" t="s">
        <v>31</v>
      </c>
      <c r="D1052" s="0" t="s">
        <v>3671</v>
      </c>
    </row>
    <row r="1053" customFormat="false" ht="15" hidden="false" customHeight="false" outlineLevel="0" collapsed="false">
      <c r="A1053" s="0" t="n">
        <v>37730</v>
      </c>
      <c r="B1053" s="0" t="s">
        <v>4585</v>
      </c>
      <c r="C1053" s="0" t="s">
        <v>31</v>
      </c>
      <c r="D1053" s="0" t="s">
        <v>3671</v>
      </c>
    </row>
    <row r="1054" customFormat="false" ht="15" hidden="false" customHeight="false" outlineLevel="0" collapsed="false">
      <c r="A1054" s="0" t="n">
        <v>37731</v>
      </c>
      <c r="B1054" s="0" t="s">
        <v>4586</v>
      </c>
      <c r="C1054" s="0" t="s">
        <v>31</v>
      </c>
      <c r="D1054" s="0" t="s">
        <v>3671</v>
      </c>
    </row>
    <row r="1055" customFormat="false" ht="15" hidden="false" customHeight="false" outlineLevel="0" collapsed="false">
      <c r="A1055" s="0" t="n">
        <v>37732</v>
      </c>
      <c r="B1055" s="0" t="s">
        <v>4587</v>
      </c>
      <c r="C1055" s="0" t="s">
        <v>31</v>
      </c>
      <c r="D1055" s="0" t="s">
        <v>3671</v>
      </c>
    </row>
    <row r="1056" customFormat="false" ht="15" hidden="false" customHeight="false" outlineLevel="0" collapsed="false">
      <c r="A1056" s="0" t="n">
        <v>36496</v>
      </c>
      <c r="B1056" s="0" t="s">
        <v>4588</v>
      </c>
      <c r="C1056" s="0" t="s">
        <v>31</v>
      </c>
      <c r="D1056" s="0" t="s">
        <v>3671</v>
      </c>
      <c r="E1056" s="0" t="n">
        <v>11776.56</v>
      </c>
    </row>
    <row r="1057" customFormat="false" ht="15" hidden="false" customHeight="false" outlineLevel="0" collapsed="false">
      <c r="A1057" s="0" t="n">
        <v>37762</v>
      </c>
      <c r="B1057" s="0" t="s">
        <v>4589</v>
      </c>
      <c r="C1057" s="0" t="s">
        <v>31</v>
      </c>
      <c r="D1057" s="0" t="s">
        <v>3671</v>
      </c>
    </row>
    <row r="1058" customFormat="false" ht="15" hidden="false" customHeight="false" outlineLevel="0" collapsed="false">
      <c r="A1058" s="0" t="n">
        <v>37763</v>
      </c>
      <c r="B1058" s="0" t="s">
        <v>1495</v>
      </c>
      <c r="C1058" s="0" t="s">
        <v>31</v>
      </c>
      <c r="D1058" s="0" t="s">
        <v>3671</v>
      </c>
    </row>
    <row r="1059" customFormat="false" ht="15" hidden="false" customHeight="false" outlineLevel="0" collapsed="false">
      <c r="A1059" s="0" t="n">
        <v>41992</v>
      </c>
      <c r="B1059" s="0" t="s">
        <v>4590</v>
      </c>
      <c r="C1059" s="0" t="s">
        <v>31</v>
      </c>
      <c r="D1059" s="0" t="s">
        <v>3676</v>
      </c>
    </row>
    <row r="1060" customFormat="false" ht="15" hidden="false" customHeight="false" outlineLevel="0" collapsed="false">
      <c r="A1060" s="0" t="n">
        <v>10630</v>
      </c>
      <c r="B1060" s="0" t="s">
        <v>4591</v>
      </c>
      <c r="C1060" s="0" t="s">
        <v>31</v>
      </c>
      <c r="D1060" s="0" t="s">
        <v>3671</v>
      </c>
    </row>
    <row r="1061" customFormat="false" ht="15" hidden="false" customHeight="false" outlineLevel="0" collapsed="false">
      <c r="A1061" s="0" t="n">
        <v>13215</v>
      </c>
      <c r="B1061" s="0" t="s">
        <v>4592</v>
      </c>
      <c r="C1061" s="0" t="s">
        <v>31</v>
      </c>
      <c r="D1061" s="0" t="s">
        <v>3671</v>
      </c>
    </row>
    <row r="1062" customFormat="false" ht="15" hidden="false" customHeight="false" outlineLevel="0" collapsed="false">
      <c r="A1062" s="0" t="n">
        <v>4235</v>
      </c>
      <c r="B1062" s="0" t="s">
        <v>4593</v>
      </c>
      <c r="C1062" s="0" t="s">
        <v>1444</v>
      </c>
      <c r="D1062" s="0" t="s">
        <v>3671</v>
      </c>
      <c r="E1062" s="0" t="n">
        <v>15.9</v>
      </c>
    </row>
    <row r="1063" customFormat="false" ht="15" hidden="false" customHeight="false" outlineLevel="0" collapsed="false">
      <c r="A1063" s="0" t="n">
        <v>40976</v>
      </c>
      <c r="B1063" s="0" t="s">
        <v>4594</v>
      </c>
      <c r="C1063" s="0" t="s">
        <v>1416</v>
      </c>
      <c r="D1063" s="0" t="s">
        <v>3671</v>
      </c>
      <c r="E1063" s="0" t="n">
        <v>2803.25</v>
      </c>
    </row>
    <row r="1064" customFormat="false" ht="15" hidden="false" customHeight="false" outlineLevel="0" collapsed="false">
      <c r="A1064" s="0" t="n">
        <v>43091</v>
      </c>
      <c r="B1064" s="0" t="s">
        <v>4595</v>
      </c>
      <c r="C1064" s="0" t="s">
        <v>31</v>
      </c>
      <c r="D1064" s="0" t="s">
        <v>3671</v>
      </c>
      <c r="E1064" s="0" t="n">
        <v>5682.43</v>
      </c>
    </row>
    <row r="1065" customFormat="false" ht="15" hidden="false" customHeight="false" outlineLevel="0" collapsed="false">
      <c r="A1065" s="0" t="n">
        <v>43092</v>
      </c>
      <c r="B1065" s="0" t="s">
        <v>4596</v>
      </c>
      <c r="C1065" s="0" t="s">
        <v>31</v>
      </c>
      <c r="D1065" s="0" t="s">
        <v>3671</v>
      </c>
      <c r="E1065" s="0" t="n">
        <v>7576.58</v>
      </c>
    </row>
    <row r="1066" customFormat="false" ht="15" hidden="false" customHeight="false" outlineLevel="0" collapsed="false">
      <c r="A1066" s="0" t="n">
        <v>43089</v>
      </c>
      <c r="B1066" s="0" t="s">
        <v>4597</v>
      </c>
      <c r="C1066" s="0" t="s">
        <v>31</v>
      </c>
      <c r="D1066" s="0" t="s">
        <v>3671</v>
      </c>
      <c r="E1066" s="0" t="n">
        <v>1320.43</v>
      </c>
    </row>
    <row r="1067" customFormat="false" ht="15" hidden="false" customHeight="false" outlineLevel="0" collapsed="false">
      <c r="A1067" s="0" t="n">
        <v>43090</v>
      </c>
      <c r="B1067" s="0" t="s">
        <v>4598</v>
      </c>
      <c r="C1067" s="0" t="s">
        <v>31</v>
      </c>
      <c r="D1067" s="0" t="s">
        <v>3671</v>
      </c>
      <c r="E1067" s="0" t="n">
        <v>2914.07</v>
      </c>
    </row>
    <row r="1068" customFormat="false" ht="15" hidden="false" customHeight="false" outlineLevel="0" collapsed="false">
      <c r="A1068" s="0" t="n">
        <v>41967</v>
      </c>
      <c r="B1068" s="0" t="s">
        <v>4599</v>
      </c>
      <c r="C1068" s="0" t="s">
        <v>1452</v>
      </c>
      <c r="D1068" s="0" t="s">
        <v>3671</v>
      </c>
      <c r="E1068" s="0" t="n">
        <v>21.44</v>
      </c>
    </row>
    <row r="1069" customFormat="false" ht="15" hidden="false" customHeight="false" outlineLevel="0" collapsed="false">
      <c r="A1069" s="0" t="n">
        <v>12760</v>
      </c>
      <c r="B1069" s="0" t="s">
        <v>4600</v>
      </c>
      <c r="C1069" s="0" t="s">
        <v>1477</v>
      </c>
      <c r="D1069" s="0" t="s">
        <v>3671</v>
      </c>
      <c r="E1069" s="0" t="n">
        <v>1401.41</v>
      </c>
    </row>
    <row r="1070" customFormat="false" ht="15" hidden="false" customHeight="false" outlineLevel="0" collapsed="false">
      <c r="A1070" s="0" t="n">
        <v>12759</v>
      </c>
      <c r="B1070" s="0" t="s">
        <v>1886</v>
      </c>
      <c r="C1070" s="0" t="s">
        <v>1477</v>
      </c>
      <c r="D1070" s="0" t="s">
        <v>3671</v>
      </c>
      <c r="E1070" s="0" t="n">
        <v>934.26</v>
      </c>
    </row>
    <row r="1071" customFormat="false" ht="15" hidden="false" customHeight="false" outlineLevel="0" collapsed="false">
      <c r="A1071" s="0" t="n">
        <v>43105</v>
      </c>
      <c r="B1071" s="0" t="s">
        <v>4601</v>
      </c>
      <c r="C1071" s="0" t="s">
        <v>1513</v>
      </c>
      <c r="D1071" s="0" t="s">
        <v>3671</v>
      </c>
    </row>
    <row r="1072" customFormat="false" ht="15" hidden="false" customHeight="false" outlineLevel="0" collapsed="false">
      <c r="A1072" s="0" t="n">
        <v>40424</v>
      </c>
      <c r="B1072" s="0" t="s">
        <v>4602</v>
      </c>
      <c r="C1072" s="0" t="s">
        <v>1513</v>
      </c>
      <c r="D1072" s="0" t="s">
        <v>3671</v>
      </c>
    </row>
    <row r="1073" customFormat="false" ht="15" hidden="false" customHeight="false" outlineLevel="0" collapsed="false">
      <c r="A1073" s="0" t="n">
        <v>1325</v>
      </c>
      <c r="B1073" s="0" t="s">
        <v>4603</v>
      </c>
      <c r="C1073" s="0" t="s">
        <v>1513</v>
      </c>
      <c r="D1073" s="0" t="s">
        <v>3671</v>
      </c>
    </row>
    <row r="1074" customFormat="false" ht="15" hidden="false" customHeight="false" outlineLevel="0" collapsed="false">
      <c r="A1074" s="0" t="n">
        <v>1327</v>
      </c>
      <c r="B1074" s="0" t="s">
        <v>4604</v>
      </c>
      <c r="C1074" s="0" t="s">
        <v>1513</v>
      </c>
      <c r="D1074" s="0" t="s">
        <v>3671</v>
      </c>
    </row>
    <row r="1075" customFormat="false" ht="15" hidden="false" customHeight="false" outlineLevel="0" collapsed="false">
      <c r="A1075" s="0" t="n">
        <v>1328</v>
      </c>
      <c r="B1075" s="0" t="s">
        <v>4605</v>
      </c>
      <c r="C1075" s="0" t="s">
        <v>1513</v>
      </c>
      <c r="D1075" s="0" t="s">
        <v>3671</v>
      </c>
    </row>
    <row r="1076" customFormat="false" ht="15" hidden="false" customHeight="false" outlineLevel="0" collapsed="false">
      <c r="A1076" s="0" t="n">
        <v>1321</v>
      </c>
      <c r="B1076" s="0" t="s">
        <v>4606</v>
      </c>
      <c r="C1076" s="0" t="s">
        <v>1513</v>
      </c>
      <c r="D1076" s="0" t="s">
        <v>3671</v>
      </c>
    </row>
    <row r="1077" customFormat="false" ht="15" hidden="false" customHeight="false" outlineLevel="0" collapsed="false">
      <c r="A1077" s="0" t="n">
        <v>1318</v>
      </c>
      <c r="B1077" s="0" t="s">
        <v>4607</v>
      </c>
      <c r="C1077" s="0" t="s">
        <v>1513</v>
      </c>
      <c r="D1077" s="0" t="s">
        <v>3671</v>
      </c>
    </row>
    <row r="1078" customFormat="false" ht="15" hidden="false" customHeight="false" outlineLevel="0" collapsed="false">
      <c r="A1078" s="0" t="n">
        <v>1322</v>
      </c>
      <c r="B1078" s="0" t="s">
        <v>4608</v>
      </c>
      <c r="C1078" s="0" t="s">
        <v>1513</v>
      </c>
      <c r="D1078" s="0" t="s">
        <v>3671</v>
      </c>
    </row>
    <row r="1079" customFormat="false" ht="15" hidden="false" customHeight="false" outlineLevel="0" collapsed="false">
      <c r="A1079" s="0" t="n">
        <v>1323</v>
      </c>
      <c r="B1079" s="0" t="s">
        <v>4609</v>
      </c>
      <c r="C1079" s="0" t="s">
        <v>1513</v>
      </c>
      <c r="D1079" s="0" t="s">
        <v>3671</v>
      </c>
    </row>
    <row r="1080" customFormat="false" ht="15" hidden="false" customHeight="false" outlineLevel="0" collapsed="false">
      <c r="A1080" s="0" t="n">
        <v>1319</v>
      </c>
      <c r="B1080" s="0" t="s">
        <v>4610</v>
      </c>
      <c r="C1080" s="0" t="s">
        <v>1513</v>
      </c>
      <c r="D1080" s="0" t="s">
        <v>3671</v>
      </c>
    </row>
    <row r="1081" customFormat="false" ht="15" hidden="false" customHeight="false" outlineLevel="0" collapsed="false">
      <c r="A1081" s="0" t="n">
        <v>11026</v>
      </c>
      <c r="B1081" s="0" t="s">
        <v>4611</v>
      </c>
      <c r="C1081" s="0" t="s">
        <v>1513</v>
      </c>
      <c r="D1081" s="0" t="s">
        <v>3671</v>
      </c>
    </row>
    <row r="1082" customFormat="false" ht="15" hidden="false" customHeight="false" outlineLevel="0" collapsed="false">
      <c r="A1082" s="0" t="n">
        <v>11027</v>
      </c>
      <c r="B1082" s="0" t="s">
        <v>4612</v>
      </c>
      <c r="C1082" s="0" t="s">
        <v>1513</v>
      </c>
      <c r="D1082" s="0" t="s">
        <v>3671</v>
      </c>
    </row>
    <row r="1083" customFormat="false" ht="15" hidden="false" customHeight="false" outlineLevel="0" collapsed="false">
      <c r="A1083" s="0" t="n">
        <v>11046</v>
      </c>
      <c r="B1083" s="0" t="s">
        <v>4613</v>
      </c>
      <c r="C1083" s="0" t="s">
        <v>1513</v>
      </c>
      <c r="D1083" s="0" t="s">
        <v>3671</v>
      </c>
    </row>
    <row r="1084" customFormat="false" ht="15" hidden="false" customHeight="false" outlineLevel="0" collapsed="false">
      <c r="A1084" s="0" t="n">
        <v>11047</v>
      </c>
      <c r="B1084" s="0" t="s">
        <v>4614</v>
      </c>
      <c r="C1084" s="0" t="s">
        <v>1513</v>
      </c>
      <c r="D1084" s="0" t="s">
        <v>3671</v>
      </c>
    </row>
    <row r="1085" customFormat="false" ht="15" hidden="false" customHeight="false" outlineLevel="0" collapsed="false">
      <c r="A1085" s="0" t="n">
        <v>43668</v>
      </c>
      <c r="B1085" s="0" t="s">
        <v>4615</v>
      </c>
      <c r="C1085" s="0" t="s">
        <v>1513</v>
      </c>
      <c r="D1085" s="0" t="s">
        <v>3671</v>
      </c>
    </row>
    <row r="1086" customFormat="false" ht="15" hidden="false" customHeight="false" outlineLevel="0" collapsed="false">
      <c r="A1086" s="0" t="n">
        <v>11049</v>
      </c>
      <c r="B1086" s="0" t="s">
        <v>2878</v>
      </c>
      <c r="C1086" s="0" t="s">
        <v>1513</v>
      </c>
      <c r="D1086" s="0" t="s">
        <v>3676</v>
      </c>
    </row>
    <row r="1087" customFormat="false" ht="15" hidden="false" customHeight="false" outlineLevel="0" collapsed="false">
      <c r="A1087" s="0" t="n">
        <v>43106</v>
      </c>
      <c r="B1087" s="0" t="s">
        <v>4616</v>
      </c>
      <c r="C1087" s="0" t="s">
        <v>1513</v>
      </c>
      <c r="D1087" s="0" t="s">
        <v>3671</v>
      </c>
    </row>
    <row r="1088" customFormat="false" ht="15" hidden="false" customHeight="false" outlineLevel="0" collapsed="false">
      <c r="A1088" s="0" t="n">
        <v>11051</v>
      </c>
      <c r="B1088" s="0" t="s">
        <v>4617</v>
      </c>
      <c r="C1088" s="0" t="s">
        <v>1513</v>
      </c>
      <c r="D1088" s="0" t="s">
        <v>3671</v>
      </c>
    </row>
    <row r="1089" customFormat="false" ht="15" hidden="false" customHeight="false" outlineLevel="0" collapsed="false">
      <c r="A1089" s="0" t="n">
        <v>11061</v>
      </c>
      <c r="B1089" s="0" t="s">
        <v>4618</v>
      </c>
      <c r="C1089" s="0" t="s">
        <v>1513</v>
      </c>
      <c r="D1089" s="0" t="s">
        <v>3671</v>
      </c>
    </row>
    <row r="1090" customFormat="false" ht="15" hidden="false" customHeight="false" outlineLevel="0" collapsed="false">
      <c r="A1090" s="0" t="n">
        <v>43667</v>
      </c>
      <c r="B1090" s="0" t="s">
        <v>4619</v>
      </c>
      <c r="C1090" s="0" t="s">
        <v>1513</v>
      </c>
      <c r="D1090" s="0" t="s">
        <v>3671</v>
      </c>
    </row>
    <row r="1091" customFormat="false" ht="15" hidden="false" customHeight="false" outlineLevel="0" collapsed="false">
      <c r="A1091" s="0" t="n">
        <v>1333</v>
      </c>
      <c r="B1091" s="0" t="s">
        <v>1731</v>
      </c>
      <c r="C1091" s="0" t="s">
        <v>1513</v>
      </c>
      <c r="D1091" s="0" t="s">
        <v>3671</v>
      </c>
    </row>
    <row r="1092" customFormat="false" ht="15" hidden="false" customHeight="false" outlineLevel="0" collapsed="false">
      <c r="A1092" s="0" t="n">
        <v>1330</v>
      </c>
      <c r="B1092" s="0" t="s">
        <v>4620</v>
      </c>
      <c r="C1092" s="0" t="s">
        <v>1513</v>
      </c>
      <c r="D1092" s="0" t="s">
        <v>3671</v>
      </c>
    </row>
    <row r="1093" customFormat="false" ht="15" hidden="false" customHeight="false" outlineLevel="0" collapsed="false">
      <c r="A1093" s="0" t="n">
        <v>10957</v>
      </c>
      <c r="B1093" s="0" t="s">
        <v>4621</v>
      </c>
      <c r="C1093" s="0" t="s">
        <v>1513</v>
      </c>
      <c r="D1093" s="0" t="s">
        <v>3671</v>
      </c>
    </row>
    <row r="1094" customFormat="false" ht="15" hidden="false" customHeight="false" outlineLevel="0" collapsed="false">
      <c r="A1094" s="0" t="n">
        <v>1332</v>
      </c>
      <c r="B1094" s="0" t="s">
        <v>1810</v>
      </c>
      <c r="C1094" s="0" t="s">
        <v>1513</v>
      </c>
      <c r="D1094" s="0" t="s">
        <v>3671</v>
      </c>
    </row>
    <row r="1095" customFormat="false" ht="15" hidden="false" customHeight="false" outlineLevel="0" collapsed="false">
      <c r="A1095" s="0" t="n">
        <v>1334</v>
      </c>
      <c r="B1095" s="0" t="s">
        <v>4622</v>
      </c>
      <c r="C1095" s="0" t="s">
        <v>1513</v>
      </c>
      <c r="D1095" s="0" t="s">
        <v>3671</v>
      </c>
    </row>
    <row r="1096" customFormat="false" ht="15" hidden="false" customHeight="false" outlineLevel="0" collapsed="false">
      <c r="A1096" s="0" t="n">
        <v>1335</v>
      </c>
      <c r="B1096" s="0" t="s">
        <v>4623</v>
      </c>
      <c r="C1096" s="0" t="s">
        <v>1513</v>
      </c>
      <c r="D1096" s="0" t="s">
        <v>3671</v>
      </c>
    </row>
    <row r="1097" customFormat="false" ht="15" hidden="false" customHeight="false" outlineLevel="0" collapsed="false">
      <c r="A1097" s="0" t="n">
        <v>40425</v>
      </c>
      <c r="B1097" s="0" t="s">
        <v>4624</v>
      </c>
      <c r="C1097" s="0" t="s">
        <v>1513</v>
      </c>
      <c r="D1097" s="0" t="s">
        <v>3671</v>
      </c>
    </row>
    <row r="1098" customFormat="false" ht="15" hidden="false" customHeight="false" outlineLevel="0" collapsed="false">
      <c r="A1098" s="0" t="n">
        <v>1337</v>
      </c>
      <c r="B1098" s="0" t="s">
        <v>4625</v>
      </c>
      <c r="C1098" s="0" t="s">
        <v>1513</v>
      </c>
      <c r="D1098" s="0" t="s">
        <v>3671</v>
      </c>
    </row>
    <row r="1099" customFormat="false" ht="15" hidden="false" customHeight="false" outlineLevel="0" collapsed="false">
      <c r="A1099" s="0" t="n">
        <v>1338</v>
      </c>
      <c r="B1099" s="0" t="s">
        <v>4626</v>
      </c>
      <c r="C1099" s="0" t="s">
        <v>1477</v>
      </c>
      <c r="D1099" s="0" t="s">
        <v>3676</v>
      </c>
    </row>
    <row r="1100" customFormat="false" ht="15" hidden="false" customHeight="false" outlineLevel="0" collapsed="false">
      <c r="A1100" s="0" t="n">
        <v>1340</v>
      </c>
      <c r="B1100" s="0" t="s">
        <v>4627</v>
      </c>
      <c r="C1100" s="0" t="s">
        <v>1477</v>
      </c>
      <c r="D1100" s="0" t="s">
        <v>3671</v>
      </c>
    </row>
    <row r="1101" customFormat="false" ht="15" hidden="false" customHeight="false" outlineLevel="0" collapsed="false">
      <c r="A1101" s="0" t="n">
        <v>1341</v>
      </c>
      <c r="B1101" s="0" t="s">
        <v>4628</v>
      </c>
      <c r="C1101" s="0" t="s">
        <v>1477</v>
      </c>
      <c r="D1101" s="0" t="s">
        <v>3671</v>
      </c>
    </row>
    <row r="1102" customFormat="false" ht="15" hidden="false" customHeight="false" outlineLevel="0" collapsed="false">
      <c r="A1102" s="0" t="n">
        <v>34659</v>
      </c>
      <c r="B1102" s="0" t="s">
        <v>4629</v>
      </c>
      <c r="C1102" s="0" t="s">
        <v>1477</v>
      </c>
      <c r="D1102" s="0" t="s">
        <v>3671</v>
      </c>
      <c r="E1102" s="0" t="n">
        <v>38.49</v>
      </c>
    </row>
    <row r="1103" customFormat="false" ht="15" hidden="false" customHeight="false" outlineLevel="0" collapsed="false">
      <c r="A1103" s="0" t="n">
        <v>34514</v>
      </c>
      <c r="B1103" s="0" t="s">
        <v>4630</v>
      </c>
      <c r="C1103" s="0" t="s">
        <v>1477</v>
      </c>
      <c r="D1103" s="0" t="s">
        <v>3676</v>
      </c>
      <c r="E1103" s="0" t="n">
        <v>42.64</v>
      </c>
    </row>
    <row r="1104" customFormat="false" ht="15" hidden="false" customHeight="false" outlineLevel="0" collapsed="false">
      <c r="A1104" s="0" t="n">
        <v>34660</v>
      </c>
      <c r="B1104" s="0" t="s">
        <v>4631</v>
      </c>
      <c r="C1104" s="0" t="s">
        <v>1477</v>
      </c>
      <c r="D1104" s="0" t="s">
        <v>3671</v>
      </c>
      <c r="E1104" s="0" t="n">
        <v>54.11</v>
      </c>
    </row>
    <row r="1105" customFormat="false" ht="15" hidden="false" customHeight="false" outlineLevel="0" collapsed="false">
      <c r="A1105" s="0" t="n">
        <v>34661</v>
      </c>
      <c r="B1105" s="0" t="s">
        <v>4632</v>
      </c>
      <c r="C1105" s="0" t="s">
        <v>1477</v>
      </c>
      <c r="D1105" s="0" t="s">
        <v>3671</v>
      </c>
      <c r="E1105" s="0" t="n">
        <v>77.72</v>
      </c>
    </row>
    <row r="1106" customFormat="false" ht="15" hidden="false" customHeight="false" outlineLevel="0" collapsed="false">
      <c r="A1106" s="0" t="n">
        <v>34667</v>
      </c>
      <c r="B1106" s="0" t="s">
        <v>4633</v>
      </c>
      <c r="C1106" s="0" t="s">
        <v>1477</v>
      </c>
      <c r="D1106" s="0" t="s">
        <v>3671</v>
      </c>
      <c r="E1106" s="0" t="n">
        <v>28.14</v>
      </c>
    </row>
    <row r="1107" customFormat="false" ht="15" hidden="false" customHeight="false" outlineLevel="0" collapsed="false">
      <c r="A1107" s="0" t="n">
        <v>34668</v>
      </c>
      <c r="B1107" s="0" t="s">
        <v>4634</v>
      </c>
      <c r="C1107" s="0" t="s">
        <v>1477</v>
      </c>
      <c r="D1107" s="0" t="s">
        <v>3671</v>
      </c>
      <c r="E1107" s="0" t="n">
        <v>36.78</v>
      </c>
    </row>
    <row r="1108" customFormat="false" ht="15" hidden="false" customHeight="false" outlineLevel="0" collapsed="false">
      <c r="A1108" s="0" t="n">
        <v>34741</v>
      </c>
      <c r="B1108" s="0" t="s">
        <v>4635</v>
      </c>
      <c r="C1108" s="0" t="s">
        <v>1477</v>
      </c>
      <c r="D1108" s="0" t="s">
        <v>3671</v>
      </c>
      <c r="E1108" s="0" t="n">
        <v>40.47</v>
      </c>
    </row>
    <row r="1109" customFormat="false" ht="15" hidden="false" customHeight="false" outlineLevel="0" collapsed="false">
      <c r="A1109" s="0" t="n">
        <v>34664</v>
      </c>
      <c r="B1109" s="0" t="s">
        <v>4636</v>
      </c>
      <c r="C1109" s="0" t="s">
        <v>1477</v>
      </c>
      <c r="D1109" s="0" t="s">
        <v>3671</v>
      </c>
      <c r="E1109" s="0" t="n">
        <v>44.16</v>
      </c>
    </row>
    <row r="1110" customFormat="false" ht="15" hidden="false" customHeight="false" outlineLevel="0" collapsed="false">
      <c r="A1110" s="0" t="n">
        <v>34665</v>
      </c>
      <c r="B1110" s="0" t="s">
        <v>4637</v>
      </c>
      <c r="C1110" s="0" t="s">
        <v>1477</v>
      </c>
      <c r="D1110" s="0" t="s">
        <v>3671</v>
      </c>
      <c r="E1110" s="0" t="n">
        <v>54.82</v>
      </c>
    </row>
    <row r="1111" customFormat="false" ht="15" hidden="false" customHeight="false" outlineLevel="0" collapsed="false">
      <c r="A1111" s="0" t="n">
        <v>34666</v>
      </c>
      <c r="B1111" s="0" t="s">
        <v>4638</v>
      </c>
      <c r="C1111" s="0" t="s">
        <v>1477</v>
      </c>
      <c r="D1111" s="0" t="s">
        <v>3671</v>
      </c>
      <c r="E1111" s="0" t="n">
        <v>82.81</v>
      </c>
    </row>
    <row r="1112" customFormat="false" ht="15" hidden="false" customHeight="false" outlineLevel="0" collapsed="false">
      <c r="A1112" s="0" t="n">
        <v>34669</v>
      </c>
      <c r="B1112" s="0" t="s">
        <v>4639</v>
      </c>
      <c r="C1112" s="0" t="s">
        <v>1477</v>
      </c>
      <c r="D1112" s="0" t="s">
        <v>3671</v>
      </c>
      <c r="E1112" s="0" t="n">
        <v>30.36</v>
      </c>
    </row>
    <row r="1113" customFormat="false" ht="15" hidden="false" customHeight="false" outlineLevel="0" collapsed="false">
      <c r="A1113" s="0" t="n">
        <v>34670</v>
      </c>
      <c r="B1113" s="0" t="s">
        <v>4640</v>
      </c>
      <c r="C1113" s="0" t="s">
        <v>1477</v>
      </c>
      <c r="D1113" s="0" t="s">
        <v>3671</v>
      </c>
      <c r="E1113" s="0" t="n">
        <v>37.13</v>
      </c>
    </row>
    <row r="1114" customFormat="false" ht="15" hidden="false" customHeight="false" outlineLevel="0" collapsed="false">
      <c r="A1114" s="0" t="n">
        <v>34671</v>
      </c>
      <c r="B1114" s="0" t="s">
        <v>4641</v>
      </c>
      <c r="C1114" s="0" t="s">
        <v>1477</v>
      </c>
      <c r="D1114" s="0" t="s">
        <v>3671</v>
      </c>
      <c r="E1114" s="0" t="n">
        <v>30.99</v>
      </c>
    </row>
    <row r="1115" customFormat="false" ht="15" hidden="false" customHeight="false" outlineLevel="0" collapsed="false">
      <c r="A1115" s="0" t="n">
        <v>34672</v>
      </c>
      <c r="B1115" s="0" t="s">
        <v>4642</v>
      </c>
      <c r="C1115" s="0" t="s">
        <v>1477</v>
      </c>
      <c r="D1115" s="0" t="s">
        <v>3671</v>
      </c>
      <c r="E1115" s="0" t="n">
        <v>32.68</v>
      </c>
    </row>
    <row r="1116" customFormat="false" ht="15" hidden="false" customHeight="false" outlineLevel="0" collapsed="false">
      <c r="A1116" s="0" t="n">
        <v>34673</v>
      </c>
      <c r="B1116" s="0" t="s">
        <v>4643</v>
      </c>
      <c r="C1116" s="0" t="s">
        <v>1477</v>
      </c>
      <c r="D1116" s="0" t="s">
        <v>3671</v>
      </c>
      <c r="E1116" s="0" t="n">
        <v>39.88</v>
      </c>
    </row>
    <row r="1117" customFormat="false" ht="15" hidden="false" customHeight="false" outlineLevel="0" collapsed="false">
      <c r="A1117" s="0" t="n">
        <v>34674</v>
      </c>
      <c r="B1117" s="0" t="s">
        <v>4644</v>
      </c>
      <c r="C1117" s="0" t="s">
        <v>1477</v>
      </c>
      <c r="D1117" s="0" t="s">
        <v>3671</v>
      </c>
      <c r="E1117" s="0" t="n">
        <v>53.02</v>
      </c>
    </row>
    <row r="1118" customFormat="false" ht="15" hidden="false" customHeight="false" outlineLevel="0" collapsed="false">
      <c r="A1118" s="0" t="n">
        <v>34675</v>
      </c>
      <c r="B1118" s="0" t="s">
        <v>4645</v>
      </c>
      <c r="C1118" s="0" t="s">
        <v>1477</v>
      </c>
      <c r="D1118" s="0" t="s">
        <v>3671</v>
      </c>
      <c r="E1118" s="0" t="n">
        <v>64.65</v>
      </c>
    </row>
    <row r="1119" customFormat="false" ht="15" hidden="false" customHeight="false" outlineLevel="0" collapsed="false">
      <c r="A1119" s="0" t="n">
        <v>34676</v>
      </c>
      <c r="B1119" s="0" t="s">
        <v>4646</v>
      </c>
      <c r="C1119" s="0" t="s">
        <v>1477</v>
      </c>
      <c r="D1119" s="0" t="s">
        <v>3671</v>
      </c>
      <c r="E1119" s="0" t="n">
        <v>18.61</v>
      </c>
    </row>
    <row r="1120" customFormat="false" ht="15" hidden="false" customHeight="false" outlineLevel="0" collapsed="false">
      <c r="A1120" s="0" t="n">
        <v>34677</v>
      </c>
      <c r="B1120" s="0" t="s">
        <v>4647</v>
      </c>
      <c r="C1120" s="0" t="s">
        <v>1477</v>
      </c>
      <c r="D1120" s="0" t="s">
        <v>3671</v>
      </c>
      <c r="E1120" s="0" t="n">
        <v>25.02</v>
      </c>
    </row>
    <row r="1121" customFormat="false" ht="15" hidden="false" customHeight="false" outlineLevel="0" collapsed="false">
      <c r="A1121" s="0" t="n">
        <v>43126</v>
      </c>
      <c r="B1121" s="0" t="s">
        <v>4648</v>
      </c>
      <c r="C1121" s="0" t="s">
        <v>1477</v>
      </c>
      <c r="D1121" s="0" t="s">
        <v>3671</v>
      </c>
      <c r="E1121" s="0" t="n">
        <v>75.1</v>
      </c>
    </row>
    <row r="1122" customFormat="false" ht="15" hidden="false" customHeight="false" outlineLevel="0" collapsed="false">
      <c r="A1122" s="0" t="n">
        <v>43124</v>
      </c>
      <c r="B1122" s="0" t="s">
        <v>4649</v>
      </c>
      <c r="C1122" s="0" t="s">
        <v>1477</v>
      </c>
      <c r="D1122" s="0" t="s">
        <v>3671</v>
      </c>
      <c r="E1122" s="0" t="n">
        <v>87.69</v>
      </c>
    </row>
    <row r="1123" customFormat="false" ht="15" hidden="false" customHeight="false" outlineLevel="0" collapsed="false">
      <c r="A1123" s="0" t="n">
        <v>43125</v>
      </c>
      <c r="B1123" s="0" t="s">
        <v>4650</v>
      </c>
      <c r="C1123" s="0" t="s">
        <v>1477</v>
      </c>
      <c r="D1123" s="0" t="s">
        <v>3671</v>
      </c>
      <c r="E1123" s="0" t="n">
        <v>113.73</v>
      </c>
    </row>
    <row r="1124" customFormat="false" ht="15" hidden="false" customHeight="false" outlineLevel="0" collapsed="false">
      <c r="A1124" s="0" t="n">
        <v>40623</v>
      </c>
      <c r="B1124" s="0" t="s">
        <v>1567</v>
      </c>
      <c r="C1124" s="0" t="s">
        <v>1568</v>
      </c>
      <c r="D1124" s="0" t="s">
        <v>3671</v>
      </c>
    </row>
    <row r="1125" customFormat="false" ht="15" hidden="false" customHeight="false" outlineLevel="0" collapsed="false">
      <c r="A1125" s="0" t="n">
        <v>43701</v>
      </c>
      <c r="B1125" s="0" t="s">
        <v>4651</v>
      </c>
      <c r="C1125" s="0" t="s">
        <v>1513</v>
      </c>
      <c r="D1125" s="0" t="s">
        <v>3676</v>
      </c>
    </row>
    <row r="1126" customFormat="false" ht="15" hidden="false" customHeight="false" outlineLevel="0" collapsed="false">
      <c r="A1126" s="0" t="n">
        <v>1345</v>
      </c>
      <c r="B1126" s="0" t="s">
        <v>1666</v>
      </c>
      <c r="C1126" s="0" t="s">
        <v>1477</v>
      </c>
      <c r="D1126" s="0" t="s">
        <v>3671</v>
      </c>
      <c r="E1126" s="0" t="n">
        <v>97.73</v>
      </c>
    </row>
    <row r="1127" customFormat="false" ht="15" hidden="false" customHeight="false" outlineLevel="0" collapsed="false">
      <c r="A1127" s="0" t="n">
        <v>1346</v>
      </c>
      <c r="B1127" s="0" t="s">
        <v>4652</v>
      </c>
      <c r="C1127" s="0" t="s">
        <v>1477</v>
      </c>
      <c r="D1127" s="0" t="s">
        <v>3671</v>
      </c>
      <c r="E1127" s="0" t="n">
        <v>56.85</v>
      </c>
    </row>
    <row r="1128" customFormat="false" ht="15" hidden="false" customHeight="false" outlineLevel="0" collapsed="false">
      <c r="A1128" s="0" t="n">
        <v>1347</v>
      </c>
      <c r="B1128" s="0" t="s">
        <v>4653</v>
      </c>
      <c r="C1128" s="0" t="s">
        <v>1477</v>
      </c>
      <c r="D1128" s="0" t="s">
        <v>3671</v>
      </c>
      <c r="E1128" s="0" t="n">
        <v>70.44</v>
      </c>
    </row>
    <row r="1129" customFormat="false" ht="15" hidden="false" customHeight="false" outlineLevel="0" collapsed="false">
      <c r="A1129" s="0" t="n">
        <v>43678</v>
      </c>
      <c r="B1129" s="0" t="s">
        <v>4654</v>
      </c>
      <c r="C1129" s="0" t="s">
        <v>1477</v>
      </c>
      <c r="D1129" s="0" t="s">
        <v>3671</v>
      </c>
      <c r="E1129" s="0" t="n">
        <v>81.71</v>
      </c>
    </row>
    <row r="1130" customFormat="false" ht="15" hidden="false" customHeight="false" outlineLevel="0" collapsed="false">
      <c r="A1130" s="0" t="n">
        <v>43680</v>
      </c>
      <c r="B1130" s="0" t="s">
        <v>4655</v>
      </c>
      <c r="C1130" s="0" t="s">
        <v>1477</v>
      </c>
      <c r="D1130" s="0" t="s">
        <v>3671</v>
      </c>
      <c r="E1130" s="0" t="n">
        <v>117.71</v>
      </c>
    </row>
    <row r="1131" customFormat="false" ht="15" hidden="false" customHeight="false" outlineLevel="0" collapsed="false">
      <c r="A1131" s="0" t="n">
        <v>43679</v>
      </c>
      <c r="B1131" s="0" t="s">
        <v>4656</v>
      </c>
      <c r="C1131" s="0" t="s">
        <v>1477</v>
      </c>
      <c r="D1131" s="0" t="s">
        <v>3671</v>
      </c>
      <c r="E1131" s="0" t="n">
        <v>41.31</v>
      </c>
    </row>
    <row r="1132" customFormat="false" ht="15" hidden="false" customHeight="false" outlineLevel="0" collapsed="false">
      <c r="A1132" s="0" t="n">
        <v>1355</v>
      </c>
      <c r="B1132" s="0" t="s">
        <v>4657</v>
      </c>
      <c r="C1132" s="0" t="s">
        <v>1477</v>
      </c>
      <c r="D1132" s="0" t="s">
        <v>3671</v>
      </c>
      <c r="E1132" s="0" t="n">
        <v>47.01</v>
      </c>
    </row>
    <row r="1133" customFormat="false" ht="15" hidden="false" customHeight="false" outlineLevel="0" collapsed="false">
      <c r="A1133" s="0" t="n">
        <v>1358</v>
      </c>
      <c r="B1133" s="0" t="s">
        <v>1641</v>
      </c>
      <c r="C1133" s="0" t="s">
        <v>1477</v>
      </c>
      <c r="D1133" s="0" t="s">
        <v>3671</v>
      </c>
      <c r="E1133" s="0" t="n">
        <v>57.71</v>
      </c>
    </row>
    <row r="1134" customFormat="false" ht="15" hidden="false" customHeight="false" outlineLevel="0" collapsed="false">
      <c r="A1134" s="0" t="n">
        <v>43677</v>
      </c>
      <c r="B1134" s="0" t="s">
        <v>2210</v>
      </c>
      <c r="C1134" s="0" t="s">
        <v>1477</v>
      </c>
      <c r="D1134" s="0" t="s">
        <v>3671</v>
      </c>
      <c r="E1134" s="0" t="n">
        <v>71.6</v>
      </c>
    </row>
    <row r="1135" customFormat="false" ht="15" hidden="false" customHeight="false" outlineLevel="0" collapsed="false">
      <c r="A1135" s="0" t="n">
        <v>43682</v>
      </c>
      <c r="B1135" s="0" t="s">
        <v>2211</v>
      </c>
      <c r="C1135" s="0" t="s">
        <v>1477</v>
      </c>
      <c r="D1135" s="0" t="s">
        <v>3671</v>
      </c>
      <c r="E1135" s="0" t="n">
        <v>21.95</v>
      </c>
    </row>
    <row r="1136" customFormat="false" ht="15" hidden="false" customHeight="false" outlineLevel="0" collapsed="false">
      <c r="A1136" s="0" t="n">
        <v>43681</v>
      </c>
      <c r="B1136" s="0" t="s">
        <v>4658</v>
      </c>
      <c r="C1136" s="0" t="s">
        <v>1477</v>
      </c>
      <c r="D1136" s="0" t="s">
        <v>3676</v>
      </c>
      <c r="E1136" s="0" t="n">
        <v>36.36</v>
      </c>
    </row>
    <row r="1137" customFormat="false" ht="15" hidden="false" customHeight="false" outlineLevel="0" collapsed="false">
      <c r="A1137" s="0" t="n">
        <v>20971</v>
      </c>
      <c r="B1137" s="0" t="s">
        <v>2672</v>
      </c>
      <c r="C1137" s="0" t="s">
        <v>31</v>
      </c>
      <c r="D1137" s="0" t="s">
        <v>3671</v>
      </c>
    </row>
    <row r="1138" customFormat="false" ht="15" hidden="false" customHeight="false" outlineLevel="0" collapsed="false">
      <c r="A1138" s="0" t="n">
        <v>39746</v>
      </c>
      <c r="B1138" s="0" t="s">
        <v>4659</v>
      </c>
      <c r="C1138" s="0" t="s">
        <v>31</v>
      </c>
      <c r="D1138" s="0" t="s">
        <v>3671</v>
      </c>
    </row>
    <row r="1139" customFormat="false" ht="15" hidden="false" customHeight="false" outlineLevel="0" collapsed="false">
      <c r="A1139" s="0" t="n">
        <v>13279</v>
      </c>
      <c r="B1139" s="0" t="s">
        <v>4660</v>
      </c>
      <c r="C1139" s="0" t="s">
        <v>1513</v>
      </c>
      <c r="D1139" s="0" t="s">
        <v>3671</v>
      </c>
    </row>
    <row r="1140" customFormat="false" ht="15" hidden="false" customHeight="false" outlineLevel="0" collapsed="false">
      <c r="A1140" s="0" t="n">
        <v>11977</v>
      </c>
      <c r="B1140" s="0" t="s">
        <v>4661</v>
      </c>
      <c r="C1140" s="0" t="s">
        <v>31</v>
      </c>
      <c r="D1140" s="0" t="s">
        <v>3671</v>
      </c>
    </row>
    <row r="1141" customFormat="false" ht="15" hidden="false" customHeight="false" outlineLevel="0" collapsed="false">
      <c r="A1141" s="0" t="n">
        <v>11976</v>
      </c>
      <c r="B1141" s="0" t="s">
        <v>2432</v>
      </c>
      <c r="C1141" s="0" t="s">
        <v>31</v>
      </c>
      <c r="D1141" s="0" t="s">
        <v>3671</v>
      </c>
    </row>
    <row r="1142" customFormat="false" ht="15" hidden="false" customHeight="false" outlineLevel="0" collapsed="false">
      <c r="A1142" s="0" t="n">
        <v>11975</v>
      </c>
      <c r="B1142" s="0" t="s">
        <v>2913</v>
      </c>
      <c r="C1142" s="0" t="s">
        <v>31</v>
      </c>
      <c r="D1142" s="0" t="s">
        <v>3671</v>
      </c>
    </row>
    <row r="1143" customFormat="false" ht="15" hidden="false" customHeight="false" outlineLevel="0" collapsed="false">
      <c r="A1143" s="0" t="n">
        <v>1368</v>
      </c>
      <c r="B1143" s="0" t="s">
        <v>4662</v>
      </c>
      <c r="C1143" s="0" t="s">
        <v>31</v>
      </c>
      <c r="D1143" s="0" t="s">
        <v>3676</v>
      </c>
      <c r="E1143" s="0" t="n">
        <v>90</v>
      </c>
    </row>
    <row r="1144" customFormat="false" ht="15" hidden="false" customHeight="false" outlineLevel="0" collapsed="false">
      <c r="A1144" s="0" t="n">
        <v>1367</v>
      </c>
      <c r="B1144" s="0" t="s">
        <v>4663</v>
      </c>
      <c r="C1144" s="0" t="s">
        <v>31</v>
      </c>
      <c r="D1144" s="0" t="s">
        <v>3671</v>
      </c>
      <c r="E1144" s="0" t="n">
        <v>291.12</v>
      </c>
    </row>
    <row r="1145" customFormat="false" ht="15" hidden="false" customHeight="false" outlineLevel="0" collapsed="false">
      <c r="A1145" s="0" t="n">
        <v>1380</v>
      </c>
      <c r="B1145" s="0" t="s">
        <v>4664</v>
      </c>
      <c r="C1145" s="0" t="s">
        <v>1513</v>
      </c>
      <c r="D1145" s="0" t="s">
        <v>3671</v>
      </c>
      <c r="E1145" s="0" t="n">
        <v>4.82</v>
      </c>
    </row>
    <row r="1146" customFormat="false" ht="15" hidden="false" customHeight="false" outlineLevel="0" collapsed="false">
      <c r="A1146" s="0" t="n">
        <v>1375</v>
      </c>
      <c r="B1146" s="0" t="s">
        <v>4665</v>
      </c>
      <c r="C1146" s="0" t="s">
        <v>1513</v>
      </c>
      <c r="D1146" s="0" t="s">
        <v>3671</v>
      </c>
      <c r="E1146" s="0" t="n">
        <v>15.99</v>
      </c>
    </row>
    <row r="1147" customFormat="false" ht="15" hidden="false" customHeight="false" outlineLevel="0" collapsed="false">
      <c r="A1147" s="0" t="n">
        <v>1379</v>
      </c>
      <c r="B1147" s="0" t="s">
        <v>1535</v>
      </c>
      <c r="C1147" s="0" t="s">
        <v>1513</v>
      </c>
      <c r="D1147" s="0" t="s">
        <v>3676</v>
      </c>
      <c r="E1147" s="0" t="n">
        <v>0.72</v>
      </c>
    </row>
    <row r="1148" customFormat="false" ht="15" hidden="false" customHeight="false" outlineLevel="0" collapsed="false">
      <c r="A1148" s="0" t="n">
        <v>13284</v>
      </c>
      <c r="B1148" s="0" t="s">
        <v>4666</v>
      </c>
      <c r="C1148" s="0" t="s">
        <v>1513</v>
      </c>
      <c r="D1148" s="0" t="s">
        <v>3671</v>
      </c>
      <c r="E1148" s="0" t="n">
        <v>0.65</v>
      </c>
    </row>
    <row r="1149" customFormat="false" ht="15" hidden="false" customHeight="false" outlineLevel="0" collapsed="false">
      <c r="A1149" s="0" t="n">
        <v>44528</v>
      </c>
      <c r="B1149" s="0" t="s">
        <v>4667</v>
      </c>
      <c r="C1149" s="0" t="s">
        <v>1513</v>
      </c>
      <c r="D1149" s="0" t="s">
        <v>3671</v>
      </c>
      <c r="E1149" s="0" t="n">
        <v>3.83</v>
      </c>
    </row>
    <row r="1150" customFormat="false" ht="15" hidden="false" customHeight="false" outlineLevel="0" collapsed="false">
      <c r="A1150" s="0" t="n">
        <v>34753</v>
      </c>
      <c r="B1150" s="0" t="s">
        <v>4668</v>
      </c>
      <c r="C1150" s="0" t="s">
        <v>1513</v>
      </c>
      <c r="D1150" s="0" t="s">
        <v>3671</v>
      </c>
      <c r="E1150" s="0" t="n">
        <v>0.7</v>
      </c>
    </row>
    <row r="1151" customFormat="false" ht="15" hidden="false" customHeight="false" outlineLevel="0" collapsed="false">
      <c r="A1151" s="0" t="n">
        <v>420</v>
      </c>
      <c r="B1151" s="0" t="s">
        <v>4669</v>
      </c>
      <c r="C1151" s="0" t="s">
        <v>31</v>
      </c>
      <c r="D1151" s="0" t="s">
        <v>3671</v>
      </c>
      <c r="E1151" s="0" t="n">
        <v>40.32</v>
      </c>
    </row>
    <row r="1152" customFormat="false" ht="15" hidden="false" customHeight="false" outlineLevel="0" collapsed="false">
      <c r="A1152" s="0" t="n">
        <v>12327</v>
      </c>
      <c r="B1152" s="0" t="s">
        <v>4670</v>
      </c>
      <c r="C1152" s="0" t="s">
        <v>31</v>
      </c>
      <c r="D1152" s="0" t="s">
        <v>3671</v>
      </c>
      <c r="E1152" s="0" t="n">
        <v>48.04</v>
      </c>
    </row>
    <row r="1153" customFormat="false" ht="15" hidden="false" customHeight="false" outlineLevel="0" collapsed="false">
      <c r="A1153" s="0" t="n">
        <v>36148</v>
      </c>
      <c r="B1153" s="0" t="s">
        <v>4671</v>
      </c>
      <c r="C1153" s="0" t="s">
        <v>31</v>
      </c>
      <c r="D1153" s="0" t="s">
        <v>3671</v>
      </c>
      <c r="E1153" s="0" t="n">
        <v>62.83</v>
      </c>
    </row>
    <row r="1154" customFormat="false" ht="15" hidden="false" customHeight="false" outlineLevel="0" collapsed="false">
      <c r="A1154" s="0" t="n">
        <v>12329</v>
      </c>
      <c r="B1154" s="0" t="s">
        <v>4672</v>
      </c>
      <c r="C1154" s="0" t="s">
        <v>1513</v>
      </c>
      <c r="D1154" s="0" t="s">
        <v>3671</v>
      </c>
      <c r="E1154" s="0" t="n">
        <v>135.7</v>
      </c>
    </row>
    <row r="1155" customFormat="false" ht="15" hidden="false" customHeight="false" outlineLevel="0" collapsed="false">
      <c r="A1155" s="0" t="n">
        <v>1339</v>
      </c>
      <c r="B1155" s="0" t="s">
        <v>4673</v>
      </c>
      <c r="C1155" s="0" t="s">
        <v>1513</v>
      </c>
      <c r="D1155" s="0" t="s">
        <v>3671</v>
      </c>
    </row>
    <row r="1156" customFormat="false" ht="15" hidden="false" customHeight="false" outlineLevel="0" collapsed="false">
      <c r="A1156" s="0" t="n">
        <v>44396</v>
      </c>
      <c r="B1156" s="0" t="s">
        <v>4674</v>
      </c>
      <c r="C1156" s="0" t="s">
        <v>1513</v>
      </c>
      <c r="D1156" s="0" t="s">
        <v>3671</v>
      </c>
      <c r="E1156" s="0" t="n">
        <v>45.17</v>
      </c>
    </row>
    <row r="1157" customFormat="false" ht="15" hidden="false" customHeight="false" outlineLevel="0" collapsed="false">
      <c r="A1157" s="0" t="n">
        <v>44327</v>
      </c>
      <c r="B1157" s="0" t="s">
        <v>4675</v>
      </c>
      <c r="C1157" s="0" t="s">
        <v>1452</v>
      </c>
      <c r="D1157" s="0" t="s">
        <v>3671</v>
      </c>
      <c r="E1157" s="0" t="n">
        <v>153.62</v>
      </c>
    </row>
    <row r="1158" customFormat="false" ht="15" hidden="false" customHeight="false" outlineLevel="0" collapsed="false">
      <c r="A1158" s="0" t="n">
        <v>37418</v>
      </c>
      <c r="B1158" s="0" t="s">
        <v>4676</v>
      </c>
      <c r="C1158" s="0" t="s">
        <v>31</v>
      </c>
      <c r="D1158" s="0" t="s">
        <v>3671</v>
      </c>
    </row>
    <row r="1159" customFormat="false" ht="15" hidden="false" customHeight="false" outlineLevel="0" collapsed="false">
      <c r="A1159" s="0" t="n">
        <v>37419</v>
      </c>
      <c r="B1159" s="0" t="s">
        <v>4677</v>
      </c>
      <c r="C1159" s="0" t="s">
        <v>31</v>
      </c>
      <c r="D1159" s="0" t="s">
        <v>3671</v>
      </c>
    </row>
    <row r="1160" customFormat="false" ht="15" hidden="false" customHeight="false" outlineLevel="0" collapsed="false">
      <c r="A1160" s="0" t="n">
        <v>1427</v>
      </c>
      <c r="B1160" s="0" t="s">
        <v>4678</v>
      </c>
      <c r="C1160" s="0" t="s">
        <v>31</v>
      </c>
      <c r="D1160" s="0" t="s">
        <v>3671</v>
      </c>
    </row>
    <row r="1161" customFormat="false" ht="15" hidden="false" customHeight="false" outlineLevel="0" collapsed="false">
      <c r="A1161" s="0" t="n">
        <v>1402</v>
      </c>
      <c r="B1161" s="0" t="s">
        <v>4679</v>
      </c>
      <c r="C1161" s="0" t="s">
        <v>31</v>
      </c>
      <c r="D1161" s="0" t="s">
        <v>3671</v>
      </c>
    </row>
    <row r="1162" customFormat="false" ht="15" hidden="false" customHeight="false" outlineLevel="0" collapsed="false">
      <c r="A1162" s="0" t="n">
        <v>1420</v>
      </c>
      <c r="B1162" s="0" t="s">
        <v>4680</v>
      </c>
      <c r="C1162" s="0" t="s">
        <v>31</v>
      </c>
      <c r="D1162" s="0" t="s">
        <v>3671</v>
      </c>
    </row>
    <row r="1163" customFormat="false" ht="15" hidden="false" customHeight="false" outlineLevel="0" collapsed="false">
      <c r="A1163" s="0" t="n">
        <v>1419</v>
      </c>
      <c r="B1163" s="0" t="s">
        <v>4681</v>
      </c>
      <c r="C1163" s="0" t="s">
        <v>31</v>
      </c>
      <c r="D1163" s="0" t="s">
        <v>3671</v>
      </c>
    </row>
    <row r="1164" customFormat="false" ht="15" hidden="false" customHeight="false" outlineLevel="0" collapsed="false">
      <c r="A1164" s="0" t="n">
        <v>1414</v>
      </c>
      <c r="B1164" s="0" t="s">
        <v>4682</v>
      </c>
      <c r="C1164" s="0" t="s">
        <v>31</v>
      </c>
      <c r="D1164" s="0" t="s">
        <v>3671</v>
      </c>
    </row>
    <row r="1165" customFormat="false" ht="15" hidden="false" customHeight="false" outlineLevel="0" collapsed="false">
      <c r="A1165" s="0" t="n">
        <v>1413</v>
      </c>
      <c r="B1165" s="0" t="s">
        <v>4683</v>
      </c>
      <c r="C1165" s="0" t="s">
        <v>31</v>
      </c>
      <c r="D1165" s="0" t="s">
        <v>3671</v>
      </c>
    </row>
    <row r="1166" customFormat="false" ht="15" hidden="false" customHeight="false" outlineLevel="0" collapsed="false">
      <c r="A1166" s="0" t="n">
        <v>1412</v>
      </c>
      <c r="B1166" s="0" t="s">
        <v>4684</v>
      </c>
      <c r="C1166" s="0" t="s">
        <v>31</v>
      </c>
      <c r="D1166" s="0" t="s">
        <v>3671</v>
      </c>
    </row>
    <row r="1167" customFormat="false" ht="15" hidden="false" customHeight="false" outlineLevel="0" collapsed="false">
      <c r="A1167" s="0" t="n">
        <v>1406</v>
      </c>
      <c r="B1167" s="0" t="s">
        <v>4685</v>
      </c>
      <c r="C1167" s="0" t="s">
        <v>31</v>
      </c>
      <c r="D1167" s="0" t="s">
        <v>3671</v>
      </c>
    </row>
    <row r="1168" customFormat="false" ht="15" hidden="false" customHeight="false" outlineLevel="0" collapsed="false">
      <c r="A1168" s="0" t="n">
        <v>11281</v>
      </c>
      <c r="B1168" s="0" t="s">
        <v>1561</v>
      </c>
      <c r="C1168" s="0" t="s">
        <v>31</v>
      </c>
      <c r="D1168" s="0" t="s">
        <v>3676</v>
      </c>
    </row>
    <row r="1169" customFormat="false" ht="15" hidden="false" customHeight="false" outlineLevel="0" collapsed="false">
      <c r="A1169" s="0" t="n">
        <v>1442</v>
      </c>
      <c r="B1169" s="0" t="s">
        <v>1562</v>
      </c>
      <c r="C1169" s="0" t="s">
        <v>31</v>
      </c>
      <c r="D1169" s="0" t="s">
        <v>3671</v>
      </c>
    </row>
    <row r="1170" customFormat="false" ht="15" hidden="false" customHeight="false" outlineLevel="0" collapsed="false">
      <c r="A1170" s="0" t="n">
        <v>13457</v>
      </c>
      <c r="B1170" s="0" t="s">
        <v>4686</v>
      </c>
      <c r="C1170" s="0" t="s">
        <v>31</v>
      </c>
      <c r="D1170" s="0" t="s">
        <v>3671</v>
      </c>
    </row>
    <row r="1171" customFormat="false" ht="15" hidden="false" customHeight="false" outlineLevel="0" collapsed="false">
      <c r="A1171" s="0" t="n">
        <v>40699</v>
      </c>
      <c r="B1171" s="0" t="s">
        <v>4687</v>
      </c>
      <c r="C1171" s="0" t="s">
        <v>31</v>
      </c>
      <c r="D1171" s="0" t="s">
        <v>3671</v>
      </c>
    </row>
    <row r="1172" customFormat="false" ht="15" hidden="false" customHeight="false" outlineLevel="0" collapsed="false">
      <c r="A1172" s="0" t="n">
        <v>40701</v>
      </c>
      <c r="B1172" s="0" t="s">
        <v>4688</v>
      </c>
      <c r="C1172" s="0" t="s">
        <v>31</v>
      </c>
      <c r="D1172" s="0" t="s">
        <v>3671</v>
      </c>
    </row>
    <row r="1173" customFormat="false" ht="15" hidden="false" customHeight="false" outlineLevel="0" collapsed="false">
      <c r="A1173" s="0" t="n">
        <v>40700</v>
      </c>
      <c r="B1173" s="0" t="s">
        <v>4689</v>
      </c>
      <c r="C1173" s="0" t="s">
        <v>31</v>
      </c>
      <c r="D1173" s="0" t="s">
        <v>3671</v>
      </c>
    </row>
    <row r="1174" customFormat="false" ht="15" hidden="false" customHeight="false" outlineLevel="0" collapsed="false">
      <c r="A1174" s="0" t="n">
        <v>13458</v>
      </c>
      <c r="B1174" s="0" t="s">
        <v>1723</v>
      </c>
      <c r="C1174" s="0" t="s">
        <v>31</v>
      </c>
      <c r="D1174" s="0" t="s">
        <v>3671</v>
      </c>
    </row>
    <row r="1175" customFormat="false" ht="15" hidden="false" customHeight="false" outlineLevel="0" collapsed="false">
      <c r="A1175" s="0" t="n">
        <v>11134</v>
      </c>
      <c r="B1175" s="0" t="s">
        <v>1536</v>
      </c>
      <c r="C1175" s="0" t="s">
        <v>1477</v>
      </c>
      <c r="D1175" s="0" t="s">
        <v>3671</v>
      </c>
      <c r="E1175" s="0" t="n">
        <v>80.98</v>
      </c>
    </row>
    <row r="1176" customFormat="false" ht="15" hidden="false" customHeight="false" outlineLevel="0" collapsed="false">
      <c r="A1176" s="0" t="n">
        <v>11135</v>
      </c>
      <c r="B1176" s="0" t="s">
        <v>4690</v>
      </c>
      <c r="C1176" s="0" t="s">
        <v>1477</v>
      </c>
      <c r="D1176" s="0" t="s">
        <v>3671</v>
      </c>
      <c r="E1176" s="0" t="n">
        <v>87.44</v>
      </c>
    </row>
    <row r="1177" customFormat="false" ht="15" hidden="false" customHeight="false" outlineLevel="0" collapsed="false">
      <c r="A1177" s="0" t="n">
        <v>11136</v>
      </c>
      <c r="B1177" s="0" t="s">
        <v>4691</v>
      </c>
      <c r="C1177" s="0" t="s">
        <v>1477</v>
      </c>
      <c r="D1177" s="0" t="s">
        <v>3671</v>
      </c>
      <c r="E1177" s="0" t="n">
        <v>100.12</v>
      </c>
    </row>
    <row r="1178" customFormat="false" ht="15" hidden="false" customHeight="false" outlineLevel="0" collapsed="false">
      <c r="A1178" s="0" t="n">
        <v>34743</v>
      </c>
      <c r="B1178" s="0" t="s">
        <v>4692</v>
      </c>
      <c r="C1178" s="0" t="s">
        <v>1477</v>
      </c>
      <c r="D1178" s="0" t="s">
        <v>3671</v>
      </c>
      <c r="E1178" s="0" t="n">
        <v>120.8</v>
      </c>
    </row>
    <row r="1179" customFormat="false" ht="15" hidden="false" customHeight="false" outlineLevel="0" collapsed="false">
      <c r="A1179" s="0" t="n">
        <v>11137</v>
      </c>
      <c r="B1179" s="0" t="s">
        <v>4693</v>
      </c>
      <c r="C1179" s="0" t="s">
        <v>1477</v>
      </c>
      <c r="D1179" s="0" t="s">
        <v>3671</v>
      </c>
      <c r="E1179" s="0" t="n">
        <v>137.2</v>
      </c>
    </row>
    <row r="1180" customFormat="false" ht="15" hidden="false" customHeight="false" outlineLevel="0" collapsed="false">
      <c r="A1180" s="0" t="n">
        <v>34745</v>
      </c>
      <c r="B1180" s="0" t="s">
        <v>4694</v>
      </c>
      <c r="C1180" s="0" t="s">
        <v>1477</v>
      </c>
      <c r="D1180" s="0" t="s">
        <v>3671</v>
      </c>
      <c r="E1180" s="0" t="n">
        <v>163.16</v>
      </c>
    </row>
    <row r="1181" customFormat="false" ht="15" hidden="false" customHeight="false" outlineLevel="0" collapsed="false">
      <c r="A1181" s="0" t="n">
        <v>34746</v>
      </c>
      <c r="B1181" s="0" t="s">
        <v>4695</v>
      </c>
      <c r="C1181" s="0" t="s">
        <v>1477</v>
      </c>
      <c r="D1181" s="0" t="s">
        <v>3671</v>
      </c>
      <c r="E1181" s="0" t="n">
        <v>44.49</v>
      </c>
    </row>
    <row r="1182" customFormat="false" ht="15" hidden="false" customHeight="false" outlineLevel="0" collapsed="false">
      <c r="A1182" s="0" t="n">
        <v>1360</v>
      </c>
      <c r="B1182" s="0" t="s">
        <v>4696</v>
      </c>
      <c r="C1182" s="0" t="s">
        <v>1477</v>
      </c>
      <c r="D1182" s="0" t="s">
        <v>3671</v>
      </c>
      <c r="E1182" s="0" t="n">
        <v>51.91</v>
      </c>
    </row>
    <row r="1183" customFormat="false" ht="15" hidden="false" customHeight="false" outlineLevel="0" collapsed="false">
      <c r="A1183" s="0" t="n">
        <v>36524</v>
      </c>
      <c r="B1183" s="0" t="s">
        <v>4697</v>
      </c>
      <c r="C1183" s="0" t="s">
        <v>31</v>
      </c>
      <c r="D1183" s="0" t="s">
        <v>3671</v>
      </c>
    </row>
    <row r="1184" customFormat="false" ht="15" hidden="false" customHeight="false" outlineLevel="0" collapsed="false">
      <c r="A1184" s="0" t="n">
        <v>36526</v>
      </c>
      <c r="B1184" s="0" t="s">
        <v>4698</v>
      </c>
      <c r="C1184" s="0" t="s">
        <v>31</v>
      </c>
      <c r="D1184" s="0" t="s">
        <v>3671</v>
      </c>
    </row>
    <row r="1185" customFormat="false" ht="15" hidden="false" customHeight="false" outlineLevel="0" collapsed="false">
      <c r="A1185" s="0" t="n">
        <v>36523</v>
      </c>
      <c r="B1185" s="0" t="s">
        <v>4699</v>
      </c>
      <c r="C1185" s="0" t="s">
        <v>31</v>
      </c>
      <c r="D1185" s="0" t="s">
        <v>3671</v>
      </c>
    </row>
    <row r="1186" customFormat="false" ht="15" hidden="false" customHeight="false" outlineLevel="0" collapsed="false">
      <c r="A1186" s="0" t="n">
        <v>36527</v>
      </c>
      <c r="B1186" s="0" t="s">
        <v>4700</v>
      </c>
      <c r="C1186" s="0" t="s">
        <v>31</v>
      </c>
      <c r="D1186" s="0" t="s">
        <v>3671</v>
      </c>
    </row>
    <row r="1187" customFormat="false" ht="15" hidden="false" customHeight="false" outlineLevel="0" collapsed="false">
      <c r="A1187" s="0" t="n">
        <v>38642</v>
      </c>
      <c r="B1187" s="0" t="s">
        <v>4701</v>
      </c>
      <c r="C1187" s="0" t="s">
        <v>31</v>
      </c>
      <c r="D1187" s="0" t="s">
        <v>3671</v>
      </c>
    </row>
    <row r="1188" customFormat="false" ht="15" hidden="false" customHeight="false" outlineLevel="0" collapsed="false">
      <c r="A1188" s="0" t="n">
        <v>36522</v>
      </c>
      <c r="B1188" s="0" t="s">
        <v>1729</v>
      </c>
      <c r="C1188" s="0" t="s">
        <v>31</v>
      </c>
      <c r="D1188" s="0" t="s">
        <v>3671</v>
      </c>
    </row>
    <row r="1189" customFormat="false" ht="15" hidden="false" customHeight="false" outlineLevel="0" collapsed="false">
      <c r="A1189" s="0" t="n">
        <v>36525</v>
      </c>
      <c r="B1189" s="0" t="s">
        <v>4702</v>
      </c>
      <c r="C1189" s="0" t="s">
        <v>31</v>
      </c>
      <c r="D1189" s="0" t="s">
        <v>3671</v>
      </c>
    </row>
    <row r="1190" customFormat="false" ht="15" hidden="false" customHeight="false" outlineLevel="0" collapsed="false">
      <c r="A1190" s="0" t="n">
        <v>13803</v>
      </c>
      <c r="B1190" s="0" t="s">
        <v>1460</v>
      </c>
      <c r="C1190" s="0" t="s">
        <v>31</v>
      </c>
      <c r="D1190" s="0" t="s">
        <v>3676</v>
      </c>
    </row>
    <row r="1191" customFormat="false" ht="15" hidden="false" customHeight="false" outlineLevel="0" collapsed="false">
      <c r="A1191" s="0" t="n">
        <v>34348</v>
      </c>
      <c r="B1191" s="0" t="s">
        <v>4703</v>
      </c>
      <c r="C1191" s="0" t="s">
        <v>1455</v>
      </c>
      <c r="D1191" s="0" t="s">
        <v>3671</v>
      </c>
      <c r="E1191" s="0" t="n">
        <v>29.33</v>
      </c>
    </row>
    <row r="1192" customFormat="false" ht="15" hidden="false" customHeight="false" outlineLevel="0" collapsed="false">
      <c r="A1192" s="0" t="n">
        <v>34347</v>
      </c>
      <c r="B1192" s="0" t="s">
        <v>4704</v>
      </c>
      <c r="C1192" s="0" t="s">
        <v>1455</v>
      </c>
      <c r="D1192" s="0" t="s">
        <v>3671</v>
      </c>
      <c r="E1192" s="0" t="n">
        <v>20.97</v>
      </c>
    </row>
    <row r="1193" customFormat="false" ht="15" hidden="false" customHeight="false" outlineLevel="0" collapsed="false">
      <c r="A1193" s="0" t="n">
        <v>11146</v>
      </c>
      <c r="B1193" s="0" t="s">
        <v>4705</v>
      </c>
      <c r="C1193" s="0" t="s">
        <v>1442</v>
      </c>
      <c r="D1193" s="0" t="s">
        <v>3671</v>
      </c>
      <c r="E1193" s="0" t="n">
        <v>654.89</v>
      </c>
    </row>
    <row r="1194" customFormat="false" ht="15" hidden="false" customHeight="false" outlineLevel="0" collapsed="false">
      <c r="A1194" s="0" t="n">
        <v>11147</v>
      </c>
      <c r="B1194" s="0" t="s">
        <v>4706</v>
      </c>
      <c r="C1194" s="0" t="s">
        <v>1442</v>
      </c>
      <c r="D1194" s="0" t="s">
        <v>3671</v>
      </c>
      <c r="E1194" s="0" t="n">
        <v>680.52</v>
      </c>
    </row>
    <row r="1195" customFormat="false" ht="15" hidden="false" customHeight="false" outlineLevel="0" collapsed="false">
      <c r="A1195" s="0" t="n">
        <v>34872</v>
      </c>
      <c r="B1195" s="0" t="s">
        <v>4707</v>
      </c>
      <c r="C1195" s="0" t="s">
        <v>1442</v>
      </c>
      <c r="D1195" s="0" t="s">
        <v>3671</v>
      </c>
      <c r="E1195" s="0" t="n">
        <v>688.16</v>
      </c>
    </row>
    <row r="1196" customFormat="false" ht="15" hidden="false" customHeight="false" outlineLevel="0" collapsed="false">
      <c r="A1196" s="0" t="n">
        <v>34491</v>
      </c>
      <c r="B1196" s="0" t="s">
        <v>4708</v>
      </c>
      <c r="C1196" s="0" t="s">
        <v>1442</v>
      </c>
      <c r="D1196" s="0" t="s">
        <v>3671</v>
      </c>
      <c r="E1196" s="0" t="n">
        <v>708.11</v>
      </c>
    </row>
    <row r="1197" customFormat="false" ht="15" hidden="false" customHeight="false" outlineLevel="0" collapsed="false">
      <c r="A1197" s="0" t="n">
        <v>34770</v>
      </c>
      <c r="B1197" s="0" t="s">
        <v>4709</v>
      </c>
      <c r="C1197" s="0" t="s">
        <v>4710</v>
      </c>
      <c r="D1197" s="0" t="s">
        <v>3671</v>
      </c>
      <c r="E1197" s="0" t="n">
        <v>519.87</v>
      </c>
    </row>
    <row r="1198" customFormat="false" ht="15" hidden="false" customHeight="false" outlineLevel="0" collapsed="false">
      <c r="A1198" s="0" t="n">
        <v>1518</v>
      </c>
      <c r="B1198" s="0" t="s">
        <v>4711</v>
      </c>
      <c r="C1198" s="0" t="s">
        <v>4710</v>
      </c>
      <c r="D1198" s="0" t="s">
        <v>3676</v>
      </c>
      <c r="E1198" s="0" t="n">
        <v>530</v>
      </c>
    </row>
    <row r="1199" customFormat="false" ht="15" hidden="false" customHeight="false" outlineLevel="0" collapsed="false">
      <c r="A1199" s="0" t="n">
        <v>41965</v>
      </c>
      <c r="B1199" s="0" t="s">
        <v>4712</v>
      </c>
      <c r="C1199" s="0" t="s">
        <v>4710</v>
      </c>
      <c r="D1199" s="0" t="s">
        <v>3671</v>
      </c>
      <c r="E1199" s="0" t="n">
        <v>464.72</v>
      </c>
    </row>
    <row r="1200" customFormat="false" ht="15" hidden="false" customHeight="false" outlineLevel="0" collapsed="false">
      <c r="A1200" s="0" t="n">
        <v>1524</v>
      </c>
      <c r="B1200" s="0" t="s">
        <v>4713</v>
      </c>
      <c r="C1200" s="0" t="s">
        <v>1442</v>
      </c>
      <c r="D1200" s="0" t="s">
        <v>3671</v>
      </c>
      <c r="E1200" s="0" t="n">
        <v>628.32</v>
      </c>
    </row>
    <row r="1201" customFormat="false" ht="15" hidden="false" customHeight="false" outlineLevel="0" collapsed="false">
      <c r="A1201" s="0" t="n">
        <v>34492</v>
      </c>
      <c r="B1201" s="0" t="s">
        <v>4714</v>
      </c>
      <c r="C1201" s="0" t="s">
        <v>1442</v>
      </c>
      <c r="D1201" s="0" t="s">
        <v>3676</v>
      </c>
      <c r="E1201" s="0" t="n">
        <v>582</v>
      </c>
    </row>
    <row r="1202" customFormat="false" ht="15" hidden="false" customHeight="false" outlineLevel="0" collapsed="false">
      <c r="A1202" s="0" t="n">
        <v>38404</v>
      </c>
      <c r="B1202" s="0" t="s">
        <v>4715</v>
      </c>
      <c r="C1202" s="0" t="s">
        <v>1442</v>
      </c>
      <c r="D1202" s="0" t="s">
        <v>3671</v>
      </c>
      <c r="E1202" s="0" t="n">
        <v>602.84</v>
      </c>
    </row>
    <row r="1203" customFormat="false" ht="15" hidden="false" customHeight="false" outlineLevel="0" collapsed="false">
      <c r="A1203" s="0" t="n">
        <v>39849</v>
      </c>
      <c r="B1203" s="0" t="s">
        <v>4716</v>
      </c>
      <c r="C1203" s="0" t="s">
        <v>1442</v>
      </c>
      <c r="D1203" s="0" t="s">
        <v>3671</v>
      </c>
      <c r="E1203" s="0" t="n">
        <v>690.85</v>
      </c>
    </row>
    <row r="1204" customFormat="false" ht="15" hidden="false" customHeight="false" outlineLevel="0" collapsed="false">
      <c r="A1204" s="0" t="n">
        <v>38464</v>
      </c>
      <c r="B1204" s="0" t="s">
        <v>4717</v>
      </c>
      <c r="C1204" s="0" t="s">
        <v>1442</v>
      </c>
      <c r="D1204" s="0" t="s">
        <v>3671</v>
      </c>
      <c r="E1204" s="0" t="n">
        <v>700.88</v>
      </c>
    </row>
    <row r="1205" customFormat="false" ht="15" hidden="false" customHeight="false" outlineLevel="0" collapsed="false">
      <c r="A1205" s="0" t="n">
        <v>1527</v>
      </c>
      <c r="B1205" s="0" t="s">
        <v>1759</v>
      </c>
      <c r="C1205" s="0" t="s">
        <v>1442</v>
      </c>
      <c r="D1205" s="0" t="s">
        <v>3671</v>
      </c>
      <c r="E1205" s="0" t="n">
        <v>648.27</v>
      </c>
    </row>
    <row r="1206" customFormat="false" ht="15" hidden="false" customHeight="false" outlineLevel="0" collapsed="false">
      <c r="A1206" s="0" t="n">
        <v>34493</v>
      </c>
      <c r="B1206" s="0" t="s">
        <v>4718</v>
      </c>
      <c r="C1206" s="0" t="s">
        <v>1442</v>
      </c>
      <c r="D1206" s="0" t="s">
        <v>3671</v>
      </c>
      <c r="E1206" s="0" t="n">
        <v>598.4</v>
      </c>
    </row>
    <row r="1207" customFormat="false" ht="15" hidden="false" customHeight="false" outlineLevel="0" collapsed="false">
      <c r="A1207" s="0" t="n">
        <v>38405</v>
      </c>
      <c r="B1207" s="0" t="s">
        <v>1708</v>
      </c>
      <c r="C1207" s="0" t="s">
        <v>1442</v>
      </c>
      <c r="D1207" s="0" t="s">
        <v>3671</v>
      </c>
      <c r="E1207" s="0" t="n">
        <v>621.43</v>
      </c>
    </row>
    <row r="1208" customFormat="false" ht="15" hidden="false" customHeight="false" outlineLevel="0" collapsed="false">
      <c r="A1208" s="0" t="n">
        <v>38408</v>
      </c>
      <c r="B1208" s="0" t="s">
        <v>4719</v>
      </c>
      <c r="C1208" s="0" t="s">
        <v>1442</v>
      </c>
      <c r="D1208" s="0" t="s">
        <v>3671</v>
      </c>
      <c r="E1208" s="0" t="n">
        <v>687.86</v>
      </c>
    </row>
    <row r="1209" customFormat="false" ht="15" hidden="false" customHeight="false" outlineLevel="0" collapsed="false">
      <c r="A1209" s="0" t="n">
        <v>1525</v>
      </c>
      <c r="B1209" s="0" t="s">
        <v>1569</v>
      </c>
      <c r="C1209" s="0" t="s">
        <v>1442</v>
      </c>
      <c r="D1209" s="0" t="s">
        <v>3671</v>
      </c>
      <c r="E1209" s="0" t="n">
        <v>668.21</v>
      </c>
    </row>
    <row r="1210" customFormat="false" ht="15" hidden="false" customHeight="false" outlineLevel="0" collapsed="false">
      <c r="A1210" s="0" t="n">
        <v>34494</v>
      </c>
      <c r="B1210" s="0" t="s">
        <v>4720</v>
      </c>
      <c r="C1210" s="0" t="s">
        <v>1442</v>
      </c>
      <c r="D1210" s="0" t="s">
        <v>3671</v>
      </c>
      <c r="E1210" s="0" t="n">
        <v>618.35</v>
      </c>
    </row>
    <row r="1211" customFormat="false" ht="15" hidden="false" customHeight="false" outlineLevel="0" collapsed="false">
      <c r="A1211" s="0" t="n">
        <v>38406</v>
      </c>
      <c r="B1211" s="0" t="s">
        <v>4721</v>
      </c>
      <c r="C1211" s="0" t="s">
        <v>1442</v>
      </c>
      <c r="D1211" s="0" t="s">
        <v>3671</v>
      </c>
      <c r="E1211" s="0" t="n">
        <v>656.19</v>
      </c>
    </row>
    <row r="1212" customFormat="false" ht="15" hidden="false" customHeight="false" outlineLevel="0" collapsed="false">
      <c r="A1212" s="0" t="n">
        <v>38409</v>
      </c>
      <c r="B1212" s="0" t="s">
        <v>4722</v>
      </c>
      <c r="C1212" s="0" t="s">
        <v>1442</v>
      </c>
      <c r="D1212" s="0" t="s">
        <v>3671</v>
      </c>
      <c r="E1212" s="0" t="n">
        <v>692.55</v>
      </c>
    </row>
    <row r="1213" customFormat="false" ht="15" hidden="false" customHeight="false" outlineLevel="0" collapsed="false">
      <c r="A1213" s="0" t="n">
        <v>43360</v>
      </c>
      <c r="B1213" s="0" t="s">
        <v>4723</v>
      </c>
      <c r="C1213" s="0" t="s">
        <v>1442</v>
      </c>
      <c r="D1213" s="0" t="s">
        <v>3671</v>
      </c>
      <c r="E1213" s="0" t="n">
        <v>722.13</v>
      </c>
    </row>
    <row r="1214" customFormat="false" ht="15" hidden="false" customHeight="false" outlineLevel="0" collapsed="false">
      <c r="A1214" s="0" t="n">
        <v>11145</v>
      </c>
      <c r="B1214" s="0" t="s">
        <v>1620</v>
      </c>
      <c r="C1214" s="0" t="s">
        <v>1442</v>
      </c>
      <c r="D1214" s="0" t="s">
        <v>3671</v>
      </c>
      <c r="E1214" s="0" t="n">
        <v>688.16</v>
      </c>
    </row>
    <row r="1215" customFormat="false" ht="15" hidden="false" customHeight="false" outlineLevel="0" collapsed="false">
      <c r="A1215" s="0" t="n">
        <v>34495</v>
      </c>
      <c r="B1215" s="0" t="s">
        <v>4724</v>
      </c>
      <c r="C1215" s="0" t="s">
        <v>1442</v>
      </c>
      <c r="D1215" s="0" t="s">
        <v>3671</v>
      </c>
      <c r="E1215" s="0" t="n">
        <v>638.29</v>
      </c>
    </row>
    <row r="1216" customFormat="false" ht="15" hidden="false" customHeight="false" outlineLevel="0" collapsed="false">
      <c r="A1216" s="0" t="n">
        <v>34479</v>
      </c>
      <c r="B1216" s="0" t="s">
        <v>4725</v>
      </c>
      <c r="C1216" s="0" t="s">
        <v>1442</v>
      </c>
      <c r="D1216" s="0" t="s">
        <v>3671</v>
      </c>
      <c r="E1216" s="0" t="n">
        <v>708.11</v>
      </c>
    </row>
    <row r="1217" customFormat="false" ht="15" hidden="false" customHeight="false" outlineLevel="0" collapsed="false">
      <c r="A1217" s="0" t="n">
        <v>34496</v>
      </c>
      <c r="B1217" s="0" t="s">
        <v>4726</v>
      </c>
      <c r="C1217" s="0" t="s">
        <v>1442</v>
      </c>
      <c r="D1217" s="0" t="s">
        <v>3671</v>
      </c>
      <c r="E1217" s="0" t="n">
        <v>665.85</v>
      </c>
    </row>
    <row r="1218" customFormat="false" ht="15" hidden="false" customHeight="false" outlineLevel="0" collapsed="false">
      <c r="A1218" s="0" t="n">
        <v>34481</v>
      </c>
      <c r="B1218" s="0" t="s">
        <v>4727</v>
      </c>
      <c r="C1218" s="0" t="s">
        <v>1442</v>
      </c>
      <c r="D1218" s="0" t="s">
        <v>3671</v>
      </c>
      <c r="E1218" s="0" t="n">
        <v>739.89</v>
      </c>
    </row>
    <row r="1219" customFormat="false" ht="15" hidden="false" customHeight="false" outlineLevel="0" collapsed="false">
      <c r="A1219" s="0" t="n">
        <v>34483</v>
      </c>
      <c r="B1219" s="0" t="s">
        <v>4728</v>
      </c>
      <c r="C1219" s="0" t="s">
        <v>1442</v>
      </c>
      <c r="D1219" s="0" t="s">
        <v>3671</v>
      </c>
      <c r="E1219" s="0" t="n">
        <v>790.52</v>
      </c>
    </row>
    <row r="1220" customFormat="false" ht="15" hidden="false" customHeight="false" outlineLevel="0" collapsed="false">
      <c r="A1220" s="0" t="n">
        <v>34485</v>
      </c>
      <c r="B1220" s="0" t="s">
        <v>4729</v>
      </c>
      <c r="C1220" s="0" t="s">
        <v>1442</v>
      </c>
      <c r="D1220" s="0" t="s">
        <v>3671</v>
      </c>
      <c r="E1220" s="0" t="n">
        <v>845.37</v>
      </c>
    </row>
    <row r="1221" customFormat="false" ht="15" hidden="false" customHeight="false" outlineLevel="0" collapsed="false">
      <c r="A1221" s="0" t="n">
        <v>14041</v>
      </c>
      <c r="B1221" s="0" t="s">
        <v>4730</v>
      </c>
      <c r="C1221" s="0" t="s">
        <v>1442</v>
      </c>
      <c r="D1221" s="0" t="s">
        <v>3671</v>
      </c>
      <c r="E1221" s="0" t="n">
        <v>549.53</v>
      </c>
    </row>
    <row r="1222" customFormat="false" ht="15" hidden="false" customHeight="false" outlineLevel="0" collapsed="false">
      <c r="A1222" s="0" t="n">
        <v>1523</v>
      </c>
      <c r="B1222" s="0" t="s">
        <v>4731</v>
      </c>
      <c r="C1222" s="0" t="s">
        <v>1442</v>
      </c>
      <c r="D1222" s="0" t="s">
        <v>3671</v>
      </c>
      <c r="E1222" s="0" t="n">
        <v>558.51</v>
      </c>
    </row>
    <row r="1223" customFormat="false" ht="15" hidden="false" customHeight="false" outlineLevel="0" collapsed="false">
      <c r="A1223" s="0" t="n">
        <v>14054</v>
      </c>
      <c r="B1223" s="0" t="s">
        <v>4732</v>
      </c>
      <c r="C1223" s="0" t="s">
        <v>31</v>
      </c>
      <c r="D1223" s="0" t="s">
        <v>3671</v>
      </c>
      <c r="E1223" s="0" t="n">
        <v>14.72</v>
      </c>
    </row>
    <row r="1224" customFormat="false" ht="15" hidden="false" customHeight="false" outlineLevel="0" collapsed="false">
      <c r="A1224" s="0" t="n">
        <v>14052</v>
      </c>
      <c r="B1224" s="0" t="s">
        <v>4733</v>
      </c>
      <c r="C1224" s="0" t="s">
        <v>31</v>
      </c>
      <c r="D1224" s="0" t="s">
        <v>3671</v>
      </c>
      <c r="E1224" s="0" t="n">
        <v>11.32</v>
      </c>
    </row>
    <row r="1225" customFormat="false" ht="15" hidden="false" customHeight="false" outlineLevel="0" collapsed="false">
      <c r="A1225" s="0" t="n">
        <v>14053</v>
      </c>
      <c r="B1225" s="0" t="s">
        <v>4734</v>
      </c>
      <c r="C1225" s="0" t="s">
        <v>31</v>
      </c>
      <c r="D1225" s="0" t="s">
        <v>3671</v>
      </c>
      <c r="E1225" s="0" t="n">
        <v>11.49</v>
      </c>
    </row>
    <row r="1226" customFormat="false" ht="15" hidden="false" customHeight="false" outlineLevel="0" collapsed="false">
      <c r="A1226" s="0" t="n">
        <v>2560</v>
      </c>
      <c r="B1226" s="0" t="s">
        <v>4735</v>
      </c>
      <c r="C1226" s="0" t="s">
        <v>31</v>
      </c>
      <c r="D1226" s="0" t="s">
        <v>3671</v>
      </c>
      <c r="E1226" s="0" t="n">
        <v>15.23</v>
      </c>
    </row>
    <row r="1227" customFormat="false" ht="15" hidden="false" customHeight="false" outlineLevel="0" collapsed="false">
      <c r="A1227" s="0" t="n">
        <v>2558</v>
      </c>
      <c r="B1227" s="0" t="s">
        <v>4736</v>
      </c>
      <c r="C1227" s="0" t="s">
        <v>31</v>
      </c>
      <c r="D1227" s="0" t="s">
        <v>3671</v>
      </c>
      <c r="E1227" s="0" t="n">
        <v>8.65</v>
      </c>
    </row>
    <row r="1228" customFormat="false" ht="15" hidden="false" customHeight="false" outlineLevel="0" collapsed="false">
      <c r="A1228" s="0" t="n">
        <v>2559</v>
      </c>
      <c r="B1228" s="0" t="s">
        <v>4737</v>
      </c>
      <c r="C1228" s="0" t="s">
        <v>31</v>
      </c>
      <c r="D1228" s="0" t="s">
        <v>3676</v>
      </c>
      <c r="E1228" s="0" t="n">
        <v>12.18</v>
      </c>
    </row>
    <row r="1229" customFormat="false" ht="15" hidden="false" customHeight="false" outlineLevel="0" collapsed="false">
      <c r="A1229" s="0" t="n">
        <v>2592</v>
      </c>
      <c r="B1229" s="0" t="s">
        <v>4738</v>
      </c>
      <c r="C1229" s="0" t="s">
        <v>31</v>
      </c>
      <c r="D1229" s="0" t="s">
        <v>3671</v>
      </c>
      <c r="E1229" s="0" t="n">
        <v>201.91</v>
      </c>
    </row>
    <row r="1230" customFormat="false" ht="15" hidden="false" customHeight="false" outlineLevel="0" collapsed="false">
      <c r="A1230" s="0" t="n">
        <v>2589</v>
      </c>
      <c r="B1230" s="0" t="s">
        <v>4739</v>
      </c>
      <c r="C1230" s="0" t="s">
        <v>31</v>
      </c>
      <c r="D1230" s="0" t="s">
        <v>3671</v>
      </c>
      <c r="E1230" s="0" t="n">
        <v>27.01</v>
      </c>
    </row>
    <row r="1231" customFormat="false" ht="15" hidden="false" customHeight="false" outlineLevel="0" collapsed="false">
      <c r="A1231" s="0" t="n">
        <v>2566</v>
      </c>
      <c r="B1231" s="0" t="s">
        <v>4740</v>
      </c>
      <c r="C1231" s="0" t="s">
        <v>31</v>
      </c>
      <c r="D1231" s="0" t="s">
        <v>3671</v>
      </c>
      <c r="E1231" s="0" t="n">
        <v>20.32</v>
      </c>
    </row>
    <row r="1232" customFormat="false" ht="15" hidden="false" customHeight="false" outlineLevel="0" collapsed="false">
      <c r="A1232" s="0" t="n">
        <v>2590</v>
      </c>
      <c r="B1232" s="0" t="s">
        <v>4741</v>
      </c>
      <c r="C1232" s="0" t="s">
        <v>31</v>
      </c>
      <c r="D1232" s="0" t="s">
        <v>3671</v>
      </c>
      <c r="E1232" s="0" t="n">
        <v>16.57</v>
      </c>
    </row>
    <row r="1233" customFormat="false" ht="15" hidden="false" customHeight="false" outlineLevel="0" collapsed="false">
      <c r="A1233" s="0" t="n">
        <v>2591</v>
      </c>
      <c r="B1233" s="0" t="s">
        <v>4742</v>
      </c>
      <c r="C1233" s="0" t="s">
        <v>31</v>
      </c>
      <c r="D1233" s="0" t="s">
        <v>3671</v>
      </c>
      <c r="E1233" s="0" t="n">
        <v>9.85</v>
      </c>
    </row>
    <row r="1234" customFormat="false" ht="15" hidden="false" customHeight="false" outlineLevel="0" collapsed="false">
      <c r="A1234" s="0" t="n">
        <v>2567</v>
      </c>
      <c r="B1234" s="0" t="s">
        <v>4743</v>
      </c>
      <c r="C1234" s="0" t="s">
        <v>31</v>
      </c>
      <c r="D1234" s="0" t="s">
        <v>3671</v>
      </c>
      <c r="E1234" s="0" t="n">
        <v>39.61</v>
      </c>
    </row>
    <row r="1235" customFormat="false" ht="15" hidden="false" customHeight="false" outlineLevel="0" collapsed="false">
      <c r="A1235" s="0" t="n">
        <v>2568</v>
      </c>
      <c r="B1235" s="0" t="s">
        <v>4744</v>
      </c>
      <c r="C1235" s="0" t="s">
        <v>31</v>
      </c>
      <c r="D1235" s="0" t="s">
        <v>3671</v>
      </c>
      <c r="E1235" s="0" t="n">
        <v>110.01</v>
      </c>
    </row>
    <row r="1236" customFormat="false" ht="15" hidden="false" customHeight="false" outlineLevel="0" collapsed="false">
      <c r="A1236" s="0" t="n">
        <v>2565</v>
      </c>
      <c r="B1236" s="0" t="s">
        <v>4745</v>
      </c>
      <c r="C1236" s="0" t="s">
        <v>31</v>
      </c>
      <c r="D1236" s="0" t="s">
        <v>3671</v>
      </c>
      <c r="E1236" s="0" t="n">
        <v>9.87</v>
      </c>
    </row>
    <row r="1237" customFormat="false" ht="15" hidden="false" customHeight="false" outlineLevel="0" collapsed="false">
      <c r="A1237" s="0" t="n">
        <v>2594</v>
      </c>
      <c r="B1237" s="0" t="s">
        <v>4746</v>
      </c>
      <c r="C1237" s="0" t="s">
        <v>31</v>
      </c>
      <c r="D1237" s="0" t="s">
        <v>3671</v>
      </c>
      <c r="E1237" s="0" t="n">
        <v>183.27</v>
      </c>
    </row>
    <row r="1238" customFormat="false" ht="15" hidden="false" customHeight="false" outlineLevel="0" collapsed="false">
      <c r="A1238" s="0" t="n">
        <v>2587</v>
      </c>
      <c r="B1238" s="0" t="s">
        <v>4747</v>
      </c>
      <c r="C1238" s="0" t="s">
        <v>31</v>
      </c>
      <c r="D1238" s="0" t="s">
        <v>3671</v>
      </c>
      <c r="E1238" s="0" t="n">
        <v>31.23</v>
      </c>
    </row>
    <row r="1239" customFormat="false" ht="15" hidden="false" customHeight="false" outlineLevel="0" collapsed="false">
      <c r="A1239" s="0" t="n">
        <v>2588</v>
      </c>
      <c r="B1239" s="0" t="s">
        <v>4748</v>
      </c>
      <c r="C1239" s="0" t="s">
        <v>31</v>
      </c>
      <c r="D1239" s="0" t="s">
        <v>3671</v>
      </c>
      <c r="E1239" s="0" t="n">
        <v>24.81</v>
      </c>
    </row>
    <row r="1240" customFormat="false" ht="15" hidden="false" customHeight="false" outlineLevel="0" collapsed="false">
      <c r="A1240" s="0" t="n">
        <v>2570</v>
      </c>
      <c r="B1240" s="0" t="s">
        <v>4749</v>
      </c>
      <c r="C1240" s="0" t="s">
        <v>31</v>
      </c>
      <c r="D1240" s="0" t="s">
        <v>3671</v>
      </c>
      <c r="E1240" s="0" t="n">
        <v>16.02</v>
      </c>
    </row>
    <row r="1241" customFormat="false" ht="15" hidden="false" customHeight="false" outlineLevel="0" collapsed="false">
      <c r="A1241" s="0" t="n">
        <v>2569</v>
      </c>
      <c r="B1241" s="0" t="s">
        <v>4750</v>
      </c>
      <c r="C1241" s="0" t="s">
        <v>31</v>
      </c>
      <c r="D1241" s="0" t="s">
        <v>3671</v>
      </c>
      <c r="E1241" s="0" t="n">
        <v>9.56</v>
      </c>
    </row>
    <row r="1242" customFormat="false" ht="15" hidden="false" customHeight="false" outlineLevel="0" collapsed="false">
      <c r="A1242" s="0" t="n">
        <v>2571</v>
      </c>
      <c r="B1242" s="0" t="s">
        <v>4751</v>
      </c>
      <c r="C1242" s="0" t="s">
        <v>31</v>
      </c>
      <c r="D1242" s="0" t="s">
        <v>3671</v>
      </c>
      <c r="E1242" s="0" t="n">
        <v>47.57</v>
      </c>
    </row>
    <row r="1243" customFormat="false" ht="15" hidden="false" customHeight="false" outlineLevel="0" collapsed="false">
      <c r="A1243" s="0" t="n">
        <v>2572</v>
      </c>
      <c r="B1243" s="0" t="s">
        <v>4752</v>
      </c>
      <c r="C1243" s="0" t="s">
        <v>31</v>
      </c>
      <c r="D1243" s="0" t="s">
        <v>3671</v>
      </c>
      <c r="E1243" s="0" t="n">
        <v>140.68</v>
      </c>
    </row>
    <row r="1244" customFormat="false" ht="15" hidden="false" customHeight="false" outlineLevel="0" collapsed="false">
      <c r="A1244" s="0" t="n">
        <v>2593</v>
      </c>
      <c r="B1244" s="0" t="s">
        <v>4753</v>
      </c>
      <c r="C1244" s="0" t="s">
        <v>31</v>
      </c>
      <c r="D1244" s="0" t="s">
        <v>3671</v>
      </c>
      <c r="E1244" s="0" t="n">
        <v>10.19</v>
      </c>
    </row>
    <row r="1245" customFormat="false" ht="15" hidden="false" customHeight="false" outlineLevel="0" collapsed="false">
      <c r="A1245" s="0" t="n">
        <v>2595</v>
      </c>
      <c r="B1245" s="0" t="s">
        <v>4754</v>
      </c>
      <c r="C1245" s="0" t="s">
        <v>31</v>
      </c>
      <c r="D1245" s="0" t="s">
        <v>3671</v>
      </c>
      <c r="E1245" s="0" t="n">
        <v>219.49</v>
      </c>
    </row>
    <row r="1246" customFormat="false" ht="15" hidden="false" customHeight="false" outlineLevel="0" collapsed="false">
      <c r="A1246" s="0" t="n">
        <v>2576</v>
      </c>
      <c r="B1246" s="0" t="s">
        <v>4755</v>
      </c>
      <c r="C1246" s="0" t="s">
        <v>31</v>
      </c>
      <c r="D1246" s="0" t="s">
        <v>3671</v>
      </c>
      <c r="E1246" s="0" t="n">
        <v>37.42</v>
      </c>
    </row>
    <row r="1247" customFormat="false" ht="15" hidden="false" customHeight="false" outlineLevel="0" collapsed="false">
      <c r="A1247" s="0" t="n">
        <v>2575</v>
      </c>
      <c r="B1247" s="0" t="s">
        <v>4756</v>
      </c>
      <c r="C1247" s="0" t="s">
        <v>31</v>
      </c>
      <c r="D1247" s="0" t="s">
        <v>3671</v>
      </c>
      <c r="E1247" s="0" t="n">
        <v>28.13</v>
      </c>
    </row>
    <row r="1248" customFormat="false" ht="15" hidden="false" customHeight="false" outlineLevel="0" collapsed="false">
      <c r="A1248" s="0" t="n">
        <v>2586</v>
      </c>
      <c r="B1248" s="0" t="s">
        <v>4757</v>
      </c>
      <c r="C1248" s="0" t="s">
        <v>31</v>
      </c>
      <c r="D1248" s="0" t="s">
        <v>3671</v>
      </c>
      <c r="E1248" s="0" t="n">
        <v>18.93</v>
      </c>
    </row>
    <row r="1249" customFormat="false" ht="15" hidden="false" customHeight="false" outlineLevel="0" collapsed="false">
      <c r="A1249" s="0" t="n">
        <v>2573</v>
      </c>
      <c r="B1249" s="0" t="s">
        <v>4758</v>
      </c>
      <c r="C1249" s="0" t="s">
        <v>31</v>
      </c>
      <c r="D1249" s="0" t="s">
        <v>3671</v>
      </c>
      <c r="E1249" s="0" t="n">
        <v>11.68</v>
      </c>
    </row>
    <row r="1250" customFormat="false" ht="15" hidden="false" customHeight="false" outlineLevel="0" collapsed="false">
      <c r="A1250" s="0" t="n">
        <v>2577</v>
      </c>
      <c r="B1250" s="0" t="s">
        <v>4759</v>
      </c>
      <c r="C1250" s="0" t="s">
        <v>31</v>
      </c>
      <c r="D1250" s="0" t="s">
        <v>3671</v>
      </c>
      <c r="E1250" s="0" t="n">
        <v>50.7</v>
      </c>
    </row>
    <row r="1251" customFormat="false" ht="15" hidden="false" customHeight="false" outlineLevel="0" collapsed="false">
      <c r="A1251" s="0" t="n">
        <v>2578</v>
      </c>
      <c r="B1251" s="0" t="s">
        <v>4760</v>
      </c>
      <c r="C1251" s="0" t="s">
        <v>31</v>
      </c>
      <c r="D1251" s="0" t="s">
        <v>3671</v>
      </c>
      <c r="E1251" s="0" t="n">
        <v>158.29</v>
      </c>
    </row>
    <row r="1252" customFormat="false" ht="15" hidden="false" customHeight="false" outlineLevel="0" collapsed="false">
      <c r="A1252" s="0" t="n">
        <v>2574</v>
      </c>
      <c r="B1252" s="0" t="s">
        <v>4761</v>
      </c>
      <c r="C1252" s="0" t="s">
        <v>31</v>
      </c>
      <c r="D1252" s="0" t="s">
        <v>3671</v>
      </c>
      <c r="E1252" s="0" t="n">
        <v>11.76</v>
      </c>
    </row>
    <row r="1253" customFormat="false" ht="15" hidden="false" customHeight="false" outlineLevel="0" collapsed="false">
      <c r="A1253" s="0" t="n">
        <v>2585</v>
      </c>
      <c r="B1253" s="0" t="s">
        <v>4762</v>
      </c>
      <c r="C1253" s="0" t="s">
        <v>31</v>
      </c>
      <c r="D1253" s="0" t="s">
        <v>3671</v>
      </c>
      <c r="E1253" s="0" t="n">
        <v>217.22</v>
      </c>
    </row>
    <row r="1254" customFormat="false" ht="15" hidden="false" customHeight="false" outlineLevel="0" collapsed="false">
      <c r="A1254" s="0" t="n">
        <v>12008</v>
      </c>
      <c r="B1254" s="0" t="s">
        <v>4763</v>
      </c>
      <c r="C1254" s="0" t="s">
        <v>31</v>
      </c>
      <c r="D1254" s="0" t="s">
        <v>3671</v>
      </c>
      <c r="E1254" s="0" t="n">
        <v>116.54</v>
      </c>
    </row>
    <row r="1255" customFormat="false" ht="15" hidden="false" customHeight="false" outlineLevel="0" collapsed="false">
      <c r="A1255" s="0" t="n">
        <v>2582</v>
      </c>
      <c r="B1255" s="0" t="s">
        <v>4764</v>
      </c>
      <c r="C1255" s="0" t="s">
        <v>31</v>
      </c>
      <c r="D1255" s="0" t="s">
        <v>3671</v>
      </c>
      <c r="E1255" s="0" t="n">
        <v>34.7</v>
      </c>
    </row>
    <row r="1256" customFormat="false" ht="15" hidden="false" customHeight="false" outlineLevel="0" collapsed="false">
      <c r="A1256" s="0" t="n">
        <v>2597</v>
      </c>
      <c r="B1256" s="0" t="s">
        <v>4765</v>
      </c>
      <c r="C1256" s="0" t="s">
        <v>31</v>
      </c>
      <c r="D1256" s="0" t="s">
        <v>3671</v>
      </c>
      <c r="E1256" s="0" t="n">
        <v>29.74</v>
      </c>
    </row>
    <row r="1257" customFormat="false" ht="15" hidden="false" customHeight="false" outlineLevel="0" collapsed="false">
      <c r="A1257" s="0" t="n">
        <v>2581</v>
      </c>
      <c r="B1257" s="0" t="s">
        <v>4766</v>
      </c>
      <c r="C1257" s="0" t="s">
        <v>31</v>
      </c>
      <c r="D1257" s="0" t="s">
        <v>3671</v>
      </c>
      <c r="E1257" s="0" t="n">
        <v>18.12</v>
      </c>
    </row>
    <row r="1258" customFormat="false" ht="15" hidden="false" customHeight="false" outlineLevel="0" collapsed="false">
      <c r="A1258" s="0" t="n">
        <v>2579</v>
      </c>
      <c r="B1258" s="0" t="s">
        <v>4767</v>
      </c>
      <c r="C1258" s="0" t="s">
        <v>31</v>
      </c>
      <c r="D1258" s="0" t="s">
        <v>3671</v>
      </c>
      <c r="E1258" s="0" t="n">
        <v>14.16</v>
      </c>
    </row>
    <row r="1259" customFormat="false" ht="15" hidden="false" customHeight="false" outlineLevel="0" collapsed="false">
      <c r="A1259" s="0" t="n">
        <v>2596</v>
      </c>
      <c r="B1259" s="0" t="s">
        <v>4768</v>
      </c>
      <c r="C1259" s="0" t="s">
        <v>31</v>
      </c>
      <c r="D1259" s="0" t="s">
        <v>3671</v>
      </c>
      <c r="E1259" s="0" t="n">
        <v>53.59</v>
      </c>
    </row>
    <row r="1260" customFormat="false" ht="15" hidden="false" customHeight="false" outlineLevel="0" collapsed="false">
      <c r="A1260" s="0" t="n">
        <v>2583</v>
      </c>
      <c r="B1260" s="0" t="s">
        <v>4769</v>
      </c>
      <c r="C1260" s="0" t="s">
        <v>31</v>
      </c>
      <c r="D1260" s="0" t="s">
        <v>3671</v>
      </c>
      <c r="E1260" s="0" t="n">
        <v>130.35</v>
      </c>
    </row>
    <row r="1261" customFormat="false" ht="15" hidden="false" customHeight="false" outlineLevel="0" collapsed="false">
      <c r="A1261" s="0" t="n">
        <v>2580</v>
      </c>
      <c r="B1261" s="0" t="s">
        <v>4770</v>
      </c>
      <c r="C1261" s="0" t="s">
        <v>31</v>
      </c>
      <c r="D1261" s="0" t="s">
        <v>3671</v>
      </c>
      <c r="E1261" s="0" t="n">
        <v>15.52</v>
      </c>
    </row>
    <row r="1262" customFormat="false" ht="15" hidden="false" customHeight="false" outlineLevel="0" collapsed="false">
      <c r="A1262" s="0" t="n">
        <v>2584</v>
      </c>
      <c r="B1262" s="0" t="s">
        <v>4771</v>
      </c>
      <c r="C1262" s="0" t="s">
        <v>31</v>
      </c>
      <c r="D1262" s="0" t="s">
        <v>3671</v>
      </c>
      <c r="E1262" s="0" t="n">
        <v>216.99</v>
      </c>
    </row>
    <row r="1263" customFormat="false" ht="15" hidden="false" customHeight="false" outlineLevel="0" collapsed="false">
      <c r="A1263" s="0" t="n">
        <v>39329</v>
      </c>
      <c r="B1263" s="0" t="s">
        <v>4772</v>
      </c>
      <c r="C1263" s="0" t="s">
        <v>31</v>
      </c>
      <c r="D1263" s="0" t="s">
        <v>3671</v>
      </c>
      <c r="E1263" s="0" t="n">
        <v>6.22</v>
      </c>
    </row>
    <row r="1264" customFormat="false" ht="15" hidden="false" customHeight="false" outlineLevel="0" collapsed="false">
      <c r="A1264" s="0" t="n">
        <v>12010</v>
      </c>
      <c r="B1264" s="0" t="s">
        <v>4773</v>
      </c>
      <c r="C1264" s="0" t="s">
        <v>31</v>
      </c>
      <c r="D1264" s="0" t="s">
        <v>3671</v>
      </c>
      <c r="E1264" s="0" t="n">
        <v>5.95</v>
      </c>
    </row>
    <row r="1265" customFormat="false" ht="15" hidden="false" customHeight="false" outlineLevel="0" collapsed="false">
      <c r="A1265" s="0" t="n">
        <v>39332</v>
      </c>
      <c r="B1265" s="0" t="s">
        <v>4774</v>
      </c>
      <c r="C1265" s="0" t="s">
        <v>31</v>
      </c>
      <c r="D1265" s="0" t="s">
        <v>3671</v>
      </c>
      <c r="E1265" s="0" t="n">
        <v>7.32</v>
      </c>
    </row>
    <row r="1266" customFormat="false" ht="15" hidden="false" customHeight="false" outlineLevel="0" collapsed="false">
      <c r="A1266" s="0" t="n">
        <v>39330</v>
      </c>
      <c r="B1266" s="0" t="s">
        <v>4775</v>
      </c>
      <c r="C1266" s="0" t="s">
        <v>31</v>
      </c>
      <c r="D1266" s="0" t="s">
        <v>3671</v>
      </c>
      <c r="E1266" s="0" t="n">
        <v>6.55</v>
      </c>
    </row>
    <row r="1267" customFormat="false" ht="15" hidden="false" customHeight="false" outlineLevel="0" collapsed="false">
      <c r="A1267" s="0" t="n">
        <v>39331</v>
      </c>
      <c r="B1267" s="0" t="s">
        <v>4776</v>
      </c>
      <c r="C1267" s="0" t="s">
        <v>31</v>
      </c>
      <c r="D1267" s="0" t="s">
        <v>3671</v>
      </c>
      <c r="E1267" s="0" t="n">
        <v>5.82</v>
      </c>
    </row>
    <row r="1268" customFormat="false" ht="15" hidden="false" customHeight="false" outlineLevel="0" collapsed="false">
      <c r="A1268" s="0" t="n">
        <v>39335</v>
      </c>
      <c r="B1268" s="0" t="s">
        <v>4777</v>
      </c>
      <c r="C1268" s="0" t="s">
        <v>31</v>
      </c>
      <c r="D1268" s="0" t="s">
        <v>3671</v>
      </c>
      <c r="E1268" s="0" t="n">
        <v>6.57</v>
      </c>
    </row>
    <row r="1269" customFormat="false" ht="15" hidden="false" customHeight="false" outlineLevel="0" collapsed="false">
      <c r="A1269" s="0" t="n">
        <v>39333</v>
      </c>
      <c r="B1269" s="0" t="s">
        <v>4778</v>
      </c>
      <c r="C1269" s="0" t="s">
        <v>31</v>
      </c>
      <c r="D1269" s="0" t="s">
        <v>3671</v>
      </c>
      <c r="E1269" s="0" t="n">
        <v>5.68</v>
      </c>
    </row>
    <row r="1270" customFormat="false" ht="15" hidden="false" customHeight="false" outlineLevel="0" collapsed="false">
      <c r="A1270" s="0" t="n">
        <v>39334</v>
      </c>
      <c r="B1270" s="0" t="s">
        <v>4779</v>
      </c>
      <c r="C1270" s="0" t="s">
        <v>31</v>
      </c>
      <c r="D1270" s="0" t="s">
        <v>3671</v>
      </c>
      <c r="E1270" s="0" t="n">
        <v>5.22</v>
      </c>
    </row>
    <row r="1271" customFormat="false" ht="15" hidden="false" customHeight="false" outlineLevel="0" collapsed="false">
      <c r="A1271" s="0" t="n">
        <v>12015</v>
      </c>
      <c r="B1271" s="0" t="s">
        <v>4780</v>
      </c>
      <c r="C1271" s="0" t="s">
        <v>31</v>
      </c>
      <c r="D1271" s="0" t="s">
        <v>3671</v>
      </c>
      <c r="E1271" s="0" t="n">
        <v>7.63</v>
      </c>
    </row>
    <row r="1272" customFormat="false" ht="15" hidden="false" customHeight="false" outlineLevel="0" collapsed="false">
      <c r="A1272" s="0" t="n">
        <v>12016</v>
      </c>
      <c r="B1272" s="0" t="s">
        <v>4781</v>
      </c>
      <c r="C1272" s="0" t="s">
        <v>31</v>
      </c>
      <c r="D1272" s="0" t="s">
        <v>3671</v>
      </c>
      <c r="E1272" s="0" t="n">
        <v>6.55</v>
      </c>
    </row>
    <row r="1273" customFormat="false" ht="15" hidden="false" customHeight="false" outlineLevel="0" collapsed="false">
      <c r="A1273" s="0" t="n">
        <v>12019</v>
      </c>
      <c r="B1273" s="0" t="s">
        <v>4782</v>
      </c>
      <c r="C1273" s="0" t="s">
        <v>31</v>
      </c>
      <c r="D1273" s="0" t="s">
        <v>3671</v>
      </c>
      <c r="E1273" s="0" t="n">
        <v>7.63</v>
      </c>
    </row>
    <row r="1274" customFormat="false" ht="15" hidden="false" customHeight="false" outlineLevel="0" collapsed="false">
      <c r="A1274" s="0" t="n">
        <v>12020</v>
      </c>
      <c r="B1274" s="0" t="s">
        <v>4783</v>
      </c>
      <c r="C1274" s="0" t="s">
        <v>31</v>
      </c>
      <c r="D1274" s="0" t="s">
        <v>3671</v>
      </c>
      <c r="E1274" s="0" t="n">
        <v>6.55</v>
      </c>
    </row>
    <row r="1275" customFormat="false" ht="15" hidden="false" customHeight="false" outlineLevel="0" collapsed="false">
      <c r="A1275" s="0" t="n">
        <v>39338</v>
      </c>
      <c r="B1275" s="0" t="s">
        <v>4784</v>
      </c>
      <c r="C1275" s="0" t="s">
        <v>31</v>
      </c>
      <c r="D1275" s="0" t="s">
        <v>3671</v>
      </c>
      <c r="E1275" s="0" t="n">
        <v>7.32</v>
      </c>
    </row>
    <row r="1276" customFormat="false" ht="15" hidden="false" customHeight="false" outlineLevel="0" collapsed="false">
      <c r="A1276" s="0" t="n">
        <v>39336</v>
      </c>
      <c r="B1276" s="0" t="s">
        <v>4785</v>
      </c>
      <c r="C1276" s="0" t="s">
        <v>31</v>
      </c>
      <c r="D1276" s="0" t="s">
        <v>3671</v>
      </c>
      <c r="E1276" s="0" t="n">
        <v>6.55</v>
      </c>
    </row>
    <row r="1277" customFormat="false" ht="15" hidden="false" customHeight="false" outlineLevel="0" collapsed="false">
      <c r="A1277" s="0" t="n">
        <v>39337</v>
      </c>
      <c r="B1277" s="0" t="s">
        <v>4786</v>
      </c>
      <c r="C1277" s="0" t="s">
        <v>31</v>
      </c>
      <c r="D1277" s="0" t="s">
        <v>3671</v>
      </c>
      <c r="E1277" s="0" t="n">
        <v>5.82</v>
      </c>
    </row>
    <row r="1278" customFormat="false" ht="15" hidden="false" customHeight="false" outlineLevel="0" collapsed="false">
      <c r="A1278" s="0" t="n">
        <v>39341</v>
      </c>
      <c r="B1278" s="0" t="s">
        <v>4787</v>
      </c>
      <c r="C1278" s="0" t="s">
        <v>31</v>
      </c>
      <c r="D1278" s="0" t="s">
        <v>3671</v>
      </c>
      <c r="E1278" s="0" t="n">
        <v>9.54</v>
      </c>
    </row>
    <row r="1279" customFormat="false" ht="15" hidden="false" customHeight="false" outlineLevel="0" collapsed="false">
      <c r="A1279" s="0" t="n">
        <v>39340</v>
      </c>
      <c r="B1279" s="0" t="s">
        <v>4788</v>
      </c>
      <c r="C1279" s="0" t="s">
        <v>31</v>
      </c>
      <c r="D1279" s="0" t="s">
        <v>3671</v>
      </c>
      <c r="E1279" s="0" t="n">
        <v>7</v>
      </c>
    </row>
    <row r="1280" customFormat="false" ht="15" hidden="false" customHeight="false" outlineLevel="0" collapsed="false">
      <c r="A1280" s="0" t="n">
        <v>39342</v>
      </c>
      <c r="B1280" s="0" t="s">
        <v>4789</v>
      </c>
      <c r="C1280" s="0" t="s">
        <v>31</v>
      </c>
      <c r="D1280" s="0" t="s">
        <v>3671</v>
      </c>
      <c r="E1280" s="0" t="n">
        <v>9.54</v>
      </c>
    </row>
    <row r="1281" customFormat="false" ht="15" hidden="false" customHeight="false" outlineLevel="0" collapsed="false">
      <c r="A1281" s="0" t="n">
        <v>12025</v>
      </c>
      <c r="B1281" s="0" t="s">
        <v>4790</v>
      </c>
      <c r="C1281" s="0" t="s">
        <v>31</v>
      </c>
      <c r="D1281" s="0" t="s">
        <v>3671</v>
      </c>
      <c r="E1281" s="0" t="n">
        <v>7.23</v>
      </c>
    </row>
    <row r="1282" customFormat="false" ht="15" hidden="false" customHeight="false" outlineLevel="0" collapsed="false">
      <c r="A1282" s="0" t="n">
        <v>39345</v>
      </c>
      <c r="B1282" s="0" t="s">
        <v>4791</v>
      </c>
      <c r="C1282" s="0" t="s">
        <v>31</v>
      </c>
      <c r="D1282" s="0" t="s">
        <v>3671</v>
      </c>
      <c r="E1282" s="0" t="n">
        <v>10.9</v>
      </c>
    </row>
    <row r="1283" customFormat="false" ht="15" hidden="false" customHeight="false" outlineLevel="0" collapsed="false">
      <c r="A1283" s="0" t="n">
        <v>39343</v>
      </c>
      <c r="B1283" s="0" t="s">
        <v>4792</v>
      </c>
      <c r="C1283" s="0" t="s">
        <v>31</v>
      </c>
      <c r="D1283" s="0" t="s">
        <v>3671</v>
      </c>
      <c r="E1283" s="0" t="n">
        <v>8.05</v>
      </c>
    </row>
    <row r="1284" customFormat="false" ht="15" hidden="false" customHeight="false" outlineLevel="0" collapsed="false">
      <c r="A1284" s="0" t="n">
        <v>39344</v>
      </c>
      <c r="B1284" s="0" t="s">
        <v>2745</v>
      </c>
      <c r="C1284" s="0" t="s">
        <v>31</v>
      </c>
      <c r="D1284" s="0" t="s">
        <v>3671</v>
      </c>
      <c r="E1284" s="0" t="n">
        <v>7.79</v>
      </c>
    </row>
    <row r="1285" customFormat="false" ht="15" hidden="false" customHeight="false" outlineLevel="0" collapsed="false">
      <c r="A1285" s="0" t="n">
        <v>12623</v>
      </c>
      <c r="B1285" s="0" t="s">
        <v>4793</v>
      </c>
      <c r="C1285" s="0" t="s">
        <v>1455</v>
      </c>
      <c r="D1285" s="0" t="s">
        <v>3671</v>
      </c>
      <c r="E1285" s="0" t="n">
        <v>46.79</v>
      </c>
    </row>
    <row r="1286" customFormat="false" ht="15" hidden="false" customHeight="false" outlineLevel="0" collapsed="false">
      <c r="A1286" s="0" t="n">
        <v>34498</v>
      </c>
      <c r="B1286" s="0" t="s">
        <v>4794</v>
      </c>
      <c r="C1286" s="0" t="s">
        <v>31</v>
      </c>
      <c r="D1286" s="0" t="s">
        <v>3671</v>
      </c>
      <c r="E1286" s="0" t="n">
        <v>87.9</v>
      </c>
    </row>
    <row r="1287" customFormat="false" ht="15" hidden="false" customHeight="false" outlineLevel="0" collapsed="false">
      <c r="A1287" s="0" t="n">
        <v>13244</v>
      </c>
      <c r="B1287" s="0" t="s">
        <v>4795</v>
      </c>
      <c r="C1287" s="0" t="s">
        <v>31</v>
      </c>
      <c r="D1287" s="0" t="s">
        <v>3676</v>
      </c>
      <c r="E1287" s="0" t="n">
        <v>37</v>
      </c>
    </row>
    <row r="1288" customFormat="false" ht="15" hidden="false" customHeight="false" outlineLevel="0" collapsed="false">
      <c r="A1288" s="0" t="n">
        <v>38998</v>
      </c>
      <c r="B1288" s="0" t="s">
        <v>4796</v>
      </c>
      <c r="C1288" s="0" t="s">
        <v>31</v>
      </c>
      <c r="D1288" s="0" t="s">
        <v>3671</v>
      </c>
    </row>
    <row r="1289" customFormat="false" ht="15" hidden="false" customHeight="false" outlineLevel="0" collapsed="false">
      <c r="A1289" s="0" t="n">
        <v>38999</v>
      </c>
      <c r="B1289" s="0" t="s">
        <v>4797</v>
      </c>
      <c r="C1289" s="0" t="s">
        <v>31</v>
      </c>
      <c r="D1289" s="0" t="s">
        <v>3671</v>
      </c>
    </row>
    <row r="1290" customFormat="false" ht="15" hidden="false" customHeight="false" outlineLevel="0" collapsed="false">
      <c r="A1290" s="0" t="n">
        <v>38996</v>
      </c>
      <c r="B1290" s="0" t="s">
        <v>4798</v>
      </c>
      <c r="C1290" s="0" t="s">
        <v>31</v>
      </c>
      <c r="D1290" s="0" t="s">
        <v>3671</v>
      </c>
    </row>
    <row r="1291" customFormat="false" ht="15" hidden="false" customHeight="false" outlineLevel="0" collapsed="false">
      <c r="A1291" s="0" t="n">
        <v>44173</v>
      </c>
      <c r="B1291" s="0" t="s">
        <v>4799</v>
      </c>
      <c r="C1291" s="0" t="s">
        <v>31</v>
      </c>
      <c r="D1291" s="0" t="s">
        <v>3671</v>
      </c>
    </row>
    <row r="1292" customFormat="false" ht="15" hidden="false" customHeight="false" outlineLevel="0" collapsed="false">
      <c r="A1292" s="0" t="n">
        <v>44174</v>
      </c>
      <c r="B1292" s="0" t="s">
        <v>4800</v>
      </c>
      <c r="C1292" s="0" t="s">
        <v>31</v>
      </c>
      <c r="D1292" s="0" t="s">
        <v>3671</v>
      </c>
    </row>
    <row r="1293" customFormat="false" ht="15" hidden="false" customHeight="false" outlineLevel="0" collapsed="false">
      <c r="A1293" s="0" t="n">
        <v>38997</v>
      </c>
      <c r="B1293" s="0" t="s">
        <v>4801</v>
      </c>
      <c r="C1293" s="0" t="s">
        <v>31</v>
      </c>
      <c r="D1293" s="0" t="s">
        <v>3671</v>
      </c>
    </row>
    <row r="1294" customFormat="false" ht="15" hidden="false" customHeight="false" outlineLevel="0" collapsed="false">
      <c r="A1294" s="0" t="n">
        <v>39600</v>
      </c>
      <c r="B1294" s="0" t="s">
        <v>4802</v>
      </c>
      <c r="C1294" s="0" t="s">
        <v>31</v>
      </c>
      <c r="D1294" s="0" t="s">
        <v>3671</v>
      </c>
      <c r="E1294" s="0" t="n">
        <v>15.26</v>
      </c>
    </row>
    <row r="1295" customFormat="false" ht="15" hidden="false" customHeight="false" outlineLevel="0" collapsed="false">
      <c r="A1295" s="0" t="n">
        <v>39601</v>
      </c>
      <c r="B1295" s="0" t="s">
        <v>4803</v>
      </c>
      <c r="C1295" s="0" t="s">
        <v>31</v>
      </c>
      <c r="D1295" s="0" t="s">
        <v>3671</v>
      </c>
      <c r="E1295" s="0" t="n">
        <v>32.36</v>
      </c>
    </row>
    <row r="1296" customFormat="false" ht="15" hidden="false" customHeight="false" outlineLevel="0" collapsed="false">
      <c r="A1296" s="0" t="n">
        <v>39862</v>
      </c>
      <c r="B1296" s="0" t="s">
        <v>4804</v>
      </c>
      <c r="C1296" s="0" t="s">
        <v>31</v>
      </c>
      <c r="D1296" s="0" t="s">
        <v>3671</v>
      </c>
    </row>
    <row r="1297" customFormat="false" ht="15" hidden="false" customHeight="false" outlineLevel="0" collapsed="false">
      <c r="A1297" s="0" t="n">
        <v>39863</v>
      </c>
      <c r="B1297" s="0" t="s">
        <v>4805</v>
      </c>
      <c r="C1297" s="0" t="s">
        <v>31</v>
      </c>
      <c r="D1297" s="0" t="s">
        <v>3671</v>
      </c>
    </row>
    <row r="1298" customFormat="false" ht="15" hidden="false" customHeight="false" outlineLevel="0" collapsed="false">
      <c r="A1298" s="0" t="n">
        <v>39864</v>
      </c>
      <c r="B1298" s="0" t="s">
        <v>4806</v>
      </c>
      <c r="C1298" s="0" t="s">
        <v>31</v>
      </c>
      <c r="D1298" s="0" t="s">
        <v>3671</v>
      </c>
    </row>
    <row r="1299" customFormat="false" ht="15" hidden="false" customHeight="false" outlineLevel="0" collapsed="false">
      <c r="A1299" s="0" t="n">
        <v>39865</v>
      </c>
      <c r="B1299" s="0" t="s">
        <v>4807</v>
      </c>
      <c r="C1299" s="0" t="s">
        <v>31</v>
      </c>
      <c r="D1299" s="0" t="s">
        <v>3671</v>
      </c>
    </row>
    <row r="1300" customFormat="false" ht="15" hidden="false" customHeight="false" outlineLevel="0" collapsed="false">
      <c r="A1300" s="0" t="n">
        <v>2517</v>
      </c>
      <c r="B1300" s="0" t="s">
        <v>4808</v>
      </c>
      <c r="C1300" s="0" t="s">
        <v>31</v>
      </c>
      <c r="D1300" s="0" t="s">
        <v>3671</v>
      </c>
      <c r="E1300" s="0" t="n">
        <v>21.62</v>
      </c>
    </row>
    <row r="1301" customFormat="false" ht="15" hidden="false" customHeight="false" outlineLevel="0" collapsed="false">
      <c r="A1301" s="0" t="n">
        <v>2522</v>
      </c>
      <c r="B1301" s="0" t="s">
        <v>4809</v>
      </c>
      <c r="C1301" s="0" t="s">
        <v>31</v>
      </c>
      <c r="D1301" s="0" t="s">
        <v>3671</v>
      </c>
      <c r="E1301" s="0" t="n">
        <v>13.97</v>
      </c>
    </row>
    <row r="1302" customFormat="false" ht="15" hidden="false" customHeight="false" outlineLevel="0" collapsed="false">
      <c r="A1302" s="0" t="n">
        <v>2516</v>
      </c>
      <c r="B1302" s="0" t="s">
        <v>4810</v>
      </c>
      <c r="C1302" s="0" t="s">
        <v>31</v>
      </c>
      <c r="D1302" s="0" t="s">
        <v>3671</v>
      </c>
      <c r="E1302" s="0" t="n">
        <v>11.22</v>
      </c>
    </row>
    <row r="1303" customFormat="false" ht="15" hidden="false" customHeight="false" outlineLevel="0" collapsed="false">
      <c r="A1303" s="0" t="n">
        <v>2548</v>
      </c>
      <c r="B1303" s="0" t="s">
        <v>4811</v>
      </c>
      <c r="C1303" s="0" t="s">
        <v>31</v>
      </c>
      <c r="D1303" s="0" t="s">
        <v>3671</v>
      </c>
      <c r="E1303" s="0" t="n">
        <v>8.59</v>
      </c>
    </row>
    <row r="1304" customFormat="false" ht="15" hidden="false" customHeight="false" outlineLevel="0" collapsed="false">
      <c r="A1304" s="0" t="n">
        <v>2518</v>
      </c>
      <c r="B1304" s="0" t="s">
        <v>4812</v>
      </c>
      <c r="C1304" s="0" t="s">
        <v>31</v>
      </c>
      <c r="D1304" s="0" t="s">
        <v>3671</v>
      </c>
      <c r="E1304" s="0" t="n">
        <v>102.91</v>
      </c>
    </row>
    <row r="1305" customFormat="false" ht="15" hidden="false" customHeight="false" outlineLevel="0" collapsed="false">
      <c r="A1305" s="0" t="n">
        <v>2521</v>
      </c>
      <c r="B1305" s="0" t="s">
        <v>4813</v>
      </c>
      <c r="C1305" s="0" t="s">
        <v>31</v>
      </c>
      <c r="D1305" s="0" t="s">
        <v>3671</v>
      </c>
      <c r="E1305" s="0" t="n">
        <v>43.81</v>
      </c>
    </row>
    <row r="1306" customFormat="false" ht="15" hidden="false" customHeight="false" outlineLevel="0" collapsed="false">
      <c r="A1306" s="0" t="n">
        <v>2519</v>
      </c>
      <c r="B1306" s="0" t="s">
        <v>4814</v>
      </c>
      <c r="C1306" s="0" t="s">
        <v>31</v>
      </c>
      <c r="D1306" s="0" t="s">
        <v>3671</v>
      </c>
      <c r="E1306" s="0" t="n">
        <v>124.09</v>
      </c>
    </row>
    <row r="1307" customFormat="false" ht="15" hidden="false" customHeight="false" outlineLevel="0" collapsed="false">
      <c r="A1307" s="0" t="n">
        <v>2515</v>
      </c>
      <c r="B1307" s="0" t="s">
        <v>4815</v>
      </c>
      <c r="C1307" s="0" t="s">
        <v>31</v>
      </c>
      <c r="D1307" s="0" t="s">
        <v>3671</v>
      </c>
      <c r="E1307" s="0" t="n">
        <v>9.34</v>
      </c>
    </row>
    <row r="1308" customFormat="false" ht="15" hidden="false" customHeight="false" outlineLevel="0" collapsed="false">
      <c r="A1308" s="0" t="n">
        <v>2520</v>
      </c>
      <c r="B1308" s="0" t="s">
        <v>4816</v>
      </c>
      <c r="C1308" s="0" t="s">
        <v>31</v>
      </c>
      <c r="D1308" s="0" t="s">
        <v>3671</v>
      </c>
      <c r="E1308" s="0" t="n">
        <v>228.39</v>
      </c>
    </row>
    <row r="1309" customFormat="false" ht="15" hidden="false" customHeight="false" outlineLevel="0" collapsed="false">
      <c r="A1309" s="0" t="n">
        <v>1602</v>
      </c>
      <c r="B1309" s="0" t="s">
        <v>4817</v>
      </c>
      <c r="C1309" s="0" t="s">
        <v>31</v>
      </c>
      <c r="D1309" s="0" t="s">
        <v>3671</v>
      </c>
      <c r="E1309" s="0" t="n">
        <v>51.71</v>
      </c>
    </row>
    <row r="1310" customFormat="false" ht="15" hidden="false" customHeight="false" outlineLevel="0" collapsed="false">
      <c r="A1310" s="0" t="n">
        <v>1601</v>
      </c>
      <c r="B1310" s="0" t="s">
        <v>4818</v>
      </c>
      <c r="C1310" s="0" t="s">
        <v>31</v>
      </c>
      <c r="D1310" s="0" t="s">
        <v>3671</v>
      </c>
      <c r="E1310" s="0" t="n">
        <v>46.08</v>
      </c>
    </row>
    <row r="1311" customFormat="false" ht="15" hidden="false" customHeight="false" outlineLevel="0" collapsed="false">
      <c r="A1311" s="0" t="n">
        <v>1600</v>
      </c>
      <c r="B1311" s="0" t="s">
        <v>4819</v>
      </c>
      <c r="C1311" s="0" t="s">
        <v>31</v>
      </c>
      <c r="D1311" s="0" t="s">
        <v>3671</v>
      </c>
      <c r="E1311" s="0" t="n">
        <v>20.13</v>
      </c>
    </row>
    <row r="1312" customFormat="false" ht="15" hidden="false" customHeight="false" outlineLevel="0" collapsed="false">
      <c r="A1312" s="0" t="n">
        <v>1598</v>
      </c>
      <c r="B1312" s="0" t="s">
        <v>4820</v>
      </c>
      <c r="C1312" s="0" t="s">
        <v>31</v>
      </c>
      <c r="D1312" s="0" t="s">
        <v>3671</v>
      </c>
      <c r="E1312" s="0" t="n">
        <v>13.64</v>
      </c>
    </row>
    <row r="1313" customFormat="false" ht="15" hidden="false" customHeight="false" outlineLevel="0" collapsed="false">
      <c r="A1313" s="0" t="n">
        <v>1603</v>
      </c>
      <c r="B1313" s="0" t="s">
        <v>4821</v>
      </c>
      <c r="C1313" s="0" t="s">
        <v>31</v>
      </c>
      <c r="D1313" s="0" t="s">
        <v>3671</v>
      </c>
      <c r="E1313" s="0" t="n">
        <v>78.07</v>
      </c>
    </row>
    <row r="1314" customFormat="false" ht="15" hidden="false" customHeight="false" outlineLevel="0" collapsed="false">
      <c r="A1314" s="0" t="n">
        <v>1599</v>
      </c>
      <c r="B1314" s="0" t="s">
        <v>4822</v>
      </c>
      <c r="C1314" s="0" t="s">
        <v>31</v>
      </c>
      <c r="D1314" s="0" t="s">
        <v>3671</v>
      </c>
      <c r="E1314" s="0" t="n">
        <v>15.82</v>
      </c>
    </row>
    <row r="1315" customFormat="false" ht="15" hidden="false" customHeight="false" outlineLevel="0" collapsed="false">
      <c r="A1315" s="0" t="n">
        <v>1597</v>
      </c>
      <c r="B1315" s="0" t="s">
        <v>4823</v>
      </c>
      <c r="C1315" s="0" t="s">
        <v>31</v>
      </c>
      <c r="D1315" s="0" t="s">
        <v>3671</v>
      </c>
      <c r="E1315" s="0" t="n">
        <v>12.82</v>
      </c>
    </row>
    <row r="1316" customFormat="false" ht="15" hidden="false" customHeight="false" outlineLevel="0" collapsed="false">
      <c r="A1316" s="0" t="n">
        <v>39602</v>
      </c>
      <c r="B1316" s="0" t="s">
        <v>4824</v>
      </c>
      <c r="C1316" s="0" t="s">
        <v>31</v>
      </c>
      <c r="D1316" s="0" t="s">
        <v>3671</v>
      </c>
      <c r="E1316" s="0" t="n">
        <v>1.61</v>
      </c>
    </row>
    <row r="1317" customFormat="false" ht="15" hidden="false" customHeight="false" outlineLevel="0" collapsed="false">
      <c r="A1317" s="0" t="n">
        <v>39603</v>
      </c>
      <c r="B1317" s="0" t="s">
        <v>2544</v>
      </c>
      <c r="C1317" s="0" t="s">
        <v>31</v>
      </c>
      <c r="D1317" s="0" t="s">
        <v>3671</v>
      </c>
      <c r="E1317" s="0" t="n">
        <v>3.45</v>
      </c>
    </row>
    <row r="1318" customFormat="false" ht="15" hidden="false" customHeight="false" outlineLevel="0" collapsed="false">
      <c r="A1318" s="0" t="n">
        <v>11821</v>
      </c>
      <c r="B1318" s="0" t="s">
        <v>4825</v>
      </c>
      <c r="C1318" s="0" t="s">
        <v>31</v>
      </c>
      <c r="D1318" s="0" t="s">
        <v>3671</v>
      </c>
      <c r="E1318" s="0" t="n">
        <v>10.53</v>
      </c>
    </row>
    <row r="1319" customFormat="false" ht="15" hidden="false" customHeight="false" outlineLevel="0" collapsed="false">
      <c r="A1319" s="0" t="n">
        <v>1562</v>
      </c>
      <c r="B1319" s="0" t="s">
        <v>4826</v>
      </c>
      <c r="C1319" s="0" t="s">
        <v>31</v>
      </c>
      <c r="D1319" s="0" t="s">
        <v>3671</v>
      </c>
      <c r="E1319" s="0" t="n">
        <v>17.25</v>
      </c>
    </row>
    <row r="1320" customFormat="false" ht="15" hidden="false" customHeight="false" outlineLevel="0" collapsed="false">
      <c r="A1320" s="0" t="n">
        <v>1563</v>
      </c>
      <c r="B1320" s="0" t="s">
        <v>4827</v>
      </c>
      <c r="C1320" s="0" t="s">
        <v>31</v>
      </c>
      <c r="D1320" s="0" t="s">
        <v>3671</v>
      </c>
      <c r="E1320" s="0" t="n">
        <v>23.14</v>
      </c>
    </row>
    <row r="1321" customFormat="false" ht="15" hidden="false" customHeight="false" outlineLevel="0" collapsed="false">
      <c r="A1321" s="0" t="n">
        <v>11856</v>
      </c>
      <c r="B1321" s="0" t="s">
        <v>4828</v>
      </c>
      <c r="C1321" s="0" t="s">
        <v>31</v>
      </c>
      <c r="D1321" s="0" t="s">
        <v>3676</v>
      </c>
      <c r="E1321" s="0" t="n">
        <v>6.9</v>
      </c>
    </row>
    <row r="1322" customFormat="false" ht="15" hidden="false" customHeight="false" outlineLevel="0" collapsed="false">
      <c r="A1322" s="0" t="n">
        <v>11857</v>
      </c>
      <c r="B1322" s="0" t="s">
        <v>4829</v>
      </c>
      <c r="C1322" s="0" t="s">
        <v>31</v>
      </c>
      <c r="D1322" s="0" t="s">
        <v>3671</v>
      </c>
      <c r="E1322" s="0" t="n">
        <v>36.31</v>
      </c>
    </row>
    <row r="1323" customFormat="false" ht="15" hidden="false" customHeight="false" outlineLevel="0" collapsed="false">
      <c r="A1323" s="0" t="n">
        <v>11858</v>
      </c>
      <c r="B1323" s="0" t="s">
        <v>4830</v>
      </c>
      <c r="C1323" s="0" t="s">
        <v>31</v>
      </c>
      <c r="D1323" s="0" t="s">
        <v>3671</v>
      </c>
      <c r="E1323" s="0" t="n">
        <v>45.07</v>
      </c>
    </row>
    <row r="1324" customFormat="false" ht="15" hidden="false" customHeight="false" outlineLevel="0" collapsed="false">
      <c r="A1324" s="0" t="n">
        <v>1539</v>
      </c>
      <c r="B1324" s="0" t="s">
        <v>4831</v>
      </c>
      <c r="C1324" s="0" t="s">
        <v>31</v>
      </c>
      <c r="D1324" s="0" t="s">
        <v>3671</v>
      </c>
      <c r="E1324" s="0" t="n">
        <v>8.11</v>
      </c>
    </row>
    <row r="1325" customFormat="false" ht="15" hidden="false" customHeight="false" outlineLevel="0" collapsed="false">
      <c r="A1325" s="0" t="n">
        <v>11859</v>
      </c>
      <c r="B1325" s="0" t="s">
        <v>4832</v>
      </c>
      <c r="C1325" s="0" t="s">
        <v>31</v>
      </c>
      <c r="D1325" s="0" t="s">
        <v>3671</v>
      </c>
      <c r="E1325" s="0" t="n">
        <v>61.32</v>
      </c>
    </row>
    <row r="1326" customFormat="false" ht="15" hidden="false" customHeight="false" outlineLevel="0" collapsed="false">
      <c r="A1326" s="0" t="n">
        <v>1550</v>
      </c>
      <c r="B1326" s="0" t="s">
        <v>4833</v>
      </c>
      <c r="C1326" s="0" t="s">
        <v>31</v>
      </c>
      <c r="D1326" s="0" t="s">
        <v>3671</v>
      </c>
      <c r="E1326" s="0" t="n">
        <v>8.55</v>
      </c>
    </row>
    <row r="1327" customFormat="false" ht="15" hidden="false" customHeight="false" outlineLevel="0" collapsed="false">
      <c r="A1327" s="0" t="n">
        <v>11854</v>
      </c>
      <c r="B1327" s="0" t="s">
        <v>4834</v>
      </c>
      <c r="C1327" s="0" t="s">
        <v>31</v>
      </c>
      <c r="D1327" s="0" t="s">
        <v>3671</v>
      </c>
      <c r="E1327" s="0" t="n">
        <v>10.69</v>
      </c>
    </row>
    <row r="1328" customFormat="false" ht="15" hidden="false" customHeight="false" outlineLevel="0" collapsed="false">
      <c r="A1328" s="0" t="n">
        <v>11862</v>
      </c>
      <c r="B1328" s="0" t="s">
        <v>4835</v>
      </c>
      <c r="C1328" s="0" t="s">
        <v>31</v>
      </c>
      <c r="D1328" s="0" t="s">
        <v>3671</v>
      </c>
      <c r="E1328" s="0" t="n">
        <v>14.99</v>
      </c>
    </row>
    <row r="1329" customFormat="false" ht="15" hidden="false" customHeight="false" outlineLevel="0" collapsed="false">
      <c r="A1329" s="0" t="n">
        <v>11863</v>
      </c>
      <c r="B1329" s="0" t="s">
        <v>4836</v>
      </c>
      <c r="C1329" s="0" t="s">
        <v>31</v>
      </c>
      <c r="D1329" s="0" t="s">
        <v>3671</v>
      </c>
      <c r="E1329" s="0" t="n">
        <v>6.05</v>
      </c>
    </row>
    <row r="1330" customFormat="false" ht="15" hidden="false" customHeight="false" outlineLevel="0" collapsed="false">
      <c r="A1330" s="0" t="n">
        <v>11855</v>
      </c>
      <c r="B1330" s="0" t="s">
        <v>2639</v>
      </c>
      <c r="C1330" s="0" t="s">
        <v>31</v>
      </c>
      <c r="D1330" s="0" t="s">
        <v>3671</v>
      </c>
      <c r="E1330" s="0" t="n">
        <v>22.38</v>
      </c>
    </row>
    <row r="1331" customFormat="false" ht="15" hidden="false" customHeight="false" outlineLevel="0" collapsed="false">
      <c r="A1331" s="0" t="n">
        <v>11864</v>
      </c>
      <c r="B1331" s="0" t="s">
        <v>4837</v>
      </c>
      <c r="C1331" s="0" t="s">
        <v>31</v>
      </c>
      <c r="D1331" s="0" t="s">
        <v>3671</v>
      </c>
      <c r="E1331" s="0" t="n">
        <v>33.84</v>
      </c>
    </row>
    <row r="1332" customFormat="false" ht="15" hidden="false" customHeight="false" outlineLevel="0" collapsed="false">
      <c r="A1332" s="0" t="n">
        <v>2527</v>
      </c>
      <c r="B1332" s="0" t="s">
        <v>4838</v>
      </c>
      <c r="C1332" s="0" t="s">
        <v>31</v>
      </c>
      <c r="D1332" s="0" t="s">
        <v>3671</v>
      </c>
      <c r="E1332" s="0" t="n">
        <v>7.74</v>
      </c>
    </row>
    <row r="1333" customFormat="false" ht="15" hidden="false" customHeight="false" outlineLevel="0" collapsed="false">
      <c r="A1333" s="0" t="n">
        <v>2526</v>
      </c>
      <c r="B1333" s="0" t="s">
        <v>4839</v>
      </c>
      <c r="C1333" s="0" t="s">
        <v>31</v>
      </c>
      <c r="D1333" s="0" t="s">
        <v>3671</v>
      </c>
      <c r="E1333" s="0" t="n">
        <v>4.96</v>
      </c>
    </row>
    <row r="1334" customFormat="false" ht="15" hidden="false" customHeight="false" outlineLevel="0" collapsed="false">
      <c r="A1334" s="0" t="n">
        <v>2483</v>
      </c>
      <c r="B1334" s="0" t="s">
        <v>4840</v>
      </c>
      <c r="C1334" s="0" t="s">
        <v>31</v>
      </c>
      <c r="D1334" s="0" t="s">
        <v>3671</v>
      </c>
      <c r="E1334" s="0" t="n">
        <v>3.53</v>
      </c>
    </row>
    <row r="1335" customFormat="false" ht="15" hidden="false" customHeight="false" outlineLevel="0" collapsed="false">
      <c r="A1335" s="0" t="n">
        <v>2487</v>
      </c>
      <c r="B1335" s="0" t="s">
        <v>4841</v>
      </c>
      <c r="C1335" s="0" t="s">
        <v>31</v>
      </c>
      <c r="D1335" s="0" t="s">
        <v>3671</v>
      </c>
      <c r="E1335" s="0" t="n">
        <v>1.69</v>
      </c>
    </row>
    <row r="1336" customFormat="false" ht="15" hidden="false" customHeight="false" outlineLevel="0" collapsed="false">
      <c r="A1336" s="0" t="n">
        <v>2528</v>
      </c>
      <c r="B1336" s="0" t="s">
        <v>4842</v>
      </c>
      <c r="C1336" s="0" t="s">
        <v>31</v>
      </c>
      <c r="D1336" s="0" t="s">
        <v>3671</v>
      </c>
      <c r="E1336" s="0" t="n">
        <v>19.47</v>
      </c>
    </row>
    <row r="1337" customFormat="false" ht="15" hidden="false" customHeight="false" outlineLevel="0" collapsed="false">
      <c r="A1337" s="0" t="n">
        <v>2489</v>
      </c>
      <c r="B1337" s="0" t="s">
        <v>4843</v>
      </c>
      <c r="C1337" s="0" t="s">
        <v>31</v>
      </c>
      <c r="D1337" s="0" t="s">
        <v>3671</v>
      </c>
      <c r="E1337" s="0" t="n">
        <v>8.57</v>
      </c>
    </row>
    <row r="1338" customFormat="false" ht="15" hidden="false" customHeight="false" outlineLevel="0" collapsed="false">
      <c r="A1338" s="0" t="n">
        <v>2484</v>
      </c>
      <c r="B1338" s="0" t="s">
        <v>4844</v>
      </c>
      <c r="C1338" s="0" t="s">
        <v>31</v>
      </c>
      <c r="D1338" s="0" t="s">
        <v>3671</v>
      </c>
      <c r="E1338" s="0" t="n">
        <v>28.28</v>
      </c>
    </row>
    <row r="1339" customFormat="false" ht="15" hidden="false" customHeight="false" outlineLevel="0" collapsed="false">
      <c r="A1339" s="0" t="n">
        <v>2488</v>
      </c>
      <c r="B1339" s="0" t="s">
        <v>4845</v>
      </c>
      <c r="C1339" s="0" t="s">
        <v>31</v>
      </c>
      <c r="D1339" s="0" t="s">
        <v>3671</v>
      </c>
      <c r="E1339" s="0" t="n">
        <v>1.98</v>
      </c>
    </row>
    <row r="1340" customFormat="false" ht="15" hidden="false" customHeight="false" outlineLevel="0" collapsed="false">
      <c r="A1340" s="0" t="n">
        <v>2485</v>
      </c>
      <c r="B1340" s="0" t="s">
        <v>4846</v>
      </c>
      <c r="C1340" s="0" t="s">
        <v>31</v>
      </c>
      <c r="D1340" s="0" t="s">
        <v>3671</v>
      </c>
      <c r="E1340" s="0" t="n">
        <v>44.33</v>
      </c>
    </row>
    <row r="1341" customFormat="false" ht="15" hidden="false" customHeight="false" outlineLevel="0" collapsed="false">
      <c r="A1341" s="0" t="n">
        <v>44247</v>
      </c>
      <c r="B1341" s="0" t="s">
        <v>4847</v>
      </c>
      <c r="C1341" s="0" t="s">
        <v>31</v>
      </c>
      <c r="D1341" s="0" t="s">
        <v>3671</v>
      </c>
      <c r="E1341" s="0" t="n">
        <v>1503.79</v>
      </c>
    </row>
    <row r="1342" customFormat="false" ht="15" hidden="false" customHeight="false" outlineLevel="0" collapsed="false">
      <c r="A1342" s="0" t="n">
        <v>38005</v>
      </c>
      <c r="B1342" s="0" t="s">
        <v>4848</v>
      </c>
      <c r="C1342" s="0" t="s">
        <v>31</v>
      </c>
      <c r="D1342" s="0" t="s">
        <v>3671</v>
      </c>
      <c r="E1342" s="0" t="n">
        <v>17.88</v>
      </c>
    </row>
    <row r="1343" customFormat="false" ht="15" hidden="false" customHeight="false" outlineLevel="0" collapsed="false">
      <c r="A1343" s="0" t="n">
        <v>38006</v>
      </c>
      <c r="B1343" s="0" t="s">
        <v>4849</v>
      </c>
      <c r="C1343" s="0" t="s">
        <v>31</v>
      </c>
      <c r="D1343" s="0" t="s">
        <v>3671</v>
      </c>
      <c r="E1343" s="0" t="n">
        <v>23.76</v>
      </c>
    </row>
    <row r="1344" customFormat="false" ht="15" hidden="false" customHeight="false" outlineLevel="0" collapsed="false">
      <c r="A1344" s="0" t="n">
        <v>38428</v>
      </c>
      <c r="B1344" s="0" t="s">
        <v>4850</v>
      </c>
      <c r="C1344" s="0" t="s">
        <v>31</v>
      </c>
      <c r="D1344" s="0" t="s">
        <v>3671</v>
      </c>
      <c r="E1344" s="0" t="n">
        <v>21.28</v>
      </c>
    </row>
    <row r="1345" customFormat="false" ht="15" hidden="false" customHeight="false" outlineLevel="0" collapsed="false">
      <c r="A1345" s="0" t="n">
        <v>38007</v>
      </c>
      <c r="B1345" s="0" t="s">
        <v>4851</v>
      </c>
      <c r="C1345" s="0" t="s">
        <v>31</v>
      </c>
      <c r="D1345" s="0" t="s">
        <v>3671</v>
      </c>
      <c r="E1345" s="0" t="n">
        <v>27.41</v>
      </c>
    </row>
    <row r="1346" customFormat="false" ht="15" hidden="false" customHeight="false" outlineLevel="0" collapsed="false">
      <c r="A1346" s="0" t="n">
        <v>38008</v>
      </c>
      <c r="B1346" s="0" t="s">
        <v>4852</v>
      </c>
      <c r="C1346" s="0" t="s">
        <v>31</v>
      </c>
      <c r="D1346" s="0" t="s">
        <v>3671</v>
      </c>
      <c r="E1346" s="0" t="n">
        <v>43.87</v>
      </c>
    </row>
    <row r="1347" customFormat="false" ht="15" hidden="false" customHeight="false" outlineLevel="0" collapsed="false">
      <c r="A1347" s="0" t="n">
        <v>38009</v>
      </c>
      <c r="B1347" s="0" t="s">
        <v>4853</v>
      </c>
      <c r="C1347" s="0" t="s">
        <v>31</v>
      </c>
      <c r="D1347" s="0" t="s">
        <v>3671</v>
      </c>
      <c r="E1347" s="0" t="n">
        <v>53.7</v>
      </c>
    </row>
    <row r="1348" customFormat="false" ht="15" hidden="false" customHeight="false" outlineLevel="0" collapsed="false">
      <c r="A1348" s="0" t="n">
        <v>44248</v>
      </c>
      <c r="B1348" s="0" t="s">
        <v>4854</v>
      </c>
      <c r="C1348" s="0" t="s">
        <v>31</v>
      </c>
      <c r="D1348" s="0" t="s">
        <v>3671</v>
      </c>
      <c r="E1348" s="0" t="n">
        <v>87.54</v>
      </c>
    </row>
    <row r="1349" customFormat="false" ht="15" hidden="false" customHeight="false" outlineLevel="0" collapsed="false">
      <c r="A1349" s="0" t="n">
        <v>44249</v>
      </c>
      <c r="B1349" s="0" t="s">
        <v>4855</v>
      </c>
      <c r="C1349" s="0" t="s">
        <v>31</v>
      </c>
      <c r="D1349" s="0" t="s">
        <v>3671</v>
      </c>
      <c r="E1349" s="0" t="n">
        <v>337.73</v>
      </c>
    </row>
    <row r="1350" customFormat="false" ht="15" hidden="false" customHeight="false" outlineLevel="0" collapsed="false">
      <c r="A1350" s="0" t="n">
        <v>44250</v>
      </c>
      <c r="B1350" s="0" t="s">
        <v>4856</v>
      </c>
      <c r="C1350" s="0" t="s">
        <v>31</v>
      </c>
      <c r="D1350" s="0" t="s">
        <v>3671</v>
      </c>
      <c r="E1350" s="0" t="n">
        <v>490.46</v>
      </c>
    </row>
    <row r="1351" customFormat="false" ht="15" hidden="false" customHeight="false" outlineLevel="0" collapsed="false">
      <c r="A1351" s="0" t="n">
        <v>39279</v>
      </c>
      <c r="B1351" s="0" t="s">
        <v>4857</v>
      </c>
      <c r="C1351" s="0" t="s">
        <v>31</v>
      </c>
      <c r="D1351" s="0" t="s">
        <v>3671</v>
      </c>
    </row>
    <row r="1352" customFormat="false" ht="15" hidden="false" customHeight="false" outlineLevel="0" collapsed="false">
      <c r="A1352" s="0" t="n">
        <v>39280</v>
      </c>
      <c r="B1352" s="0" t="s">
        <v>2759</v>
      </c>
      <c r="C1352" s="0" t="s">
        <v>31</v>
      </c>
      <c r="D1352" s="0" t="s">
        <v>3671</v>
      </c>
    </row>
    <row r="1353" customFormat="false" ht="15" hidden="false" customHeight="false" outlineLevel="0" collapsed="false">
      <c r="A1353" s="0" t="n">
        <v>39281</v>
      </c>
      <c r="B1353" s="0" t="s">
        <v>4858</v>
      </c>
      <c r="C1353" s="0" t="s">
        <v>31</v>
      </c>
      <c r="D1353" s="0" t="s">
        <v>3671</v>
      </c>
    </row>
    <row r="1354" customFormat="false" ht="15" hidden="false" customHeight="false" outlineLevel="0" collapsed="false">
      <c r="A1354" s="0" t="n">
        <v>39282</v>
      </c>
      <c r="B1354" s="0" t="s">
        <v>4859</v>
      </c>
      <c r="C1354" s="0" t="s">
        <v>31</v>
      </c>
      <c r="D1354" s="0" t="s">
        <v>3671</v>
      </c>
    </row>
    <row r="1355" customFormat="false" ht="15" hidden="false" customHeight="false" outlineLevel="0" collapsed="false">
      <c r="A1355" s="0" t="n">
        <v>38844</v>
      </c>
      <c r="B1355" s="0" t="s">
        <v>4860</v>
      </c>
      <c r="C1355" s="0" t="s">
        <v>31</v>
      </c>
      <c r="D1355" s="0" t="s">
        <v>3676</v>
      </c>
    </row>
    <row r="1356" customFormat="false" ht="15" hidden="false" customHeight="false" outlineLevel="0" collapsed="false">
      <c r="A1356" s="0" t="n">
        <v>38846</v>
      </c>
      <c r="B1356" s="0" t="s">
        <v>4861</v>
      </c>
      <c r="C1356" s="0" t="s">
        <v>31</v>
      </c>
      <c r="D1356" s="0" t="s">
        <v>3671</v>
      </c>
    </row>
    <row r="1357" customFormat="false" ht="15" hidden="false" customHeight="false" outlineLevel="0" collapsed="false">
      <c r="A1357" s="0" t="n">
        <v>38847</v>
      </c>
      <c r="B1357" s="0" t="s">
        <v>4862</v>
      </c>
      <c r="C1357" s="0" t="s">
        <v>31</v>
      </c>
      <c r="D1357" s="0" t="s">
        <v>3671</v>
      </c>
    </row>
    <row r="1358" customFormat="false" ht="15" hidden="false" customHeight="false" outlineLevel="0" collapsed="false">
      <c r="A1358" s="0" t="n">
        <v>38850</v>
      </c>
      <c r="B1358" s="0" t="s">
        <v>4863</v>
      </c>
      <c r="C1358" s="0" t="s">
        <v>31</v>
      </c>
      <c r="D1358" s="0" t="s">
        <v>3671</v>
      </c>
    </row>
    <row r="1359" customFormat="false" ht="15" hidden="false" customHeight="false" outlineLevel="0" collapsed="false">
      <c r="A1359" s="0" t="n">
        <v>38848</v>
      </c>
      <c r="B1359" s="0" t="s">
        <v>4864</v>
      </c>
      <c r="C1359" s="0" t="s">
        <v>31</v>
      </c>
      <c r="D1359" s="0" t="s">
        <v>3671</v>
      </c>
    </row>
    <row r="1360" customFormat="false" ht="15" hidden="false" customHeight="false" outlineLevel="0" collapsed="false">
      <c r="A1360" s="0" t="n">
        <v>38851</v>
      </c>
      <c r="B1360" s="0" t="s">
        <v>4865</v>
      </c>
      <c r="C1360" s="0" t="s">
        <v>31</v>
      </c>
      <c r="D1360" s="0" t="s">
        <v>3671</v>
      </c>
    </row>
    <row r="1361" customFormat="false" ht="15" hidden="false" customHeight="false" outlineLevel="0" collapsed="false">
      <c r="A1361" s="0" t="n">
        <v>38854</v>
      </c>
      <c r="B1361" s="0" t="s">
        <v>4866</v>
      </c>
      <c r="C1361" s="0" t="s">
        <v>31</v>
      </c>
      <c r="D1361" s="0" t="s">
        <v>3671</v>
      </c>
    </row>
    <row r="1362" customFormat="false" ht="15" hidden="false" customHeight="false" outlineLevel="0" collapsed="false">
      <c r="A1362" s="0" t="n">
        <v>3104</v>
      </c>
      <c r="B1362" s="0" t="s">
        <v>1859</v>
      </c>
      <c r="C1362" s="0" t="s">
        <v>1538</v>
      </c>
      <c r="D1362" s="0" t="s">
        <v>3671</v>
      </c>
      <c r="E1362" s="0" t="n">
        <v>199.25</v>
      </c>
    </row>
    <row r="1363" customFormat="false" ht="15" hidden="false" customHeight="false" outlineLevel="0" collapsed="false">
      <c r="A1363" s="0" t="n">
        <v>1607</v>
      </c>
      <c r="B1363" s="0" t="s">
        <v>1537</v>
      </c>
      <c r="C1363" s="0" t="s">
        <v>1538</v>
      </c>
      <c r="D1363" s="0" t="s">
        <v>3671</v>
      </c>
      <c r="E1363" s="0" t="n">
        <v>0.2</v>
      </c>
    </row>
    <row r="1364" customFormat="false" ht="15" hidden="false" customHeight="false" outlineLevel="0" collapsed="false">
      <c r="A1364" s="0" t="n">
        <v>38169</v>
      </c>
      <c r="B1364" s="0" t="s">
        <v>4867</v>
      </c>
      <c r="C1364" s="0" t="s">
        <v>1538</v>
      </c>
      <c r="D1364" s="0" t="s">
        <v>3671</v>
      </c>
      <c r="E1364" s="0" t="n">
        <v>91.1</v>
      </c>
    </row>
    <row r="1365" customFormat="false" ht="15" hidden="false" customHeight="false" outlineLevel="0" collapsed="false">
      <c r="A1365" s="0" t="n">
        <v>6142</v>
      </c>
      <c r="B1365" s="0" t="s">
        <v>2025</v>
      </c>
      <c r="C1365" s="0" t="s">
        <v>31</v>
      </c>
      <c r="D1365" s="0" t="s">
        <v>3671</v>
      </c>
      <c r="E1365" s="0" t="n">
        <v>9.44</v>
      </c>
    </row>
    <row r="1366" customFormat="false" ht="15" hidden="false" customHeight="false" outlineLevel="0" collapsed="false">
      <c r="A1366" s="0" t="n">
        <v>11686</v>
      </c>
      <c r="B1366" s="0" t="s">
        <v>4868</v>
      </c>
      <c r="C1366" s="0" t="s">
        <v>31</v>
      </c>
      <c r="D1366" s="0" t="s">
        <v>3671</v>
      </c>
      <c r="E1366" s="0" t="n">
        <v>13.1</v>
      </c>
    </row>
    <row r="1367" customFormat="false" ht="15" hidden="false" customHeight="false" outlineLevel="0" collapsed="false">
      <c r="A1367" s="0" t="n">
        <v>37598</v>
      </c>
      <c r="B1367" s="0" t="s">
        <v>4869</v>
      </c>
      <c r="C1367" s="0" t="s">
        <v>31</v>
      </c>
      <c r="D1367" s="0" t="s">
        <v>3671</v>
      </c>
    </row>
    <row r="1368" customFormat="false" ht="15" hidden="false" customHeight="false" outlineLevel="0" collapsed="false">
      <c r="A1368" s="0" t="n">
        <v>25398</v>
      </c>
      <c r="B1368" s="0" t="s">
        <v>4870</v>
      </c>
      <c r="C1368" s="0" t="s">
        <v>31</v>
      </c>
      <c r="D1368" s="0" t="s">
        <v>3671</v>
      </c>
    </row>
    <row r="1369" customFormat="false" ht="15" hidden="false" customHeight="false" outlineLevel="0" collapsed="false">
      <c r="A1369" s="0" t="n">
        <v>25399</v>
      </c>
      <c r="B1369" s="0" t="s">
        <v>4871</v>
      </c>
      <c r="C1369" s="0" t="s">
        <v>31</v>
      </c>
      <c r="D1369" s="0" t="s">
        <v>3671</v>
      </c>
    </row>
    <row r="1370" customFormat="false" ht="15" hidden="false" customHeight="false" outlineLevel="0" collapsed="false">
      <c r="A1370" s="0" t="n">
        <v>43440</v>
      </c>
      <c r="B1370" s="0" t="s">
        <v>4872</v>
      </c>
      <c r="C1370" s="0" t="s">
        <v>31</v>
      </c>
      <c r="D1370" s="0" t="s">
        <v>3671</v>
      </c>
    </row>
    <row r="1371" customFormat="false" ht="15" hidden="false" customHeight="false" outlineLevel="0" collapsed="false">
      <c r="A1371" s="0" t="n">
        <v>10667</v>
      </c>
      <c r="B1371" s="0" t="s">
        <v>4873</v>
      </c>
      <c r="C1371" s="0" t="s">
        <v>31</v>
      </c>
      <c r="D1371" s="0" t="s">
        <v>3676</v>
      </c>
    </row>
    <row r="1372" customFormat="false" ht="15" hidden="false" customHeight="false" outlineLevel="0" collapsed="false">
      <c r="A1372" s="0" t="n">
        <v>1613</v>
      </c>
      <c r="B1372" s="0" t="s">
        <v>4874</v>
      </c>
      <c r="C1372" s="0" t="s">
        <v>31</v>
      </c>
      <c r="D1372" s="0" t="s">
        <v>3671</v>
      </c>
      <c r="E1372" s="0" t="n">
        <v>1040.76</v>
      </c>
    </row>
    <row r="1373" customFormat="false" ht="15" hidden="false" customHeight="false" outlineLevel="0" collapsed="false">
      <c r="A1373" s="0" t="n">
        <v>1626</v>
      </c>
      <c r="B1373" s="0" t="s">
        <v>4875</v>
      </c>
      <c r="C1373" s="0" t="s">
        <v>31</v>
      </c>
      <c r="D1373" s="0" t="s">
        <v>3671</v>
      </c>
      <c r="E1373" s="0" t="n">
        <v>1556.59</v>
      </c>
    </row>
    <row r="1374" customFormat="false" ht="15" hidden="false" customHeight="false" outlineLevel="0" collapsed="false">
      <c r="A1374" s="0" t="n">
        <v>1625</v>
      </c>
      <c r="B1374" s="0" t="s">
        <v>4876</v>
      </c>
      <c r="C1374" s="0" t="s">
        <v>31</v>
      </c>
      <c r="D1374" s="0" t="s">
        <v>3671</v>
      </c>
      <c r="E1374" s="0" t="n">
        <v>108.72</v>
      </c>
    </row>
    <row r="1375" customFormat="false" ht="15" hidden="false" customHeight="false" outlineLevel="0" collapsed="false">
      <c r="A1375" s="0" t="n">
        <v>1622</v>
      </c>
      <c r="B1375" s="0" t="s">
        <v>4877</v>
      </c>
      <c r="C1375" s="0" t="s">
        <v>31</v>
      </c>
      <c r="D1375" s="0" t="s">
        <v>3671</v>
      </c>
      <c r="E1375" s="0" t="n">
        <v>3512.59</v>
      </c>
    </row>
    <row r="1376" customFormat="false" ht="15" hidden="false" customHeight="false" outlineLevel="0" collapsed="false">
      <c r="A1376" s="0" t="n">
        <v>1620</v>
      </c>
      <c r="B1376" s="0" t="s">
        <v>4878</v>
      </c>
      <c r="C1376" s="0" t="s">
        <v>31</v>
      </c>
      <c r="D1376" s="0" t="s">
        <v>3671</v>
      </c>
      <c r="E1376" s="0" t="n">
        <v>229.02</v>
      </c>
    </row>
    <row r="1377" customFormat="false" ht="15" hidden="false" customHeight="false" outlineLevel="0" collapsed="false">
      <c r="A1377" s="0" t="n">
        <v>1629</v>
      </c>
      <c r="B1377" s="0" t="s">
        <v>4879</v>
      </c>
      <c r="C1377" s="0" t="s">
        <v>31</v>
      </c>
      <c r="D1377" s="0" t="s">
        <v>3671</v>
      </c>
      <c r="E1377" s="0" t="n">
        <v>8548.8</v>
      </c>
    </row>
    <row r="1378" customFormat="false" ht="15" hidden="false" customHeight="false" outlineLevel="0" collapsed="false">
      <c r="A1378" s="0" t="n">
        <v>1627</v>
      </c>
      <c r="B1378" s="0" t="s">
        <v>4880</v>
      </c>
      <c r="C1378" s="0" t="s">
        <v>31</v>
      </c>
      <c r="D1378" s="0" t="s">
        <v>3671</v>
      </c>
      <c r="E1378" s="0" t="n">
        <v>437.77</v>
      </c>
    </row>
    <row r="1379" customFormat="false" ht="15" hidden="false" customHeight="false" outlineLevel="0" collapsed="false">
      <c r="A1379" s="0" t="n">
        <v>1623</v>
      </c>
      <c r="B1379" s="0" t="s">
        <v>4881</v>
      </c>
      <c r="C1379" s="0" t="s">
        <v>31</v>
      </c>
      <c r="D1379" s="0" t="s">
        <v>3671</v>
      </c>
      <c r="E1379" s="0" t="n">
        <v>88.66</v>
      </c>
    </row>
    <row r="1380" customFormat="false" ht="15" hidden="false" customHeight="false" outlineLevel="0" collapsed="false">
      <c r="A1380" s="0" t="n">
        <v>1619</v>
      </c>
      <c r="B1380" s="0" t="s">
        <v>4882</v>
      </c>
      <c r="C1380" s="0" t="s">
        <v>31</v>
      </c>
      <c r="D1380" s="0" t="s">
        <v>3671</v>
      </c>
      <c r="E1380" s="0" t="n">
        <v>121.96</v>
      </c>
    </row>
    <row r="1381" customFormat="false" ht="15" hidden="false" customHeight="false" outlineLevel="0" collapsed="false">
      <c r="A1381" s="0" t="n">
        <v>1630</v>
      </c>
      <c r="B1381" s="0" t="s">
        <v>4883</v>
      </c>
      <c r="C1381" s="0" t="s">
        <v>31</v>
      </c>
      <c r="D1381" s="0" t="s">
        <v>3671</v>
      </c>
      <c r="E1381" s="0" t="n">
        <v>2685.44</v>
      </c>
    </row>
    <row r="1382" customFormat="false" ht="15" hidden="false" customHeight="false" outlineLevel="0" collapsed="false">
      <c r="A1382" s="0" t="n">
        <v>1616</v>
      </c>
      <c r="B1382" s="0" t="s">
        <v>4884</v>
      </c>
      <c r="C1382" s="0" t="s">
        <v>31</v>
      </c>
      <c r="D1382" s="0" t="s">
        <v>3671</v>
      </c>
      <c r="E1382" s="0" t="n">
        <v>4130.26</v>
      </c>
    </row>
    <row r="1383" customFormat="false" ht="15" hidden="false" customHeight="false" outlineLevel="0" collapsed="false">
      <c r="A1383" s="0" t="n">
        <v>1614</v>
      </c>
      <c r="B1383" s="0" t="s">
        <v>4885</v>
      </c>
      <c r="C1383" s="0" t="s">
        <v>31</v>
      </c>
      <c r="D1383" s="0" t="s">
        <v>3671</v>
      </c>
      <c r="E1383" s="0" t="n">
        <v>188.76</v>
      </c>
    </row>
    <row r="1384" customFormat="false" ht="15" hidden="false" customHeight="false" outlineLevel="0" collapsed="false">
      <c r="A1384" s="0" t="n">
        <v>1617</v>
      </c>
      <c r="B1384" s="0" t="s">
        <v>4886</v>
      </c>
      <c r="C1384" s="0" t="s">
        <v>31</v>
      </c>
      <c r="D1384" s="0" t="s">
        <v>3671</v>
      </c>
      <c r="E1384" s="0" t="n">
        <v>4930.64</v>
      </c>
    </row>
    <row r="1385" customFormat="false" ht="15" hidden="false" customHeight="false" outlineLevel="0" collapsed="false">
      <c r="A1385" s="0" t="n">
        <v>1621</v>
      </c>
      <c r="B1385" s="0" t="s">
        <v>4887</v>
      </c>
      <c r="C1385" s="0" t="s">
        <v>31</v>
      </c>
      <c r="D1385" s="0" t="s">
        <v>3671</v>
      </c>
      <c r="E1385" s="0" t="n">
        <v>337.6</v>
      </c>
    </row>
    <row r="1386" customFormat="false" ht="15" hidden="false" customHeight="false" outlineLevel="0" collapsed="false">
      <c r="A1386" s="0" t="n">
        <v>1624</v>
      </c>
      <c r="B1386" s="0" t="s">
        <v>4888</v>
      </c>
      <c r="C1386" s="0" t="s">
        <v>31</v>
      </c>
      <c r="D1386" s="0" t="s">
        <v>3671</v>
      </c>
      <c r="E1386" s="0" t="n">
        <v>12119.76</v>
      </c>
    </row>
    <row r="1387" customFormat="false" ht="15" hidden="false" customHeight="false" outlineLevel="0" collapsed="false">
      <c r="A1387" s="0" t="n">
        <v>1615</v>
      </c>
      <c r="B1387" s="0" t="s">
        <v>4889</v>
      </c>
      <c r="C1387" s="0" t="s">
        <v>31</v>
      </c>
      <c r="D1387" s="0" t="s">
        <v>3671</v>
      </c>
      <c r="E1387" s="0" t="n">
        <v>633.97</v>
      </c>
    </row>
    <row r="1388" customFormat="false" ht="15" hidden="false" customHeight="false" outlineLevel="0" collapsed="false">
      <c r="A1388" s="0" t="n">
        <v>1612</v>
      </c>
      <c r="B1388" s="0" t="s">
        <v>4890</v>
      </c>
      <c r="C1388" s="0" t="s">
        <v>31</v>
      </c>
      <c r="D1388" s="0" t="s">
        <v>3676</v>
      </c>
      <c r="E1388" s="0" t="n">
        <v>83.5</v>
      </c>
    </row>
    <row r="1389" customFormat="false" ht="15" hidden="false" customHeight="false" outlineLevel="0" collapsed="false">
      <c r="A1389" s="0" t="n">
        <v>1618</v>
      </c>
      <c r="B1389" s="0" t="s">
        <v>4891</v>
      </c>
      <c r="C1389" s="0" t="s">
        <v>31</v>
      </c>
      <c r="D1389" s="0" t="s">
        <v>3671</v>
      </c>
      <c r="E1389" s="0" t="n">
        <v>871.17</v>
      </c>
    </row>
    <row r="1390" customFormat="false" ht="15" hidden="false" customHeight="false" outlineLevel="0" collapsed="false">
      <c r="A1390" s="0" t="n">
        <v>14211</v>
      </c>
      <c r="B1390" s="0" t="s">
        <v>4892</v>
      </c>
      <c r="C1390" s="0" t="s">
        <v>31</v>
      </c>
      <c r="D1390" s="0" t="s">
        <v>3671</v>
      </c>
    </row>
    <row r="1391" customFormat="false" ht="15" hidden="false" customHeight="false" outlineLevel="0" collapsed="false">
      <c r="A1391" s="0" t="n">
        <v>43657</v>
      </c>
      <c r="B1391" s="0" t="s">
        <v>4893</v>
      </c>
      <c r="C1391" s="0" t="s">
        <v>1455</v>
      </c>
      <c r="D1391" s="0" t="s">
        <v>3671</v>
      </c>
    </row>
    <row r="1392" customFormat="false" ht="15" hidden="false" customHeight="false" outlineLevel="0" collapsed="false">
      <c r="A1392" s="0" t="n">
        <v>38200</v>
      </c>
      <c r="B1392" s="0" t="s">
        <v>4894</v>
      </c>
      <c r="C1392" s="0" t="s">
        <v>4895</v>
      </c>
      <c r="D1392" s="0" t="s">
        <v>3671</v>
      </c>
      <c r="E1392" s="0" t="n">
        <v>558.71</v>
      </c>
    </row>
    <row r="1393" customFormat="false" ht="15" hidden="false" customHeight="false" outlineLevel="0" collapsed="false">
      <c r="A1393" s="0" t="n">
        <v>39269</v>
      </c>
      <c r="B1393" s="0" t="s">
        <v>4896</v>
      </c>
      <c r="C1393" s="0" t="s">
        <v>1455</v>
      </c>
      <c r="D1393" s="0" t="s">
        <v>3671</v>
      </c>
      <c r="E1393" s="0" t="n">
        <v>1.43</v>
      </c>
    </row>
    <row r="1394" customFormat="false" ht="15" hidden="false" customHeight="false" outlineLevel="0" collapsed="false">
      <c r="A1394" s="0" t="n">
        <v>11889</v>
      </c>
      <c r="B1394" s="0" t="s">
        <v>4897</v>
      </c>
      <c r="C1394" s="0" t="s">
        <v>1455</v>
      </c>
      <c r="D1394" s="0" t="s">
        <v>3671</v>
      </c>
      <c r="E1394" s="0" t="n">
        <v>1.96</v>
      </c>
    </row>
    <row r="1395" customFormat="false" ht="15" hidden="false" customHeight="false" outlineLevel="0" collapsed="false">
      <c r="A1395" s="0" t="n">
        <v>39270</v>
      </c>
      <c r="B1395" s="0" t="s">
        <v>4898</v>
      </c>
      <c r="C1395" s="0" t="s">
        <v>1455</v>
      </c>
      <c r="D1395" s="0" t="s">
        <v>3671</v>
      </c>
      <c r="E1395" s="0" t="n">
        <v>2.55</v>
      </c>
    </row>
    <row r="1396" customFormat="false" ht="15" hidden="false" customHeight="false" outlineLevel="0" collapsed="false">
      <c r="A1396" s="0" t="n">
        <v>11890</v>
      </c>
      <c r="B1396" s="0" t="s">
        <v>4899</v>
      </c>
      <c r="C1396" s="0" t="s">
        <v>1455</v>
      </c>
      <c r="D1396" s="0" t="s">
        <v>3671</v>
      </c>
      <c r="E1396" s="0" t="n">
        <v>3.47</v>
      </c>
    </row>
    <row r="1397" customFormat="false" ht="15" hidden="false" customHeight="false" outlineLevel="0" collapsed="false">
      <c r="A1397" s="0" t="n">
        <v>11891</v>
      </c>
      <c r="B1397" s="0" t="s">
        <v>4900</v>
      </c>
      <c r="C1397" s="0" t="s">
        <v>1455</v>
      </c>
      <c r="D1397" s="0" t="s">
        <v>3671</v>
      </c>
      <c r="E1397" s="0" t="n">
        <v>5.63</v>
      </c>
    </row>
    <row r="1398" customFormat="false" ht="15" hidden="false" customHeight="false" outlineLevel="0" collapsed="false">
      <c r="A1398" s="0" t="n">
        <v>11892</v>
      </c>
      <c r="B1398" s="0" t="s">
        <v>4901</v>
      </c>
      <c r="C1398" s="0" t="s">
        <v>1455</v>
      </c>
      <c r="D1398" s="0" t="s">
        <v>3671</v>
      </c>
      <c r="E1398" s="0" t="n">
        <v>9.2</v>
      </c>
    </row>
    <row r="1399" customFormat="false" ht="15" hidden="false" customHeight="false" outlineLevel="0" collapsed="false">
      <c r="A1399" s="0" t="n">
        <v>37601</v>
      </c>
      <c r="B1399" s="0" t="s">
        <v>4902</v>
      </c>
      <c r="C1399" s="0" t="s">
        <v>1455</v>
      </c>
      <c r="D1399" s="0" t="s">
        <v>3671</v>
      </c>
    </row>
    <row r="1400" customFormat="false" ht="15" hidden="false" customHeight="false" outlineLevel="0" collapsed="false">
      <c r="A1400" s="0" t="n">
        <v>1634</v>
      </c>
      <c r="B1400" s="0" t="s">
        <v>4903</v>
      </c>
      <c r="C1400" s="0" t="s">
        <v>1455</v>
      </c>
      <c r="D1400" s="0" t="s">
        <v>3671</v>
      </c>
    </row>
    <row r="1401" customFormat="false" ht="15" hidden="false" customHeight="false" outlineLevel="0" collapsed="false">
      <c r="A1401" s="0" t="n">
        <v>44274</v>
      </c>
      <c r="B1401" s="0" t="s">
        <v>4904</v>
      </c>
      <c r="C1401" s="0" t="s">
        <v>31</v>
      </c>
      <c r="D1401" s="0" t="s">
        <v>3671</v>
      </c>
    </row>
    <row r="1402" customFormat="false" ht="15" hidden="false" customHeight="false" outlineLevel="0" collapsed="false">
      <c r="A1402" s="0" t="n">
        <v>5086</v>
      </c>
      <c r="B1402" s="0" t="s">
        <v>4905</v>
      </c>
      <c r="C1402" s="0" t="s">
        <v>1513</v>
      </c>
      <c r="D1402" s="0" t="s">
        <v>3671</v>
      </c>
      <c r="E1402" s="0" t="n">
        <v>37.71</v>
      </c>
    </row>
    <row r="1403" customFormat="false" ht="15" hidden="false" customHeight="false" outlineLevel="0" collapsed="false">
      <c r="A1403" s="0" t="n">
        <v>11280</v>
      </c>
      <c r="B1403" s="0" t="s">
        <v>1710</v>
      </c>
      <c r="C1403" s="0" t="s">
        <v>31</v>
      </c>
      <c r="D1403" s="0" t="s">
        <v>3671</v>
      </c>
      <c r="E1403" s="0" t="n">
        <v>11783.29</v>
      </c>
    </row>
    <row r="1404" customFormat="false" ht="15" hidden="false" customHeight="false" outlineLevel="0" collapsed="false">
      <c r="A1404" s="0" t="n">
        <v>40519</v>
      </c>
      <c r="B1404" s="0" t="s">
        <v>4906</v>
      </c>
      <c r="C1404" s="0" t="s">
        <v>31</v>
      </c>
      <c r="D1404" s="0" t="s">
        <v>3671</v>
      </c>
      <c r="E1404" s="0" t="n">
        <v>97137.42</v>
      </c>
    </row>
    <row r="1405" customFormat="false" ht="15" hidden="false" customHeight="false" outlineLevel="0" collapsed="false">
      <c r="A1405" s="0" t="n">
        <v>3446</v>
      </c>
      <c r="B1405" s="0" t="s">
        <v>4907</v>
      </c>
      <c r="C1405" s="0" t="s">
        <v>31</v>
      </c>
      <c r="D1405" s="0" t="s">
        <v>3671</v>
      </c>
    </row>
    <row r="1406" customFormat="false" ht="15" hidden="false" customHeight="false" outlineLevel="0" collapsed="false">
      <c r="A1406" s="0" t="n">
        <v>3445</v>
      </c>
      <c r="B1406" s="0" t="s">
        <v>4908</v>
      </c>
      <c r="C1406" s="0" t="s">
        <v>31</v>
      </c>
      <c r="D1406" s="0" t="s">
        <v>3671</v>
      </c>
    </row>
    <row r="1407" customFormat="false" ht="15" hidden="false" customHeight="false" outlineLevel="0" collapsed="false">
      <c r="A1407" s="0" t="n">
        <v>3444</v>
      </c>
      <c r="B1407" s="0" t="s">
        <v>4909</v>
      </c>
      <c r="C1407" s="0" t="s">
        <v>31</v>
      </c>
      <c r="D1407" s="0" t="s">
        <v>3671</v>
      </c>
    </row>
    <row r="1408" customFormat="false" ht="15" hidden="false" customHeight="false" outlineLevel="0" collapsed="false">
      <c r="A1408" s="0" t="n">
        <v>3441</v>
      </c>
      <c r="B1408" s="0" t="s">
        <v>4910</v>
      </c>
      <c r="C1408" s="0" t="s">
        <v>31</v>
      </c>
      <c r="D1408" s="0" t="s">
        <v>3671</v>
      </c>
    </row>
    <row r="1409" customFormat="false" ht="15" hidden="false" customHeight="false" outlineLevel="0" collapsed="false">
      <c r="A1409" s="0" t="n">
        <v>12402</v>
      </c>
      <c r="B1409" s="0" t="s">
        <v>4911</v>
      </c>
      <c r="C1409" s="0" t="s">
        <v>31</v>
      </c>
      <c r="D1409" s="0" t="s">
        <v>3671</v>
      </c>
    </row>
    <row r="1410" customFormat="false" ht="15" hidden="false" customHeight="false" outlineLevel="0" collapsed="false">
      <c r="A1410" s="0" t="n">
        <v>3447</v>
      </c>
      <c r="B1410" s="0" t="s">
        <v>4912</v>
      </c>
      <c r="C1410" s="0" t="s">
        <v>31</v>
      </c>
      <c r="D1410" s="0" t="s">
        <v>3671</v>
      </c>
    </row>
    <row r="1411" customFormat="false" ht="15" hidden="false" customHeight="false" outlineLevel="0" collapsed="false">
      <c r="A1411" s="0" t="n">
        <v>3448</v>
      </c>
      <c r="B1411" s="0" t="s">
        <v>2688</v>
      </c>
      <c r="C1411" s="0" t="s">
        <v>31</v>
      </c>
      <c r="D1411" s="0" t="s">
        <v>3671</v>
      </c>
    </row>
    <row r="1412" customFormat="false" ht="15" hidden="false" customHeight="false" outlineLevel="0" collapsed="false">
      <c r="A1412" s="0" t="n">
        <v>3442</v>
      </c>
      <c r="B1412" s="0" t="s">
        <v>4913</v>
      </c>
      <c r="C1412" s="0" t="s">
        <v>31</v>
      </c>
      <c r="D1412" s="0" t="s">
        <v>3671</v>
      </c>
    </row>
    <row r="1413" customFormat="false" ht="15" hidden="false" customHeight="false" outlineLevel="0" collapsed="false">
      <c r="A1413" s="0" t="n">
        <v>3449</v>
      </c>
      <c r="B1413" s="0" t="s">
        <v>4914</v>
      </c>
      <c r="C1413" s="0" t="s">
        <v>31</v>
      </c>
      <c r="D1413" s="0" t="s">
        <v>3671</v>
      </c>
    </row>
    <row r="1414" customFormat="false" ht="15" hidden="false" customHeight="false" outlineLevel="0" collapsed="false">
      <c r="A1414" s="0" t="n">
        <v>37438</v>
      </c>
      <c r="B1414" s="0" t="s">
        <v>4915</v>
      </c>
      <c r="C1414" s="0" t="s">
        <v>31</v>
      </c>
      <c r="D1414" s="0" t="s">
        <v>3671</v>
      </c>
    </row>
    <row r="1415" customFormat="false" ht="15" hidden="false" customHeight="false" outlineLevel="0" collapsed="false">
      <c r="A1415" s="0" t="n">
        <v>37439</v>
      </c>
      <c r="B1415" s="0" t="s">
        <v>4916</v>
      </c>
      <c r="C1415" s="0" t="s">
        <v>31</v>
      </c>
      <c r="D1415" s="0" t="s">
        <v>3671</v>
      </c>
    </row>
    <row r="1416" customFormat="false" ht="15" hidden="false" customHeight="false" outlineLevel="0" collapsed="false">
      <c r="A1416" s="0" t="n">
        <v>37435</v>
      </c>
      <c r="B1416" s="0" t="s">
        <v>4917</v>
      </c>
      <c r="C1416" s="0" t="s">
        <v>31</v>
      </c>
      <c r="D1416" s="0" t="s">
        <v>3671</v>
      </c>
    </row>
    <row r="1417" customFormat="false" ht="15" hidden="false" customHeight="false" outlineLevel="0" collapsed="false">
      <c r="A1417" s="0" t="n">
        <v>37436</v>
      </c>
      <c r="B1417" s="0" t="s">
        <v>4918</v>
      </c>
      <c r="C1417" s="0" t="s">
        <v>31</v>
      </c>
      <c r="D1417" s="0" t="s">
        <v>3671</v>
      </c>
    </row>
    <row r="1418" customFormat="false" ht="15" hidden="false" customHeight="false" outlineLevel="0" collapsed="false">
      <c r="A1418" s="0" t="n">
        <v>37437</v>
      </c>
      <c r="B1418" s="0" t="s">
        <v>4919</v>
      </c>
      <c r="C1418" s="0" t="s">
        <v>31</v>
      </c>
      <c r="D1418" s="0" t="s">
        <v>3671</v>
      </c>
    </row>
    <row r="1419" customFormat="false" ht="15" hidden="false" customHeight="false" outlineLevel="0" collapsed="false">
      <c r="A1419" s="0" t="n">
        <v>3473</v>
      </c>
      <c r="B1419" s="0" t="s">
        <v>4920</v>
      </c>
      <c r="C1419" s="0" t="s">
        <v>31</v>
      </c>
      <c r="D1419" s="0" t="s">
        <v>3671</v>
      </c>
    </row>
    <row r="1420" customFormat="false" ht="15" hidden="false" customHeight="false" outlineLevel="0" collapsed="false">
      <c r="A1420" s="0" t="n">
        <v>3474</v>
      </c>
      <c r="B1420" s="0" t="s">
        <v>4921</v>
      </c>
      <c r="C1420" s="0" t="s">
        <v>31</v>
      </c>
      <c r="D1420" s="0" t="s">
        <v>3671</v>
      </c>
    </row>
    <row r="1421" customFormat="false" ht="15" hidden="false" customHeight="false" outlineLevel="0" collapsed="false">
      <c r="A1421" s="0" t="n">
        <v>3443</v>
      </c>
      <c r="B1421" s="0" t="s">
        <v>4922</v>
      </c>
      <c r="C1421" s="0" t="s">
        <v>31</v>
      </c>
      <c r="D1421" s="0" t="s">
        <v>3671</v>
      </c>
    </row>
    <row r="1422" customFormat="false" ht="15" hidden="false" customHeight="false" outlineLevel="0" collapsed="false">
      <c r="A1422" s="0" t="n">
        <v>3450</v>
      </c>
      <c r="B1422" s="0" t="s">
        <v>4923</v>
      </c>
      <c r="C1422" s="0" t="s">
        <v>31</v>
      </c>
      <c r="D1422" s="0" t="s">
        <v>3671</v>
      </c>
    </row>
    <row r="1423" customFormat="false" ht="15" hidden="false" customHeight="false" outlineLevel="0" collapsed="false">
      <c r="A1423" s="0" t="n">
        <v>3453</v>
      </c>
      <c r="B1423" s="0" t="s">
        <v>4924</v>
      </c>
      <c r="C1423" s="0" t="s">
        <v>31</v>
      </c>
      <c r="D1423" s="0" t="s">
        <v>3671</v>
      </c>
    </row>
    <row r="1424" customFormat="false" ht="15" hidden="false" customHeight="false" outlineLevel="0" collapsed="false">
      <c r="A1424" s="0" t="n">
        <v>3452</v>
      </c>
      <c r="B1424" s="0" t="s">
        <v>4925</v>
      </c>
      <c r="C1424" s="0" t="s">
        <v>31</v>
      </c>
      <c r="D1424" s="0" t="s">
        <v>3671</v>
      </c>
    </row>
    <row r="1425" customFormat="false" ht="15" hidden="false" customHeight="false" outlineLevel="0" collapsed="false">
      <c r="A1425" s="0" t="n">
        <v>3454</v>
      </c>
      <c r="B1425" s="0" t="s">
        <v>4926</v>
      </c>
      <c r="C1425" s="0" t="s">
        <v>31</v>
      </c>
      <c r="D1425" s="0" t="s">
        <v>3671</v>
      </c>
    </row>
    <row r="1426" customFormat="false" ht="15" hidden="false" customHeight="false" outlineLevel="0" collapsed="false">
      <c r="A1426" s="0" t="n">
        <v>3451</v>
      </c>
      <c r="B1426" s="0" t="s">
        <v>4927</v>
      </c>
      <c r="C1426" s="0" t="s">
        <v>31</v>
      </c>
      <c r="D1426" s="0" t="s">
        <v>3671</v>
      </c>
    </row>
    <row r="1427" customFormat="false" ht="15" hidden="false" customHeight="false" outlineLevel="0" collapsed="false">
      <c r="A1427" s="0" t="n">
        <v>3458</v>
      </c>
      <c r="B1427" s="0" t="s">
        <v>4928</v>
      </c>
      <c r="C1427" s="0" t="s">
        <v>31</v>
      </c>
      <c r="D1427" s="0" t="s">
        <v>3671</v>
      </c>
    </row>
    <row r="1428" customFormat="false" ht="15" hidden="false" customHeight="false" outlineLevel="0" collapsed="false">
      <c r="A1428" s="0" t="n">
        <v>3457</v>
      </c>
      <c r="B1428" s="0" t="s">
        <v>4929</v>
      </c>
      <c r="C1428" s="0" t="s">
        <v>31</v>
      </c>
      <c r="D1428" s="0" t="s">
        <v>3671</v>
      </c>
    </row>
    <row r="1429" customFormat="false" ht="15" hidden="false" customHeight="false" outlineLevel="0" collapsed="false">
      <c r="A1429" s="0" t="n">
        <v>3472</v>
      </c>
      <c r="B1429" s="0" t="s">
        <v>4930</v>
      </c>
      <c r="C1429" s="0" t="s">
        <v>31</v>
      </c>
      <c r="D1429" s="0" t="s">
        <v>3671</v>
      </c>
    </row>
    <row r="1430" customFormat="false" ht="15" hidden="false" customHeight="false" outlineLevel="0" collapsed="false">
      <c r="A1430" s="0" t="n">
        <v>3455</v>
      </c>
      <c r="B1430" s="0" t="s">
        <v>4931</v>
      </c>
      <c r="C1430" s="0" t="s">
        <v>31</v>
      </c>
      <c r="D1430" s="0" t="s">
        <v>3671</v>
      </c>
    </row>
    <row r="1431" customFormat="false" ht="15" hidden="false" customHeight="false" outlineLevel="0" collapsed="false">
      <c r="A1431" s="0" t="n">
        <v>3470</v>
      </c>
      <c r="B1431" s="0" t="s">
        <v>2684</v>
      </c>
      <c r="C1431" s="0" t="s">
        <v>31</v>
      </c>
      <c r="D1431" s="0" t="s">
        <v>3671</v>
      </c>
    </row>
    <row r="1432" customFormat="false" ht="15" hidden="false" customHeight="false" outlineLevel="0" collapsed="false">
      <c r="A1432" s="0" t="n">
        <v>3471</v>
      </c>
      <c r="B1432" s="0" t="s">
        <v>4932</v>
      </c>
      <c r="C1432" s="0" t="s">
        <v>31</v>
      </c>
      <c r="D1432" s="0" t="s">
        <v>3671</v>
      </c>
    </row>
    <row r="1433" customFormat="false" ht="15" hidden="false" customHeight="false" outlineLevel="0" collapsed="false">
      <c r="A1433" s="0" t="n">
        <v>3459</v>
      </c>
      <c r="B1433" s="0" t="s">
        <v>2686</v>
      </c>
      <c r="C1433" s="0" t="s">
        <v>31</v>
      </c>
      <c r="D1433" s="0" t="s">
        <v>3671</v>
      </c>
    </row>
    <row r="1434" customFormat="false" ht="15" hidden="false" customHeight="false" outlineLevel="0" collapsed="false">
      <c r="A1434" s="0" t="n">
        <v>3456</v>
      </c>
      <c r="B1434" s="0" t="s">
        <v>4933</v>
      </c>
      <c r="C1434" s="0" t="s">
        <v>31</v>
      </c>
      <c r="D1434" s="0" t="s">
        <v>3671</v>
      </c>
    </row>
    <row r="1435" customFormat="false" ht="15" hidden="false" customHeight="false" outlineLevel="0" collapsed="false">
      <c r="A1435" s="0" t="n">
        <v>3469</v>
      </c>
      <c r="B1435" s="0" t="s">
        <v>4934</v>
      </c>
      <c r="C1435" s="0" t="s">
        <v>31</v>
      </c>
      <c r="D1435" s="0" t="s">
        <v>3671</v>
      </c>
    </row>
    <row r="1436" customFormat="false" ht="15" hidden="false" customHeight="false" outlineLevel="0" collapsed="false">
      <c r="A1436" s="0" t="n">
        <v>3460</v>
      </c>
      <c r="B1436" s="0" t="s">
        <v>4935</v>
      </c>
      <c r="C1436" s="0" t="s">
        <v>31</v>
      </c>
      <c r="D1436" s="0" t="s">
        <v>3671</v>
      </c>
    </row>
    <row r="1437" customFormat="false" ht="15" hidden="false" customHeight="false" outlineLevel="0" collapsed="false">
      <c r="A1437" s="0" t="n">
        <v>3461</v>
      </c>
      <c r="B1437" s="0" t="s">
        <v>4936</v>
      </c>
      <c r="C1437" s="0" t="s">
        <v>31</v>
      </c>
      <c r="D1437" s="0" t="s">
        <v>3671</v>
      </c>
    </row>
    <row r="1438" customFormat="false" ht="15" hidden="false" customHeight="false" outlineLevel="0" collapsed="false">
      <c r="A1438" s="0" t="n">
        <v>37433</v>
      </c>
      <c r="B1438" s="0" t="s">
        <v>4937</v>
      </c>
      <c r="C1438" s="0" t="s">
        <v>31</v>
      </c>
      <c r="D1438" s="0" t="s">
        <v>3671</v>
      </c>
    </row>
    <row r="1439" customFormat="false" ht="15" hidden="false" customHeight="false" outlineLevel="0" collapsed="false">
      <c r="A1439" s="0" t="n">
        <v>37430</v>
      </c>
      <c r="B1439" s="0" t="s">
        <v>4938</v>
      </c>
      <c r="C1439" s="0" t="s">
        <v>31</v>
      </c>
      <c r="D1439" s="0" t="s">
        <v>3671</v>
      </c>
    </row>
    <row r="1440" customFormat="false" ht="15" hidden="false" customHeight="false" outlineLevel="0" collapsed="false">
      <c r="A1440" s="0" t="n">
        <v>37434</v>
      </c>
      <c r="B1440" s="0" t="s">
        <v>4939</v>
      </c>
      <c r="C1440" s="0" t="s">
        <v>31</v>
      </c>
      <c r="D1440" s="0" t="s">
        <v>3671</v>
      </c>
    </row>
    <row r="1441" customFormat="false" ht="15" hidden="false" customHeight="false" outlineLevel="0" collapsed="false">
      <c r="A1441" s="0" t="n">
        <v>37431</v>
      </c>
      <c r="B1441" s="0" t="s">
        <v>4940</v>
      </c>
      <c r="C1441" s="0" t="s">
        <v>31</v>
      </c>
      <c r="D1441" s="0" t="s">
        <v>3671</v>
      </c>
    </row>
    <row r="1442" customFormat="false" ht="15" hidden="false" customHeight="false" outlineLevel="0" collapsed="false">
      <c r="A1442" s="0" t="n">
        <v>37432</v>
      </c>
      <c r="B1442" s="0" t="s">
        <v>4941</v>
      </c>
      <c r="C1442" s="0" t="s">
        <v>31</v>
      </c>
      <c r="D1442" s="0" t="s">
        <v>3671</v>
      </c>
    </row>
    <row r="1443" customFormat="false" ht="15" hidden="false" customHeight="false" outlineLevel="0" collapsed="false">
      <c r="A1443" s="0" t="n">
        <v>39869</v>
      </c>
      <c r="B1443" s="0" t="s">
        <v>4942</v>
      </c>
      <c r="C1443" s="0" t="s">
        <v>31</v>
      </c>
      <c r="D1443" s="0" t="s">
        <v>3671</v>
      </c>
    </row>
    <row r="1444" customFormat="false" ht="15" hidden="false" customHeight="false" outlineLevel="0" collapsed="false">
      <c r="A1444" s="0" t="n">
        <v>39870</v>
      </c>
      <c r="B1444" s="0" t="s">
        <v>4943</v>
      </c>
      <c r="C1444" s="0" t="s">
        <v>31</v>
      </c>
      <c r="D1444" s="0" t="s">
        <v>3671</v>
      </c>
    </row>
    <row r="1445" customFormat="false" ht="15" hidden="false" customHeight="false" outlineLevel="0" collapsed="false">
      <c r="A1445" s="0" t="n">
        <v>39871</v>
      </c>
      <c r="B1445" s="0" t="s">
        <v>4944</v>
      </c>
      <c r="C1445" s="0" t="s">
        <v>31</v>
      </c>
      <c r="D1445" s="0" t="s">
        <v>3671</v>
      </c>
    </row>
    <row r="1446" customFormat="false" ht="15" hidden="false" customHeight="false" outlineLevel="0" collapsed="false">
      <c r="A1446" s="0" t="n">
        <v>12722</v>
      </c>
      <c r="B1446" s="0" t="s">
        <v>4945</v>
      </c>
      <c r="C1446" s="0" t="s">
        <v>31</v>
      </c>
      <c r="D1446" s="0" t="s">
        <v>3671</v>
      </c>
    </row>
    <row r="1447" customFormat="false" ht="15" hidden="false" customHeight="false" outlineLevel="0" collapsed="false">
      <c r="A1447" s="0" t="n">
        <v>12714</v>
      </c>
      <c r="B1447" s="0" t="s">
        <v>4946</v>
      </c>
      <c r="C1447" s="0" t="s">
        <v>31</v>
      </c>
      <c r="D1447" s="0" t="s">
        <v>3671</v>
      </c>
    </row>
    <row r="1448" customFormat="false" ht="15" hidden="false" customHeight="false" outlineLevel="0" collapsed="false">
      <c r="A1448" s="0" t="n">
        <v>12715</v>
      </c>
      <c r="B1448" s="0" t="s">
        <v>4947</v>
      </c>
      <c r="C1448" s="0" t="s">
        <v>31</v>
      </c>
      <c r="D1448" s="0" t="s">
        <v>3671</v>
      </c>
    </row>
    <row r="1449" customFormat="false" ht="15" hidden="false" customHeight="false" outlineLevel="0" collapsed="false">
      <c r="A1449" s="0" t="n">
        <v>12716</v>
      </c>
      <c r="B1449" s="0" t="s">
        <v>4948</v>
      </c>
      <c r="C1449" s="0" t="s">
        <v>31</v>
      </c>
      <c r="D1449" s="0" t="s">
        <v>3671</v>
      </c>
    </row>
    <row r="1450" customFormat="false" ht="15" hidden="false" customHeight="false" outlineLevel="0" collapsed="false">
      <c r="A1450" s="0" t="n">
        <v>12717</v>
      </c>
      <c r="B1450" s="0" t="s">
        <v>4949</v>
      </c>
      <c r="C1450" s="0" t="s">
        <v>31</v>
      </c>
      <c r="D1450" s="0" t="s">
        <v>3671</v>
      </c>
    </row>
    <row r="1451" customFormat="false" ht="15" hidden="false" customHeight="false" outlineLevel="0" collapsed="false">
      <c r="A1451" s="0" t="n">
        <v>12718</v>
      </c>
      <c r="B1451" s="0" t="s">
        <v>4950</v>
      </c>
      <c r="C1451" s="0" t="s">
        <v>31</v>
      </c>
      <c r="D1451" s="0" t="s">
        <v>3671</v>
      </c>
    </row>
    <row r="1452" customFormat="false" ht="15" hidden="false" customHeight="false" outlineLevel="0" collapsed="false">
      <c r="A1452" s="0" t="n">
        <v>12719</v>
      </c>
      <c r="B1452" s="0" t="s">
        <v>4951</v>
      </c>
      <c r="C1452" s="0" t="s">
        <v>31</v>
      </c>
      <c r="D1452" s="0" t="s">
        <v>3671</v>
      </c>
    </row>
    <row r="1453" customFormat="false" ht="15" hidden="false" customHeight="false" outlineLevel="0" collapsed="false">
      <c r="A1453" s="0" t="n">
        <v>12720</v>
      </c>
      <c r="B1453" s="0" t="s">
        <v>4952</v>
      </c>
      <c r="C1453" s="0" t="s">
        <v>31</v>
      </c>
      <c r="D1453" s="0" t="s">
        <v>3671</v>
      </c>
    </row>
    <row r="1454" customFormat="false" ht="15" hidden="false" customHeight="false" outlineLevel="0" collapsed="false">
      <c r="A1454" s="0" t="n">
        <v>12721</v>
      </c>
      <c r="B1454" s="0" t="s">
        <v>4953</v>
      </c>
      <c r="C1454" s="0" t="s">
        <v>31</v>
      </c>
      <c r="D1454" s="0" t="s">
        <v>3671</v>
      </c>
    </row>
    <row r="1455" customFormat="false" ht="15" hidden="false" customHeight="false" outlineLevel="0" collapsed="false">
      <c r="A1455" s="0" t="n">
        <v>3468</v>
      </c>
      <c r="B1455" s="0" t="s">
        <v>4954</v>
      </c>
      <c r="C1455" s="0" t="s">
        <v>31</v>
      </c>
      <c r="D1455" s="0" t="s">
        <v>3671</v>
      </c>
    </row>
    <row r="1456" customFormat="false" ht="15" hidden="false" customHeight="false" outlineLevel="0" collapsed="false">
      <c r="A1456" s="0" t="n">
        <v>3465</v>
      </c>
      <c r="B1456" s="0" t="s">
        <v>4955</v>
      </c>
      <c r="C1456" s="0" t="s">
        <v>31</v>
      </c>
      <c r="D1456" s="0" t="s">
        <v>3671</v>
      </c>
    </row>
    <row r="1457" customFormat="false" ht="15" hidden="false" customHeight="false" outlineLevel="0" collapsed="false">
      <c r="A1457" s="0" t="n">
        <v>12403</v>
      </c>
      <c r="B1457" s="0" t="s">
        <v>4956</v>
      </c>
      <c r="C1457" s="0" t="s">
        <v>31</v>
      </c>
      <c r="D1457" s="0" t="s">
        <v>3671</v>
      </c>
    </row>
    <row r="1458" customFormat="false" ht="15" hidden="false" customHeight="false" outlineLevel="0" collapsed="false">
      <c r="A1458" s="0" t="n">
        <v>3463</v>
      </c>
      <c r="B1458" s="0" t="s">
        <v>4957</v>
      </c>
      <c r="C1458" s="0" t="s">
        <v>31</v>
      </c>
      <c r="D1458" s="0" t="s">
        <v>3671</v>
      </c>
    </row>
    <row r="1459" customFormat="false" ht="15" hidden="false" customHeight="false" outlineLevel="0" collapsed="false">
      <c r="A1459" s="0" t="n">
        <v>3464</v>
      </c>
      <c r="B1459" s="0" t="s">
        <v>4958</v>
      </c>
      <c r="C1459" s="0" t="s">
        <v>31</v>
      </c>
      <c r="D1459" s="0" t="s">
        <v>3671</v>
      </c>
    </row>
    <row r="1460" customFormat="false" ht="15" hidden="false" customHeight="false" outlineLevel="0" collapsed="false">
      <c r="A1460" s="0" t="n">
        <v>3466</v>
      </c>
      <c r="B1460" s="0" t="s">
        <v>4959</v>
      </c>
      <c r="C1460" s="0" t="s">
        <v>31</v>
      </c>
      <c r="D1460" s="0" t="s">
        <v>3671</v>
      </c>
    </row>
    <row r="1461" customFormat="false" ht="15" hidden="false" customHeight="false" outlineLevel="0" collapsed="false">
      <c r="A1461" s="0" t="n">
        <v>3467</v>
      </c>
      <c r="B1461" s="0" t="s">
        <v>4960</v>
      </c>
      <c r="C1461" s="0" t="s">
        <v>31</v>
      </c>
      <c r="D1461" s="0" t="s">
        <v>3671</v>
      </c>
    </row>
    <row r="1462" customFormat="false" ht="15" hidden="false" customHeight="false" outlineLevel="0" collapsed="false">
      <c r="A1462" s="0" t="n">
        <v>3462</v>
      </c>
      <c r="B1462" s="0" t="s">
        <v>4961</v>
      </c>
      <c r="C1462" s="0" t="s">
        <v>31</v>
      </c>
      <c r="D1462" s="0" t="s">
        <v>3671</v>
      </c>
    </row>
    <row r="1463" customFormat="false" ht="15" hidden="false" customHeight="false" outlineLevel="0" collapsed="false">
      <c r="A1463" s="0" t="n">
        <v>37416</v>
      </c>
      <c r="B1463" s="0" t="s">
        <v>4962</v>
      </c>
      <c r="C1463" s="0" t="s">
        <v>31</v>
      </c>
      <c r="D1463" s="0" t="s">
        <v>3671</v>
      </c>
    </row>
    <row r="1464" customFormat="false" ht="15" hidden="false" customHeight="false" outlineLevel="0" collapsed="false">
      <c r="A1464" s="0" t="n">
        <v>37417</v>
      </c>
      <c r="B1464" s="0" t="s">
        <v>4963</v>
      </c>
      <c r="C1464" s="0" t="s">
        <v>31</v>
      </c>
      <c r="D1464" s="0" t="s">
        <v>3671</v>
      </c>
    </row>
    <row r="1465" customFormat="false" ht="15" hidden="false" customHeight="false" outlineLevel="0" collapsed="false">
      <c r="A1465" s="0" t="n">
        <v>37413</v>
      </c>
      <c r="B1465" s="0" t="s">
        <v>4964</v>
      </c>
      <c r="C1465" s="0" t="s">
        <v>31</v>
      </c>
      <c r="D1465" s="0" t="s">
        <v>3671</v>
      </c>
    </row>
    <row r="1466" customFormat="false" ht="15" hidden="false" customHeight="false" outlineLevel="0" collapsed="false">
      <c r="A1466" s="0" t="n">
        <v>37414</v>
      </c>
      <c r="B1466" s="0" t="s">
        <v>4965</v>
      </c>
      <c r="C1466" s="0" t="s">
        <v>31</v>
      </c>
      <c r="D1466" s="0" t="s">
        <v>3671</v>
      </c>
    </row>
    <row r="1467" customFormat="false" ht="15" hidden="false" customHeight="false" outlineLevel="0" collapsed="false">
      <c r="A1467" s="0" t="n">
        <v>37415</v>
      </c>
      <c r="B1467" s="0" t="s">
        <v>4966</v>
      </c>
      <c r="C1467" s="0" t="s">
        <v>31</v>
      </c>
      <c r="D1467" s="0" t="s">
        <v>3671</v>
      </c>
    </row>
    <row r="1468" customFormat="false" ht="15" hidden="false" customHeight="false" outlineLevel="0" collapsed="false">
      <c r="A1468" s="0" t="n">
        <v>43590</v>
      </c>
      <c r="B1468" s="0" t="s">
        <v>4967</v>
      </c>
      <c r="C1468" s="0" t="s">
        <v>31</v>
      </c>
      <c r="D1468" s="0" t="s">
        <v>3671</v>
      </c>
      <c r="E1468" s="0" t="n">
        <v>175.33</v>
      </c>
    </row>
    <row r="1469" customFormat="false" ht="15" hidden="false" customHeight="false" outlineLevel="0" collapsed="false">
      <c r="A1469" s="0" t="n">
        <v>43589</v>
      </c>
      <c r="B1469" s="0" t="s">
        <v>4968</v>
      </c>
      <c r="C1469" s="0" t="s">
        <v>31</v>
      </c>
      <c r="D1469" s="0" t="s">
        <v>3671</v>
      </c>
      <c r="E1469" s="0" t="n">
        <v>31.72</v>
      </c>
    </row>
    <row r="1470" customFormat="false" ht="15" hidden="false" customHeight="false" outlineLevel="0" collapsed="false">
      <c r="A1470" s="0" t="n">
        <v>34519</v>
      </c>
      <c r="B1470" s="0" t="s">
        <v>4969</v>
      </c>
      <c r="C1470" s="0" t="s">
        <v>31</v>
      </c>
      <c r="D1470" s="0" t="s">
        <v>3671</v>
      </c>
    </row>
    <row r="1471" customFormat="false" ht="15" hidden="false" customHeight="false" outlineLevel="0" collapsed="false">
      <c r="A1471" s="0" t="n">
        <v>1649</v>
      </c>
      <c r="B1471" s="0" t="s">
        <v>4970</v>
      </c>
      <c r="C1471" s="0" t="s">
        <v>31</v>
      </c>
      <c r="D1471" s="0" t="s">
        <v>3671</v>
      </c>
    </row>
    <row r="1472" customFormat="false" ht="15" hidden="false" customHeight="false" outlineLevel="0" collapsed="false">
      <c r="A1472" s="0" t="n">
        <v>1653</v>
      </c>
      <c r="B1472" s="0" t="s">
        <v>4971</v>
      </c>
      <c r="C1472" s="0" t="s">
        <v>31</v>
      </c>
      <c r="D1472" s="0" t="s">
        <v>3671</v>
      </c>
    </row>
    <row r="1473" customFormat="false" ht="15" hidden="false" customHeight="false" outlineLevel="0" collapsed="false">
      <c r="A1473" s="0" t="n">
        <v>1648</v>
      </c>
      <c r="B1473" s="0" t="s">
        <v>4972</v>
      </c>
      <c r="C1473" s="0" t="s">
        <v>31</v>
      </c>
      <c r="D1473" s="0" t="s">
        <v>3671</v>
      </c>
    </row>
    <row r="1474" customFormat="false" ht="15" hidden="false" customHeight="false" outlineLevel="0" collapsed="false">
      <c r="A1474" s="0" t="n">
        <v>1647</v>
      </c>
      <c r="B1474" s="0" t="s">
        <v>4973</v>
      </c>
      <c r="C1474" s="0" t="s">
        <v>31</v>
      </c>
      <c r="D1474" s="0" t="s">
        <v>3671</v>
      </c>
    </row>
    <row r="1475" customFormat="false" ht="15" hidden="false" customHeight="false" outlineLevel="0" collapsed="false">
      <c r="A1475" s="0" t="n">
        <v>1651</v>
      </c>
      <c r="B1475" s="0" t="s">
        <v>4974</v>
      </c>
      <c r="C1475" s="0" t="s">
        <v>31</v>
      </c>
      <c r="D1475" s="0" t="s">
        <v>3671</v>
      </c>
    </row>
    <row r="1476" customFormat="false" ht="15" hidden="false" customHeight="false" outlineLevel="0" collapsed="false">
      <c r="A1476" s="0" t="n">
        <v>1650</v>
      </c>
      <c r="B1476" s="0" t="s">
        <v>4975</v>
      </c>
      <c r="C1476" s="0" t="s">
        <v>31</v>
      </c>
      <c r="D1476" s="0" t="s">
        <v>3671</v>
      </c>
    </row>
    <row r="1477" customFormat="false" ht="15" hidden="false" customHeight="false" outlineLevel="0" collapsed="false">
      <c r="A1477" s="0" t="n">
        <v>1652</v>
      </c>
      <c r="B1477" s="0" t="s">
        <v>4976</v>
      </c>
      <c r="C1477" s="0" t="s">
        <v>31</v>
      </c>
      <c r="D1477" s="0" t="s">
        <v>3671</v>
      </c>
    </row>
    <row r="1478" customFormat="false" ht="15" hidden="false" customHeight="false" outlineLevel="0" collapsed="false">
      <c r="A1478" s="0" t="n">
        <v>1654</v>
      </c>
      <c r="B1478" s="0" t="s">
        <v>4977</v>
      </c>
      <c r="C1478" s="0" t="s">
        <v>31</v>
      </c>
      <c r="D1478" s="0" t="s">
        <v>3671</v>
      </c>
    </row>
    <row r="1479" customFormat="false" ht="15" hidden="false" customHeight="false" outlineLevel="0" collapsed="false">
      <c r="A1479" s="0" t="n">
        <v>10510</v>
      </c>
      <c r="B1479" s="0" t="s">
        <v>4978</v>
      </c>
      <c r="C1479" s="0" t="s">
        <v>31</v>
      </c>
      <c r="D1479" s="0" t="s">
        <v>3671</v>
      </c>
      <c r="E1479" s="0" t="n">
        <v>164.07</v>
      </c>
    </row>
    <row r="1480" customFormat="false" ht="15" hidden="false" customHeight="false" outlineLevel="0" collapsed="false">
      <c r="A1480" s="0" t="n">
        <v>1744</v>
      </c>
      <c r="B1480" s="0" t="s">
        <v>4979</v>
      </c>
      <c r="C1480" s="0" t="s">
        <v>31</v>
      </c>
      <c r="D1480" s="0" t="s">
        <v>3671</v>
      </c>
      <c r="E1480" s="0" t="n">
        <v>133.15</v>
      </c>
    </row>
    <row r="1481" customFormat="false" ht="15" hidden="false" customHeight="false" outlineLevel="0" collapsed="false">
      <c r="A1481" s="0" t="n">
        <v>1743</v>
      </c>
      <c r="B1481" s="0" t="s">
        <v>2074</v>
      </c>
      <c r="C1481" s="0" t="s">
        <v>31</v>
      </c>
      <c r="D1481" s="0" t="s">
        <v>3671</v>
      </c>
      <c r="E1481" s="0" t="n">
        <v>174.85</v>
      </c>
    </row>
    <row r="1482" customFormat="false" ht="15" hidden="false" customHeight="false" outlineLevel="0" collapsed="false">
      <c r="A1482" s="0" t="n">
        <v>1747</v>
      </c>
      <c r="B1482" s="0" t="s">
        <v>4980</v>
      </c>
      <c r="C1482" s="0" t="s">
        <v>31</v>
      </c>
      <c r="D1482" s="0" t="s">
        <v>3671</v>
      </c>
      <c r="E1482" s="0" t="n">
        <v>192.24</v>
      </c>
    </row>
    <row r="1483" customFormat="false" ht="15" hidden="false" customHeight="false" outlineLevel="0" collapsed="false">
      <c r="A1483" s="0" t="n">
        <v>39640</v>
      </c>
      <c r="B1483" s="0" t="s">
        <v>4981</v>
      </c>
      <c r="C1483" s="0" t="s">
        <v>31</v>
      </c>
      <c r="D1483" s="0" t="s">
        <v>3671</v>
      </c>
      <c r="E1483" s="0" t="n">
        <v>13.14</v>
      </c>
    </row>
    <row r="1484" customFormat="false" ht="15" hidden="false" customHeight="false" outlineLevel="0" collapsed="false">
      <c r="A1484" s="0" t="n">
        <v>7216</v>
      </c>
      <c r="B1484" s="0" t="s">
        <v>4982</v>
      </c>
      <c r="C1484" s="0" t="s">
        <v>31</v>
      </c>
      <c r="D1484" s="0" t="s">
        <v>3671</v>
      </c>
      <c r="E1484" s="0" t="n">
        <v>70.6</v>
      </c>
    </row>
    <row r="1485" customFormat="false" ht="15" hidden="false" customHeight="false" outlineLevel="0" collapsed="false">
      <c r="A1485" s="0" t="n">
        <v>20235</v>
      </c>
      <c r="B1485" s="0" t="s">
        <v>4983</v>
      </c>
      <c r="C1485" s="0" t="s">
        <v>31</v>
      </c>
      <c r="D1485" s="0" t="s">
        <v>3671</v>
      </c>
      <c r="E1485" s="0" t="n">
        <v>56.76</v>
      </c>
    </row>
    <row r="1486" customFormat="false" ht="15" hidden="false" customHeight="false" outlineLevel="0" collapsed="false">
      <c r="A1486" s="0" t="n">
        <v>7181</v>
      </c>
      <c r="B1486" s="0" t="s">
        <v>4984</v>
      </c>
      <c r="C1486" s="0" t="s">
        <v>31</v>
      </c>
      <c r="D1486" s="0" t="s">
        <v>3671</v>
      </c>
      <c r="E1486" s="0" t="n">
        <v>4.53</v>
      </c>
    </row>
    <row r="1487" customFormat="false" ht="15" hidden="false" customHeight="false" outlineLevel="0" collapsed="false">
      <c r="A1487" s="0" t="n">
        <v>40742</v>
      </c>
      <c r="B1487" s="0" t="s">
        <v>4985</v>
      </c>
      <c r="C1487" s="0" t="s">
        <v>31</v>
      </c>
      <c r="D1487" s="0" t="s">
        <v>3671</v>
      </c>
      <c r="E1487" s="0" t="n">
        <v>11.97</v>
      </c>
    </row>
    <row r="1488" customFormat="false" ht="15" hidden="false" customHeight="false" outlineLevel="0" collapsed="false">
      <c r="A1488" s="0" t="n">
        <v>7214</v>
      </c>
      <c r="B1488" s="0" t="s">
        <v>4986</v>
      </c>
      <c r="C1488" s="0" t="s">
        <v>31</v>
      </c>
      <c r="D1488" s="0" t="s">
        <v>3671</v>
      </c>
      <c r="E1488" s="0" t="n">
        <v>68.94</v>
      </c>
    </row>
    <row r="1489" customFormat="false" ht="15" hidden="false" customHeight="false" outlineLevel="0" collapsed="false">
      <c r="A1489" s="0" t="n">
        <v>7219</v>
      </c>
      <c r="B1489" s="0" t="s">
        <v>4987</v>
      </c>
      <c r="C1489" s="0" t="s">
        <v>31</v>
      </c>
      <c r="D1489" s="0" t="s">
        <v>3671</v>
      </c>
      <c r="E1489" s="0" t="n">
        <v>61.15</v>
      </c>
    </row>
    <row r="1490" customFormat="false" ht="15" hidden="false" customHeight="false" outlineLevel="0" collapsed="false">
      <c r="A1490" s="0" t="n">
        <v>2628</v>
      </c>
      <c r="B1490" s="0" t="s">
        <v>4988</v>
      </c>
      <c r="C1490" s="0" t="s">
        <v>31</v>
      </c>
      <c r="D1490" s="0" t="s">
        <v>3671</v>
      </c>
      <c r="E1490" s="0" t="n">
        <v>172.18</v>
      </c>
    </row>
    <row r="1491" customFormat="false" ht="15" hidden="false" customHeight="false" outlineLevel="0" collapsed="false">
      <c r="A1491" s="0" t="n">
        <v>2622</v>
      </c>
      <c r="B1491" s="0" t="s">
        <v>4989</v>
      </c>
      <c r="C1491" s="0" t="s">
        <v>31</v>
      </c>
      <c r="D1491" s="0" t="s">
        <v>3671</v>
      </c>
      <c r="E1491" s="0" t="n">
        <v>4.09</v>
      </c>
    </row>
    <row r="1492" customFormat="false" ht="15" hidden="false" customHeight="false" outlineLevel="0" collapsed="false">
      <c r="A1492" s="0" t="n">
        <v>2623</v>
      </c>
      <c r="B1492" s="0" t="s">
        <v>4990</v>
      </c>
      <c r="C1492" s="0" t="s">
        <v>31</v>
      </c>
      <c r="D1492" s="0" t="s">
        <v>3671</v>
      </c>
      <c r="E1492" s="0" t="n">
        <v>4.92</v>
      </c>
    </row>
    <row r="1493" customFormat="false" ht="15" hidden="false" customHeight="false" outlineLevel="0" collapsed="false">
      <c r="A1493" s="0" t="n">
        <v>2624</v>
      </c>
      <c r="B1493" s="0" t="s">
        <v>4991</v>
      </c>
      <c r="C1493" s="0" t="s">
        <v>31</v>
      </c>
      <c r="D1493" s="0" t="s">
        <v>3671</v>
      </c>
      <c r="E1493" s="0" t="n">
        <v>7.82</v>
      </c>
    </row>
    <row r="1494" customFormat="false" ht="15" hidden="false" customHeight="false" outlineLevel="0" collapsed="false">
      <c r="A1494" s="0" t="n">
        <v>2625</v>
      </c>
      <c r="B1494" s="0" t="s">
        <v>4992</v>
      </c>
      <c r="C1494" s="0" t="s">
        <v>31</v>
      </c>
      <c r="D1494" s="0" t="s">
        <v>3671</v>
      </c>
      <c r="E1494" s="0" t="n">
        <v>16.52</v>
      </c>
    </row>
    <row r="1495" customFormat="false" ht="15" hidden="false" customHeight="false" outlineLevel="0" collapsed="false">
      <c r="A1495" s="0" t="n">
        <v>2626</v>
      </c>
      <c r="B1495" s="0" t="s">
        <v>4993</v>
      </c>
      <c r="C1495" s="0" t="s">
        <v>31</v>
      </c>
      <c r="D1495" s="0" t="s">
        <v>3671</v>
      </c>
      <c r="E1495" s="0" t="n">
        <v>24.21</v>
      </c>
    </row>
    <row r="1496" customFormat="false" ht="15" hidden="false" customHeight="false" outlineLevel="0" collapsed="false">
      <c r="A1496" s="0" t="n">
        <v>2630</v>
      </c>
      <c r="B1496" s="0" t="s">
        <v>4994</v>
      </c>
      <c r="C1496" s="0" t="s">
        <v>31</v>
      </c>
      <c r="D1496" s="0" t="s">
        <v>3671</v>
      </c>
      <c r="E1496" s="0" t="n">
        <v>36.82</v>
      </c>
    </row>
    <row r="1497" customFormat="false" ht="15" hidden="false" customHeight="false" outlineLevel="0" collapsed="false">
      <c r="A1497" s="0" t="n">
        <v>2627</v>
      </c>
      <c r="B1497" s="0" t="s">
        <v>4995</v>
      </c>
      <c r="C1497" s="0" t="s">
        <v>31</v>
      </c>
      <c r="D1497" s="0" t="s">
        <v>3671</v>
      </c>
      <c r="E1497" s="0" t="n">
        <v>64.85</v>
      </c>
    </row>
    <row r="1498" customFormat="false" ht="15" hidden="false" customHeight="false" outlineLevel="0" collapsed="false">
      <c r="A1498" s="0" t="n">
        <v>2629</v>
      </c>
      <c r="B1498" s="0" t="s">
        <v>4996</v>
      </c>
      <c r="C1498" s="0" t="s">
        <v>31</v>
      </c>
      <c r="D1498" s="0" t="s">
        <v>3671</v>
      </c>
      <c r="E1498" s="0" t="n">
        <v>87.72</v>
      </c>
    </row>
    <row r="1499" customFormat="false" ht="15" hidden="false" customHeight="false" outlineLevel="0" collapsed="false">
      <c r="A1499" s="0" t="n">
        <v>1880</v>
      </c>
      <c r="B1499" s="0" t="s">
        <v>4997</v>
      </c>
      <c r="C1499" s="0" t="s">
        <v>31</v>
      </c>
      <c r="D1499" s="0" t="s">
        <v>3671</v>
      </c>
      <c r="E1499" s="0" t="n">
        <v>1.94</v>
      </c>
    </row>
    <row r="1500" customFormat="false" ht="15" hidden="false" customHeight="false" outlineLevel="0" collapsed="false">
      <c r="A1500" s="0" t="n">
        <v>39274</v>
      </c>
      <c r="B1500" s="0" t="s">
        <v>4998</v>
      </c>
      <c r="C1500" s="0" t="s">
        <v>31</v>
      </c>
      <c r="D1500" s="0" t="s">
        <v>3671</v>
      </c>
      <c r="E1500" s="0" t="n">
        <v>1.51</v>
      </c>
    </row>
    <row r="1501" customFormat="false" ht="15" hidden="false" customHeight="false" outlineLevel="0" collapsed="false">
      <c r="A1501" s="0" t="n">
        <v>12033</v>
      </c>
      <c r="B1501" s="0" t="s">
        <v>4999</v>
      </c>
      <c r="C1501" s="0" t="s">
        <v>31</v>
      </c>
      <c r="D1501" s="0" t="s">
        <v>3671</v>
      </c>
      <c r="E1501" s="0" t="n">
        <v>6.21</v>
      </c>
    </row>
    <row r="1502" customFormat="false" ht="15" hidden="false" customHeight="false" outlineLevel="0" collapsed="false">
      <c r="A1502" s="0" t="n">
        <v>40408</v>
      </c>
      <c r="B1502" s="0" t="s">
        <v>5000</v>
      </c>
      <c r="C1502" s="0" t="s">
        <v>31</v>
      </c>
      <c r="D1502" s="0" t="s">
        <v>3671</v>
      </c>
      <c r="E1502" s="0" t="n">
        <v>4.08</v>
      </c>
    </row>
    <row r="1503" customFormat="false" ht="15" hidden="false" customHeight="false" outlineLevel="0" collapsed="false">
      <c r="A1503" s="0" t="n">
        <v>39276</v>
      </c>
      <c r="B1503" s="0" t="s">
        <v>5001</v>
      </c>
      <c r="C1503" s="0" t="s">
        <v>31</v>
      </c>
      <c r="D1503" s="0" t="s">
        <v>3671</v>
      </c>
      <c r="E1503" s="0" t="n">
        <v>3.68</v>
      </c>
    </row>
    <row r="1504" customFormat="false" ht="15" hidden="false" customHeight="false" outlineLevel="0" collapsed="false">
      <c r="A1504" s="0" t="n">
        <v>40409</v>
      </c>
      <c r="B1504" s="0" t="s">
        <v>5002</v>
      </c>
      <c r="C1504" s="0" t="s">
        <v>31</v>
      </c>
      <c r="D1504" s="0" t="s">
        <v>3671</v>
      </c>
      <c r="E1504" s="0" t="n">
        <v>1.44</v>
      </c>
    </row>
    <row r="1505" customFormat="false" ht="15" hidden="false" customHeight="false" outlineLevel="0" collapsed="false">
      <c r="A1505" s="0" t="n">
        <v>39277</v>
      </c>
      <c r="B1505" s="0" t="s">
        <v>5003</v>
      </c>
      <c r="C1505" s="0" t="s">
        <v>31</v>
      </c>
      <c r="D1505" s="0" t="s">
        <v>3671</v>
      </c>
      <c r="E1505" s="0" t="n">
        <v>9.93</v>
      </c>
    </row>
    <row r="1506" customFormat="false" ht="15" hidden="false" customHeight="false" outlineLevel="0" collapsed="false">
      <c r="A1506" s="0" t="n">
        <v>12034</v>
      </c>
      <c r="B1506" s="0" t="s">
        <v>5004</v>
      </c>
      <c r="C1506" s="0" t="s">
        <v>31</v>
      </c>
      <c r="D1506" s="0" t="s">
        <v>3671</v>
      </c>
      <c r="E1506" s="0" t="n">
        <v>2.81</v>
      </c>
    </row>
    <row r="1507" customFormat="false" ht="15" hidden="false" customHeight="false" outlineLevel="0" collapsed="false">
      <c r="A1507" s="0" t="n">
        <v>39879</v>
      </c>
      <c r="B1507" s="0" t="s">
        <v>5005</v>
      </c>
      <c r="C1507" s="0" t="s">
        <v>31</v>
      </c>
      <c r="D1507" s="0" t="s">
        <v>3671</v>
      </c>
    </row>
    <row r="1508" customFormat="false" ht="15" hidden="false" customHeight="false" outlineLevel="0" collapsed="false">
      <c r="A1508" s="0" t="n">
        <v>39880</v>
      </c>
      <c r="B1508" s="0" t="s">
        <v>5006</v>
      </c>
      <c r="C1508" s="0" t="s">
        <v>31</v>
      </c>
      <c r="D1508" s="0" t="s">
        <v>3671</v>
      </c>
    </row>
    <row r="1509" customFormat="false" ht="15" hidden="false" customHeight="false" outlineLevel="0" collapsed="false">
      <c r="A1509" s="0" t="n">
        <v>39881</v>
      </c>
      <c r="B1509" s="0" t="s">
        <v>5007</v>
      </c>
      <c r="C1509" s="0" t="s">
        <v>31</v>
      </c>
      <c r="D1509" s="0" t="s">
        <v>3671</v>
      </c>
    </row>
    <row r="1510" customFormat="false" ht="15" hidden="false" customHeight="false" outlineLevel="0" collapsed="false">
      <c r="A1510" s="0" t="n">
        <v>39882</v>
      </c>
      <c r="B1510" s="0" t="s">
        <v>5008</v>
      </c>
      <c r="C1510" s="0" t="s">
        <v>31</v>
      </c>
      <c r="D1510" s="0" t="s">
        <v>3671</v>
      </c>
    </row>
    <row r="1511" customFormat="false" ht="15" hidden="false" customHeight="false" outlineLevel="0" collapsed="false">
      <c r="A1511" s="0" t="n">
        <v>39883</v>
      </c>
      <c r="B1511" s="0" t="s">
        <v>5009</v>
      </c>
      <c r="C1511" s="0" t="s">
        <v>31</v>
      </c>
      <c r="D1511" s="0" t="s">
        <v>3671</v>
      </c>
    </row>
    <row r="1512" customFormat="false" ht="15" hidden="false" customHeight="false" outlineLevel="0" collapsed="false">
      <c r="A1512" s="0" t="n">
        <v>39884</v>
      </c>
      <c r="B1512" s="0" t="s">
        <v>5010</v>
      </c>
      <c r="C1512" s="0" t="s">
        <v>31</v>
      </c>
      <c r="D1512" s="0" t="s">
        <v>3671</v>
      </c>
    </row>
    <row r="1513" customFormat="false" ht="15" hidden="false" customHeight="false" outlineLevel="0" collapsed="false">
      <c r="A1513" s="0" t="n">
        <v>39885</v>
      </c>
      <c r="B1513" s="0" t="s">
        <v>5011</v>
      </c>
      <c r="C1513" s="0" t="s">
        <v>31</v>
      </c>
      <c r="D1513" s="0" t="s">
        <v>3671</v>
      </c>
    </row>
    <row r="1514" customFormat="false" ht="15" hidden="false" customHeight="false" outlineLevel="0" collapsed="false">
      <c r="A1514" s="0" t="n">
        <v>1777</v>
      </c>
      <c r="B1514" s="0" t="s">
        <v>5012</v>
      </c>
      <c r="C1514" s="0" t="s">
        <v>31</v>
      </c>
      <c r="D1514" s="0" t="s">
        <v>3671</v>
      </c>
    </row>
    <row r="1515" customFormat="false" ht="15" hidden="false" customHeight="false" outlineLevel="0" collapsed="false">
      <c r="A1515" s="0" t="n">
        <v>1819</v>
      </c>
      <c r="B1515" s="0" t="s">
        <v>5013</v>
      </c>
      <c r="C1515" s="0" t="s">
        <v>31</v>
      </c>
      <c r="D1515" s="0" t="s">
        <v>3671</v>
      </c>
    </row>
    <row r="1516" customFormat="false" ht="15" hidden="false" customHeight="false" outlineLevel="0" collapsed="false">
      <c r="A1516" s="0" t="n">
        <v>1776</v>
      </c>
      <c r="B1516" s="0" t="s">
        <v>5014</v>
      </c>
      <c r="C1516" s="0" t="s">
        <v>31</v>
      </c>
      <c r="D1516" s="0" t="s">
        <v>3671</v>
      </c>
    </row>
    <row r="1517" customFormat="false" ht="15" hidden="false" customHeight="false" outlineLevel="0" collapsed="false">
      <c r="A1517" s="0" t="n">
        <v>1775</v>
      </c>
      <c r="B1517" s="0" t="s">
        <v>5015</v>
      </c>
      <c r="C1517" s="0" t="s">
        <v>31</v>
      </c>
      <c r="D1517" s="0" t="s">
        <v>3671</v>
      </c>
    </row>
    <row r="1518" customFormat="false" ht="15" hidden="false" customHeight="false" outlineLevel="0" collapsed="false">
      <c r="A1518" s="0" t="n">
        <v>1778</v>
      </c>
      <c r="B1518" s="0" t="s">
        <v>5016</v>
      </c>
      <c r="C1518" s="0" t="s">
        <v>31</v>
      </c>
      <c r="D1518" s="0" t="s">
        <v>3671</v>
      </c>
    </row>
    <row r="1519" customFormat="false" ht="15" hidden="false" customHeight="false" outlineLevel="0" collapsed="false">
      <c r="A1519" s="0" t="n">
        <v>1818</v>
      </c>
      <c r="B1519" s="0" t="s">
        <v>5017</v>
      </c>
      <c r="C1519" s="0" t="s">
        <v>31</v>
      </c>
      <c r="D1519" s="0" t="s">
        <v>3671</v>
      </c>
    </row>
    <row r="1520" customFormat="false" ht="15" hidden="false" customHeight="false" outlineLevel="0" collapsed="false">
      <c r="A1520" s="0" t="n">
        <v>1779</v>
      </c>
      <c r="B1520" s="0" t="s">
        <v>5018</v>
      </c>
      <c r="C1520" s="0" t="s">
        <v>31</v>
      </c>
      <c r="D1520" s="0" t="s">
        <v>3671</v>
      </c>
    </row>
    <row r="1521" customFormat="false" ht="15" hidden="false" customHeight="false" outlineLevel="0" collapsed="false">
      <c r="A1521" s="0" t="n">
        <v>1820</v>
      </c>
      <c r="B1521" s="0" t="s">
        <v>5019</v>
      </c>
      <c r="C1521" s="0" t="s">
        <v>31</v>
      </c>
      <c r="D1521" s="0" t="s">
        <v>3671</v>
      </c>
    </row>
    <row r="1522" customFormat="false" ht="15" hidden="false" customHeight="false" outlineLevel="0" collapsed="false">
      <c r="A1522" s="0" t="n">
        <v>1780</v>
      </c>
      <c r="B1522" s="0" t="s">
        <v>5020</v>
      </c>
      <c r="C1522" s="0" t="s">
        <v>31</v>
      </c>
      <c r="D1522" s="0" t="s">
        <v>3671</v>
      </c>
    </row>
    <row r="1523" customFormat="false" ht="15" hidden="false" customHeight="false" outlineLevel="0" collapsed="false">
      <c r="A1523" s="0" t="n">
        <v>1783</v>
      </c>
      <c r="B1523" s="0" t="s">
        <v>5021</v>
      </c>
      <c r="C1523" s="0" t="s">
        <v>31</v>
      </c>
      <c r="D1523" s="0" t="s">
        <v>3671</v>
      </c>
    </row>
    <row r="1524" customFormat="false" ht="15" hidden="false" customHeight="false" outlineLevel="0" collapsed="false">
      <c r="A1524" s="0" t="n">
        <v>1782</v>
      </c>
      <c r="B1524" s="0" t="s">
        <v>5022</v>
      </c>
      <c r="C1524" s="0" t="s">
        <v>31</v>
      </c>
      <c r="D1524" s="0" t="s">
        <v>3671</v>
      </c>
    </row>
    <row r="1525" customFormat="false" ht="15" hidden="false" customHeight="false" outlineLevel="0" collapsed="false">
      <c r="A1525" s="0" t="n">
        <v>1781</v>
      </c>
      <c r="B1525" s="0" t="s">
        <v>5023</v>
      </c>
      <c r="C1525" s="0" t="s">
        <v>31</v>
      </c>
      <c r="D1525" s="0" t="s">
        <v>3671</v>
      </c>
    </row>
    <row r="1526" customFormat="false" ht="15" hidden="false" customHeight="false" outlineLevel="0" collapsed="false">
      <c r="A1526" s="0" t="n">
        <v>1817</v>
      </c>
      <c r="B1526" s="0" t="s">
        <v>5024</v>
      </c>
      <c r="C1526" s="0" t="s">
        <v>31</v>
      </c>
      <c r="D1526" s="0" t="s">
        <v>3671</v>
      </c>
    </row>
    <row r="1527" customFormat="false" ht="15" hidden="false" customHeight="false" outlineLevel="0" collapsed="false">
      <c r="A1527" s="0" t="n">
        <v>1784</v>
      </c>
      <c r="B1527" s="0" t="s">
        <v>5025</v>
      </c>
      <c r="C1527" s="0" t="s">
        <v>31</v>
      </c>
      <c r="D1527" s="0" t="s">
        <v>3671</v>
      </c>
    </row>
    <row r="1528" customFormat="false" ht="15" hidden="false" customHeight="false" outlineLevel="0" collapsed="false">
      <c r="A1528" s="0" t="n">
        <v>1810</v>
      </c>
      <c r="B1528" s="0" t="s">
        <v>5026</v>
      </c>
      <c r="C1528" s="0" t="s">
        <v>31</v>
      </c>
      <c r="D1528" s="0" t="s">
        <v>3671</v>
      </c>
    </row>
    <row r="1529" customFormat="false" ht="15" hidden="false" customHeight="false" outlineLevel="0" collapsed="false">
      <c r="A1529" s="0" t="n">
        <v>1812</v>
      </c>
      <c r="B1529" s="0" t="s">
        <v>5027</v>
      </c>
      <c r="C1529" s="0" t="s">
        <v>31</v>
      </c>
      <c r="D1529" s="0" t="s">
        <v>3671</v>
      </c>
    </row>
    <row r="1530" customFormat="false" ht="15" hidden="false" customHeight="false" outlineLevel="0" collapsed="false">
      <c r="A1530" s="0" t="n">
        <v>1811</v>
      </c>
      <c r="B1530" s="0" t="s">
        <v>5028</v>
      </c>
      <c r="C1530" s="0" t="s">
        <v>31</v>
      </c>
      <c r="D1530" s="0" t="s">
        <v>3671</v>
      </c>
    </row>
    <row r="1531" customFormat="false" ht="15" hidden="false" customHeight="false" outlineLevel="0" collapsed="false">
      <c r="A1531" s="0" t="n">
        <v>40386</v>
      </c>
      <c r="B1531" s="0" t="s">
        <v>5029</v>
      </c>
      <c r="C1531" s="0" t="s">
        <v>31</v>
      </c>
      <c r="D1531" s="0" t="s">
        <v>3671</v>
      </c>
    </row>
    <row r="1532" customFormat="false" ht="15" hidden="false" customHeight="false" outlineLevel="0" collapsed="false">
      <c r="A1532" s="0" t="n">
        <v>40384</v>
      </c>
      <c r="B1532" s="0" t="s">
        <v>5030</v>
      </c>
      <c r="C1532" s="0" t="s">
        <v>31</v>
      </c>
      <c r="D1532" s="0" t="s">
        <v>3671</v>
      </c>
    </row>
    <row r="1533" customFormat="false" ht="15" hidden="false" customHeight="false" outlineLevel="0" collapsed="false">
      <c r="A1533" s="0" t="n">
        <v>40423</v>
      </c>
      <c r="B1533" s="0" t="s">
        <v>5031</v>
      </c>
      <c r="C1533" s="0" t="s">
        <v>31</v>
      </c>
      <c r="D1533" s="0" t="s">
        <v>3671</v>
      </c>
    </row>
    <row r="1534" customFormat="false" ht="15" hidden="false" customHeight="false" outlineLevel="0" collapsed="false">
      <c r="A1534" s="0" t="n">
        <v>40379</v>
      </c>
      <c r="B1534" s="0" t="s">
        <v>5032</v>
      </c>
      <c r="C1534" s="0" t="s">
        <v>31</v>
      </c>
      <c r="D1534" s="0" t="s">
        <v>3671</v>
      </c>
    </row>
    <row r="1535" customFormat="false" ht="15" hidden="false" customHeight="false" outlineLevel="0" collapsed="false">
      <c r="A1535" s="0" t="n">
        <v>40389</v>
      </c>
      <c r="B1535" s="0" t="s">
        <v>5033</v>
      </c>
      <c r="C1535" s="0" t="s">
        <v>31</v>
      </c>
      <c r="D1535" s="0" t="s">
        <v>3671</v>
      </c>
    </row>
    <row r="1536" customFormat="false" ht="15" hidden="false" customHeight="false" outlineLevel="0" collapsed="false">
      <c r="A1536" s="0" t="n">
        <v>40388</v>
      </c>
      <c r="B1536" s="0" t="s">
        <v>5034</v>
      </c>
      <c r="C1536" s="0" t="s">
        <v>31</v>
      </c>
      <c r="D1536" s="0" t="s">
        <v>3671</v>
      </c>
    </row>
    <row r="1537" customFormat="false" ht="15" hidden="false" customHeight="false" outlineLevel="0" collapsed="false">
      <c r="A1537" s="0" t="n">
        <v>40391</v>
      </c>
      <c r="B1537" s="0" t="s">
        <v>5035</v>
      </c>
      <c r="C1537" s="0" t="s">
        <v>31</v>
      </c>
      <c r="D1537" s="0" t="s">
        <v>3671</v>
      </c>
    </row>
    <row r="1538" customFormat="false" ht="15" hidden="false" customHeight="false" outlineLevel="0" collapsed="false">
      <c r="A1538" s="0" t="n">
        <v>40381</v>
      </c>
      <c r="B1538" s="0" t="s">
        <v>5036</v>
      </c>
      <c r="C1538" s="0" t="s">
        <v>31</v>
      </c>
      <c r="D1538" s="0" t="s">
        <v>3671</v>
      </c>
    </row>
    <row r="1539" customFormat="false" ht="15" hidden="false" customHeight="false" outlineLevel="0" collapsed="false">
      <c r="A1539" s="0" t="n">
        <v>2609</v>
      </c>
      <c r="B1539" s="0" t="s">
        <v>5037</v>
      </c>
      <c r="C1539" s="0" t="s">
        <v>31</v>
      </c>
      <c r="D1539" s="0" t="s">
        <v>3671</v>
      </c>
      <c r="E1539" s="0" t="n">
        <v>3.84</v>
      </c>
    </row>
    <row r="1540" customFormat="false" ht="15" hidden="false" customHeight="false" outlineLevel="0" collapsed="false">
      <c r="A1540" s="0" t="n">
        <v>2634</v>
      </c>
      <c r="B1540" s="0" t="s">
        <v>5038</v>
      </c>
      <c r="C1540" s="0" t="s">
        <v>31</v>
      </c>
      <c r="D1540" s="0" t="s">
        <v>3671</v>
      </c>
      <c r="E1540" s="0" t="n">
        <v>5.04</v>
      </c>
    </row>
    <row r="1541" customFormat="false" ht="15" hidden="false" customHeight="false" outlineLevel="0" collapsed="false">
      <c r="A1541" s="0" t="n">
        <v>2611</v>
      </c>
      <c r="B1541" s="0" t="s">
        <v>5039</v>
      </c>
      <c r="C1541" s="0" t="s">
        <v>31</v>
      </c>
      <c r="D1541" s="0" t="s">
        <v>3671</v>
      </c>
      <c r="E1541" s="0" t="n">
        <v>14.22</v>
      </c>
    </row>
    <row r="1542" customFormat="false" ht="15" hidden="false" customHeight="false" outlineLevel="0" collapsed="false">
      <c r="A1542" s="0" t="n">
        <v>40414</v>
      </c>
      <c r="B1542" s="0" t="s">
        <v>5040</v>
      </c>
      <c r="C1542" s="0" t="s">
        <v>31</v>
      </c>
      <c r="D1542" s="0" t="s">
        <v>3671</v>
      </c>
    </row>
    <row r="1543" customFormat="false" ht="15" hidden="false" customHeight="false" outlineLevel="0" collapsed="false">
      <c r="A1543" s="0" t="n">
        <v>40416</v>
      </c>
      <c r="B1543" s="0" t="s">
        <v>5041</v>
      </c>
      <c r="C1543" s="0" t="s">
        <v>31</v>
      </c>
      <c r="D1543" s="0" t="s">
        <v>3671</v>
      </c>
    </row>
    <row r="1544" customFormat="false" ht="15" hidden="false" customHeight="false" outlineLevel="0" collapsed="false">
      <c r="A1544" s="0" t="n">
        <v>40418</v>
      </c>
      <c r="B1544" s="0" t="s">
        <v>5042</v>
      </c>
      <c r="C1544" s="0" t="s">
        <v>31</v>
      </c>
      <c r="D1544" s="0" t="s">
        <v>3671</v>
      </c>
    </row>
    <row r="1545" customFormat="false" ht="15" hidden="false" customHeight="false" outlineLevel="0" collapsed="false">
      <c r="A1545" s="0" t="n">
        <v>34359</v>
      </c>
      <c r="B1545" s="0" t="s">
        <v>5043</v>
      </c>
      <c r="C1545" s="0" t="s">
        <v>31</v>
      </c>
      <c r="D1545" s="0" t="s">
        <v>3671</v>
      </c>
    </row>
    <row r="1546" customFormat="false" ht="15" hidden="false" customHeight="false" outlineLevel="0" collapsed="false">
      <c r="A1546" s="0" t="n">
        <v>1789</v>
      </c>
      <c r="B1546" s="0" t="s">
        <v>5044</v>
      </c>
      <c r="C1546" s="0" t="s">
        <v>31</v>
      </c>
      <c r="D1546" s="0" t="s">
        <v>3671</v>
      </c>
    </row>
    <row r="1547" customFormat="false" ht="15" hidden="false" customHeight="false" outlineLevel="0" collapsed="false">
      <c r="A1547" s="0" t="n">
        <v>1788</v>
      </c>
      <c r="B1547" s="0" t="s">
        <v>5045</v>
      </c>
      <c r="C1547" s="0" t="s">
        <v>31</v>
      </c>
      <c r="D1547" s="0" t="s">
        <v>3671</v>
      </c>
    </row>
    <row r="1548" customFormat="false" ht="15" hidden="false" customHeight="false" outlineLevel="0" collapsed="false">
      <c r="A1548" s="0" t="n">
        <v>1787</v>
      </c>
      <c r="B1548" s="0" t="s">
        <v>5046</v>
      </c>
      <c r="C1548" s="0" t="s">
        <v>31</v>
      </c>
      <c r="D1548" s="0" t="s">
        <v>3671</v>
      </c>
    </row>
    <row r="1549" customFormat="false" ht="15" hidden="false" customHeight="false" outlineLevel="0" collapsed="false">
      <c r="A1549" s="0" t="n">
        <v>1786</v>
      </c>
      <c r="B1549" s="0" t="s">
        <v>5047</v>
      </c>
      <c r="C1549" s="0" t="s">
        <v>31</v>
      </c>
      <c r="D1549" s="0" t="s">
        <v>3671</v>
      </c>
    </row>
    <row r="1550" customFormat="false" ht="15" hidden="false" customHeight="false" outlineLevel="0" collapsed="false">
      <c r="A1550" s="0" t="n">
        <v>1791</v>
      </c>
      <c r="B1550" s="0" t="s">
        <v>5048</v>
      </c>
      <c r="C1550" s="0" t="s">
        <v>31</v>
      </c>
      <c r="D1550" s="0" t="s">
        <v>3671</v>
      </c>
    </row>
    <row r="1551" customFormat="false" ht="15" hidden="false" customHeight="false" outlineLevel="0" collapsed="false">
      <c r="A1551" s="0" t="n">
        <v>1790</v>
      </c>
      <c r="B1551" s="0" t="s">
        <v>5049</v>
      </c>
      <c r="C1551" s="0" t="s">
        <v>31</v>
      </c>
      <c r="D1551" s="0" t="s">
        <v>3671</v>
      </c>
    </row>
    <row r="1552" customFormat="false" ht="15" hidden="false" customHeight="false" outlineLevel="0" collapsed="false">
      <c r="A1552" s="0" t="n">
        <v>1792</v>
      </c>
      <c r="B1552" s="0" t="s">
        <v>5050</v>
      </c>
      <c r="C1552" s="0" t="s">
        <v>31</v>
      </c>
      <c r="D1552" s="0" t="s">
        <v>3671</v>
      </c>
    </row>
    <row r="1553" customFormat="false" ht="15" hidden="false" customHeight="false" outlineLevel="0" collapsed="false">
      <c r="A1553" s="0" t="n">
        <v>1813</v>
      </c>
      <c r="B1553" s="0" t="s">
        <v>5051</v>
      </c>
      <c r="C1553" s="0" t="s">
        <v>31</v>
      </c>
      <c r="D1553" s="0" t="s">
        <v>3671</v>
      </c>
    </row>
    <row r="1554" customFormat="false" ht="15" hidden="false" customHeight="false" outlineLevel="0" collapsed="false">
      <c r="A1554" s="0" t="n">
        <v>1793</v>
      </c>
      <c r="B1554" s="0" t="s">
        <v>5052</v>
      </c>
      <c r="C1554" s="0" t="s">
        <v>31</v>
      </c>
      <c r="D1554" s="0" t="s">
        <v>3671</v>
      </c>
    </row>
    <row r="1555" customFormat="false" ht="15" hidden="false" customHeight="false" outlineLevel="0" collapsed="false">
      <c r="A1555" s="0" t="n">
        <v>1797</v>
      </c>
      <c r="B1555" s="0" t="s">
        <v>5053</v>
      </c>
      <c r="C1555" s="0" t="s">
        <v>31</v>
      </c>
      <c r="D1555" s="0" t="s">
        <v>3671</v>
      </c>
    </row>
    <row r="1556" customFormat="false" ht="15" hidden="false" customHeight="false" outlineLevel="0" collapsed="false">
      <c r="A1556" s="0" t="n">
        <v>1796</v>
      </c>
      <c r="B1556" s="0" t="s">
        <v>5054</v>
      </c>
      <c r="C1556" s="0" t="s">
        <v>31</v>
      </c>
      <c r="D1556" s="0" t="s">
        <v>3671</v>
      </c>
    </row>
    <row r="1557" customFormat="false" ht="15" hidden="false" customHeight="false" outlineLevel="0" collapsed="false">
      <c r="A1557" s="0" t="n">
        <v>1816</v>
      </c>
      <c r="B1557" s="0" t="s">
        <v>5055</v>
      </c>
      <c r="C1557" s="0" t="s">
        <v>31</v>
      </c>
      <c r="D1557" s="0" t="s">
        <v>3671</v>
      </c>
    </row>
    <row r="1558" customFormat="false" ht="15" hidden="false" customHeight="false" outlineLevel="0" collapsed="false">
      <c r="A1558" s="0" t="n">
        <v>1794</v>
      </c>
      <c r="B1558" s="0" t="s">
        <v>5056</v>
      </c>
      <c r="C1558" s="0" t="s">
        <v>31</v>
      </c>
      <c r="D1558" s="0" t="s">
        <v>3671</v>
      </c>
    </row>
    <row r="1559" customFormat="false" ht="15" hidden="false" customHeight="false" outlineLevel="0" collapsed="false">
      <c r="A1559" s="0" t="n">
        <v>1815</v>
      </c>
      <c r="B1559" s="0" t="s">
        <v>5057</v>
      </c>
      <c r="C1559" s="0" t="s">
        <v>31</v>
      </c>
      <c r="D1559" s="0" t="s">
        <v>3671</v>
      </c>
    </row>
    <row r="1560" customFormat="false" ht="15" hidden="false" customHeight="false" outlineLevel="0" collapsed="false">
      <c r="A1560" s="0" t="n">
        <v>1798</v>
      </c>
      <c r="B1560" s="0" t="s">
        <v>5058</v>
      </c>
      <c r="C1560" s="0" t="s">
        <v>31</v>
      </c>
      <c r="D1560" s="0" t="s">
        <v>3671</v>
      </c>
    </row>
    <row r="1561" customFormat="false" ht="15" hidden="false" customHeight="false" outlineLevel="0" collapsed="false">
      <c r="A1561" s="0" t="n">
        <v>1799</v>
      </c>
      <c r="B1561" s="0" t="s">
        <v>5059</v>
      </c>
      <c r="C1561" s="0" t="s">
        <v>31</v>
      </c>
      <c r="D1561" s="0" t="s">
        <v>3671</v>
      </c>
    </row>
    <row r="1562" customFormat="false" ht="15" hidden="false" customHeight="false" outlineLevel="0" collapsed="false">
      <c r="A1562" s="0" t="n">
        <v>1795</v>
      </c>
      <c r="B1562" s="0" t="s">
        <v>5060</v>
      </c>
      <c r="C1562" s="0" t="s">
        <v>31</v>
      </c>
      <c r="D1562" s="0" t="s">
        <v>3671</v>
      </c>
    </row>
    <row r="1563" customFormat="false" ht="15" hidden="false" customHeight="false" outlineLevel="0" collapsed="false">
      <c r="A1563" s="0" t="n">
        <v>1800</v>
      </c>
      <c r="B1563" s="0" t="s">
        <v>5061</v>
      </c>
      <c r="C1563" s="0" t="s">
        <v>31</v>
      </c>
      <c r="D1563" s="0" t="s">
        <v>3671</v>
      </c>
    </row>
    <row r="1564" customFormat="false" ht="15" hidden="false" customHeight="false" outlineLevel="0" collapsed="false">
      <c r="A1564" s="0" t="n">
        <v>1802</v>
      </c>
      <c r="B1564" s="0" t="s">
        <v>5062</v>
      </c>
      <c r="C1564" s="0" t="s">
        <v>31</v>
      </c>
      <c r="D1564" s="0" t="s">
        <v>3671</v>
      </c>
    </row>
    <row r="1565" customFormat="false" ht="15" hidden="false" customHeight="false" outlineLevel="0" collapsed="false">
      <c r="A1565" s="0" t="n">
        <v>1809</v>
      </c>
      <c r="B1565" s="0" t="s">
        <v>5063</v>
      </c>
      <c r="C1565" s="0" t="s">
        <v>31</v>
      </c>
      <c r="D1565" s="0" t="s">
        <v>3671</v>
      </c>
    </row>
    <row r="1566" customFormat="false" ht="15" hidden="false" customHeight="false" outlineLevel="0" collapsed="false">
      <c r="A1566" s="0" t="n">
        <v>1814</v>
      </c>
      <c r="B1566" s="0" t="s">
        <v>5064</v>
      </c>
      <c r="C1566" s="0" t="s">
        <v>31</v>
      </c>
      <c r="D1566" s="0" t="s">
        <v>3671</v>
      </c>
    </row>
    <row r="1567" customFormat="false" ht="15" hidden="false" customHeight="false" outlineLevel="0" collapsed="false">
      <c r="A1567" s="0" t="n">
        <v>1805</v>
      </c>
      <c r="B1567" s="0" t="s">
        <v>5065</v>
      </c>
      <c r="C1567" s="0" t="s">
        <v>31</v>
      </c>
      <c r="D1567" s="0" t="s">
        <v>3671</v>
      </c>
    </row>
    <row r="1568" customFormat="false" ht="15" hidden="false" customHeight="false" outlineLevel="0" collapsed="false">
      <c r="A1568" s="0" t="n">
        <v>1803</v>
      </c>
      <c r="B1568" s="0" t="s">
        <v>5066</v>
      </c>
      <c r="C1568" s="0" t="s">
        <v>31</v>
      </c>
      <c r="D1568" s="0" t="s">
        <v>3671</v>
      </c>
    </row>
    <row r="1569" customFormat="false" ht="15" hidden="false" customHeight="false" outlineLevel="0" collapsed="false">
      <c r="A1569" s="0" t="n">
        <v>1821</v>
      </c>
      <c r="B1569" s="0" t="s">
        <v>5067</v>
      </c>
      <c r="C1569" s="0" t="s">
        <v>31</v>
      </c>
      <c r="D1569" s="0" t="s">
        <v>3671</v>
      </c>
    </row>
    <row r="1570" customFormat="false" ht="15" hidden="false" customHeight="false" outlineLevel="0" collapsed="false">
      <c r="A1570" s="0" t="n">
        <v>1806</v>
      </c>
      <c r="B1570" s="0" t="s">
        <v>5068</v>
      </c>
      <c r="C1570" s="0" t="s">
        <v>31</v>
      </c>
      <c r="D1570" s="0" t="s">
        <v>3671</v>
      </c>
    </row>
    <row r="1571" customFormat="false" ht="15" hidden="false" customHeight="false" outlineLevel="0" collapsed="false">
      <c r="A1571" s="0" t="n">
        <v>1807</v>
      </c>
      <c r="B1571" s="0" t="s">
        <v>5069</v>
      </c>
      <c r="C1571" s="0" t="s">
        <v>31</v>
      </c>
      <c r="D1571" s="0" t="s">
        <v>3671</v>
      </c>
    </row>
    <row r="1572" customFormat="false" ht="15" hidden="false" customHeight="false" outlineLevel="0" collapsed="false">
      <c r="A1572" s="0" t="n">
        <v>1804</v>
      </c>
      <c r="B1572" s="0" t="s">
        <v>5070</v>
      </c>
      <c r="C1572" s="0" t="s">
        <v>31</v>
      </c>
      <c r="D1572" s="0" t="s">
        <v>3671</v>
      </c>
    </row>
    <row r="1573" customFormat="false" ht="15" hidden="false" customHeight="false" outlineLevel="0" collapsed="false">
      <c r="A1573" s="0" t="n">
        <v>1808</v>
      </c>
      <c r="B1573" s="0" t="s">
        <v>5071</v>
      </c>
      <c r="C1573" s="0" t="s">
        <v>31</v>
      </c>
      <c r="D1573" s="0" t="s">
        <v>3671</v>
      </c>
    </row>
    <row r="1574" customFormat="false" ht="15" hidden="false" customHeight="false" outlineLevel="0" collapsed="false">
      <c r="A1574" s="0" t="n">
        <v>40385</v>
      </c>
      <c r="B1574" s="0" t="s">
        <v>5072</v>
      </c>
      <c r="C1574" s="0" t="s">
        <v>31</v>
      </c>
      <c r="D1574" s="0" t="s">
        <v>3671</v>
      </c>
    </row>
    <row r="1575" customFormat="false" ht="15" hidden="false" customHeight="false" outlineLevel="0" collapsed="false">
      <c r="A1575" s="0" t="n">
        <v>40383</v>
      </c>
      <c r="B1575" s="0" t="s">
        <v>5073</v>
      </c>
      <c r="C1575" s="0" t="s">
        <v>31</v>
      </c>
      <c r="D1575" s="0" t="s">
        <v>3671</v>
      </c>
    </row>
    <row r="1576" customFormat="false" ht="15" hidden="false" customHeight="false" outlineLevel="0" collapsed="false">
      <c r="A1576" s="0" t="n">
        <v>40382</v>
      </c>
      <c r="B1576" s="0" t="s">
        <v>5074</v>
      </c>
      <c r="C1576" s="0" t="s">
        <v>31</v>
      </c>
      <c r="D1576" s="0" t="s">
        <v>3671</v>
      </c>
    </row>
    <row r="1577" customFormat="false" ht="15" hidden="false" customHeight="false" outlineLevel="0" collapsed="false">
      <c r="A1577" s="0" t="n">
        <v>40378</v>
      </c>
      <c r="B1577" s="0" t="s">
        <v>5075</v>
      </c>
      <c r="C1577" s="0" t="s">
        <v>31</v>
      </c>
      <c r="D1577" s="0" t="s">
        <v>3671</v>
      </c>
    </row>
    <row r="1578" customFormat="false" ht="15" hidden="false" customHeight="false" outlineLevel="0" collapsed="false">
      <c r="A1578" s="0" t="n">
        <v>40422</v>
      </c>
      <c r="B1578" s="0" t="s">
        <v>5076</v>
      </c>
      <c r="C1578" s="0" t="s">
        <v>31</v>
      </c>
      <c r="D1578" s="0" t="s">
        <v>3671</v>
      </c>
    </row>
    <row r="1579" customFormat="false" ht="15" hidden="false" customHeight="false" outlineLevel="0" collapsed="false">
      <c r="A1579" s="0" t="n">
        <v>40387</v>
      </c>
      <c r="B1579" s="0" t="s">
        <v>5077</v>
      </c>
      <c r="C1579" s="0" t="s">
        <v>31</v>
      </c>
      <c r="D1579" s="0" t="s">
        <v>3671</v>
      </c>
    </row>
    <row r="1580" customFormat="false" ht="15" hidden="false" customHeight="false" outlineLevel="0" collapsed="false">
      <c r="A1580" s="0" t="n">
        <v>40390</v>
      </c>
      <c r="B1580" s="0" t="s">
        <v>5078</v>
      </c>
      <c r="C1580" s="0" t="s">
        <v>31</v>
      </c>
      <c r="D1580" s="0" t="s">
        <v>3671</v>
      </c>
    </row>
    <row r="1581" customFormat="false" ht="15" hidden="false" customHeight="false" outlineLevel="0" collapsed="false">
      <c r="A1581" s="0" t="n">
        <v>40380</v>
      </c>
      <c r="B1581" s="0" t="s">
        <v>5079</v>
      </c>
      <c r="C1581" s="0" t="s">
        <v>31</v>
      </c>
      <c r="D1581" s="0" t="s">
        <v>3671</v>
      </c>
    </row>
    <row r="1582" customFormat="false" ht="15" hidden="false" customHeight="false" outlineLevel="0" collapsed="false">
      <c r="A1582" s="0" t="n">
        <v>2621</v>
      </c>
      <c r="B1582" s="0" t="s">
        <v>5080</v>
      </c>
      <c r="C1582" s="0" t="s">
        <v>31</v>
      </c>
      <c r="D1582" s="0" t="s">
        <v>3671</v>
      </c>
      <c r="E1582" s="0" t="n">
        <v>121.65</v>
      </c>
    </row>
    <row r="1583" customFormat="false" ht="15" hidden="false" customHeight="false" outlineLevel="0" collapsed="false">
      <c r="A1583" s="0" t="n">
        <v>2616</v>
      </c>
      <c r="B1583" s="0" t="s">
        <v>5081</v>
      </c>
      <c r="C1583" s="0" t="s">
        <v>31</v>
      </c>
      <c r="D1583" s="0" t="s">
        <v>3671</v>
      </c>
      <c r="E1583" s="0" t="n">
        <v>3.44</v>
      </c>
    </row>
    <row r="1584" customFormat="false" ht="15" hidden="false" customHeight="false" outlineLevel="0" collapsed="false">
      <c r="A1584" s="0" t="n">
        <v>2633</v>
      </c>
      <c r="B1584" s="0" t="s">
        <v>5082</v>
      </c>
      <c r="C1584" s="0" t="s">
        <v>31</v>
      </c>
      <c r="D1584" s="0" t="s">
        <v>3671</v>
      </c>
      <c r="E1584" s="0" t="n">
        <v>3.89</v>
      </c>
    </row>
    <row r="1585" customFormat="false" ht="15" hidden="false" customHeight="false" outlineLevel="0" collapsed="false">
      <c r="A1585" s="0" t="n">
        <v>2617</v>
      </c>
      <c r="B1585" s="0" t="s">
        <v>2382</v>
      </c>
      <c r="C1585" s="0" t="s">
        <v>31</v>
      </c>
      <c r="D1585" s="0" t="s">
        <v>3671</v>
      </c>
      <c r="E1585" s="0" t="n">
        <v>5.29</v>
      </c>
    </row>
    <row r="1586" customFormat="false" ht="15" hidden="false" customHeight="false" outlineLevel="0" collapsed="false">
      <c r="A1586" s="0" t="n">
        <v>2618</v>
      </c>
      <c r="B1586" s="0" t="s">
        <v>5083</v>
      </c>
      <c r="C1586" s="0" t="s">
        <v>31</v>
      </c>
      <c r="D1586" s="0" t="s">
        <v>3671</v>
      </c>
      <c r="E1586" s="0" t="n">
        <v>12.05</v>
      </c>
    </row>
    <row r="1587" customFormat="false" ht="15" hidden="false" customHeight="false" outlineLevel="0" collapsed="false">
      <c r="A1587" s="0" t="n">
        <v>2632</v>
      </c>
      <c r="B1587" s="0" t="s">
        <v>5084</v>
      </c>
      <c r="C1587" s="0" t="s">
        <v>31</v>
      </c>
      <c r="D1587" s="0" t="s">
        <v>3671</v>
      </c>
      <c r="E1587" s="0" t="n">
        <v>14.7</v>
      </c>
    </row>
    <row r="1588" customFormat="false" ht="15" hidden="false" customHeight="false" outlineLevel="0" collapsed="false">
      <c r="A1588" s="0" t="n">
        <v>2631</v>
      </c>
      <c r="B1588" s="0" t="s">
        <v>5085</v>
      </c>
      <c r="C1588" s="0" t="s">
        <v>31</v>
      </c>
      <c r="D1588" s="0" t="s">
        <v>3671</v>
      </c>
      <c r="E1588" s="0" t="n">
        <v>21.58</v>
      </c>
    </row>
    <row r="1589" customFormat="false" ht="15" hidden="false" customHeight="false" outlineLevel="0" collapsed="false">
      <c r="A1589" s="0" t="n">
        <v>2619</v>
      </c>
      <c r="B1589" s="0" t="s">
        <v>5086</v>
      </c>
      <c r="C1589" s="0" t="s">
        <v>31</v>
      </c>
      <c r="D1589" s="0" t="s">
        <v>3671</v>
      </c>
      <c r="E1589" s="0" t="n">
        <v>54.63</v>
      </c>
    </row>
    <row r="1590" customFormat="false" ht="15" hidden="false" customHeight="false" outlineLevel="0" collapsed="false">
      <c r="A1590" s="0" t="n">
        <v>2620</v>
      </c>
      <c r="B1590" s="0" t="s">
        <v>5087</v>
      </c>
      <c r="C1590" s="0" t="s">
        <v>31</v>
      </c>
      <c r="D1590" s="0" t="s">
        <v>3671</v>
      </c>
      <c r="E1590" s="0" t="n">
        <v>71.73</v>
      </c>
    </row>
    <row r="1591" customFormat="false" ht="15" hidden="false" customHeight="false" outlineLevel="0" collapsed="false">
      <c r="A1591" s="0" t="n">
        <v>40413</v>
      </c>
      <c r="B1591" s="0" t="s">
        <v>5088</v>
      </c>
      <c r="C1591" s="0" t="s">
        <v>31</v>
      </c>
      <c r="D1591" s="0" t="s">
        <v>3671</v>
      </c>
    </row>
    <row r="1592" customFormat="false" ht="15" hidden="false" customHeight="false" outlineLevel="0" collapsed="false">
      <c r="A1592" s="0" t="n">
        <v>40415</v>
      </c>
      <c r="B1592" s="0" t="s">
        <v>5089</v>
      </c>
      <c r="C1592" s="0" t="s">
        <v>31</v>
      </c>
      <c r="D1592" s="0" t="s">
        <v>3671</v>
      </c>
    </row>
    <row r="1593" customFormat="false" ht="15" hidden="false" customHeight="false" outlineLevel="0" collapsed="false">
      <c r="A1593" s="0" t="n">
        <v>40417</v>
      </c>
      <c r="B1593" s="0" t="s">
        <v>5090</v>
      </c>
      <c r="C1593" s="0" t="s">
        <v>31</v>
      </c>
      <c r="D1593" s="0" t="s">
        <v>3671</v>
      </c>
    </row>
    <row r="1594" customFormat="false" ht="15" hidden="false" customHeight="false" outlineLevel="0" collapsed="false">
      <c r="A1594" s="0" t="n">
        <v>39273</v>
      </c>
      <c r="B1594" s="0" t="s">
        <v>5091</v>
      </c>
      <c r="C1594" s="0" t="s">
        <v>31</v>
      </c>
      <c r="D1594" s="0" t="s">
        <v>3671</v>
      </c>
      <c r="E1594" s="0" t="n">
        <v>2.12</v>
      </c>
    </row>
    <row r="1595" customFormat="false" ht="15" hidden="false" customHeight="false" outlineLevel="0" collapsed="false">
      <c r="A1595" s="0" t="n">
        <v>39271</v>
      </c>
      <c r="B1595" s="0" t="s">
        <v>5092</v>
      </c>
      <c r="C1595" s="0" t="s">
        <v>31</v>
      </c>
      <c r="D1595" s="0" t="s">
        <v>3671</v>
      </c>
      <c r="E1595" s="0" t="n">
        <v>1.25</v>
      </c>
    </row>
    <row r="1596" customFormat="false" ht="15" hidden="false" customHeight="false" outlineLevel="0" collapsed="false">
      <c r="A1596" s="0" t="n">
        <v>39272</v>
      </c>
      <c r="B1596" s="0" t="s">
        <v>5093</v>
      </c>
      <c r="C1596" s="0" t="s">
        <v>31</v>
      </c>
      <c r="D1596" s="0" t="s">
        <v>3671</v>
      </c>
      <c r="E1596" s="0" t="n">
        <v>1.54</v>
      </c>
    </row>
    <row r="1597" customFormat="false" ht="15" hidden="false" customHeight="false" outlineLevel="0" collapsed="false">
      <c r="A1597" s="0" t="n">
        <v>1875</v>
      </c>
      <c r="B1597" s="0" t="s">
        <v>5094</v>
      </c>
      <c r="C1597" s="0" t="s">
        <v>31</v>
      </c>
      <c r="D1597" s="0" t="s">
        <v>3671</v>
      </c>
      <c r="E1597" s="0" t="n">
        <v>3.39</v>
      </c>
    </row>
    <row r="1598" customFormat="false" ht="15" hidden="false" customHeight="false" outlineLevel="0" collapsed="false">
      <c r="A1598" s="0" t="n">
        <v>1874</v>
      </c>
      <c r="B1598" s="0" t="s">
        <v>5095</v>
      </c>
      <c r="C1598" s="0" t="s">
        <v>31</v>
      </c>
      <c r="D1598" s="0" t="s">
        <v>3671</v>
      </c>
      <c r="E1598" s="0" t="n">
        <v>2.8</v>
      </c>
    </row>
    <row r="1599" customFormat="false" ht="15" hidden="false" customHeight="false" outlineLevel="0" collapsed="false">
      <c r="A1599" s="0" t="n">
        <v>1884</v>
      </c>
      <c r="B1599" s="0" t="s">
        <v>5096</v>
      </c>
      <c r="C1599" s="0" t="s">
        <v>31</v>
      </c>
      <c r="D1599" s="0" t="s">
        <v>3671</v>
      </c>
      <c r="E1599" s="0" t="n">
        <v>2.48</v>
      </c>
    </row>
    <row r="1600" customFormat="false" ht="15" hidden="false" customHeight="false" outlineLevel="0" collapsed="false">
      <c r="A1600" s="0" t="n">
        <v>1870</v>
      </c>
      <c r="B1600" s="0" t="s">
        <v>5097</v>
      </c>
      <c r="C1600" s="0" t="s">
        <v>31</v>
      </c>
      <c r="D1600" s="0" t="s">
        <v>3676</v>
      </c>
      <c r="E1600" s="0" t="n">
        <v>1.62</v>
      </c>
    </row>
    <row r="1601" customFormat="false" ht="15" hidden="false" customHeight="false" outlineLevel="0" collapsed="false">
      <c r="A1601" s="0" t="n">
        <v>1887</v>
      </c>
      <c r="B1601" s="0" t="s">
        <v>5098</v>
      </c>
      <c r="C1601" s="0" t="s">
        <v>31</v>
      </c>
      <c r="D1601" s="0" t="s">
        <v>3671</v>
      </c>
      <c r="E1601" s="0" t="n">
        <v>14.08</v>
      </c>
    </row>
    <row r="1602" customFormat="false" ht="15" hidden="false" customHeight="false" outlineLevel="0" collapsed="false">
      <c r="A1602" s="0" t="n">
        <v>1876</v>
      </c>
      <c r="B1602" s="0" t="s">
        <v>5099</v>
      </c>
      <c r="C1602" s="0" t="s">
        <v>31</v>
      </c>
      <c r="D1602" s="0" t="s">
        <v>3671</v>
      </c>
      <c r="E1602" s="0" t="n">
        <v>5.52</v>
      </c>
    </row>
    <row r="1603" customFormat="false" ht="15" hidden="false" customHeight="false" outlineLevel="0" collapsed="false">
      <c r="A1603" s="0" t="n">
        <v>1877</v>
      </c>
      <c r="B1603" s="0" t="s">
        <v>5100</v>
      </c>
      <c r="C1603" s="0" t="s">
        <v>31</v>
      </c>
      <c r="D1603" s="0" t="s">
        <v>3671</v>
      </c>
      <c r="E1603" s="0" t="n">
        <v>14.1</v>
      </c>
    </row>
    <row r="1604" customFormat="false" ht="15" hidden="false" customHeight="false" outlineLevel="0" collapsed="false">
      <c r="A1604" s="0" t="n">
        <v>1879</v>
      </c>
      <c r="B1604" s="0" t="s">
        <v>2747</v>
      </c>
      <c r="C1604" s="0" t="s">
        <v>31</v>
      </c>
      <c r="D1604" s="0" t="s">
        <v>3671</v>
      </c>
      <c r="E1604" s="0" t="n">
        <v>1.64</v>
      </c>
    </row>
    <row r="1605" customFormat="false" ht="15" hidden="false" customHeight="false" outlineLevel="0" collapsed="false">
      <c r="A1605" s="0" t="n">
        <v>1878</v>
      </c>
      <c r="B1605" s="0" t="s">
        <v>5101</v>
      </c>
      <c r="C1605" s="0" t="s">
        <v>31</v>
      </c>
      <c r="D1605" s="0" t="s">
        <v>3671</v>
      </c>
      <c r="E1605" s="0" t="n">
        <v>28.33</v>
      </c>
    </row>
    <row r="1606" customFormat="false" ht="15" hidden="false" customHeight="false" outlineLevel="0" collapsed="false">
      <c r="A1606" s="0" t="n">
        <v>37971</v>
      </c>
      <c r="B1606" s="0" t="s">
        <v>5102</v>
      </c>
      <c r="C1606" s="0" t="s">
        <v>31</v>
      </c>
      <c r="D1606" s="0" t="s">
        <v>3671</v>
      </c>
      <c r="E1606" s="0" t="n">
        <v>4.86</v>
      </c>
    </row>
    <row r="1607" customFormat="false" ht="15" hidden="false" customHeight="false" outlineLevel="0" collapsed="false">
      <c r="A1607" s="0" t="n">
        <v>37972</v>
      </c>
      <c r="B1607" s="0" t="s">
        <v>5103</v>
      </c>
      <c r="C1607" s="0" t="s">
        <v>31</v>
      </c>
      <c r="D1607" s="0" t="s">
        <v>3671</v>
      </c>
      <c r="E1607" s="0" t="n">
        <v>6.89</v>
      </c>
    </row>
    <row r="1608" customFormat="false" ht="15" hidden="false" customHeight="false" outlineLevel="0" collapsed="false">
      <c r="A1608" s="0" t="n">
        <v>37973</v>
      </c>
      <c r="B1608" s="0" t="s">
        <v>5104</v>
      </c>
      <c r="C1608" s="0" t="s">
        <v>31</v>
      </c>
      <c r="D1608" s="0" t="s">
        <v>3671</v>
      </c>
      <c r="E1608" s="0" t="n">
        <v>12.95</v>
      </c>
    </row>
    <row r="1609" customFormat="false" ht="15" hidden="false" customHeight="false" outlineLevel="0" collapsed="false">
      <c r="A1609" s="0" t="n">
        <v>1926</v>
      </c>
      <c r="B1609" s="0" t="s">
        <v>5105</v>
      </c>
      <c r="C1609" s="0" t="s">
        <v>31</v>
      </c>
      <c r="D1609" s="0" t="s">
        <v>3671</v>
      </c>
      <c r="E1609" s="0" t="n">
        <v>2.19</v>
      </c>
    </row>
    <row r="1610" customFormat="false" ht="15" hidden="false" customHeight="false" outlineLevel="0" collapsed="false">
      <c r="A1610" s="0" t="n">
        <v>1927</v>
      </c>
      <c r="B1610" s="0" t="s">
        <v>5106</v>
      </c>
      <c r="C1610" s="0" t="s">
        <v>31</v>
      </c>
      <c r="D1610" s="0" t="s">
        <v>3671</v>
      </c>
      <c r="E1610" s="0" t="n">
        <v>2.46</v>
      </c>
    </row>
    <row r="1611" customFormat="false" ht="15" hidden="false" customHeight="false" outlineLevel="0" collapsed="false">
      <c r="A1611" s="0" t="n">
        <v>1923</v>
      </c>
      <c r="B1611" s="0" t="s">
        <v>5107</v>
      </c>
      <c r="C1611" s="0" t="s">
        <v>31</v>
      </c>
      <c r="D1611" s="0" t="s">
        <v>3671</v>
      </c>
      <c r="E1611" s="0" t="n">
        <v>4.49</v>
      </c>
    </row>
    <row r="1612" customFormat="false" ht="15" hidden="false" customHeight="false" outlineLevel="0" collapsed="false">
      <c r="A1612" s="0" t="n">
        <v>1929</v>
      </c>
      <c r="B1612" s="0" t="s">
        <v>5108</v>
      </c>
      <c r="C1612" s="0" t="s">
        <v>31</v>
      </c>
      <c r="D1612" s="0" t="s">
        <v>3671</v>
      </c>
      <c r="E1612" s="0" t="n">
        <v>5.44</v>
      </c>
    </row>
    <row r="1613" customFormat="false" ht="15" hidden="false" customHeight="false" outlineLevel="0" collapsed="false">
      <c r="A1613" s="0" t="n">
        <v>1930</v>
      </c>
      <c r="B1613" s="0" t="s">
        <v>5109</v>
      </c>
      <c r="C1613" s="0" t="s">
        <v>31</v>
      </c>
      <c r="D1613" s="0" t="s">
        <v>3671</v>
      </c>
      <c r="E1613" s="0" t="n">
        <v>9.31</v>
      </c>
    </row>
    <row r="1614" customFormat="false" ht="15" hidden="false" customHeight="false" outlineLevel="0" collapsed="false">
      <c r="A1614" s="0" t="n">
        <v>1924</v>
      </c>
      <c r="B1614" s="0" t="s">
        <v>5110</v>
      </c>
      <c r="C1614" s="0" t="s">
        <v>31</v>
      </c>
      <c r="D1614" s="0" t="s">
        <v>3671</v>
      </c>
      <c r="E1614" s="0" t="n">
        <v>15.03</v>
      </c>
    </row>
    <row r="1615" customFormat="false" ht="15" hidden="false" customHeight="false" outlineLevel="0" collapsed="false">
      <c r="A1615" s="0" t="n">
        <v>1922</v>
      </c>
      <c r="B1615" s="0" t="s">
        <v>5111</v>
      </c>
      <c r="C1615" s="0" t="s">
        <v>31</v>
      </c>
      <c r="D1615" s="0" t="s">
        <v>3671</v>
      </c>
      <c r="E1615" s="0" t="n">
        <v>31.08</v>
      </c>
    </row>
    <row r="1616" customFormat="false" ht="15" hidden="false" customHeight="false" outlineLevel="0" collapsed="false">
      <c r="A1616" s="0" t="n">
        <v>1953</v>
      </c>
      <c r="B1616" s="0" t="s">
        <v>5112</v>
      </c>
      <c r="C1616" s="0" t="s">
        <v>31</v>
      </c>
      <c r="D1616" s="0" t="s">
        <v>3671</v>
      </c>
      <c r="E1616" s="0" t="n">
        <v>37.94</v>
      </c>
    </row>
    <row r="1617" customFormat="false" ht="15" hidden="false" customHeight="false" outlineLevel="0" collapsed="false">
      <c r="A1617" s="0" t="n">
        <v>1962</v>
      </c>
      <c r="B1617" s="0" t="s">
        <v>5113</v>
      </c>
      <c r="C1617" s="0" t="s">
        <v>31</v>
      </c>
      <c r="D1617" s="0" t="s">
        <v>3671</v>
      </c>
      <c r="E1617" s="0" t="n">
        <v>184.34</v>
      </c>
    </row>
    <row r="1618" customFormat="false" ht="15" hidden="false" customHeight="false" outlineLevel="0" collapsed="false">
      <c r="A1618" s="0" t="n">
        <v>1955</v>
      </c>
      <c r="B1618" s="0" t="s">
        <v>5114</v>
      </c>
      <c r="C1618" s="0" t="s">
        <v>31</v>
      </c>
      <c r="D1618" s="0" t="s">
        <v>3671</v>
      </c>
      <c r="E1618" s="0" t="n">
        <v>2.12</v>
      </c>
    </row>
    <row r="1619" customFormat="false" ht="15" hidden="false" customHeight="false" outlineLevel="0" collapsed="false">
      <c r="A1619" s="0" t="n">
        <v>1956</v>
      </c>
      <c r="B1619" s="0" t="s">
        <v>5115</v>
      </c>
      <c r="C1619" s="0" t="s">
        <v>31</v>
      </c>
      <c r="D1619" s="0" t="s">
        <v>3671</v>
      </c>
      <c r="E1619" s="0" t="n">
        <v>3</v>
      </c>
    </row>
    <row r="1620" customFormat="false" ht="15" hidden="false" customHeight="false" outlineLevel="0" collapsed="false">
      <c r="A1620" s="0" t="n">
        <v>1957</v>
      </c>
      <c r="B1620" s="0" t="s">
        <v>5116</v>
      </c>
      <c r="C1620" s="0" t="s">
        <v>31</v>
      </c>
      <c r="D1620" s="0" t="s">
        <v>3671</v>
      </c>
      <c r="E1620" s="0" t="n">
        <v>6.48</v>
      </c>
    </row>
    <row r="1621" customFormat="false" ht="15" hidden="false" customHeight="false" outlineLevel="0" collapsed="false">
      <c r="A1621" s="0" t="n">
        <v>1958</v>
      </c>
      <c r="B1621" s="0" t="s">
        <v>5117</v>
      </c>
      <c r="C1621" s="0" t="s">
        <v>31</v>
      </c>
      <c r="D1621" s="0" t="s">
        <v>3671</v>
      </c>
      <c r="E1621" s="0" t="n">
        <v>12.07</v>
      </c>
    </row>
    <row r="1622" customFormat="false" ht="15" hidden="false" customHeight="false" outlineLevel="0" collapsed="false">
      <c r="A1622" s="0" t="n">
        <v>1959</v>
      </c>
      <c r="B1622" s="0" t="s">
        <v>5118</v>
      </c>
      <c r="C1622" s="0" t="s">
        <v>31</v>
      </c>
      <c r="D1622" s="0" t="s">
        <v>3671</v>
      </c>
      <c r="E1622" s="0" t="n">
        <v>13.1</v>
      </c>
    </row>
    <row r="1623" customFormat="false" ht="15" hidden="false" customHeight="false" outlineLevel="0" collapsed="false">
      <c r="A1623" s="0" t="n">
        <v>1925</v>
      </c>
      <c r="B1623" s="0" t="s">
        <v>5119</v>
      </c>
      <c r="C1623" s="0" t="s">
        <v>31</v>
      </c>
      <c r="D1623" s="0" t="s">
        <v>3671</v>
      </c>
      <c r="E1623" s="0" t="n">
        <v>34.23</v>
      </c>
    </row>
    <row r="1624" customFormat="false" ht="15" hidden="false" customHeight="false" outlineLevel="0" collapsed="false">
      <c r="A1624" s="0" t="n">
        <v>1960</v>
      </c>
      <c r="B1624" s="0" t="s">
        <v>5120</v>
      </c>
      <c r="C1624" s="0" t="s">
        <v>31</v>
      </c>
      <c r="D1624" s="0" t="s">
        <v>3671</v>
      </c>
      <c r="E1624" s="0" t="n">
        <v>52.57</v>
      </c>
    </row>
    <row r="1625" customFormat="false" ht="15" hidden="false" customHeight="false" outlineLevel="0" collapsed="false">
      <c r="A1625" s="0" t="n">
        <v>1961</v>
      </c>
      <c r="B1625" s="0" t="s">
        <v>5121</v>
      </c>
      <c r="C1625" s="0" t="s">
        <v>31</v>
      </c>
      <c r="D1625" s="0" t="s">
        <v>3671</v>
      </c>
      <c r="E1625" s="0" t="n">
        <v>67.34</v>
      </c>
    </row>
    <row r="1626" customFormat="false" ht="15" hidden="false" customHeight="false" outlineLevel="0" collapsed="false">
      <c r="A1626" s="0" t="n">
        <v>38423</v>
      </c>
      <c r="B1626" s="0" t="s">
        <v>5122</v>
      </c>
      <c r="C1626" s="0" t="s">
        <v>31</v>
      </c>
      <c r="D1626" s="0" t="s">
        <v>3671</v>
      </c>
      <c r="E1626" s="0" t="n">
        <v>37.69</v>
      </c>
    </row>
    <row r="1627" customFormat="false" ht="15" hidden="false" customHeight="false" outlineLevel="0" collapsed="false">
      <c r="A1627" s="0" t="n">
        <v>39866</v>
      </c>
      <c r="B1627" s="0" t="s">
        <v>5123</v>
      </c>
      <c r="C1627" s="0" t="s">
        <v>31</v>
      </c>
      <c r="D1627" s="0" t="s">
        <v>3671</v>
      </c>
    </row>
    <row r="1628" customFormat="false" ht="15" hidden="false" customHeight="false" outlineLevel="0" collapsed="false">
      <c r="A1628" s="0" t="n">
        <v>39867</v>
      </c>
      <c r="B1628" s="0" t="s">
        <v>5124</v>
      </c>
      <c r="C1628" s="0" t="s">
        <v>31</v>
      </c>
      <c r="D1628" s="0" t="s">
        <v>3671</v>
      </c>
    </row>
    <row r="1629" customFormat="false" ht="15" hidden="false" customHeight="false" outlineLevel="0" collapsed="false">
      <c r="A1629" s="0" t="n">
        <v>39868</v>
      </c>
      <c r="B1629" s="0" t="s">
        <v>5125</v>
      </c>
      <c r="C1629" s="0" t="s">
        <v>31</v>
      </c>
      <c r="D1629" s="0" t="s">
        <v>3671</v>
      </c>
    </row>
    <row r="1630" customFormat="false" ht="15" hidden="false" customHeight="false" outlineLevel="0" collapsed="false">
      <c r="A1630" s="0" t="n">
        <v>37999</v>
      </c>
      <c r="B1630" s="0" t="s">
        <v>5126</v>
      </c>
      <c r="C1630" s="0" t="s">
        <v>31</v>
      </c>
      <c r="D1630" s="0" t="s">
        <v>3671</v>
      </c>
      <c r="E1630" s="0" t="n">
        <v>8.19</v>
      </c>
    </row>
    <row r="1631" customFormat="false" ht="15" hidden="false" customHeight="false" outlineLevel="0" collapsed="false">
      <c r="A1631" s="0" t="n">
        <v>38000</v>
      </c>
      <c r="B1631" s="0" t="s">
        <v>5127</v>
      </c>
      <c r="C1631" s="0" t="s">
        <v>31</v>
      </c>
      <c r="D1631" s="0" t="s">
        <v>3671</v>
      </c>
      <c r="E1631" s="0" t="n">
        <v>9.56</v>
      </c>
    </row>
    <row r="1632" customFormat="false" ht="15" hidden="false" customHeight="false" outlineLevel="0" collapsed="false">
      <c r="A1632" s="0" t="n">
        <v>38129</v>
      </c>
      <c r="B1632" s="0" t="s">
        <v>5128</v>
      </c>
      <c r="C1632" s="0" t="s">
        <v>31</v>
      </c>
      <c r="D1632" s="0" t="s">
        <v>3671</v>
      </c>
      <c r="E1632" s="0" t="n">
        <v>4.94</v>
      </c>
    </row>
    <row r="1633" customFormat="false" ht="15" hidden="false" customHeight="false" outlineLevel="0" collapsed="false">
      <c r="A1633" s="0" t="n">
        <v>38025</v>
      </c>
      <c r="B1633" s="0" t="s">
        <v>5129</v>
      </c>
      <c r="C1633" s="0" t="s">
        <v>31</v>
      </c>
      <c r="D1633" s="0" t="s">
        <v>3671</v>
      </c>
      <c r="E1633" s="0" t="n">
        <v>6.71</v>
      </c>
    </row>
    <row r="1634" customFormat="false" ht="15" hidden="false" customHeight="false" outlineLevel="0" collapsed="false">
      <c r="A1634" s="0" t="n">
        <v>38026</v>
      </c>
      <c r="B1634" s="0" t="s">
        <v>5130</v>
      </c>
      <c r="C1634" s="0" t="s">
        <v>31</v>
      </c>
      <c r="D1634" s="0" t="s">
        <v>3671</v>
      </c>
      <c r="E1634" s="0" t="n">
        <v>16.56</v>
      </c>
    </row>
    <row r="1635" customFormat="false" ht="15" hidden="false" customHeight="false" outlineLevel="0" collapsed="false">
      <c r="A1635" s="0" t="n">
        <v>1858</v>
      </c>
      <c r="B1635" s="0" t="s">
        <v>5131</v>
      </c>
      <c r="C1635" s="0" t="s">
        <v>31</v>
      </c>
      <c r="D1635" s="0" t="s">
        <v>3671</v>
      </c>
      <c r="E1635" s="0" t="n">
        <v>58.4</v>
      </c>
    </row>
    <row r="1636" customFormat="false" ht="15" hidden="false" customHeight="false" outlineLevel="0" collapsed="false">
      <c r="A1636" s="0" t="n">
        <v>1844</v>
      </c>
      <c r="B1636" s="0" t="s">
        <v>5132</v>
      </c>
      <c r="C1636" s="0" t="s">
        <v>31</v>
      </c>
      <c r="D1636" s="0" t="s">
        <v>3671</v>
      </c>
      <c r="E1636" s="0" t="n">
        <v>133.75</v>
      </c>
    </row>
    <row r="1637" customFormat="false" ht="15" hidden="false" customHeight="false" outlineLevel="0" collapsed="false">
      <c r="A1637" s="0" t="n">
        <v>1863</v>
      </c>
      <c r="B1637" s="0" t="s">
        <v>5133</v>
      </c>
      <c r="C1637" s="0" t="s">
        <v>31</v>
      </c>
      <c r="D1637" s="0" t="s">
        <v>3671</v>
      </c>
      <c r="E1637" s="0" t="n">
        <v>62.15</v>
      </c>
    </row>
    <row r="1638" customFormat="false" ht="15" hidden="false" customHeight="false" outlineLevel="0" collapsed="false">
      <c r="A1638" s="0" t="n">
        <v>1865</v>
      </c>
      <c r="B1638" s="0" t="s">
        <v>5134</v>
      </c>
      <c r="C1638" s="0" t="s">
        <v>31</v>
      </c>
      <c r="D1638" s="0" t="s">
        <v>3671</v>
      </c>
      <c r="E1638" s="0" t="n">
        <v>161.93</v>
      </c>
    </row>
    <row r="1639" customFormat="false" ht="15" hidden="false" customHeight="false" outlineLevel="0" collapsed="false">
      <c r="A1639" s="0" t="n">
        <v>36355</v>
      </c>
      <c r="B1639" s="0" t="s">
        <v>5135</v>
      </c>
      <c r="C1639" s="0" t="s">
        <v>31</v>
      </c>
      <c r="D1639" s="0" t="s">
        <v>3671</v>
      </c>
    </row>
    <row r="1640" customFormat="false" ht="15" hidden="false" customHeight="false" outlineLevel="0" collapsed="false">
      <c r="A1640" s="0" t="n">
        <v>36356</v>
      </c>
      <c r="B1640" s="0" t="s">
        <v>5136</v>
      </c>
      <c r="C1640" s="0" t="s">
        <v>31</v>
      </c>
      <c r="D1640" s="0" t="s">
        <v>3671</v>
      </c>
    </row>
    <row r="1641" customFormat="false" ht="15" hidden="false" customHeight="false" outlineLevel="0" collapsed="false">
      <c r="A1641" s="0" t="n">
        <v>1940</v>
      </c>
      <c r="B1641" s="0" t="s">
        <v>5137</v>
      </c>
      <c r="C1641" s="0" t="s">
        <v>31</v>
      </c>
      <c r="D1641" s="0" t="s">
        <v>3671</v>
      </c>
      <c r="E1641" s="0" t="n">
        <v>33.45</v>
      </c>
    </row>
    <row r="1642" customFormat="false" ht="15" hidden="false" customHeight="false" outlineLevel="0" collapsed="false">
      <c r="A1642" s="0" t="n">
        <v>1939</v>
      </c>
      <c r="B1642" s="0" t="s">
        <v>5138</v>
      </c>
      <c r="C1642" s="0" t="s">
        <v>31</v>
      </c>
      <c r="D1642" s="0" t="s">
        <v>3671</v>
      </c>
      <c r="E1642" s="0" t="n">
        <v>9.17</v>
      </c>
    </row>
    <row r="1643" customFormat="false" ht="15" hidden="false" customHeight="false" outlineLevel="0" collapsed="false">
      <c r="A1643" s="0" t="n">
        <v>1937</v>
      </c>
      <c r="B1643" s="0" t="s">
        <v>5139</v>
      </c>
      <c r="C1643" s="0" t="s">
        <v>31</v>
      </c>
      <c r="D1643" s="0" t="s">
        <v>3671</v>
      </c>
      <c r="E1643" s="0" t="n">
        <v>5.64</v>
      </c>
    </row>
    <row r="1644" customFormat="false" ht="15" hidden="false" customHeight="false" outlineLevel="0" collapsed="false">
      <c r="A1644" s="0" t="n">
        <v>1938</v>
      </c>
      <c r="B1644" s="0" t="s">
        <v>5140</v>
      </c>
      <c r="C1644" s="0" t="s">
        <v>31</v>
      </c>
      <c r="D1644" s="0" t="s">
        <v>3671</v>
      </c>
      <c r="E1644" s="0" t="n">
        <v>6.42</v>
      </c>
    </row>
    <row r="1645" customFormat="false" ht="15" hidden="false" customHeight="false" outlineLevel="0" collapsed="false">
      <c r="A1645" s="0" t="n">
        <v>1966</v>
      </c>
      <c r="B1645" s="0" t="s">
        <v>2126</v>
      </c>
      <c r="C1645" s="0" t="s">
        <v>31</v>
      </c>
      <c r="D1645" s="0" t="s">
        <v>3671</v>
      </c>
      <c r="E1645" s="0" t="n">
        <v>24.78</v>
      </c>
    </row>
    <row r="1646" customFormat="false" ht="15" hidden="false" customHeight="false" outlineLevel="0" collapsed="false">
      <c r="A1646" s="0" t="n">
        <v>1933</v>
      </c>
      <c r="B1646" s="0" t="s">
        <v>2128</v>
      </c>
      <c r="C1646" s="0" t="s">
        <v>31</v>
      </c>
      <c r="D1646" s="0" t="s">
        <v>3671</v>
      </c>
      <c r="E1646" s="0" t="n">
        <v>5.34</v>
      </c>
    </row>
    <row r="1647" customFormat="false" ht="15" hidden="false" customHeight="false" outlineLevel="0" collapsed="false">
      <c r="A1647" s="0" t="n">
        <v>1932</v>
      </c>
      <c r="B1647" s="0" t="s">
        <v>2194</v>
      </c>
      <c r="C1647" s="0" t="s">
        <v>31</v>
      </c>
      <c r="D1647" s="0" t="s">
        <v>3671</v>
      </c>
      <c r="E1647" s="0" t="n">
        <v>12.22</v>
      </c>
    </row>
    <row r="1648" customFormat="false" ht="15" hidden="false" customHeight="false" outlineLevel="0" collapsed="false">
      <c r="A1648" s="0" t="n">
        <v>1951</v>
      </c>
      <c r="B1648" s="0" t="s">
        <v>2131</v>
      </c>
      <c r="C1648" s="0" t="s">
        <v>31</v>
      </c>
      <c r="D1648" s="0" t="s">
        <v>3671</v>
      </c>
      <c r="E1648" s="0" t="n">
        <v>25.5</v>
      </c>
    </row>
    <row r="1649" customFormat="false" ht="15" hidden="false" customHeight="false" outlineLevel="0" collapsed="false">
      <c r="A1649" s="0" t="n">
        <v>1970</v>
      </c>
      <c r="B1649" s="0" t="s">
        <v>5141</v>
      </c>
      <c r="C1649" s="0" t="s">
        <v>31</v>
      </c>
      <c r="D1649" s="0" t="s">
        <v>3671</v>
      </c>
      <c r="E1649" s="0" t="n">
        <v>61.95</v>
      </c>
    </row>
    <row r="1650" customFormat="false" ht="15" hidden="false" customHeight="false" outlineLevel="0" collapsed="false">
      <c r="A1650" s="0" t="n">
        <v>1967</v>
      </c>
      <c r="B1650" s="0" t="s">
        <v>5142</v>
      </c>
      <c r="C1650" s="0" t="s">
        <v>31</v>
      </c>
      <c r="D1650" s="0" t="s">
        <v>3671</v>
      </c>
      <c r="E1650" s="0" t="n">
        <v>7.35</v>
      </c>
    </row>
    <row r="1651" customFormat="false" ht="15" hidden="false" customHeight="false" outlineLevel="0" collapsed="false">
      <c r="A1651" s="0" t="n">
        <v>1968</v>
      </c>
      <c r="B1651" s="0" t="s">
        <v>5143</v>
      </c>
      <c r="C1651" s="0" t="s">
        <v>31</v>
      </c>
      <c r="D1651" s="0" t="s">
        <v>3671</v>
      </c>
      <c r="E1651" s="0" t="n">
        <v>14.54</v>
      </c>
    </row>
    <row r="1652" customFormat="false" ht="15" hidden="false" customHeight="false" outlineLevel="0" collapsed="false">
      <c r="A1652" s="0" t="n">
        <v>1969</v>
      </c>
      <c r="B1652" s="0" t="s">
        <v>5144</v>
      </c>
      <c r="C1652" s="0" t="s">
        <v>31</v>
      </c>
      <c r="D1652" s="0" t="s">
        <v>3671</v>
      </c>
      <c r="E1652" s="0" t="n">
        <v>47.33</v>
      </c>
    </row>
    <row r="1653" customFormat="false" ht="15" hidden="false" customHeight="false" outlineLevel="0" collapsed="false">
      <c r="A1653" s="0" t="n">
        <v>1827</v>
      </c>
      <c r="B1653" s="0" t="s">
        <v>5145</v>
      </c>
      <c r="C1653" s="0" t="s">
        <v>31</v>
      </c>
      <c r="D1653" s="0" t="s">
        <v>3671</v>
      </c>
    </row>
    <row r="1654" customFormat="false" ht="15" hidden="false" customHeight="false" outlineLevel="0" collapsed="false">
      <c r="A1654" s="0" t="n">
        <v>1831</v>
      </c>
      <c r="B1654" s="0" t="s">
        <v>5146</v>
      </c>
      <c r="C1654" s="0" t="s">
        <v>31</v>
      </c>
      <c r="D1654" s="0" t="s">
        <v>3671</v>
      </c>
    </row>
    <row r="1655" customFormat="false" ht="15" hidden="false" customHeight="false" outlineLevel="0" collapsed="false">
      <c r="A1655" s="0" t="n">
        <v>1825</v>
      </c>
      <c r="B1655" s="0" t="s">
        <v>5147</v>
      </c>
      <c r="C1655" s="0" t="s">
        <v>31</v>
      </c>
      <c r="D1655" s="0" t="s">
        <v>3671</v>
      </c>
    </row>
    <row r="1656" customFormat="false" ht="15" hidden="false" customHeight="false" outlineLevel="0" collapsed="false">
      <c r="A1656" s="0" t="n">
        <v>1828</v>
      </c>
      <c r="B1656" s="0" t="s">
        <v>5148</v>
      </c>
      <c r="C1656" s="0" t="s">
        <v>31</v>
      </c>
      <c r="D1656" s="0" t="s">
        <v>3671</v>
      </c>
    </row>
    <row r="1657" customFormat="false" ht="15" hidden="false" customHeight="false" outlineLevel="0" collapsed="false">
      <c r="A1657" s="0" t="n">
        <v>1845</v>
      </c>
      <c r="B1657" s="0" t="s">
        <v>5149</v>
      </c>
      <c r="C1657" s="0" t="s">
        <v>31</v>
      </c>
      <c r="D1657" s="0" t="s">
        <v>3671</v>
      </c>
    </row>
    <row r="1658" customFormat="false" ht="15" hidden="false" customHeight="false" outlineLevel="0" collapsed="false">
      <c r="A1658" s="0" t="n">
        <v>1824</v>
      </c>
      <c r="B1658" s="0" t="s">
        <v>5150</v>
      </c>
      <c r="C1658" s="0" t="s">
        <v>31</v>
      </c>
      <c r="D1658" s="0" t="s">
        <v>3671</v>
      </c>
    </row>
    <row r="1659" customFormat="false" ht="15" hidden="false" customHeight="false" outlineLevel="0" collapsed="false">
      <c r="A1659" s="0" t="n">
        <v>42693</v>
      </c>
      <c r="B1659" s="0" t="s">
        <v>5151</v>
      </c>
      <c r="C1659" s="0" t="s">
        <v>31</v>
      </c>
      <c r="D1659" s="0" t="s">
        <v>3671</v>
      </c>
      <c r="E1659" s="0" t="n">
        <v>454.89</v>
      </c>
    </row>
    <row r="1660" customFormat="false" ht="15" hidden="false" customHeight="false" outlineLevel="0" collapsed="false">
      <c r="A1660" s="0" t="n">
        <v>42695</v>
      </c>
      <c r="B1660" s="0" t="s">
        <v>5152</v>
      </c>
      <c r="C1660" s="0" t="s">
        <v>31</v>
      </c>
      <c r="D1660" s="0" t="s">
        <v>3671</v>
      </c>
      <c r="E1660" s="0" t="n">
        <v>317.81</v>
      </c>
    </row>
    <row r="1661" customFormat="false" ht="15" hidden="false" customHeight="false" outlineLevel="0" collapsed="false">
      <c r="A1661" s="0" t="n">
        <v>42694</v>
      </c>
      <c r="B1661" s="0" t="s">
        <v>5153</v>
      </c>
      <c r="C1661" s="0" t="s">
        <v>31</v>
      </c>
      <c r="D1661" s="0" t="s">
        <v>3671</v>
      </c>
      <c r="E1661" s="0" t="n">
        <v>608.74</v>
      </c>
    </row>
    <row r="1662" customFormat="false" ht="15" hidden="false" customHeight="false" outlineLevel="0" collapsed="false">
      <c r="A1662" s="0" t="n">
        <v>20097</v>
      </c>
      <c r="B1662" s="0" t="s">
        <v>5154</v>
      </c>
      <c r="C1662" s="0" t="s">
        <v>31</v>
      </c>
      <c r="D1662" s="0" t="s">
        <v>3671</v>
      </c>
      <c r="E1662" s="0" t="n">
        <v>26.39</v>
      </c>
    </row>
    <row r="1663" customFormat="false" ht="15" hidden="false" customHeight="false" outlineLevel="0" collapsed="false">
      <c r="A1663" s="0" t="n">
        <v>20098</v>
      </c>
      <c r="B1663" s="0" t="s">
        <v>5155</v>
      </c>
      <c r="C1663" s="0" t="s">
        <v>31</v>
      </c>
      <c r="D1663" s="0" t="s">
        <v>3671</v>
      </c>
      <c r="E1663" s="0" t="n">
        <v>107.87</v>
      </c>
    </row>
    <row r="1664" customFormat="false" ht="15" hidden="false" customHeight="false" outlineLevel="0" collapsed="false">
      <c r="A1664" s="0" t="n">
        <v>20096</v>
      </c>
      <c r="B1664" s="0" t="s">
        <v>5156</v>
      </c>
      <c r="C1664" s="0" t="s">
        <v>31</v>
      </c>
      <c r="D1664" s="0" t="s">
        <v>3671</v>
      </c>
      <c r="E1664" s="0" t="n">
        <v>27.32</v>
      </c>
    </row>
    <row r="1665" customFormat="false" ht="15" hidden="false" customHeight="false" outlineLevel="0" collapsed="false">
      <c r="A1665" s="0" t="n">
        <v>44472</v>
      </c>
      <c r="B1665" s="0" t="s">
        <v>5157</v>
      </c>
      <c r="C1665" s="0" t="s">
        <v>31</v>
      </c>
      <c r="D1665" s="0" t="s">
        <v>3671</v>
      </c>
    </row>
    <row r="1666" customFormat="false" ht="15" hidden="false" customHeight="false" outlineLevel="0" collapsed="false">
      <c r="A1666" s="0" t="n">
        <v>38369</v>
      </c>
      <c r="B1666" s="0" t="s">
        <v>5158</v>
      </c>
      <c r="C1666" s="0" t="s">
        <v>31</v>
      </c>
      <c r="D1666" s="0" t="s">
        <v>3671</v>
      </c>
      <c r="E1666" s="0" t="n">
        <v>22.84</v>
      </c>
    </row>
    <row r="1667" customFormat="false" ht="15" hidden="false" customHeight="false" outlineLevel="0" collapsed="false">
      <c r="A1667" s="0" t="n">
        <v>38370</v>
      </c>
      <c r="B1667" s="0" t="s">
        <v>5159</v>
      </c>
      <c r="C1667" s="0" t="s">
        <v>31</v>
      </c>
      <c r="D1667" s="0" t="s">
        <v>3671</v>
      </c>
      <c r="E1667" s="0" t="n">
        <v>22.84</v>
      </c>
    </row>
    <row r="1668" customFormat="false" ht="15" hidden="false" customHeight="false" outlineLevel="0" collapsed="false">
      <c r="A1668" s="0" t="n">
        <v>38372</v>
      </c>
      <c r="B1668" s="0" t="s">
        <v>5160</v>
      </c>
      <c r="C1668" s="0" t="s">
        <v>31</v>
      </c>
      <c r="D1668" s="0" t="s">
        <v>3671</v>
      </c>
      <c r="E1668" s="0" t="n">
        <v>22.1</v>
      </c>
    </row>
    <row r="1669" customFormat="false" ht="15" hidden="false" customHeight="false" outlineLevel="0" collapsed="false">
      <c r="A1669" s="0" t="n">
        <v>2358</v>
      </c>
      <c r="B1669" s="0" t="s">
        <v>2935</v>
      </c>
      <c r="C1669" s="0" t="s">
        <v>1444</v>
      </c>
      <c r="D1669" s="0" t="s">
        <v>3671</v>
      </c>
      <c r="E1669" s="0" t="n">
        <v>15.17</v>
      </c>
    </row>
    <row r="1670" customFormat="false" ht="15" hidden="false" customHeight="false" outlineLevel="0" collapsed="false">
      <c r="A1670" s="0" t="n">
        <v>40807</v>
      </c>
      <c r="B1670" s="0" t="s">
        <v>5161</v>
      </c>
      <c r="C1670" s="0" t="s">
        <v>1416</v>
      </c>
      <c r="D1670" s="0" t="s">
        <v>3671</v>
      </c>
      <c r="E1670" s="0" t="n">
        <v>2673.47</v>
      </c>
    </row>
    <row r="1671" customFormat="false" ht="15" hidden="false" customHeight="false" outlineLevel="0" collapsed="false">
      <c r="A1671" s="0" t="n">
        <v>44330</v>
      </c>
      <c r="B1671" s="0" t="s">
        <v>2926</v>
      </c>
      <c r="C1671" s="0" t="s">
        <v>1452</v>
      </c>
      <c r="D1671" s="0" t="s">
        <v>3671</v>
      </c>
      <c r="E1671" s="0" t="n">
        <v>9.69</v>
      </c>
    </row>
    <row r="1672" customFormat="false" ht="15" hidden="false" customHeight="false" outlineLevel="0" collapsed="false">
      <c r="A1672" s="0" t="n">
        <v>43144</v>
      </c>
      <c r="B1672" s="0" t="s">
        <v>5162</v>
      </c>
      <c r="C1672" s="0" t="s">
        <v>1513</v>
      </c>
      <c r="D1672" s="0" t="s">
        <v>3671</v>
      </c>
      <c r="E1672" s="0" t="n">
        <v>35.48</v>
      </c>
    </row>
    <row r="1673" customFormat="false" ht="15" hidden="false" customHeight="false" outlineLevel="0" collapsed="false">
      <c r="A1673" s="0" t="n">
        <v>39397</v>
      </c>
      <c r="B1673" s="0" t="s">
        <v>5163</v>
      </c>
      <c r="C1673" s="0" t="s">
        <v>1452</v>
      </c>
      <c r="D1673" s="0" t="s">
        <v>3671</v>
      </c>
      <c r="E1673" s="0" t="n">
        <v>16.17</v>
      </c>
    </row>
    <row r="1674" customFormat="false" ht="15" hidden="false" customHeight="false" outlineLevel="0" collapsed="false">
      <c r="A1674" s="0" t="n">
        <v>2692</v>
      </c>
      <c r="B1674" s="0" t="s">
        <v>1570</v>
      </c>
      <c r="C1674" s="0" t="s">
        <v>1452</v>
      </c>
      <c r="D1674" s="0" t="s">
        <v>3671</v>
      </c>
      <c r="E1674" s="0" t="n">
        <v>6.52</v>
      </c>
    </row>
    <row r="1675" customFormat="false" ht="15" hidden="false" customHeight="false" outlineLevel="0" collapsed="false">
      <c r="A1675" s="0" t="n">
        <v>44329</v>
      </c>
      <c r="B1675" s="0" t="s">
        <v>2920</v>
      </c>
      <c r="C1675" s="0" t="s">
        <v>1452</v>
      </c>
      <c r="D1675" s="0" t="s">
        <v>3671</v>
      </c>
      <c r="E1675" s="0" t="n">
        <v>12.7</v>
      </c>
    </row>
    <row r="1676" customFormat="false" ht="15" hidden="false" customHeight="false" outlineLevel="0" collapsed="false">
      <c r="A1676" s="0" t="n">
        <v>5318</v>
      </c>
      <c r="B1676" s="0" t="s">
        <v>1732</v>
      </c>
      <c r="C1676" s="0" t="s">
        <v>1452</v>
      </c>
      <c r="D1676" s="0" t="s">
        <v>3676</v>
      </c>
      <c r="E1676" s="0" t="n">
        <v>20.54</v>
      </c>
    </row>
    <row r="1677" customFormat="false" ht="15" hidden="false" customHeight="false" outlineLevel="0" collapsed="false">
      <c r="A1677" s="0" t="n">
        <v>5330</v>
      </c>
      <c r="B1677" s="0" t="s">
        <v>1959</v>
      </c>
      <c r="C1677" s="0" t="s">
        <v>1452</v>
      </c>
      <c r="D1677" s="0" t="s">
        <v>3671</v>
      </c>
      <c r="E1677" s="0" t="n">
        <v>46.82</v>
      </c>
    </row>
    <row r="1678" customFormat="false" ht="15" hidden="false" customHeight="false" outlineLevel="0" collapsed="false">
      <c r="A1678" s="0" t="n">
        <v>44532</v>
      </c>
      <c r="B1678" s="0" t="s">
        <v>5164</v>
      </c>
      <c r="C1678" s="0" t="s">
        <v>31</v>
      </c>
      <c r="D1678" s="0" t="s">
        <v>3671</v>
      </c>
    </row>
    <row r="1679" customFormat="false" ht="15" hidden="false" customHeight="false" outlineLevel="0" collapsed="false">
      <c r="A1679" s="0" t="n">
        <v>44531</v>
      </c>
      <c r="B1679" s="0" t="s">
        <v>5165</v>
      </c>
      <c r="C1679" s="0" t="s">
        <v>31</v>
      </c>
      <c r="D1679" s="0" t="s">
        <v>3671</v>
      </c>
    </row>
    <row r="1680" customFormat="false" ht="15" hidden="false" customHeight="false" outlineLevel="0" collapsed="false">
      <c r="A1680" s="0" t="n">
        <v>13887</v>
      </c>
      <c r="B1680" s="0" t="s">
        <v>1711</v>
      </c>
      <c r="C1680" s="0" t="s">
        <v>31</v>
      </c>
      <c r="D1680" s="0" t="s">
        <v>3671</v>
      </c>
    </row>
    <row r="1681" customFormat="false" ht="15" hidden="false" customHeight="false" outlineLevel="0" collapsed="false">
      <c r="A1681" s="0" t="n">
        <v>38140</v>
      </c>
      <c r="B1681" s="0" t="s">
        <v>5166</v>
      </c>
      <c r="C1681" s="0" t="s">
        <v>31</v>
      </c>
      <c r="D1681" s="0" t="s">
        <v>3676</v>
      </c>
    </row>
    <row r="1682" customFormat="false" ht="15" hidden="false" customHeight="false" outlineLevel="0" collapsed="false">
      <c r="A1682" s="0" t="n">
        <v>44495</v>
      </c>
      <c r="B1682" s="0" t="s">
        <v>5167</v>
      </c>
      <c r="C1682" s="0" t="s">
        <v>31</v>
      </c>
      <c r="D1682" s="0" t="s">
        <v>3671</v>
      </c>
    </row>
    <row r="1683" customFormat="false" ht="15" hidden="false" customHeight="false" outlineLevel="0" collapsed="false">
      <c r="A1683" s="0" t="n">
        <v>44533</v>
      </c>
      <c r="B1683" s="0" t="s">
        <v>5168</v>
      </c>
      <c r="C1683" s="0" t="s">
        <v>31</v>
      </c>
      <c r="D1683" s="0" t="s">
        <v>3671</v>
      </c>
    </row>
    <row r="1684" customFormat="false" ht="15" hidden="false" customHeight="false" outlineLevel="0" collapsed="false">
      <c r="A1684" s="0" t="n">
        <v>44534</v>
      </c>
      <c r="B1684" s="0" t="s">
        <v>5169</v>
      </c>
      <c r="C1684" s="0" t="s">
        <v>31</v>
      </c>
      <c r="D1684" s="0" t="s">
        <v>3671</v>
      </c>
    </row>
    <row r="1685" customFormat="false" ht="15" hidden="false" customHeight="false" outlineLevel="0" collapsed="false">
      <c r="A1685" s="0" t="n">
        <v>34729</v>
      </c>
      <c r="B1685" s="0" t="s">
        <v>5170</v>
      </c>
      <c r="C1685" s="0" t="s">
        <v>31</v>
      </c>
      <c r="D1685" s="0" t="s">
        <v>3671</v>
      </c>
      <c r="E1685" s="0" t="n">
        <v>1111.89</v>
      </c>
    </row>
    <row r="1686" customFormat="false" ht="15" hidden="false" customHeight="false" outlineLevel="0" collapsed="false">
      <c r="A1686" s="0" t="n">
        <v>34734</v>
      </c>
      <c r="B1686" s="0" t="s">
        <v>5171</v>
      </c>
      <c r="C1686" s="0" t="s">
        <v>31</v>
      </c>
      <c r="D1686" s="0" t="s">
        <v>3671</v>
      </c>
      <c r="E1686" s="0" t="n">
        <v>1721.56</v>
      </c>
    </row>
    <row r="1687" customFormat="false" ht="15" hidden="false" customHeight="false" outlineLevel="0" collapsed="false">
      <c r="A1687" s="0" t="n">
        <v>34738</v>
      </c>
      <c r="B1687" s="0" t="s">
        <v>5172</v>
      </c>
      <c r="C1687" s="0" t="s">
        <v>31</v>
      </c>
      <c r="D1687" s="0" t="s">
        <v>3671</v>
      </c>
      <c r="E1687" s="0" t="n">
        <v>4022.09</v>
      </c>
    </row>
    <row r="1688" customFormat="false" ht="15" hidden="false" customHeight="false" outlineLevel="0" collapsed="false">
      <c r="A1688" s="0" t="n">
        <v>34623</v>
      </c>
      <c r="B1688" s="0" t="s">
        <v>5173</v>
      </c>
      <c r="C1688" s="0" t="s">
        <v>31</v>
      </c>
      <c r="D1688" s="0" t="s">
        <v>3671</v>
      </c>
      <c r="E1688" s="0" t="n">
        <v>48.2</v>
      </c>
    </row>
    <row r="1689" customFormat="false" ht="15" hidden="false" customHeight="false" outlineLevel="0" collapsed="false">
      <c r="A1689" s="0" t="n">
        <v>34616</v>
      </c>
      <c r="B1689" s="0" t="s">
        <v>5174</v>
      </c>
      <c r="C1689" s="0" t="s">
        <v>31</v>
      </c>
      <c r="D1689" s="0" t="s">
        <v>3671</v>
      </c>
      <c r="E1689" s="0" t="n">
        <v>48.95</v>
      </c>
    </row>
    <row r="1690" customFormat="false" ht="15" hidden="false" customHeight="false" outlineLevel="0" collapsed="false">
      <c r="A1690" s="0" t="n">
        <v>34628</v>
      </c>
      <c r="B1690" s="0" t="s">
        <v>5175</v>
      </c>
      <c r="C1690" s="0" t="s">
        <v>31</v>
      </c>
      <c r="D1690" s="0" t="s">
        <v>3671</v>
      </c>
      <c r="E1690" s="0" t="n">
        <v>69.04</v>
      </c>
    </row>
    <row r="1691" customFormat="false" ht="15" hidden="false" customHeight="false" outlineLevel="0" collapsed="false">
      <c r="A1691" s="0" t="n">
        <v>34686</v>
      </c>
      <c r="B1691" s="0" t="s">
        <v>5176</v>
      </c>
      <c r="C1691" s="0" t="s">
        <v>31</v>
      </c>
      <c r="D1691" s="0" t="s">
        <v>3671</v>
      </c>
      <c r="E1691" s="0" t="n">
        <v>12.66</v>
      </c>
    </row>
    <row r="1692" customFormat="false" ht="15" hidden="false" customHeight="false" outlineLevel="0" collapsed="false">
      <c r="A1692" s="0" t="n">
        <v>34653</v>
      </c>
      <c r="B1692" s="0" t="s">
        <v>2473</v>
      </c>
      <c r="C1692" s="0" t="s">
        <v>31</v>
      </c>
      <c r="D1692" s="0" t="s">
        <v>3671</v>
      </c>
      <c r="E1692" s="0" t="n">
        <v>8.54</v>
      </c>
    </row>
    <row r="1693" customFormat="false" ht="15" hidden="false" customHeight="false" outlineLevel="0" collapsed="false">
      <c r="A1693" s="0" t="n">
        <v>34688</v>
      </c>
      <c r="B1693" s="0" t="s">
        <v>5177</v>
      </c>
      <c r="C1693" s="0" t="s">
        <v>31</v>
      </c>
      <c r="D1693" s="0" t="s">
        <v>3671</v>
      </c>
      <c r="E1693" s="0" t="n">
        <v>15.47</v>
      </c>
    </row>
    <row r="1694" customFormat="false" ht="15" hidden="false" customHeight="false" outlineLevel="0" collapsed="false">
      <c r="A1694" s="0" t="n">
        <v>34709</v>
      </c>
      <c r="B1694" s="0" t="s">
        <v>2479</v>
      </c>
      <c r="C1694" s="0" t="s">
        <v>31</v>
      </c>
      <c r="D1694" s="0" t="s">
        <v>3671</v>
      </c>
      <c r="E1694" s="0" t="n">
        <v>59.97</v>
      </c>
    </row>
    <row r="1695" customFormat="false" ht="15" hidden="false" customHeight="false" outlineLevel="0" collapsed="false">
      <c r="A1695" s="0" t="n">
        <v>34714</v>
      </c>
      <c r="B1695" s="0" t="s">
        <v>2483</v>
      </c>
      <c r="C1695" s="0" t="s">
        <v>31</v>
      </c>
      <c r="D1695" s="0" t="s">
        <v>3671</v>
      </c>
      <c r="E1695" s="0" t="n">
        <v>71.63</v>
      </c>
    </row>
    <row r="1696" customFormat="false" ht="15" hidden="false" customHeight="false" outlineLevel="0" collapsed="false">
      <c r="A1696" s="0" t="n">
        <v>2391</v>
      </c>
      <c r="B1696" s="0" t="s">
        <v>2485</v>
      </c>
      <c r="C1696" s="0" t="s">
        <v>31</v>
      </c>
      <c r="D1696" s="0" t="s">
        <v>3671</v>
      </c>
      <c r="E1696" s="0" t="n">
        <v>327.13</v>
      </c>
    </row>
    <row r="1697" customFormat="false" ht="15" hidden="false" customHeight="false" outlineLevel="0" collapsed="false">
      <c r="A1697" s="0" t="n">
        <v>2374</v>
      </c>
      <c r="B1697" s="0" t="s">
        <v>5178</v>
      </c>
      <c r="C1697" s="0" t="s">
        <v>31</v>
      </c>
      <c r="D1697" s="0" t="s">
        <v>3671</v>
      </c>
      <c r="E1697" s="0" t="n">
        <v>371.12</v>
      </c>
    </row>
    <row r="1698" customFormat="false" ht="15" hidden="false" customHeight="false" outlineLevel="0" collapsed="false">
      <c r="A1698" s="0" t="n">
        <v>2377</v>
      </c>
      <c r="B1698" s="0" t="s">
        <v>5179</v>
      </c>
      <c r="C1698" s="0" t="s">
        <v>31</v>
      </c>
      <c r="D1698" s="0" t="s">
        <v>3671</v>
      </c>
      <c r="E1698" s="0" t="n">
        <v>520.82</v>
      </c>
    </row>
    <row r="1699" customFormat="false" ht="15" hidden="false" customHeight="false" outlineLevel="0" collapsed="false">
      <c r="A1699" s="0" t="n">
        <v>2393</v>
      </c>
      <c r="B1699" s="0" t="s">
        <v>2488</v>
      </c>
      <c r="C1699" s="0" t="s">
        <v>31</v>
      </c>
      <c r="D1699" s="0" t="s">
        <v>3671</v>
      </c>
      <c r="E1699" s="0" t="n">
        <v>872.19</v>
      </c>
    </row>
    <row r="1700" customFormat="false" ht="15" hidden="false" customHeight="false" outlineLevel="0" collapsed="false">
      <c r="A1700" s="0" t="n">
        <v>34705</v>
      </c>
      <c r="B1700" s="0" t="s">
        <v>5180</v>
      </c>
      <c r="C1700" s="0" t="s">
        <v>31</v>
      </c>
      <c r="D1700" s="0" t="s">
        <v>3671</v>
      </c>
      <c r="E1700" s="0" t="n">
        <v>762.86</v>
      </c>
    </row>
    <row r="1701" customFormat="false" ht="15" hidden="false" customHeight="false" outlineLevel="0" collapsed="false">
      <c r="A1701" s="0" t="n">
        <v>34707</v>
      </c>
      <c r="B1701" s="0" t="s">
        <v>5181</v>
      </c>
      <c r="C1701" s="0" t="s">
        <v>31</v>
      </c>
      <c r="D1701" s="0" t="s">
        <v>3671</v>
      </c>
      <c r="E1701" s="0" t="n">
        <v>1413.58</v>
      </c>
    </row>
    <row r="1702" customFormat="false" ht="15" hidden="false" customHeight="false" outlineLevel="0" collapsed="false">
      <c r="A1702" s="0" t="n">
        <v>34544</v>
      </c>
      <c r="B1702" s="0" t="s">
        <v>5182</v>
      </c>
      <c r="C1702" s="0" t="s">
        <v>31</v>
      </c>
      <c r="D1702" s="0" t="s">
        <v>3671</v>
      </c>
      <c r="E1702" s="0" t="n">
        <v>1413.44</v>
      </c>
    </row>
    <row r="1703" customFormat="false" ht="15" hidden="false" customHeight="false" outlineLevel="0" collapsed="false">
      <c r="A1703" s="0" t="n">
        <v>2378</v>
      </c>
      <c r="B1703" s="0" t="s">
        <v>5183</v>
      </c>
      <c r="C1703" s="0" t="s">
        <v>31</v>
      </c>
      <c r="D1703" s="0" t="s">
        <v>3671</v>
      </c>
      <c r="E1703" s="0" t="n">
        <v>1198.07</v>
      </c>
    </row>
    <row r="1704" customFormat="false" ht="15" hidden="false" customHeight="false" outlineLevel="0" collapsed="false">
      <c r="A1704" s="0" t="n">
        <v>2379</v>
      </c>
      <c r="B1704" s="0" t="s">
        <v>5184</v>
      </c>
      <c r="C1704" s="0" t="s">
        <v>31</v>
      </c>
      <c r="D1704" s="0" t="s">
        <v>3671</v>
      </c>
      <c r="E1704" s="0" t="n">
        <v>1198.07</v>
      </c>
    </row>
    <row r="1705" customFormat="false" ht="15" hidden="false" customHeight="false" outlineLevel="0" collapsed="false">
      <c r="A1705" s="0" t="n">
        <v>2376</v>
      </c>
      <c r="B1705" s="0" t="s">
        <v>5185</v>
      </c>
      <c r="C1705" s="0" t="s">
        <v>31</v>
      </c>
      <c r="D1705" s="0" t="s">
        <v>3671</v>
      </c>
      <c r="E1705" s="0" t="n">
        <v>1973.21</v>
      </c>
    </row>
    <row r="1706" customFormat="false" ht="15" hidden="false" customHeight="false" outlineLevel="0" collapsed="false">
      <c r="A1706" s="0" t="n">
        <v>2394</v>
      </c>
      <c r="B1706" s="0" t="s">
        <v>5186</v>
      </c>
      <c r="C1706" s="0" t="s">
        <v>31</v>
      </c>
      <c r="D1706" s="0" t="s">
        <v>3671</v>
      </c>
      <c r="E1706" s="0" t="n">
        <v>4218.37</v>
      </c>
    </row>
    <row r="1707" customFormat="false" ht="15" hidden="false" customHeight="false" outlineLevel="0" collapsed="false">
      <c r="A1707" s="0" t="n">
        <v>2388</v>
      </c>
      <c r="B1707" s="0" t="s">
        <v>5187</v>
      </c>
      <c r="C1707" s="0" t="s">
        <v>31</v>
      </c>
      <c r="D1707" s="0" t="s">
        <v>3671</v>
      </c>
      <c r="E1707" s="0" t="n">
        <v>59.52</v>
      </c>
    </row>
    <row r="1708" customFormat="false" ht="15" hidden="false" customHeight="false" outlineLevel="0" collapsed="false">
      <c r="A1708" s="0" t="n">
        <v>34606</v>
      </c>
      <c r="B1708" s="0" t="s">
        <v>5188</v>
      </c>
      <c r="C1708" s="0" t="s">
        <v>31</v>
      </c>
      <c r="D1708" s="0" t="s">
        <v>3671</v>
      </c>
      <c r="E1708" s="0" t="n">
        <v>91.3</v>
      </c>
    </row>
    <row r="1709" customFormat="false" ht="15" hidden="false" customHeight="false" outlineLevel="0" collapsed="false">
      <c r="A1709" s="0" t="n">
        <v>2370</v>
      </c>
      <c r="B1709" s="0" t="s">
        <v>5189</v>
      </c>
      <c r="C1709" s="0" t="s">
        <v>31</v>
      </c>
      <c r="D1709" s="0" t="s">
        <v>3676</v>
      </c>
      <c r="E1709" s="0" t="n">
        <v>11.06</v>
      </c>
    </row>
    <row r="1710" customFormat="false" ht="15" hidden="false" customHeight="false" outlineLevel="0" collapsed="false">
      <c r="A1710" s="0" t="n">
        <v>2386</v>
      </c>
      <c r="B1710" s="0" t="s">
        <v>5190</v>
      </c>
      <c r="C1710" s="0" t="s">
        <v>31</v>
      </c>
      <c r="D1710" s="0" t="s">
        <v>3671</v>
      </c>
      <c r="E1710" s="0" t="n">
        <v>18.55</v>
      </c>
    </row>
    <row r="1711" customFormat="false" ht="15" hidden="false" customHeight="false" outlineLevel="0" collapsed="false">
      <c r="A1711" s="0" t="n">
        <v>34689</v>
      </c>
      <c r="B1711" s="0" t="s">
        <v>5191</v>
      </c>
      <c r="C1711" s="0" t="s">
        <v>31</v>
      </c>
      <c r="D1711" s="0" t="s">
        <v>3671</v>
      </c>
      <c r="E1711" s="0" t="n">
        <v>29.07</v>
      </c>
    </row>
    <row r="1712" customFormat="false" ht="15" hidden="false" customHeight="false" outlineLevel="0" collapsed="false">
      <c r="A1712" s="0" t="n">
        <v>2392</v>
      </c>
      <c r="B1712" s="0" t="s">
        <v>5192</v>
      </c>
      <c r="C1712" s="0" t="s">
        <v>31</v>
      </c>
      <c r="D1712" s="0" t="s">
        <v>3671</v>
      </c>
      <c r="E1712" s="0" t="n">
        <v>74.24</v>
      </c>
    </row>
    <row r="1713" customFormat="false" ht="15" hidden="false" customHeight="false" outlineLevel="0" collapsed="false">
      <c r="A1713" s="0" t="n">
        <v>2373</v>
      </c>
      <c r="B1713" s="0" t="s">
        <v>5193</v>
      </c>
      <c r="C1713" s="0" t="s">
        <v>31</v>
      </c>
      <c r="D1713" s="0" t="s">
        <v>3671</v>
      </c>
      <c r="E1713" s="0" t="n">
        <v>104.6</v>
      </c>
    </row>
    <row r="1714" customFormat="false" ht="15" hidden="false" customHeight="false" outlineLevel="0" collapsed="false">
      <c r="A1714" s="0" t="n">
        <v>39465</v>
      </c>
      <c r="B1714" s="0" t="s">
        <v>5194</v>
      </c>
      <c r="C1714" s="0" t="s">
        <v>31</v>
      </c>
      <c r="D1714" s="0" t="s">
        <v>3671</v>
      </c>
      <c r="E1714" s="0" t="n">
        <v>63.9</v>
      </c>
    </row>
    <row r="1715" customFormat="false" ht="15" hidden="false" customHeight="false" outlineLevel="0" collapsed="false">
      <c r="A1715" s="0" t="n">
        <v>39466</v>
      </c>
      <c r="B1715" s="0" t="s">
        <v>5195</v>
      </c>
      <c r="C1715" s="0" t="s">
        <v>31</v>
      </c>
      <c r="D1715" s="0" t="s">
        <v>3671</v>
      </c>
      <c r="E1715" s="0" t="n">
        <v>71.89</v>
      </c>
    </row>
    <row r="1716" customFormat="false" ht="15" hidden="false" customHeight="false" outlineLevel="0" collapsed="false">
      <c r="A1716" s="0" t="n">
        <v>39467</v>
      </c>
      <c r="B1716" s="0" t="s">
        <v>5196</v>
      </c>
      <c r="C1716" s="0" t="s">
        <v>31</v>
      </c>
      <c r="D1716" s="0" t="s">
        <v>3671</v>
      </c>
      <c r="E1716" s="0" t="n">
        <v>91.95</v>
      </c>
    </row>
    <row r="1717" customFormat="false" ht="15" hidden="false" customHeight="false" outlineLevel="0" collapsed="false">
      <c r="A1717" s="0" t="n">
        <v>39468</v>
      </c>
      <c r="B1717" s="0" t="s">
        <v>5197</v>
      </c>
      <c r="C1717" s="0" t="s">
        <v>31</v>
      </c>
      <c r="D1717" s="0" t="s">
        <v>3671</v>
      </c>
      <c r="E1717" s="0" t="n">
        <v>163.44</v>
      </c>
    </row>
    <row r="1718" customFormat="false" ht="15" hidden="false" customHeight="false" outlineLevel="0" collapsed="false">
      <c r="A1718" s="0" t="n">
        <v>39469</v>
      </c>
      <c r="B1718" s="0" t="s">
        <v>5198</v>
      </c>
      <c r="C1718" s="0" t="s">
        <v>31</v>
      </c>
      <c r="D1718" s="0" t="s">
        <v>3671</v>
      </c>
      <c r="E1718" s="0" t="n">
        <v>66.58</v>
      </c>
    </row>
    <row r="1719" customFormat="false" ht="15" hidden="false" customHeight="false" outlineLevel="0" collapsed="false">
      <c r="A1719" s="0" t="n">
        <v>39470</v>
      </c>
      <c r="B1719" s="0" t="s">
        <v>2641</v>
      </c>
      <c r="C1719" s="0" t="s">
        <v>31</v>
      </c>
      <c r="D1719" s="0" t="s">
        <v>3671</v>
      </c>
      <c r="E1719" s="0" t="n">
        <v>81.8</v>
      </c>
    </row>
    <row r="1720" customFormat="false" ht="15" hidden="false" customHeight="false" outlineLevel="0" collapsed="false">
      <c r="A1720" s="0" t="n">
        <v>39471</v>
      </c>
      <c r="B1720" s="0" t="s">
        <v>5199</v>
      </c>
      <c r="C1720" s="0" t="s">
        <v>31</v>
      </c>
      <c r="D1720" s="0" t="s">
        <v>3671</v>
      </c>
      <c r="E1720" s="0" t="n">
        <v>98.31</v>
      </c>
    </row>
    <row r="1721" customFormat="false" ht="15" hidden="false" customHeight="false" outlineLevel="0" collapsed="false">
      <c r="A1721" s="0" t="n">
        <v>39472</v>
      </c>
      <c r="B1721" s="0" t="s">
        <v>2493</v>
      </c>
      <c r="C1721" s="0" t="s">
        <v>31</v>
      </c>
      <c r="D1721" s="0" t="s">
        <v>3671</v>
      </c>
      <c r="E1721" s="0" t="n">
        <v>170.81</v>
      </c>
    </row>
    <row r="1722" customFormat="false" ht="15" hidden="false" customHeight="false" outlineLevel="0" collapsed="false">
      <c r="A1722" s="0" t="n">
        <v>39473</v>
      </c>
      <c r="B1722" s="0" t="s">
        <v>5200</v>
      </c>
      <c r="C1722" s="0" t="s">
        <v>31</v>
      </c>
      <c r="D1722" s="0" t="s">
        <v>3671</v>
      </c>
      <c r="E1722" s="0" t="n">
        <v>110.34</v>
      </c>
    </row>
    <row r="1723" customFormat="false" ht="15" hidden="false" customHeight="false" outlineLevel="0" collapsed="false">
      <c r="A1723" s="0" t="n">
        <v>39474</v>
      </c>
      <c r="B1723" s="0" t="s">
        <v>5201</v>
      </c>
      <c r="C1723" s="0" t="s">
        <v>31</v>
      </c>
      <c r="D1723" s="0" t="s">
        <v>3671</v>
      </c>
      <c r="E1723" s="0" t="n">
        <v>117.63</v>
      </c>
    </row>
    <row r="1724" customFormat="false" ht="15" hidden="false" customHeight="false" outlineLevel="0" collapsed="false">
      <c r="A1724" s="0" t="n">
        <v>39475</v>
      </c>
      <c r="B1724" s="0" t="s">
        <v>5202</v>
      </c>
      <c r="C1724" s="0" t="s">
        <v>31</v>
      </c>
      <c r="D1724" s="0" t="s">
        <v>3671</v>
      </c>
      <c r="E1724" s="0" t="n">
        <v>133.46</v>
      </c>
    </row>
    <row r="1725" customFormat="false" ht="15" hidden="false" customHeight="false" outlineLevel="0" collapsed="false">
      <c r="A1725" s="0" t="n">
        <v>39476</v>
      </c>
      <c r="B1725" s="0" t="s">
        <v>5203</v>
      </c>
      <c r="C1725" s="0" t="s">
        <v>31</v>
      </c>
      <c r="D1725" s="0" t="s">
        <v>3671</v>
      </c>
      <c r="E1725" s="0" t="n">
        <v>251.24</v>
      </c>
    </row>
    <row r="1726" customFormat="false" ht="15" hidden="false" customHeight="false" outlineLevel="0" collapsed="false">
      <c r="A1726" s="0" t="n">
        <v>39477</v>
      </c>
      <c r="B1726" s="0" t="s">
        <v>5204</v>
      </c>
      <c r="C1726" s="0" t="s">
        <v>31</v>
      </c>
      <c r="D1726" s="0" t="s">
        <v>3671</v>
      </c>
      <c r="E1726" s="0" t="n">
        <v>123.1</v>
      </c>
    </row>
    <row r="1727" customFormat="false" ht="15" hidden="false" customHeight="false" outlineLevel="0" collapsed="false">
      <c r="A1727" s="0" t="n">
        <v>39478</v>
      </c>
      <c r="B1727" s="0" t="s">
        <v>5205</v>
      </c>
      <c r="C1727" s="0" t="s">
        <v>31</v>
      </c>
      <c r="D1727" s="0" t="s">
        <v>3671</v>
      </c>
      <c r="E1727" s="0" t="n">
        <v>126.91</v>
      </c>
    </row>
    <row r="1728" customFormat="false" ht="15" hidden="false" customHeight="false" outlineLevel="0" collapsed="false">
      <c r="A1728" s="0" t="n">
        <v>39479</v>
      </c>
      <c r="B1728" s="0" t="s">
        <v>5206</v>
      </c>
      <c r="C1728" s="0" t="s">
        <v>31</v>
      </c>
      <c r="D1728" s="0" t="s">
        <v>3671</v>
      </c>
      <c r="E1728" s="0" t="n">
        <v>149.53</v>
      </c>
    </row>
    <row r="1729" customFormat="false" ht="15" hidden="false" customHeight="false" outlineLevel="0" collapsed="false">
      <c r="A1729" s="0" t="n">
        <v>39480</v>
      </c>
      <c r="B1729" s="0" t="s">
        <v>5207</v>
      </c>
      <c r="C1729" s="0" t="s">
        <v>31</v>
      </c>
      <c r="D1729" s="0" t="s">
        <v>3671</v>
      </c>
      <c r="E1729" s="0" t="n">
        <v>308.54</v>
      </c>
    </row>
    <row r="1730" customFormat="false" ht="15" hidden="false" customHeight="false" outlineLevel="0" collapsed="false">
      <c r="A1730" s="0" t="n">
        <v>39459</v>
      </c>
      <c r="B1730" s="0" t="s">
        <v>5208</v>
      </c>
      <c r="C1730" s="0" t="s">
        <v>31</v>
      </c>
      <c r="D1730" s="0" t="s">
        <v>3671</v>
      </c>
      <c r="E1730" s="0" t="n">
        <v>261.88</v>
      </c>
    </row>
    <row r="1731" customFormat="false" ht="15" hidden="false" customHeight="false" outlineLevel="0" collapsed="false">
      <c r="A1731" s="0" t="n">
        <v>39445</v>
      </c>
      <c r="B1731" s="0" t="s">
        <v>2491</v>
      </c>
      <c r="C1731" s="0" t="s">
        <v>31</v>
      </c>
      <c r="D1731" s="0" t="s">
        <v>3671</v>
      </c>
      <c r="E1731" s="0" t="n">
        <v>131.49</v>
      </c>
    </row>
    <row r="1732" customFormat="false" ht="15" hidden="false" customHeight="false" outlineLevel="0" collapsed="false">
      <c r="A1732" s="0" t="n">
        <v>39446</v>
      </c>
      <c r="B1732" s="0" t="s">
        <v>5209</v>
      </c>
      <c r="C1732" s="0" t="s">
        <v>31</v>
      </c>
      <c r="D1732" s="0" t="s">
        <v>3671</v>
      </c>
      <c r="E1732" s="0" t="n">
        <v>133.83</v>
      </c>
    </row>
    <row r="1733" customFormat="false" ht="15" hidden="false" customHeight="false" outlineLevel="0" collapsed="false">
      <c r="A1733" s="0" t="n">
        <v>39447</v>
      </c>
      <c r="B1733" s="0" t="s">
        <v>5210</v>
      </c>
      <c r="C1733" s="0" t="s">
        <v>31</v>
      </c>
      <c r="D1733" s="0" t="s">
        <v>3671</v>
      </c>
      <c r="E1733" s="0" t="n">
        <v>143.11</v>
      </c>
    </row>
    <row r="1734" customFormat="false" ht="15" hidden="false" customHeight="false" outlineLevel="0" collapsed="false">
      <c r="A1734" s="0" t="n">
        <v>39448</v>
      </c>
      <c r="B1734" s="0" t="s">
        <v>5211</v>
      </c>
      <c r="C1734" s="0" t="s">
        <v>31</v>
      </c>
      <c r="D1734" s="0" t="s">
        <v>3671</v>
      </c>
      <c r="E1734" s="0" t="n">
        <v>244.03</v>
      </c>
    </row>
    <row r="1735" customFormat="false" ht="15" hidden="false" customHeight="false" outlineLevel="0" collapsed="false">
      <c r="A1735" s="0" t="n">
        <v>39450</v>
      </c>
      <c r="B1735" s="0" t="s">
        <v>5212</v>
      </c>
      <c r="C1735" s="0" t="s">
        <v>31</v>
      </c>
      <c r="D1735" s="0" t="s">
        <v>3671</v>
      </c>
      <c r="E1735" s="0" t="n">
        <v>148.89</v>
      </c>
    </row>
    <row r="1736" customFormat="false" ht="15" hidden="false" customHeight="false" outlineLevel="0" collapsed="false">
      <c r="A1736" s="0" t="n">
        <v>39451</v>
      </c>
      <c r="B1736" s="0" t="s">
        <v>5213</v>
      </c>
      <c r="C1736" s="0" t="s">
        <v>31</v>
      </c>
      <c r="D1736" s="0" t="s">
        <v>3671</v>
      </c>
      <c r="E1736" s="0" t="n">
        <v>162.39</v>
      </c>
    </row>
    <row r="1737" customFormat="false" ht="15" hidden="false" customHeight="false" outlineLevel="0" collapsed="false">
      <c r="A1737" s="0" t="n">
        <v>39452</v>
      </c>
      <c r="B1737" s="0" t="s">
        <v>5214</v>
      </c>
      <c r="C1737" s="0" t="s">
        <v>31</v>
      </c>
      <c r="D1737" s="0" t="s">
        <v>3671</v>
      </c>
      <c r="E1737" s="0" t="n">
        <v>163.36</v>
      </c>
    </row>
    <row r="1738" customFormat="false" ht="15" hidden="false" customHeight="false" outlineLevel="0" collapsed="false">
      <c r="A1738" s="0" t="n">
        <v>39523</v>
      </c>
      <c r="B1738" s="0" t="s">
        <v>5215</v>
      </c>
      <c r="C1738" s="0" t="s">
        <v>31</v>
      </c>
      <c r="D1738" s="0" t="s">
        <v>3671</v>
      </c>
      <c r="E1738" s="0" t="n">
        <v>273.39</v>
      </c>
    </row>
    <row r="1739" customFormat="false" ht="15" hidden="false" customHeight="false" outlineLevel="0" collapsed="false">
      <c r="A1739" s="0" t="n">
        <v>39449</v>
      </c>
      <c r="B1739" s="0" t="s">
        <v>5216</v>
      </c>
      <c r="C1739" s="0" t="s">
        <v>31</v>
      </c>
      <c r="D1739" s="0" t="s">
        <v>3671</v>
      </c>
      <c r="E1739" s="0" t="n">
        <v>302.76</v>
      </c>
    </row>
    <row r="1740" customFormat="false" ht="15" hidden="false" customHeight="false" outlineLevel="0" collapsed="false">
      <c r="A1740" s="0" t="n">
        <v>39455</v>
      </c>
      <c r="B1740" s="0" t="s">
        <v>5217</v>
      </c>
      <c r="C1740" s="0" t="s">
        <v>31</v>
      </c>
      <c r="D1740" s="0" t="s">
        <v>3671</v>
      </c>
      <c r="E1740" s="0" t="n">
        <v>149.81</v>
      </c>
    </row>
    <row r="1741" customFormat="false" ht="15" hidden="false" customHeight="false" outlineLevel="0" collapsed="false">
      <c r="A1741" s="0" t="n">
        <v>39456</v>
      </c>
      <c r="B1741" s="0" t="s">
        <v>5218</v>
      </c>
      <c r="C1741" s="0" t="s">
        <v>31</v>
      </c>
      <c r="D1741" s="0" t="s">
        <v>3671</v>
      </c>
      <c r="E1741" s="0" t="n">
        <v>149.92</v>
      </c>
    </row>
    <row r="1742" customFormat="false" ht="15" hidden="false" customHeight="false" outlineLevel="0" collapsed="false">
      <c r="A1742" s="0" t="n">
        <v>39457</v>
      </c>
      <c r="B1742" s="0" t="s">
        <v>5219</v>
      </c>
      <c r="C1742" s="0" t="s">
        <v>31</v>
      </c>
      <c r="D1742" s="0" t="s">
        <v>3671</v>
      </c>
      <c r="E1742" s="0" t="n">
        <v>163.44</v>
      </c>
    </row>
    <row r="1743" customFormat="false" ht="15" hidden="false" customHeight="false" outlineLevel="0" collapsed="false">
      <c r="A1743" s="0" t="n">
        <v>39458</v>
      </c>
      <c r="B1743" s="0" t="s">
        <v>5220</v>
      </c>
      <c r="C1743" s="0" t="s">
        <v>31</v>
      </c>
      <c r="D1743" s="0" t="s">
        <v>3671</v>
      </c>
      <c r="E1743" s="0" t="n">
        <v>304.99</v>
      </c>
    </row>
    <row r="1744" customFormat="false" ht="15" hidden="false" customHeight="false" outlineLevel="0" collapsed="false">
      <c r="A1744" s="0" t="n">
        <v>39464</v>
      </c>
      <c r="B1744" s="0" t="s">
        <v>5221</v>
      </c>
      <c r="C1744" s="0" t="s">
        <v>31</v>
      </c>
      <c r="D1744" s="0" t="s">
        <v>3671</v>
      </c>
      <c r="E1744" s="0" t="n">
        <v>490.44</v>
      </c>
    </row>
    <row r="1745" customFormat="false" ht="15" hidden="false" customHeight="false" outlineLevel="0" collapsed="false">
      <c r="A1745" s="0" t="n">
        <v>39460</v>
      </c>
      <c r="B1745" s="0" t="s">
        <v>5222</v>
      </c>
      <c r="C1745" s="0" t="s">
        <v>31</v>
      </c>
      <c r="D1745" s="0" t="s">
        <v>3671</v>
      </c>
      <c r="E1745" s="0" t="n">
        <v>186.01</v>
      </c>
    </row>
    <row r="1746" customFormat="false" ht="15" hidden="false" customHeight="false" outlineLevel="0" collapsed="false">
      <c r="A1746" s="0" t="n">
        <v>39461</v>
      </c>
      <c r="B1746" s="0" t="s">
        <v>5223</v>
      </c>
      <c r="C1746" s="0" t="s">
        <v>31</v>
      </c>
      <c r="D1746" s="0" t="s">
        <v>3671</v>
      </c>
      <c r="E1746" s="0" t="n">
        <v>217.96</v>
      </c>
    </row>
    <row r="1747" customFormat="false" ht="15" hidden="false" customHeight="false" outlineLevel="0" collapsed="false">
      <c r="A1747" s="0" t="n">
        <v>39462</v>
      </c>
      <c r="B1747" s="0" t="s">
        <v>5224</v>
      </c>
      <c r="C1747" s="0" t="s">
        <v>31</v>
      </c>
      <c r="D1747" s="0" t="s">
        <v>3671</v>
      </c>
      <c r="E1747" s="0" t="n">
        <v>210.06</v>
      </c>
    </row>
    <row r="1748" customFormat="false" ht="15" hidden="false" customHeight="false" outlineLevel="0" collapsed="false">
      <c r="A1748" s="0" t="n">
        <v>39463</v>
      </c>
      <c r="B1748" s="0" t="s">
        <v>5225</v>
      </c>
      <c r="C1748" s="0" t="s">
        <v>31</v>
      </c>
      <c r="D1748" s="0" t="s">
        <v>3671</v>
      </c>
      <c r="E1748" s="0" t="n">
        <v>486.64</v>
      </c>
    </row>
    <row r="1749" customFormat="false" ht="15" hidden="false" customHeight="false" outlineLevel="0" collapsed="false">
      <c r="A1749" s="0" t="n">
        <v>26039</v>
      </c>
      <c r="B1749" s="0" t="s">
        <v>5226</v>
      </c>
      <c r="C1749" s="0" t="s">
        <v>31</v>
      </c>
      <c r="D1749" s="0" t="s">
        <v>3671</v>
      </c>
    </row>
    <row r="1750" customFormat="false" ht="15" hidden="false" customHeight="false" outlineLevel="0" collapsed="false">
      <c r="A1750" s="0" t="n">
        <v>2401</v>
      </c>
      <c r="B1750" s="0" t="s">
        <v>5227</v>
      </c>
      <c r="C1750" s="0" t="s">
        <v>31</v>
      </c>
      <c r="D1750" s="0" t="s">
        <v>3671</v>
      </c>
    </row>
    <row r="1751" customFormat="false" ht="15" hidden="false" customHeight="false" outlineLevel="0" collapsed="false">
      <c r="A1751" s="0" t="n">
        <v>38870</v>
      </c>
      <c r="B1751" s="0" t="s">
        <v>5228</v>
      </c>
      <c r="C1751" s="0" t="s">
        <v>31</v>
      </c>
      <c r="D1751" s="0" t="s">
        <v>3671</v>
      </c>
    </row>
    <row r="1752" customFormat="false" ht="15" hidden="false" customHeight="false" outlineLevel="0" collapsed="false">
      <c r="A1752" s="0" t="n">
        <v>38869</v>
      </c>
      <c r="B1752" s="0" t="s">
        <v>5229</v>
      </c>
      <c r="C1752" s="0" t="s">
        <v>31</v>
      </c>
      <c r="D1752" s="0" t="s">
        <v>3671</v>
      </c>
    </row>
    <row r="1753" customFormat="false" ht="15" hidden="false" customHeight="false" outlineLevel="0" collapsed="false">
      <c r="A1753" s="0" t="n">
        <v>38872</v>
      </c>
      <c r="B1753" s="0" t="s">
        <v>5230</v>
      </c>
      <c r="C1753" s="0" t="s">
        <v>31</v>
      </c>
      <c r="D1753" s="0" t="s">
        <v>3671</v>
      </c>
    </row>
    <row r="1754" customFormat="false" ht="15" hidden="false" customHeight="false" outlineLevel="0" collapsed="false">
      <c r="A1754" s="0" t="n">
        <v>38871</v>
      </c>
      <c r="B1754" s="0" t="s">
        <v>5231</v>
      </c>
      <c r="C1754" s="0" t="s">
        <v>31</v>
      </c>
      <c r="D1754" s="0" t="s">
        <v>3671</v>
      </c>
    </row>
    <row r="1755" customFormat="false" ht="15" hidden="false" customHeight="false" outlineLevel="0" collapsed="false">
      <c r="A1755" s="0" t="n">
        <v>39283</v>
      </c>
      <c r="B1755" s="0" t="s">
        <v>5232</v>
      </c>
      <c r="C1755" s="0" t="s">
        <v>31</v>
      </c>
      <c r="D1755" s="0" t="s">
        <v>3671</v>
      </c>
    </row>
    <row r="1756" customFormat="false" ht="15" hidden="false" customHeight="false" outlineLevel="0" collapsed="false">
      <c r="A1756" s="0" t="n">
        <v>39285</v>
      </c>
      <c r="B1756" s="0" t="s">
        <v>5233</v>
      </c>
      <c r="C1756" s="0" t="s">
        <v>31</v>
      </c>
      <c r="D1756" s="0" t="s">
        <v>3671</v>
      </c>
    </row>
    <row r="1757" customFormat="false" ht="15" hidden="false" customHeight="false" outlineLevel="0" collapsed="false">
      <c r="A1757" s="0" t="n">
        <v>39286</v>
      </c>
      <c r="B1757" s="0" t="s">
        <v>5234</v>
      </c>
      <c r="C1757" s="0" t="s">
        <v>31</v>
      </c>
      <c r="D1757" s="0" t="s">
        <v>3671</v>
      </c>
    </row>
    <row r="1758" customFormat="false" ht="15" hidden="false" customHeight="false" outlineLevel="0" collapsed="false">
      <c r="A1758" s="0" t="n">
        <v>39288</v>
      </c>
      <c r="B1758" s="0" t="s">
        <v>5235</v>
      </c>
      <c r="C1758" s="0" t="s">
        <v>31</v>
      </c>
      <c r="D1758" s="0" t="s">
        <v>3671</v>
      </c>
    </row>
    <row r="1759" customFormat="false" ht="15" hidden="false" customHeight="false" outlineLevel="0" collapsed="false">
      <c r="A1759" s="0" t="n">
        <v>44476</v>
      </c>
      <c r="B1759" s="0" t="s">
        <v>1782</v>
      </c>
      <c r="C1759" s="0" t="s">
        <v>1477</v>
      </c>
      <c r="D1759" s="0" t="s">
        <v>3671</v>
      </c>
      <c r="E1759" s="0" t="n">
        <v>652.45</v>
      </c>
    </row>
    <row r="1760" customFormat="false" ht="15" hidden="false" customHeight="false" outlineLevel="0" collapsed="false">
      <c r="A1760" s="0" t="n">
        <v>10629</v>
      </c>
      <c r="B1760" s="0" t="s">
        <v>5236</v>
      </c>
      <c r="C1760" s="0" t="s">
        <v>1477</v>
      </c>
      <c r="D1760" s="0" t="s">
        <v>3671</v>
      </c>
      <c r="E1760" s="0" t="n">
        <v>842.55</v>
      </c>
    </row>
    <row r="1761" customFormat="false" ht="15" hidden="false" customHeight="false" outlineLevel="0" collapsed="false">
      <c r="A1761" s="0" t="n">
        <v>10698</v>
      </c>
      <c r="B1761" s="0" t="s">
        <v>5237</v>
      </c>
      <c r="C1761" s="0" t="s">
        <v>1477</v>
      </c>
      <c r="D1761" s="0" t="s">
        <v>3671</v>
      </c>
    </row>
    <row r="1762" customFormat="false" ht="15" hidden="false" customHeight="false" outlineLevel="0" collapsed="false">
      <c r="A1762" s="0" t="n">
        <v>40521</v>
      </c>
      <c r="B1762" s="0" t="s">
        <v>5238</v>
      </c>
      <c r="C1762" s="0" t="s">
        <v>31</v>
      </c>
      <c r="D1762" s="0" t="s">
        <v>3671</v>
      </c>
      <c r="E1762" s="0" t="n">
        <v>102950.04</v>
      </c>
    </row>
    <row r="1763" customFormat="false" ht="15" hidden="false" customHeight="false" outlineLevel="0" collapsed="false">
      <c r="A1763" s="0" t="n">
        <v>2432</v>
      </c>
      <c r="B1763" s="0" t="s">
        <v>1843</v>
      </c>
      <c r="C1763" s="0" t="s">
        <v>31</v>
      </c>
      <c r="D1763" s="0" t="s">
        <v>3671</v>
      </c>
      <c r="E1763" s="0" t="n">
        <v>29.94</v>
      </c>
    </row>
    <row r="1764" customFormat="false" ht="15" hidden="false" customHeight="false" outlineLevel="0" collapsed="false">
      <c r="A1764" s="0" t="n">
        <v>2418</v>
      </c>
      <c r="B1764" s="0" t="s">
        <v>5239</v>
      </c>
      <c r="C1764" s="0" t="s">
        <v>31</v>
      </c>
      <c r="D1764" s="0" t="s">
        <v>3676</v>
      </c>
      <c r="E1764" s="0" t="n">
        <v>13.89</v>
      </c>
    </row>
    <row r="1765" customFormat="false" ht="15" hidden="false" customHeight="false" outlineLevel="0" collapsed="false">
      <c r="A1765" s="0" t="n">
        <v>2433</v>
      </c>
      <c r="B1765" s="0" t="s">
        <v>5240</v>
      </c>
      <c r="C1765" s="0" t="s">
        <v>31</v>
      </c>
      <c r="D1765" s="0" t="s">
        <v>3671</v>
      </c>
      <c r="E1765" s="0" t="n">
        <v>10.14</v>
      </c>
    </row>
    <row r="1766" customFormat="false" ht="15" hidden="false" customHeight="false" outlineLevel="0" collapsed="false">
      <c r="A1766" s="0" t="n">
        <v>2420</v>
      </c>
      <c r="B1766" s="0" t="s">
        <v>5241</v>
      </c>
      <c r="C1766" s="0" t="s">
        <v>31</v>
      </c>
      <c r="D1766" s="0" t="s">
        <v>3671</v>
      </c>
      <c r="E1766" s="0" t="n">
        <v>17.42</v>
      </c>
    </row>
    <row r="1767" customFormat="false" ht="15" hidden="false" customHeight="false" outlineLevel="0" collapsed="false">
      <c r="A1767" s="0" t="n">
        <v>11447</v>
      </c>
      <c r="B1767" s="0" t="s">
        <v>5242</v>
      </c>
      <c r="C1767" s="0" t="s">
        <v>31</v>
      </c>
      <c r="D1767" s="0" t="s">
        <v>3671</v>
      </c>
      <c r="E1767" s="0" t="n">
        <v>34.43</v>
      </c>
    </row>
    <row r="1768" customFormat="false" ht="15" hidden="false" customHeight="false" outlineLevel="0" collapsed="false">
      <c r="A1768" s="0" t="n">
        <v>11451</v>
      </c>
      <c r="B1768" s="0" t="s">
        <v>1539</v>
      </c>
      <c r="C1768" s="0" t="s">
        <v>31</v>
      </c>
      <c r="D1768" s="0" t="s">
        <v>3671</v>
      </c>
      <c r="E1768" s="0" t="n">
        <v>92.3</v>
      </c>
    </row>
    <row r="1769" customFormat="false" ht="15" hidden="false" customHeight="false" outlineLevel="0" collapsed="false">
      <c r="A1769" s="0" t="n">
        <v>11116</v>
      </c>
      <c r="B1769" s="0" t="s">
        <v>5243</v>
      </c>
      <c r="C1769" s="0" t="s">
        <v>31</v>
      </c>
      <c r="D1769" s="0" t="s">
        <v>3671</v>
      </c>
    </row>
    <row r="1770" customFormat="false" ht="15" hidden="false" customHeight="false" outlineLevel="0" collapsed="false">
      <c r="A1770" s="0" t="n">
        <v>38411</v>
      </c>
      <c r="B1770" s="0" t="s">
        <v>5244</v>
      </c>
      <c r="C1770" s="0" t="s">
        <v>31</v>
      </c>
      <c r="D1770" s="0" t="s">
        <v>3671</v>
      </c>
      <c r="E1770" s="0" t="n">
        <v>1556.82</v>
      </c>
    </row>
    <row r="1771" customFormat="false" ht="15" hidden="false" customHeight="false" outlineLevel="0" collapsed="false">
      <c r="A1771" s="0" t="n">
        <v>38189</v>
      </c>
      <c r="B1771" s="0" t="s">
        <v>5245</v>
      </c>
      <c r="C1771" s="0" t="s">
        <v>31</v>
      </c>
      <c r="D1771" s="0" t="s">
        <v>3671</v>
      </c>
      <c r="E1771" s="0" t="n">
        <v>200.19</v>
      </c>
    </row>
    <row r="1772" customFormat="false" ht="15" hidden="false" customHeight="false" outlineLevel="0" collapsed="false">
      <c r="A1772" s="0" t="n">
        <v>38190</v>
      </c>
      <c r="B1772" s="0" t="s">
        <v>5246</v>
      </c>
      <c r="C1772" s="0" t="s">
        <v>31</v>
      </c>
      <c r="D1772" s="0" t="s">
        <v>3671</v>
      </c>
      <c r="E1772" s="0" t="n">
        <v>421.74</v>
      </c>
    </row>
    <row r="1773" customFormat="false" ht="15" hidden="false" customHeight="false" outlineLevel="0" collapsed="false">
      <c r="A1773" s="0" t="n">
        <v>7608</v>
      </c>
      <c r="B1773" s="0" t="s">
        <v>5247</v>
      </c>
      <c r="C1773" s="0" t="s">
        <v>31</v>
      </c>
      <c r="D1773" s="0" t="s">
        <v>3671</v>
      </c>
      <c r="E1773" s="0" t="n">
        <v>13.04</v>
      </c>
    </row>
    <row r="1774" customFormat="false" ht="15" hidden="false" customHeight="false" outlineLevel="0" collapsed="false">
      <c r="A1774" s="0" t="n">
        <v>1370</v>
      </c>
      <c r="B1774" s="0" t="s">
        <v>5248</v>
      </c>
      <c r="C1774" s="0" t="s">
        <v>31</v>
      </c>
      <c r="D1774" s="0" t="s">
        <v>3671</v>
      </c>
      <c r="E1774" s="0" t="n">
        <v>122.56</v>
      </c>
    </row>
    <row r="1775" customFormat="false" ht="15" hidden="false" customHeight="false" outlineLevel="0" collapsed="false">
      <c r="A1775" s="0" t="n">
        <v>36516</v>
      </c>
      <c r="B1775" s="0" t="s">
        <v>5249</v>
      </c>
      <c r="C1775" s="0" t="s">
        <v>31</v>
      </c>
      <c r="D1775" s="0" t="s">
        <v>3671</v>
      </c>
    </row>
    <row r="1776" customFormat="false" ht="15" hidden="false" customHeight="false" outlineLevel="0" collapsed="false">
      <c r="A1776" s="0" t="n">
        <v>34777</v>
      </c>
      <c r="B1776" s="0" t="s">
        <v>5250</v>
      </c>
      <c r="C1776" s="0" t="s">
        <v>31</v>
      </c>
      <c r="D1776" s="0" t="s">
        <v>3671</v>
      </c>
      <c r="E1776" s="0" t="n">
        <v>3.95</v>
      </c>
    </row>
    <row r="1777" customFormat="false" ht="15" hidden="false" customHeight="false" outlineLevel="0" collapsed="false">
      <c r="A1777" s="0" t="n">
        <v>7272</v>
      </c>
      <c r="B1777" s="0" t="s">
        <v>5251</v>
      </c>
      <c r="C1777" s="0" t="s">
        <v>31</v>
      </c>
      <c r="D1777" s="0" t="s">
        <v>3671</v>
      </c>
      <c r="E1777" s="0" t="n">
        <v>2.97</v>
      </c>
    </row>
    <row r="1778" customFormat="false" ht="15" hidden="false" customHeight="false" outlineLevel="0" collapsed="false">
      <c r="A1778" s="0" t="n">
        <v>10605</v>
      </c>
      <c r="B1778" s="0" t="s">
        <v>5252</v>
      </c>
      <c r="C1778" s="0" t="s">
        <v>31</v>
      </c>
      <c r="D1778" s="0" t="s">
        <v>3671</v>
      </c>
      <c r="E1778" s="0" t="n">
        <v>5.6</v>
      </c>
    </row>
    <row r="1779" customFormat="false" ht="15" hidden="false" customHeight="false" outlineLevel="0" collapsed="false">
      <c r="A1779" s="0" t="n">
        <v>10604</v>
      </c>
      <c r="B1779" s="0" t="s">
        <v>5253</v>
      </c>
      <c r="C1779" s="0" t="s">
        <v>31</v>
      </c>
      <c r="D1779" s="0" t="s">
        <v>3671</v>
      </c>
      <c r="E1779" s="0" t="n">
        <v>13.06</v>
      </c>
    </row>
    <row r="1780" customFormat="false" ht="15" hidden="false" customHeight="false" outlineLevel="0" collapsed="false">
      <c r="A1780" s="0" t="n">
        <v>672</v>
      </c>
      <c r="B1780" s="0" t="s">
        <v>5254</v>
      </c>
      <c r="C1780" s="0" t="s">
        <v>31</v>
      </c>
      <c r="D1780" s="0" t="s">
        <v>3671</v>
      </c>
      <c r="E1780" s="0" t="n">
        <v>17.95</v>
      </c>
    </row>
    <row r="1781" customFormat="false" ht="15" hidden="false" customHeight="false" outlineLevel="0" collapsed="false">
      <c r="A1781" s="0" t="n">
        <v>668</v>
      </c>
      <c r="B1781" s="0" t="s">
        <v>5255</v>
      </c>
      <c r="C1781" s="0" t="s">
        <v>31</v>
      </c>
      <c r="D1781" s="0" t="s">
        <v>3671</v>
      </c>
      <c r="E1781" s="0" t="n">
        <v>21.68</v>
      </c>
    </row>
    <row r="1782" customFormat="false" ht="15" hidden="false" customHeight="false" outlineLevel="0" collapsed="false">
      <c r="A1782" s="0" t="n">
        <v>10578</v>
      </c>
      <c r="B1782" s="0" t="s">
        <v>5256</v>
      </c>
      <c r="C1782" s="0" t="s">
        <v>31</v>
      </c>
      <c r="D1782" s="0" t="s">
        <v>3671</v>
      </c>
      <c r="E1782" s="0" t="n">
        <v>25.25</v>
      </c>
    </row>
    <row r="1783" customFormat="false" ht="15" hidden="false" customHeight="false" outlineLevel="0" collapsed="false">
      <c r="A1783" s="0" t="n">
        <v>666</v>
      </c>
      <c r="B1783" s="0" t="s">
        <v>5257</v>
      </c>
      <c r="C1783" s="0" t="s">
        <v>31</v>
      </c>
      <c r="D1783" s="0" t="s">
        <v>3671</v>
      </c>
      <c r="E1783" s="0" t="n">
        <v>28.08</v>
      </c>
    </row>
    <row r="1784" customFormat="false" ht="15" hidden="false" customHeight="false" outlineLevel="0" collapsed="false">
      <c r="A1784" s="0" t="n">
        <v>665</v>
      </c>
      <c r="B1784" s="0" t="s">
        <v>1889</v>
      </c>
      <c r="C1784" s="0" t="s">
        <v>31</v>
      </c>
      <c r="D1784" s="0" t="s">
        <v>3671</v>
      </c>
      <c r="E1784" s="0" t="n">
        <v>37.55</v>
      </c>
    </row>
    <row r="1785" customFormat="false" ht="15" hidden="false" customHeight="false" outlineLevel="0" collapsed="false">
      <c r="A1785" s="0" t="n">
        <v>10577</v>
      </c>
      <c r="B1785" s="0" t="s">
        <v>5258</v>
      </c>
      <c r="C1785" s="0" t="s">
        <v>31</v>
      </c>
      <c r="D1785" s="0" t="s">
        <v>3671</v>
      </c>
      <c r="E1785" s="0" t="n">
        <v>33.3</v>
      </c>
    </row>
    <row r="1786" customFormat="false" ht="15" hidden="false" customHeight="false" outlineLevel="0" collapsed="false">
      <c r="A1786" s="0" t="n">
        <v>10583</v>
      </c>
      <c r="B1786" s="0" t="s">
        <v>5259</v>
      </c>
      <c r="C1786" s="0" t="s">
        <v>31</v>
      </c>
      <c r="D1786" s="0" t="s">
        <v>3671</v>
      </c>
      <c r="E1786" s="0" t="n">
        <v>17.3</v>
      </c>
    </row>
    <row r="1787" customFormat="false" ht="15" hidden="false" customHeight="false" outlineLevel="0" collapsed="false">
      <c r="A1787" s="0" t="n">
        <v>10579</v>
      </c>
      <c r="B1787" s="0" t="s">
        <v>5260</v>
      </c>
      <c r="C1787" s="0" t="s">
        <v>31</v>
      </c>
      <c r="D1787" s="0" t="s">
        <v>3671</v>
      </c>
      <c r="E1787" s="0" t="n">
        <v>30.16</v>
      </c>
    </row>
    <row r="1788" customFormat="false" ht="15" hidden="false" customHeight="false" outlineLevel="0" collapsed="false">
      <c r="A1788" s="0" t="n">
        <v>10582</v>
      </c>
      <c r="B1788" s="0" t="s">
        <v>5261</v>
      </c>
      <c r="C1788" s="0" t="s">
        <v>31</v>
      </c>
      <c r="D1788" s="0" t="s">
        <v>3671</v>
      </c>
      <c r="E1788" s="0" t="n">
        <v>15.23</v>
      </c>
    </row>
    <row r="1789" customFormat="false" ht="15" hidden="false" customHeight="false" outlineLevel="0" collapsed="false">
      <c r="A1789" s="0" t="n">
        <v>2436</v>
      </c>
      <c r="B1789" s="0" t="s">
        <v>1557</v>
      </c>
      <c r="C1789" s="0" t="s">
        <v>1444</v>
      </c>
      <c r="D1789" s="0" t="s">
        <v>3676</v>
      </c>
      <c r="E1789" s="0" t="n">
        <v>20.22</v>
      </c>
    </row>
    <row r="1790" customFormat="false" ht="15" hidden="false" customHeight="false" outlineLevel="0" collapsed="false">
      <c r="A1790" s="0" t="n">
        <v>40918</v>
      </c>
      <c r="B1790" s="0" t="s">
        <v>5262</v>
      </c>
      <c r="C1790" s="0" t="s">
        <v>1416</v>
      </c>
      <c r="D1790" s="0" t="s">
        <v>3671</v>
      </c>
      <c r="E1790" s="0" t="n">
        <v>3561.68</v>
      </c>
    </row>
    <row r="1791" customFormat="false" ht="15" hidden="false" customHeight="false" outlineLevel="0" collapsed="false">
      <c r="A1791" s="0" t="n">
        <v>10998</v>
      </c>
      <c r="B1791" s="0" t="s">
        <v>5263</v>
      </c>
      <c r="C1791" s="0" t="s">
        <v>1513</v>
      </c>
      <c r="D1791" s="0" t="s">
        <v>3671</v>
      </c>
      <c r="E1791" s="0" t="n">
        <v>25.99</v>
      </c>
    </row>
    <row r="1792" customFormat="false" ht="15" hidden="false" customHeight="false" outlineLevel="0" collapsed="false">
      <c r="A1792" s="0" t="n">
        <v>11002</v>
      </c>
      <c r="B1792" s="0" t="s">
        <v>1604</v>
      </c>
      <c r="C1792" s="0" t="s">
        <v>1513</v>
      </c>
      <c r="D1792" s="0" t="s">
        <v>3671</v>
      </c>
      <c r="E1792" s="0" t="n">
        <v>23.81</v>
      </c>
    </row>
    <row r="1793" customFormat="false" ht="15" hidden="false" customHeight="false" outlineLevel="0" collapsed="false">
      <c r="A1793" s="0" t="n">
        <v>10999</v>
      </c>
      <c r="B1793" s="0" t="s">
        <v>5264</v>
      </c>
      <c r="C1793" s="0" t="s">
        <v>1513</v>
      </c>
      <c r="D1793" s="0" t="s">
        <v>3671</v>
      </c>
      <c r="E1793" s="0" t="n">
        <v>22.88</v>
      </c>
    </row>
    <row r="1794" customFormat="false" ht="15" hidden="false" customHeight="false" outlineLevel="0" collapsed="false">
      <c r="A1794" s="0" t="n">
        <v>10997</v>
      </c>
      <c r="B1794" s="0" t="s">
        <v>5265</v>
      </c>
      <c r="C1794" s="0" t="s">
        <v>1513</v>
      </c>
      <c r="D1794" s="0" t="s">
        <v>3676</v>
      </c>
      <c r="E1794" s="0" t="n">
        <v>24.8</v>
      </c>
    </row>
    <row r="1795" customFormat="false" ht="15" hidden="false" customHeight="false" outlineLevel="0" collapsed="false">
      <c r="A1795" s="0" t="n">
        <v>2685</v>
      </c>
      <c r="B1795" s="0" t="s">
        <v>5266</v>
      </c>
      <c r="C1795" s="0" t="s">
        <v>1455</v>
      </c>
      <c r="D1795" s="0" t="s">
        <v>3671</v>
      </c>
      <c r="E1795" s="0" t="n">
        <v>6.22</v>
      </c>
    </row>
    <row r="1796" customFormat="false" ht="15" hidden="false" customHeight="false" outlineLevel="0" collapsed="false">
      <c r="A1796" s="0" t="n">
        <v>2680</v>
      </c>
      <c r="B1796" s="0" t="s">
        <v>5267</v>
      </c>
      <c r="C1796" s="0" t="s">
        <v>1455</v>
      </c>
      <c r="D1796" s="0" t="s">
        <v>3671</v>
      </c>
      <c r="E1796" s="0" t="n">
        <v>9.11</v>
      </c>
    </row>
    <row r="1797" customFormat="false" ht="15" hidden="false" customHeight="false" outlineLevel="0" collapsed="false">
      <c r="A1797" s="0" t="n">
        <v>2684</v>
      </c>
      <c r="B1797" s="0" t="s">
        <v>5268</v>
      </c>
      <c r="C1797" s="0" t="s">
        <v>1455</v>
      </c>
      <c r="D1797" s="0" t="s">
        <v>3671</v>
      </c>
      <c r="E1797" s="0" t="n">
        <v>8.29</v>
      </c>
    </row>
    <row r="1798" customFormat="false" ht="15" hidden="false" customHeight="false" outlineLevel="0" collapsed="false">
      <c r="A1798" s="0" t="n">
        <v>2673</v>
      </c>
      <c r="B1798" s="0" t="s">
        <v>5269</v>
      </c>
      <c r="C1798" s="0" t="s">
        <v>1455</v>
      </c>
      <c r="D1798" s="0" t="s">
        <v>3676</v>
      </c>
      <c r="E1798" s="0" t="n">
        <v>3.2</v>
      </c>
    </row>
    <row r="1799" customFormat="false" ht="15" hidden="false" customHeight="false" outlineLevel="0" collapsed="false">
      <c r="A1799" s="0" t="n">
        <v>2681</v>
      </c>
      <c r="B1799" s="0" t="s">
        <v>5270</v>
      </c>
      <c r="C1799" s="0" t="s">
        <v>1455</v>
      </c>
      <c r="D1799" s="0" t="s">
        <v>3671</v>
      </c>
      <c r="E1799" s="0" t="n">
        <v>14.89</v>
      </c>
    </row>
    <row r="1800" customFormat="false" ht="15" hidden="false" customHeight="false" outlineLevel="0" collapsed="false">
      <c r="A1800" s="0" t="n">
        <v>2682</v>
      </c>
      <c r="B1800" s="0" t="s">
        <v>5271</v>
      </c>
      <c r="C1800" s="0" t="s">
        <v>1455</v>
      </c>
      <c r="D1800" s="0" t="s">
        <v>3671</v>
      </c>
      <c r="E1800" s="0" t="n">
        <v>21.72</v>
      </c>
    </row>
    <row r="1801" customFormat="false" ht="15" hidden="false" customHeight="false" outlineLevel="0" collapsed="false">
      <c r="A1801" s="0" t="n">
        <v>2686</v>
      </c>
      <c r="B1801" s="0" t="s">
        <v>5272</v>
      </c>
      <c r="C1801" s="0" t="s">
        <v>1455</v>
      </c>
      <c r="D1801" s="0" t="s">
        <v>3671</v>
      </c>
      <c r="E1801" s="0" t="n">
        <v>27.24</v>
      </c>
    </row>
    <row r="1802" customFormat="false" ht="15" hidden="false" customHeight="false" outlineLevel="0" collapsed="false">
      <c r="A1802" s="0" t="n">
        <v>2674</v>
      </c>
      <c r="B1802" s="0" t="s">
        <v>1540</v>
      </c>
      <c r="C1802" s="0" t="s">
        <v>1455</v>
      </c>
      <c r="D1802" s="0" t="s">
        <v>3671</v>
      </c>
      <c r="E1802" s="0" t="n">
        <v>3.98</v>
      </c>
    </row>
    <row r="1803" customFormat="false" ht="15" hidden="false" customHeight="false" outlineLevel="0" collapsed="false">
      <c r="A1803" s="0" t="n">
        <v>2683</v>
      </c>
      <c r="B1803" s="0" t="s">
        <v>5273</v>
      </c>
      <c r="C1803" s="0" t="s">
        <v>1455</v>
      </c>
      <c r="D1803" s="0" t="s">
        <v>3671</v>
      </c>
      <c r="E1803" s="0" t="n">
        <v>42.93</v>
      </c>
    </row>
    <row r="1804" customFormat="false" ht="15" hidden="false" customHeight="false" outlineLevel="0" collapsed="false">
      <c r="A1804" s="0" t="n">
        <v>2676</v>
      </c>
      <c r="B1804" s="0" t="s">
        <v>5274</v>
      </c>
      <c r="C1804" s="0" t="s">
        <v>1455</v>
      </c>
      <c r="D1804" s="0" t="s">
        <v>3671</v>
      </c>
      <c r="E1804" s="0" t="n">
        <v>1.86</v>
      </c>
    </row>
    <row r="1805" customFormat="false" ht="15" hidden="false" customHeight="false" outlineLevel="0" collapsed="false">
      <c r="A1805" s="0" t="n">
        <v>2678</v>
      </c>
      <c r="B1805" s="0" t="s">
        <v>5275</v>
      </c>
      <c r="C1805" s="0" t="s">
        <v>1455</v>
      </c>
      <c r="D1805" s="0" t="s">
        <v>3671</v>
      </c>
      <c r="E1805" s="0" t="n">
        <v>2.33</v>
      </c>
    </row>
    <row r="1806" customFormat="false" ht="15" hidden="false" customHeight="false" outlineLevel="0" collapsed="false">
      <c r="A1806" s="0" t="n">
        <v>2679</v>
      </c>
      <c r="B1806" s="0" t="s">
        <v>5276</v>
      </c>
      <c r="C1806" s="0" t="s">
        <v>1455</v>
      </c>
      <c r="D1806" s="0" t="s">
        <v>3671</v>
      </c>
      <c r="E1806" s="0" t="n">
        <v>3.59</v>
      </c>
    </row>
    <row r="1807" customFormat="false" ht="15" hidden="false" customHeight="false" outlineLevel="0" collapsed="false">
      <c r="A1807" s="0" t="n">
        <v>12070</v>
      </c>
      <c r="B1807" s="0" t="s">
        <v>5277</v>
      </c>
      <c r="C1807" s="0" t="s">
        <v>1455</v>
      </c>
      <c r="D1807" s="0" t="s">
        <v>3671</v>
      </c>
      <c r="E1807" s="0" t="n">
        <v>5</v>
      </c>
    </row>
    <row r="1808" customFormat="false" ht="15" hidden="false" customHeight="false" outlineLevel="0" collapsed="false">
      <c r="A1808" s="0" t="n">
        <v>2675</v>
      </c>
      <c r="B1808" s="0" t="s">
        <v>5278</v>
      </c>
      <c r="C1808" s="0" t="s">
        <v>1455</v>
      </c>
      <c r="D1808" s="0" t="s">
        <v>3671</v>
      </c>
      <c r="E1808" s="0" t="n">
        <v>6.5</v>
      </c>
    </row>
    <row r="1809" customFormat="false" ht="15" hidden="false" customHeight="false" outlineLevel="0" collapsed="false">
      <c r="A1809" s="0" t="n">
        <v>12067</v>
      </c>
      <c r="B1809" s="0" t="s">
        <v>5279</v>
      </c>
      <c r="C1809" s="0" t="s">
        <v>1455</v>
      </c>
      <c r="D1809" s="0" t="s">
        <v>3671</v>
      </c>
      <c r="E1809" s="0" t="n">
        <v>8.82</v>
      </c>
    </row>
    <row r="1810" customFormat="false" ht="15" hidden="false" customHeight="false" outlineLevel="0" collapsed="false">
      <c r="A1810" s="0" t="n">
        <v>21128</v>
      </c>
      <c r="B1810" s="0" t="s">
        <v>5280</v>
      </c>
      <c r="C1810" s="0" t="s">
        <v>1455</v>
      </c>
      <c r="D1810" s="0" t="s">
        <v>3676</v>
      </c>
      <c r="E1810" s="0" t="n">
        <v>7.97</v>
      </c>
    </row>
    <row r="1811" customFormat="false" ht="15" hidden="false" customHeight="false" outlineLevel="0" collapsed="false">
      <c r="A1811" s="0" t="n">
        <v>40400</v>
      </c>
      <c r="B1811" s="0" t="s">
        <v>5281</v>
      </c>
      <c r="C1811" s="0" t="s">
        <v>1455</v>
      </c>
      <c r="D1811" s="0" t="s">
        <v>3671</v>
      </c>
      <c r="E1811" s="0" t="n">
        <v>1.42</v>
      </c>
    </row>
    <row r="1812" customFormat="false" ht="15" hidden="false" customHeight="false" outlineLevel="0" collapsed="false">
      <c r="A1812" s="0" t="n">
        <v>40401</v>
      </c>
      <c r="B1812" s="0" t="s">
        <v>2576</v>
      </c>
      <c r="C1812" s="0" t="s">
        <v>1455</v>
      </c>
      <c r="D1812" s="0" t="s">
        <v>3671</v>
      </c>
      <c r="E1812" s="0" t="n">
        <v>2.1</v>
      </c>
    </row>
    <row r="1813" customFormat="false" ht="15" hidden="false" customHeight="false" outlineLevel="0" collapsed="false">
      <c r="A1813" s="0" t="n">
        <v>40402</v>
      </c>
      <c r="B1813" s="0" t="s">
        <v>5282</v>
      </c>
      <c r="C1813" s="0" t="s">
        <v>1455</v>
      </c>
      <c r="D1813" s="0" t="s">
        <v>3671</v>
      </c>
      <c r="E1813" s="0" t="n">
        <v>2.69</v>
      </c>
    </row>
    <row r="1814" customFormat="false" ht="15" hidden="false" customHeight="false" outlineLevel="0" collapsed="false">
      <c r="A1814" s="0" t="n">
        <v>21137</v>
      </c>
      <c r="B1814" s="0" t="s">
        <v>5283</v>
      </c>
      <c r="C1814" s="0" t="s">
        <v>1455</v>
      </c>
      <c r="D1814" s="0" t="s">
        <v>3671</v>
      </c>
      <c r="E1814" s="0" t="n">
        <v>8.16</v>
      </c>
    </row>
    <row r="1815" customFormat="false" ht="15" hidden="false" customHeight="false" outlineLevel="0" collapsed="false">
      <c r="A1815" s="0" t="n">
        <v>2504</v>
      </c>
      <c r="B1815" s="0" t="s">
        <v>5284</v>
      </c>
      <c r="C1815" s="0" t="s">
        <v>1455</v>
      </c>
      <c r="D1815" s="0" t="s">
        <v>3671</v>
      </c>
      <c r="E1815" s="0" t="n">
        <v>8.84</v>
      </c>
    </row>
    <row r="1816" customFormat="false" ht="15" hidden="false" customHeight="false" outlineLevel="0" collapsed="false">
      <c r="A1816" s="0" t="n">
        <v>2501</v>
      </c>
      <c r="B1816" s="0" t="s">
        <v>5285</v>
      </c>
      <c r="C1816" s="0" t="s">
        <v>1455</v>
      </c>
      <c r="D1816" s="0" t="s">
        <v>3671</v>
      </c>
      <c r="E1816" s="0" t="n">
        <v>11.59</v>
      </c>
    </row>
    <row r="1817" customFormat="false" ht="15" hidden="false" customHeight="false" outlineLevel="0" collapsed="false">
      <c r="A1817" s="0" t="n">
        <v>2502</v>
      </c>
      <c r="B1817" s="0" t="s">
        <v>5286</v>
      </c>
      <c r="C1817" s="0" t="s">
        <v>1455</v>
      </c>
      <c r="D1817" s="0" t="s">
        <v>3671</v>
      </c>
      <c r="E1817" s="0" t="n">
        <v>17.5</v>
      </c>
    </row>
    <row r="1818" customFormat="false" ht="15" hidden="false" customHeight="false" outlineLevel="0" collapsed="false">
      <c r="A1818" s="0" t="n">
        <v>2503</v>
      </c>
      <c r="B1818" s="0" t="s">
        <v>5287</v>
      </c>
      <c r="C1818" s="0" t="s">
        <v>1455</v>
      </c>
      <c r="D1818" s="0" t="s">
        <v>3671</v>
      </c>
      <c r="E1818" s="0" t="n">
        <v>22.52</v>
      </c>
    </row>
    <row r="1819" customFormat="false" ht="15" hidden="false" customHeight="false" outlineLevel="0" collapsed="false">
      <c r="A1819" s="0" t="n">
        <v>2500</v>
      </c>
      <c r="B1819" s="0" t="s">
        <v>5288</v>
      </c>
      <c r="C1819" s="0" t="s">
        <v>1455</v>
      </c>
      <c r="D1819" s="0" t="s">
        <v>3671</v>
      </c>
      <c r="E1819" s="0" t="n">
        <v>30</v>
      </c>
    </row>
    <row r="1820" customFormat="false" ht="15" hidden="false" customHeight="false" outlineLevel="0" collapsed="false">
      <c r="A1820" s="0" t="n">
        <v>2505</v>
      </c>
      <c r="B1820" s="0" t="s">
        <v>5289</v>
      </c>
      <c r="C1820" s="0" t="s">
        <v>1455</v>
      </c>
      <c r="D1820" s="0" t="s">
        <v>3671</v>
      </c>
      <c r="E1820" s="0" t="n">
        <v>46.75</v>
      </c>
    </row>
    <row r="1821" customFormat="false" ht="15" hidden="false" customHeight="false" outlineLevel="0" collapsed="false">
      <c r="A1821" s="0" t="n">
        <v>12056</v>
      </c>
      <c r="B1821" s="0" t="s">
        <v>5290</v>
      </c>
      <c r="C1821" s="0" t="s">
        <v>1455</v>
      </c>
      <c r="D1821" s="0" t="s">
        <v>3671</v>
      </c>
      <c r="E1821" s="0" t="n">
        <v>18.89</v>
      </c>
    </row>
    <row r="1822" customFormat="false" ht="15" hidden="false" customHeight="false" outlineLevel="0" collapsed="false">
      <c r="A1822" s="0" t="n">
        <v>12057</v>
      </c>
      <c r="B1822" s="0" t="s">
        <v>5291</v>
      </c>
      <c r="C1822" s="0" t="s">
        <v>1455</v>
      </c>
      <c r="D1822" s="0" t="s">
        <v>3671</v>
      </c>
      <c r="E1822" s="0" t="n">
        <v>16.04</v>
      </c>
    </row>
    <row r="1823" customFormat="false" ht="15" hidden="false" customHeight="false" outlineLevel="0" collapsed="false">
      <c r="A1823" s="0" t="n">
        <v>12058</v>
      </c>
      <c r="B1823" s="0" t="s">
        <v>5292</v>
      </c>
      <c r="C1823" s="0" t="s">
        <v>1455</v>
      </c>
      <c r="D1823" s="0" t="s">
        <v>3671</v>
      </c>
      <c r="E1823" s="0" t="n">
        <v>10</v>
      </c>
    </row>
    <row r="1824" customFormat="false" ht="15" hidden="false" customHeight="false" outlineLevel="0" collapsed="false">
      <c r="A1824" s="0" t="n">
        <v>12059</v>
      </c>
      <c r="B1824" s="0" t="s">
        <v>5293</v>
      </c>
      <c r="C1824" s="0" t="s">
        <v>1455</v>
      </c>
      <c r="D1824" s="0" t="s">
        <v>3671</v>
      </c>
      <c r="E1824" s="0" t="n">
        <v>5.63</v>
      </c>
    </row>
    <row r="1825" customFormat="false" ht="15" hidden="false" customHeight="false" outlineLevel="0" collapsed="false">
      <c r="A1825" s="0" t="n">
        <v>12060</v>
      </c>
      <c r="B1825" s="0" t="s">
        <v>5294</v>
      </c>
      <c r="C1825" s="0" t="s">
        <v>1455</v>
      </c>
      <c r="D1825" s="0" t="s">
        <v>3671</v>
      </c>
      <c r="E1825" s="0" t="n">
        <v>41.68</v>
      </c>
    </row>
    <row r="1826" customFormat="false" ht="15" hidden="false" customHeight="false" outlineLevel="0" collapsed="false">
      <c r="A1826" s="0" t="n">
        <v>12061</v>
      </c>
      <c r="B1826" s="0" t="s">
        <v>5295</v>
      </c>
      <c r="C1826" s="0" t="s">
        <v>1455</v>
      </c>
      <c r="D1826" s="0" t="s">
        <v>3671</v>
      </c>
      <c r="E1826" s="0" t="n">
        <v>25.45</v>
      </c>
    </row>
    <row r="1827" customFormat="false" ht="15" hidden="false" customHeight="false" outlineLevel="0" collapsed="false">
      <c r="A1827" s="0" t="n">
        <v>12062</v>
      </c>
      <c r="B1827" s="0" t="s">
        <v>5296</v>
      </c>
      <c r="C1827" s="0" t="s">
        <v>1455</v>
      </c>
      <c r="D1827" s="0" t="s">
        <v>3671</v>
      </c>
      <c r="E1827" s="0" t="n">
        <v>46.94</v>
      </c>
    </row>
    <row r="1828" customFormat="false" ht="15" hidden="false" customHeight="false" outlineLevel="0" collapsed="false">
      <c r="A1828" s="0" t="n">
        <v>2687</v>
      </c>
      <c r="B1828" s="0" t="s">
        <v>5297</v>
      </c>
      <c r="C1828" s="0" t="s">
        <v>1455</v>
      </c>
      <c r="D1828" s="0" t="s">
        <v>3671</v>
      </c>
      <c r="E1828" s="0" t="n">
        <v>1.62</v>
      </c>
    </row>
    <row r="1829" customFormat="false" ht="15" hidden="false" customHeight="false" outlineLevel="0" collapsed="false">
      <c r="A1829" s="0" t="n">
        <v>2689</v>
      </c>
      <c r="B1829" s="0" t="s">
        <v>5298</v>
      </c>
      <c r="C1829" s="0" t="s">
        <v>1455</v>
      </c>
      <c r="D1829" s="0" t="s">
        <v>3671</v>
      </c>
      <c r="E1829" s="0" t="n">
        <v>1.93</v>
      </c>
    </row>
    <row r="1830" customFormat="false" ht="15" hidden="false" customHeight="false" outlineLevel="0" collapsed="false">
      <c r="A1830" s="0" t="n">
        <v>2688</v>
      </c>
      <c r="B1830" s="0" t="s">
        <v>2580</v>
      </c>
      <c r="C1830" s="0" t="s">
        <v>1455</v>
      </c>
      <c r="D1830" s="0" t="s">
        <v>3671</v>
      </c>
      <c r="E1830" s="0" t="n">
        <v>2.09</v>
      </c>
    </row>
    <row r="1831" customFormat="false" ht="15" hidden="false" customHeight="false" outlineLevel="0" collapsed="false">
      <c r="A1831" s="0" t="n">
        <v>2690</v>
      </c>
      <c r="B1831" s="0" t="s">
        <v>5299</v>
      </c>
      <c r="C1831" s="0" t="s">
        <v>1455</v>
      </c>
      <c r="D1831" s="0" t="s">
        <v>3671</v>
      </c>
      <c r="E1831" s="0" t="n">
        <v>3.58</v>
      </c>
    </row>
    <row r="1832" customFormat="false" ht="15" hidden="false" customHeight="false" outlineLevel="0" collapsed="false">
      <c r="A1832" s="0" t="n">
        <v>39243</v>
      </c>
      <c r="B1832" s="0" t="s">
        <v>5300</v>
      </c>
      <c r="C1832" s="0" t="s">
        <v>1455</v>
      </c>
      <c r="D1832" s="0" t="s">
        <v>3671</v>
      </c>
      <c r="E1832" s="0" t="n">
        <v>2.36</v>
      </c>
    </row>
    <row r="1833" customFormat="false" ht="15" hidden="false" customHeight="false" outlineLevel="0" collapsed="false">
      <c r="A1833" s="0" t="n">
        <v>39244</v>
      </c>
      <c r="B1833" s="0" t="s">
        <v>2387</v>
      </c>
      <c r="C1833" s="0" t="s">
        <v>1455</v>
      </c>
      <c r="D1833" s="0" t="s">
        <v>3671</v>
      </c>
      <c r="E1833" s="0" t="n">
        <v>3.19</v>
      </c>
    </row>
    <row r="1834" customFormat="false" ht="15" hidden="false" customHeight="false" outlineLevel="0" collapsed="false">
      <c r="A1834" s="0" t="n">
        <v>39245</v>
      </c>
      <c r="B1834" s="0" t="s">
        <v>2389</v>
      </c>
      <c r="C1834" s="0" t="s">
        <v>1455</v>
      </c>
      <c r="D1834" s="0" t="s">
        <v>3671</v>
      </c>
      <c r="E1834" s="0" t="n">
        <v>6.14</v>
      </c>
    </row>
    <row r="1835" customFormat="false" ht="15" hidden="false" customHeight="false" outlineLevel="0" collapsed="false">
      <c r="A1835" s="0" t="n">
        <v>39255</v>
      </c>
      <c r="B1835" s="0" t="s">
        <v>5301</v>
      </c>
      <c r="C1835" s="0" t="s">
        <v>1455</v>
      </c>
      <c r="D1835" s="0" t="s">
        <v>3671</v>
      </c>
      <c r="E1835" s="0" t="n">
        <v>17</v>
      </c>
    </row>
    <row r="1836" customFormat="false" ht="15" hidden="false" customHeight="false" outlineLevel="0" collapsed="false">
      <c r="A1836" s="0" t="n">
        <v>39254</v>
      </c>
      <c r="B1836" s="0" t="s">
        <v>5302</v>
      </c>
      <c r="C1836" s="0" t="s">
        <v>1455</v>
      </c>
      <c r="D1836" s="0" t="s">
        <v>3671</v>
      </c>
      <c r="E1836" s="0" t="n">
        <v>9.19</v>
      </c>
    </row>
    <row r="1837" customFormat="false" ht="15" hidden="false" customHeight="false" outlineLevel="0" collapsed="false">
      <c r="A1837" s="0" t="n">
        <v>39253</v>
      </c>
      <c r="B1837" s="0" t="s">
        <v>5303</v>
      </c>
      <c r="C1837" s="0" t="s">
        <v>1455</v>
      </c>
      <c r="D1837" s="0" t="s">
        <v>3671</v>
      </c>
      <c r="E1837" s="0" t="n">
        <v>11.71</v>
      </c>
    </row>
    <row r="1838" customFormat="false" ht="15" hidden="false" customHeight="false" outlineLevel="0" collapsed="false">
      <c r="A1838" s="0" t="n">
        <v>39246</v>
      </c>
      <c r="B1838" s="0" t="s">
        <v>2391</v>
      </c>
      <c r="C1838" s="0" t="s">
        <v>1455</v>
      </c>
      <c r="D1838" s="0" t="s">
        <v>3671</v>
      </c>
      <c r="E1838" s="0" t="n">
        <v>3.65</v>
      </c>
    </row>
    <row r="1839" customFormat="false" ht="15" hidden="false" customHeight="false" outlineLevel="0" collapsed="false">
      <c r="A1839" s="0" t="n">
        <v>39247</v>
      </c>
      <c r="B1839" s="0" t="s">
        <v>2393</v>
      </c>
      <c r="C1839" s="0" t="s">
        <v>1455</v>
      </c>
      <c r="D1839" s="0" t="s">
        <v>3671</v>
      </c>
      <c r="E1839" s="0" t="n">
        <v>3.18</v>
      </c>
    </row>
    <row r="1840" customFormat="false" ht="15" hidden="false" customHeight="false" outlineLevel="0" collapsed="false">
      <c r="A1840" s="0" t="n">
        <v>2446</v>
      </c>
      <c r="B1840" s="0" t="s">
        <v>2395</v>
      </c>
      <c r="C1840" s="0" t="s">
        <v>1455</v>
      </c>
      <c r="D1840" s="0" t="s">
        <v>3676</v>
      </c>
      <c r="E1840" s="0" t="n">
        <v>5.24</v>
      </c>
    </row>
    <row r="1841" customFormat="false" ht="15" hidden="false" customHeight="false" outlineLevel="0" collapsed="false">
      <c r="A1841" s="0" t="n">
        <v>2442</v>
      </c>
      <c r="B1841" s="0" t="s">
        <v>2578</v>
      </c>
      <c r="C1841" s="0" t="s">
        <v>1455</v>
      </c>
      <c r="D1841" s="0" t="s">
        <v>3671</v>
      </c>
      <c r="E1841" s="0" t="n">
        <v>7.34</v>
      </c>
    </row>
    <row r="1842" customFormat="false" ht="15" hidden="false" customHeight="false" outlineLevel="0" collapsed="false">
      <c r="A1842" s="0" t="n">
        <v>39248</v>
      </c>
      <c r="B1842" s="0" t="s">
        <v>5304</v>
      </c>
      <c r="C1842" s="0" t="s">
        <v>1455</v>
      </c>
      <c r="D1842" s="0" t="s">
        <v>3671</v>
      </c>
      <c r="E1842" s="0" t="n">
        <v>10.23</v>
      </c>
    </row>
    <row r="1843" customFormat="false" ht="15" hidden="false" customHeight="false" outlineLevel="0" collapsed="false">
      <c r="A1843" s="0" t="n">
        <v>2438</v>
      </c>
      <c r="B1843" s="0" t="s">
        <v>5305</v>
      </c>
      <c r="C1843" s="0" t="s">
        <v>1444</v>
      </c>
      <c r="D1843" s="0" t="s">
        <v>3671</v>
      </c>
      <c r="E1843" s="0" t="n">
        <v>24.2</v>
      </c>
    </row>
    <row r="1844" customFormat="false" ht="15" hidden="false" customHeight="false" outlineLevel="0" collapsed="false">
      <c r="A1844" s="0" t="n">
        <v>40922</v>
      </c>
      <c r="B1844" s="0" t="s">
        <v>5306</v>
      </c>
      <c r="C1844" s="0" t="s">
        <v>1416</v>
      </c>
      <c r="D1844" s="0" t="s">
        <v>3671</v>
      </c>
      <c r="E1844" s="0" t="n">
        <v>4265.99</v>
      </c>
    </row>
    <row r="1845" customFormat="false" ht="15" hidden="false" customHeight="false" outlineLevel="0" collapsed="false">
      <c r="A1845" s="0" t="n">
        <v>36486</v>
      </c>
      <c r="B1845" s="0" t="s">
        <v>5307</v>
      </c>
      <c r="C1845" s="0" t="s">
        <v>31</v>
      </c>
      <c r="D1845" s="0" t="s">
        <v>3671</v>
      </c>
    </row>
    <row r="1846" customFormat="false" ht="15" hidden="false" customHeight="false" outlineLevel="0" collapsed="false">
      <c r="A1846" s="0" t="n">
        <v>37777</v>
      </c>
      <c r="B1846" s="0" t="s">
        <v>5308</v>
      </c>
      <c r="C1846" s="0" t="s">
        <v>31</v>
      </c>
      <c r="D1846" s="0" t="s">
        <v>3671</v>
      </c>
    </row>
    <row r="1847" customFormat="false" ht="15" hidden="false" customHeight="false" outlineLevel="0" collapsed="false">
      <c r="A1847" s="0" t="n">
        <v>12624</v>
      </c>
      <c r="B1847" s="0" t="s">
        <v>5309</v>
      </c>
      <c r="C1847" s="0" t="s">
        <v>31</v>
      </c>
      <c r="D1847" s="0" t="s">
        <v>3671</v>
      </c>
      <c r="E1847" s="0" t="n">
        <v>34.08</v>
      </c>
    </row>
    <row r="1848" customFormat="false" ht="15" hidden="false" customHeight="false" outlineLevel="0" collapsed="false">
      <c r="A1848" s="0" t="n">
        <v>517</v>
      </c>
      <c r="B1848" s="0" t="s">
        <v>5310</v>
      </c>
      <c r="C1848" s="0" t="s">
        <v>1452</v>
      </c>
      <c r="D1848" s="0" t="s">
        <v>3671</v>
      </c>
      <c r="E1848" s="0" t="n">
        <v>9.3</v>
      </c>
    </row>
    <row r="1849" customFormat="false" ht="15" hidden="false" customHeight="false" outlineLevel="0" collapsed="false">
      <c r="A1849" s="0" t="n">
        <v>37534</v>
      </c>
      <c r="B1849" s="0" t="s">
        <v>5311</v>
      </c>
      <c r="C1849" s="0" t="s">
        <v>1513</v>
      </c>
      <c r="D1849" s="0" t="s">
        <v>3671</v>
      </c>
    </row>
    <row r="1850" customFormat="false" ht="15" hidden="false" customHeight="false" outlineLevel="0" collapsed="false">
      <c r="A1850" s="0" t="n">
        <v>37535</v>
      </c>
      <c r="B1850" s="0" t="s">
        <v>5312</v>
      </c>
      <c r="C1850" s="0" t="s">
        <v>1513</v>
      </c>
      <c r="D1850" s="0" t="s">
        <v>3671</v>
      </c>
    </row>
    <row r="1851" customFormat="false" ht="15" hidden="false" customHeight="false" outlineLevel="0" collapsed="false">
      <c r="A1851" s="0" t="n">
        <v>37533</v>
      </c>
      <c r="B1851" s="0" t="s">
        <v>5313</v>
      </c>
      <c r="C1851" s="0" t="s">
        <v>1513</v>
      </c>
      <c r="D1851" s="0" t="s">
        <v>3671</v>
      </c>
    </row>
    <row r="1852" customFormat="false" ht="15" hidden="false" customHeight="false" outlineLevel="0" collapsed="false">
      <c r="A1852" s="0" t="n">
        <v>37537</v>
      </c>
      <c r="B1852" s="0" t="s">
        <v>5314</v>
      </c>
      <c r="C1852" s="0" t="s">
        <v>1513</v>
      </c>
      <c r="D1852" s="0" t="s">
        <v>3671</v>
      </c>
    </row>
    <row r="1853" customFormat="false" ht="15" hidden="false" customHeight="false" outlineLevel="0" collapsed="false">
      <c r="A1853" s="0" t="n">
        <v>37536</v>
      </c>
      <c r="B1853" s="0" t="s">
        <v>5315</v>
      </c>
      <c r="C1853" s="0" t="s">
        <v>1513</v>
      </c>
      <c r="D1853" s="0" t="s">
        <v>3671</v>
      </c>
    </row>
    <row r="1854" customFormat="false" ht="15" hidden="false" customHeight="false" outlineLevel="0" collapsed="false">
      <c r="A1854" s="0" t="n">
        <v>37532</v>
      </c>
      <c r="B1854" s="0" t="s">
        <v>5316</v>
      </c>
      <c r="C1854" s="0" t="s">
        <v>1513</v>
      </c>
      <c r="D1854" s="0" t="s">
        <v>3676</v>
      </c>
    </row>
    <row r="1855" customFormat="false" ht="15" hidden="false" customHeight="false" outlineLevel="0" collapsed="false">
      <c r="A1855" s="0" t="n">
        <v>2696</v>
      </c>
      <c r="B1855" s="0" t="s">
        <v>1483</v>
      </c>
      <c r="C1855" s="0" t="s">
        <v>1444</v>
      </c>
      <c r="D1855" s="0" t="s">
        <v>3676</v>
      </c>
      <c r="E1855" s="0" t="n">
        <v>20.22</v>
      </c>
    </row>
    <row r="1856" customFormat="false" ht="15" hidden="false" customHeight="false" outlineLevel="0" collapsed="false">
      <c r="A1856" s="0" t="n">
        <v>40928</v>
      </c>
      <c r="B1856" s="0" t="s">
        <v>5317</v>
      </c>
      <c r="C1856" s="0" t="s">
        <v>1416</v>
      </c>
      <c r="D1856" s="0" t="s">
        <v>3671</v>
      </c>
      <c r="E1856" s="0" t="n">
        <v>3561.68</v>
      </c>
    </row>
    <row r="1857" customFormat="false" ht="15" hidden="false" customHeight="false" outlineLevel="0" collapsed="false">
      <c r="A1857" s="0" t="n">
        <v>4083</v>
      </c>
      <c r="B1857" s="0" t="s">
        <v>1622</v>
      </c>
      <c r="C1857" s="0" t="s">
        <v>1444</v>
      </c>
      <c r="D1857" s="0" t="s">
        <v>3676</v>
      </c>
      <c r="E1857" s="0" t="n">
        <v>28.17</v>
      </c>
    </row>
    <row r="1858" customFormat="false" ht="15" hidden="false" customHeight="false" outlineLevel="0" collapsed="false">
      <c r="A1858" s="0" t="n">
        <v>40818</v>
      </c>
      <c r="B1858" s="0" t="s">
        <v>5318</v>
      </c>
      <c r="C1858" s="0" t="s">
        <v>1416</v>
      </c>
      <c r="D1858" s="0" t="s">
        <v>3671</v>
      </c>
      <c r="E1858" s="0" t="n">
        <v>4960.56</v>
      </c>
    </row>
    <row r="1859" customFormat="false" ht="15" hidden="false" customHeight="false" outlineLevel="0" collapsed="false">
      <c r="A1859" s="0" t="n">
        <v>43146</v>
      </c>
      <c r="B1859" s="0" t="s">
        <v>1947</v>
      </c>
      <c r="C1859" s="0" t="s">
        <v>1513</v>
      </c>
      <c r="D1859" s="0" t="s">
        <v>3671</v>
      </c>
      <c r="E1859" s="0" t="n">
        <v>8.35</v>
      </c>
    </row>
    <row r="1860" customFormat="false" ht="15" hidden="false" customHeight="false" outlineLevel="0" collapsed="false">
      <c r="A1860" s="0" t="n">
        <v>2705</v>
      </c>
      <c r="B1860" s="0" t="s">
        <v>1467</v>
      </c>
      <c r="C1860" s="0" t="s">
        <v>1468</v>
      </c>
      <c r="D1860" s="0" t="s">
        <v>3671</v>
      </c>
      <c r="E1860" s="0" t="n">
        <v>0.92</v>
      </c>
    </row>
    <row r="1861" customFormat="false" ht="15" hidden="false" customHeight="false" outlineLevel="0" collapsed="false">
      <c r="A1861" s="0" t="n">
        <v>14250</v>
      </c>
      <c r="B1861" s="0" t="s">
        <v>5319</v>
      </c>
      <c r="C1861" s="0" t="s">
        <v>1468</v>
      </c>
      <c r="D1861" s="0" t="s">
        <v>3676</v>
      </c>
      <c r="E1861" s="0" t="n">
        <v>0.94</v>
      </c>
    </row>
    <row r="1862" customFormat="false" ht="15" hidden="false" customHeight="false" outlineLevel="0" collapsed="false">
      <c r="A1862" s="0" t="n">
        <v>11683</v>
      </c>
      <c r="B1862" s="0" t="s">
        <v>5320</v>
      </c>
      <c r="C1862" s="0" t="s">
        <v>31</v>
      </c>
      <c r="D1862" s="0" t="s">
        <v>3671</v>
      </c>
      <c r="E1862" s="0" t="n">
        <v>47.57</v>
      </c>
    </row>
    <row r="1863" customFormat="false" ht="15" hidden="false" customHeight="false" outlineLevel="0" collapsed="false">
      <c r="A1863" s="0" t="n">
        <v>11684</v>
      </c>
      <c r="B1863" s="0" t="s">
        <v>5321</v>
      </c>
      <c r="C1863" s="0" t="s">
        <v>31</v>
      </c>
      <c r="D1863" s="0" t="s">
        <v>3671</v>
      </c>
      <c r="E1863" s="0" t="n">
        <v>52.07</v>
      </c>
    </row>
    <row r="1864" customFormat="false" ht="15" hidden="false" customHeight="false" outlineLevel="0" collapsed="false">
      <c r="A1864" s="0" t="n">
        <v>6141</v>
      </c>
      <c r="B1864" s="0" t="s">
        <v>2015</v>
      </c>
      <c r="C1864" s="0" t="s">
        <v>31</v>
      </c>
      <c r="D1864" s="0" t="s">
        <v>3671</v>
      </c>
      <c r="E1864" s="0" t="n">
        <v>4.84</v>
      </c>
    </row>
    <row r="1865" customFormat="false" ht="15" hidden="false" customHeight="false" outlineLevel="0" collapsed="false">
      <c r="A1865" s="0" t="n">
        <v>11681</v>
      </c>
      <c r="B1865" s="0" t="s">
        <v>5322</v>
      </c>
      <c r="C1865" s="0" t="s">
        <v>31</v>
      </c>
      <c r="D1865" s="0" t="s">
        <v>3671</v>
      </c>
      <c r="E1865" s="0" t="n">
        <v>6.1</v>
      </c>
    </row>
    <row r="1866" customFormat="false" ht="15" hidden="false" customHeight="false" outlineLevel="0" collapsed="false">
      <c r="A1866" s="0" t="n">
        <v>2706</v>
      </c>
      <c r="B1866" s="0" t="s">
        <v>5323</v>
      </c>
      <c r="C1866" s="0" t="s">
        <v>1444</v>
      </c>
      <c r="D1866" s="0" t="s">
        <v>3676</v>
      </c>
      <c r="E1866" s="0" t="n">
        <v>110.15</v>
      </c>
    </row>
    <row r="1867" customFormat="false" ht="15" hidden="false" customHeight="false" outlineLevel="0" collapsed="false">
      <c r="A1867" s="0" t="n">
        <v>40811</v>
      </c>
      <c r="B1867" s="0" t="s">
        <v>1429</v>
      </c>
      <c r="C1867" s="0" t="s">
        <v>1416</v>
      </c>
      <c r="D1867" s="0" t="s">
        <v>3671</v>
      </c>
      <c r="E1867" s="0" t="n">
        <v>19395.78</v>
      </c>
    </row>
    <row r="1868" customFormat="false" ht="15" hidden="false" customHeight="false" outlineLevel="0" collapsed="false">
      <c r="A1868" s="0" t="n">
        <v>2707</v>
      </c>
      <c r="B1868" s="0" t="s">
        <v>1623</v>
      </c>
      <c r="C1868" s="0" t="s">
        <v>1444</v>
      </c>
      <c r="D1868" s="0" t="s">
        <v>3671</v>
      </c>
      <c r="E1868" s="0" t="n">
        <v>116.29</v>
      </c>
    </row>
    <row r="1869" customFormat="false" ht="15" hidden="false" customHeight="false" outlineLevel="0" collapsed="false">
      <c r="A1869" s="0" t="n">
        <v>40813</v>
      </c>
      <c r="B1869" s="0" t="s">
        <v>5324</v>
      </c>
      <c r="C1869" s="0" t="s">
        <v>1416</v>
      </c>
      <c r="D1869" s="0" t="s">
        <v>3671</v>
      </c>
      <c r="E1869" s="0" t="n">
        <v>20477.64</v>
      </c>
    </row>
    <row r="1870" customFormat="false" ht="15" hidden="false" customHeight="false" outlineLevel="0" collapsed="false">
      <c r="A1870" s="0" t="n">
        <v>2708</v>
      </c>
      <c r="B1870" s="0" t="s">
        <v>5325</v>
      </c>
      <c r="C1870" s="0" t="s">
        <v>1444</v>
      </c>
      <c r="D1870" s="0" t="s">
        <v>3671</v>
      </c>
      <c r="E1870" s="0" t="n">
        <v>138.68</v>
      </c>
    </row>
    <row r="1871" customFormat="false" ht="15" hidden="false" customHeight="false" outlineLevel="0" collapsed="false">
      <c r="A1871" s="0" t="n">
        <v>40814</v>
      </c>
      <c r="B1871" s="0" t="s">
        <v>5326</v>
      </c>
      <c r="C1871" s="0" t="s">
        <v>1416</v>
      </c>
      <c r="D1871" s="0" t="s">
        <v>3671</v>
      </c>
      <c r="E1871" s="0" t="n">
        <v>24421.45</v>
      </c>
    </row>
    <row r="1872" customFormat="false" ht="15" hidden="false" customHeight="false" outlineLevel="0" collapsed="false">
      <c r="A1872" s="0" t="n">
        <v>38403</v>
      </c>
      <c r="B1872" s="0" t="s">
        <v>5327</v>
      </c>
      <c r="C1872" s="0" t="s">
        <v>31</v>
      </c>
      <c r="D1872" s="0" t="s">
        <v>3671</v>
      </c>
      <c r="E1872" s="0" t="n">
        <v>56.54</v>
      </c>
    </row>
    <row r="1873" customFormat="false" ht="15" hidden="false" customHeight="false" outlineLevel="0" collapsed="false">
      <c r="A1873" s="0" t="n">
        <v>43482</v>
      </c>
      <c r="B1873" s="0" t="s">
        <v>5328</v>
      </c>
      <c r="C1873" s="0" t="s">
        <v>1444</v>
      </c>
      <c r="D1873" s="0" t="s">
        <v>3676</v>
      </c>
      <c r="E1873" s="0" t="n">
        <v>0.81</v>
      </c>
    </row>
    <row r="1874" customFormat="false" ht="15" hidden="false" customHeight="false" outlineLevel="0" collapsed="false">
      <c r="A1874" s="0" t="n">
        <v>43494</v>
      </c>
      <c r="B1874" s="0" t="s">
        <v>1423</v>
      </c>
      <c r="C1874" s="0" t="s">
        <v>1416</v>
      </c>
      <c r="D1874" s="0" t="s">
        <v>3676</v>
      </c>
      <c r="E1874" s="0" t="n">
        <v>153.54</v>
      </c>
    </row>
    <row r="1875" customFormat="false" ht="15" hidden="false" customHeight="false" outlineLevel="0" collapsed="false">
      <c r="A1875" s="0" t="n">
        <v>43483</v>
      </c>
      <c r="B1875" s="0" t="s">
        <v>1486</v>
      </c>
      <c r="C1875" s="0" t="s">
        <v>1444</v>
      </c>
      <c r="D1875" s="0" t="s">
        <v>3676</v>
      </c>
      <c r="E1875" s="0" t="n">
        <v>1.43</v>
      </c>
    </row>
    <row r="1876" customFormat="false" ht="15" hidden="false" customHeight="false" outlineLevel="0" collapsed="false">
      <c r="A1876" s="0" t="n">
        <v>43495</v>
      </c>
      <c r="B1876" s="0" t="s">
        <v>5329</v>
      </c>
      <c r="C1876" s="0" t="s">
        <v>1416</v>
      </c>
      <c r="D1876" s="0" t="s">
        <v>3676</v>
      </c>
      <c r="E1876" s="0" t="n">
        <v>270.51</v>
      </c>
    </row>
    <row r="1877" customFormat="false" ht="15" hidden="false" customHeight="false" outlineLevel="0" collapsed="false">
      <c r="A1877" s="0" t="n">
        <v>43484</v>
      </c>
      <c r="B1877" s="0" t="s">
        <v>1523</v>
      </c>
      <c r="C1877" s="0" t="s">
        <v>1444</v>
      </c>
      <c r="D1877" s="0" t="s">
        <v>3676</v>
      </c>
      <c r="E1877" s="0" t="n">
        <v>1.26</v>
      </c>
    </row>
    <row r="1878" customFormat="false" ht="15" hidden="false" customHeight="false" outlineLevel="0" collapsed="false">
      <c r="A1878" s="0" t="n">
        <v>43496</v>
      </c>
      <c r="B1878" s="0" t="s">
        <v>5330</v>
      </c>
      <c r="C1878" s="0" t="s">
        <v>1416</v>
      </c>
      <c r="D1878" s="0" t="s">
        <v>3676</v>
      </c>
      <c r="E1878" s="0" t="n">
        <v>238.02</v>
      </c>
    </row>
    <row r="1879" customFormat="false" ht="15" hidden="false" customHeight="false" outlineLevel="0" collapsed="false">
      <c r="A1879" s="0" t="n">
        <v>43485</v>
      </c>
      <c r="B1879" s="0" t="s">
        <v>1481</v>
      </c>
      <c r="C1879" s="0" t="s">
        <v>1444</v>
      </c>
      <c r="D1879" s="0" t="s">
        <v>3676</v>
      </c>
      <c r="E1879" s="0" t="n">
        <v>1.13</v>
      </c>
    </row>
    <row r="1880" customFormat="false" ht="15" hidden="false" customHeight="false" outlineLevel="0" collapsed="false">
      <c r="A1880" s="0" t="n">
        <v>43497</v>
      </c>
      <c r="B1880" s="0" t="s">
        <v>5331</v>
      </c>
      <c r="C1880" s="0" t="s">
        <v>1416</v>
      </c>
      <c r="D1880" s="0" t="s">
        <v>3676</v>
      </c>
      <c r="E1880" s="0" t="n">
        <v>212.45</v>
      </c>
    </row>
    <row r="1881" customFormat="false" ht="15" hidden="false" customHeight="false" outlineLevel="0" collapsed="false">
      <c r="A1881" s="0" t="n">
        <v>43487</v>
      </c>
      <c r="B1881" s="0" t="s">
        <v>1611</v>
      </c>
      <c r="C1881" s="0" t="s">
        <v>1444</v>
      </c>
      <c r="D1881" s="0" t="s">
        <v>3676</v>
      </c>
      <c r="E1881" s="0" t="n">
        <v>1.28</v>
      </c>
    </row>
    <row r="1882" customFormat="false" ht="15" hidden="false" customHeight="false" outlineLevel="0" collapsed="false">
      <c r="A1882" s="0" t="n">
        <v>43499</v>
      </c>
      <c r="B1882" s="0" t="s">
        <v>1431</v>
      </c>
      <c r="C1882" s="0" t="s">
        <v>1416</v>
      </c>
      <c r="D1882" s="0" t="s">
        <v>3676</v>
      </c>
      <c r="E1882" s="0" t="n">
        <v>241.99</v>
      </c>
    </row>
    <row r="1883" customFormat="false" ht="15" hidden="false" customHeight="false" outlineLevel="0" collapsed="false">
      <c r="A1883" s="0" t="n">
        <v>43486</v>
      </c>
      <c r="B1883" s="0" t="s">
        <v>1612</v>
      </c>
      <c r="C1883" s="0" t="s">
        <v>1444</v>
      </c>
      <c r="D1883" s="0" t="s">
        <v>3676</v>
      </c>
      <c r="E1883" s="0" t="n">
        <v>0.77</v>
      </c>
    </row>
    <row r="1884" customFormat="false" ht="15" hidden="false" customHeight="false" outlineLevel="0" collapsed="false">
      <c r="A1884" s="0" t="n">
        <v>43498</v>
      </c>
      <c r="B1884" s="0" t="s">
        <v>1427</v>
      </c>
      <c r="C1884" s="0" t="s">
        <v>1416</v>
      </c>
      <c r="D1884" s="0" t="s">
        <v>3676</v>
      </c>
      <c r="E1884" s="0" t="n">
        <v>146</v>
      </c>
    </row>
    <row r="1885" customFormat="false" ht="15" hidden="false" customHeight="false" outlineLevel="0" collapsed="false">
      <c r="A1885" s="0" t="n">
        <v>43488</v>
      </c>
      <c r="B1885" s="0" t="s">
        <v>1445</v>
      </c>
      <c r="C1885" s="0" t="s">
        <v>1444</v>
      </c>
      <c r="D1885" s="0" t="s">
        <v>3676</v>
      </c>
      <c r="E1885" s="0" t="n">
        <v>0.89</v>
      </c>
    </row>
    <row r="1886" customFormat="false" ht="15" hidden="false" customHeight="false" outlineLevel="0" collapsed="false">
      <c r="A1886" s="0" t="n">
        <v>43500</v>
      </c>
      <c r="B1886" s="0" t="s">
        <v>5332</v>
      </c>
      <c r="C1886" s="0" t="s">
        <v>1416</v>
      </c>
      <c r="D1886" s="0" t="s">
        <v>3676</v>
      </c>
      <c r="E1886" s="0" t="n">
        <v>167.95</v>
      </c>
    </row>
    <row r="1887" customFormat="false" ht="15" hidden="false" customHeight="false" outlineLevel="0" collapsed="false">
      <c r="A1887" s="0" t="n">
        <v>43489</v>
      </c>
      <c r="B1887" s="0" t="s">
        <v>1456</v>
      </c>
      <c r="C1887" s="0" t="s">
        <v>1444</v>
      </c>
      <c r="D1887" s="0" t="s">
        <v>3676</v>
      </c>
      <c r="E1887" s="0" t="n">
        <v>1.31</v>
      </c>
    </row>
    <row r="1888" customFormat="false" ht="15" hidden="false" customHeight="false" outlineLevel="0" collapsed="false">
      <c r="A1888" s="0" t="n">
        <v>43501</v>
      </c>
      <c r="B1888" s="0" t="s">
        <v>5333</v>
      </c>
      <c r="C1888" s="0" t="s">
        <v>1416</v>
      </c>
      <c r="D1888" s="0" t="s">
        <v>3676</v>
      </c>
      <c r="E1888" s="0" t="n">
        <v>247.11</v>
      </c>
    </row>
    <row r="1889" customFormat="false" ht="15" hidden="false" customHeight="false" outlineLevel="0" collapsed="false">
      <c r="A1889" s="0" t="n">
        <v>43490</v>
      </c>
      <c r="B1889" s="0" t="s">
        <v>1508</v>
      </c>
      <c r="C1889" s="0" t="s">
        <v>1444</v>
      </c>
      <c r="D1889" s="0" t="s">
        <v>3676</v>
      </c>
      <c r="E1889" s="0" t="n">
        <v>1.85</v>
      </c>
    </row>
    <row r="1890" customFormat="false" ht="15" hidden="false" customHeight="false" outlineLevel="0" collapsed="false">
      <c r="A1890" s="0" t="n">
        <v>43502</v>
      </c>
      <c r="B1890" s="0" t="s">
        <v>5334</v>
      </c>
      <c r="C1890" s="0" t="s">
        <v>1416</v>
      </c>
      <c r="D1890" s="0" t="s">
        <v>3676</v>
      </c>
      <c r="E1890" s="0" t="n">
        <v>348.39</v>
      </c>
    </row>
    <row r="1891" customFormat="false" ht="15" hidden="false" customHeight="false" outlineLevel="0" collapsed="false">
      <c r="A1891" s="0" t="n">
        <v>43491</v>
      </c>
      <c r="B1891" s="0" t="s">
        <v>1457</v>
      </c>
      <c r="C1891" s="0" t="s">
        <v>1444</v>
      </c>
      <c r="D1891" s="0" t="s">
        <v>3676</v>
      </c>
      <c r="E1891" s="0" t="n">
        <v>1.39</v>
      </c>
    </row>
    <row r="1892" customFormat="false" ht="15" hidden="false" customHeight="false" outlineLevel="0" collapsed="false">
      <c r="A1892" s="0" t="n">
        <v>43503</v>
      </c>
      <c r="B1892" s="0" t="s">
        <v>1437</v>
      </c>
      <c r="C1892" s="0" t="s">
        <v>1416</v>
      </c>
      <c r="D1892" s="0" t="s">
        <v>3676</v>
      </c>
      <c r="E1892" s="0" t="n">
        <v>261.93</v>
      </c>
    </row>
    <row r="1893" customFormat="false" ht="15" hidden="false" customHeight="false" outlineLevel="0" collapsed="false">
      <c r="A1893" s="0" t="n">
        <v>43492</v>
      </c>
      <c r="B1893" s="0" t="s">
        <v>5335</v>
      </c>
      <c r="C1893" s="0" t="s">
        <v>1444</v>
      </c>
      <c r="D1893" s="0" t="s">
        <v>3676</v>
      </c>
      <c r="E1893" s="0" t="n">
        <v>1.82</v>
      </c>
    </row>
    <row r="1894" customFormat="false" ht="15" hidden="false" customHeight="false" outlineLevel="0" collapsed="false">
      <c r="A1894" s="0" t="n">
        <v>43504</v>
      </c>
      <c r="B1894" s="0" t="s">
        <v>5336</v>
      </c>
      <c r="C1894" s="0" t="s">
        <v>1416</v>
      </c>
      <c r="D1894" s="0" t="s">
        <v>3676</v>
      </c>
      <c r="E1894" s="0" t="n">
        <v>342.83</v>
      </c>
    </row>
    <row r="1895" customFormat="false" ht="15" hidden="false" customHeight="false" outlineLevel="0" collapsed="false">
      <c r="A1895" s="0" t="n">
        <v>43493</v>
      </c>
      <c r="B1895" s="0" t="s">
        <v>2933</v>
      </c>
      <c r="C1895" s="0" t="s">
        <v>1444</v>
      </c>
      <c r="D1895" s="0" t="s">
        <v>3676</v>
      </c>
      <c r="E1895" s="0" t="n">
        <v>0.74</v>
      </c>
    </row>
    <row r="1896" customFormat="false" ht="15" hidden="false" customHeight="false" outlineLevel="0" collapsed="false">
      <c r="A1896" s="0" t="n">
        <v>43505</v>
      </c>
      <c r="B1896" s="0" t="s">
        <v>1417</v>
      </c>
      <c r="C1896" s="0" t="s">
        <v>1416</v>
      </c>
      <c r="D1896" s="0" t="s">
        <v>3676</v>
      </c>
      <c r="E1896" s="0" t="n">
        <v>138.98</v>
      </c>
    </row>
    <row r="1897" customFormat="false" ht="15" hidden="false" customHeight="false" outlineLevel="0" collapsed="false">
      <c r="A1897" s="0" t="n">
        <v>37774</v>
      </c>
      <c r="B1897" s="0" t="s">
        <v>5337</v>
      </c>
      <c r="C1897" s="0" t="s">
        <v>31</v>
      </c>
      <c r="D1897" s="0" t="s">
        <v>3671</v>
      </c>
    </row>
    <row r="1898" customFormat="false" ht="15" hidden="false" customHeight="false" outlineLevel="0" collapsed="false">
      <c r="A1898" s="0" t="n">
        <v>38629</v>
      </c>
      <c r="B1898" s="0" t="s">
        <v>5338</v>
      </c>
      <c r="C1898" s="0" t="s">
        <v>31</v>
      </c>
      <c r="D1898" s="0" t="s">
        <v>3671</v>
      </c>
    </row>
    <row r="1899" customFormat="false" ht="15" hidden="false" customHeight="false" outlineLevel="0" collapsed="false">
      <c r="A1899" s="0" t="n">
        <v>38630</v>
      </c>
      <c r="B1899" s="0" t="s">
        <v>5339</v>
      </c>
      <c r="C1899" s="0" t="s">
        <v>31</v>
      </c>
      <c r="D1899" s="0" t="s">
        <v>3671</v>
      </c>
    </row>
    <row r="1900" customFormat="false" ht="15" hidden="false" customHeight="false" outlineLevel="0" collapsed="false">
      <c r="A1900" s="0" t="n">
        <v>38476</v>
      </c>
      <c r="B1900" s="0" t="s">
        <v>5340</v>
      </c>
      <c r="C1900" s="0" t="s">
        <v>31</v>
      </c>
      <c r="D1900" s="0" t="s">
        <v>3671</v>
      </c>
      <c r="E1900" s="0" t="n">
        <v>424.96</v>
      </c>
    </row>
    <row r="1901" customFormat="false" ht="15" hidden="false" customHeight="false" outlineLevel="0" collapsed="false">
      <c r="A1901" s="0" t="n">
        <v>38477</v>
      </c>
      <c r="B1901" s="0" t="s">
        <v>5341</v>
      </c>
      <c r="C1901" s="0" t="s">
        <v>31</v>
      </c>
      <c r="D1901" s="0" t="s">
        <v>3671</v>
      </c>
      <c r="E1901" s="0" t="n">
        <v>1203.51</v>
      </c>
    </row>
    <row r="1902" customFormat="false" ht="15" hidden="false" customHeight="false" outlineLevel="0" collapsed="false">
      <c r="A1902" s="0" t="n">
        <v>45112</v>
      </c>
      <c r="B1902" s="0" t="s">
        <v>5342</v>
      </c>
      <c r="C1902" s="0" t="s">
        <v>31</v>
      </c>
      <c r="D1902" s="0" t="s">
        <v>3671</v>
      </c>
    </row>
    <row r="1903" customFormat="false" ht="15" hidden="false" customHeight="false" outlineLevel="0" collapsed="false">
      <c r="A1903" s="0" t="n">
        <v>14525</v>
      </c>
      <c r="B1903" s="0" t="s">
        <v>1496</v>
      </c>
      <c r="C1903" s="0" t="s">
        <v>31</v>
      </c>
      <c r="D1903" s="0" t="s">
        <v>3671</v>
      </c>
    </row>
    <row r="1904" customFormat="false" ht="15" hidden="false" customHeight="false" outlineLevel="0" collapsed="false">
      <c r="A1904" s="0" t="n">
        <v>36408</v>
      </c>
      <c r="B1904" s="0" t="s">
        <v>5343</v>
      </c>
      <c r="C1904" s="0" t="s">
        <v>31</v>
      </c>
      <c r="D1904" s="0" t="s">
        <v>3671</v>
      </c>
    </row>
    <row r="1905" customFormat="false" ht="15" hidden="false" customHeight="false" outlineLevel="0" collapsed="false">
      <c r="A1905" s="0" t="n">
        <v>2723</v>
      </c>
      <c r="B1905" s="0" t="s">
        <v>5344</v>
      </c>
      <c r="C1905" s="0" t="s">
        <v>31</v>
      </c>
      <c r="D1905" s="0" t="s">
        <v>3671</v>
      </c>
    </row>
    <row r="1906" customFormat="false" ht="15" hidden="false" customHeight="false" outlineLevel="0" collapsed="false">
      <c r="A1906" s="0" t="n">
        <v>10685</v>
      </c>
      <c r="B1906" s="0" t="s">
        <v>1473</v>
      </c>
      <c r="C1906" s="0" t="s">
        <v>31</v>
      </c>
      <c r="D1906" s="0" t="s">
        <v>3676</v>
      </c>
    </row>
    <row r="1907" customFormat="false" ht="15" hidden="false" customHeight="false" outlineLevel="0" collapsed="false">
      <c r="A1907" s="0" t="n">
        <v>40636</v>
      </c>
      <c r="B1907" s="0" t="s">
        <v>5345</v>
      </c>
      <c r="C1907" s="0" t="s">
        <v>31</v>
      </c>
      <c r="D1907" s="0" t="s">
        <v>3671</v>
      </c>
    </row>
    <row r="1908" customFormat="false" ht="15" hidden="false" customHeight="false" outlineLevel="0" collapsed="false">
      <c r="A1908" s="0" t="n">
        <v>4111</v>
      </c>
      <c r="B1908" s="0" t="s">
        <v>5346</v>
      </c>
      <c r="C1908" s="0" t="s">
        <v>31</v>
      </c>
      <c r="D1908" s="0" t="s">
        <v>3671</v>
      </c>
      <c r="E1908" s="0" t="n">
        <v>58.75</v>
      </c>
    </row>
    <row r="1909" customFormat="false" ht="15" hidden="false" customHeight="false" outlineLevel="0" collapsed="false">
      <c r="A1909" s="0" t="n">
        <v>44538</v>
      </c>
      <c r="B1909" s="0" t="s">
        <v>5347</v>
      </c>
      <c r="C1909" s="0" t="s">
        <v>31</v>
      </c>
      <c r="D1909" s="0" t="s">
        <v>3671</v>
      </c>
    </row>
    <row r="1910" customFormat="false" ht="15" hidden="false" customHeight="false" outlineLevel="0" collapsed="false">
      <c r="A1910" s="0" t="n">
        <v>12</v>
      </c>
      <c r="B1910" s="0" t="s">
        <v>5348</v>
      </c>
      <c r="C1910" s="0" t="s">
        <v>31</v>
      </c>
      <c r="D1910" s="0" t="s">
        <v>3676</v>
      </c>
      <c r="E1910" s="0" t="n">
        <v>15</v>
      </c>
    </row>
    <row r="1911" customFormat="false" ht="15" hidden="false" customHeight="false" outlineLevel="0" collapsed="false">
      <c r="A1911" s="0" t="n">
        <v>37554</v>
      </c>
      <c r="B1911" s="0" t="s">
        <v>5349</v>
      </c>
      <c r="C1911" s="0" t="s">
        <v>31</v>
      </c>
      <c r="D1911" s="0" t="s">
        <v>3671</v>
      </c>
    </row>
    <row r="1912" customFormat="false" ht="15" hidden="false" customHeight="false" outlineLevel="0" collapsed="false">
      <c r="A1912" s="0" t="n">
        <v>37555</v>
      </c>
      <c r="B1912" s="0" t="s">
        <v>2673</v>
      </c>
      <c r="C1912" s="0" t="s">
        <v>31</v>
      </c>
      <c r="D1912" s="0" t="s">
        <v>3671</v>
      </c>
    </row>
    <row r="1913" customFormat="false" ht="15" hidden="false" customHeight="false" outlineLevel="0" collapsed="false">
      <c r="A1913" s="0" t="n">
        <v>10902</v>
      </c>
      <c r="B1913" s="0" t="s">
        <v>5350</v>
      </c>
      <c r="C1913" s="0" t="s">
        <v>31</v>
      </c>
      <c r="D1913" s="0" t="s">
        <v>3671</v>
      </c>
    </row>
    <row r="1914" customFormat="false" ht="15" hidden="false" customHeight="false" outlineLevel="0" collapsed="false">
      <c r="A1914" s="0" t="n">
        <v>20965</v>
      </c>
      <c r="B1914" s="0" t="s">
        <v>5351</v>
      </c>
      <c r="C1914" s="0" t="s">
        <v>31</v>
      </c>
      <c r="D1914" s="0" t="s">
        <v>3671</v>
      </c>
    </row>
    <row r="1915" customFormat="false" ht="15" hidden="false" customHeight="false" outlineLevel="0" collapsed="false">
      <c r="A1915" s="0" t="n">
        <v>20966</v>
      </c>
      <c r="B1915" s="0" t="s">
        <v>5352</v>
      </c>
      <c r="C1915" s="0" t="s">
        <v>31</v>
      </c>
      <c r="D1915" s="0" t="s">
        <v>3671</v>
      </c>
    </row>
    <row r="1916" customFormat="false" ht="15" hidden="false" customHeight="false" outlineLevel="0" collapsed="false">
      <c r="A1916" s="0" t="n">
        <v>10903</v>
      </c>
      <c r="B1916" s="0" t="s">
        <v>5353</v>
      </c>
      <c r="C1916" s="0" t="s">
        <v>31</v>
      </c>
      <c r="D1916" s="0" t="s">
        <v>3671</v>
      </c>
    </row>
    <row r="1917" customFormat="false" ht="15" hidden="false" customHeight="false" outlineLevel="0" collapsed="false">
      <c r="A1917" s="0" t="n">
        <v>20967</v>
      </c>
      <c r="B1917" s="0" t="s">
        <v>5354</v>
      </c>
      <c r="C1917" s="0" t="s">
        <v>31</v>
      </c>
      <c r="D1917" s="0" t="s">
        <v>3671</v>
      </c>
    </row>
    <row r="1918" customFormat="false" ht="15" hidden="false" customHeight="false" outlineLevel="0" collapsed="false">
      <c r="A1918" s="0" t="n">
        <v>20968</v>
      </c>
      <c r="B1918" s="0" t="s">
        <v>5355</v>
      </c>
      <c r="C1918" s="0" t="s">
        <v>31</v>
      </c>
      <c r="D1918" s="0" t="s">
        <v>3671</v>
      </c>
    </row>
    <row r="1919" customFormat="false" ht="15" hidden="false" customHeight="false" outlineLevel="0" collapsed="false">
      <c r="A1919" s="0" t="n">
        <v>11359</v>
      </c>
      <c r="B1919" s="0" t="s">
        <v>5356</v>
      </c>
      <c r="C1919" s="0" t="s">
        <v>31</v>
      </c>
      <c r="D1919" s="0" t="s">
        <v>3676</v>
      </c>
      <c r="E1919" s="0" t="n">
        <v>852.9</v>
      </c>
    </row>
    <row r="1920" customFormat="false" ht="15" hidden="false" customHeight="false" outlineLevel="0" collapsed="false">
      <c r="A1920" s="0" t="n">
        <v>39017</v>
      </c>
      <c r="B1920" s="0" t="s">
        <v>1621</v>
      </c>
      <c r="C1920" s="0" t="s">
        <v>31</v>
      </c>
      <c r="D1920" s="0" t="s">
        <v>3671</v>
      </c>
    </row>
    <row r="1921" customFormat="false" ht="15" hidden="false" customHeight="false" outlineLevel="0" collapsed="false">
      <c r="A1921" s="0" t="n">
        <v>39315</v>
      </c>
      <c r="B1921" s="0" t="s">
        <v>5357</v>
      </c>
      <c r="C1921" s="0" t="s">
        <v>31</v>
      </c>
      <c r="D1921" s="0" t="s">
        <v>3671</v>
      </c>
    </row>
    <row r="1922" customFormat="false" ht="15" hidden="false" customHeight="false" outlineLevel="0" collapsed="false">
      <c r="A1922" s="0" t="n">
        <v>39016</v>
      </c>
      <c r="B1922" s="0" t="s">
        <v>5358</v>
      </c>
      <c r="C1922" s="0" t="s">
        <v>31</v>
      </c>
      <c r="D1922" s="0" t="s">
        <v>3671</v>
      </c>
    </row>
    <row r="1923" customFormat="false" ht="15" hidden="false" customHeight="false" outlineLevel="0" collapsed="false">
      <c r="A1923" s="0" t="n">
        <v>39481</v>
      </c>
      <c r="B1923" s="0" t="s">
        <v>5359</v>
      </c>
      <c r="C1923" s="0" t="s">
        <v>31</v>
      </c>
      <c r="D1923" s="0" t="s">
        <v>3671</v>
      </c>
    </row>
    <row r="1924" customFormat="false" ht="15" hidden="false" customHeight="false" outlineLevel="0" collapsed="false">
      <c r="A1924" s="0" t="n">
        <v>39013</v>
      </c>
      <c r="B1924" s="0" t="s">
        <v>5360</v>
      </c>
      <c r="C1924" s="0" t="s">
        <v>31</v>
      </c>
      <c r="D1924" s="0" t="s">
        <v>3671</v>
      </c>
    </row>
    <row r="1925" customFormat="false" ht="15" hidden="false" customHeight="false" outlineLevel="0" collapsed="false">
      <c r="A1925" s="0" t="n">
        <v>44919</v>
      </c>
      <c r="B1925" s="0" t="s">
        <v>5361</v>
      </c>
      <c r="C1925" s="0" t="s">
        <v>31</v>
      </c>
      <c r="D1925" s="0" t="s">
        <v>3671</v>
      </c>
    </row>
    <row r="1926" customFormat="false" ht="15" hidden="false" customHeight="false" outlineLevel="0" collapsed="false">
      <c r="A1926" s="0" t="n">
        <v>40433</v>
      </c>
      <c r="B1926" s="0" t="s">
        <v>5362</v>
      </c>
      <c r="C1926" s="0" t="s">
        <v>31</v>
      </c>
      <c r="D1926" s="0" t="s">
        <v>3671</v>
      </c>
    </row>
    <row r="1927" customFormat="false" ht="15" hidden="false" customHeight="false" outlineLevel="0" collapsed="false">
      <c r="A1927" s="0" t="n">
        <v>20219</v>
      </c>
      <c r="B1927" s="0" t="s">
        <v>5363</v>
      </c>
      <c r="C1927" s="0" t="s">
        <v>31</v>
      </c>
      <c r="D1927" s="0" t="s">
        <v>3676</v>
      </c>
    </row>
    <row r="1928" customFormat="false" ht="15" hidden="false" customHeight="false" outlineLevel="0" collapsed="false">
      <c r="A1928" s="0" t="n">
        <v>36484</v>
      </c>
      <c r="B1928" s="0" t="s">
        <v>5364</v>
      </c>
      <c r="C1928" s="0" t="s">
        <v>31</v>
      </c>
      <c r="D1928" s="0" t="s">
        <v>3671</v>
      </c>
    </row>
    <row r="1929" customFormat="false" ht="15" hidden="false" customHeight="false" outlineLevel="0" collapsed="false">
      <c r="A1929" s="0" t="n">
        <v>38368</v>
      </c>
      <c r="B1929" s="0" t="s">
        <v>5365</v>
      </c>
      <c r="C1929" s="0" t="s">
        <v>31</v>
      </c>
      <c r="D1929" s="0" t="s">
        <v>3671</v>
      </c>
      <c r="E1929" s="0" t="n">
        <v>8.59</v>
      </c>
    </row>
    <row r="1930" customFormat="false" ht="15" hidden="false" customHeight="false" outlineLevel="0" collapsed="false">
      <c r="A1930" s="0" t="n">
        <v>38367</v>
      </c>
      <c r="B1930" s="0" t="s">
        <v>5366</v>
      </c>
      <c r="C1930" s="0" t="s">
        <v>31</v>
      </c>
      <c r="D1930" s="0" t="s">
        <v>3671</v>
      </c>
      <c r="E1930" s="0" t="n">
        <v>22.83</v>
      </c>
    </row>
    <row r="1931" customFormat="false" ht="15" hidden="false" customHeight="false" outlineLevel="0" collapsed="false">
      <c r="A1931" s="0" t="n">
        <v>38091</v>
      </c>
      <c r="B1931" s="0" t="s">
        <v>5367</v>
      </c>
      <c r="C1931" s="0" t="s">
        <v>31</v>
      </c>
      <c r="D1931" s="0" t="s">
        <v>3671</v>
      </c>
      <c r="E1931" s="0" t="n">
        <v>2.18</v>
      </c>
    </row>
    <row r="1932" customFormat="false" ht="15" hidden="false" customHeight="false" outlineLevel="0" collapsed="false">
      <c r="A1932" s="0" t="n">
        <v>38095</v>
      </c>
      <c r="B1932" s="0" t="s">
        <v>5368</v>
      </c>
      <c r="C1932" s="0" t="s">
        <v>31</v>
      </c>
      <c r="D1932" s="0" t="s">
        <v>3671</v>
      </c>
      <c r="E1932" s="0" t="n">
        <v>4.61</v>
      </c>
    </row>
    <row r="1933" customFormat="false" ht="15" hidden="false" customHeight="false" outlineLevel="0" collapsed="false">
      <c r="A1933" s="0" t="n">
        <v>38092</v>
      </c>
      <c r="B1933" s="0" t="s">
        <v>5369</v>
      </c>
      <c r="C1933" s="0" t="s">
        <v>31</v>
      </c>
      <c r="D1933" s="0" t="s">
        <v>3671</v>
      </c>
      <c r="E1933" s="0" t="n">
        <v>2.06</v>
      </c>
    </row>
    <row r="1934" customFormat="false" ht="15" hidden="false" customHeight="false" outlineLevel="0" collapsed="false">
      <c r="A1934" s="0" t="n">
        <v>38093</v>
      </c>
      <c r="B1934" s="0" t="s">
        <v>5370</v>
      </c>
      <c r="C1934" s="0" t="s">
        <v>31</v>
      </c>
      <c r="D1934" s="0" t="s">
        <v>3671</v>
      </c>
      <c r="E1934" s="0" t="n">
        <v>2.13</v>
      </c>
    </row>
    <row r="1935" customFormat="false" ht="15" hidden="false" customHeight="false" outlineLevel="0" collapsed="false">
      <c r="A1935" s="0" t="n">
        <v>38096</v>
      </c>
      <c r="B1935" s="0" t="s">
        <v>5371</v>
      </c>
      <c r="C1935" s="0" t="s">
        <v>31</v>
      </c>
      <c r="D1935" s="0" t="s">
        <v>3671</v>
      </c>
      <c r="E1935" s="0" t="n">
        <v>4.96</v>
      </c>
    </row>
    <row r="1936" customFormat="false" ht="15" hidden="false" customHeight="false" outlineLevel="0" collapsed="false">
      <c r="A1936" s="0" t="n">
        <v>38094</v>
      </c>
      <c r="B1936" s="0" t="s">
        <v>1541</v>
      </c>
      <c r="C1936" s="0" t="s">
        <v>31</v>
      </c>
      <c r="D1936" s="0" t="s">
        <v>3671</v>
      </c>
      <c r="E1936" s="0" t="n">
        <v>2.62</v>
      </c>
    </row>
    <row r="1937" customFormat="false" ht="15" hidden="false" customHeight="false" outlineLevel="0" collapsed="false">
      <c r="A1937" s="0" t="n">
        <v>38097</v>
      </c>
      <c r="B1937" s="0" t="s">
        <v>5372</v>
      </c>
      <c r="C1937" s="0" t="s">
        <v>31</v>
      </c>
      <c r="D1937" s="0" t="s">
        <v>3671</v>
      </c>
      <c r="E1937" s="0" t="n">
        <v>5.31</v>
      </c>
    </row>
    <row r="1938" customFormat="false" ht="15" hidden="false" customHeight="false" outlineLevel="0" collapsed="false">
      <c r="A1938" s="0" t="n">
        <v>38098</v>
      </c>
      <c r="B1938" s="0" t="s">
        <v>5373</v>
      </c>
      <c r="C1938" s="0" t="s">
        <v>31</v>
      </c>
      <c r="D1938" s="0" t="s">
        <v>3671</v>
      </c>
      <c r="E1938" s="0" t="n">
        <v>5.31</v>
      </c>
    </row>
    <row r="1939" customFormat="false" ht="15" hidden="false" customHeight="false" outlineLevel="0" collapsed="false">
      <c r="A1939" s="0" t="n">
        <v>11186</v>
      </c>
      <c r="B1939" s="0" t="s">
        <v>2044</v>
      </c>
      <c r="C1939" s="0" t="s">
        <v>1477</v>
      </c>
      <c r="D1939" s="0" t="s">
        <v>3671</v>
      </c>
      <c r="E1939" s="0" t="n">
        <v>355.46</v>
      </c>
    </row>
    <row r="1940" customFormat="false" ht="15" hidden="false" customHeight="false" outlineLevel="0" collapsed="false">
      <c r="A1940" s="0" t="n">
        <v>11558</v>
      </c>
      <c r="B1940" s="0" t="s">
        <v>5374</v>
      </c>
      <c r="C1940" s="0" t="s">
        <v>1568</v>
      </c>
      <c r="D1940" s="0" t="s">
        <v>3671</v>
      </c>
      <c r="E1940" s="0" t="n">
        <v>16.52</v>
      </c>
    </row>
    <row r="1941" customFormat="false" ht="15" hidden="false" customHeight="false" outlineLevel="0" collapsed="false">
      <c r="A1941" s="0" t="n">
        <v>11557</v>
      </c>
      <c r="B1941" s="0" t="s">
        <v>5375</v>
      </c>
      <c r="C1941" s="0" t="s">
        <v>1568</v>
      </c>
      <c r="D1941" s="0" t="s">
        <v>3671</v>
      </c>
      <c r="E1941" s="0" t="n">
        <v>41.83</v>
      </c>
    </row>
    <row r="1942" customFormat="false" ht="15" hidden="false" customHeight="false" outlineLevel="0" collapsed="false">
      <c r="A1942" s="0" t="n">
        <v>2759</v>
      </c>
      <c r="B1942" s="0" t="s">
        <v>5376</v>
      </c>
      <c r="C1942" s="0" t="s">
        <v>31</v>
      </c>
      <c r="D1942" s="0" t="s">
        <v>3676</v>
      </c>
    </row>
    <row r="1943" customFormat="false" ht="15" hidden="false" customHeight="false" outlineLevel="0" collapsed="false">
      <c r="A1943" s="0" t="n">
        <v>38124</v>
      </c>
      <c r="B1943" s="0" t="s">
        <v>1716</v>
      </c>
      <c r="C1943" s="0" t="s">
        <v>31</v>
      </c>
      <c r="D1943" s="0" t="s">
        <v>3676</v>
      </c>
      <c r="E1943" s="0" t="n">
        <v>23.41</v>
      </c>
    </row>
    <row r="1944" customFormat="false" ht="15" hidden="false" customHeight="false" outlineLevel="0" collapsed="false">
      <c r="A1944" s="0" t="n">
        <v>38380</v>
      </c>
      <c r="B1944" s="0" t="s">
        <v>5377</v>
      </c>
      <c r="C1944" s="0" t="s">
        <v>31</v>
      </c>
      <c r="D1944" s="0" t="s">
        <v>3671</v>
      </c>
      <c r="E1944" s="0" t="n">
        <v>36.28</v>
      </c>
    </row>
    <row r="1945" customFormat="false" ht="15" hidden="false" customHeight="false" outlineLevel="0" collapsed="false">
      <c r="A1945" s="0" t="n">
        <v>42429</v>
      </c>
      <c r="B1945" s="0" t="s">
        <v>5378</v>
      </c>
      <c r="C1945" s="0" t="s">
        <v>31</v>
      </c>
      <c r="D1945" s="0" t="s">
        <v>3671</v>
      </c>
    </row>
    <row r="1946" customFormat="false" ht="15" hidden="false" customHeight="false" outlineLevel="0" collapsed="false">
      <c r="A1946" s="0" t="n">
        <v>39616</v>
      </c>
      <c r="B1946" s="0" t="s">
        <v>5379</v>
      </c>
      <c r="C1946" s="0" t="s">
        <v>31</v>
      </c>
      <c r="D1946" s="0" t="s">
        <v>3676</v>
      </c>
    </row>
    <row r="1947" customFormat="false" ht="15" hidden="false" customHeight="false" outlineLevel="0" collapsed="false">
      <c r="A1947" s="0" t="n">
        <v>39618</v>
      </c>
      <c r="B1947" s="0" t="s">
        <v>5380</v>
      </c>
      <c r="C1947" s="0" t="s">
        <v>31</v>
      </c>
      <c r="D1947" s="0" t="s">
        <v>3671</v>
      </c>
    </row>
    <row r="1948" customFormat="false" ht="15" hidden="false" customHeight="false" outlineLevel="0" collapsed="false">
      <c r="A1948" s="0" t="n">
        <v>39619</v>
      </c>
      <c r="B1948" s="0" t="s">
        <v>5381</v>
      </c>
      <c r="C1948" s="0" t="s">
        <v>31</v>
      </c>
      <c r="D1948" s="0" t="s">
        <v>3671</v>
      </c>
    </row>
    <row r="1949" customFormat="false" ht="15" hidden="false" customHeight="false" outlineLevel="0" collapsed="false">
      <c r="A1949" s="0" t="n">
        <v>39613</v>
      </c>
      <c r="B1949" s="0" t="s">
        <v>5382</v>
      </c>
      <c r="C1949" s="0" t="s">
        <v>31</v>
      </c>
      <c r="D1949" s="0" t="s">
        <v>3671</v>
      </c>
    </row>
    <row r="1950" customFormat="false" ht="15" hidden="false" customHeight="false" outlineLevel="0" collapsed="false">
      <c r="A1950" s="0" t="n">
        <v>39614</v>
      </c>
      <c r="B1950" s="0" t="s">
        <v>5383</v>
      </c>
      <c r="C1950" s="0" t="s">
        <v>31</v>
      </c>
      <c r="D1950" s="0" t="s">
        <v>3671</v>
      </c>
    </row>
    <row r="1951" customFormat="false" ht="15" hidden="false" customHeight="false" outlineLevel="0" collapsed="false">
      <c r="A1951" s="0" t="n">
        <v>38538</v>
      </c>
      <c r="B1951" s="0" t="s">
        <v>5384</v>
      </c>
      <c r="C1951" s="0" t="s">
        <v>1455</v>
      </c>
      <c r="D1951" s="0" t="s">
        <v>3676</v>
      </c>
    </row>
    <row r="1952" customFormat="false" ht="15" hidden="false" customHeight="false" outlineLevel="0" collapsed="false">
      <c r="A1952" s="0" t="n">
        <v>38539</v>
      </c>
      <c r="B1952" s="0" t="s">
        <v>5385</v>
      </c>
      <c r="C1952" s="0" t="s">
        <v>1455</v>
      </c>
      <c r="D1952" s="0" t="s">
        <v>3671</v>
      </c>
    </row>
    <row r="1953" customFormat="false" ht="15" hidden="false" customHeight="false" outlineLevel="0" collapsed="false">
      <c r="A1953" s="0" t="n">
        <v>38540</v>
      </c>
      <c r="B1953" s="0" t="s">
        <v>5386</v>
      </c>
      <c r="C1953" s="0" t="s">
        <v>1455</v>
      </c>
      <c r="D1953" s="0" t="s">
        <v>3671</v>
      </c>
    </row>
    <row r="1954" customFormat="false" ht="15" hidden="false" customHeight="false" outlineLevel="0" collapsed="false">
      <c r="A1954" s="0" t="n">
        <v>38384</v>
      </c>
      <c r="B1954" s="0" t="s">
        <v>5387</v>
      </c>
      <c r="C1954" s="0" t="s">
        <v>31</v>
      </c>
      <c r="D1954" s="0" t="s">
        <v>3671</v>
      </c>
      <c r="E1954" s="0" t="n">
        <v>22.27</v>
      </c>
    </row>
    <row r="1955" customFormat="false" ht="15" hidden="false" customHeight="false" outlineLevel="0" collapsed="false">
      <c r="A1955" s="0" t="n">
        <v>13</v>
      </c>
      <c r="B1955" s="0" t="s">
        <v>5388</v>
      </c>
      <c r="C1955" s="0" t="s">
        <v>1513</v>
      </c>
      <c r="D1955" s="0" t="s">
        <v>3671</v>
      </c>
      <c r="E1955" s="0" t="n">
        <v>23.09</v>
      </c>
    </row>
    <row r="1956" customFormat="false" ht="15" hidden="false" customHeight="false" outlineLevel="0" collapsed="false">
      <c r="A1956" s="0" t="n">
        <v>2762</v>
      </c>
      <c r="B1956" s="0" t="s">
        <v>5389</v>
      </c>
      <c r="C1956" s="0" t="s">
        <v>1455</v>
      </c>
      <c r="D1956" s="0" t="s">
        <v>3671</v>
      </c>
    </row>
    <row r="1957" customFormat="false" ht="15" hidden="false" customHeight="false" outlineLevel="0" collapsed="false">
      <c r="A1957" s="0" t="n">
        <v>21142</v>
      </c>
      <c r="B1957" s="0" t="s">
        <v>1571</v>
      </c>
      <c r="C1957" s="0" t="s">
        <v>31</v>
      </c>
      <c r="D1957" s="0" t="s">
        <v>3671</v>
      </c>
      <c r="E1957" s="0" t="n">
        <v>25.92</v>
      </c>
    </row>
    <row r="1958" customFormat="false" ht="15" hidden="false" customHeight="false" outlineLevel="0" collapsed="false">
      <c r="A1958" s="0" t="n">
        <v>4223</v>
      </c>
      <c r="B1958" s="0" t="s">
        <v>5390</v>
      </c>
      <c r="C1958" s="0" t="s">
        <v>1452</v>
      </c>
      <c r="D1958" s="0" t="s">
        <v>3676</v>
      </c>
      <c r="E1958" s="0" t="n">
        <v>4.6</v>
      </c>
    </row>
    <row r="1959" customFormat="false" ht="15" hidden="false" customHeight="false" outlineLevel="0" collapsed="false">
      <c r="A1959" s="0" t="n">
        <v>37372</v>
      </c>
      <c r="B1959" s="0" t="s">
        <v>1446</v>
      </c>
      <c r="C1959" s="0" t="s">
        <v>1444</v>
      </c>
      <c r="D1959" s="0" t="s">
        <v>3676</v>
      </c>
      <c r="E1959" s="0" t="n">
        <v>1.43</v>
      </c>
    </row>
    <row r="1960" customFormat="false" ht="15" hidden="false" customHeight="false" outlineLevel="0" collapsed="false">
      <c r="A1960" s="0" t="n">
        <v>40863</v>
      </c>
      <c r="B1960" s="0" t="s">
        <v>1418</v>
      </c>
      <c r="C1960" s="0" t="s">
        <v>1416</v>
      </c>
      <c r="D1960" s="0" t="s">
        <v>3676</v>
      </c>
      <c r="E1960" s="0" t="n">
        <v>270.51</v>
      </c>
    </row>
    <row r="1961" customFormat="false" ht="15" hidden="false" customHeight="false" outlineLevel="0" collapsed="false">
      <c r="A1961" s="0" t="n">
        <v>38475</v>
      </c>
      <c r="B1961" s="0" t="s">
        <v>5391</v>
      </c>
      <c r="C1961" s="0" t="s">
        <v>31</v>
      </c>
      <c r="D1961" s="0" t="s">
        <v>3671</v>
      </c>
      <c r="E1961" s="0" t="n">
        <v>30.35</v>
      </c>
    </row>
    <row r="1962" customFormat="false" ht="15" hidden="false" customHeight="false" outlineLevel="0" collapsed="false">
      <c r="A1962" s="0" t="n">
        <v>38474</v>
      </c>
      <c r="B1962" s="0" t="s">
        <v>5392</v>
      </c>
      <c r="C1962" s="0" t="s">
        <v>31</v>
      </c>
      <c r="D1962" s="0" t="s">
        <v>3671</v>
      </c>
      <c r="E1962" s="0" t="n">
        <v>37.52</v>
      </c>
    </row>
    <row r="1963" customFormat="false" ht="15" hidden="false" customHeight="false" outlineLevel="0" collapsed="false">
      <c r="A1963" s="0" t="n">
        <v>10886</v>
      </c>
      <c r="B1963" s="0" t="s">
        <v>5393</v>
      </c>
      <c r="C1963" s="0" t="s">
        <v>31</v>
      </c>
      <c r="D1963" s="0" t="s">
        <v>3671</v>
      </c>
      <c r="E1963" s="0" t="n">
        <v>188.12</v>
      </c>
    </row>
    <row r="1964" customFormat="false" ht="15" hidden="false" customHeight="false" outlineLevel="0" collapsed="false">
      <c r="A1964" s="0" t="n">
        <v>10888</v>
      </c>
      <c r="B1964" s="0" t="s">
        <v>5394</v>
      </c>
      <c r="C1964" s="0" t="s">
        <v>31</v>
      </c>
      <c r="D1964" s="0" t="s">
        <v>3671</v>
      </c>
      <c r="E1964" s="0" t="n">
        <v>595.38</v>
      </c>
    </row>
    <row r="1965" customFormat="false" ht="15" hidden="false" customHeight="false" outlineLevel="0" collapsed="false">
      <c r="A1965" s="0" t="n">
        <v>10889</v>
      </c>
      <c r="B1965" s="0" t="s">
        <v>5395</v>
      </c>
      <c r="C1965" s="0" t="s">
        <v>31</v>
      </c>
      <c r="D1965" s="0" t="s">
        <v>3671</v>
      </c>
      <c r="E1965" s="0" t="n">
        <v>645</v>
      </c>
    </row>
    <row r="1966" customFormat="false" ht="15" hidden="false" customHeight="false" outlineLevel="0" collapsed="false">
      <c r="A1966" s="0" t="n">
        <v>10890</v>
      </c>
      <c r="B1966" s="0" t="s">
        <v>5396</v>
      </c>
      <c r="C1966" s="0" t="s">
        <v>31</v>
      </c>
      <c r="D1966" s="0" t="s">
        <v>3671</v>
      </c>
      <c r="E1966" s="0" t="n">
        <v>297.69</v>
      </c>
    </row>
    <row r="1967" customFormat="false" ht="15" hidden="false" customHeight="false" outlineLevel="0" collapsed="false">
      <c r="A1967" s="0" t="n">
        <v>10891</v>
      </c>
      <c r="B1967" s="0" t="s">
        <v>5397</v>
      </c>
      <c r="C1967" s="0" t="s">
        <v>31</v>
      </c>
      <c r="D1967" s="0" t="s">
        <v>3671</v>
      </c>
      <c r="E1967" s="0" t="n">
        <v>181.92</v>
      </c>
    </row>
    <row r="1968" customFormat="false" ht="15" hidden="false" customHeight="false" outlineLevel="0" collapsed="false">
      <c r="A1968" s="0" t="n">
        <v>10892</v>
      </c>
      <c r="B1968" s="0" t="s">
        <v>5398</v>
      </c>
      <c r="C1968" s="0" t="s">
        <v>31</v>
      </c>
      <c r="D1968" s="0" t="s">
        <v>3676</v>
      </c>
      <c r="E1968" s="0" t="n">
        <v>215</v>
      </c>
    </row>
    <row r="1969" customFormat="false" ht="15" hidden="false" customHeight="false" outlineLevel="0" collapsed="false">
      <c r="A1969" s="0" t="n">
        <v>20977</v>
      </c>
      <c r="B1969" s="0" t="s">
        <v>5399</v>
      </c>
      <c r="C1969" s="0" t="s">
        <v>31</v>
      </c>
      <c r="D1969" s="0" t="s">
        <v>3671</v>
      </c>
      <c r="E1969" s="0" t="n">
        <v>256.34</v>
      </c>
    </row>
    <row r="1970" customFormat="false" ht="15" hidden="false" customHeight="false" outlineLevel="0" collapsed="false">
      <c r="A1970" s="0" t="n">
        <v>3073</v>
      </c>
      <c r="B1970" s="0" t="s">
        <v>5400</v>
      </c>
      <c r="C1970" s="0" t="s">
        <v>31</v>
      </c>
      <c r="D1970" s="0" t="s">
        <v>3671</v>
      </c>
    </row>
    <row r="1971" customFormat="false" ht="15" hidden="false" customHeight="false" outlineLevel="0" collapsed="false">
      <c r="A1971" s="0" t="n">
        <v>3074</v>
      </c>
      <c r="B1971" s="0" t="s">
        <v>5401</v>
      </c>
      <c r="C1971" s="0" t="s">
        <v>31</v>
      </c>
      <c r="D1971" s="0" t="s">
        <v>3671</v>
      </c>
    </row>
    <row r="1972" customFormat="false" ht="15" hidden="false" customHeight="false" outlineLevel="0" collapsed="false">
      <c r="A1972" s="0" t="n">
        <v>3076</v>
      </c>
      <c r="B1972" s="0" t="s">
        <v>5402</v>
      </c>
      <c r="C1972" s="0" t="s">
        <v>31</v>
      </c>
      <c r="D1972" s="0" t="s">
        <v>3671</v>
      </c>
    </row>
    <row r="1973" customFormat="false" ht="15" hidden="false" customHeight="false" outlineLevel="0" collapsed="false">
      <c r="A1973" s="0" t="n">
        <v>3075</v>
      </c>
      <c r="B1973" s="0" t="s">
        <v>5403</v>
      </c>
      <c r="C1973" s="0" t="s">
        <v>31</v>
      </c>
      <c r="D1973" s="0" t="s">
        <v>3671</v>
      </c>
    </row>
    <row r="1974" customFormat="false" ht="15" hidden="false" customHeight="false" outlineLevel="0" collapsed="false">
      <c r="A1974" s="0" t="n">
        <v>10781</v>
      </c>
      <c r="B1974" s="0" t="s">
        <v>5404</v>
      </c>
      <c r="C1974" s="0" t="s">
        <v>31</v>
      </c>
      <c r="D1974" s="0" t="s">
        <v>3671</v>
      </c>
    </row>
    <row r="1975" customFormat="false" ht="15" hidden="false" customHeight="false" outlineLevel="0" collapsed="false">
      <c r="A1975" s="0" t="n">
        <v>11480</v>
      </c>
      <c r="B1975" s="0" t="s">
        <v>5405</v>
      </c>
      <c r="C1975" s="0" t="s">
        <v>1538</v>
      </c>
      <c r="D1975" s="0" t="s">
        <v>3671</v>
      </c>
      <c r="E1975" s="0" t="n">
        <v>159.9</v>
      </c>
    </row>
    <row r="1976" customFormat="false" ht="15" hidden="false" customHeight="false" outlineLevel="0" collapsed="false">
      <c r="A1976" s="0" t="n">
        <v>43612</v>
      </c>
      <c r="B1976" s="0" t="s">
        <v>5406</v>
      </c>
      <c r="C1976" s="0" t="s">
        <v>1538</v>
      </c>
      <c r="D1976" s="0" t="s">
        <v>3671</v>
      </c>
      <c r="E1976" s="0" t="n">
        <v>125.85</v>
      </c>
    </row>
    <row r="1977" customFormat="false" ht="15" hidden="false" customHeight="false" outlineLevel="0" collapsed="false">
      <c r="A1977" s="0" t="n">
        <v>43613</v>
      </c>
      <c r="B1977" s="0" t="s">
        <v>5407</v>
      </c>
      <c r="C1977" s="0" t="s">
        <v>1538</v>
      </c>
      <c r="D1977" s="0" t="s">
        <v>3671</v>
      </c>
      <c r="E1977" s="0" t="n">
        <v>104.19</v>
      </c>
    </row>
    <row r="1978" customFormat="false" ht="15" hidden="false" customHeight="false" outlineLevel="0" collapsed="false">
      <c r="A1978" s="0" t="n">
        <v>11469</v>
      </c>
      <c r="B1978" s="0" t="s">
        <v>5408</v>
      </c>
      <c r="C1978" s="0" t="s">
        <v>31</v>
      </c>
      <c r="D1978" s="0" t="s">
        <v>3671</v>
      </c>
      <c r="E1978" s="0" t="n">
        <v>17.07</v>
      </c>
    </row>
    <row r="1979" customFormat="false" ht="15" hidden="false" customHeight="false" outlineLevel="0" collapsed="false">
      <c r="A1979" s="0" t="n">
        <v>11468</v>
      </c>
      <c r="B1979" s="0" t="s">
        <v>5409</v>
      </c>
      <c r="C1979" s="0" t="s">
        <v>31</v>
      </c>
      <c r="D1979" s="0" t="s">
        <v>3671</v>
      </c>
      <c r="E1979" s="0" t="n">
        <v>17.08</v>
      </c>
    </row>
    <row r="1980" customFormat="false" ht="15" hidden="false" customHeight="false" outlineLevel="0" collapsed="false">
      <c r="A1980" s="0" t="n">
        <v>11484</v>
      </c>
      <c r="B1980" s="0" t="s">
        <v>5410</v>
      </c>
      <c r="C1980" s="0" t="s">
        <v>31</v>
      </c>
      <c r="D1980" s="0" t="s">
        <v>3671</v>
      </c>
      <c r="E1980" s="0" t="n">
        <v>75.01</v>
      </c>
    </row>
    <row r="1981" customFormat="false" ht="15" hidden="false" customHeight="false" outlineLevel="0" collapsed="false">
      <c r="A1981" s="0" t="n">
        <v>38155</v>
      </c>
      <c r="B1981" s="0" t="s">
        <v>5411</v>
      </c>
      <c r="C1981" s="0" t="s">
        <v>31</v>
      </c>
      <c r="D1981" s="0" t="s">
        <v>3671</v>
      </c>
      <c r="E1981" s="0" t="n">
        <v>116.47</v>
      </c>
    </row>
    <row r="1982" customFormat="false" ht="15" hidden="false" customHeight="false" outlineLevel="0" collapsed="false">
      <c r="A1982" s="0" t="n">
        <v>11467</v>
      </c>
      <c r="B1982" s="0" t="s">
        <v>5412</v>
      </c>
      <c r="C1982" s="0" t="s">
        <v>31</v>
      </c>
      <c r="D1982" s="0" t="s">
        <v>3671</v>
      </c>
      <c r="E1982" s="0" t="n">
        <v>26.61</v>
      </c>
    </row>
    <row r="1983" customFormat="false" ht="15" hidden="false" customHeight="false" outlineLevel="0" collapsed="false">
      <c r="A1983" s="0" t="n">
        <v>38153</v>
      </c>
      <c r="B1983" s="0" t="s">
        <v>5413</v>
      </c>
      <c r="C1983" s="0" t="s">
        <v>1538</v>
      </c>
      <c r="D1983" s="0" t="s">
        <v>3671</v>
      </c>
      <c r="E1983" s="0" t="n">
        <v>67.98</v>
      </c>
    </row>
    <row r="1984" customFormat="false" ht="15" hidden="false" customHeight="false" outlineLevel="0" collapsed="false">
      <c r="A1984" s="0" t="n">
        <v>43607</v>
      </c>
      <c r="B1984" s="0" t="s">
        <v>5414</v>
      </c>
      <c r="C1984" s="0" t="s">
        <v>1538</v>
      </c>
      <c r="D1984" s="0" t="s">
        <v>3671</v>
      </c>
      <c r="E1984" s="0" t="n">
        <v>128.58</v>
      </c>
    </row>
    <row r="1985" customFormat="false" ht="15" hidden="false" customHeight="false" outlineLevel="0" collapsed="false">
      <c r="A1985" s="0" t="n">
        <v>3080</v>
      </c>
      <c r="B1985" s="0" t="s">
        <v>5415</v>
      </c>
      <c r="C1985" s="0" t="s">
        <v>1538</v>
      </c>
      <c r="D1985" s="0" t="s">
        <v>3676</v>
      </c>
      <c r="E1985" s="0" t="n">
        <v>86.45</v>
      </c>
    </row>
    <row r="1986" customFormat="false" ht="15" hidden="false" customHeight="false" outlineLevel="0" collapsed="false">
      <c r="A1986" s="0" t="n">
        <v>3081</v>
      </c>
      <c r="B1986" s="0" t="s">
        <v>1844</v>
      </c>
      <c r="C1986" s="0" t="s">
        <v>1538</v>
      </c>
      <c r="D1986" s="0" t="s">
        <v>3671</v>
      </c>
      <c r="E1986" s="0" t="n">
        <v>171.04</v>
      </c>
    </row>
    <row r="1987" customFormat="false" ht="15" hidden="false" customHeight="false" outlineLevel="0" collapsed="false">
      <c r="A1987" s="0" t="n">
        <v>3090</v>
      </c>
      <c r="B1987" s="0" t="s">
        <v>5416</v>
      </c>
      <c r="C1987" s="0" t="s">
        <v>1538</v>
      </c>
      <c r="D1987" s="0" t="s">
        <v>3671</v>
      </c>
      <c r="E1987" s="0" t="n">
        <v>77.16</v>
      </c>
    </row>
    <row r="1988" customFormat="false" ht="15" hidden="false" customHeight="false" outlineLevel="0" collapsed="false">
      <c r="A1988" s="0" t="n">
        <v>43611</v>
      </c>
      <c r="B1988" s="0" t="s">
        <v>5417</v>
      </c>
      <c r="C1988" s="0" t="s">
        <v>1538</v>
      </c>
      <c r="D1988" s="0" t="s">
        <v>3671</v>
      </c>
      <c r="E1988" s="0" t="n">
        <v>128.04</v>
      </c>
    </row>
    <row r="1989" customFormat="false" ht="15" hidden="false" customHeight="false" outlineLevel="0" collapsed="false">
      <c r="A1989" s="0" t="n">
        <v>3103</v>
      </c>
      <c r="B1989" s="0" t="s">
        <v>5418</v>
      </c>
      <c r="C1989" s="0" t="s">
        <v>31</v>
      </c>
      <c r="D1989" s="0" t="s">
        <v>3671</v>
      </c>
      <c r="E1989" s="0" t="n">
        <v>63.98</v>
      </c>
    </row>
    <row r="1990" customFormat="false" ht="15" hidden="false" customHeight="false" outlineLevel="0" collapsed="false">
      <c r="A1990" s="0" t="n">
        <v>3097</v>
      </c>
      <c r="B1990" s="0" t="s">
        <v>5419</v>
      </c>
      <c r="C1990" s="0" t="s">
        <v>1538</v>
      </c>
      <c r="D1990" s="0" t="s">
        <v>3671</v>
      </c>
      <c r="E1990" s="0" t="n">
        <v>96.79</v>
      </c>
    </row>
    <row r="1991" customFormat="false" ht="15" hidden="false" customHeight="false" outlineLevel="0" collapsed="false">
      <c r="A1991" s="0" t="n">
        <v>3099</v>
      </c>
      <c r="B1991" s="0" t="s">
        <v>5420</v>
      </c>
      <c r="C1991" s="0" t="s">
        <v>1538</v>
      </c>
      <c r="D1991" s="0" t="s">
        <v>3671</v>
      </c>
      <c r="E1991" s="0" t="n">
        <v>154.99</v>
      </c>
    </row>
    <row r="1992" customFormat="false" ht="15" hidden="false" customHeight="false" outlineLevel="0" collapsed="false">
      <c r="A1992" s="0" t="n">
        <v>38151</v>
      </c>
      <c r="B1992" s="0" t="s">
        <v>5421</v>
      </c>
      <c r="C1992" s="0" t="s">
        <v>1538</v>
      </c>
      <c r="D1992" s="0" t="s">
        <v>3671</v>
      </c>
      <c r="E1992" s="0" t="n">
        <v>112.36</v>
      </c>
    </row>
    <row r="1993" customFormat="false" ht="15" hidden="false" customHeight="false" outlineLevel="0" collapsed="false">
      <c r="A1993" s="0" t="n">
        <v>38152</v>
      </c>
      <c r="B1993" s="0" t="s">
        <v>5422</v>
      </c>
      <c r="C1993" s="0" t="s">
        <v>1538</v>
      </c>
      <c r="D1993" s="0" t="s">
        <v>3671</v>
      </c>
      <c r="E1993" s="0" t="n">
        <v>181.25</v>
      </c>
    </row>
    <row r="1994" customFormat="false" ht="15" hidden="false" customHeight="false" outlineLevel="0" collapsed="false">
      <c r="A1994" s="0" t="n">
        <v>43610</v>
      </c>
      <c r="B1994" s="0" t="s">
        <v>5423</v>
      </c>
      <c r="C1994" s="0" t="s">
        <v>1538</v>
      </c>
      <c r="D1994" s="0" t="s">
        <v>3671</v>
      </c>
      <c r="E1994" s="0" t="n">
        <v>96.04</v>
      </c>
    </row>
    <row r="1995" customFormat="false" ht="15" hidden="false" customHeight="false" outlineLevel="0" collapsed="false">
      <c r="A1995" s="0" t="n">
        <v>3093</v>
      </c>
      <c r="B1995" s="0" t="s">
        <v>5424</v>
      </c>
      <c r="C1995" s="0" t="s">
        <v>1538</v>
      </c>
      <c r="D1995" s="0" t="s">
        <v>3671</v>
      </c>
      <c r="E1995" s="0" t="n">
        <v>154.99</v>
      </c>
    </row>
    <row r="1996" customFormat="false" ht="15" hidden="false" customHeight="false" outlineLevel="0" collapsed="false">
      <c r="A1996" s="0" t="n">
        <v>38165</v>
      </c>
      <c r="B1996" s="0" t="s">
        <v>1855</v>
      </c>
      <c r="C1996" s="0" t="s">
        <v>1538</v>
      </c>
      <c r="D1996" s="0" t="s">
        <v>3671</v>
      </c>
      <c r="E1996" s="0" t="n">
        <v>79.49</v>
      </c>
    </row>
    <row r="1997" customFormat="false" ht="15" hidden="false" customHeight="false" outlineLevel="0" collapsed="false">
      <c r="A1997" s="0" t="n">
        <v>38177</v>
      </c>
      <c r="B1997" s="0" t="s">
        <v>5425</v>
      </c>
      <c r="C1997" s="0" t="s">
        <v>31</v>
      </c>
      <c r="D1997" s="0" t="s">
        <v>3671</v>
      </c>
      <c r="E1997" s="0" t="n">
        <v>23.62</v>
      </c>
    </row>
    <row r="1998" customFormat="false" ht="15" hidden="false" customHeight="false" outlineLevel="0" collapsed="false">
      <c r="A1998" s="0" t="n">
        <v>11458</v>
      </c>
      <c r="B1998" s="0" t="s">
        <v>5426</v>
      </c>
      <c r="C1998" s="0" t="s">
        <v>31</v>
      </c>
      <c r="D1998" s="0" t="s">
        <v>3671</v>
      </c>
      <c r="E1998" s="0" t="n">
        <v>28.2</v>
      </c>
    </row>
    <row r="1999" customFormat="false" ht="15" hidden="false" customHeight="false" outlineLevel="0" collapsed="false">
      <c r="A1999" s="0" t="n">
        <v>3108</v>
      </c>
      <c r="B1999" s="0" t="s">
        <v>5427</v>
      </c>
      <c r="C1999" s="0" t="s">
        <v>31</v>
      </c>
      <c r="D1999" s="0" t="s">
        <v>3671</v>
      </c>
      <c r="E1999" s="0" t="n">
        <v>119.88</v>
      </c>
    </row>
    <row r="2000" customFormat="false" ht="15" hidden="false" customHeight="false" outlineLevel="0" collapsed="false">
      <c r="A2000" s="0" t="n">
        <v>3105</v>
      </c>
      <c r="B2000" s="0" t="s">
        <v>5428</v>
      </c>
      <c r="C2000" s="0" t="s">
        <v>31</v>
      </c>
      <c r="D2000" s="0" t="s">
        <v>3671</v>
      </c>
      <c r="E2000" s="0" t="n">
        <v>156.79</v>
      </c>
    </row>
    <row r="2001" customFormat="false" ht="15" hidden="false" customHeight="false" outlineLevel="0" collapsed="false">
      <c r="A2001" s="0" t="n">
        <v>38178</v>
      </c>
      <c r="B2001" s="0" t="s">
        <v>5429</v>
      </c>
      <c r="C2001" s="0" t="s">
        <v>31</v>
      </c>
      <c r="D2001" s="0" t="s">
        <v>3671</v>
      </c>
      <c r="E2001" s="0" t="n">
        <v>25.99</v>
      </c>
    </row>
    <row r="2002" customFormat="false" ht="15" hidden="false" customHeight="false" outlineLevel="0" collapsed="false">
      <c r="A2002" s="0" t="n">
        <v>43575</v>
      </c>
      <c r="B2002" s="0" t="s">
        <v>5430</v>
      </c>
      <c r="C2002" s="0" t="s">
        <v>31</v>
      </c>
      <c r="D2002" s="0" t="s">
        <v>3671</v>
      </c>
      <c r="E2002" s="0" t="n">
        <v>56.31</v>
      </c>
    </row>
    <row r="2003" customFormat="false" ht="15" hidden="false" customHeight="false" outlineLevel="0" collapsed="false">
      <c r="A2003" s="0" t="n">
        <v>43577</v>
      </c>
      <c r="B2003" s="0" t="s">
        <v>5431</v>
      </c>
      <c r="C2003" s="0" t="s">
        <v>31</v>
      </c>
      <c r="D2003" s="0" t="s">
        <v>3671</v>
      </c>
      <c r="E2003" s="0" t="n">
        <v>97.9</v>
      </c>
    </row>
    <row r="2004" customFormat="false" ht="15" hidden="false" customHeight="false" outlineLevel="0" collapsed="false">
      <c r="A2004" s="0" t="n">
        <v>43458</v>
      </c>
      <c r="B2004" s="0" t="s">
        <v>5432</v>
      </c>
      <c r="C2004" s="0" t="s">
        <v>1444</v>
      </c>
      <c r="D2004" s="0" t="s">
        <v>3676</v>
      </c>
      <c r="E2004" s="0" t="n">
        <v>0.06</v>
      </c>
    </row>
    <row r="2005" customFormat="false" ht="15" hidden="false" customHeight="false" outlineLevel="0" collapsed="false">
      <c r="A2005" s="0" t="n">
        <v>43470</v>
      </c>
      <c r="B2005" s="0" t="s">
        <v>1424</v>
      </c>
      <c r="C2005" s="0" t="s">
        <v>1416</v>
      </c>
      <c r="D2005" s="0" t="s">
        <v>3676</v>
      </c>
      <c r="E2005" s="0" t="n">
        <v>11.14</v>
      </c>
    </row>
    <row r="2006" customFormat="false" ht="15" hidden="false" customHeight="false" outlineLevel="0" collapsed="false">
      <c r="A2006" s="0" t="n">
        <v>43459</v>
      </c>
      <c r="B2006" s="0" t="s">
        <v>1487</v>
      </c>
      <c r="C2006" s="0" t="s">
        <v>1444</v>
      </c>
      <c r="D2006" s="0" t="s">
        <v>3676</v>
      </c>
      <c r="E2006" s="0" t="n">
        <v>0.44</v>
      </c>
    </row>
    <row r="2007" customFormat="false" ht="15" hidden="false" customHeight="false" outlineLevel="0" collapsed="false">
      <c r="A2007" s="0" t="n">
        <v>43471</v>
      </c>
      <c r="B2007" s="0" t="s">
        <v>5433</v>
      </c>
      <c r="C2007" s="0" t="s">
        <v>1416</v>
      </c>
      <c r="D2007" s="0" t="s">
        <v>3676</v>
      </c>
      <c r="E2007" s="0" t="n">
        <v>82.31</v>
      </c>
    </row>
    <row r="2008" customFormat="false" ht="15" hidden="false" customHeight="false" outlineLevel="0" collapsed="false">
      <c r="A2008" s="0" t="n">
        <v>43460</v>
      </c>
      <c r="B2008" s="0" t="s">
        <v>1524</v>
      </c>
      <c r="C2008" s="0" t="s">
        <v>1444</v>
      </c>
      <c r="D2008" s="0" t="s">
        <v>3676</v>
      </c>
      <c r="E2008" s="0" t="n">
        <v>0.86</v>
      </c>
    </row>
    <row r="2009" customFormat="false" ht="15" hidden="false" customHeight="false" outlineLevel="0" collapsed="false">
      <c r="A2009" s="0" t="n">
        <v>43472</v>
      </c>
      <c r="B2009" s="0" t="s">
        <v>5434</v>
      </c>
      <c r="C2009" s="0" t="s">
        <v>1416</v>
      </c>
      <c r="D2009" s="0" t="s">
        <v>3676</v>
      </c>
      <c r="E2009" s="0" t="n">
        <v>161.73</v>
      </c>
    </row>
    <row r="2010" customFormat="false" ht="15" hidden="false" customHeight="false" outlineLevel="0" collapsed="false">
      <c r="A2010" s="0" t="n">
        <v>43461</v>
      </c>
      <c r="B2010" s="0" t="s">
        <v>1482</v>
      </c>
      <c r="C2010" s="0" t="s">
        <v>1444</v>
      </c>
      <c r="D2010" s="0" t="s">
        <v>3676</v>
      </c>
      <c r="E2010" s="0" t="n">
        <v>0.31</v>
      </c>
    </row>
    <row r="2011" customFormat="false" ht="15" hidden="false" customHeight="false" outlineLevel="0" collapsed="false">
      <c r="A2011" s="0" t="n">
        <v>43473</v>
      </c>
      <c r="B2011" s="0" t="s">
        <v>5435</v>
      </c>
      <c r="C2011" s="0" t="s">
        <v>1416</v>
      </c>
      <c r="D2011" s="0" t="s">
        <v>3676</v>
      </c>
      <c r="E2011" s="0" t="n">
        <v>59.01</v>
      </c>
    </row>
    <row r="2012" customFormat="false" ht="15" hidden="false" customHeight="false" outlineLevel="0" collapsed="false">
      <c r="A2012" s="0" t="n">
        <v>43463</v>
      </c>
      <c r="B2012" s="0" t="s">
        <v>1613</v>
      </c>
      <c r="C2012" s="0" t="s">
        <v>1444</v>
      </c>
      <c r="D2012" s="0" t="s">
        <v>3676</v>
      </c>
      <c r="E2012" s="0" t="n">
        <v>0.08</v>
      </c>
    </row>
    <row r="2013" customFormat="false" ht="15" hidden="false" customHeight="false" outlineLevel="0" collapsed="false">
      <c r="A2013" s="0" t="n">
        <v>43475</v>
      </c>
      <c r="B2013" s="0" t="s">
        <v>1432</v>
      </c>
      <c r="C2013" s="0" t="s">
        <v>1416</v>
      </c>
      <c r="D2013" s="0" t="s">
        <v>3676</v>
      </c>
      <c r="E2013" s="0" t="n">
        <v>15.46</v>
      </c>
    </row>
    <row r="2014" customFormat="false" ht="15" hidden="false" customHeight="false" outlineLevel="0" collapsed="false">
      <c r="A2014" s="0" t="n">
        <v>43462</v>
      </c>
      <c r="B2014" s="0" t="s">
        <v>1614</v>
      </c>
      <c r="C2014" s="0" t="s">
        <v>1444</v>
      </c>
      <c r="D2014" s="0" t="s">
        <v>3676</v>
      </c>
      <c r="E2014" s="0" t="n">
        <v>0.01</v>
      </c>
    </row>
    <row r="2015" customFormat="false" ht="15" hidden="false" customHeight="false" outlineLevel="0" collapsed="false">
      <c r="A2015" s="0" t="n">
        <v>43474</v>
      </c>
      <c r="B2015" s="0" t="s">
        <v>1428</v>
      </c>
      <c r="C2015" s="0" t="s">
        <v>1416</v>
      </c>
      <c r="D2015" s="0" t="s">
        <v>3676</v>
      </c>
      <c r="E2015" s="0" t="n">
        <v>2.35</v>
      </c>
    </row>
    <row r="2016" customFormat="false" ht="15" hidden="false" customHeight="false" outlineLevel="0" collapsed="false">
      <c r="A2016" s="0" t="n">
        <v>43464</v>
      </c>
      <c r="B2016" s="0" t="s">
        <v>1447</v>
      </c>
      <c r="C2016" s="0" t="s">
        <v>1444</v>
      </c>
      <c r="D2016" s="0" t="s">
        <v>3676</v>
      </c>
      <c r="E2016" s="0" t="n">
        <v>0.01</v>
      </c>
    </row>
    <row r="2017" customFormat="false" ht="15" hidden="false" customHeight="false" outlineLevel="0" collapsed="false">
      <c r="A2017" s="0" t="n">
        <v>43476</v>
      </c>
      <c r="B2017" s="0" t="s">
        <v>5436</v>
      </c>
      <c r="C2017" s="0" t="s">
        <v>1416</v>
      </c>
      <c r="D2017" s="0" t="s">
        <v>3676</v>
      </c>
      <c r="E2017" s="0" t="n">
        <v>0.01</v>
      </c>
    </row>
    <row r="2018" customFormat="false" ht="15" hidden="false" customHeight="false" outlineLevel="0" collapsed="false">
      <c r="A2018" s="0" t="n">
        <v>43465</v>
      </c>
      <c r="B2018" s="0" t="s">
        <v>1458</v>
      </c>
      <c r="C2018" s="0" t="s">
        <v>1444</v>
      </c>
      <c r="D2018" s="0" t="s">
        <v>3676</v>
      </c>
      <c r="E2018" s="0" t="n">
        <v>0.78</v>
      </c>
    </row>
    <row r="2019" customFormat="false" ht="15" hidden="false" customHeight="false" outlineLevel="0" collapsed="false">
      <c r="A2019" s="0" t="n">
        <v>43477</v>
      </c>
      <c r="B2019" s="0" t="s">
        <v>5437</v>
      </c>
      <c r="C2019" s="0" t="s">
        <v>1416</v>
      </c>
      <c r="D2019" s="0" t="s">
        <v>3676</v>
      </c>
      <c r="E2019" s="0" t="n">
        <v>147.87</v>
      </c>
    </row>
    <row r="2020" customFormat="false" ht="15" hidden="false" customHeight="false" outlineLevel="0" collapsed="false">
      <c r="A2020" s="0" t="n">
        <v>43466</v>
      </c>
      <c r="B2020" s="0" t="s">
        <v>1509</v>
      </c>
      <c r="C2020" s="0" t="s">
        <v>1444</v>
      </c>
      <c r="D2020" s="0" t="s">
        <v>3676</v>
      </c>
      <c r="E2020" s="0" t="n">
        <v>2.05</v>
      </c>
    </row>
    <row r="2021" customFormat="false" ht="15" hidden="false" customHeight="false" outlineLevel="0" collapsed="false">
      <c r="A2021" s="0" t="n">
        <v>43478</v>
      </c>
      <c r="B2021" s="0" t="s">
        <v>5438</v>
      </c>
      <c r="C2021" s="0" t="s">
        <v>1416</v>
      </c>
      <c r="D2021" s="0" t="s">
        <v>3676</v>
      </c>
      <c r="E2021" s="0" t="n">
        <v>387.36</v>
      </c>
    </row>
    <row r="2022" customFormat="false" ht="15" hidden="false" customHeight="false" outlineLevel="0" collapsed="false">
      <c r="A2022" s="0" t="n">
        <v>43467</v>
      </c>
      <c r="B2022" s="0" t="s">
        <v>1459</v>
      </c>
      <c r="C2022" s="0" t="s">
        <v>1444</v>
      </c>
      <c r="D2022" s="0" t="s">
        <v>3676</v>
      </c>
      <c r="E2022" s="0" t="n">
        <v>0.61</v>
      </c>
    </row>
    <row r="2023" customFormat="false" ht="15" hidden="false" customHeight="false" outlineLevel="0" collapsed="false">
      <c r="A2023" s="0" t="n">
        <v>43479</v>
      </c>
      <c r="B2023" s="0" t="s">
        <v>1438</v>
      </c>
      <c r="C2023" s="0" t="s">
        <v>1416</v>
      </c>
      <c r="D2023" s="0" t="s">
        <v>3676</v>
      </c>
      <c r="E2023" s="0" t="n">
        <v>114.77</v>
      </c>
    </row>
    <row r="2024" customFormat="false" ht="15" hidden="false" customHeight="false" outlineLevel="0" collapsed="false">
      <c r="A2024" s="0" t="n">
        <v>43468</v>
      </c>
      <c r="B2024" s="0" t="s">
        <v>5439</v>
      </c>
      <c r="C2024" s="0" t="s">
        <v>1444</v>
      </c>
      <c r="D2024" s="0" t="s">
        <v>3676</v>
      </c>
      <c r="E2024" s="0" t="n">
        <v>1.21</v>
      </c>
    </row>
    <row r="2025" customFormat="false" ht="15" hidden="false" customHeight="false" outlineLevel="0" collapsed="false">
      <c r="A2025" s="0" t="n">
        <v>43480</v>
      </c>
      <c r="B2025" s="0" t="s">
        <v>5440</v>
      </c>
      <c r="C2025" s="0" t="s">
        <v>1416</v>
      </c>
      <c r="D2025" s="0" t="s">
        <v>3676</v>
      </c>
      <c r="E2025" s="0" t="n">
        <v>228.92</v>
      </c>
    </row>
    <row r="2026" customFormat="false" ht="15" hidden="false" customHeight="false" outlineLevel="0" collapsed="false">
      <c r="A2026" s="0" t="n">
        <v>43469</v>
      </c>
      <c r="B2026" s="0" t="s">
        <v>2934</v>
      </c>
      <c r="C2026" s="0" t="s">
        <v>1444</v>
      </c>
      <c r="D2026" s="0" t="s">
        <v>3676</v>
      </c>
      <c r="E2026" s="0" t="n">
        <v>0.05</v>
      </c>
    </row>
    <row r="2027" customFormat="false" ht="15" hidden="false" customHeight="false" outlineLevel="0" collapsed="false">
      <c r="A2027" s="0" t="n">
        <v>43481</v>
      </c>
      <c r="B2027" s="0" t="s">
        <v>1419</v>
      </c>
      <c r="C2027" s="0" t="s">
        <v>1416</v>
      </c>
      <c r="D2027" s="0" t="s">
        <v>3676</v>
      </c>
      <c r="E2027" s="0" t="n">
        <v>9.89</v>
      </c>
    </row>
    <row r="2028" customFormat="false" ht="15" hidden="false" customHeight="false" outlineLevel="0" collapsed="false">
      <c r="A2028" s="0" t="n">
        <v>3119</v>
      </c>
      <c r="B2028" s="0" t="s">
        <v>5441</v>
      </c>
      <c r="C2028" s="0" t="s">
        <v>31</v>
      </c>
      <c r="D2028" s="0" t="s">
        <v>3671</v>
      </c>
      <c r="E2028" s="0" t="n">
        <v>3.05</v>
      </c>
    </row>
    <row r="2029" customFormat="false" ht="15" hidden="false" customHeight="false" outlineLevel="0" collapsed="false">
      <c r="A2029" s="0" t="n">
        <v>3122</v>
      </c>
      <c r="B2029" s="0" t="s">
        <v>5442</v>
      </c>
      <c r="C2029" s="0" t="s">
        <v>31</v>
      </c>
      <c r="D2029" s="0" t="s">
        <v>3671</v>
      </c>
      <c r="E2029" s="0" t="n">
        <v>6.21</v>
      </c>
    </row>
    <row r="2030" customFormat="false" ht="15" hidden="false" customHeight="false" outlineLevel="0" collapsed="false">
      <c r="A2030" s="0" t="n">
        <v>3121</v>
      </c>
      <c r="B2030" s="0" t="s">
        <v>5443</v>
      </c>
      <c r="C2030" s="0" t="s">
        <v>31</v>
      </c>
      <c r="D2030" s="0" t="s">
        <v>3671</v>
      </c>
      <c r="E2030" s="0" t="n">
        <v>7.04</v>
      </c>
    </row>
    <row r="2031" customFormat="false" ht="15" hidden="false" customHeight="false" outlineLevel="0" collapsed="false">
      <c r="A2031" s="0" t="n">
        <v>3120</v>
      </c>
      <c r="B2031" s="0" t="s">
        <v>5444</v>
      </c>
      <c r="C2031" s="0" t="s">
        <v>31</v>
      </c>
      <c r="D2031" s="0" t="s">
        <v>3671</v>
      </c>
      <c r="E2031" s="0" t="n">
        <v>13.35</v>
      </c>
    </row>
    <row r="2032" customFormat="false" ht="15" hidden="false" customHeight="false" outlineLevel="0" collapsed="false">
      <c r="A2032" s="0" t="n">
        <v>11455</v>
      </c>
      <c r="B2032" s="0" t="s">
        <v>5445</v>
      </c>
      <c r="C2032" s="0" t="s">
        <v>31</v>
      </c>
      <c r="D2032" s="0" t="s">
        <v>3671</v>
      </c>
      <c r="E2032" s="0" t="n">
        <v>19.3</v>
      </c>
    </row>
    <row r="2033" customFormat="false" ht="15" hidden="false" customHeight="false" outlineLevel="0" collapsed="false">
      <c r="A2033" s="0" t="n">
        <v>11456</v>
      </c>
      <c r="B2033" s="0" t="s">
        <v>5446</v>
      </c>
      <c r="C2033" s="0" t="s">
        <v>31</v>
      </c>
      <c r="D2033" s="0" t="s">
        <v>3671</v>
      </c>
      <c r="E2033" s="0" t="n">
        <v>23.08</v>
      </c>
    </row>
    <row r="2034" customFormat="false" ht="15" hidden="false" customHeight="false" outlineLevel="0" collapsed="false">
      <c r="A2034" s="0" t="n">
        <v>3107</v>
      </c>
      <c r="B2034" s="0" t="s">
        <v>5447</v>
      </c>
      <c r="C2034" s="0" t="s">
        <v>31</v>
      </c>
      <c r="D2034" s="0" t="s">
        <v>3671</v>
      </c>
      <c r="E2034" s="0" t="n">
        <v>9.73</v>
      </c>
    </row>
    <row r="2035" customFormat="false" ht="15" hidden="false" customHeight="false" outlineLevel="0" collapsed="false">
      <c r="A2035" s="0" t="n">
        <v>43583</v>
      </c>
      <c r="B2035" s="0" t="s">
        <v>5448</v>
      </c>
      <c r="C2035" s="0" t="s">
        <v>31</v>
      </c>
      <c r="D2035" s="0" t="s">
        <v>3671</v>
      </c>
      <c r="E2035" s="0" t="n">
        <v>10.98</v>
      </c>
    </row>
    <row r="2036" customFormat="false" ht="15" hidden="false" customHeight="false" outlineLevel="0" collapsed="false">
      <c r="A2036" s="0" t="n">
        <v>43586</v>
      </c>
      <c r="B2036" s="0" t="s">
        <v>5449</v>
      </c>
      <c r="C2036" s="0" t="s">
        <v>31</v>
      </c>
      <c r="D2036" s="0" t="s">
        <v>3671</v>
      </c>
      <c r="E2036" s="0" t="n">
        <v>11.25</v>
      </c>
    </row>
    <row r="2037" customFormat="false" ht="15" hidden="false" customHeight="false" outlineLevel="0" collapsed="false">
      <c r="A2037" s="0" t="n">
        <v>11461</v>
      </c>
      <c r="B2037" s="0" t="s">
        <v>5450</v>
      </c>
      <c r="C2037" s="0" t="s">
        <v>31</v>
      </c>
      <c r="D2037" s="0" t="s">
        <v>3671</v>
      </c>
      <c r="E2037" s="0" t="n">
        <v>12.26</v>
      </c>
    </row>
    <row r="2038" customFormat="false" ht="15" hidden="false" customHeight="false" outlineLevel="0" collapsed="false">
      <c r="A2038" s="0" t="n">
        <v>43587</v>
      </c>
      <c r="B2038" s="0" t="s">
        <v>5451</v>
      </c>
      <c r="C2038" s="0" t="s">
        <v>31</v>
      </c>
      <c r="D2038" s="0" t="s">
        <v>3671</v>
      </c>
      <c r="E2038" s="0" t="n">
        <v>14.14</v>
      </c>
    </row>
    <row r="2039" customFormat="false" ht="15" hidden="false" customHeight="false" outlineLevel="0" collapsed="false">
      <c r="A2039" s="0" t="n">
        <v>3106</v>
      </c>
      <c r="B2039" s="0" t="s">
        <v>5452</v>
      </c>
      <c r="C2039" s="0" t="s">
        <v>31</v>
      </c>
      <c r="D2039" s="0" t="s">
        <v>3671</v>
      </c>
      <c r="E2039" s="0" t="n">
        <v>17.95</v>
      </c>
    </row>
    <row r="2040" customFormat="false" ht="15" hidden="false" customHeight="false" outlineLevel="0" collapsed="false">
      <c r="A2040" s="0" t="n">
        <v>44539</v>
      </c>
      <c r="B2040" s="0" t="s">
        <v>5453</v>
      </c>
      <c r="C2040" s="0" t="s">
        <v>1513</v>
      </c>
      <c r="D2040" s="0" t="s">
        <v>3671</v>
      </c>
      <c r="E2040" s="0" t="n">
        <v>2.98</v>
      </c>
    </row>
    <row r="2041" customFormat="false" ht="15" hidden="false" customHeight="false" outlineLevel="0" collapsed="false">
      <c r="A2041" s="0" t="n">
        <v>3123</v>
      </c>
      <c r="B2041" s="0" t="s">
        <v>2884</v>
      </c>
      <c r="C2041" s="0" t="s">
        <v>1513</v>
      </c>
      <c r="D2041" s="0" t="s">
        <v>3676</v>
      </c>
      <c r="E2041" s="0" t="n">
        <v>2.78</v>
      </c>
    </row>
    <row r="2042" customFormat="false" ht="15" hidden="false" customHeight="false" outlineLevel="0" collapsed="false">
      <c r="A2042" s="0" t="n">
        <v>38125</v>
      </c>
      <c r="B2042" s="0" t="s">
        <v>2885</v>
      </c>
      <c r="C2042" s="0" t="s">
        <v>1513</v>
      </c>
      <c r="D2042" s="0" t="s">
        <v>3671</v>
      </c>
      <c r="E2042" s="0" t="n">
        <v>2.1</v>
      </c>
    </row>
    <row r="2043" customFormat="false" ht="15" hidden="false" customHeight="false" outlineLevel="0" collapsed="false">
      <c r="A2043" s="0" t="n">
        <v>39014</v>
      </c>
      <c r="B2043" s="0" t="s">
        <v>2212</v>
      </c>
      <c r="C2043" s="0" t="s">
        <v>1513</v>
      </c>
      <c r="D2043" s="0" t="s">
        <v>3671</v>
      </c>
      <c r="E2043" s="0" t="n">
        <v>9.57</v>
      </c>
    </row>
    <row r="2044" customFormat="false" ht="15" hidden="false" customHeight="false" outlineLevel="0" collapsed="false">
      <c r="A2044" s="0" t="n">
        <v>39365</v>
      </c>
      <c r="B2044" s="0" t="s">
        <v>5454</v>
      </c>
      <c r="C2044" s="0" t="s">
        <v>31</v>
      </c>
      <c r="D2044" s="0" t="s">
        <v>3671</v>
      </c>
      <c r="E2044" s="0" t="n">
        <v>1831.08</v>
      </c>
    </row>
    <row r="2045" customFormat="false" ht="15" hidden="false" customHeight="false" outlineLevel="0" collapsed="false">
      <c r="A2045" s="0" t="n">
        <v>39366</v>
      </c>
      <c r="B2045" s="0" t="s">
        <v>5455</v>
      </c>
      <c r="C2045" s="0" t="s">
        <v>31</v>
      </c>
      <c r="D2045" s="0" t="s">
        <v>3671</v>
      </c>
      <c r="E2045" s="0" t="n">
        <v>2778.05</v>
      </c>
    </row>
    <row r="2046" customFormat="false" ht="15" hidden="false" customHeight="false" outlineLevel="0" collapsed="false">
      <c r="A2046" s="0" t="n">
        <v>39367</v>
      </c>
      <c r="B2046" s="0" t="s">
        <v>5456</v>
      </c>
      <c r="C2046" s="0" t="s">
        <v>31</v>
      </c>
      <c r="D2046" s="0" t="s">
        <v>3671</v>
      </c>
      <c r="E2046" s="0" t="n">
        <v>4760.01</v>
      </c>
    </row>
    <row r="2047" customFormat="false" ht="15" hidden="false" customHeight="false" outlineLevel="0" collapsed="false">
      <c r="A2047" s="0" t="n">
        <v>37394</v>
      </c>
      <c r="B2047" s="0" t="s">
        <v>5457</v>
      </c>
      <c r="C2047" s="0" t="s">
        <v>1576</v>
      </c>
      <c r="D2047" s="0" t="s">
        <v>3671</v>
      </c>
    </row>
    <row r="2048" customFormat="false" ht="15" hidden="false" customHeight="false" outlineLevel="0" collapsed="false">
      <c r="A2048" s="0" t="n">
        <v>14146</v>
      </c>
      <c r="B2048" s="0" t="s">
        <v>5458</v>
      </c>
      <c r="C2048" s="0" t="s">
        <v>1576</v>
      </c>
      <c r="D2048" s="0" t="s">
        <v>3676</v>
      </c>
    </row>
    <row r="2049" customFormat="false" ht="15" hidden="false" customHeight="false" outlineLevel="0" collapsed="false">
      <c r="A2049" s="0" t="n">
        <v>938</v>
      </c>
      <c r="B2049" s="0" t="s">
        <v>5459</v>
      </c>
      <c r="C2049" s="0" t="s">
        <v>1455</v>
      </c>
      <c r="D2049" s="0" t="s">
        <v>3671</v>
      </c>
      <c r="E2049" s="0" t="n">
        <v>1.64</v>
      </c>
    </row>
    <row r="2050" customFormat="false" ht="15" hidden="false" customHeight="false" outlineLevel="0" collapsed="false">
      <c r="A2050" s="0" t="n">
        <v>937</v>
      </c>
      <c r="B2050" s="0" t="s">
        <v>5460</v>
      </c>
      <c r="C2050" s="0" t="s">
        <v>1455</v>
      </c>
      <c r="D2050" s="0" t="s">
        <v>3671</v>
      </c>
      <c r="E2050" s="0" t="n">
        <v>9.59</v>
      </c>
    </row>
    <row r="2051" customFormat="false" ht="15" hidden="false" customHeight="false" outlineLevel="0" collapsed="false">
      <c r="A2051" s="0" t="n">
        <v>939</v>
      </c>
      <c r="B2051" s="0" t="s">
        <v>5461</v>
      </c>
      <c r="C2051" s="0" t="s">
        <v>1455</v>
      </c>
      <c r="D2051" s="0" t="s">
        <v>3671</v>
      </c>
      <c r="E2051" s="0" t="n">
        <v>2.66</v>
      </c>
    </row>
    <row r="2052" customFormat="false" ht="15" hidden="false" customHeight="false" outlineLevel="0" collapsed="false">
      <c r="A2052" s="0" t="n">
        <v>944</v>
      </c>
      <c r="B2052" s="0" t="s">
        <v>5462</v>
      </c>
      <c r="C2052" s="0" t="s">
        <v>1455</v>
      </c>
      <c r="D2052" s="0" t="s">
        <v>3671</v>
      </c>
      <c r="E2052" s="0" t="n">
        <v>4.2</v>
      </c>
    </row>
    <row r="2053" customFormat="false" ht="15" hidden="false" customHeight="false" outlineLevel="0" collapsed="false">
      <c r="A2053" s="0" t="n">
        <v>940</v>
      </c>
      <c r="B2053" s="0" t="s">
        <v>5463</v>
      </c>
      <c r="C2053" s="0" t="s">
        <v>1455</v>
      </c>
      <c r="D2053" s="0" t="s">
        <v>3671</v>
      </c>
      <c r="E2053" s="0" t="n">
        <v>6.07</v>
      </c>
    </row>
    <row r="2054" customFormat="false" ht="15" hidden="false" customHeight="false" outlineLevel="0" collapsed="false">
      <c r="A2054" s="0" t="n">
        <v>44397</v>
      </c>
      <c r="B2054" s="0" t="s">
        <v>2679</v>
      </c>
      <c r="C2054" s="0" t="s">
        <v>1455</v>
      </c>
      <c r="D2054" s="0" t="s">
        <v>3671</v>
      </c>
      <c r="E2054" s="0" t="n">
        <v>3.97</v>
      </c>
    </row>
    <row r="2055" customFormat="false" ht="15" hidden="false" customHeight="false" outlineLevel="0" collapsed="false">
      <c r="A2055" s="0" t="n">
        <v>406</v>
      </c>
      <c r="B2055" s="0" t="s">
        <v>5464</v>
      </c>
      <c r="C2055" s="0" t="s">
        <v>31</v>
      </c>
      <c r="D2055" s="0" t="s">
        <v>3671</v>
      </c>
      <c r="E2055" s="0" t="n">
        <v>83.07</v>
      </c>
    </row>
    <row r="2056" customFormat="false" ht="15" hidden="false" customHeight="false" outlineLevel="0" collapsed="false">
      <c r="A2056" s="0" t="n">
        <v>42529</v>
      </c>
      <c r="B2056" s="0" t="s">
        <v>5465</v>
      </c>
      <c r="C2056" s="0" t="s">
        <v>1455</v>
      </c>
      <c r="D2056" s="0" t="s">
        <v>3671</v>
      </c>
    </row>
    <row r="2057" customFormat="false" ht="15" hidden="false" customHeight="false" outlineLevel="0" collapsed="false">
      <c r="A2057" s="0" t="n">
        <v>39634</v>
      </c>
      <c r="B2057" s="0" t="s">
        <v>5466</v>
      </c>
      <c r="C2057" s="0" t="s">
        <v>1455</v>
      </c>
      <c r="D2057" s="0" t="s">
        <v>3671</v>
      </c>
      <c r="E2057" s="0" t="n">
        <v>7.4</v>
      </c>
    </row>
    <row r="2058" customFormat="false" ht="15" hidden="false" customHeight="false" outlineLevel="0" collapsed="false">
      <c r="A2058" s="0" t="n">
        <v>39701</v>
      </c>
      <c r="B2058" s="0" t="s">
        <v>5467</v>
      </c>
      <c r="C2058" s="0" t="s">
        <v>31</v>
      </c>
      <c r="D2058" s="0" t="s">
        <v>3671</v>
      </c>
      <c r="E2058" s="0" t="n">
        <v>81.29</v>
      </c>
    </row>
    <row r="2059" customFormat="false" ht="15" hidden="false" customHeight="false" outlineLevel="0" collapsed="false">
      <c r="A2059" s="0" t="n">
        <v>12815</v>
      </c>
      <c r="B2059" s="0" t="s">
        <v>1918</v>
      </c>
      <c r="C2059" s="0" t="s">
        <v>31</v>
      </c>
      <c r="D2059" s="0" t="s">
        <v>3671</v>
      </c>
      <c r="E2059" s="0" t="n">
        <v>9.81</v>
      </c>
    </row>
    <row r="2060" customFormat="false" ht="15" hidden="false" customHeight="false" outlineLevel="0" collapsed="false">
      <c r="A2060" s="0" t="n">
        <v>39431</v>
      </c>
      <c r="B2060" s="0" t="s">
        <v>1793</v>
      </c>
      <c r="C2060" s="0" t="s">
        <v>1455</v>
      </c>
      <c r="D2060" s="0" t="s">
        <v>3671</v>
      </c>
      <c r="E2060" s="0" t="n">
        <v>0.3</v>
      </c>
    </row>
    <row r="2061" customFormat="false" ht="15" hidden="false" customHeight="false" outlineLevel="0" collapsed="false">
      <c r="A2061" s="0" t="n">
        <v>39432</v>
      </c>
      <c r="B2061" s="0" t="s">
        <v>1775</v>
      </c>
      <c r="C2061" s="0" t="s">
        <v>1455</v>
      </c>
      <c r="D2061" s="0" t="s">
        <v>3671</v>
      </c>
      <c r="E2061" s="0" t="n">
        <v>2.7</v>
      </c>
    </row>
    <row r="2062" customFormat="false" ht="15" hidden="false" customHeight="false" outlineLevel="0" collapsed="false">
      <c r="A2062" s="0" t="n">
        <v>20111</v>
      </c>
      <c r="B2062" s="0" t="s">
        <v>5468</v>
      </c>
      <c r="C2062" s="0" t="s">
        <v>31</v>
      </c>
      <c r="D2062" s="0" t="s">
        <v>3676</v>
      </c>
      <c r="E2062" s="0" t="n">
        <v>9.25</v>
      </c>
    </row>
    <row r="2063" customFormat="false" ht="15" hidden="false" customHeight="false" outlineLevel="0" collapsed="false">
      <c r="A2063" s="0" t="n">
        <v>21127</v>
      </c>
      <c r="B2063" s="0" t="s">
        <v>1542</v>
      </c>
      <c r="C2063" s="0" t="s">
        <v>31</v>
      </c>
      <c r="D2063" s="0" t="s">
        <v>3671</v>
      </c>
      <c r="E2063" s="0" t="n">
        <v>3.49</v>
      </c>
    </row>
    <row r="2064" customFormat="false" ht="15" hidden="false" customHeight="false" outlineLevel="0" collapsed="false">
      <c r="A2064" s="0" t="n">
        <v>404</v>
      </c>
      <c r="B2064" s="0" t="s">
        <v>5469</v>
      </c>
      <c r="C2064" s="0" t="s">
        <v>1455</v>
      </c>
      <c r="D2064" s="0" t="s">
        <v>3671</v>
      </c>
      <c r="E2064" s="0" t="n">
        <v>1.26</v>
      </c>
    </row>
    <row r="2065" customFormat="false" ht="15" hidden="false" customHeight="false" outlineLevel="0" collapsed="false">
      <c r="A2065" s="0" t="n">
        <v>14151</v>
      </c>
      <c r="B2065" s="0" t="s">
        <v>5470</v>
      </c>
      <c r="C2065" s="0" t="s">
        <v>31</v>
      </c>
      <c r="D2065" s="0" t="s">
        <v>3671</v>
      </c>
    </row>
    <row r="2066" customFormat="false" ht="15" hidden="false" customHeight="false" outlineLevel="0" collapsed="false">
      <c r="A2066" s="0" t="n">
        <v>14153</v>
      </c>
      <c r="B2066" s="0" t="s">
        <v>2872</v>
      </c>
      <c r="C2066" s="0" t="s">
        <v>31</v>
      </c>
      <c r="D2066" s="0" t="s">
        <v>3671</v>
      </c>
    </row>
    <row r="2067" customFormat="false" ht="15" hidden="false" customHeight="false" outlineLevel="0" collapsed="false">
      <c r="A2067" s="0" t="n">
        <v>14152</v>
      </c>
      <c r="B2067" s="0" t="s">
        <v>5471</v>
      </c>
      <c r="C2067" s="0" t="s">
        <v>31</v>
      </c>
      <c r="D2067" s="0" t="s">
        <v>3671</v>
      </c>
    </row>
    <row r="2068" customFormat="false" ht="15" hidden="false" customHeight="false" outlineLevel="0" collapsed="false">
      <c r="A2068" s="0" t="n">
        <v>14154</v>
      </c>
      <c r="B2068" s="0" t="s">
        <v>5472</v>
      </c>
      <c r="C2068" s="0" t="s">
        <v>31</v>
      </c>
      <c r="D2068" s="0" t="s">
        <v>3671</v>
      </c>
    </row>
    <row r="2069" customFormat="false" ht="15" hidden="false" customHeight="false" outlineLevel="0" collapsed="false">
      <c r="A2069" s="0" t="n">
        <v>3143</v>
      </c>
      <c r="B2069" s="0" t="s">
        <v>5473</v>
      </c>
      <c r="C2069" s="0" t="s">
        <v>31</v>
      </c>
      <c r="D2069" s="0" t="s">
        <v>3671</v>
      </c>
      <c r="E2069" s="0" t="n">
        <v>8.64</v>
      </c>
    </row>
    <row r="2070" customFormat="false" ht="15" hidden="false" customHeight="false" outlineLevel="0" collapsed="false">
      <c r="A2070" s="0" t="n">
        <v>3146</v>
      </c>
      <c r="B2070" s="0" t="s">
        <v>2016</v>
      </c>
      <c r="C2070" s="0" t="s">
        <v>31</v>
      </c>
      <c r="D2070" s="0" t="s">
        <v>3676</v>
      </c>
      <c r="E2070" s="0" t="n">
        <v>3.8</v>
      </c>
    </row>
    <row r="2071" customFormat="false" ht="15" hidden="false" customHeight="false" outlineLevel="0" collapsed="false">
      <c r="A2071" s="0" t="n">
        <v>3148</v>
      </c>
      <c r="B2071" s="0" t="s">
        <v>2085</v>
      </c>
      <c r="C2071" s="0" t="s">
        <v>31</v>
      </c>
      <c r="D2071" s="0" t="s">
        <v>3671</v>
      </c>
      <c r="E2071" s="0" t="n">
        <v>14.01</v>
      </c>
    </row>
    <row r="2072" customFormat="false" ht="15" hidden="false" customHeight="false" outlineLevel="0" collapsed="false">
      <c r="A2072" s="0" t="n">
        <v>4310</v>
      </c>
      <c r="B2072" s="0" t="s">
        <v>5474</v>
      </c>
      <c r="C2072" s="0" t="s">
        <v>31</v>
      </c>
      <c r="D2072" s="0" t="s">
        <v>3671</v>
      </c>
      <c r="E2072" s="0" t="n">
        <v>2.47</v>
      </c>
    </row>
    <row r="2073" customFormat="false" ht="15" hidden="false" customHeight="false" outlineLevel="0" collapsed="false">
      <c r="A2073" s="0" t="n">
        <v>4311</v>
      </c>
      <c r="B2073" s="0" t="s">
        <v>5475</v>
      </c>
      <c r="C2073" s="0" t="s">
        <v>31</v>
      </c>
      <c r="D2073" s="0" t="s">
        <v>3671</v>
      </c>
      <c r="E2073" s="0" t="n">
        <v>1.74</v>
      </c>
    </row>
    <row r="2074" customFormat="false" ht="15" hidden="false" customHeight="false" outlineLevel="0" collapsed="false">
      <c r="A2074" s="0" t="n">
        <v>4312</v>
      </c>
      <c r="B2074" s="0" t="s">
        <v>5476</v>
      </c>
      <c r="C2074" s="0" t="s">
        <v>31</v>
      </c>
      <c r="D2074" s="0" t="s">
        <v>3671</v>
      </c>
      <c r="E2074" s="0" t="n">
        <v>2.44</v>
      </c>
    </row>
    <row r="2075" customFormat="false" ht="15" hidden="false" customHeight="false" outlineLevel="0" collapsed="false">
      <c r="A2075" s="0" t="n">
        <v>13261</v>
      </c>
      <c r="B2075" s="0" t="s">
        <v>5477</v>
      </c>
      <c r="C2075" s="0" t="s">
        <v>31</v>
      </c>
      <c r="D2075" s="0" t="s">
        <v>3671</v>
      </c>
      <c r="E2075" s="0" t="n">
        <v>3.55</v>
      </c>
    </row>
    <row r="2076" customFormat="false" ht="15" hidden="false" customHeight="false" outlineLevel="0" collapsed="false">
      <c r="A2076" s="0" t="n">
        <v>3272</v>
      </c>
      <c r="B2076" s="0" t="s">
        <v>5478</v>
      </c>
      <c r="C2076" s="0" t="s">
        <v>31</v>
      </c>
      <c r="D2076" s="0" t="s">
        <v>3671</v>
      </c>
    </row>
    <row r="2077" customFormat="false" ht="15" hidden="false" customHeight="false" outlineLevel="0" collapsed="false">
      <c r="A2077" s="0" t="n">
        <v>3265</v>
      </c>
      <c r="B2077" s="0" t="s">
        <v>5479</v>
      </c>
      <c r="C2077" s="0" t="s">
        <v>31</v>
      </c>
      <c r="D2077" s="0" t="s">
        <v>3671</v>
      </c>
    </row>
    <row r="2078" customFormat="false" ht="15" hidden="false" customHeight="false" outlineLevel="0" collapsed="false">
      <c r="A2078" s="0" t="n">
        <v>3264</v>
      </c>
      <c r="B2078" s="0" t="s">
        <v>5480</v>
      </c>
      <c r="C2078" s="0" t="s">
        <v>31</v>
      </c>
      <c r="D2078" s="0" t="s">
        <v>3671</v>
      </c>
    </row>
    <row r="2079" customFormat="false" ht="15" hidden="false" customHeight="false" outlineLevel="0" collapsed="false">
      <c r="A2079" s="0" t="n">
        <v>3262</v>
      </c>
      <c r="B2079" s="0" t="s">
        <v>5481</v>
      </c>
      <c r="C2079" s="0" t="s">
        <v>31</v>
      </c>
      <c r="D2079" s="0" t="s">
        <v>3671</v>
      </c>
    </row>
    <row r="2080" customFormat="false" ht="15" hidden="false" customHeight="false" outlineLevel="0" collapsed="false">
      <c r="A2080" s="0" t="n">
        <v>3267</v>
      </c>
      <c r="B2080" s="0" t="s">
        <v>5482</v>
      </c>
      <c r="C2080" s="0" t="s">
        <v>31</v>
      </c>
      <c r="D2080" s="0" t="s">
        <v>3671</v>
      </c>
    </row>
    <row r="2081" customFormat="false" ht="15" hidden="false" customHeight="false" outlineLevel="0" collapsed="false">
      <c r="A2081" s="0" t="n">
        <v>3266</v>
      </c>
      <c r="B2081" s="0" t="s">
        <v>5483</v>
      </c>
      <c r="C2081" s="0" t="s">
        <v>31</v>
      </c>
      <c r="D2081" s="0" t="s">
        <v>3671</v>
      </c>
    </row>
    <row r="2082" customFormat="false" ht="15" hidden="false" customHeight="false" outlineLevel="0" collapsed="false">
      <c r="A2082" s="0" t="n">
        <v>3268</v>
      </c>
      <c r="B2082" s="0" t="s">
        <v>2720</v>
      </c>
      <c r="C2082" s="0" t="s">
        <v>31</v>
      </c>
      <c r="D2082" s="0" t="s">
        <v>3671</v>
      </c>
    </row>
    <row r="2083" customFormat="false" ht="15" hidden="false" customHeight="false" outlineLevel="0" collapsed="false">
      <c r="A2083" s="0" t="n">
        <v>3263</v>
      </c>
      <c r="B2083" s="0" t="s">
        <v>5484</v>
      </c>
      <c r="C2083" s="0" t="s">
        <v>31</v>
      </c>
      <c r="D2083" s="0" t="s">
        <v>3671</v>
      </c>
    </row>
    <row r="2084" customFormat="false" ht="15" hidden="false" customHeight="false" outlineLevel="0" collapsed="false">
      <c r="A2084" s="0" t="n">
        <v>3271</v>
      </c>
      <c r="B2084" s="0" t="s">
        <v>5485</v>
      </c>
      <c r="C2084" s="0" t="s">
        <v>31</v>
      </c>
      <c r="D2084" s="0" t="s">
        <v>3671</v>
      </c>
    </row>
    <row r="2085" customFormat="false" ht="15" hidden="false" customHeight="false" outlineLevel="0" collapsed="false">
      <c r="A2085" s="0" t="n">
        <v>3270</v>
      </c>
      <c r="B2085" s="0" t="s">
        <v>5486</v>
      </c>
      <c r="C2085" s="0" t="s">
        <v>31</v>
      </c>
      <c r="D2085" s="0" t="s">
        <v>3671</v>
      </c>
    </row>
    <row r="2086" customFormat="false" ht="15" hidden="false" customHeight="false" outlineLevel="0" collapsed="false">
      <c r="A2086" s="0" t="n">
        <v>3275</v>
      </c>
      <c r="B2086" s="0" t="s">
        <v>5487</v>
      </c>
      <c r="C2086" s="0" t="s">
        <v>1477</v>
      </c>
      <c r="D2086" s="0" t="s">
        <v>3671</v>
      </c>
      <c r="E2086" s="0" t="n">
        <v>97.48</v>
      </c>
    </row>
    <row r="2087" customFormat="false" ht="15" hidden="false" customHeight="false" outlineLevel="0" collapsed="false">
      <c r="A2087" s="0" t="n">
        <v>39512</v>
      </c>
      <c r="B2087" s="0" t="s">
        <v>5488</v>
      </c>
      <c r="C2087" s="0" t="s">
        <v>1477</v>
      </c>
      <c r="D2087" s="0" t="s">
        <v>3671</v>
      </c>
    </row>
    <row r="2088" customFormat="false" ht="15" hidden="false" customHeight="false" outlineLevel="0" collapsed="false">
      <c r="A2088" s="0" t="n">
        <v>39511</v>
      </c>
      <c r="B2088" s="0" t="s">
        <v>5489</v>
      </c>
      <c r="C2088" s="0" t="s">
        <v>1477</v>
      </c>
      <c r="D2088" s="0" t="s">
        <v>3671</v>
      </c>
    </row>
    <row r="2089" customFormat="false" ht="15" hidden="false" customHeight="false" outlineLevel="0" collapsed="false">
      <c r="A2089" s="0" t="n">
        <v>39513</v>
      </c>
      <c r="B2089" s="0" t="s">
        <v>5490</v>
      </c>
      <c r="C2089" s="0" t="s">
        <v>1477</v>
      </c>
      <c r="D2089" s="0" t="s">
        <v>3671</v>
      </c>
    </row>
    <row r="2090" customFormat="false" ht="15" hidden="false" customHeight="false" outlineLevel="0" collapsed="false">
      <c r="A2090" s="0" t="n">
        <v>3286</v>
      </c>
      <c r="B2090" s="0" t="s">
        <v>5491</v>
      </c>
      <c r="C2090" s="0" t="s">
        <v>1477</v>
      </c>
      <c r="D2090" s="0" t="s">
        <v>3671</v>
      </c>
      <c r="E2090" s="0" t="n">
        <v>158.82</v>
      </c>
    </row>
    <row r="2091" customFormat="false" ht="15" hidden="false" customHeight="false" outlineLevel="0" collapsed="false">
      <c r="A2091" s="0" t="n">
        <v>3287</v>
      </c>
      <c r="B2091" s="0" t="s">
        <v>5492</v>
      </c>
      <c r="C2091" s="0" t="s">
        <v>1477</v>
      </c>
      <c r="D2091" s="0" t="s">
        <v>3671</v>
      </c>
      <c r="E2091" s="0" t="n">
        <v>240</v>
      </c>
    </row>
    <row r="2092" customFormat="false" ht="15" hidden="false" customHeight="false" outlineLevel="0" collapsed="false">
      <c r="A2092" s="0" t="n">
        <v>3283</v>
      </c>
      <c r="B2092" s="0" t="s">
        <v>5493</v>
      </c>
      <c r="C2092" s="0" t="s">
        <v>1477</v>
      </c>
      <c r="D2092" s="0" t="s">
        <v>3671</v>
      </c>
      <c r="E2092" s="0" t="n">
        <v>50.41</v>
      </c>
    </row>
    <row r="2093" customFormat="false" ht="15" hidden="false" customHeight="false" outlineLevel="0" collapsed="false">
      <c r="A2093" s="0" t="n">
        <v>11587</v>
      </c>
      <c r="B2093" s="0" t="s">
        <v>5494</v>
      </c>
      <c r="C2093" s="0" t="s">
        <v>1477</v>
      </c>
      <c r="D2093" s="0" t="s">
        <v>3671</v>
      </c>
      <c r="E2093" s="0" t="n">
        <v>66.84</v>
      </c>
    </row>
    <row r="2094" customFormat="false" ht="15" hidden="false" customHeight="false" outlineLevel="0" collapsed="false">
      <c r="A2094" s="0" t="n">
        <v>36225</v>
      </c>
      <c r="B2094" s="0" t="s">
        <v>5495</v>
      </c>
      <c r="C2094" s="0" t="s">
        <v>1477</v>
      </c>
      <c r="D2094" s="0" t="s">
        <v>3671</v>
      </c>
      <c r="E2094" s="0" t="n">
        <v>27.15</v>
      </c>
    </row>
    <row r="2095" customFormat="false" ht="15" hidden="false" customHeight="false" outlineLevel="0" collapsed="false">
      <c r="A2095" s="0" t="n">
        <v>36230</v>
      </c>
      <c r="B2095" s="0" t="s">
        <v>5496</v>
      </c>
      <c r="C2095" s="0" t="s">
        <v>1477</v>
      </c>
      <c r="D2095" s="0" t="s">
        <v>3676</v>
      </c>
      <c r="E2095" s="0" t="n">
        <v>19.95</v>
      </c>
    </row>
    <row r="2096" customFormat="false" ht="15" hidden="false" customHeight="false" outlineLevel="0" collapsed="false">
      <c r="A2096" s="0" t="n">
        <v>36238</v>
      </c>
      <c r="B2096" s="0" t="s">
        <v>5497</v>
      </c>
      <c r="C2096" s="0" t="s">
        <v>1477</v>
      </c>
      <c r="D2096" s="0" t="s">
        <v>3671</v>
      </c>
      <c r="E2096" s="0" t="n">
        <v>19.49</v>
      </c>
    </row>
    <row r="2097" customFormat="false" ht="15" hidden="false" customHeight="false" outlineLevel="0" collapsed="false">
      <c r="A2097" s="0" t="n">
        <v>39363</v>
      </c>
      <c r="B2097" s="0" t="s">
        <v>5498</v>
      </c>
      <c r="C2097" s="0" t="s">
        <v>31</v>
      </c>
      <c r="D2097" s="0" t="s">
        <v>3671</v>
      </c>
      <c r="E2097" s="0" t="n">
        <v>5397.41</v>
      </c>
    </row>
    <row r="2098" customFormat="false" ht="15" hidden="false" customHeight="false" outlineLevel="0" collapsed="false">
      <c r="A2098" s="0" t="n">
        <v>39361</v>
      </c>
      <c r="B2098" s="0" t="s">
        <v>5499</v>
      </c>
      <c r="C2098" s="0" t="s">
        <v>31</v>
      </c>
      <c r="D2098" s="0" t="s">
        <v>3671</v>
      </c>
      <c r="E2098" s="0" t="n">
        <v>1648.94</v>
      </c>
    </row>
    <row r="2099" customFormat="false" ht="15" hidden="false" customHeight="false" outlineLevel="0" collapsed="false">
      <c r="A2099" s="0" t="n">
        <v>39362</v>
      </c>
      <c r="B2099" s="0" t="s">
        <v>5500</v>
      </c>
      <c r="C2099" s="0" t="s">
        <v>31</v>
      </c>
      <c r="D2099" s="0" t="s">
        <v>3671</v>
      </c>
      <c r="E2099" s="0" t="n">
        <v>2912.95</v>
      </c>
    </row>
    <row r="2100" customFormat="false" ht="15" hidden="false" customHeight="false" outlineLevel="0" collapsed="false">
      <c r="A2100" s="0" t="n">
        <v>39364</v>
      </c>
      <c r="B2100" s="0" t="s">
        <v>5501</v>
      </c>
      <c r="C2100" s="0" t="s">
        <v>31</v>
      </c>
      <c r="D2100" s="0" t="s">
        <v>3671</v>
      </c>
      <c r="E2100" s="0" t="n">
        <v>11384.56</v>
      </c>
    </row>
    <row r="2101" customFormat="false" ht="15" hidden="false" customHeight="false" outlineLevel="0" collapsed="false">
      <c r="A2101" s="0" t="n">
        <v>14576</v>
      </c>
      <c r="B2101" s="0" t="s">
        <v>5502</v>
      </c>
      <c r="C2101" s="0" t="s">
        <v>31</v>
      </c>
      <c r="D2101" s="0" t="s">
        <v>3671</v>
      </c>
    </row>
    <row r="2102" customFormat="false" ht="15" hidden="false" customHeight="false" outlineLevel="0" collapsed="false">
      <c r="A2102" s="0" t="n">
        <v>13877</v>
      </c>
      <c r="B2102" s="0" t="s">
        <v>5503</v>
      </c>
      <c r="C2102" s="0" t="s">
        <v>31</v>
      </c>
      <c r="D2102" s="0" t="s">
        <v>3671</v>
      </c>
    </row>
    <row r="2103" customFormat="false" ht="15" hidden="false" customHeight="false" outlineLevel="0" collapsed="false">
      <c r="A2103" s="0" t="n">
        <v>7307</v>
      </c>
      <c r="B2103" s="0" t="s">
        <v>1733</v>
      </c>
      <c r="C2103" s="0" t="s">
        <v>1452</v>
      </c>
      <c r="D2103" s="0" t="s">
        <v>3671</v>
      </c>
      <c r="E2103" s="0" t="n">
        <v>43.33</v>
      </c>
    </row>
    <row r="2104" customFormat="false" ht="15" hidden="false" customHeight="false" outlineLevel="0" collapsed="false">
      <c r="A2104" s="0" t="n">
        <v>38122</v>
      </c>
      <c r="B2104" s="0" t="s">
        <v>5504</v>
      </c>
      <c r="C2104" s="0" t="s">
        <v>1452</v>
      </c>
      <c r="D2104" s="0" t="s">
        <v>3671</v>
      </c>
      <c r="E2104" s="0" t="n">
        <v>20.76</v>
      </c>
    </row>
    <row r="2105" customFormat="false" ht="15" hidden="false" customHeight="false" outlineLevel="0" collapsed="false">
      <c r="A2105" s="0" t="n">
        <v>43653</v>
      </c>
      <c r="B2105" s="0" t="s">
        <v>5505</v>
      </c>
      <c r="C2105" s="0" t="s">
        <v>1452</v>
      </c>
      <c r="D2105" s="0" t="s">
        <v>3671</v>
      </c>
      <c r="E2105" s="0" t="n">
        <v>23.7</v>
      </c>
    </row>
    <row r="2106" customFormat="false" ht="15" hidden="false" customHeight="false" outlineLevel="0" collapsed="false">
      <c r="A2106" s="0" t="n">
        <v>12344</v>
      </c>
      <c r="B2106" s="0" t="s">
        <v>5506</v>
      </c>
      <c r="C2106" s="0" t="s">
        <v>31</v>
      </c>
      <c r="D2106" s="0" t="s">
        <v>3671</v>
      </c>
      <c r="E2106" s="0" t="n">
        <v>3.85</v>
      </c>
    </row>
    <row r="2107" customFormat="false" ht="15" hidden="false" customHeight="false" outlineLevel="0" collapsed="false">
      <c r="A2107" s="0" t="n">
        <v>12343</v>
      </c>
      <c r="B2107" s="0" t="s">
        <v>5507</v>
      </c>
      <c r="C2107" s="0" t="s">
        <v>31</v>
      </c>
      <c r="D2107" s="0" t="s">
        <v>3671</v>
      </c>
      <c r="E2107" s="0" t="n">
        <v>5.97</v>
      </c>
    </row>
    <row r="2108" customFormat="false" ht="15" hidden="false" customHeight="false" outlineLevel="0" collapsed="false">
      <c r="A2108" s="0" t="n">
        <v>3295</v>
      </c>
      <c r="B2108" s="0" t="s">
        <v>5508</v>
      </c>
      <c r="C2108" s="0" t="s">
        <v>31</v>
      </c>
      <c r="D2108" s="0" t="s">
        <v>3671</v>
      </c>
      <c r="E2108" s="0" t="n">
        <v>20.84</v>
      </c>
    </row>
    <row r="2109" customFormat="false" ht="15" hidden="false" customHeight="false" outlineLevel="0" collapsed="false">
      <c r="A2109" s="0" t="n">
        <v>3302</v>
      </c>
      <c r="B2109" s="0" t="s">
        <v>5509</v>
      </c>
      <c r="C2109" s="0" t="s">
        <v>31</v>
      </c>
      <c r="D2109" s="0" t="s">
        <v>3671</v>
      </c>
      <c r="E2109" s="0" t="n">
        <v>21.79</v>
      </c>
    </row>
    <row r="2110" customFormat="false" ht="15" hidden="false" customHeight="false" outlineLevel="0" collapsed="false">
      <c r="A2110" s="0" t="n">
        <v>3297</v>
      </c>
      <c r="B2110" s="0" t="s">
        <v>5510</v>
      </c>
      <c r="C2110" s="0" t="s">
        <v>31</v>
      </c>
      <c r="D2110" s="0" t="s">
        <v>3671</v>
      </c>
      <c r="E2110" s="0" t="n">
        <v>23.26</v>
      </c>
    </row>
    <row r="2111" customFormat="false" ht="15" hidden="false" customHeight="false" outlineLevel="0" collapsed="false">
      <c r="A2111" s="0" t="n">
        <v>3294</v>
      </c>
      <c r="B2111" s="0" t="s">
        <v>5511</v>
      </c>
      <c r="C2111" s="0" t="s">
        <v>31</v>
      </c>
      <c r="D2111" s="0" t="s">
        <v>3671</v>
      </c>
      <c r="E2111" s="0" t="n">
        <v>23.62</v>
      </c>
    </row>
    <row r="2112" customFormat="false" ht="15" hidden="false" customHeight="false" outlineLevel="0" collapsed="false">
      <c r="A2112" s="0" t="n">
        <v>3292</v>
      </c>
      <c r="B2112" s="0" t="s">
        <v>5512</v>
      </c>
      <c r="C2112" s="0" t="s">
        <v>31</v>
      </c>
      <c r="D2112" s="0" t="s">
        <v>3676</v>
      </c>
      <c r="E2112" s="0" t="n">
        <v>22.19</v>
      </c>
    </row>
    <row r="2113" customFormat="false" ht="15" hidden="false" customHeight="false" outlineLevel="0" collapsed="false">
      <c r="A2113" s="0" t="n">
        <v>3298</v>
      </c>
      <c r="B2113" s="0" t="s">
        <v>5513</v>
      </c>
      <c r="C2113" s="0" t="s">
        <v>31</v>
      </c>
      <c r="D2113" s="0" t="s">
        <v>3671</v>
      </c>
      <c r="E2113" s="0" t="n">
        <v>52</v>
      </c>
    </row>
    <row r="2114" customFormat="false" ht="15" hidden="false" customHeight="false" outlineLevel="0" collapsed="false">
      <c r="A2114" s="0" t="n">
        <v>34802</v>
      </c>
      <c r="B2114" s="0" t="s">
        <v>5514</v>
      </c>
      <c r="C2114" s="0" t="s">
        <v>31</v>
      </c>
      <c r="D2114" s="0" t="s">
        <v>3671</v>
      </c>
      <c r="E2114" s="0" t="n">
        <v>1632.52</v>
      </c>
    </row>
    <row r="2115" customFormat="false" ht="15" hidden="false" customHeight="false" outlineLevel="0" collapsed="false">
      <c r="A2115" s="0" t="n">
        <v>11588</v>
      </c>
      <c r="B2115" s="0" t="s">
        <v>5515</v>
      </c>
      <c r="C2115" s="0" t="s">
        <v>31</v>
      </c>
      <c r="D2115" s="0" t="s">
        <v>3671</v>
      </c>
      <c r="E2115" s="0" t="n">
        <v>1761.23</v>
      </c>
    </row>
    <row r="2116" customFormat="false" ht="15" hidden="false" customHeight="false" outlineLevel="0" collapsed="false">
      <c r="A2116" s="0" t="n">
        <v>34383</v>
      </c>
      <c r="B2116" s="0" t="s">
        <v>5516</v>
      </c>
      <c r="C2116" s="0" t="s">
        <v>31</v>
      </c>
      <c r="D2116" s="0" t="s">
        <v>3671</v>
      </c>
      <c r="E2116" s="0" t="n">
        <v>1937.48</v>
      </c>
    </row>
    <row r="2117" customFormat="false" ht="15" hidden="false" customHeight="false" outlineLevel="0" collapsed="false">
      <c r="A2117" s="0" t="n">
        <v>40451</v>
      </c>
      <c r="B2117" s="0" t="s">
        <v>5517</v>
      </c>
      <c r="C2117" s="0" t="s">
        <v>1477</v>
      </c>
      <c r="D2117" s="0" t="s">
        <v>3671</v>
      </c>
      <c r="E2117" s="0" t="n">
        <v>156.61</v>
      </c>
    </row>
    <row r="2118" customFormat="false" ht="15" hidden="false" customHeight="false" outlineLevel="0" collapsed="false">
      <c r="A2118" s="0" t="n">
        <v>40453</v>
      </c>
      <c r="B2118" s="0" t="s">
        <v>5518</v>
      </c>
      <c r="C2118" s="0" t="s">
        <v>1477</v>
      </c>
      <c r="D2118" s="0" t="s">
        <v>3671</v>
      </c>
      <c r="E2118" s="0" t="n">
        <v>169.45</v>
      </c>
    </row>
    <row r="2119" customFormat="false" ht="15" hidden="false" customHeight="false" outlineLevel="0" collapsed="false">
      <c r="A2119" s="0" t="n">
        <v>40452</v>
      </c>
      <c r="B2119" s="0" t="s">
        <v>5519</v>
      </c>
      <c r="C2119" s="0" t="s">
        <v>1477</v>
      </c>
      <c r="D2119" s="0" t="s">
        <v>3671</v>
      </c>
      <c r="E2119" s="0" t="n">
        <v>185.87</v>
      </c>
    </row>
    <row r="2120" customFormat="false" ht="15" hidden="false" customHeight="false" outlineLevel="0" collapsed="false">
      <c r="A2120" s="0" t="n">
        <v>11594</v>
      </c>
      <c r="B2120" s="0" t="s">
        <v>5520</v>
      </c>
      <c r="C2120" s="0" t="s">
        <v>31</v>
      </c>
      <c r="D2120" s="0" t="s">
        <v>3671</v>
      </c>
      <c r="E2120" s="0" t="n">
        <v>561.35</v>
      </c>
    </row>
    <row r="2121" customFormat="false" ht="15" hidden="false" customHeight="false" outlineLevel="0" collapsed="false">
      <c r="A2121" s="0" t="n">
        <v>3311</v>
      </c>
      <c r="B2121" s="0" t="s">
        <v>5521</v>
      </c>
      <c r="C2121" s="0" t="s">
        <v>1442</v>
      </c>
      <c r="D2121" s="0" t="s">
        <v>3671</v>
      </c>
      <c r="E2121" s="0" t="n">
        <v>561.35</v>
      </c>
    </row>
    <row r="2122" customFormat="false" ht="15" hidden="false" customHeight="false" outlineLevel="0" collapsed="false">
      <c r="A2122" s="0" t="n">
        <v>11599</v>
      </c>
      <c r="B2122" s="0" t="s">
        <v>5522</v>
      </c>
      <c r="C2122" s="0" t="s">
        <v>31</v>
      </c>
      <c r="D2122" s="0" t="s">
        <v>3671</v>
      </c>
      <c r="E2122" s="0" t="n">
        <v>746.53</v>
      </c>
    </row>
    <row r="2123" customFormat="false" ht="15" hidden="false" customHeight="false" outlineLevel="0" collapsed="false">
      <c r="A2123" s="0" t="n">
        <v>11593</v>
      </c>
      <c r="B2123" s="0" t="s">
        <v>5523</v>
      </c>
      <c r="C2123" s="0" t="s">
        <v>31</v>
      </c>
      <c r="D2123" s="0" t="s">
        <v>3671</v>
      </c>
      <c r="E2123" s="0" t="n">
        <v>1046.6</v>
      </c>
    </row>
    <row r="2124" customFormat="false" ht="15" hidden="false" customHeight="false" outlineLevel="0" collapsed="false">
      <c r="A2124" s="0" t="n">
        <v>3314</v>
      </c>
      <c r="B2124" s="0" t="s">
        <v>5524</v>
      </c>
      <c r="C2124" s="0" t="s">
        <v>1442</v>
      </c>
      <c r="D2124" s="0" t="s">
        <v>3671</v>
      </c>
      <c r="E2124" s="0" t="n">
        <v>748.53</v>
      </c>
    </row>
    <row r="2125" customFormat="false" ht="15" hidden="false" customHeight="false" outlineLevel="0" collapsed="false">
      <c r="A2125" s="0" t="n">
        <v>11597</v>
      </c>
      <c r="B2125" s="0" t="s">
        <v>5525</v>
      </c>
      <c r="C2125" s="0" t="s">
        <v>31</v>
      </c>
      <c r="D2125" s="0" t="s">
        <v>3671</v>
      </c>
      <c r="E2125" s="0" t="n">
        <v>870.45</v>
      </c>
    </row>
    <row r="2126" customFormat="false" ht="15" hidden="false" customHeight="false" outlineLevel="0" collapsed="false">
      <c r="A2126" s="0" t="n">
        <v>3309</v>
      </c>
      <c r="B2126" s="0" t="s">
        <v>5526</v>
      </c>
      <c r="C2126" s="0" t="s">
        <v>1442</v>
      </c>
      <c r="D2126" s="0" t="s">
        <v>3671</v>
      </c>
      <c r="E2126" s="0" t="n">
        <v>594.44</v>
      </c>
    </row>
    <row r="2127" customFormat="false" ht="15" hidden="false" customHeight="false" outlineLevel="0" collapsed="false">
      <c r="A2127" s="0" t="n">
        <v>40440</v>
      </c>
      <c r="B2127" s="0" t="s">
        <v>5527</v>
      </c>
      <c r="C2127" s="0" t="s">
        <v>1442</v>
      </c>
      <c r="D2127" s="0" t="s">
        <v>3671</v>
      </c>
      <c r="E2127" s="0" t="n">
        <v>779.67</v>
      </c>
    </row>
    <row r="2128" customFormat="false" ht="15" hidden="false" customHeight="false" outlineLevel="0" collapsed="false">
      <c r="A2128" s="0" t="n">
        <v>40441</v>
      </c>
      <c r="B2128" s="0" t="s">
        <v>5528</v>
      </c>
      <c r="C2128" s="0" t="s">
        <v>1442</v>
      </c>
      <c r="D2128" s="0" t="s">
        <v>3671</v>
      </c>
      <c r="E2128" s="0" t="n">
        <v>497.77</v>
      </c>
    </row>
    <row r="2129" customFormat="false" ht="15" hidden="false" customHeight="false" outlineLevel="0" collapsed="false">
      <c r="A2129" s="0" t="n">
        <v>34612</v>
      </c>
      <c r="B2129" s="0" t="s">
        <v>5529</v>
      </c>
      <c r="C2129" s="0" t="s">
        <v>31</v>
      </c>
      <c r="D2129" s="0" t="s">
        <v>3671</v>
      </c>
      <c r="E2129" s="0" t="n">
        <v>1076.59</v>
      </c>
    </row>
    <row r="2130" customFormat="false" ht="15" hidden="false" customHeight="false" outlineLevel="0" collapsed="false">
      <c r="A2130" s="0" t="n">
        <v>34635</v>
      </c>
      <c r="B2130" s="0" t="s">
        <v>5530</v>
      </c>
      <c r="C2130" s="0" t="s">
        <v>31</v>
      </c>
      <c r="D2130" s="0" t="s">
        <v>3671</v>
      </c>
      <c r="E2130" s="0" t="n">
        <v>1384.45</v>
      </c>
    </row>
    <row r="2131" customFormat="false" ht="15" hidden="false" customHeight="false" outlineLevel="0" collapsed="false">
      <c r="A2131" s="0" t="n">
        <v>34633</v>
      </c>
      <c r="B2131" s="0" t="s">
        <v>5531</v>
      </c>
      <c r="C2131" s="0" t="s">
        <v>31</v>
      </c>
      <c r="D2131" s="0" t="s">
        <v>3671</v>
      </c>
      <c r="E2131" s="0" t="n">
        <v>1526.02</v>
      </c>
    </row>
    <row r="2132" customFormat="false" ht="15" hidden="false" customHeight="false" outlineLevel="0" collapsed="false">
      <c r="A2132" s="0" t="n">
        <v>40449</v>
      </c>
      <c r="B2132" s="0" t="s">
        <v>5532</v>
      </c>
      <c r="C2132" s="0" t="s">
        <v>1442</v>
      </c>
      <c r="D2132" s="0" t="s">
        <v>3671</v>
      </c>
      <c r="E2132" s="0" t="n">
        <v>418.46</v>
      </c>
    </row>
    <row r="2133" customFormat="false" ht="15" hidden="false" customHeight="false" outlineLevel="0" collapsed="false">
      <c r="A2133" s="0" t="n">
        <v>11592</v>
      </c>
      <c r="B2133" s="0" t="s">
        <v>5533</v>
      </c>
      <c r="C2133" s="0" t="s">
        <v>31</v>
      </c>
      <c r="D2133" s="0" t="s">
        <v>3671</v>
      </c>
      <c r="E2133" s="0" t="n">
        <v>748.53</v>
      </c>
    </row>
    <row r="2134" customFormat="false" ht="15" hidden="false" customHeight="false" outlineLevel="0" collapsed="false">
      <c r="A2134" s="0" t="n">
        <v>34800</v>
      </c>
      <c r="B2134" s="0" t="s">
        <v>5534</v>
      </c>
      <c r="C2134" s="0" t="s">
        <v>1442</v>
      </c>
      <c r="D2134" s="0" t="s">
        <v>3671</v>
      </c>
      <c r="E2134" s="0" t="n">
        <v>523.29</v>
      </c>
    </row>
    <row r="2135" customFormat="false" ht="15" hidden="false" customHeight="false" outlineLevel="0" collapsed="false">
      <c r="A2135" s="0" t="n">
        <v>11596</v>
      </c>
      <c r="B2135" s="0" t="s">
        <v>5535</v>
      </c>
      <c r="C2135" s="0" t="s">
        <v>31</v>
      </c>
      <c r="D2135" s="0" t="s">
        <v>3671</v>
      </c>
      <c r="E2135" s="0" t="n">
        <v>594.44</v>
      </c>
    </row>
    <row r="2136" customFormat="false" ht="15" hidden="false" customHeight="false" outlineLevel="0" collapsed="false">
      <c r="A2136" s="0" t="n">
        <v>40438</v>
      </c>
      <c r="B2136" s="0" t="s">
        <v>5536</v>
      </c>
      <c r="C2136" s="0" t="s">
        <v>1442</v>
      </c>
      <c r="D2136" s="0" t="s">
        <v>3671</v>
      </c>
      <c r="E2136" s="0" t="n">
        <v>348.63</v>
      </c>
    </row>
    <row r="2137" customFormat="false" ht="15" hidden="false" customHeight="false" outlineLevel="0" collapsed="false">
      <c r="A2137" s="0" t="n">
        <v>40436</v>
      </c>
      <c r="B2137" s="0" t="s">
        <v>5537</v>
      </c>
      <c r="C2137" s="0" t="s">
        <v>1442</v>
      </c>
      <c r="D2137" s="0" t="s">
        <v>3671</v>
      </c>
      <c r="E2137" s="0" t="n">
        <v>434.71</v>
      </c>
    </row>
    <row r="2138" customFormat="false" ht="15" hidden="false" customHeight="false" outlineLevel="0" collapsed="false">
      <c r="A2138" s="0" t="n">
        <v>4315</v>
      </c>
      <c r="B2138" s="0" t="s">
        <v>5538</v>
      </c>
      <c r="C2138" s="0" t="s">
        <v>31</v>
      </c>
      <c r="D2138" s="0" t="s">
        <v>3671</v>
      </c>
      <c r="E2138" s="0" t="n">
        <v>1.79</v>
      </c>
    </row>
    <row r="2139" customFormat="false" ht="15" hidden="false" customHeight="false" outlineLevel="0" collapsed="false">
      <c r="A2139" s="0" t="n">
        <v>402</v>
      </c>
      <c r="B2139" s="0" t="s">
        <v>5539</v>
      </c>
      <c r="C2139" s="0" t="s">
        <v>31</v>
      </c>
      <c r="D2139" s="0" t="s">
        <v>3671</v>
      </c>
      <c r="E2139" s="0" t="n">
        <v>17.96</v>
      </c>
    </row>
    <row r="2140" customFormat="false" ht="15" hidden="false" customHeight="false" outlineLevel="0" collapsed="false">
      <c r="A2140" s="0" t="n">
        <v>4226</v>
      </c>
      <c r="B2140" s="0" t="s">
        <v>1908</v>
      </c>
      <c r="C2140" s="0" t="s">
        <v>1513</v>
      </c>
      <c r="D2140" s="0" t="s">
        <v>3676</v>
      </c>
      <c r="E2140" s="0" t="n">
        <v>8.46</v>
      </c>
    </row>
    <row r="2141" customFormat="false" ht="15" hidden="false" customHeight="false" outlineLevel="0" collapsed="false">
      <c r="A2141" s="0" t="n">
        <v>4222</v>
      </c>
      <c r="B2141" s="0" t="s">
        <v>1572</v>
      </c>
      <c r="C2141" s="0" t="s">
        <v>1452</v>
      </c>
      <c r="D2141" s="0" t="s">
        <v>3676</v>
      </c>
      <c r="E2141" s="0" t="n">
        <v>6.4</v>
      </c>
    </row>
    <row r="2142" customFormat="false" ht="15" hidden="false" customHeight="false" outlineLevel="0" collapsed="false">
      <c r="A2142" s="0" t="n">
        <v>34804</v>
      </c>
      <c r="B2142" s="0" t="s">
        <v>5540</v>
      </c>
      <c r="C2142" s="0" t="s">
        <v>1477</v>
      </c>
      <c r="D2142" s="0" t="s">
        <v>3671</v>
      </c>
      <c r="E2142" s="0" t="n">
        <v>63.19</v>
      </c>
    </row>
    <row r="2143" customFormat="false" ht="15" hidden="false" customHeight="false" outlineLevel="0" collapsed="false">
      <c r="A2143" s="0" t="n">
        <v>4013</v>
      </c>
      <c r="B2143" s="0" t="s">
        <v>1684</v>
      </c>
      <c r="C2143" s="0" t="s">
        <v>1477</v>
      </c>
      <c r="D2143" s="0" t="s">
        <v>3671</v>
      </c>
      <c r="E2143" s="0" t="n">
        <v>5.73</v>
      </c>
    </row>
    <row r="2144" customFormat="false" ht="15" hidden="false" customHeight="false" outlineLevel="0" collapsed="false">
      <c r="A2144" s="0" t="n">
        <v>4011</v>
      </c>
      <c r="B2144" s="0" t="s">
        <v>2213</v>
      </c>
      <c r="C2144" s="0" t="s">
        <v>1477</v>
      </c>
      <c r="D2144" s="0" t="s">
        <v>3671</v>
      </c>
      <c r="E2144" s="0" t="n">
        <v>6.4</v>
      </c>
    </row>
    <row r="2145" customFormat="false" ht="15" hidden="false" customHeight="false" outlineLevel="0" collapsed="false">
      <c r="A2145" s="0" t="n">
        <v>4021</v>
      </c>
      <c r="B2145" s="0" t="s">
        <v>2259</v>
      </c>
      <c r="C2145" s="0" t="s">
        <v>1477</v>
      </c>
      <c r="D2145" s="0" t="s">
        <v>3671</v>
      </c>
      <c r="E2145" s="0" t="n">
        <v>7.98</v>
      </c>
    </row>
    <row r="2146" customFormat="false" ht="15" hidden="false" customHeight="false" outlineLevel="0" collapsed="false">
      <c r="A2146" s="0" t="n">
        <v>4019</v>
      </c>
      <c r="B2146" s="0" t="s">
        <v>5541</v>
      </c>
      <c r="C2146" s="0" t="s">
        <v>1477</v>
      </c>
      <c r="D2146" s="0" t="s">
        <v>3671</v>
      </c>
      <c r="E2146" s="0" t="n">
        <v>9.59</v>
      </c>
    </row>
    <row r="2147" customFormat="false" ht="15" hidden="false" customHeight="false" outlineLevel="0" collapsed="false">
      <c r="A2147" s="0" t="n">
        <v>4012</v>
      </c>
      <c r="B2147" s="0" t="s">
        <v>5542</v>
      </c>
      <c r="C2147" s="0" t="s">
        <v>1477</v>
      </c>
      <c r="D2147" s="0" t="s">
        <v>3671</v>
      </c>
      <c r="E2147" s="0" t="n">
        <v>12.85</v>
      </c>
    </row>
    <row r="2148" customFormat="false" ht="15" hidden="false" customHeight="false" outlineLevel="0" collapsed="false">
      <c r="A2148" s="0" t="n">
        <v>4020</v>
      </c>
      <c r="B2148" s="0" t="s">
        <v>5543</v>
      </c>
      <c r="C2148" s="0" t="s">
        <v>1477</v>
      </c>
      <c r="D2148" s="0" t="s">
        <v>3671</v>
      </c>
      <c r="E2148" s="0" t="n">
        <v>16.09</v>
      </c>
    </row>
    <row r="2149" customFormat="false" ht="15" hidden="false" customHeight="false" outlineLevel="0" collapsed="false">
      <c r="A2149" s="0" t="n">
        <v>4018</v>
      </c>
      <c r="B2149" s="0" t="s">
        <v>5544</v>
      </c>
      <c r="C2149" s="0" t="s">
        <v>1477</v>
      </c>
      <c r="D2149" s="0" t="s">
        <v>3671</v>
      </c>
      <c r="E2149" s="0" t="n">
        <v>19.27</v>
      </c>
    </row>
    <row r="2150" customFormat="false" ht="15" hidden="false" customHeight="false" outlineLevel="0" collapsed="false">
      <c r="A2150" s="0" t="n">
        <v>36498</v>
      </c>
      <c r="B2150" s="0" t="s">
        <v>5545</v>
      </c>
      <c r="C2150" s="0" t="s">
        <v>31</v>
      </c>
      <c r="D2150" s="0" t="s">
        <v>3671</v>
      </c>
    </row>
    <row r="2151" customFormat="false" ht="15" hidden="false" customHeight="false" outlineLevel="0" collapsed="false">
      <c r="A2151" s="0" t="n">
        <v>12872</v>
      </c>
      <c r="B2151" s="0" t="s">
        <v>1478</v>
      </c>
      <c r="C2151" s="0" t="s">
        <v>1444</v>
      </c>
      <c r="D2151" s="0" t="s">
        <v>3671</v>
      </c>
      <c r="E2151" s="0" t="n">
        <v>18.31</v>
      </c>
    </row>
    <row r="2152" customFormat="false" ht="15" hidden="false" customHeight="false" outlineLevel="0" collapsed="false">
      <c r="A2152" s="0" t="n">
        <v>41075</v>
      </c>
      <c r="B2152" s="0" t="s">
        <v>5546</v>
      </c>
      <c r="C2152" s="0" t="s">
        <v>1416</v>
      </c>
      <c r="D2152" s="0" t="s">
        <v>3671</v>
      </c>
      <c r="E2152" s="0" t="n">
        <v>3224.72</v>
      </c>
    </row>
    <row r="2153" customFormat="false" ht="15" hidden="false" customHeight="false" outlineLevel="0" collapsed="false">
      <c r="A2153" s="0" t="n">
        <v>44324</v>
      </c>
      <c r="B2153" s="0" t="s">
        <v>5547</v>
      </c>
      <c r="C2153" s="0" t="s">
        <v>1513</v>
      </c>
      <c r="D2153" s="0" t="s">
        <v>3671</v>
      </c>
      <c r="E2153" s="0" t="n">
        <v>2.68</v>
      </c>
    </row>
    <row r="2154" customFormat="false" ht="15" hidden="false" customHeight="false" outlineLevel="0" collapsed="false">
      <c r="A2154" s="0" t="n">
        <v>3315</v>
      </c>
      <c r="B2154" s="0" t="s">
        <v>2005</v>
      </c>
      <c r="C2154" s="0" t="s">
        <v>1513</v>
      </c>
      <c r="D2154" s="0" t="s">
        <v>3671</v>
      </c>
      <c r="E2154" s="0" t="n">
        <v>0.77</v>
      </c>
    </row>
    <row r="2155" customFormat="false" ht="15" hidden="false" customHeight="false" outlineLevel="0" collapsed="false">
      <c r="A2155" s="0" t="n">
        <v>36870</v>
      </c>
      <c r="B2155" s="0" t="s">
        <v>5548</v>
      </c>
      <c r="C2155" s="0" t="s">
        <v>1513</v>
      </c>
      <c r="D2155" s="0" t="s">
        <v>3671</v>
      </c>
      <c r="E2155" s="0" t="n">
        <v>0.6</v>
      </c>
    </row>
    <row r="2156" customFormat="false" ht="15" hidden="false" customHeight="false" outlineLevel="0" collapsed="false">
      <c r="A2156" s="0" t="n">
        <v>5092</v>
      </c>
      <c r="B2156" s="0" t="s">
        <v>5549</v>
      </c>
      <c r="C2156" s="0" t="s">
        <v>1568</v>
      </c>
      <c r="D2156" s="0" t="s">
        <v>3671</v>
      </c>
      <c r="E2156" s="0" t="n">
        <v>20.22</v>
      </c>
    </row>
    <row r="2157" customFormat="false" ht="15" hidden="false" customHeight="false" outlineLevel="0" collapsed="false">
      <c r="A2157" s="0" t="n">
        <v>11462</v>
      </c>
      <c r="B2157" s="0" t="s">
        <v>5550</v>
      </c>
      <c r="C2157" s="0" t="s">
        <v>1568</v>
      </c>
      <c r="D2157" s="0" t="s">
        <v>3671</v>
      </c>
      <c r="E2157" s="0" t="n">
        <v>20.68</v>
      </c>
    </row>
    <row r="2158" customFormat="false" ht="15" hidden="false" customHeight="false" outlineLevel="0" collapsed="false">
      <c r="A2158" s="0" t="n">
        <v>36529</v>
      </c>
      <c r="B2158" s="0" t="s">
        <v>5551</v>
      </c>
      <c r="C2158" s="0" t="s">
        <v>31</v>
      </c>
      <c r="D2158" s="0" t="s">
        <v>3671</v>
      </c>
    </row>
    <row r="2159" customFormat="false" ht="15" hidden="false" customHeight="false" outlineLevel="0" collapsed="false">
      <c r="A2159" s="0" t="n">
        <v>3318</v>
      </c>
      <c r="B2159" s="0" t="s">
        <v>5552</v>
      </c>
      <c r="C2159" s="0" t="s">
        <v>31</v>
      </c>
      <c r="D2159" s="0" t="s">
        <v>3676</v>
      </c>
    </row>
    <row r="2160" customFormat="false" ht="15" hidden="false" customHeight="false" outlineLevel="0" collapsed="false">
      <c r="A2160" s="0" t="n">
        <v>3324</v>
      </c>
      <c r="B2160" s="0" t="s">
        <v>5553</v>
      </c>
      <c r="C2160" s="0" t="s">
        <v>1477</v>
      </c>
      <c r="D2160" s="0" t="s">
        <v>3671</v>
      </c>
      <c r="E2160" s="0" t="n">
        <v>11.24</v>
      </c>
    </row>
    <row r="2161" customFormat="false" ht="15" hidden="false" customHeight="false" outlineLevel="0" collapsed="false">
      <c r="A2161" s="0" t="n">
        <v>3322</v>
      </c>
      <c r="B2161" s="0" t="s">
        <v>2911</v>
      </c>
      <c r="C2161" s="0" t="s">
        <v>1477</v>
      </c>
      <c r="D2161" s="0" t="s">
        <v>3676</v>
      </c>
      <c r="E2161" s="0" t="n">
        <v>15.75</v>
      </c>
    </row>
    <row r="2162" customFormat="false" ht="15" hidden="false" customHeight="false" outlineLevel="0" collapsed="false">
      <c r="A2162" s="0" t="n">
        <v>5076</v>
      </c>
      <c r="B2162" s="0" t="s">
        <v>5554</v>
      </c>
      <c r="C2162" s="0" t="s">
        <v>1513</v>
      </c>
      <c r="D2162" s="0" t="s">
        <v>3671</v>
      </c>
      <c r="E2162" s="0" t="n">
        <v>20.55</v>
      </c>
    </row>
    <row r="2163" customFormat="false" ht="15" hidden="false" customHeight="false" outlineLevel="0" collapsed="false">
      <c r="A2163" s="0" t="n">
        <v>5077</v>
      </c>
      <c r="B2163" s="0" t="s">
        <v>5555</v>
      </c>
      <c r="C2163" s="0" t="s">
        <v>1513</v>
      </c>
      <c r="D2163" s="0" t="s">
        <v>3671</v>
      </c>
      <c r="E2163" s="0" t="n">
        <v>22.71</v>
      </c>
    </row>
    <row r="2164" customFormat="false" ht="15" hidden="false" customHeight="false" outlineLevel="0" collapsed="false">
      <c r="A2164" s="0" t="n">
        <v>11837</v>
      </c>
      <c r="B2164" s="0" t="s">
        <v>5556</v>
      </c>
      <c r="C2164" s="0" t="s">
        <v>31</v>
      </c>
      <c r="D2164" s="0" t="s">
        <v>3671</v>
      </c>
      <c r="E2164" s="0" t="n">
        <v>72.83</v>
      </c>
    </row>
    <row r="2165" customFormat="false" ht="15" hidden="false" customHeight="false" outlineLevel="0" collapsed="false">
      <c r="A2165" s="0" t="n">
        <v>415</v>
      </c>
      <c r="B2165" s="0" t="s">
        <v>5557</v>
      </c>
      <c r="C2165" s="0" t="s">
        <v>31</v>
      </c>
      <c r="D2165" s="0" t="s">
        <v>3671</v>
      </c>
      <c r="E2165" s="0" t="n">
        <v>29.86</v>
      </c>
    </row>
    <row r="2166" customFormat="false" ht="15" hidden="false" customHeight="false" outlineLevel="0" collapsed="false">
      <c r="A2166" s="0" t="n">
        <v>38055</v>
      </c>
      <c r="B2166" s="0" t="s">
        <v>5558</v>
      </c>
      <c r="C2166" s="0" t="s">
        <v>31</v>
      </c>
      <c r="D2166" s="0" t="s">
        <v>3671</v>
      </c>
      <c r="E2166" s="0" t="n">
        <v>6.61</v>
      </c>
    </row>
    <row r="2167" customFormat="false" ht="15" hidden="false" customHeight="false" outlineLevel="0" collapsed="false">
      <c r="A2167" s="0" t="n">
        <v>416</v>
      </c>
      <c r="B2167" s="0" t="s">
        <v>5559</v>
      </c>
      <c r="C2167" s="0" t="s">
        <v>31</v>
      </c>
      <c r="D2167" s="0" t="s">
        <v>3671</v>
      </c>
      <c r="E2167" s="0" t="n">
        <v>10.93</v>
      </c>
    </row>
    <row r="2168" customFormat="false" ht="15" hidden="false" customHeight="false" outlineLevel="0" collapsed="false">
      <c r="A2168" s="0" t="n">
        <v>425</v>
      </c>
      <c r="B2168" s="0" t="s">
        <v>5560</v>
      </c>
      <c r="C2168" s="0" t="s">
        <v>31</v>
      </c>
      <c r="D2168" s="0" t="s">
        <v>3671</v>
      </c>
      <c r="E2168" s="0" t="n">
        <v>6.78</v>
      </c>
    </row>
    <row r="2169" customFormat="false" ht="15" hidden="false" customHeight="false" outlineLevel="0" collapsed="false">
      <c r="A2169" s="0" t="n">
        <v>426</v>
      </c>
      <c r="B2169" s="0" t="s">
        <v>5561</v>
      </c>
      <c r="C2169" s="0" t="s">
        <v>31</v>
      </c>
      <c r="D2169" s="0" t="s">
        <v>3671</v>
      </c>
      <c r="E2169" s="0" t="n">
        <v>37.32</v>
      </c>
    </row>
    <row r="2170" customFormat="false" ht="15" hidden="false" customHeight="false" outlineLevel="0" collapsed="false">
      <c r="A2170" s="0" t="n">
        <v>38056</v>
      </c>
      <c r="B2170" s="0" t="s">
        <v>5562</v>
      </c>
      <c r="C2170" s="0" t="s">
        <v>31</v>
      </c>
      <c r="D2170" s="0" t="s">
        <v>3671</v>
      </c>
      <c r="E2170" s="0" t="n">
        <v>36.45</v>
      </c>
    </row>
    <row r="2171" customFormat="false" ht="15" hidden="false" customHeight="false" outlineLevel="0" collapsed="false">
      <c r="A2171" s="0" t="n">
        <v>1564</v>
      </c>
      <c r="B2171" s="0" t="s">
        <v>5563</v>
      </c>
      <c r="C2171" s="0" t="s">
        <v>31</v>
      </c>
      <c r="D2171" s="0" t="s">
        <v>3671</v>
      </c>
      <c r="E2171" s="0" t="n">
        <v>13.91</v>
      </c>
    </row>
    <row r="2172" customFormat="false" ht="15" hidden="false" customHeight="false" outlineLevel="0" collapsed="false">
      <c r="A2172" s="0" t="n">
        <v>11032</v>
      </c>
      <c r="B2172" s="0" t="s">
        <v>5564</v>
      </c>
      <c r="C2172" s="0" t="s">
        <v>31</v>
      </c>
      <c r="D2172" s="0" t="s">
        <v>3671</v>
      </c>
      <c r="E2172" s="0" t="n">
        <v>10.12</v>
      </c>
    </row>
    <row r="2173" customFormat="false" ht="15" hidden="false" customHeight="false" outlineLevel="0" collapsed="false">
      <c r="A2173" s="0" t="n">
        <v>36786</v>
      </c>
      <c r="B2173" s="0" t="s">
        <v>5565</v>
      </c>
      <c r="C2173" s="0" t="s">
        <v>3664</v>
      </c>
      <c r="D2173" s="0" t="s">
        <v>3671</v>
      </c>
    </row>
    <row r="2174" customFormat="false" ht="15" hidden="false" customHeight="false" outlineLevel="0" collapsed="false">
      <c r="A2174" s="0" t="n">
        <v>36785</v>
      </c>
      <c r="B2174" s="0" t="s">
        <v>1734</v>
      </c>
      <c r="C2174" s="0" t="s">
        <v>3664</v>
      </c>
      <c r="D2174" s="0" t="s">
        <v>3671</v>
      </c>
    </row>
    <row r="2175" customFormat="false" ht="15" hidden="false" customHeight="false" outlineLevel="0" collapsed="false">
      <c r="A2175" s="0" t="n">
        <v>36782</v>
      </c>
      <c r="B2175" s="0" t="s">
        <v>5566</v>
      </c>
      <c r="C2175" s="0" t="s">
        <v>3664</v>
      </c>
      <c r="D2175" s="0" t="s">
        <v>3671</v>
      </c>
    </row>
    <row r="2176" customFormat="false" ht="15" hidden="false" customHeight="false" outlineLevel="0" collapsed="false">
      <c r="A2176" s="0" t="n">
        <v>44481</v>
      </c>
      <c r="B2176" s="0" t="s">
        <v>5567</v>
      </c>
      <c r="C2176" s="0" t="s">
        <v>3664</v>
      </c>
      <c r="D2176" s="0" t="s">
        <v>3676</v>
      </c>
    </row>
    <row r="2177" customFormat="false" ht="15" hidden="false" customHeight="false" outlineLevel="0" collapsed="false">
      <c r="A2177" s="0" t="n">
        <v>4824</v>
      </c>
      <c r="B2177" s="0" t="s">
        <v>5568</v>
      </c>
      <c r="C2177" s="0" t="s">
        <v>1513</v>
      </c>
      <c r="D2177" s="0" t="s">
        <v>3671</v>
      </c>
      <c r="E2177" s="0" t="n">
        <v>0.78</v>
      </c>
    </row>
    <row r="2178" customFormat="false" ht="15" hidden="false" customHeight="false" outlineLevel="0" collapsed="false">
      <c r="A2178" s="0" t="n">
        <v>11795</v>
      </c>
      <c r="B2178" s="0" t="s">
        <v>2029</v>
      </c>
      <c r="C2178" s="0" t="s">
        <v>1477</v>
      </c>
      <c r="D2178" s="0" t="s">
        <v>3671</v>
      </c>
      <c r="E2178" s="0" t="n">
        <v>588.67</v>
      </c>
    </row>
    <row r="2179" customFormat="false" ht="15" hidden="false" customHeight="false" outlineLevel="0" collapsed="false">
      <c r="A2179" s="0" t="n">
        <v>134</v>
      </c>
      <c r="B2179" s="0" t="s">
        <v>5569</v>
      </c>
      <c r="C2179" s="0" t="s">
        <v>1513</v>
      </c>
      <c r="D2179" s="0" t="s">
        <v>3671</v>
      </c>
      <c r="E2179" s="0" t="n">
        <v>1.6</v>
      </c>
    </row>
    <row r="2180" customFormat="false" ht="15" hidden="false" customHeight="false" outlineLevel="0" collapsed="false">
      <c r="A2180" s="0" t="n">
        <v>4229</v>
      </c>
      <c r="B2180" s="0" t="s">
        <v>5570</v>
      </c>
      <c r="C2180" s="0" t="s">
        <v>1513</v>
      </c>
      <c r="D2180" s="0" t="s">
        <v>3671</v>
      </c>
      <c r="E2180" s="0" t="n">
        <v>46.77</v>
      </c>
    </row>
    <row r="2181" customFormat="false" ht="15" hidden="false" customHeight="false" outlineLevel="0" collapsed="false">
      <c r="A2181" s="0" t="n">
        <v>11731</v>
      </c>
      <c r="B2181" s="0" t="s">
        <v>5571</v>
      </c>
      <c r="C2181" s="0" t="s">
        <v>31</v>
      </c>
      <c r="D2181" s="0" t="s">
        <v>3671</v>
      </c>
      <c r="E2181" s="0" t="n">
        <v>10.88</v>
      </c>
    </row>
    <row r="2182" customFormat="false" ht="15" hidden="false" customHeight="false" outlineLevel="0" collapsed="false">
      <c r="A2182" s="0" t="n">
        <v>11732</v>
      </c>
      <c r="B2182" s="0" t="s">
        <v>5572</v>
      </c>
      <c r="C2182" s="0" t="s">
        <v>31</v>
      </c>
      <c r="D2182" s="0" t="s">
        <v>3671</v>
      </c>
      <c r="E2182" s="0" t="n">
        <v>28.53</v>
      </c>
    </row>
    <row r="2183" customFormat="false" ht="15" hidden="false" customHeight="false" outlineLevel="0" collapsed="false">
      <c r="A2183" s="0" t="n">
        <v>11244</v>
      </c>
      <c r="B2183" s="0" t="s">
        <v>5573</v>
      </c>
      <c r="C2183" s="0" t="s">
        <v>31</v>
      </c>
      <c r="D2183" s="0" t="s">
        <v>3671</v>
      </c>
    </row>
    <row r="2184" customFormat="false" ht="15" hidden="false" customHeight="false" outlineLevel="0" collapsed="false">
      <c r="A2184" s="0" t="n">
        <v>11235</v>
      </c>
      <c r="B2184" s="0" t="s">
        <v>5574</v>
      </c>
      <c r="C2184" s="0" t="s">
        <v>31</v>
      </c>
      <c r="D2184" s="0" t="s">
        <v>3671</v>
      </c>
    </row>
    <row r="2185" customFormat="false" ht="15" hidden="false" customHeight="false" outlineLevel="0" collapsed="false">
      <c r="A2185" s="0" t="n">
        <v>11236</v>
      </c>
      <c r="B2185" s="0" t="s">
        <v>2206</v>
      </c>
      <c r="C2185" s="0" t="s">
        <v>31</v>
      </c>
      <c r="D2185" s="0" t="s">
        <v>3671</v>
      </c>
    </row>
    <row r="2186" customFormat="false" ht="15" hidden="false" customHeight="false" outlineLevel="0" collapsed="false">
      <c r="A2186" s="0" t="n">
        <v>11245</v>
      </c>
      <c r="B2186" s="0" t="s">
        <v>5575</v>
      </c>
      <c r="C2186" s="0" t="s">
        <v>31</v>
      </c>
      <c r="D2186" s="0" t="s">
        <v>3671</v>
      </c>
    </row>
    <row r="2187" customFormat="false" ht="15" hidden="false" customHeight="false" outlineLevel="0" collapsed="false">
      <c r="A2187" s="0" t="n">
        <v>36494</v>
      </c>
      <c r="B2187" s="0" t="s">
        <v>5576</v>
      </c>
      <c r="C2187" s="0" t="s">
        <v>31</v>
      </c>
      <c r="D2187" s="0" t="s">
        <v>3671</v>
      </c>
    </row>
    <row r="2188" customFormat="false" ht="15" hidden="false" customHeight="false" outlineLevel="0" collapsed="false">
      <c r="A2188" s="0" t="n">
        <v>36493</v>
      </c>
      <c r="B2188" s="0" t="s">
        <v>5577</v>
      </c>
      <c r="C2188" s="0" t="s">
        <v>31</v>
      </c>
      <c r="D2188" s="0" t="s">
        <v>3671</v>
      </c>
    </row>
    <row r="2189" customFormat="false" ht="15" hidden="false" customHeight="false" outlineLevel="0" collapsed="false">
      <c r="A2189" s="0" t="n">
        <v>36492</v>
      </c>
      <c r="B2189" s="0" t="s">
        <v>5578</v>
      </c>
      <c r="C2189" s="0" t="s">
        <v>31</v>
      </c>
      <c r="D2189" s="0" t="s">
        <v>3671</v>
      </c>
    </row>
    <row r="2190" customFormat="false" ht="15" hidden="false" customHeight="false" outlineLevel="0" collapsed="false">
      <c r="A2190" s="0" t="n">
        <v>36499</v>
      </c>
      <c r="B2190" s="0" t="s">
        <v>5579</v>
      </c>
      <c r="C2190" s="0" t="s">
        <v>31</v>
      </c>
      <c r="D2190" s="0" t="s">
        <v>3671</v>
      </c>
    </row>
    <row r="2191" customFormat="false" ht="15" hidden="false" customHeight="false" outlineLevel="0" collapsed="false">
      <c r="A2191" s="0" t="n">
        <v>13533</v>
      </c>
      <c r="B2191" s="0" t="s">
        <v>5580</v>
      </c>
      <c r="C2191" s="0" t="s">
        <v>31</v>
      </c>
      <c r="D2191" s="0" t="s">
        <v>3671</v>
      </c>
    </row>
    <row r="2192" customFormat="false" ht="15" hidden="false" customHeight="false" outlineLevel="0" collapsed="false">
      <c r="A2192" s="0" t="n">
        <v>13333</v>
      </c>
      <c r="B2192" s="0" t="s">
        <v>5581</v>
      </c>
      <c r="C2192" s="0" t="s">
        <v>31</v>
      </c>
      <c r="D2192" s="0" t="s">
        <v>3671</v>
      </c>
    </row>
    <row r="2193" customFormat="false" ht="15" hidden="false" customHeight="false" outlineLevel="0" collapsed="false">
      <c r="A2193" s="0" t="n">
        <v>39585</v>
      </c>
      <c r="B2193" s="0" t="s">
        <v>5582</v>
      </c>
      <c r="C2193" s="0" t="s">
        <v>31</v>
      </c>
      <c r="D2193" s="0" t="s">
        <v>3671</v>
      </c>
    </row>
    <row r="2194" customFormat="false" ht="15" hidden="false" customHeight="false" outlineLevel="0" collapsed="false">
      <c r="A2194" s="0" t="n">
        <v>39586</v>
      </c>
      <c r="B2194" s="0" t="s">
        <v>5583</v>
      </c>
      <c r="C2194" s="0" t="s">
        <v>31</v>
      </c>
      <c r="D2194" s="0" t="s">
        <v>3671</v>
      </c>
    </row>
    <row r="2195" customFormat="false" ht="15" hidden="false" customHeight="false" outlineLevel="0" collapsed="false">
      <c r="A2195" s="0" t="n">
        <v>39587</v>
      </c>
      <c r="B2195" s="0" t="s">
        <v>5584</v>
      </c>
      <c r="C2195" s="0" t="s">
        <v>31</v>
      </c>
      <c r="D2195" s="0" t="s">
        <v>3671</v>
      </c>
    </row>
    <row r="2196" customFormat="false" ht="15" hidden="false" customHeight="false" outlineLevel="0" collapsed="false">
      <c r="A2196" s="0" t="n">
        <v>39588</v>
      </c>
      <c r="B2196" s="0" t="s">
        <v>5585</v>
      </c>
      <c r="C2196" s="0" t="s">
        <v>31</v>
      </c>
      <c r="D2196" s="0" t="s">
        <v>3671</v>
      </c>
    </row>
    <row r="2197" customFormat="false" ht="15" hidden="false" customHeight="false" outlineLevel="0" collapsed="false">
      <c r="A2197" s="0" t="n">
        <v>39584</v>
      </c>
      <c r="B2197" s="0" t="s">
        <v>5586</v>
      </c>
      <c r="C2197" s="0" t="s">
        <v>31</v>
      </c>
      <c r="D2197" s="0" t="s">
        <v>3671</v>
      </c>
    </row>
    <row r="2198" customFormat="false" ht="15" hidden="false" customHeight="false" outlineLevel="0" collapsed="false">
      <c r="A2198" s="0" t="n">
        <v>39590</v>
      </c>
      <c r="B2198" s="0" t="s">
        <v>5587</v>
      </c>
      <c r="C2198" s="0" t="s">
        <v>31</v>
      </c>
      <c r="D2198" s="0" t="s">
        <v>3671</v>
      </c>
    </row>
    <row r="2199" customFormat="false" ht="15" hidden="false" customHeight="false" outlineLevel="0" collapsed="false">
      <c r="A2199" s="0" t="n">
        <v>39592</v>
      </c>
      <c r="B2199" s="0" t="s">
        <v>5588</v>
      </c>
      <c r="C2199" s="0" t="s">
        <v>31</v>
      </c>
      <c r="D2199" s="0" t="s">
        <v>3671</v>
      </c>
    </row>
    <row r="2200" customFormat="false" ht="15" hidden="false" customHeight="false" outlineLevel="0" collapsed="false">
      <c r="A2200" s="0" t="n">
        <v>39593</v>
      </c>
      <c r="B2200" s="0" t="s">
        <v>5589</v>
      </c>
      <c r="C2200" s="0" t="s">
        <v>31</v>
      </c>
      <c r="D2200" s="0" t="s">
        <v>3671</v>
      </c>
    </row>
    <row r="2201" customFormat="false" ht="15" hidden="false" customHeight="false" outlineLevel="0" collapsed="false">
      <c r="A2201" s="0" t="n">
        <v>14254</v>
      </c>
      <c r="B2201" s="0" t="s">
        <v>5590</v>
      </c>
      <c r="C2201" s="0" t="s">
        <v>31</v>
      </c>
      <c r="D2201" s="0" t="s">
        <v>3676</v>
      </c>
    </row>
    <row r="2202" customFormat="false" ht="15" hidden="false" customHeight="false" outlineLevel="0" collapsed="false">
      <c r="A2202" s="0" t="n">
        <v>44494</v>
      </c>
      <c r="B2202" s="0" t="s">
        <v>5591</v>
      </c>
      <c r="C2202" s="0" t="s">
        <v>31</v>
      </c>
      <c r="D2202" s="0" t="s">
        <v>3671</v>
      </c>
    </row>
    <row r="2203" customFormat="false" ht="15" hidden="false" customHeight="false" outlineLevel="0" collapsed="false">
      <c r="A2203" s="0" t="n">
        <v>25019</v>
      </c>
      <c r="B2203" s="0" t="s">
        <v>5592</v>
      </c>
      <c r="C2203" s="0" t="s">
        <v>31</v>
      </c>
      <c r="D2203" s="0" t="s">
        <v>3671</v>
      </c>
    </row>
    <row r="2204" customFormat="false" ht="15" hidden="false" customHeight="false" outlineLevel="0" collapsed="false">
      <c r="A2204" s="0" t="n">
        <v>36501</v>
      </c>
      <c r="B2204" s="0" t="s">
        <v>5593</v>
      </c>
      <c r="C2204" s="0" t="s">
        <v>31</v>
      </c>
      <c r="D2204" s="0" t="s">
        <v>3671</v>
      </c>
    </row>
    <row r="2205" customFormat="false" ht="15" hidden="false" customHeight="false" outlineLevel="0" collapsed="false">
      <c r="A2205" s="0" t="n">
        <v>44493</v>
      </c>
      <c r="B2205" s="0" t="s">
        <v>5594</v>
      </c>
      <c r="C2205" s="0" t="s">
        <v>31</v>
      </c>
      <c r="D2205" s="0" t="s">
        <v>3671</v>
      </c>
    </row>
    <row r="2206" customFormat="false" ht="15" hidden="false" customHeight="false" outlineLevel="0" collapsed="false">
      <c r="A2206" s="0" t="n">
        <v>36500</v>
      </c>
      <c r="B2206" s="0" t="s">
        <v>5595</v>
      </c>
      <c r="C2206" s="0" t="s">
        <v>31</v>
      </c>
      <c r="D2206" s="0" t="s">
        <v>3671</v>
      </c>
    </row>
    <row r="2207" customFormat="false" ht="15" hidden="false" customHeight="false" outlineLevel="0" collapsed="false">
      <c r="A2207" s="0" t="n">
        <v>20017</v>
      </c>
      <c r="B2207" s="0" t="s">
        <v>1845</v>
      </c>
      <c r="C2207" s="0" t="s">
        <v>1455</v>
      </c>
      <c r="D2207" s="0" t="s">
        <v>3671</v>
      </c>
      <c r="E2207" s="0" t="n">
        <v>6.36</v>
      </c>
    </row>
    <row r="2208" customFormat="false" ht="15" hidden="false" customHeight="false" outlineLevel="0" collapsed="false">
      <c r="A2208" s="0" t="n">
        <v>20007</v>
      </c>
      <c r="B2208" s="0" t="s">
        <v>5596</v>
      </c>
      <c r="C2208" s="0" t="s">
        <v>1455</v>
      </c>
      <c r="D2208" s="0" t="s">
        <v>3671</v>
      </c>
      <c r="E2208" s="0" t="n">
        <v>3.79</v>
      </c>
    </row>
    <row r="2209" customFormat="false" ht="15" hidden="false" customHeight="false" outlineLevel="0" collapsed="false">
      <c r="A2209" s="0" t="n">
        <v>39831</v>
      </c>
      <c r="B2209" s="0" t="s">
        <v>5597</v>
      </c>
      <c r="C2209" s="0" t="s">
        <v>1842</v>
      </c>
      <c r="D2209" s="0" t="s">
        <v>3671</v>
      </c>
    </row>
    <row r="2210" customFormat="false" ht="15" hidden="false" customHeight="false" outlineLevel="0" collapsed="false">
      <c r="A2210" s="0" t="n">
        <v>36888</v>
      </c>
      <c r="B2210" s="0" t="s">
        <v>1868</v>
      </c>
      <c r="C2210" s="0" t="s">
        <v>1455</v>
      </c>
      <c r="D2210" s="0" t="s">
        <v>3671</v>
      </c>
    </row>
    <row r="2211" customFormat="false" ht="15" hidden="false" customHeight="false" outlineLevel="0" collapsed="false">
      <c r="A2211" s="0" t="n">
        <v>39836</v>
      </c>
      <c r="B2211" s="0" t="s">
        <v>5598</v>
      </c>
      <c r="C2211" s="0" t="s">
        <v>1842</v>
      </c>
      <c r="D2211" s="0" t="s">
        <v>3671</v>
      </c>
    </row>
    <row r="2212" customFormat="false" ht="15" hidden="false" customHeight="false" outlineLevel="0" collapsed="false">
      <c r="A2212" s="0" t="n">
        <v>39830</v>
      </c>
      <c r="B2212" s="0" t="s">
        <v>5599</v>
      </c>
      <c r="C2212" s="0" t="s">
        <v>1842</v>
      </c>
      <c r="D2212" s="0" t="s">
        <v>3671</v>
      </c>
    </row>
    <row r="2213" customFormat="false" ht="15" hidden="false" customHeight="false" outlineLevel="0" collapsed="false">
      <c r="A2213" s="0" t="n">
        <v>36497</v>
      </c>
      <c r="B2213" s="0" t="s">
        <v>5600</v>
      </c>
      <c r="C2213" s="0" t="s">
        <v>31</v>
      </c>
      <c r="D2213" s="0" t="s">
        <v>3671</v>
      </c>
      <c r="E2213" s="0" t="n">
        <v>3456.18</v>
      </c>
    </row>
    <row r="2214" customFormat="false" ht="15" hidden="false" customHeight="false" outlineLevel="0" collapsed="false">
      <c r="A2214" s="0" t="n">
        <v>40527</v>
      </c>
      <c r="B2214" s="0" t="s">
        <v>5601</v>
      </c>
      <c r="C2214" s="0" t="s">
        <v>31</v>
      </c>
      <c r="D2214" s="0" t="s">
        <v>3671</v>
      </c>
      <c r="E2214" s="0" t="n">
        <v>3027.46</v>
      </c>
    </row>
    <row r="2215" customFormat="false" ht="15" hidden="false" customHeight="false" outlineLevel="0" collapsed="false">
      <c r="A2215" s="0" t="n">
        <v>36487</v>
      </c>
      <c r="B2215" s="0" t="s">
        <v>1526</v>
      </c>
      <c r="C2215" s="0" t="s">
        <v>31</v>
      </c>
      <c r="D2215" s="0" t="s">
        <v>3671</v>
      </c>
      <c r="E2215" s="0" t="n">
        <v>6017.74</v>
      </c>
    </row>
    <row r="2216" customFormat="false" ht="15" hidden="false" customHeight="false" outlineLevel="0" collapsed="false">
      <c r="A2216" s="0" t="n">
        <v>44475</v>
      </c>
      <c r="B2216" s="0" t="s">
        <v>5602</v>
      </c>
      <c r="C2216" s="0" t="s">
        <v>31</v>
      </c>
      <c r="D2216" s="0" t="s">
        <v>3671</v>
      </c>
    </row>
    <row r="2217" customFormat="false" ht="15" hidden="false" customHeight="false" outlineLevel="0" collapsed="false">
      <c r="A2217" s="0" t="n">
        <v>44474</v>
      </c>
      <c r="B2217" s="0" t="s">
        <v>5603</v>
      </c>
      <c r="C2217" s="0" t="s">
        <v>31</v>
      </c>
      <c r="D2217" s="0" t="s">
        <v>3671</v>
      </c>
    </row>
    <row r="2218" customFormat="false" ht="15" hidden="false" customHeight="false" outlineLevel="0" collapsed="false">
      <c r="A2218" s="0" t="n">
        <v>44490</v>
      </c>
      <c r="B2218" s="0" t="s">
        <v>5604</v>
      </c>
      <c r="C2218" s="0" t="s">
        <v>31</v>
      </c>
      <c r="D2218" s="0" t="s">
        <v>3671</v>
      </c>
    </row>
    <row r="2219" customFormat="false" ht="15" hidden="false" customHeight="false" outlineLevel="0" collapsed="false">
      <c r="A2219" s="0" t="n">
        <v>37776</v>
      </c>
      <c r="B2219" s="0" t="s">
        <v>5605</v>
      </c>
      <c r="C2219" s="0" t="s">
        <v>31</v>
      </c>
      <c r="D2219" s="0" t="s">
        <v>3671</v>
      </c>
    </row>
    <row r="2220" customFormat="false" ht="15" hidden="false" customHeight="false" outlineLevel="0" collapsed="false">
      <c r="A2220" s="0" t="n">
        <v>37775</v>
      </c>
      <c r="B2220" s="0" t="s">
        <v>5606</v>
      </c>
      <c r="C2220" s="0" t="s">
        <v>31</v>
      </c>
      <c r="D2220" s="0" t="s">
        <v>3671</v>
      </c>
    </row>
    <row r="2221" customFormat="false" ht="15" hidden="false" customHeight="false" outlineLevel="0" collapsed="false">
      <c r="A2221" s="0" t="n">
        <v>36491</v>
      </c>
      <c r="B2221" s="0" t="s">
        <v>5607</v>
      </c>
      <c r="C2221" s="0" t="s">
        <v>31</v>
      </c>
      <c r="D2221" s="0" t="s">
        <v>3671</v>
      </c>
    </row>
    <row r="2222" customFormat="false" ht="15" hidden="false" customHeight="false" outlineLevel="0" collapsed="false">
      <c r="A2222" s="0" t="n">
        <v>10712</v>
      </c>
      <c r="B2222" s="0" t="s">
        <v>2889</v>
      </c>
      <c r="C2222" s="0" t="s">
        <v>31</v>
      </c>
      <c r="D2222" s="0" t="s">
        <v>3671</v>
      </c>
    </row>
    <row r="2223" customFormat="false" ht="15" hidden="false" customHeight="false" outlineLevel="0" collapsed="false">
      <c r="A2223" s="0" t="n">
        <v>3363</v>
      </c>
      <c r="B2223" s="0" t="s">
        <v>5608</v>
      </c>
      <c r="C2223" s="0" t="s">
        <v>31</v>
      </c>
      <c r="D2223" s="0" t="s">
        <v>3676</v>
      </c>
    </row>
    <row r="2224" customFormat="false" ht="15" hidden="false" customHeight="false" outlineLevel="0" collapsed="false">
      <c r="A2224" s="0" t="n">
        <v>3365</v>
      </c>
      <c r="B2224" s="0" t="s">
        <v>5609</v>
      </c>
      <c r="C2224" s="0" t="s">
        <v>31</v>
      </c>
      <c r="D2224" s="0" t="s">
        <v>3671</v>
      </c>
    </row>
    <row r="2225" customFormat="false" ht="15" hidden="false" customHeight="false" outlineLevel="0" collapsed="false">
      <c r="A2225" s="0" t="n">
        <v>7569</v>
      </c>
      <c r="B2225" s="0" t="s">
        <v>5610</v>
      </c>
      <c r="C2225" s="0" t="s">
        <v>31</v>
      </c>
      <c r="D2225" s="0" t="s">
        <v>3671</v>
      </c>
      <c r="E2225" s="0" t="n">
        <v>83.88</v>
      </c>
    </row>
    <row r="2226" customFormat="false" ht="15" hidden="false" customHeight="false" outlineLevel="0" collapsed="false">
      <c r="A2226" s="0" t="n">
        <v>3378</v>
      </c>
      <c r="B2226" s="0" t="s">
        <v>5611</v>
      </c>
      <c r="C2226" s="0" t="s">
        <v>31</v>
      </c>
      <c r="D2226" s="0" t="s">
        <v>3671</v>
      </c>
      <c r="E2226" s="0" t="n">
        <v>105.71</v>
      </c>
    </row>
    <row r="2227" customFormat="false" ht="15" hidden="false" customHeight="false" outlineLevel="0" collapsed="false">
      <c r="A2227" s="0" t="n">
        <v>3380</v>
      </c>
      <c r="B2227" s="0" t="s">
        <v>5612</v>
      </c>
      <c r="C2227" s="0" t="s">
        <v>31</v>
      </c>
      <c r="D2227" s="0" t="s">
        <v>3676</v>
      </c>
      <c r="E2227" s="0" t="n">
        <v>74</v>
      </c>
    </row>
    <row r="2228" customFormat="false" ht="15" hidden="false" customHeight="false" outlineLevel="0" collapsed="false">
      <c r="A2228" s="0" t="n">
        <v>3379</v>
      </c>
      <c r="B2228" s="0" t="s">
        <v>5613</v>
      </c>
      <c r="C2228" s="0" t="s">
        <v>31</v>
      </c>
      <c r="D2228" s="0" t="s">
        <v>3671</v>
      </c>
      <c r="E2228" s="0" t="n">
        <v>71.44</v>
      </c>
    </row>
    <row r="2229" customFormat="false" ht="15" hidden="false" customHeight="false" outlineLevel="0" collapsed="false">
      <c r="A2229" s="0" t="n">
        <v>11991</v>
      </c>
      <c r="B2229" s="0" t="s">
        <v>5614</v>
      </c>
      <c r="C2229" s="0" t="s">
        <v>31</v>
      </c>
      <c r="D2229" s="0" t="s">
        <v>3671</v>
      </c>
      <c r="E2229" s="0" t="n">
        <v>82.95</v>
      </c>
    </row>
    <row r="2230" customFormat="false" ht="15" hidden="false" customHeight="false" outlineLevel="0" collapsed="false">
      <c r="A2230" s="0" t="n">
        <v>44305</v>
      </c>
      <c r="B2230" s="0" t="s">
        <v>5615</v>
      </c>
      <c r="C2230" s="0" t="s">
        <v>31</v>
      </c>
      <c r="D2230" s="0" t="s">
        <v>3671</v>
      </c>
    </row>
    <row r="2231" customFormat="false" ht="15" hidden="false" customHeight="false" outlineLevel="0" collapsed="false">
      <c r="A2231" s="0" t="n">
        <v>34349</v>
      </c>
      <c r="B2231" s="0" t="s">
        <v>5616</v>
      </c>
      <c r="C2231" s="0" t="s">
        <v>31</v>
      </c>
      <c r="D2231" s="0" t="s">
        <v>3671</v>
      </c>
      <c r="E2231" s="0" t="n">
        <v>35.9</v>
      </c>
    </row>
    <row r="2232" customFormat="false" ht="15" hidden="false" customHeight="false" outlineLevel="0" collapsed="false">
      <c r="A2232" s="0" t="n">
        <v>11029</v>
      </c>
      <c r="B2232" s="0" t="s">
        <v>1895</v>
      </c>
      <c r="C2232" s="0" t="s">
        <v>1538</v>
      </c>
      <c r="D2232" s="0" t="s">
        <v>3671</v>
      </c>
      <c r="E2232" s="0" t="n">
        <v>1.55</v>
      </c>
    </row>
    <row r="2233" customFormat="false" ht="15" hidden="false" customHeight="false" outlineLevel="0" collapsed="false">
      <c r="A2233" s="0" t="n">
        <v>4316</v>
      </c>
      <c r="B2233" s="0" t="s">
        <v>5617</v>
      </c>
      <c r="C2233" s="0" t="s">
        <v>31</v>
      </c>
      <c r="D2233" s="0" t="s">
        <v>3671</v>
      </c>
      <c r="E2233" s="0" t="n">
        <v>1.57</v>
      </c>
    </row>
    <row r="2234" customFormat="false" ht="15" hidden="false" customHeight="false" outlineLevel="0" collapsed="false">
      <c r="A2234" s="0" t="n">
        <v>4313</v>
      </c>
      <c r="B2234" s="0" t="s">
        <v>5618</v>
      </c>
      <c r="C2234" s="0" t="s">
        <v>1538</v>
      </c>
      <c r="D2234" s="0" t="s">
        <v>3671</v>
      </c>
      <c r="E2234" s="0" t="n">
        <v>2.25</v>
      </c>
    </row>
    <row r="2235" customFormat="false" ht="15" hidden="false" customHeight="false" outlineLevel="0" collapsed="false">
      <c r="A2235" s="0" t="n">
        <v>4317</v>
      </c>
      <c r="B2235" s="0" t="s">
        <v>5619</v>
      </c>
      <c r="C2235" s="0" t="s">
        <v>31</v>
      </c>
      <c r="D2235" s="0" t="s">
        <v>3671</v>
      </c>
      <c r="E2235" s="0" t="n">
        <v>2.56</v>
      </c>
    </row>
    <row r="2236" customFormat="false" ht="15" hidden="false" customHeight="false" outlineLevel="0" collapsed="false">
      <c r="A2236" s="0" t="n">
        <v>4314</v>
      </c>
      <c r="B2236" s="0" t="s">
        <v>5620</v>
      </c>
      <c r="C2236" s="0" t="s">
        <v>1538</v>
      </c>
      <c r="D2236" s="0" t="s">
        <v>3671</v>
      </c>
      <c r="E2236" s="0" t="n">
        <v>3</v>
      </c>
    </row>
    <row r="2237" customFormat="false" ht="15" hidden="false" customHeight="false" outlineLevel="0" collapsed="false">
      <c r="A2237" s="0" t="n">
        <v>10921</v>
      </c>
      <c r="B2237" s="0" t="s">
        <v>5621</v>
      </c>
      <c r="C2237" s="0" t="s">
        <v>31</v>
      </c>
      <c r="D2237" s="0" t="s">
        <v>3676</v>
      </c>
    </row>
    <row r="2238" customFormat="false" ht="15" hidden="false" customHeight="false" outlineLevel="0" collapsed="false">
      <c r="A2238" s="0" t="n">
        <v>10922</v>
      </c>
      <c r="B2238" s="0" t="s">
        <v>5622</v>
      </c>
      <c r="C2238" s="0" t="s">
        <v>31</v>
      </c>
      <c r="D2238" s="0" t="s">
        <v>3671</v>
      </c>
    </row>
    <row r="2239" customFormat="false" ht="15" hidden="false" customHeight="false" outlineLevel="0" collapsed="false">
      <c r="A2239" s="0" t="n">
        <v>10923</v>
      </c>
      <c r="B2239" s="0" t="s">
        <v>5623</v>
      </c>
      <c r="C2239" s="0" t="s">
        <v>31</v>
      </c>
      <c r="D2239" s="0" t="s">
        <v>3671</v>
      </c>
    </row>
    <row r="2240" customFormat="false" ht="15" hidden="false" customHeight="false" outlineLevel="0" collapsed="false">
      <c r="A2240" s="0" t="n">
        <v>10924</v>
      </c>
      <c r="B2240" s="0" t="s">
        <v>5624</v>
      </c>
      <c r="C2240" s="0" t="s">
        <v>31</v>
      </c>
      <c r="D2240" s="0" t="s">
        <v>3671</v>
      </c>
    </row>
    <row r="2241" customFormat="false" ht="15" hidden="false" customHeight="false" outlineLevel="0" collapsed="false">
      <c r="A2241" s="0" t="n">
        <v>37772</v>
      </c>
      <c r="B2241" s="0" t="s">
        <v>5625</v>
      </c>
      <c r="C2241" s="0" t="s">
        <v>31</v>
      </c>
      <c r="D2241" s="0" t="s">
        <v>3671</v>
      </c>
    </row>
    <row r="2242" customFormat="false" ht="15" hidden="false" customHeight="false" outlineLevel="0" collapsed="false">
      <c r="A2242" s="0" t="n">
        <v>37771</v>
      </c>
      <c r="B2242" s="0" t="s">
        <v>5626</v>
      </c>
      <c r="C2242" s="0" t="s">
        <v>31</v>
      </c>
      <c r="D2242" s="0" t="s">
        <v>3671</v>
      </c>
    </row>
    <row r="2243" customFormat="false" ht="15" hidden="false" customHeight="false" outlineLevel="0" collapsed="false">
      <c r="A2243" s="0" t="n">
        <v>12772</v>
      </c>
      <c r="B2243" s="0" t="s">
        <v>5627</v>
      </c>
      <c r="C2243" s="0" t="s">
        <v>31</v>
      </c>
      <c r="D2243" s="0" t="s">
        <v>3671</v>
      </c>
    </row>
    <row r="2244" customFormat="false" ht="15" hidden="false" customHeight="false" outlineLevel="0" collapsed="false">
      <c r="A2244" s="0" t="n">
        <v>12770</v>
      </c>
      <c r="B2244" s="0" t="s">
        <v>5628</v>
      </c>
      <c r="C2244" s="0" t="s">
        <v>31</v>
      </c>
      <c r="D2244" s="0" t="s">
        <v>3671</v>
      </c>
    </row>
    <row r="2245" customFormat="false" ht="15" hidden="false" customHeight="false" outlineLevel="0" collapsed="false">
      <c r="A2245" s="0" t="n">
        <v>12775</v>
      </c>
      <c r="B2245" s="0" t="s">
        <v>5629</v>
      </c>
      <c r="C2245" s="0" t="s">
        <v>31</v>
      </c>
      <c r="D2245" s="0" t="s">
        <v>3671</v>
      </c>
    </row>
    <row r="2246" customFormat="false" ht="15" hidden="false" customHeight="false" outlineLevel="0" collapsed="false">
      <c r="A2246" s="0" t="n">
        <v>12768</v>
      </c>
      <c r="B2246" s="0" t="s">
        <v>5630</v>
      </c>
      <c r="C2246" s="0" t="s">
        <v>31</v>
      </c>
      <c r="D2246" s="0" t="s">
        <v>3671</v>
      </c>
    </row>
    <row r="2247" customFormat="false" ht="15" hidden="false" customHeight="false" outlineLevel="0" collapsed="false">
      <c r="A2247" s="0" t="n">
        <v>12769</v>
      </c>
      <c r="B2247" s="0" t="s">
        <v>5631</v>
      </c>
      <c r="C2247" s="0" t="s">
        <v>31</v>
      </c>
      <c r="D2247" s="0" t="s">
        <v>3676</v>
      </c>
    </row>
    <row r="2248" customFormat="false" ht="15" hidden="false" customHeight="false" outlineLevel="0" collapsed="false">
      <c r="A2248" s="0" t="n">
        <v>12773</v>
      </c>
      <c r="B2248" s="0" t="s">
        <v>5632</v>
      </c>
      <c r="C2248" s="0" t="s">
        <v>31</v>
      </c>
      <c r="D2248" s="0" t="s">
        <v>3671</v>
      </c>
    </row>
    <row r="2249" customFormat="false" ht="15" hidden="false" customHeight="false" outlineLevel="0" collapsed="false">
      <c r="A2249" s="0" t="n">
        <v>12774</v>
      </c>
      <c r="B2249" s="0" t="s">
        <v>5633</v>
      </c>
      <c r="C2249" s="0" t="s">
        <v>31</v>
      </c>
      <c r="D2249" s="0" t="s">
        <v>3671</v>
      </c>
    </row>
    <row r="2250" customFormat="false" ht="15" hidden="false" customHeight="false" outlineLevel="0" collapsed="false">
      <c r="A2250" s="0" t="n">
        <v>12776</v>
      </c>
      <c r="B2250" s="0" t="s">
        <v>5634</v>
      </c>
      <c r="C2250" s="0" t="s">
        <v>31</v>
      </c>
      <c r="D2250" s="0" t="s">
        <v>3671</v>
      </c>
    </row>
    <row r="2251" customFormat="false" ht="15" hidden="false" customHeight="false" outlineLevel="0" collapsed="false">
      <c r="A2251" s="0" t="n">
        <v>12777</v>
      </c>
      <c r="B2251" s="0" t="s">
        <v>5635</v>
      </c>
      <c r="C2251" s="0" t="s">
        <v>31</v>
      </c>
      <c r="D2251" s="0" t="s">
        <v>3671</v>
      </c>
    </row>
    <row r="2252" customFormat="false" ht="15" hidden="false" customHeight="false" outlineLevel="0" collapsed="false">
      <c r="A2252" s="0" t="n">
        <v>12873</v>
      </c>
      <c r="B2252" s="0" t="s">
        <v>1661</v>
      </c>
      <c r="C2252" s="0" t="s">
        <v>1444</v>
      </c>
      <c r="D2252" s="0" t="s">
        <v>3671</v>
      </c>
      <c r="E2252" s="0" t="n">
        <v>20.22</v>
      </c>
    </row>
    <row r="2253" customFormat="false" ht="15" hidden="false" customHeight="false" outlineLevel="0" collapsed="false">
      <c r="A2253" s="0" t="n">
        <v>41076</v>
      </c>
      <c r="B2253" s="0" t="s">
        <v>5636</v>
      </c>
      <c r="C2253" s="0" t="s">
        <v>1416</v>
      </c>
      <c r="D2253" s="0" t="s">
        <v>3671</v>
      </c>
      <c r="E2253" s="0" t="n">
        <v>3562.55</v>
      </c>
    </row>
    <row r="2254" customFormat="false" ht="15" hidden="false" customHeight="false" outlineLevel="0" collapsed="false">
      <c r="A2254" s="0" t="n">
        <v>140</v>
      </c>
      <c r="B2254" s="0" t="s">
        <v>5637</v>
      </c>
      <c r="C2254" s="0" t="s">
        <v>1513</v>
      </c>
      <c r="D2254" s="0" t="s">
        <v>3671</v>
      </c>
      <c r="E2254" s="0" t="n">
        <v>17.85</v>
      </c>
    </row>
    <row r="2255" customFormat="false" ht="15" hidden="false" customHeight="false" outlineLevel="0" collapsed="false">
      <c r="A2255" s="0" t="n">
        <v>151</v>
      </c>
      <c r="B2255" s="0" t="s">
        <v>2881</v>
      </c>
      <c r="C2255" s="0" t="s">
        <v>1452</v>
      </c>
      <c r="D2255" s="0" t="s">
        <v>3671</v>
      </c>
      <c r="E2255" s="0" t="n">
        <v>26.34</v>
      </c>
    </row>
    <row r="2256" customFormat="false" ht="15" hidden="false" customHeight="false" outlineLevel="0" collapsed="false">
      <c r="A2256" s="0" t="n">
        <v>7340</v>
      </c>
      <c r="B2256" s="0" t="s">
        <v>1510</v>
      </c>
      <c r="C2256" s="0" t="s">
        <v>1452</v>
      </c>
      <c r="D2256" s="0" t="s">
        <v>3671</v>
      </c>
      <c r="E2256" s="0" t="n">
        <v>25.2</v>
      </c>
    </row>
    <row r="2257" customFormat="false" ht="15" hidden="false" customHeight="false" outlineLevel="0" collapsed="false">
      <c r="A2257" s="0" t="n">
        <v>40929</v>
      </c>
      <c r="B2257" s="0" t="s">
        <v>5638</v>
      </c>
      <c r="C2257" s="0" t="s">
        <v>1416</v>
      </c>
      <c r="D2257" s="0" t="s">
        <v>3671</v>
      </c>
      <c r="E2257" s="0" t="n">
        <v>2110.37</v>
      </c>
    </row>
    <row r="2258" customFormat="false" ht="15" hidden="false" customHeight="false" outlineLevel="0" collapsed="false">
      <c r="A2258" s="0" t="n">
        <v>2701</v>
      </c>
      <c r="B2258" s="0" t="s">
        <v>5639</v>
      </c>
      <c r="C2258" s="0" t="s">
        <v>1444</v>
      </c>
      <c r="D2258" s="0" t="s">
        <v>3671</v>
      </c>
      <c r="E2258" s="0" t="n">
        <v>11.98</v>
      </c>
    </row>
    <row r="2259" customFormat="false" ht="15" hidden="false" customHeight="false" outlineLevel="0" collapsed="false">
      <c r="A2259" s="0" t="n">
        <v>38064</v>
      </c>
      <c r="B2259" s="0" t="s">
        <v>5640</v>
      </c>
      <c r="C2259" s="0" t="s">
        <v>31</v>
      </c>
      <c r="D2259" s="0" t="s">
        <v>3671</v>
      </c>
      <c r="E2259" s="0" t="n">
        <v>17.89</v>
      </c>
    </row>
    <row r="2260" customFormat="false" ht="15" hidden="false" customHeight="false" outlineLevel="0" collapsed="false">
      <c r="A2260" s="0" t="n">
        <v>38114</v>
      </c>
      <c r="B2260" s="0" t="s">
        <v>5641</v>
      </c>
      <c r="C2260" s="0" t="s">
        <v>31</v>
      </c>
      <c r="D2260" s="0" t="s">
        <v>3671</v>
      </c>
      <c r="E2260" s="0" t="n">
        <v>16</v>
      </c>
    </row>
    <row r="2261" customFormat="false" ht="15" hidden="false" customHeight="false" outlineLevel="0" collapsed="false">
      <c r="A2261" s="0" t="n">
        <v>38115</v>
      </c>
      <c r="B2261" s="0" t="s">
        <v>2455</v>
      </c>
      <c r="C2261" s="0" t="s">
        <v>31</v>
      </c>
      <c r="D2261" s="0" t="s">
        <v>3671</v>
      </c>
      <c r="E2261" s="0" t="n">
        <v>17.09</v>
      </c>
    </row>
    <row r="2262" customFormat="false" ht="15" hidden="false" customHeight="false" outlineLevel="0" collapsed="false">
      <c r="A2262" s="0" t="n">
        <v>38065</v>
      </c>
      <c r="B2262" s="0" t="s">
        <v>5642</v>
      </c>
      <c r="C2262" s="0" t="s">
        <v>31</v>
      </c>
      <c r="D2262" s="0" t="s">
        <v>3671</v>
      </c>
      <c r="E2262" s="0" t="n">
        <v>25.39</v>
      </c>
    </row>
    <row r="2263" customFormat="false" ht="15" hidden="false" customHeight="false" outlineLevel="0" collapsed="false">
      <c r="A2263" s="0" t="n">
        <v>38078</v>
      </c>
      <c r="B2263" s="0" t="s">
        <v>5643</v>
      </c>
      <c r="C2263" s="0" t="s">
        <v>31</v>
      </c>
      <c r="D2263" s="0" t="s">
        <v>3671</v>
      </c>
      <c r="E2263" s="0" t="n">
        <v>14.81</v>
      </c>
    </row>
    <row r="2264" customFormat="false" ht="15" hidden="false" customHeight="false" outlineLevel="0" collapsed="false">
      <c r="A2264" s="0" t="n">
        <v>38113</v>
      </c>
      <c r="B2264" s="0" t="s">
        <v>2453</v>
      </c>
      <c r="C2264" s="0" t="s">
        <v>31</v>
      </c>
      <c r="D2264" s="0" t="s">
        <v>3671</v>
      </c>
      <c r="E2264" s="0" t="n">
        <v>8.04</v>
      </c>
    </row>
    <row r="2265" customFormat="false" ht="15" hidden="false" customHeight="false" outlineLevel="0" collapsed="false">
      <c r="A2265" s="0" t="n">
        <v>38063</v>
      </c>
      <c r="B2265" s="0" t="s">
        <v>5644</v>
      </c>
      <c r="C2265" s="0" t="s">
        <v>31</v>
      </c>
      <c r="D2265" s="0" t="s">
        <v>3671</v>
      </c>
      <c r="E2265" s="0" t="n">
        <v>8.63</v>
      </c>
    </row>
    <row r="2266" customFormat="false" ht="15" hidden="false" customHeight="false" outlineLevel="0" collapsed="false">
      <c r="A2266" s="0" t="n">
        <v>38073</v>
      </c>
      <c r="B2266" s="0" t="s">
        <v>5645</v>
      </c>
      <c r="C2266" s="0" t="s">
        <v>31</v>
      </c>
      <c r="D2266" s="0" t="s">
        <v>3671</v>
      </c>
      <c r="E2266" s="0" t="n">
        <v>20.94</v>
      </c>
    </row>
    <row r="2267" customFormat="false" ht="15" hidden="false" customHeight="false" outlineLevel="0" collapsed="false">
      <c r="A2267" s="0" t="n">
        <v>38080</v>
      </c>
      <c r="B2267" s="0" t="s">
        <v>5646</v>
      </c>
      <c r="C2267" s="0" t="s">
        <v>31</v>
      </c>
      <c r="D2267" s="0" t="s">
        <v>3671</v>
      </c>
      <c r="E2267" s="0" t="n">
        <v>25.72</v>
      </c>
    </row>
    <row r="2268" customFormat="false" ht="15" hidden="false" customHeight="false" outlineLevel="0" collapsed="false">
      <c r="A2268" s="0" t="n">
        <v>38069</v>
      </c>
      <c r="B2268" s="0" t="s">
        <v>5647</v>
      </c>
      <c r="C2268" s="0" t="s">
        <v>31</v>
      </c>
      <c r="D2268" s="0" t="s">
        <v>3671</v>
      </c>
      <c r="E2268" s="0" t="n">
        <v>14.07</v>
      </c>
    </row>
    <row r="2269" customFormat="false" ht="15" hidden="false" customHeight="false" outlineLevel="0" collapsed="false">
      <c r="A2269" s="0" t="n">
        <v>38077</v>
      </c>
      <c r="B2269" s="0" t="s">
        <v>5648</v>
      </c>
      <c r="C2269" s="0" t="s">
        <v>31</v>
      </c>
      <c r="D2269" s="0" t="s">
        <v>3671</v>
      </c>
      <c r="E2269" s="0" t="n">
        <v>13.75</v>
      </c>
    </row>
    <row r="2270" customFormat="false" ht="15" hidden="false" customHeight="false" outlineLevel="0" collapsed="false">
      <c r="A2270" s="0" t="n">
        <v>38112</v>
      </c>
      <c r="B2270" s="0" t="s">
        <v>1543</v>
      </c>
      <c r="C2270" s="0" t="s">
        <v>31</v>
      </c>
      <c r="D2270" s="0" t="s">
        <v>3671</v>
      </c>
      <c r="E2270" s="0" t="n">
        <v>6.17</v>
      </c>
    </row>
    <row r="2271" customFormat="false" ht="15" hidden="false" customHeight="false" outlineLevel="0" collapsed="false">
      <c r="A2271" s="0" t="n">
        <v>38062</v>
      </c>
      <c r="B2271" s="0" t="s">
        <v>5649</v>
      </c>
      <c r="C2271" s="0" t="s">
        <v>31</v>
      </c>
      <c r="D2271" s="0" t="s">
        <v>3671</v>
      </c>
      <c r="E2271" s="0" t="n">
        <v>6.34</v>
      </c>
    </row>
    <row r="2272" customFormat="false" ht="15" hidden="false" customHeight="false" outlineLevel="0" collapsed="false">
      <c r="A2272" s="0" t="n">
        <v>12129</v>
      </c>
      <c r="B2272" s="0" t="s">
        <v>5650</v>
      </c>
      <c r="C2272" s="0" t="s">
        <v>31</v>
      </c>
      <c r="D2272" s="0" t="s">
        <v>3671</v>
      </c>
      <c r="E2272" s="0" t="n">
        <v>11.2</v>
      </c>
    </row>
    <row r="2273" customFormat="false" ht="15" hidden="false" customHeight="false" outlineLevel="0" collapsed="false">
      <c r="A2273" s="0" t="n">
        <v>12128</v>
      </c>
      <c r="B2273" s="0" t="s">
        <v>5651</v>
      </c>
      <c r="C2273" s="0" t="s">
        <v>31</v>
      </c>
      <c r="D2273" s="0" t="s">
        <v>3671</v>
      </c>
      <c r="E2273" s="0" t="n">
        <v>8.47</v>
      </c>
    </row>
    <row r="2274" customFormat="false" ht="15" hidden="false" customHeight="false" outlineLevel="0" collapsed="false">
      <c r="A2274" s="0" t="n">
        <v>38081</v>
      </c>
      <c r="B2274" s="0" t="s">
        <v>5652</v>
      </c>
      <c r="C2274" s="0" t="s">
        <v>31</v>
      </c>
      <c r="D2274" s="0" t="s">
        <v>3671</v>
      </c>
      <c r="E2274" s="0" t="n">
        <v>21.82</v>
      </c>
    </row>
    <row r="2275" customFormat="false" ht="15" hidden="false" customHeight="false" outlineLevel="0" collapsed="false">
      <c r="A2275" s="0" t="n">
        <v>38070</v>
      </c>
      <c r="B2275" s="0" t="s">
        <v>5653</v>
      </c>
      <c r="C2275" s="0" t="s">
        <v>31</v>
      </c>
      <c r="D2275" s="0" t="s">
        <v>3671</v>
      </c>
      <c r="E2275" s="0" t="n">
        <v>15.03</v>
      </c>
    </row>
    <row r="2276" customFormat="false" ht="15" hidden="false" customHeight="false" outlineLevel="0" collapsed="false">
      <c r="A2276" s="0" t="n">
        <v>38074</v>
      </c>
      <c r="B2276" s="0" t="s">
        <v>5654</v>
      </c>
      <c r="C2276" s="0" t="s">
        <v>31</v>
      </c>
      <c r="D2276" s="0" t="s">
        <v>3671</v>
      </c>
      <c r="E2276" s="0" t="n">
        <v>22.86</v>
      </c>
    </row>
    <row r="2277" customFormat="false" ht="15" hidden="false" customHeight="false" outlineLevel="0" collapsed="false">
      <c r="A2277" s="0" t="n">
        <v>38072</v>
      </c>
      <c r="B2277" s="0" t="s">
        <v>5655</v>
      </c>
      <c r="C2277" s="0" t="s">
        <v>31</v>
      </c>
      <c r="D2277" s="0" t="s">
        <v>3671</v>
      </c>
      <c r="E2277" s="0" t="n">
        <v>18.85</v>
      </c>
    </row>
    <row r="2278" customFormat="false" ht="15" hidden="false" customHeight="false" outlineLevel="0" collapsed="false">
      <c r="A2278" s="0" t="n">
        <v>38079</v>
      </c>
      <c r="B2278" s="0" t="s">
        <v>5656</v>
      </c>
      <c r="C2278" s="0" t="s">
        <v>31</v>
      </c>
      <c r="D2278" s="0" t="s">
        <v>3671</v>
      </c>
      <c r="E2278" s="0" t="n">
        <v>19.62</v>
      </c>
    </row>
    <row r="2279" customFormat="false" ht="15" hidden="false" customHeight="false" outlineLevel="0" collapsed="false">
      <c r="A2279" s="0" t="n">
        <v>38068</v>
      </c>
      <c r="B2279" s="0" t="s">
        <v>5657</v>
      </c>
      <c r="C2279" s="0" t="s">
        <v>31</v>
      </c>
      <c r="D2279" s="0" t="s">
        <v>3671</v>
      </c>
      <c r="E2279" s="0" t="n">
        <v>13.01</v>
      </c>
    </row>
    <row r="2280" customFormat="false" ht="15" hidden="false" customHeight="false" outlineLevel="0" collapsed="false">
      <c r="A2280" s="0" t="n">
        <v>38071</v>
      </c>
      <c r="B2280" s="0" t="s">
        <v>5658</v>
      </c>
      <c r="C2280" s="0" t="s">
        <v>31</v>
      </c>
      <c r="D2280" s="0" t="s">
        <v>3671</v>
      </c>
      <c r="E2280" s="0" t="n">
        <v>15.56</v>
      </c>
    </row>
    <row r="2281" customFormat="false" ht="15" hidden="false" customHeight="false" outlineLevel="0" collapsed="false">
      <c r="A2281" s="0" t="n">
        <v>38412</v>
      </c>
      <c r="B2281" s="0" t="s">
        <v>5659</v>
      </c>
      <c r="C2281" s="0" t="s">
        <v>31</v>
      </c>
      <c r="D2281" s="0" t="s">
        <v>3676</v>
      </c>
      <c r="E2281" s="0" t="n">
        <v>1220</v>
      </c>
    </row>
    <row r="2282" customFormat="false" ht="15" hidden="false" customHeight="false" outlineLevel="0" collapsed="false">
      <c r="A2282" s="0" t="n">
        <v>3405</v>
      </c>
      <c r="B2282" s="0" t="s">
        <v>5660</v>
      </c>
      <c r="C2282" s="0" t="s">
        <v>31</v>
      </c>
      <c r="D2282" s="0" t="s">
        <v>3671</v>
      </c>
      <c r="E2282" s="0" t="n">
        <v>107.02</v>
      </c>
    </row>
    <row r="2283" customFormat="false" ht="15" hidden="false" customHeight="false" outlineLevel="0" collapsed="false">
      <c r="A2283" s="0" t="n">
        <v>3394</v>
      </c>
      <c r="B2283" s="0" t="s">
        <v>5661</v>
      </c>
      <c r="C2283" s="0" t="s">
        <v>31</v>
      </c>
      <c r="D2283" s="0" t="s">
        <v>3671</v>
      </c>
      <c r="E2283" s="0" t="n">
        <v>564.96</v>
      </c>
    </row>
    <row r="2284" customFormat="false" ht="15" hidden="false" customHeight="false" outlineLevel="0" collapsed="false">
      <c r="A2284" s="0" t="n">
        <v>3393</v>
      </c>
      <c r="B2284" s="0" t="s">
        <v>5662</v>
      </c>
      <c r="C2284" s="0" t="s">
        <v>31</v>
      </c>
      <c r="D2284" s="0" t="s">
        <v>3671</v>
      </c>
      <c r="E2284" s="0" t="n">
        <v>961.9</v>
      </c>
    </row>
    <row r="2285" customFormat="false" ht="15" hidden="false" customHeight="false" outlineLevel="0" collapsed="false">
      <c r="A2285" s="0" t="n">
        <v>3406</v>
      </c>
      <c r="B2285" s="0" t="s">
        <v>5663</v>
      </c>
      <c r="C2285" s="0" t="s">
        <v>31</v>
      </c>
      <c r="D2285" s="0" t="s">
        <v>3676</v>
      </c>
      <c r="E2285" s="0" t="n">
        <v>32.76</v>
      </c>
    </row>
    <row r="2286" customFormat="false" ht="15" hidden="false" customHeight="false" outlineLevel="0" collapsed="false">
      <c r="A2286" s="0" t="n">
        <v>3395</v>
      </c>
      <c r="B2286" s="0" t="s">
        <v>5664</v>
      </c>
      <c r="C2286" s="0" t="s">
        <v>31</v>
      </c>
      <c r="D2286" s="0" t="s">
        <v>3671</v>
      </c>
      <c r="E2286" s="0" t="n">
        <v>138.2</v>
      </c>
    </row>
    <row r="2287" customFormat="false" ht="15" hidden="false" customHeight="false" outlineLevel="0" collapsed="false">
      <c r="A2287" s="0" t="n">
        <v>3398</v>
      </c>
      <c r="B2287" s="0" t="s">
        <v>5665</v>
      </c>
      <c r="C2287" s="0" t="s">
        <v>31</v>
      </c>
      <c r="D2287" s="0" t="s">
        <v>3671</v>
      </c>
      <c r="E2287" s="0" t="n">
        <v>6.57</v>
      </c>
    </row>
    <row r="2288" customFormat="false" ht="15" hidden="false" customHeight="false" outlineLevel="0" collapsed="false">
      <c r="A2288" s="0" t="n">
        <v>40662</v>
      </c>
      <c r="B2288" s="0" t="s">
        <v>5666</v>
      </c>
      <c r="C2288" s="0" t="s">
        <v>31</v>
      </c>
      <c r="D2288" s="0" t="s">
        <v>3671</v>
      </c>
    </row>
    <row r="2289" customFormat="false" ht="15" hidden="false" customHeight="false" outlineLevel="0" collapsed="false">
      <c r="A2289" s="0" t="n">
        <v>3437</v>
      </c>
      <c r="B2289" s="0" t="s">
        <v>5667</v>
      </c>
      <c r="C2289" s="0" t="s">
        <v>1477</v>
      </c>
      <c r="D2289" s="0" t="s">
        <v>3671</v>
      </c>
    </row>
    <row r="2290" customFormat="false" ht="15" hidden="false" customHeight="false" outlineLevel="0" collapsed="false">
      <c r="A2290" s="0" t="n">
        <v>11190</v>
      </c>
      <c r="B2290" s="0" t="s">
        <v>5668</v>
      </c>
      <c r="C2290" s="0" t="s">
        <v>31</v>
      </c>
      <c r="D2290" s="0" t="s">
        <v>3676</v>
      </c>
    </row>
    <row r="2291" customFormat="false" ht="15" hidden="false" customHeight="false" outlineLevel="0" collapsed="false">
      <c r="A2291" s="0" t="n">
        <v>34377</v>
      </c>
      <c r="B2291" s="0" t="s">
        <v>5669</v>
      </c>
      <c r="C2291" s="0" t="s">
        <v>31</v>
      </c>
      <c r="D2291" s="0" t="s">
        <v>3671</v>
      </c>
    </row>
    <row r="2292" customFormat="false" ht="15" hidden="false" customHeight="false" outlineLevel="0" collapsed="false">
      <c r="A2292" s="0" t="n">
        <v>40659</v>
      </c>
      <c r="B2292" s="0" t="s">
        <v>5670</v>
      </c>
      <c r="C2292" s="0" t="s">
        <v>1477</v>
      </c>
      <c r="D2292" s="0" t="s">
        <v>3671</v>
      </c>
    </row>
    <row r="2293" customFormat="false" ht="15" hidden="false" customHeight="false" outlineLevel="0" collapsed="false">
      <c r="A2293" s="0" t="n">
        <v>40660</v>
      </c>
      <c r="B2293" s="0" t="s">
        <v>5671</v>
      </c>
      <c r="C2293" s="0" t="s">
        <v>1477</v>
      </c>
      <c r="D2293" s="0" t="s">
        <v>3671</v>
      </c>
    </row>
    <row r="2294" customFormat="false" ht="15" hidden="false" customHeight="false" outlineLevel="0" collapsed="false">
      <c r="A2294" s="0" t="n">
        <v>40661</v>
      </c>
      <c r="B2294" s="0" t="s">
        <v>5672</v>
      </c>
      <c r="C2294" s="0" t="s">
        <v>1477</v>
      </c>
      <c r="D2294" s="0" t="s">
        <v>3671</v>
      </c>
    </row>
    <row r="2295" customFormat="false" ht="15" hidden="false" customHeight="false" outlineLevel="0" collapsed="false">
      <c r="A2295" s="0" t="n">
        <v>3428</v>
      </c>
      <c r="B2295" s="0" t="s">
        <v>5673</v>
      </c>
      <c r="C2295" s="0" t="s">
        <v>1477</v>
      </c>
      <c r="D2295" s="0" t="s">
        <v>3676</v>
      </c>
    </row>
    <row r="2296" customFormat="false" ht="15" hidden="false" customHeight="false" outlineLevel="0" collapsed="false">
      <c r="A2296" s="0" t="n">
        <v>3429</v>
      </c>
      <c r="B2296" s="0" t="s">
        <v>5674</v>
      </c>
      <c r="C2296" s="0" t="s">
        <v>1477</v>
      </c>
      <c r="D2296" s="0" t="s">
        <v>3671</v>
      </c>
    </row>
    <row r="2297" customFormat="false" ht="15" hidden="false" customHeight="false" outlineLevel="0" collapsed="false">
      <c r="A2297" s="0" t="n">
        <v>11199</v>
      </c>
      <c r="B2297" s="0" t="s">
        <v>5675</v>
      </c>
      <c r="C2297" s="0" t="s">
        <v>31</v>
      </c>
      <c r="D2297" s="0" t="s">
        <v>3671</v>
      </c>
    </row>
    <row r="2298" customFormat="false" ht="15" hidden="false" customHeight="false" outlineLevel="0" collapsed="false">
      <c r="A2298" s="0" t="n">
        <v>36896</v>
      </c>
      <c r="B2298" s="0" t="s">
        <v>5676</v>
      </c>
      <c r="C2298" s="0" t="s">
        <v>31</v>
      </c>
      <c r="D2298" s="0" t="s">
        <v>3676</v>
      </c>
    </row>
    <row r="2299" customFormat="false" ht="15" hidden="false" customHeight="false" outlineLevel="0" collapsed="false">
      <c r="A2299" s="0" t="n">
        <v>34367</v>
      </c>
      <c r="B2299" s="0" t="s">
        <v>5677</v>
      </c>
      <c r="C2299" s="0" t="s">
        <v>31</v>
      </c>
      <c r="D2299" s="0" t="s">
        <v>3671</v>
      </c>
    </row>
    <row r="2300" customFormat="false" ht="15" hidden="false" customHeight="false" outlineLevel="0" collapsed="false">
      <c r="A2300" s="0" t="n">
        <v>36897</v>
      </c>
      <c r="B2300" s="0" t="s">
        <v>5678</v>
      </c>
      <c r="C2300" s="0" t="s">
        <v>31</v>
      </c>
      <c r="D2300" s="0" t="s">
        <v>3671</v>
      </c>
    </row>
    <row r="2301" customFormat="false" ht="15" hidden="false" customHeight="false" outlineLevel="0" collapsed="false">
      <c r="A2301" s="0" t="n">
        <v>34369</v>
      </c>
      <c r="B2301" s="0" t="s">
        <v>5679</v>
      </c>
      <c r="C2301" s="0" t="s">
        <v>31</v>
      </c>
      <c r="D2301" s="0" t="s">
        <v>3671</v>
      </c>
    </row>
    <row r="2302" customFormat="false" ht="15" hidden="false" customHeight="false" outlineLevel="0" collapsed="false">
      <c r="A2302" s="0" t="n">
        <v>34364</v>
      </c>
      <c r="B2302" s="0" t="s">
        <v>1831</v>
      </c>
      <c r="C2302" s="0" t="s">
        <v>31</v>
      </c>
      <c r="D2302" s="0" t="s">
        <v>3671</v>
      </c>
    </row>
    <row r="2303" customFormat="false" ht="15" hidden="false" customHeight="false" outlineLevel="0" collapsed="false">
      <c r="A2303" s="0" t="n">
        <v>3421</v>
      </c>
      <c r="B2303" s="0" t="s">
        <v>5680</v>
      </c>
      <c r="C2303" s="0" t="s">
        <v>1477</v>
      </c>
      <c r="D2303" s="0" t="s">
        <v>3671</v>
      </c>
    </row>
    <row r="2304" customFormat="false" ht="15" hidden="false" customHeight="false" outlineLevel="0" collapsed="false">
      <c r="A2304" s="0" t="n">
        <v>599</v>
      </c>
      <c r="B2304" s="0" t="s">
        <v>1833</v>
      </c>
      <c r="C2304" s="0" t="s">
        <v>1477</v>
      </c>
      <c r="D2304" s="0" t="s">
        <v>3671</v>
      </c>
    </row>
    <row r="2305" customFormat="false" ht="15" hidden="false" customHeight="false" outlineLevel="0" collapsed="false">
      <c r="A2305" s="0" t="n">
        <v>44053</v>
      </c>
      <c r="B2305" s="0" t="s">
        <v>5681</v>
      </c>
      <c r="C2305" s="0" t="s">
        <v>31</v>
      </c>
      <c r="D2305" s="0" t="s">
        <v>3671</v>
      </c>
    </row>
    <row r="2306" customFormat="false" ht="15" hidden="false" customHeight="false" outlineLevel="0" collapsed="false">
      <c r="A2306" s="0" t="n">
        <v>3423</v>
      </c>
      <c r="B2306" s="0" t="s">
        <v>5682</v>
      </c>
      <c r="C2306" s="0" t="s">
        <v>1477</v>
      </c>
      <c r="D2306" s="0" t="s">
        <v>3671</v>
      </c>
    </row>
    <row r="2307" customFormat="false" ht="15" hidden="false" customHeight="false" outlineLevel="0" collapsed="false">
      <c r="A2307" s="0" t="n">
        <v>34797</v>
      </c>
      <c r="B2307" s="0" t="s">
        <v>5683</v>
      </c>
      <c r="C2307" s="0" t="s">
        <v>31</v>
      </c>
      <c r="D2307" s="0" t="s">
        <v>3671</v>
      </c>
    </row>
    <row r="2308" customFormat="false" ht="15" hidden="false" customHeight="false" outlineLevel="0" collapsed="false">
      <c r="A2308" s="0" t="n">
        <v>34381</v>
      </c>
      <c r="B2308" s="0" t="s">
        <v>1828</v>
      </c>
      <c r="C2308" s="0" t="s">
        <v>31</v>
      </c>
      <c r="D2308" s="0" t="s">
        <v>3671</v>
      </c>
    </row>
    <row r="2309" customFormat="false" ht="15" hidden="false" customHeight="false" outlineLevel="0" collapsed="false">
      <c r="A2309" s="0" t="n">
        <v>44054</v>
      </c>
      <c r="B2309" s="0" t="s">
        <v>5684</v>
      </c>
      <c r="C2309" s="0" t="s">
        <v>31</v>
      </c>
      <c r="D2309" s="0" t="s">
        <v>3671</v>
      </c>
    </row>
    <row r="2310" customFormat="false" ht="15" hidden="false" customHeight="false" outlineLevel="0" collapsed="false">
      <c r="A2310" s="0" t="n">
        <v>44399</v>
      </c>
      <c r="B2310" s="0" t="s">
        <v>5685</v>
      </c>
      <c r="C2310" s="0" t="s">
        <v>31</v>
      </c>
      <c r="D2310" s="0" t="s">
        <v>3671</v>
      </c>
    </row>
    <row r="2311" customFormat="false" ht="15" hidden="false" customHeight="false" outlineLevel="0" collapsed="false">
      <c r="A2311" s="0" t="n">
        <v>44503</v>
      </c>
      <c r="B2311" s="0" t="s">
        <v>1491</v>
      </c>
      <c r="C2311" s="0" t="s">
        <v>1444</v>
      </c>
      <c r="D2311" s="0" t="s">
        <v>3671</v>
      </c>
      <c r="E2311" s="0" t="n">
        <v>18.63</v>
      </c>
    </row>
    <row r="2312" customFormat="false" ht="15" hidden="false" customHeight="false" outlineLevel="0" collapsed="false">
      <c r="A2312" s="0" t="n">
        <v>41077</v>
      </c>
      <c r="B2312" s="0" t="s">
        <v>5686</v>
      </c>
      <c r="C2312" s="0" t="s">
        <v>1416</v>
      </c>
      <c r="D2312" s="0" t="s">
        <v>3671</v>
      </c>
      <c r="E2312" s="0" t="n">
        <v>3283.36</v>
      </c>
    </row>
    <row r="2313" customFormat="false" ht="15" hidden="false" customHeight="false" outlineLevel="0" collapsed="false">
      <c r="A2313" s="0" t="n">
        <v>37963</v>
      </c>
      <c r="B2313" s="0" t="s">
        <v>5687</v>
      </c>
      <c r="C2313" s="0" t="s">
        <v>31</v>
      </c>
      <c r="D2313" s="0" t="s">
        <v>3671</v>
      </c>
      <c r="E2313" s="0" t="n">
        <v>4.24</v>
      </c>
    </row>
    <row r="2314" customFormat="false" ht="15" hidden="false" customHeight="false" outlineLevel="0" collapsed="false">
      <c r="A2314" s="0" t="n">
        <v>37964</v>
      </c>
      <c r="B2314" s="0" t="s">
        <v>5688</v>
      </c>
      <c r="C2314" s="0" t="s">
        <v>31</v>
      </c>
      <c r="D2314" s="0" t="s">
        <v>3671</v>
      </c>
      <c r="E2314" s="0" t="n">
        <v>5.67</v>
      </c>
    </row>
    <row r="2315" customFormat="false" ht="15" hidden="false" customHeight="false" outlineLevel="0" collapsed="false">
      <c r="A2315" s="0" t="n">
        <v>37965</v>
      </c>
      <c r="B2315" s="0" t="s">
        <v>5689</v>
      </c>
      <c r="C2315" s="0" t="s">
        <v>31</v>
      </c>
      <c r="D2315" s="0" t="s">
        <v>3671</v>
      </c>
      <c r="E2315" s="0" t="n">
        <v>8.18</v>
      </c>
    </row>
    <row r="2316" customFormat="false" ht="15" hidden="false" customHeight="false" outlineLevel="0" collapsed="false">
      <c r="A2316" s="0" t="n">
        <v>37966</v>
      </c>
      <c r="B2316" s="0" t="s">
        <v>5690</v>
      </c>
      <c r="C2316" s="0" t="s">
        <v>31</v>
      </c>
      <c r="D2316" s="0" t="s">
        <v>3671</v>
      </c>
      <c r="E2316" s="0" t="n">
        <v>14.37</v>
      </c>
    </row>
    <row r="2317" customFormat="false" ht="15" hidden="false" customHeight="false" outlineLevel="0" collapsed="false">
      <c r="A2317" s="0" t="n">
        <v>37967</v>
      </c>
      <c r="B2317" s="0" t="s">
        <v>5691</v>
      </c>
      <c r="C2317" s="0" t="s">
        <v>31</v>
      </c>
      <c r="D2317" s="0" t="s">
        <v>3671</v>
      </c>
      <c r="E2317" s="0" t="n">
        <v>24.14</v>
      </c>
    </row>
    <row r="2318" customFormat="false" ht="15" hidden="false" customHeight="false" outlineLevel="0" collapsed="false">
      <c r="A2318" s="0" t="n">
        <v>37968</v>
      </c>
      <c r="B2318" s="0" t="s">
        <v>5692</v>
      </c>
      <c r="C2318" s="0" t="s">
        <v>31</v>
      </c>
      <c r="D2318" s="0" t="s">
        <v>3671</v>
      </c>
      <c r="E2318" s="0" t="n">
        <v>51.27</v>
      </c>
    </row>
    <row r="2319" customFormat="false" ht="15" hidden="false" customHeight="false" outlineLevel="0" collapsed="false">
      <c r="A2319" s="0" t="n">
        <v>37969</v>
      </c>
      <c r="B2319" s="0" t="s">
        <v>5693</v>
      </c>
      <c r="C2319" s="0" t="s">
        <v>31</v>
      </c>
      <c r="D2319" s="0" t="s">
        <v>3671</v>
      </c>
      <c r="E2319" s="0" t="n">
        <v>129.54</v>
      </c>
    </row>
    <row r="2320" customFormat="false" ht="15" hidden="false" customHeight="false" outlineLevel="0" collapsed="false">
      <c r="A2320" s="0" t="n">
        <v>37970</v>
      </c>
      <c r="B2320" s="0" t="s">
        <v>5694</v>
      </c>
      <c r="C2320" s="0" t="s">
        <v>31</v>
      </c>
      <c r="D2320" s="0" t="s">
        <v>3671</v>
      </c>
      <c r="E2320" s="0" t="n">
        <v>187.42</v>
      </c>
    </row>
    <row r="2321" customFormat="false" ht="15" hidden="false" customHeight="false" outlineLevel="0" collapsed="false">
      <c r="A2321" s="0" t="n">
        <v>44251</v>
      </c>
      <c r="B2321" s="0" t="s">
        <v>5695</v>
      </c>
      <c r="C2321" s="0" t="s">
        <v>31</v>
      </c>
      <c r="D2321" s="0" t="s">
        <v>3671</v>
      </c>
      <c r="E2321" s="0" t="n">
        <v>216.48</v>
      </c>
    </row>
    <row r="2322" customFormat="false" ht="15" hidden="false" customHeight="false" outlineLevel="0" collapsed="false">
      <c r="A2322" s="0" t="n">
        <v>21118</v>
      </c>
      <c r="B2322" s="0" t="s">
        <v>5696</v>
      </c>
      <c r="C2322" s="0" t="s">
        <v>31</v>
      </c>
      <c r="D2322" s="0" t="s">
        <v>3671</v>
      </c>
      <c r="E2322" s="0" t="n">
        <v>3.37</v>
      </c>
    </row>
    <row r="2323" customFormat="false" ht="15" hidden="false" customHeight="false" outlineLevel="0" collapsed="false">
      <c r="A2323" s="0" t="n">
        <v>37956</v>
      </c>
      <c r="B2323" s="0" t="s">
        <v>5697</v>
      </c>
      <c r="C2323" s="0" t="s">
        <v>31</v>
      </c>
      <c r="D2323" s="0" t="s">
        <v>3671</v>
      </c>
      <c r="E2323" s="0" t="n">
        <v>4.14</v>
      </c>
    </row>
    <row r="2324" customFormat="false" ht="15" hidden="false" customHeight="false" outlineLevel="0" collapsed="false">
      <c r="A2324" s="0" t="n">
        <v>37957</v>
      </c>
      <c r="B2324" s="0" t="s">
        <v>5698</v>
      </c>
      <c r="C2324" s="0" t="s">
        <v>31</v>
      </c>
      <c r="D2324" s="0" t="s">
        <v>3671</v>
      </c>
      <c r="E2324" s="0" t="n">
        <v>8.81</v>
      </c>
    </row>
    <row r="2325" customFormat="false" ht="15" hidden="false" customHeight="false" outlineLevel="0" collapsed="false">
      <c r="A2325" s="0" t="n">
        <v>37958</v>
      </c>
      <c r="B2325" s="0" t="s">
        <v>5699</v>
      </c>
      <c r="C2325" s="0" t="s">
        <v>31</v>
      </c>
      <c r="D2325" s="0" t="s">
        <v>3671</v>
      </c>
      <c r="E2325" s="0" t="n">
        <v>15.93</v>
      </c>
    </row>
    <row r="2326" customFormat="false" ht="15" hidden="false" customHeight="false" outlineLevel="0" collapsed="false">
      <c r="A2326" s="0" t="n">
        <v>37959</v>
      </c>
      <c r="B2326" s="0" t="s">
        <v>5700</v>
      </c>
      <c r="C2326" s="0" t="s">
        <v>31</v>
      </c>
      <c r="D2326" s="0" t="s">
        <v>3671</v>
      </c>
      <c r="E2326" s="0" t="n">
        <v>24.53</v>
      </c>
    </row>
    <row r="2327" customFormat="false" ht="15" hidden="false" customHeight="false" outlineLevel="0" collapsed="false">
      <c r="A2327" s="0" t="n">
        <v>37960</v>
      </c>
      <c r="B2327" s="0" t="s">
        <v>5701</v>
      </c>
      <c r="C2327" s="0" t="s">
        <v>31</v>
      </c>
      <c r="D2327" s="0" t="s">
        <v>3671</v>
      </c>
      <c r="E2327" s="0" t="n">
        <v>62.68</v>
      </c>
    </row>
    <row r="2328" customFormat="false" ht="15" hidden="false" customHeight="false" outlineLevel="0" collapsed="false">
      <c r="A2328" s="0" t="n">
        <v>37961</v>
      </c>
      <c r="B2328" s="0" t="s">
        <v>5702</v>
      </c>
      <c r="C2328" s="0" t="s">
        <v>31</v>
      </c>
      <c r="D2328" s="0" t="s">
        <v>3671</v>
      </c>
      <c r="E2328" s="0" t="n">
        <v>134.7</v>
      </c>
    </row>
    <row r="2329" customFormat="false" ht="15" hidden="false" customHeight="false" outlineLevel="0" collapsed="false">
      <c r="A2329" s="0" t="n">
        <v>37962</v>
      </c>
      <c r="B2329" s="0" t="s">
        <v>5703</v>
      </c>
      <c r="C2329" s="0" t="s">
        <v>31</v>
      </c>
      <c r="D2329" s="0" t="s">
        <v>3671</v>
      </c>
      <c r="E2329" s="0" t="n">
        <v>155.29</v>
      </c>
    </row>
    <row r="2330" customFormat="false" ht="15" hidden="false" customHeight="false" outlineLevel="0" collapsed="false">
      <c r="A2330" s="0" t="n">
        <v>3533</v>
      </c>
      <c r="B2330" s="0" t="s">
        <v>5704</v>
      </c>
      <c r="C2330" s="0" t="s">
        <v>31</v>
      </c>
      <c r="D2330" s="0" t="s">
        <v>3671</v>
      </c>
      <c r="E2330" s="0" t="n">
        <v>2.75</v>
      </c>
    </row>
    <row r="2331" customFormat="false" ht="15" hidden="false" customHeight="false" outlineLevel="0" collapsed="false">
      <c r="A2331" s="0" t="n">
        <v>3538</v>
      </c>
      <c r="B2331" s="0" t="s">
        <v>5705</v>
      </c>
      <c r="C2331" s="0" t="s">
        <v>31</v>
      </c>
      <c r="D2331" s="0" t="s">
        <v>3671</v>
      </c>
      <c r="E2331" s="0" t="n">
        <v>5.2</v>
      </c>
    </row>
    <row r="2332" customFormat="false" ht="15" hidden="false" customHeight="false" outlineLevel="0" collapsed="false">
      <c r="A2332" s="0" t="n">
        <v>3498</v>
      </c>
      <c r="B2332" s="0" t="s">
        <v>5706</v>
      </c>
      <c r="C2332" s="0" t="s">
        <v>31</v>
      </c>
      <c r="D2332" s="0" t="s">
        <v>3671</v>
      </c>
      <c r="E2332" s="0" t="n">
        <v>5.04</v>
      </c>
    </row>
    <row r="2333" customFormat="false" ht="15" hidden="false" customHeight="false" outlineLevel="0" collapsed="false">
      <c r="A2333" s="0" t="n">
        <v>3496</v>
      </c>
      <c r="B2333" s="0" t="s">
        <v>5707</v>
      </c>
      <c r="C2333" s="0" t="s">
        <v>31</v>
      </c>
      <c r="D2333" s="0" t="s">
        <v>3671</v>
      </c>
      <c r="E2333" s="0" t="n">
        <v>3.37</v>
      </c>
    </row>
    <row r="2334" customFormat="false" ht="15" hidden="false" customHeight="false" outlineLevel="0" collapsed="false">
      <c r="A2334" s="0" t="n">
        <v>38429</v>
      </c>
      <c r="B2334" s="0" t="s">
        <v>5708</v>
      </c>
      <c r="C2334" s="0" t="s">
        <v>31</v>
      </c>
      <c r="D2334" s="0" t="s">
        <v>3671</v>
      </c>
      <c r="E2334" s="0" t="n">
        <v>11.47</v>
      </c>
    </row>
    <row r="2335" customFormat="false" ht="15" hidden="false" customHeight="false" outlineLevel="0" collapsed="false">
      <c r="A2335" s="0" t="n">
        <v>38431</v>
      </c>
      <c r="B2335" s="0" t="s">
        <v>5709</v>
      </c>
      <c r="C2335" s="0" t="s">
        <v>31</v>
      </c>
      <c r="D2335" s="0" t="s">
        <v>3671</v>
      </c>
      <c r="E2335" s="0" t="n">
        <v>14.39</v>
      </c>
    </row>
    <row r="2336" customFormat="false" ht="15" hidden="false" customHeight="false" outlineLevel="0" collapsed="false">
      <c r="A2336" s="0" t="n">
        <v>38430</v>
      </c>
      <c r="B2336" s="0" t="s">
        <v>5710</v>
      </c>
      <c r="C2336" s="0" t="s">
        <v>31</v>
      </c>
      <c r="D2336" s="0" t="s">
        <v>3671</v>
      </c>
      <c r="E2336" s="0" t="n">
        <v>22.31</v>
      </c>
    </row>
    <row r="2337" customFormat="false" ht="15" hidden="false" customHeight="false" outlineLevel="0" collapsed="false">
      <c r="A2337" s="0" t="n">
        <v>36348</v>
      </c>
      <c r="B2337" s="0" t="s">
        <v>5711</v>
      </c>
      <c r="C2337" s="0" t="s">
        <v>31</v>
      </c>
      <c r="D2337" s="0" t="s">
        <v>3671</v>
      </c>
    </row>
    <row r="2338" customFormat="false" ht="15" hidden="false" customHeight="false" outlineLevel="0" collapsed="false">
      <c r="A2338" s="0" t="n">
        <v>36349</v>
      </c>
      <c r="B2338" s="0" t="s">
        <v>5712</v>
      </c>
      <c r="C2338" s="0" t="s">
        <v>31</v>
      </c>
      <c r="D2338" s="0" t="s">
        <v>3671</v>
      </c>
    </row>
    <row r="2339" customFormat="false" ht="15" hidden="false" customHeight="false" outlineLevel="0" collapsed="false">
      <c r="A2339" s="0" t="n">
        <v>38987</v>
      </c>
      <c r="B2339" s="0" t="s">
        <v>5713</v>
      </c>
      <c r="C2339" s="0" t="s">
        <v>31</v>
      </c>
      <c r="D2339" s="0" t="s">
        <v>3671</v>
      </c>
    </row>
    <row r="2340" customFormat="false" ht="15" hidden="false" customHeight="false" outlineLevel="0" collapsed="false">
      <c r="A2340" s="0" t="n">
        <v>38988</v>
      </c>
      <c r="B2340" s="0" t="s">
        <v>5714</v>
      </c>
      <c r="C2340" s="0" t="s">
        <v>31</v>
      </c>
      <c r="D2340" s="0" t="s">
        <v>3671</v>
      </c>
    </row>
    <row r="2341" customFormat="false" ht="15" hidden="false" customHeight="false" outlineLevel="0" collapsed="false">
      <c r="A2341" s="0" t="n">
        <v>38989</v>
      </c>
      <c r="B2341" s="0" t="s">
        <v>5715</v>
      </c>
      <c r="C2341" s="0" t="s">
        <v>31</v>
      </c>
      <c r="D2341" s="0" t="s">
        <v>3671</v>
      </c>
    </row>
    <row r="2342" customFormat="false" ht="15" hidden="false" customHeight="false" outlineLevel="0" collapsed="false">
      <c r="A2342" s="0" t="n">
        <v>38990</v>
      </c>
      <c r="B2342" s="0" t="s">
        <v>5716</v>
      </c>
      <c r="C2342" s="0" t="s">
        <v>31</v>
      </c>
      <c r="D2342" s="0" t="s">
        <v>3671</v>
      </c>
    </row>
    <row r="2343" customFormat="false" ht="15" hidden="false" customHeight="false" outlineLevel="0" collapsed="false">
      <c r="A2343" s="0" t="n">
        <v>38991</v>
      </c>
      <c r="B2343" s="0" t="s">
        <v>5717</v>
      </c>
      <c r="C2343" s="0" t="s">
        <v>31</v>
      </c>
      <c r="D2343" s="0" t="s">
        <v>3671</v>
      </c>
    </row>
    <row r="2344" customFormat="false" ht="15" hidden="false" customHeight="false" outlineLevel="0" collapsed="false">
      <c r="A2344" s="0" t="n">
        <v>38433</v>
      </c>
      <c r="B2344" s="0" t="s">
        <v>5718</v>
      </c>
      <c r="C2344" s="0" t="s">
        <v>31</v>
      </c>
      <c r="D2344" s="0" t="s">
        <v>3671</v>
      </c>
    </row>
    <row r="2345" customFormat="false" ht="15" hidden="false" customHeight="false" outlineLevel="0" collapsed="false">
      <c r="A2345" s="0" t="n">
        <v>38440</v>
      </c>
      <c r="B2345" s="0" t="s">
        <v>5719</v>
      </c>
      <c r="C2345" s="0" t="s">
        <v>31</v>
      </c>
      <c r="D2345" s="0" t="s">
        <v>3671</v>
      </c>
    </row>
    <row r="2346" customFormat="false" ht="15" hidden="false" customHeight="false" outlineLevel="0" collapsed="false">
      <c r="A2346" s="0" t="n">
        <v>36359</v>
      </c>
      <c r="B2346" s="0" t="s">
        <v>5720</v>
      </c>
      <c r="C2346" s="0" t="s">
        <v>31</v>
      </c>
      <c r="D2346" s="0" t="s">
        <v>3671</v>
      </c>
    </row>
    <row r="2347" customFormat="false" ht="15" hidden="false" customHeight="false" outlineLevel="0" collapsed="false">
      <c r="A2347" s="0" t="n">
        <v>36360</v>
      </c>
      <c r="B2347" s="0" t="s">
        <v>5721</v>
      </c>
      <c r="C2347" s="0" t="s">
        <v>31</v>
      </c>
      <c r="D2347" s="0" t="s">
        <v>3671</v>
      </c>
    </row>
    <row r="2348" customFormat="false" ht="15" hidden="false" customHeight="false" outlineLevel="0" collapsed="false">
      <c r="A2348" s="0" t="n">
        <v>38434</v>
      </c>
      <c r="B2348" s="0" t="s">
        <v>5722</v>
      </c>
      <c r="C2348" s="0" t="s">
        <v>31</v>
      </c>
      <c r="D2348" s="0" t="s">
        <v>3671</v>
      </c>
    </row>
    <row r="2349" customFormat="false" ht="15" hidden="false" customHeight="false" outlineLevel="0" collapsed="false">
      <c r="A2349" s="0" t="n">
        <v>38435</v>
      </c>
      <c r="B2349" s="0" t="s">
        <v>5723</v>
      </c>
      <c r="C2349" s="0" t="s">
        <v>31</v>
      </c>
      <c r="D2349" s="0" t="s">
        <v>3671</v>
      </c>
    </row>
    <row r="2350" customFormat="false" ht="15" hidden="false" customHeight="false" outlineLevel="0" collapsed="false">
      <c r="A2350" s="0" t="n">
        <v>38436</v>
      </c>
      <c r="B2350" s="0" t="s">
        <v>5724</v>
      </c>
      <c r="C2350" s="0" t="s">
        <v>31</v>
      </c>
      <c r="D2350" s="0" t="s">
        <v>3671</v>
      </c>
    </row>
    <row r="2351" customFormat="false" ht="15" hidden="false" customHeight="false" outlineLevel="0" collapsed="false">
      <c r="A2351" s="0" t="n">
        <v>38437</v>
      </c>
      <c r="B2351" s="0" t="s">
        <v>5725</v>
      </c>
      <c r="C2351" s="0" t="s">
        <v>31</v>
      </c>
      <c r="D2351" s="0" t="s">
        <v>3671</v>
      </c>
    </row>
    <row r="2352" customFormat="false" ht="15" hidden="false" customHeight="false" outlineLevel="0" collapsed="false">
      <c r="A2352" s="0" t="n">
        <v>38438</v>
      </c>
      <c r="B2352" s="0" t="s">
        <v>5726</v>
      </c>
      <c r="C2352" s="0" t="s">
        <v>31</v>
      </c>
      <c r="D2352" s="0" t="s">
        <v>3671</v>
      </c>
    </row>
    <row r="2353" customFormat="false" ht="15" hidden="false" customHeight="false" outlineLevel="0" collapsed="false">
      <c r="A2353" s="0" t="n">
        <v>38439</v>
      </c>
      <c r="B2353" s="0" t="s">
        <v>5727</v>
      </c>
      <c r="C2353" s="0" t="s">
        <v>31</v>
      </c>
      <c r="D2353" s="0" t="s">
        <v>3671</v>
      </c>
    </row>
    <row r="2354" customFormat="false" ht="15" hidden="false" customHeight="false" outlineLevel="0" collapsed="false">
      <c r="A2354" s="0" t="n">
        <v>10836</v>
      </c>
      <c r="B2354" s="0" t="s">
        <v>5728</v>
      </c>
      <c r="C2354" s="0" t="s">
        <v>31</v>
      </c>
      <c r="D2354" s="0" t="s">
        <v>3671</v>
      </c>
      <c r="E2354" s="0" t="n">
        <v>21.58</v>
      </c>
    </row>
    <row r="2355" customFormat="false" ht="15" hidden="false" customHeight="false" outlineLevel="0" collapsed="false">
      <c r="A2355" s="0" t="n">
        <v>3510</v>
      </c>
      <c r="B2355" s="0" t="s">
        <v>5729</v>
      </c>
      <c r="C2355" s="0" t="s">
        <v>31</v>
      </c>
      <c r="D2355" s="0" t="s">
        <v>3671</v>
      </c>
      <c r="E2355" s="0" t="n">
        <v>12.65</v>
      </c>
    </row>
    <row r="2356" customFormat="false" ht="15" hidden="false" customHeight="false" outlineLevel="0" collapsed="false">
      <c r="A2356" s="0" t="n">
        <v>10835</v>
      </c>
      <c r="B2356" s="0" t="s">
        <v>2149</v>
      </c>
      <c r="C2356" s="0" t="s">
        <v>31</v>
      </c>
      <c r="D2356" s="0" t="s">
        <v>3671</v>
      </c>
      <c r="E2356" s="0" t="n">
        <v>6.02</v>
      </c>
    </row>
    <row r="2357" customFormat="false" ht="15" hidden="false" customHeight="false" outlineLevel="0" collapsed="false">
      <c r="A2357" s="0" t="n">
        <v>3485</v>
      </c>
      <c r="B2357" s="0" t="s">
        <v>5730</v>
      </c>
      <c r="C2357" s="0" t="s">
        <v>31</v>
      </c>
      <c r="D2357" s="0" t="s">
        <v>3671</v>
      </c>
      <c r="E2357" s="0" t="n">
        <v>13.31</v>
      </c>
    </row>
    <row r="2358" customFormat="false" ht="15" hidden="false" customHeight="false" outlineLevel="0" collapsed="false">
      <c r="A2358" s="0" t="n">
        <v>3475</v>
      </c>
      <c r="B2358" s="0" t="s">
        <v>5731</v>
      </c>
      <c r="C2358" s="0" t="s">
        <v>31</v>
      </c>
      <c r="D2358" s="0" t="s">
        <v>3671</v>
      </c>
      <c r="E2358" s="0" t="n">
        <v>4.81</v>
      </c>
    </row>
    <row r="2359" customFormat="false" ht="15" hidden="false" customHeight="false" outlineLevel="0" collapsed="false">
      <c r="A2359" s="0" t="n">
        <v>3534</v>
      </c>
      <c r="B2359" s="0" t="s">
        <v>5732</v>
      </c>
      <c r="C2359" s="0" t="s">
        <v>31</v>
      </c>
      <c r="D2359" s="0" t="s">
        <v>3671</v>
      </c>
      <c r="E2359" s="0" t="n">
        <v>7.63</v>
      </c>
    </row>
    <row r="2360" customFormat="false" ht="15" hidden="false" customHeight="false" outlineLevel="0" collapsed="false">
      <c r="A2360" s="0" t="n">
        <v>3482</v>
      </c>
      <c r="B2360" s="0" t="s">
        <v>5733</v>
      </c>
      <c r="C2360" s="0" t="s">
        <v>31</v>
      </c>
      <c r="D2360" s="0" t="s">
        <v>3671</v>
      </c>
      <c r="E2360" s="0" t="n">
        <v>5.46</v>
      </c>
    </row>
    <row r="2361" customFormat="false" ht="15" hidden="false" customHeight="false" outlineLevel="0" collapsed="false">
      <c r="A2361" s="0" t="n">
        <v>3543</v>
      </c>
      <c r="B2361" s="0" t="s">
        <v>5734</v>
      </c>
      <c r="C2361" s="0" t="s">
        <v>31</v>
      </c>
      <c r="D2361" s="0" t="s">
        <v>3671</v>
      </c>
      <c r="E2361" s="0" t="n">
        <v>1.77</v>
      </c>
    </row>
    <row r="2362" customFormat="false" ht="15" hidden="false" customHeight="false" outlineLevel="0" collapsed="false">
      <c r="A2362" s="0" t="n">
        <v>3505</v>
      </c>
      <c r="B2362" s="0" t="s">
        <v>5735</v>
      </c>
      <c r="C2362" s="0" t="s">
        <v>31</v>
      </c>
      <c r="D2362" s="0" t="s">
        <v>3671</v>
      </c>
      <c r="E2362" s="0" t="n">
        <v>2.63</v>
      </c>
    </row>
    <row r="2363" customFormat="false" ht="15" hidden="false" customHeight="false" outlineLevel="0" collapsed="false">
      <c r="A2363" s="0" t="n">
        <v>3521</v>
      </c>
      <c r="B2363" s="0" t="s">
        <v>5736</v>
      </c>
      <c r="C2363" s="0" t="s">
        <v>31</v>
      </c>
      <c r="D2363" s="0" t="s">
        <v>3671</v>
      </c>
      <c r="E2363" s="0" t="n">
        <v>1.98</v>
      </c>
    </row>
    <row r="2364" customFormat="false" ht="15" hidden="false" customHeight="false" outlineLevel="0" collapsed="false">
      <c r="A2364" s="0" t="n">
        <v>3531</v>
      </c>
      <c r="B2364" s="0" t="s">
        <v>5737</v>
      </c>
      <c r="C2364" s="0" t="s">
        <v>31</v>
      </c>
      <c r="D2364" s="0" t="s">
        <v>3671</v>
      </c>
      <c r="E2364" s="0" t="n">
        <v>3.78</v>
      </c>
    </row>
    <row r="2365" customFormat="false" ht="15" hidden="false" customHeight="false" outlineLevel="0" collapsed="false">
      <c r="A2365" s="0" t="n">
        <v>3522</v>
      </c>
      <c r="B2365" s="0" t="s">
        <v>2098</v>
      </c>
      <c r="C2365" s="0" t="s">
        <v>31</v>
      </c>
      <c r="D2365" s="0" t="s">
        <v>3671</v>
      </c>
      <c r="E2365" s="0" t="n">
        <v>2.44</v>
      </c>
    </row>
    <row r="2366" customFormat="false" ht="15" hidden="false" customHeight="false" outlineLevel="0" collapsed="false">
      <c r="A2366" s="0" t="n">
        <v>3527</v>
      </c>
      <c r="B2366" s="0" t="s">
        <v>5738</v>
      </c>
      <c r="C2366" s="0" t="s">
        <v>31</v>
      </c>
      <c r="D2366" s="0" t="s">
        <v>3671</v>
      </c>
      <c r="E2366" s="0" t="n">
        <v>12.82</v>
      </c>
    </row>
    <row r="2367" customFormat="false" ht="15" hidden="false" customHeight="false" outlineLevel="0" collapsed="false">
      <c r="A2367" s="0" t="n">
        <v>3530</v>
      </c>
      <c r="B2367" s="0" t="s">
        <v>5739</v>
      </c>
      <c r="C2367" s="0" t="s">
        <v>31</v>
      </c>
      <c r="D2367" s="0" t="s">
        <v>3671</v>
      </c>
      <c r="E2367" s="0" t="n">
        <v>207.66</v>
      </c>
    </row>
    <row r="2368" customFormat="false" ht="15" hidden="false" customHeight="false" outlineLevel="0" collapsed="false">
      <c r="A2368" s="0" t="n">
        <v>3542</v>
      </c>
      <c r="B2368" s="0" t="s">
        <v>5740</v>
      </c>
      <c r="C2368" s="0" t="s">
        <v>31</v>
      </c>
      <c r="D2368" s="0" t="s">
        <v>3671</v>
      </c>
      <c r="E2368" s="0" t="n">
        <v>0.59</v>
      </c>
    </row>
    <row r="2369" customFormat="false" ht="15" hidden="false" customHeight="false" outlineLevel="0" collapsed="false">
      <c r="A2369" s="0" t="n">
        <v>3529</v>
      </c>
      <c r="B2369" s="0" t="s">
        <v>2106</v>
      </c>
      <c r="C2369" s="0" t="s">
        <v>31</v>
      </c>
      <c r="D2369" s="0" t="s">
        <v>3671</v>
      </c>
      <c r="E2369" s="0" t="n">
        <v>0.73</v>
      </c>
    </row>
    <row r="2370" customFormat="false" ht="15" hidden="false" customHeight="false" outlineLevel="0" collapsed="false">
      <c r="A2370" s="0" t="n">
        <v>3536</v>
      </c>
      <c r="B2370" s="0" t="s">
        <v>2313</v>
      </c>
      <c r="C2370" s="0" t="s">
        <v>31</v>
      </c>
      <c r="D2370" s="0" t="s">
        <v>3671</v>
      </c>
      <c r="E2370" s="0" t="n">
        <v>2.43</v>
      </c>
    </row>
    <row r="2371" customFormat="false" ht="15" hidden="false" customHeight="false" outlineLevel="0" collapsed="false">
      <c r="A2371" s="0" t="n">
        <v>3535</v>
      </c>
      <c r="B2371" s="0" t="s">
        <v>2837</v>
      </c>
      <c r="C2371" s="0" t="s">
        <v>31</v>
      </c>
      <c r="D2371" s="0" t="s">
        <v>3671</v>
      </c>
      <c r="E2371" s="0" t="n">
        <v>5.93</v>
      </c>
    </row>
    <row r="2372" customFormat="false" ht="15" hidden="false" customHeight="false" outlineLevel="0" collapsed="false">
      <c r="A2372" s="0" t="n">
        <v>3540</v>
      </c>
      <c r="B2372" s="0" t="s">
        <v>2315</v>
      </c>
      <c r="C2372" s="0" t="s">
        <v>31</v>
      </c>
      <c r="D2372" s="0" t="s">
        <v>3671</v>
      </c>
      <c r="E2372" s="0" t="n">
        <v>5.01</v>
      </c>
    </row>
    <row r="2373" customFormat="false" ht="15" hidden="false" customHeight="false" outlineLevel="0" collapsed="false">
      <c r="A2373" s="0" t="n">
        <v>3539</v>
      </c>
      <c r="B2373" s="0" t="s">
        <v>5741</v>
      </c>
      <c r="C2373" s="0" t="s">
        <v>31</v>
      </c>
      <c r="D2373" s="0" t="s">
        <v>3671</v>
      </c>
      <c r="E2373" s="0" t="n">
        <v>29.06</v>
      </c>
    </row>
    <row r="2374" customFormat="false" ht="15" hidden="false" customHeight="false" outlineLevel="0" collapsed="false">
      <c r="A2374" s="0" t="n">
        <v>3513</v>
      </c>
      <c r="B2374" s="0" t="s">
        <v>5742</v>
      </c>
      <c r="C2374" s="0" t="s">
        <v>31</v>
      </c>
      <c r="D2374" s="0" t="s">
        <v>3671</v>
      </c>
      <c r="E2374" s="0" t="n">
        <v>102.48</v>
      </c>
    </row>
    <row r="2375" customFormat="false" ht="15" hidden="false" customHeight="false" outlineLevel="0" collapsed="false">
      <c r="A2375" s="0" t="n">
        <v>3516</v>
      </c>
      <c r="B2375" s="0" t="s">
        <v>2135</v>
      </c>
      <c r="C2375" s="0" t="s">
        <v>31</v>
      </c>
      <c r="D2375" s="0" t="s">
        <v>3671</v>
      </c>
      <c r="E2375" s="0" t="n">
        <v>2.49</v>
      </c>
    </row>
    <row r="2376" customFormat="false" ht="15" hidden="false" customHeight="false" outlineLevel="0" collapsed="false">
      <c r="A2376" s="0" t="n">
        <v>3517</v>
      </c>
      <c r="B2376" s="0" t="s">
        <v>2143</v>
      </c>
      <c r="C2376" s="0" t="s">
        <v>31</v>
      </c>
      <c r="D2376" s="0" t="s">
        <v>3671</v>
      </c>
      <c r="E2376" s="0" t="n">
        <v>2.24</v>
      </c>
    </row>
    <row r="2377" customFormat="false" ht="15" hidden="false" customHeight="false" outlineLevel="0" collapsed="false">
      <c r="A2377" s="0" t="n">
        <v>3515</v>
      </c>
      <c r="B2377" s="0" t="s">
        <v>5743</v>
      </c>
      <c r="C2377" s="0" t="s">
        <v>31</v>
      </c>
      <c r="D2377" s="0" t="s">
        <v>3671</v>
      </c>
      <c r="E2377" s="0" t="n">
        <v>6.54</v>
      </c>
    </row>
    <row r="2378" customFormat="false" ht="15" hidden="false" customHeight="false" outlineLevel="0" collapsed="false">
      <c r="A2378" s="0" t="n">
        <v>20147</v>
      </c>
      <c r="B2378" s="0" t="s">
        <v>2347</v>
      </c>
      <c r="C2378" s="0" t="s">
        <v>31</v>
      </c>
      <c r="D2378" s="0" t="s">
        <v>3671</v>
      </c>
      <c r="E2378" s="0" t="n">
        <v>5.38</v>
      </c>
    </row>
    <row r="2379" customFormat="false" ht="15" hidden="false" customHeight="false" outlineLevel="0" collapsed="false">
      <c r="A2379" s="0" t="n">
        <v>3524</v>
      </c>
      <c r="B2379" s="0" t="s">
        <v>2345</v>
      </c>
      <c r="C2379" s="0" t="s">
        <v>31</v>
      </c>
      <c r="D2379" s="0" t="s">
        <v>3671</v>
      </c>
      <c r="E2379" s="0" t="n">
        <v>8.09</v>
      </c>
    </row>
    <row r="2380" customFormat="false" ht="15" hidden="false" customHeight="false" outlineLevel="0" collapsed="false">
      <c r="A2380" s="0" t="n">
        <v>3532</v>
      </c>
      <c r="B2380" s="0" t="s">
        <v>5744</v>
      </c>
      <c r="C2380" s="0" t="s">
        <v>31</v>
      </c>
      <c r="D2380" s="0" t="s">
        <v>3671</v>
      </c>
      <c r="E2380" s="0" t="n">
        <v>18.7</v>
      </c>
    </row>
    <row r="2381" customFormat="false" ht="15" hidden="false" customHeight="false" outlineLevel="0" collapsed="false">
      <c r="A2381" s="0" t="n">
        <v>3528</v>
      </c>
      <c r="B2381" s="0" t="s">
        <v>2133</v>
      </c>
      <c r="C2381" s="0" t="s">
        <v>31</v>
      </c>
      <c r="D2381" s="0" t="s">
        <v>3671</v>
      </c>
      <c r="E2381" s="0" t="n">
        <v>9.72</v>
      </c>
    </row>
    <row r="2382" customFormat="false" ht="15" hidden="false" customHeight="false" outlineLevel="0" collapsed="false">
      <c r="A2382" s="0" t="n">
        <v>37952</v>
      </c>
      <c r="B2382" s="0" t="s">
        <v>5745</v>
      </c>
      <c r="C2382" s="0" t="s">
        <v>31</v>
      </c>
      <c r="D2382" s="0" t="s">
        <v>3671</v>
      </c>
      <c r="E2382" s="0" t="n">
        <v>69.64</v>
      </c>
    </row>
    <row r="2383" customFormat="false" ht="15" hidden="false" customHeight="false" outlineLevel="0" collapsed="false">
      <c r="A2383" s="0" t="n">
        <v>37951</v>
      </c>
      <c r="B2383" s="0" t="s">
        <v>5746</v>
      </c>
      <c r="C2383" s="0" t="s">
        <v>31</v>
      </c>
      <c r="D2383" s="0" t="s">
        <v>3671</v>
      </c>
      <c r="E2383" s="0" t="n">
        <v>2.62</v>
      </c>
    </row>
    <row r="2384" customFormat="false" ht="15" hidden="false" customHeight="false" outlineLevel="0" collapsed="false">
      <c r="A2384" s="0" t="n">
        <v>3518</v>
      </c>
      <c r="B2384" s="0" t="s">
        <v>2137</v>
      </c>
      <c r="C2384" s="0" t="s">
        <v>31</v>
      </c>
      <c r="D2384" s="0" t="s">
        <v>3671</v>
      </c>
      <c r="E2384" s="0" t="n">
        <v>4.03</v>
      </c>
    </row>
    <row r="2385" customFormat="false" ht="15" hidden="false" customHeight="false" outlineLevel="0" collapsed="false">
      <c r="A2385" s="0" t="n">
        <v>3519</v>
      </c>
      <c r="B2385" s="0" t="s">
        <v>2139</v>
      </c>
      <c r="C2385" s="0" t="s">
        <v>31</v>
      </c>
      <c r="D2385" s="0" t="s">
        <v>3671</v>
      </c>
      <c r="E2385" s="0" t="n">
        <v>8.43</v>
      </c>
    </row>
    <row r="2386" customFormat="false" ht="15" hidden="false" customHeight="false" outlineLevel="0" collapsed="false">
      <c r="A2386" s="0" t="n">
        <v>3520</v>
      </c>
      <c r="B2386" s="0" t="s">
        <v>2141</v>
      </c>
      <c r="C2386" s="0" t="s">
        <v>31</v>
      </c>
      <c r="D2386" s="0" t="s">
        <v>3671</v>
      </c>
      <c r="E2386" s="0" t="n">
        <v>8.83</v>
      </c>
    </row>
    <row r="2387" customFormat="false" ht="15" hidden="false" customHeight="false" outlineLevel="0" collapsed="false">
      <c r="A2387" s="0" t="n">
        <v>37950</v>
      </c>
      <c r="B2387" s="0" t="s">
        <v>5747</v>
      </c>
      <c r="C2387" s="0" t="s">
        <v>31</v>
      </c>
      <c r="D2387" s="0" t="s">
        <v>3671</v>
      </c>
      <c r="E2387" s="0" t="n">
        <v>64.11</v>
      </c>
    </row>
    <row r="2388" customFormat="false" ht="15" hidden="false" customHeight="false" outlineLevel="0" collapsed="false">
      <c r="A2388" s="0" t="n">
        <v>37949</v>
      </c>
      <c r="B2388" s="0" t="s">
        <v>5748</v>
      </c>
      <c r="C2388" s="0" t="s">
        <v>31</v>
      </c>
      <c r="D2388" s="0" t="s">
        <v>3671</v>
      </c>
      <c r="E2388" s="0" t="n">
        <v>2.36</v>
      </c>
    </row>
    <row r="2389" customFormat="false" ht="15" hidden="false" customHeight="false" outlineLevel="0" collapsed="false">
      <c r="A2389" s="0" t="n">
        <v>3526</v>
      </c>
      <c r="B2389" s="0" t="s">
        <v>2145</v>
      </c>
      <c r="C2389" s="0" t="s">
        <v>31</v>
      </c>
      <c r="D2389" s="0" t="s">
        <v>3671</v>
      </c>
      <c r="E2389" s="0" t="n">
        <v>3.25</v>
      </c>
    </row>
    <row r="2390" customFormat="false" ht="15" hidden="false" customHeight="false" outlineLevel="0" collapsed="false">
      <c r="A2390" s="0" t="n">
        <v>3509</v>
      </c>
      <c r="B2390" s="0" t="s">
        <v>2147</v>
      </c>
      <c r="C2390" s="0" t="s">
        <v>31</v>
      </c>
      <c r="D2390" s="0" t="s">
        <v>3671</v>
      </c>
      <c r="E2390" s="0" t="n">
        <v>7.39</v>
      </c>
    </row>
    <row r="2391" customFormat="false" ht="15" hidden="false" customHeight="false" outlineLevel="0" collapsed="false">
      <c r="A2391" s="0" t="n">
        <v>20151</v>
      </c>
      <c r="B2391" s="0" t="s">
        <v>2225</v>
      </c>
      <c r="C2391" s="0" t="s">
        <v>31</v>
      </c>
      <c r="D2391" s="0" t="s">
        <v>3671</v>
      </c>
      <c r="E2391" s="0" t="n">
        <v>21.71</v>
      </c>
    </row>
    <row r="2392" customFormat="false" ht="15" hidden="false" customHeight="false" outlineLevel="0" collapsed="false">
      <c r="A2392" s="0" t="n">
        <v>20152</v>
      </c>
      <c r="B2392" s="0" t="s">
        <v>2228</v>
      </c>
      <c r="C2392" s="0" t="s">
        <v>31</v>
      </c>
      <c r="D2392" s="0" t="s">
        <v>3671</v>
      </c>
      <c r="E2392" s="0" t="n">
        <v>78.58</v>
      </c>
    </row>
    <row r="2393" customFormat="false" ht="15" hidden="false" customHeight="false" outlineLevel="0" collapsed="false">
      <c r="A2393" s="0" t="n">
        <v>20148</v>
      </c>
      <c r="B2393" s="0" t="s">
        <v>5749</v>
      </c>
      <c r="C2393" s="0" t="s">
        <v>31</v>
      </c>
      <c r="D2393" s="0" t="s">
        <v>3671</v>
      </c>
      <c r="E2393" s="0" t="n">
        <v>4.27</v>
      </c>
    </row>
    <row r="2394" customFormat="false" ht="15" hidden="false" customHeight="false" outlineLevel="0" collapsed="false">
      <c r="A2394" s="0" t="n">
        <v>20149</v>
      </c>
      <c r="B2394" s="0" t="s">
        <v>5750</v>
      </c>
      <c r="C2394" s="0" t="s">
        <v>31</v>
      </c>
      <c r="D2394" s="0" t="s">
        <v>3671</v>
      </c>
      <c r="E2394" s="0" t="n">
        <v>7.13</v>
      </c>
    </row>
    <row r="2395" customFormat="false" ht="15" hidden="false" customHeight="false" outlineLevel="0" collapsed="false">
      <c r="A2395" s="0" t="n">
        <v>20150</v>
      </c>
      <c r="B2395" s="0" t="s">
        <v>2231</v>
      </c>
      <c r="C2395" s="0" t="s">
        <v>31</v>
      </c>
      <c r="D2395" s="0" t="s">
        <v>3671</v>
      </c>
      <c r="E2395" s="0" t="n">
        <v>18.38</v>
      </c>
    </row>
    <row r="2396" customFormat="false" ht="15" hidden="false" customHeight="false" outlineLevel="0" collapsed="false">
      <c r="A2396" s="0" t="n">
        <v>20157</v>
      </c>
      <c r="B2396" s="0" t="s">
        <v>2233</v>
      </c>
      <c r="C2396" s="0" t="s">
        <v>31</v>
      </c>
      <c r="D2396" s="0" t="s">
        <v>3671</v>
      </c>
      <c r="E2396" s="0" t="n">
        <v>20.63</v>
      </c>
    </row>
    <row r="2397" customFormat="false" ht="15" hidden="false" customHeight="false" outlineLevel="0" collapsed="false">
      <c r="A2397" s="0" t="n">
        <v>20158</v>
      </c>
      <c r="B2397" s="0" t="s">
        <v>2235</v>
      </c>
      <c r="C2397" s="0" t="s">
        <v>31</v>
      </c>
      <c r="D2397" s="0" t="s">
        <v>3671</v>
      </c>
      <c r="E2397" s="0" t="n">
        <v>81.91</v>
      </c>
    </row>
    <row r="2398" customFormat="false" ht="15" hidden="false" customHeight="false" outlineLevel="0" collapsed="false">
      <c r="A2398" s="0" t="n">
        <v>20154</v>
      </c>
      <c r="B2398" s="0" t="s">
        <v>5751</v>
      </c>
      <c r="C2398" s="0" t="s">
        <v>31</v>
      </c>
      <c r="D2398" s="0" t="s">
        <v>3671</v>
      </c>
      <c r="E2398" s="0" t="n">
        <v>4.18</v>
      </c>
    </row>
    <row r="2399" customFormat="false" ht="15" hidden="false" customHeight="false" outlineLevel="0" collapsed="false">
      <c r="A2399" s="0" t="n">
        <v>20155</v>
      </c>
      <c r="B2399" s="0" t="s">
        <v>2834</v>
      </c>
      <c r="C2399" s="0" t="s">
        <v>31</v>
      </c>
      <c r="D2399" s="0" t="s">
        <v>3671</v>
      </c>
      <c r="E2399" s="0" t="n">
        <v>6.37</v>
      </c>
    </row>
    <row r="2400" customFormat="false" ht="15" hidden="false" customHeight="false" outlineLevel="0" collapsed="false">
      <c r="A2400" s="0" t="n">
        <v>20156</v>
      </c>
      <c r="B2400" s="0" t="s">
        <v>5752</v>
      </c>
      <c r="C2400" s="0" t="s">
        <v>31</v>
      </c>
      <c r="D2400" s="0" t="s">
        <v>3671</v>
      </c>
      <c r="E2400" s="0" t="n">
        <v>17.89</v>
      </c>
    </row>
    <row r="2401" customFormat="false" ht="15" hidden="false" customHeight="false" outlineLevel="0" collapsed="false">
      <c r="A2401" s="0" t="n">
        <v>3499</v>
      </c>
      <c r="B2401" s="0" t="s">
        <v>5753</v>
      </c>
      <c r="C2401" s="0" t="s">
        <v>31</v>
      </c>
      <c r="D2401" s="0" t="s">
        <v>3671</v>
      </c>
      <c r="E2401" s="0" t="n">
        <v>1.14</v>
      </c>
    </row>
    <row r="2402" customFormat="false" ht="15" hidden="false" customHeight="false" outlineLevel="0" collapsed="false">
      <c r="A2402" s="0" t="n">
        <v>3500</v>
      </c>
      <c r="B2402" s="0" t="s">
        <v>2104</v>
      </c>
      <c r="C2402" s="0" t="s">
        <v>31</v>
      </c>
      <c r="D2402" s="0" t="s">
        <v>3671</v>
      </c>
      <c r="E2402" s="0" t="n">
        <v>1.51</v>
      </c>
    </row>
    <row r="2403" customFormat="false" ht="15" hidden="false" customHeight="false" outlineLevel="0" collapsed="false">
      <c r="A2403" s="0" t="n">
        <v>3501</v>
      </c>
      <c r="B2403" s="0" t="s">
        <v>5754</v>
      </c>
      <c r="C2403" s="0" t="s">
        <v>31</v>
      </c>
      <c r="D2403" s="0" t="s">
        <v>3671</v>
      </c>
      <c r="E2403" s="0" t="n">
        <v>4.16</v>
      </c>
    </row>
    <row r="2404" customFormat="false" ht="15" hidden="false" customHeight="false" outlineLevel="0" collapsed="false">
      <c r="A2404" s="0" t="n">
        <v>3502</v>
      </c>
      <c r="B2404" s="0" t="s">
        <v>2832</v>
      </c>
      <c r="C2404" s="0" t="s">
        <v>31</v>
      </c>
      <c r="D2404" s="0" t="s">
        <v>3671</v>
      </c>
      <c r="E2404" s="0" t="n">
        <v>5.98</v>
      </c>
    </row>
    <row r="2405" customFormat="false" ht="15" hidden="false" customHeight="false" outlineLevel="0" collapsed="false">
      <c r="A2405" s="0" t="n">
        <v>3503</v>
      </c>
      <c r="B2405" s="0" t="s">
        <v>2308</v>
      </c>
      <c r="C2405" s="0" t="s">
        <v>31</v>
      </c>
      <c r="D2405" s="0" t="s">
        <v>3671</v>
      </c>
      <c r="E2405" s="0" t="n">
        <v>7.52</v>
      </c>
    </row>
    <row r="2406" customFormat="false" ht="15" hidden="false" customHeight="false" outlineLevel="0" collapsed="false">
      <c r="A2406" s="0" t="n">
        <v>3477</v>
      </c>
      <c r="B2406" s="0" t="s">
        <v>5755</v>
      </c>
      <c r="C2406" s="0" t="s">
        <v>31</v>
      </c>
      <c r="D2406" s="0" t="s">
        <v>3671</v>
      </c>
      <c r="E2406" s="0" t="n">
        <v>27.31</v>
      </c>
    </row>
    <row r="2407" customFormat="false" ht="15" hidden="false" customHeight="false" outlineLevel="0" collapsed="false">
      <c r="A2407" s="0" t="n">
        <v>3478</v>
      </c>
      <c r="B2407" s="0" t="s">
        <v>2310</v>
      </c>
      <c r="C2407" s="0" t="s">
        <v>31</v>
      </c>
      <c r="D2407" s="0" t="s">
        <v>3671</v>
      </c>
      <c r="E2407" s="0" t="n">
        <v>65.48</v>
      </c>
    </row>
    <row r="2408" customFormat="false" ht="15" hidden="false" customHeight="false" outlineLevel="0" collapsed="false">
      <c r="A2408" s="0" t="n">
        <v>3525</v>
      </c>
      <c r="B2408" s="0" t="s">
        <v>5756</v>
      </c>
      <c r="C2408" s="0" t="s">
        <v>31</v>
      </c>
      <c r="D2408" s="0" t="s">
        <v>3671</v>
      </c>
      <c r="E2408" s="0" t="n">
        <v>80.81</v>
      </c>
    </row>
    <row r="2409" customFormat="false" ht="15" hidden="false" customHeight="false" outlineLevel="0" collapsed="false">
      <c r="A2409" s="0" t="n">
        <v>3511</v>
      </c>
      <c r="B2409" s="0" t="s">
        <v>2317</v>
      </c>
      <c r="C2409" s="0" t="s">
        <v>31</v>
      </c>
      <c r="D2409" s="0" t="s">
        <v>3671</v>
      </c>
      <c r="E2409" s="0" t="n">
        <v>85.72</v>
      </c>
    </row>
    <row r="2410" customFormat="false" ht="15" hidden="false" customHeight="false" outlineLevel="0" collapsed="false">
      <c r="A2410" s="0" t="n">
        <v>38913</v>
      </c>
      <c r="B2410" s="0" t="s">
        <v>5757</v>
      </c>
      <c r="C2410" s="0" t="s">
        <v>31</v>
      </c>
      <c r="D2410" s="0" t="s">
        <v>3671</v>
      </c>
    </row>
    <row r="2411" customFormat="false" ht="15" hidden="false" customHeight="false" outlineLevel="0" collapsed="false">
      <c r="A2411" s="0" t="n">
        <v>38914</v>
      </c>
      <c r="B2411" s="0" t="s">
        <v>5758</v>
      </c>
      <c r="C2411" s="0" t="s">
        <v>31</v>
      </c>
      <c r="D2411" s="0" t="s">
        <v>3671</v>
      </c>
    </row>
    <row r="2412" customFormat="false" ht="15" hidden="false" customHeight="false" outlineLevel="0" collapsed="false">
      <c r="A2412" s="0" t="n">
        <v>38915</v>
      </c>
      <c r="B2412" s="0" t="s">
        <v>5759</v>
      </c>
      <c r="C2412" s="0" t="s">
        <v>31</v>
      </c>
      <c r="D2412" s="0" t="s">
        <v>3671</v>
      </c>
    </row>
    <row r="2413" customFormat="false" ht="15" hidden="false" customHeight="false" outlineLevel="0" collapsed="false">
      <c r="A2413" s="0" t="n">
        <v>38916</v>
      </c>
      <c r="B2413" s="0" t="s">
        <v>5760</v>
      </c>
      <c r="C2413" s="0" t="s">
        <v>31</v>
      </c>
      <c r="D2413" s="0" t="s">
        <v>3671</v>
      </c>
    </row>
    <row r="2414" customFormat="false" ht="15" hidden="false" customHeight="false" outlineLevel="0" collapsed="false">
      <c r="A2414" s="0" t="n">
        <v>39300</v>
      </c>
      <c r="B2414" s="0" t="s">
        <v>5761</v>
      </c>
      <c r="C2414" s="0" t="s">
        <v>31</v>
      </c>
      <c r="D2414" s="0" t="s">
        <v>3671</v>
      </c>
    </row>
    <row r="2415" customFormat="false" ht="15" hidden="false" customHeight="false" outlineLevel="0" collapsed="false">
      <c r="A2415" s="0" t="n">
        <v>39301</v>
      </c>
      <c r="B2415" s="0" t="s">
        <v>2757</v>
      </c>
      <c r="C2415" s="0" t="s">
        <v>31</v>
      </c>
      <c r="D2415" s="0" t="s">
        <v>3671</v>
      </c>
    </row>
    <row r="2416" customFormat="false" ht="15" hidden="false" customHeight="false" outlineLevel="0" collapsed="false">
      <c r="A2416" s="0" t="n">
        <v>39302</v>
      </c>
      <c r="B2416" s="0" t="s">
        <v>5762</v>
      </c>
      <c r="C2416" s="0" t="s">
        <v>31</v>
      </c>
      <c r="D2416" s="0" t="s">
        <v>3671</v>
      </c>
    </row>
    <row r="2417" customFormat="false" ht="15" hidden="false" customHeight="false" outlineLevel="0" collapsed="false">
      <c r="A2417" s="0" t="n">
        <v>38941</v>
      </c>
      <c r="B2417" s="0" t="s">
        <v>5763</v>
      </c>
      <c r="C2417" s="0" t="s">
        <v>31</v>
      </c>
      <c r="D2417" s="0" t="s">
        <v>3671</v>
      </c>
    </row>
    <row r="2418" customFormat="false" ht="15" hidden="false" customHeight="false" outlineLevel="0" collapsed="false">
      <c r="A2418" s="0" t="n">
        <v>38923</v>
      </c>
      <c r="B2418" s="0" t="s">
        <v>5764</v>
      </c>
      <c r="C2418" s="0" t="s">
        <v>31</v>
      </c>
      <c r="D2418" s="0" t="s">
        <v>3671</v>
      </c>
    </row>
    <row r="2419" customFormat="false" ht="15" hidden="false" customHeight="false" outlineLevel="0" collapsed="false">
      <c r="A2419" s="0" t="n">
        <v>38925</v>
      </c>
      <c r="B2419" s="0" t="s">
        <v>5765</v>
      </c>
      <c r="C2419" s="0" t="s">
        <v>31</v>
      </c>
      <c r="D2419" s="0" t="s">
        <v>3671</v>
      </c>
    </row>
    <row r="2420" customFormat="false" ht="15" hidden="false" customHeight="false" outlineLevel="0" collapsed="false">
      <c r="A2420" s="0" t="n">
        <v>38926</v>
      </c>
      <c r="B2420" s="0" t="s">
        <v>5766</v>
      </c>
      <c r="C2420" s="0" t="s">
        <v>31</v>
      </c>
      <c r="D2420" s="0" t="s">
        <v>3671</v>
      </c>
    </row>
    <row r="2421" customFormat="false" ht="15" hidden="false" customHeight="false" outlineLevel="0" collapsed="false">
      <c r="A2421" s="0" t="n">
        <v>38927</v>
      </c>
      <c r="B2421" s="0" t="s">
        <v>5767</v>
      </c>
      <c r="C2421" s="0" t="s">
        <v>31</v>
      </c>
      <c r="D2421" s="0" t="s">
        <v>3671</v>
      </c>
    </row>
    <row r="2422" customFormat="false" ht="15" hidden="false" customHeight="false" outlineLevel="0" collapsed="false">
      <c r="A2422" s="0" t="n">
        <v>39304</v>
      </c>
      <c r="B2422" s="0" t="s">
        <v>5768</v>
      </c>
      <c r="C2422" s="0" t="s">
        <v>31</v>
      </c>
      <c r="D2422" s="0" t="s">
        <v>3671</v>
      </c>
    </row>
    <row r="2423" customFormat="false" ht="15" hidden="false" customHeight="false" outlineLevel="0" collapsed="false">
      <c r="A2423" s="0" t="n">
        <v>39305</v>
      </c>
      <c r="B2423" s="0" t="s">
        <v>5769</v>
      </c>
      <c r="C2423" s="0" t="s">
        <v>31</v>
      </c>
      <c r="D2423" s="0" t="s">
        <v>3671</v>
      </c>
    </row>
    <row r="2424" customFormat="false" ht="15" hidden="false" customHeight="false" outlineLevel="0" collapsed="false">
      <c r="A2424" s="0" t="n">
        <v>39306</v>
      </c>
      <c r="B2424" s="0" t="s">
        <v>5770</v>
      </c>
      <c r="C2424" s="0" t="s">
        <v>31</v>
      </c>
      <c r="D2424" s="0" t="s">
        <v>3671</v>
      </c>
    </row>
    <row r="2425" customFormat="false" ht="15" hidden="false" customHeight="false" outlineLevel="0" collapsed="false">
      <c r="A2425" s="0" t="n">
        <v>38928</v>
      </c>
      <c r="B2425" s="0" t="s">
        <v>5771</v>
      </c>
      <c r="C2425" s="0" t="s">
        <v>31</v>
      </c>
      <c r="D2425" s="0" t="s">
        <v>3671</v>
      </c>
    </row>
    <row r="2426" customFormat="false" ht="15" hidden="false" customHeight="false" outlineLevel="0" collapsed="false">
      <c r="A2426" s="0" t="n">
        <v>38917</v>
      </c>
      <c r="B2426" s="0" t="s">
        <v>5772</v>
      </c>
      <c r="C2426" s="0" t="s">
        <v>31</v>
      </c>
      <c r="D2426" s="0" t="s">
        <v>3671</v>
      </c>
    </row>
    <row r="2427" customFormat="false" ht="15" hidden="false" customHeight="false" outlineLevel="0" collapsed="false">
      <c r="A2427" s="0" t="n">
        <v>38919</v>
      </c>
      <c r="B2427" s="0" t="s">
        <v>5773</v>
      </c>
      <c r="C2427" s="0" t="s">
        <v>31</v>
      </c>
      <c r="D2427" s="0" t="s">
        <v>3671</v>
      </c>
    </row>
    <row r="2428" customFormat="false" ht="15" hidden="false" customHeight="false" outlineLevel="0" collapsed="false">
      <c r="A2428" s="0" t="n">
        <v>38922</v>
      </c>
      <c r="B2428" s="0" t="s">
        <v>5774</v>
      </c>
      <c r="C2428" s="0" t="s">
        <v>31</v>
      </c>
      <c r="D2428" s="0" t="s">
        <v>3671</v>
      </c>
    </row>
    <row r="2429" customFormat="false" ht="15" hidden="false" customHeight="false" outlineLevel="0" collapsed="false">
      <c r="A2429" s="0" t="n">
        <v>12032</v>
      </c>
      <c r="B2429" s="0" t="s">
        <v>5775</v>
      </c>
      <c r="C2429" s="0" t="s">
        <v>1842</v>
      </c>
      <c r="D2429" s="0" t="s">
        <v>3671</v>
      </c>
      <c r="E2429" s="0" t="n">
        <v>62.94</v>
      </c>
    </row>
    <row r="2430" customFormat="false" ht="15" hidden="false" customHeight="false" outlineLevel="0" collapsed="false">
      <c r="A2430" s="0" t="n">
        <v>12030</v>
      </c>
      <c r="B2430" s="0" t="s">
        <v>5776</v>
      </c>
      <c r="C2430" s="0" t="s">
        <v>1842</v>
      </c>
      <c r="D2430" s="0" t="s">
        <v>3671</v>
      </c>
      <c r="E2430" s="0" t="n">
        <v>59.14</v>
      </c>
    </row>
    <row r="2431" customFormat="false" ht="15" hidden="false" customHeight="false" outlineLevel="0" collapsed="false">
      <c r="A2431" s="0" t="n">
        <v>14157</v>
      </c>
      <c r="B2431" s="0" t="s">
        <v>5777</v>
      </c>
      <c r="C2431" s="0" t="s">
        <v>31</v>
      </c>
      <c r="D2431" s="0" t="s">
        <v>3671</v>
      </c>
    </row>
    <row r="2432" customFormat="false" ht="15" hidden="false" customHeight="false" outlineLevel="0" collapsed="false">
      <c r="A2432" s="0" t="n">
        <v>10908</v>
      </c>
      <c r="B2432" s="0" t="s">
        <v>5778</v>
      </c>
      <c r="C2432" s="0" t="s">
        <v>31</v>
      </c>
      <c r="D2432" s="0" t="s">
        <v>3671</v>
      </c>
      <c r="E2432" s="0" t="n">
        <v>20.28</v>
      </c>
    </row>
    <row r="2433" customFormat="false" ht="15" hidden="false" customHeight="false" outlineLevel="0" collapsed="false">
      <c r="A2433" s="0" t="n">
        <v>10909</v>
      </c>
      <c r="B2433" s="0" t="s">
        <v>5779</v>
      </c>
      <c r="C2433" s="0" t="s">
        <v>31</v>
      </c>
      <c r="D2433" s="0" t="s">
        <v>3671</v>
      </c>
      <c r="E2433" s="0" t="n">
        <v>23.59</v>
      </c>
    </row>
    <row r="2434" customFormat="false" ht="15" hidden="false" customHeight="false" outlineLevel="0" collapsed="false">
      <c r="A2434" s="0" t="n">
        <v>3669</v>
      </c>
      <c r="B2434" s="0" t="s">
        <v>5780</v>
      </c>
      <c r="C2434" s="0" t="s">
        <v>31</v>
      </c>
      <c r="D2434" s="0" t="s">
        <v>3671</v>
      </c>
      <c r="E2434" s="0" t="n">
        <v>14.49</v>
      </c>
    </row>
    <row r="2435" customFormat="false" ht="15" hidden="false" customHeight="false" outlineLevel="0" collapsed="false">
      <c r="A2435" s="0" t="n">
        <v>20139</v>
      </c>
      <c r="B2435" s="0" t="s">
        <v>5781</v>
      </c>
      <c r="C2435" s="0" t="s">
        <v>31</v>
      </c>
      <c r="D2435" s="0" t="s">
        <v>3671</v>
      </c>
      <c r="E2435" s="0" t="n">
        <v>124.62</v>
      </c>
    </row>
    <row r="2436" customFormat="false" ht="15" hidden="false" customHeight="false" outlineLevel="0" collapsed="false">
      <c r="A2436" s="0" t="n">
        <v>3668</v>
      </c>
      <c r="B2436" s="0" t="s">
        <v>5782</v>
      </c>
      <c r="C2436" s="0" t="s">
        <v>31</v>
      </c>
      <c r="D2436" s="0" t="s">
        <v>3671</v>
      </c>
      <c r="E2436" s="0" t="n">
        <v>44.51</v>
      </c>
    </row>
    <row r="2437" customFormat="false" ht="15" hidden="false" customHeight="false" outlineLevel="0" collapsed="false">
      <c r="A2437" s="0" t="n">
        <v>10911</v>
      </c>
      <c r="B2437" s="0" t="s">
        <v>5783</v>
      </c>
      <c r="C2437" s="0" t="s">
        <v>31</v>
      </c>
      <c r="D2437" s="0" t="s">
        <v>3671</v>
      </c>
      <c r="E2437" s="0" t="n">
        <v>19.51</v>
      </c>
    </row>
    <row r="2438" customFormat="false" ht="15" hidden="false" customHeight="false" outlineLevel="0" collapsed="false">
      <c r="A2438" s="0" t="n">
        <v>3659</v>
      </c>
      <c r="B2438" s="0" t="s">
        <v>2151</v>
      </c>
      <c r="C2438" s="0" t="s">
        <v>31</v>
      </c>
      <c r="D2438" s="0" t="s">
        <v>3671</v>
      </c>
      <c r="E2438" s="0" t="n">
        <v>19.88</v>
      </c>
    </row>
    <row r="2439" customFormat="false" ht="15" hidden="false" customHeight="false" outlineLevel="0" collapsed="false">
      <c r="A2439" s="0" t="n">
        <v>3660</v>
      </c>
      <c r="B2439" s="0" t="s">
        <v>2153</v>
      </c>
      <c r="C2439" s="0" t="s">
        <v>31</v>
      </c>
      <c r="D2439" s="0" t="s">
        <v>3671</v>
      </c>
      <c r="E2439" s="0" t="n">
        <v>25.71</v>
      </c>
    </row>
    <row r="2440" customFormat="false" ht="15" hidden="false" customHeight="false" outlineLevel="0" collapsed="false">
      <c r="A2440" s="0" t="n">
        <v>20144</v>
      </c>
      <c r="B2440" s="0" t="s">
        <v>2237</v>
      </c>
      <c r="C2440" s="0" t="s">
        <v>31</v>
      </c>
      <c r="D2440" s="0" t="s">
        <v>3671</v>
      </c>
      <c r="E2440" s="0" t="n">
        <v>57.58</v>
      </c>
    </row>
    <row r="2441" customFormat="false" ht="15" hidden="false" customHeight="false" outlineLevel="0" collapsed="false">
      <c r="A2441" s="0" t="n">
        <v>20143</v>
      </c>
      <c r="B2441" s="0" t="s">
        <v>5784</v>
      </c>
      <c r="C2441" s="0" t="s">
        <v>31</v>
      </c>
      <c r="D2441" s="0" t="s">
        <v>3671</v>
      </c>
      <c r="E2441" s="0" t="n">
        <v>73.67</v>
      </c>
    </row>
    <row r="2442" customFormat="false" ht="15" hidden="false" customHeight="false" outlineLevel="0" collapsed="false">
      <c r="A2442" s="0" t="n">
        <v>20145</v>
      </c>
      <c r="B2442" s="0" t="s">
        <v>2241</v>
      </c>
      <c r="C2442" s="0" t="s">
        <v>31</v>
      </c>
      <c r="D2442" s="0" t="s">
        <v>3671</v>
      </c>
      <c r="E2442" s="0" t="n">
        <v>142.1</v>
      </c>
    </row>
    <row r="2443" customFormat="false" ht="15" hidden="false" customHeight="false" outlineLevel="0" collapsed="false">
      <c r="A2443" s="0" t="n">
        <v>20146</v>
      </c>
      <c r="B2443" s="0" t="s">
        <v>2239</v>
      </c>
      <c r="C2443" s="0" t="s">
        <v>31</v>
      </c>
      <c r="D2443" s="0" t="s">
        <v>3671</v>
      </c>
      <c r="E2443" s="0" t="n">
        <v>194.25</v>
      </c>
    </row>
    <row r="2444" customFormat="false" ht="15" hidden="false" customHeight="false" outlineLevel="0" collapsed="false">
      <c r="A2444" s="0" t="n">
        <v>20140</v>
      </c>
      <c r="B2444" s="0" t="s">
        <v>5785</v>
      </c>
      <c r="C2444" s="0" t="s">
        <v>31</v>
      </c>
      <c r="D2444" s="0" t="s">
        <v>3671</v>
      </c>
      <c r="E2444" s="0" t="n">
        <v>9.11</v>
      </c>
    </row>
    <row r="2445" customFormat="false" ht="15" hidden="false" customHeight="false" outlineLevel="0" collapsed="false">
      <c r="A2445" s="0" t="n">
        <v>20141</v>
      </c>
      <c r="B2445" s="0" t="s">
        <v>5786</v>
      </c>
      <c r="C2445" s="0" t="s">
        <v>31</v>
      </c>
      <c r="D2445" s="0" t="s">
        <v>3671</v>
      </c>
      <c r="E2445" s="0" t="n">
        <v>22.32</v>
      </c>
    </row>
    <row r="2446" customFormat="false" ht="15" hidden="false" customHeight="false" outlineLevel="0" collapsed="false">
      <c r="A2446" s="0" t="n">
        <v>20142</v>
      </c>
      <c r="B2446" s="0" t="s">
        <v>5787</v>
      </c>
      <c r="C2446" s="0" t="s">
        <v>31</v>
      </c>
      <c r="D2446" s="0" t="s">
        <v>3671</v>
      </c>
      <c r="E2446" s="0" t="n">
        <v>39.26</v>
      </c>
    </row>
    <row r="2447" customFormat="false" ht="15" hidden="false" customHeight="false" outlineLevel="0" collapsed="false">
      <c r="A2447" s="0" t="n">
        <v>3670</v>
      </c>
      <c r="B2447" s="0" t="s">
        <v>2158</v>
      </c>
      <c r="C2447" s="0" t="s">
        <v>31</v>
      </c>
      <c r="D2447" s="0" t="s">
        <v>3671</v>
      </c>
      <c r="E2447" s="0" t="n">
        <v>25.53</v>
      </c>
    </row>
    <row r="2448" customFormat="false" ht="15" hidden="false" customHeight="false" outlineLevel="0" collapsed="false">
      <c r="A2448" s="0" t="n">
        <v>3666</v>
      </c>
      <c r="B2448" s="0" t="s">
        <v>2160</v>
      </c>
      <c r="C2448" s="0" t="s">
        <v>31</v>
      </c>
      <c r="D2448" s="0" t="s">
        <v>3671</v>
      </c>
      <c r="E2448" s="0" t="n">
        <v>4.02</v>
      </c>
    </row>
    <row r="2449" customFormat="false" ht="15" hidden="false" customHeight="false" outlineLevel="0" collapsed="false">
      <c r="A2449" s="0" t="n">
        <v>3662</v>
      </c>
      <c r="B2449" s="0" t="s">
        <v>2261</v>
      </c>
      <c r="C2449" s="0" t="s">
        <v>31</v>
      </c>
      <c r="D2449" s="0" t="s">
        <v>3671</v>
      </c>
      <c r="E2449" s="0" t="n">
        <v>10.48</v>
      </c>
    </row>
    <row r="2450" customFormat="false" ht="15" hidden="false" customHeight="false" outlineLevel="0" collapsed="false">
      <c r="A2450" s="0" t="n">
        <v>3658</v>
      </c>
      <c r="B2450" s="0" t="s">
        <v>2162</v>
      </c>
      <c r="C2450" s="0" t="s">
        <v>31</v>
      </c>
      <c r="D2450" s="0" t="s">
        <v>3671</v>
      </c>
      <c r="E2450" s="0" t="n">
        <v>19.85</v>
      </c>
    </row>
    <row r="2451" customFormat="false" ht="15" hidden="false" customHeight="false" outlineLevel="0" collapsed="false">
      <c r="A2451" s="0" t="n">
        <v>42696</v>
      </c>
      <c r="B2451" s="0" t="s">
        <v>5788</v>
      </c>
      <c r="C2451" s="0" t="s">
        <v>31</v>
      </c>
      <c r="D2451" s="0" t="s">
        <v>3671</v>
      </c>
      <c r="E2451" s="0" t="n">
        <v>157.41</v>
      </c>
    </row>
    <row r="2452" customFormat="false" ht="15" hidden="false" customHeight="false" outlineLevel="0" collapsed="false">
      <c r="A2452" s="0" t="n">
        <v>39875</v>
      </c>
      <c r="B2452" s="0" t="s">
        <v>5789</v>
      </c>
      <c r="C2452" s="0" t="s">
        <v>31</v>
      </c>
      <c r="D2452" s="0" t="s">
        <v>3671</v>
      </c>
    </row>
    <row r="2453" customFormat="false" ht="15" hidden="false" customHeight="false" outlineLevel="0" collapsed="false">
      <c r="A2453" s="0" t="n">
        <v>39876</v>
      </c>
      <c r="B2453" s="0" t="s">
        <v>5790</v>
      </c>
      <c r="C2453" s="0" t="s">
        <v>31</v>
      </c>
      <c r="D2453" s="0" t="s">
        <v>3671</v>
      </c>
    </row>
    <row r="2454" customFormat="false" ht="15" hidden="false" customHeight="false" outlineLevel="0" collapsed="false">
      <c r="A2454" s="0" t="n">
        <v>39877</v>
      </c>
      <c r="B2454" s="0" t="s">
        <v>5791</v>
      </c>
      <c r="C2454" s="0" t="s">
        <v>31</v>
      </c>
      <c r="D2454" s="0" t="s">
        <v>3671</v>
      </c>
    </row>
    <row r="2455" customFormat="false" ht="15" hidden="false" customHeight="false" outlineLevel="0" collapsed="false">
      <c r="A2455" s="0" t="n">
        <v>39878</v>
      </c>
      <c r="B2455" s="0" t="s">
        <v>5792</v>
      </c>
      <c r="C2455" s="0" t="s">
        <v>31</v>
      </c>
      <c r="D2455" s="0" t="s">
        <v>3671</v>
      </c>
    </row>
    <row r="2456" customFormat="false" ht="15" hidden="false" customHeight="false" outlineLevel="0" collapsed="false">
      <c r="A2456" s="0" t="n">
        <v>39872</v>
      </c>
      <c r="B2456" s="0" t="s">
        <v>5793</v>
      </c>
      <c r="C2456" s="0" t="s">
        <v>31</v>
      </c>
      <c r="D2456" s="0" t="s">
        <v>3671</v>
      </c>
    </row>
    <row r="2457" customFormat="false" ht="15" hidden="false" customHeight="false" outlineLevel="0" collapsed="false">
      <c r="A2457" s="0" t="n">
        <v>39873</v>
      </c>
      <c r="B2457" s="0" t="s">
        <v>5794</v>
      </c>
      <c r="C2457" s="0" t="s">
        <v>31</v>
      </c>
      <c r="D2457" s="0" t="s">
        <v>3671</v>
      </c>
    </row>
    <row r="2458" customFormat="false" ht="15" hidden="false" customHeight="false" outlineLevel="0" collapsed="false">
      <c r="A2458" s="0" t="n">
        <v>39874</v>
      </c>
      <c r="B2458" s="0" t="s">
        <v>5795</v>
      </c>
      <c r="C2458" s="0" t="s">
        <v>31</v>
      </c>
      <c r="D2458" s="0" t="s">
        <v>3671</v>
      </c>
    </row>
    <row r="2459" customFormat="false" ht="15" hidden="false" customHeight="false" outlineLevel="0" collapsed="false">
      <c r="A2459" s="0" t="n">
        <v>3674</v>
      </c>
      <c r="B2459" s="0" t="s">
        <v>5796</v>
      </c>
      <c r="C2459" s="0" t="s">
        <v>1455</v>
      </c>
      <c r="D2459" s="0" t="s">
        <v>3671</v>
      </c>
    </row>
    <row r="2460" customFormat="false" ht="15" hidden="false" customHeight="false" outlineLevel="0" collapsed="false">
      <c r="A2460" s="0" t="n">
        <v>3681</v>
      </c>
      <c r="B2460" s="0" t="s">
        <v>5797</v>
      </c>
      <c r="C2460" s="0" t="s">
        <v>1455</v>
      </c>
      <c r="D2460" s="0" t="s">
        <v>3671</v>
      </c>
    </row>
    <row r="2461" customFormat="false" ht="15" hidden="false" customHeight="false" outlineLevel="0" collapsed="false">
      <c r="A2461" s="0" t="n">
        <v>3676</v>
      </c>
      <c r="B2461" s="0" t="s">
        <v>5798</v>
      </c>
      <c r="C2461" s="0" t="s">
        <v>1455</v>
      </c>
      <c r="D2461" s="0" t="s">
        <v>3671</v>
      </c>
    </row>
    <row r="2462" customFormat="false" ht="15" hidden="false" customHeight="false" outlineLevel="0" collapsed="false">
      <c r="A2462" s="0" t="n">
        <v>3679</v>
      </c>
      <c r="B2462" s="0" t="s">
        <v>5799</v>
      </c>
      <c r="C2462" s="0" t="s">
        <v>1455</v>
      </c>
      <c r="D2462" s="0" t="s">
        <v>3671</v>
      </c>
    </row>
    <row r="2463" customFormat="false" ht="15" hidden="false" customHeight="false" outlineLevel="0" collapsed="false">
      <c r="A2463" s="0" t="n">
        <v>3672</v>
      </c>
      <c r="B2463" s="0" t="s">
        <v>5800</v>
      </c>
      <c r="C2463" s="0" t="s">
        <v>1455</v>
      </c>
      <c r="D2463" s="0" t="s">
        <v>3671</v>
      </c>
    </row>
    <row r="2464" customFormat="false" ht="15" hidden="false" customHeight="false" outlineLevel="0" collapsed="false">
      <c r="A2464" s="0" t="n">
        <v>3671</v>
      </c>
      <c r="B2464" s="0" t="s">
        <v>1544</v>
      </c>
      <c r="C2464" s="0" t="s">
        <v>1455</v>
      </c>
      <c r="D2464" s="0" t="s">
        <v>3676</v>
      </c>
    </row>
    <row r="2465" customFormat="false" ht="15" hidden="false" customHeight="false" outlineLevel="0" collapsed="false">
      <c r="A2465" s="0" t="n">
        <v>3673</v>
      </c>
      <c r="B2465" s="0" t="s">
        <v>5801</v>
      </c>
      <c r="C2465" s="0" t="s">
        <v>1455</v>
      </c>
      <c r="D2465" s="0" t="s">
        <v>3671</v>
      </c>
    </row>
    <row r="2466" customFormat="false" ht="15" hidden="false" customHeight="false" outlineLevel="0" collapsed="false">
      <c r="A2466" s="0" t="n">
        <v>38394</v>
      </c>
      <c r="B2466" s="0" t="s">
        <v>5802</v>
      </c>
      <c r="C2466" s="0" t="s">
        <v>31</v>
      </c>
      <c r="D2466" s="0" t="s">
        <v>3671</v>
      </c>
      <c r="E2466" s="0" t="n">
        <v>351.5</v>
      </c>
    </row>
    <row r="2467" customFormat="false" ht="15" hidden="false" customHeight="false" outlineLevel="0" collapsed="false">
      <c r="A2467" s="0" t="n">
        <v>3729</v>
      </c>
      <c r="B2467" s="0" t="s">
        <v>5803</v>
      </c>
      <c r="C2467" s="0" t="s">
        <v>31</v>
      </c>
      <c r="D2467" s="0" t="s">
        <v>3671</v>
      </c>
      <c r="E2467" s="0" t="n">
        <v>139.24</v>
      </c>
    </row>
    <row r="2468" customFormat="false" ht="15" hidden="false" customHeight="false" outlineLevel="0" collapsed="false">
      <c r="A2468" s="0" t="n">
        <v>39357</v>
      </c>
      <c r="B2468" s="0" t="s">
        <v>5804</v>
      </c>
      <c r="C2468" s="0" t="s">
        <v>31</v>
      </c>
      <c r="D2468" s="0" t="s">
        <v>3671</v>
      </c>
    </row>
    <row r="2469" customFormat="false" ht="15" hidden="false" customHeight="false" outlineLevel="0" collapsed="false">
      <c r="A2469" s="0" t="n">
        <v>39358</v>
      </c>
      <c r="B2469" s="0" t="s">
        <v>5805</v>
      </c>
      <c r="C2469" s="0" t="s">
        <v>31</v>
      </c>
      <c r="D2469" s="0" t="s">
        <v>3671</v>
      </c>
    </row>
    <row r="2470" customFormat="false" ht="15" hidden="false" customHeight="false" outlineLevel="0" collapsed="false">
      <c r="A2470" s="0" t="n">
        <v>39355</v>
      </c>
      <c r="B2470" s="0" t="s">
        <v>5806</v>
      </c>
      <c r="C2470" s="0" t="s">
        <v>31</v>
      </c>
      <c r="D2470" s="0" t="s">
        <v>3671</v>
      </c>
    </row>
    <row r="2471" customFormat="false" ht="15" hidden="false" customHeight="false" outlineLevel="0" collapsed="false">
      <c r="A2471" s="0" t="n">
        <v>39356</v>
      </c>
      <c r="B2471" s="0" t="s">
        <v>5807</v>
      </c>
      <c r="C2471" s="0" t="s">
        <v>31</v>
      </c>
      <c r="D2471" s="0" t="s">
        <v>3671</v>
      </c>
    </row>
    <row r="2472" customFormat="false" ht="15" hidden="false" customHeight="false" outlineLevel="0" collapsed="false">
      <c r="A2472" s="0" t="n">
        <v>39353</v>
      </c>
      <c r="B2472" s="0" t="s">
        <v>5808</v>
      </c>
      <c r="C2472" s="0" t="s">
        <v>31</v>
      </c>
      <c r="D2472" s="0" t="s">
        <v>3671</v>
      </c>
    </row>
    <row r="2473" customFormat="false" ht="15" hidden="false" customHeight="false" outlineLevel="0" collapsed="false">
      <c r="A2473" s="0" t="n">
        <v>39354</v>
      </c>
      <c r="B2473" s="0" t="s">
        <v>5809</v>
      </c>
      <c r="C2473" s="0" t="s">
        <v>31</v>
      </c>
      <c r="D2473" s="0" t="s">
        <v>3671</v>
      </c>
    </row>
    <row r="2474" customFormat="false" ht="15" hidden="false" customHeight="false" outlineLevel="0" collapsed="false">
      <c r="A2474" s="0" t="n">
        <v>39398</v>
      </c>
      <c r="B2474" s="0" t="s">
        <v>5810</v>
      </c>
      <c r="C2474" s="0" t="s">
        <v>31</v>
      </c>
      <c r="D2474" s="0" t="s">
        <v>3671</v>
      </c>
      <c r="E2474" s="0" t="n">
        <v>61.95</v>
      </c>
    </row>
    <row r="2475" customFormat="false" ht="15" hidden="false" customHeight="false" outlineLevel="0" collapsed="false">
      <c r="A2475" s="0" t="n">
        <v>13343</v>
      </c>
      <c r="B2475" s="0" t="s">
        <v>5811</v>
      </c>
      <c r="C2475" s="0" t="s">
        <v>31</v>
      </c>
      <c r="D2475" s="0" t="s">
        <v>3671</v>
      </c>
    </row>
    <row r="2476" customFormat="false" ht="15" hidden="false" customHeight="false" outlineLevel="0" collapsed="false">
      <c r="A2476" s="0" t="n">
        <v>12118</v>
      </c>
      <c r="B2476" s="0" t="s">
        <v>5812</v>
      </c>
      <c r="C2476" s="0" t="s">
        <v>31</v>
      </c>
      <c r="D2476" s="0" t="s">
        <v>3671</v>
      </c>
      <c r="E2476" s="0" t="n">
        <v>20.33</v>
      </c>
    </row>
    <row r="2477" customFormat="false" ht="15" hidden="false" customHeight="false" outlineLevel="0" collapsed="false">
      <c r="A2477" s="0" t="n">
        <v>39482</v>
      </c>
      <c r="B2477" s="0" t="s">
        <v>5813</v>
      </c>
      <c r="C2477" s="0" t="s">
        <v>31</v>
      </c>
      <c r="D2477" s="0" t="s">
        <v>3671</v>
      </c>
      <c r="E2477" s="0" t="n">
        <v>632.13</v>
      </c>
    </row>
    <row r="2478" customFormat="false" ht="15" hidden="false" customHeight="false" outlineLevel="0" collapsed="false">
      <c r="A2478" s="0" t="n">
        <v>39486</v>
      </c>
      <c r="B2478" s="0" t="s">
        <v>5814</v>
      </c>
      <c r="C2478" s="0" t="s">
        <v>31</v>
      </c>
      <c r="D2478" s="0" t="s">
        <v>3671</v>
      </c>
      <c r="E2478" s="0" t="n">
        <v>515.91</v>
      </c>
    </row>
    <row r="2479" customFormat="false" ht="15" hidden="false" customHeight="false" outlineLevel="0" collapsed="false">
      <c r="A2479" s="0" t="n">
        <v>39484</v>
      </c>
      <c r="B2479" s="0" t="s">
        <v>5815</v>
      </c>
      <c r="C2479" s="0" t="s">
        <v>31</v>
      </c>
      <c r="D2479" s="0" t="s">
        <v>3671</v>
      </c>
      <c r="E2479" s="0" t="n">
        <v>632.13</v>
      </c>
    </row>
    <row r="2480" customFormat="false" ht="15" hidden="false" customHeight="false" outlineLevel="0" collapsed="false">
      <c r="A2480" s="0" t="n">
        <v>39488</v>
      </c>
      <c r="B2480" s="0" t="s">
        <v>5816</v>
      </c>
      <c r="C2480" s="0" t="s">
        <v>31</v>
      </c>
      <c r="D2480" s="0" t="s">
        <v>3671</v>
      </c>
      <c r="E2480" s="0" t="n">
        <v>524.35</v>
      </c>
    </row>
    <row r="2481" customFormat="false" ht="15" hidden="false" customHeight="false" outlineLevel="0" collapsed="false">
      <c r="A2481" s="0" t="n">
        <v>39485</v>
      </c>
      <c r="B2481" s="0" t="s">
        <v>5817</v>
      </c>
      <c r="C2481" s="0" t="s">
        <v>31</v>
      </c>
      <c r="D2481" s="0" t="s">
        <v>3671</v>
      </c>
      <c r="E2481" s="0" t="n">
        <v>632.13</v>
      </c>
    </row>
    <row r="2482" customFormat="false" ht="15" hidden="false" customHeight="false" outlineLevel="0" collapsed="false">
      <c r="A2482" s="0" t="n">
        <v>39489</v>
      </c>
      <c r="B2482" s="0" t="s">
        <v>5818</v>
      </c>
      <c r="C2482" s="0" t="s">
        <v>31</v>
      </c>
      <c r="D2482" s="0" t="s">
        <v>3671</v>
      </c>
      <c r="E2482" s="0" t="n">
        <v>533.24</v>
      </c>
    </row>
    <row r="2483" customFormat="false" ht="15" hidden="false" customHeight="false" outlineLevel="0" collapsed="false">
      <c r="A2483" s="0" t="n">
        <v>39490</v>
      </c>
      <c r="B2483" s="0" t="s">
        <v>5819</v>
      </c>
      <c r="C2483" s="0" t="s">
        <v>31</v>
      </c>
      <c r="D2483" s="0" t="s">
        <v>3671</v>
      </c>
      <c r="E2483" s="0" t="n">
        <v>794.6</v>
      </c>
    </row>
    <row r="2484" customFormat="false" ht="15" hidden="false" customHeight="false" outlineLevel="0" collapsed="false">
      <c r="A2484" s="0" t="n">
        <v>39494</v>
      </c>
      <c r="B2484" s="0" t="s">
        <v>5820</v>
      </c>
      <c r="C2484" s="0" t="s">
        <v>31</v>
      </c>
      <c r="D2484" s="0" t="s">
        <v>3671</v>
      </c>
      <c r="E2484" s="0" t="n">
        <v>570.59</v>
      </c>
    </row>
    <row r="2485" customFormat="false" ht="15" hidden="false" customHeight="false" outlineLevel="0" collapsed="false">
      <c r="A2485" s="0" t="n">
        <v>39495</v>
      </c>
      <c r="B2485" s="0" t="s">
        <v>5821</v>
      </c>
      <c r="C2485" s="0" t="s">
        <v>31</v>
      </c>
      <c r="D2485" s="0" t="s">
        <v>3671</v>
      </c>
      <c r="E2485" s="0" t="n">
        <v>642.98</v>
      </c>
    </row>
    <row r="2486" customFormat="false" ht="15" hidden="false" customHeight="false" outlineLevel="0" collapsed="false">
      <c r="A2486" s="0" t="n">
        <v>39496</v>
      </c>
      <c r="B2486" s="0" t="s">
        <v>5822</v>
      </c>
      <c r="C2486" s="0" t="s">
        <v>31</v>
      </c>
      <c r="D2486" s="0" t="s">
        <v>3671</v>
      </c>
      <c r="E2486" s="0" t="n">
        <v>707.28</v>
      </c>
    </row>
    <row r="2487" customFormat="false" ht="15" hidden="false" customHeight="false" outlineLevel="0" collapsed="false">
      <c r="A2487" s="0" t="n">
        <v>39492</v>
      </c>
      <c r="B2487" s="0" t="s">
        <v>5823</v>
      </c>
      <c r="C2487" s="0" t="s">
        <v>31</v>
      </c>
      <c r="D2487" s="0" t="s">
        <v>3671</v>
      </c>
      <c r="E2487" s="0" t="n">
        <v>818.83</v>
      </c>
    </row>
    <row r="2488" customFormat="false" ht="15" hidden="false" customHeight="false" outlineLevel="0" collapsed="false">
      <c r="A2488" s="0" t="n">
        <v>39497</v>
      </c>
      <c r="B2488" s="0" t="s">
        <v>5824</v>
      </c>
      <c r="C2488" s="0" t="s">
        <v>31</v>
      </c>
      <c r="D2488" s="0" t="s">
        <v>3671</v>
      </c>
      <c r="E2488" s="0" t="n">
        <v>739.62</v>
      </c>
    </row>
    <row r="2489" customFormat="false" ht="15" hidden="false" customHeight="false" outlineLevel="0" collapsed="false">
      <c r="A2489" s="0" t="n">
        <v>39493</v>
      </c>
      <c r="B2489" s="0" t="s">
        <v>5825</v>
      </c>
      <c r="C2489" s="0" t="s">
        <v>31</v>
      </c>
      <c r="D2489" s="0" t="s">
        <v>3671</v>
      </c>
      <c r="E2489" s="0" t="n">
        <v>878.28</v>
      </c>
    </row>
    <row r="2490" customFormat="false" ht="15" hidden="false" customHeight="false" outlineLevel="0" collapsed="false">
      <c r="A2490" s="0" t="n">
        <v>43628</v>
      </c>
      <c r="B2490" s="0" t="s">
        <v>5826</v>
      </c>
      <c r="C2490" s="0" t="s">
        <v>31</v>
      </c>
      <c r="D2490" s="0" t="s">
        <v>3671</v>
      </c>
      <c r="E2490" s="0" t="n">
        <v>931.56</v>
      </c>
    </row>
    <row r="2491" customFormat="false" ht="15" hidden="false" customHeight="false" outlineLevel="0" collapsed="false">
      <c r="A2491" s="0" t="n">
        <v>39500</v>
      </c>
      <c r="B2491" s="0" t="s">
        <v>5827</v>
      </c>
      <c r="C2491" s="0" t="s">
        <v>31</v>
      </c>
      <c r="D2491" s="0" t="s">
        <v>3671</v>
      </c>
      <c r="E2491" s="0" t="n">
        <v>958.27</v>
      </c>
    </row>
    <row r="2492" customFormat="false" ht="15" hidden="false" customHeight="false" outlineLevel="0" collapsed="false">
      <c r="A2492" s="0" t="n">
        <v>39498</v>
      </c>
      <c r="B2492" s="0" t="s">
        <v>5828</v>
      </c>
      <c r="C2492" s="0" t="s">
        <v>31</v>
      </c>
      <c r="D2492" s="0" t="s">
        <v>3671</v>
      </c>
      <c r="E2492" s="0" t="n">
        <v>1181.87</v>
      </c>
    </row>
    <row r="2493" customFormat="false" ht="15" hidden="false" customHeight="false" outlineLevel="0" collapsed="false">
      <c r="A2493" s="0" t="n">
        <v>43621</v>
      </c>
      <c r="B2493" s="0" t="s">
        <v>5829</v>
      </c>
      <c r="C2493" s="0" t="s">
        <v>31</v>
      </c>
      <c r="D2493" s="0" t="s">
        <v>3671</v>
      </c>
      <c r="E2493" s="0" t="n">
        <v>989.79</v>
      </c>
    </row>
    <row r="2494" customFormat="false" ht="15" hidden="false" customHeight="false" outlineLevel="0" collapsed="false">
      <c r="A2494" s="0" t="n">
        <v>39501</v>
      </c>
      <c r="B2494" s="0" t="s">
        <v>5830</v>
      </c>
      <c r="C2494" s="0" t="s">
        <v>31</v>
      </c>
      <c r="D2494" s="0" t="s">
        <v>3671</v>
      </c>
      <c r="E2494" s="0" t="n">
        <v>984.22</v>
      </c>
    </row>
    <row r="2495" customFormat="false" ht="15" hidden="false" customHeight="false" outlineLevel="0" collapsed="false">
      <c r="A2495" s="0" t="n">
        <v>39499</v>
      </c>
      <c r="B2495" s="0" t="s">
        <v>5831</v>
      </c>
      <c r="C2495" s="0" t="s">
        <v>31</v>
      </c>
      <c r="D2495" s="0" t="s">
        <v>3671</v>
      </c>
      <c r="E2495" s="0" t="n">
        <v>1198.65</v>
      </c>
    </row>
    <row r="2496" customFormat="false" ht="15" hidden="false" customHeight="false" outlineLevel="0" collapsed="false">
      <c r="A2496" s="0" t="n">
        <v>3733</v>
      </c>
      <c r="B2496" s="0" t="s">
        <v>5832</v>
      </c>
      <c r="C2496" s="0" t="s">
        <v>1477</v>
      </c>
      <c r="D2496" s="0" t="s">
        <v>3671</v>
      </c>
    </row>
    <row r="2497" customFormat="false" ht="15" hidden="false" customHeight="false" outlineLevel="0" collapsed="false">
      <c r="A2497" s="0" t="n">
        <v>3731</v>
      </c>
      <c r="B2497" s="0" t="s">
        <v>5833</v>
      </c>
      <c r="C2497" s="0" t="s">
        <v>1477</v>
      </c>
      <c r="D2497" s="0" t="s">
        <v>3676</v>
      </c>
    </row>
    <row r="2498" customFormat="false" ht="15" hidden="false" customHeight="false" outlineLevel="0" collapsed="false">
      <c r="A2498" s="0" t="n">
        <v>38137</v>
      </c>
      <c r="B2498" s="0" t="s">
        <v>5834</v>
      </c>
      <c r="C2498" s="0" t="s">
        <v>1477</v>
      </c>
      <c r="D2498" s="0" t="s">
        <v>3671</v>
      </c>
    </row>
    <row r="2499" customFormat="false" ht="15" hidden="false" customHeight="false" outlineLevel="0" collapsed="false">
      <c r="A2499" s="0" t="n">
        <v>38138</v>
      </c>
      <c r="B2499" s="0" t="s">
        <v>5835</v>
      </c>
      <c r="C2499" s="0" t="s">
        <v>1477</v>
      </c>
      <c r="D2499" s="0" t="s">
        <v>3671</v>
      </c>
    </row>
    <row r="2500" customFormat="false" ht="15" hidden="false" customHeight="false" outlineLevel="0" collapsed="false">
      <c r="A2500" s="0" t="n">
        <v>3745</v>
      </c>
      <c r="B2500" s="0" t="s">
        <v>5836</v>
      </c>
      <c r="C2500" s="0" t="s">
        <v>1477</v>
      </c>
      <c r="D2500" s="0" t="s">
        <v>3671</v>
      </c>
      <c r="E2500" s="0" t="n">
        <v>48.89</v>
      </c>
    </row>
    <row r="2501" customFormat="false" ht="15" hidden="false" customHeight="false" outlineLevel="0" collapsed="false">
      <c r="A2501" s="0" t="n">
        <v>3736</v>
      </c>
      <c r="B2501" s="0" t="s">
        <v>1760</v>
      </c>
      <c r="C2501" s="0" t="s">
        <v>1477</v>
      </c>
      <c r="D2501" s="0" t="s">
        <v>3676</v>
      </c>
      <c r="E2501" s="0" t="n">
        <v>43.5</v>
      </c>
    </row>
    <row r="2502" customFormat="false" ht="15" hidden="false" customHeight="false" outlineLevel="0" collapsed="false">
      <c r="A2502" s="0" t="n">
        <v>3741</v>
      </c>
      <c r="B2502" s="0" t="s">
        <v>5837</v>
      </c>
      <c r="C2502" s="0" t="s">
        <v>1477</v>
      </c>
      <c r="D2502" s="0" t="s">
        <v>3671</v>
      </c>
      <c r="E2502" s="0" t="n">
        <v>45.34</v>
      </c>
    </row>
    <row r="2503" customFormat="false" ht="15" hidden="false" customHeight="false" outlineLevel="0" collapsed="false">
      <c r="A2503" s="0" t="n">
        <v>3747</v>
      </c>
      <c r="B2503" s="0" t="s">
        <v>5838</v>
      </c>
      <c r="C2503" s="0" t="s">
        <v>1477</v>
      </c>
      <c r="D2503" s="0" t="s">
        <v>3671</v>
      </c>
      <c r="E2503" s="0" t="n">
        <v>49.73</v>
      </c>
    </row>
    <row r="2504" customFormat="false" ht="15" hidden="false" customHeight="false" outlineLevel="0" collapsed="false">
      <c r="A2504" s="0" t="n">
        <v>3743</v>
      </c>
      <c r="B2504" s="0" t="s">
        <v>5839</v>
      </c>
      <c r="C2504" s="0" t="s">
        <v>1477</v>
      </c>
      <c r="D2504" s="0" t="s">
        <v>3671</v>
      </c>
      <c r="E2504" s="0" t="n">
        <v>45.18</v>
      </c>
    </row>
    <row r="2505" customFormat="false" ht="15" hidden="false" customHeight="false" outlineLevel="0" collapsed="false">
      <c r="A2505" s="0" t="n">
        <v>3744</v>
      </c>
      <c r="B2505" s="0" t="s">
        <v>5840</v>
      </c>
      <c r="C2505" s="0" t="s">
        <v>1477</v>
      </c>
      <c r="D2505" s="0" t="s">
        <v>3671</v>
      </c>
      <c r="E2505" s="0" t="n">
        <v>49.73</v>
      </c>
    </row>
    <row r="2506" customFormat="false" ht="15" hidden="false" customHeight="false" outlineLevel="0" collapsed="false">
      <c r="A2506" s="0" t="n">
        <v>3739</v>
      </c>
      <c r="B2506" s="0" t="s">
        <v>5841</v>
      </c>
      <c r="C2506" s="0" t="s">
        <v>1477</v>
      </c>
      <c r="D2506" s="0" t="s">
        <v>3671</v>
      </c>
      <c r="E2506" s="0" t="n">
        <v>52.26</v>
      </c>
    </row>
    <row r="2507" customFormat="false" ht="15" hidden="false" customHeight="false" outlineLevel="0" collapsed="false">
      <c r="A2507" s="0" t="n">
        <v>3737</v>
      </c>
      <c r="B2507" s="0" t="s">
        <v>5842</v>
      </c>
      <c r="C2507" s="0" t="s">
        <v>1477</v>
      </c>
      <c r="D2507" s="0" t="s">
        <v>3671</v>
      </c>
      <c r="E2507" s="0" t="n">
        <v>54.79</v>
      </c>
    </row>
    <row r="2508" customFormat="false" ht="15" hidden="false" customHeight="false" outlineLevel="0" collapsed="false">
      <c r="A2508" s="0" t="n">
        <v>3738</v>
      </c>
      <c r="B2508" s="0" t="s">
        <v>1678</v>
      </c>
      <c r="C2508" s="0" t="s">
        <v>1477</v>
      </c>
      <c r="D2508" s="0" t="s">
        <v>3671</v>
      </c>
      <c r="E2508" s="0" t="n">
        <v>63.22</v>
      </c>
    </row>
    <row r="2509" customFormat="false" ht="15" hidden="false" customHeight="false" outlineLevel="0" collapsed="false">
      <c r="A2509" s="0" t="n">
        <v>11649</v>
      </c>
      <c r="B2509" s="0" t="s">
        <v>5843</v>
      </c>
      <c r="C2509" s="0" t="s">
        <v>31</v>
      </c>
      <c r="D2509" s="0" t="s">
        <v>3671</v>
      </c>
      <c r="E2509" s="0" t="n">
        <v>360.81</v>
      </c>
    </row>
    <row r="2510" customFormat="false" ht="15" hidden="false" customHeight="false" outlineLevel="0" collapsed="false">
      <c r="A2510" s="0" t="n">
        <v>11650</v>
      </c>
      <c r="B2510" s="0" t="s">
        <v>5844</v>
      </c>
      <c r="C2510" s="0" t="s">
        <v>31</v>
      </c>
      <c r="D2510" s="0" t="s">
        <v>3671</v>
      </c>
      <c r="E2510" s="0" t="n">
        <v>614.98</v>
      </c>
    </row>
    <row r="2511" customFormat="false" ht="15" hidden="false" customHeight="false" outlineLevel="0" collapsed="false">
      <c r="A2511" s="0" t="n">
        <v>3742</v>
      </c>
      <c r="B2511" s="0" t="s">
        <v>5845</v>
      </c>
      <c r="C2511" s="0" t="s">
        <v>1477</v>
      </c>
      <c r="D2511" s="0" t="s">
        <v>3671</v>
      </c>
      <c r="E2511" s="0" t="n">
        <v>65.58</v>
      </c>
    </row>
    <row r="2512" customFormat="false" ht="15" hidden="false" customHeight="false" outlineLevel="0" collapsed="false">
      <c r="A2512" s="0" t="n">
        <v>3746</v>
      </c>
      <c r="B2512" s="0" t="s">
        <v>5846</v>
      </c>
      <c r="C2512" s="0" t="s">
        <v>1477</v>
      </c>
      <c r="D2512" s="0" t="s">
        <v>3671</v>
      </c>
      <c r="E2512" s="0" t="n">
        <v>76.58</v>
      </c>
    </row>
    <row r="2513" customFormat="false" ht="15" hidden="false" customHeight="false" outlineLevel="0" collapsed="false">
      <c r="A2513" s="0" t="n">
        <v>21106</v>
      </c>
      <c r="B2513" s="0" t="s">
        <v>5847</v>
      </c>
      <c r="C2513" s="0" t="s">
        <v>1513</v>
      </c>
      <c r="D2513" s="0" t="s">
        <v>3671</v>
      </c>
    </row>
    <row r="2514" customFormat="false" ht="15" hidden="false" customHeight="false" outlineLevel="0" collapsed="false">
      <c r="A2514" s="0" t="n">
        <v>38194</v>
      </c>
      <c r="B2514" s="0" t="s">
        <v>5848</v>
      </c>
      <c r="C2514" s="0" t="s">
        <v>31</v>
      </c>
      <c r="D2514" s="0" t="s">
        <v>3676</v>
      </c>
      <c r="E2514" s="0" t="n">
        <v>4.6</v>
      </c>
    </row>
    <row r="2515" customFormat="false" ht="15" hidden="false" customHeight="false" outlineLevel="0" collapsed="false">
      <c r="A2515" s="0" t="n">
        <v>38193</v>
      </c>
      <c r="B2515" s="0" t="s">
        <v>2914</v>
      </c>
      <c r="C2515" s="0" t="s">
        <v>31</v>
      </c>
      <c r="D2515" s="0" t="s">
        <v>3671</v>
      </c>
      <c r="E2515" s="0" t="n">
        <v>3.99</v>
      </c>
    </row>
    <row r="2516" customFormat="false" ht="15" hidden="false" customHeight="false" outlineLevel="0" collapsed="false">
      <c r="A2516" s="0" t="n">
        <v>39388</v>
      </c>
      <c r="B2516" s="0" t="s">
        <v>5849</v>
      </c>
      <c r="C2516" s="0" t="s">
        <v>31</v>
      </c>
      <c r="D2516" s="0" t="s">
        <v>3671</v>
      </c>
      <c r="E2516" s="0" t="n">
        <v>5.65</v>
      </c>
    </row>
    <row r="2517" customFormat="false" ht="15" hidden="false" customHeight="false" outlineLevel="0" collapsed="false">
      <c r="A2517" s="0" t="n">
        <v>39387</v>
      </c>
      <c r="B2517" s="0" t="s">
        <v>2514</v>
      </c>
      <c r="C2517" s="0" t="s">
        <v>31</v>
      </c>
      <c r="D2517" s="0" t="s">
        <v>3671</v>
      </c>
      <c r="E2517" s="0" t="n">
        <v>8.82</v>
      </c>
    </row>
    <row r="2518" customFormat="false" ht="15" hidden="false" customHeight="false" outlineLevel="0" collapsed="false">
      <c r="A2518" s="0" t="n">
        <v>39386</v>
      </c>
      <c r="B2518" s="0" t="s">
        <v>2502</v>
      </c>
      <c r="C2518" s="0" t="s">
        <v>31</v>
      </c>
      <c r="D2518" s="0" t="s">
        <v>3671</v>
      </c>
      <c r="E2518" s="0" t="n">
        <v>6.15</v>
      </c>
    </row>
    <row r="2519" customFormat="false" ht="15" hidden="false" customHeight="false" outlineLevel="0" collapsed="false">
      <c r="A2519" s="0" t="n">
        <v>746</v>
      </c>
      <c r="B2519" s="0" t="s">
        <v>5850</v>
      </c>
      <c r="C2519" s="0" t="s">
        <v>31</v>
      </c>
      <c r="D2519" s="0" t="s">
        <v>3676</v>
      </c>
      <c r="E2519" s="0" t="n">
        <v>2020</v>
      </c>
    </row>
    <row r="2520" customFormat="false" ht="15" hidden="false" customHeight="false" outlineLevel="0" collapsed="false">
      <c r="A2520" s="0" t="n">
        <v>20269</v>
      </c>
      <c r="B2520" s="0" t="s">
        <v>2035</v>
      </c>
      <c r="C2520" s="0" t="s">
        <v>31</v>
      </c>
      <c r="D2520" s="0" t="s">
        <v>3671</v>
      </c>
      <c r="E2520" s="0" t="n">
        <v>95.22</v>
      </c>
    </row>
    <row r="2521" customFormat="false" ht="15" hidden="false" customHeight="false" outlineLevel="0" collapsed="false">
      <c r="A2521" s="0" t="n">
        <v>20270</v>
      </c>
      <c r="B2521" s="0" t="s">
        <v>5851</v>
      </c>
      <c r="C2521" s="0" t="s">
        <v>31</v>
      </c>
      <c r="D2521" s="0" t="s">
        <v>3671</v>
      </c>
      <c r="E2521" s="0" t="n">
        <v>105.21</v>
      </c>
    </row>
    <row r="2522" customFormat="false" ht="15" hidden="false" customHeight="false" outlineLevel="0" collapsed="false">
      <c r="A2522" s="0" t="n">
        <v>11696</v>
      </c>
      <c r="B2522" s="0" t="s">
        <v>5852</v>
      </c>
      <c r="C2522" s="0" t="s">
        <v>31</v>
      </c>
      <c r="D2522" s="0" t="s">
        <v>3671</v>
      </c>
      <c r="E2522" s="0" t="n">
        <v>168.42</v>
      </c>
    </row>
    <row r="2523" customFormat="false" ht="15" hidden="false" customHeight="false" outlineLevel="0" collapsed="false">
      <c r="A2523" s="0" t="n">
        <v>10427</v>
      </c>
      <c r="B2523" s="0" t="s">
        <v>5853</v>
      </c>
      <c r="C2523" s="0" t="s">
        <v>31</v>
      </c>
      <c r="D2523" s="0" t="s">
        <v>3671</v>
      </c>
      <c r="E2523" s="0" t="n">
        <v>471.32</v>
      </c>
    </row>
    <row r="2524" customFormat="false" ht="15" hidden="false" customHeight="false" outlineLevel="0" collapsed="false">
      <c r="A2524" s="0" t="n">
        <v>10428</v>
      </c>
      <c r="B2524" s="0" t="s">
        <v>5854</v>
      </c>
      <c r="C2524" s="0" t="s">
        <v>31</v>
      </c>
      <c r="D2524" s="0" t="s">
        <v>3671</v>
      </c>
      <c r="E2524" s="0" t="n">
        <v>485.61</v>
      </c>
    </row>
    <row r="2525" customFormat="false" ht="15" hidden="false" customHeight="false" outlineLevel="0" collapsed="false">
      <c r="A2525" s="0" t="n">
        <v>36521</v>
      </c>
      <c r="B2525" s="0" t="s">
        <v>5855</v>
      </c>
      <c r="C2525" s="0" t="s">
        <v>31</v>
      </c>
      <c r="D2525" s="0" t="s">
        <v>3671</v>
      </c>
      <c r="E2525" s="0" t="n">
        <v>151.52</v>
      </c>
    </row>
    <row r="2526" customFormat="false" ht="15" hidden="false" customHeight="false" outlineLevel="0" collapsed="false">
      <c r="A2526" s="0" t="n">
        <v>36794</v>
      </c>
      <c r="B2526" s="0" t="s">
        <v>5856</v>
      </c>
      <c r="C2526" s="0" t="s">
        <v>31</v>
      </c>
      <c r="D2526" s="0" t="s">
        <v>3671</v>
      </c>
      <c r="E2526" s="0" t="n">
        <v>161.3</v>
      </c>
    </row>
    <row r="2527" customFormat="false" ht="15" hidden="false" customHeight="false" outlineLevel="0" collapsed="false">
      <c r="A2527" s="0" t="n">
        <v>10426</v>
      </c>
      <c r="B2527" s="0" t="s">
        <v>5857</v>
      </c>
      <c r="C2527" s="0" t="s">
        <v>31</v>
      </c>
      <c r="D2527" s="0" t="s">
        <v>3671</v>
      </c>
      <c r="E2527" s="0" t="n">
        <v>180.62</v>
      </c>
    </row>
    <row r="2528" customFormat="false" ht="15" hidden="false" customHeight="false" outlineLevel="0" collapsed="false">
      <c r="A2528" s="0" t="n">
        <v>10425</v>
      </c>
      <c r="B2528" s="0" t="s">
        <v>2055</v>
      </c>
      <c r="C2528" s="0" t="s">
        <v>31</v>
      </c>
      <c r="D2528" s="0" t="s">
        <v>3671</v>
      </c>
      <c r="E2528" s="0" t="n">
        <v>91.63</v>
      </c>
    </row>
    <row r="2529" customFormat="false" ht="15" hidden="false" customHeight="false" outlineLevel="0" collapsed="false">
      <c r="A2529" s="0" t="n">
        <v>10431</v>
      </c>
      <c r="B2529" s="0" t="s">
        <v>5858</v>
      </c>
      <c r="C2529" s="0" t="s">
        <v>31</v>
      </c>
      <c r="D2529" s="0" t="s">
        <v>3671</v>
      </c>
      <c r="E2529" s="0" t="n">
        <v>313.72</v>
      </c>
    </row>
    <row r="2530" customFormat="false" ht="15" hidden="false" customHeight="false" outlineLevel="0" collapsed="false">
      <c r="A2530" s="0" t="n">
        <v>10429</v>
      </c>
      <c r="B2530" s="0" t="s">
        <v>5859</v>
      </c>
      <c r="C2530" s="0" t="s">
        <v>31</v>
      </c>
      <c r="D2530" s="0" t="s">
        <v>3671</v>
      </c>
      <c r="E2530" s="0" t="n">
        <v>154.76</v>
      </c>
    </row>
    <row r="2531" customFormat="false" ht="15" hidden="false" customHeight="false" outlineLevel="0" collapsed="false">
      <c r="A2531" s="0" t="n">
        <v>10853</v>
      </c>
      <c r="B2531" s="0" t="s">
        <v>5860</v>
      </c>
      <c r="C2531" s="0" t="s">
        <v>31</v>
      </c>
      <c r="D2531" s="0" t="s">
        <v>3671</v>
      </c>
      <c r="E2531" s="0" t="n">
        <v>98.16</v>
      </c>
    </row>
    <row r="2532" customFormat="false" ht="15" hidden="false" customHeight="false" outlineLevel="0" collapsed="false">
      <c r="A2532" s="0" t="n">
        <v>5093</v>
      </c>
      <c r="B2532" s="0" t="s">
        <v>5861</v>
      </c>
      <c r="C2532" s="0" t="s">
        <v>1568</v>
      </c>
      <c r="D2532" s="0" t="s">
        <v>3671</v>
      </c>
      <c r="E2532" s="0" t="n">
        <v>20</v>
      </c>
    </row>
    <row r="2533" customFormat="false" ht="15" hidden="false" customHeight="false" outlineLevel="0" collapsed="false">
      <c r="A2533" s="0" t="n">
        <v>44331</v>
      </c>
      <c r="B2533" s="0" t="s">
        <v>2924</v>
      </c>
      <c r="C2533" s="0" t="s">
        <v>1452</v>
      </c>
      <c r="D2533" s="0" t="s">
        <v>3671</v>
      </c>
      <c r="E2533" s="0" t="n">
        <v>50.6</v>
      </c>
    </row>
    <row r="2534" customFormat="false" ht="15" hidden="false" customHeight="false" outlineLevel="0" collapsed="false">
      <c r="A2534" s="0" t="n">
        <v>37768</v>
      </c>
      <c r="B2534" s="0" t="s">
        <v>5862</v>
      </c>
      <c r="C2534" s="0" t="s">
        <v>31</v>
      </c>
      <c r="D2534" s="0" t="s">
        <v>3676</v>
      </c>
    </row>
    <row r="2535" customFormat="false" ht="15" hidden="false" customHeight="false" outlineLevel="0" collapsed="false">
      <c r="A2535" s="0" t="n">
        <v>37773</v>
      </c>
      <c r="B2535" s="0" t="s">
        <v>5863</v>
      </c>
      <c r="C2535" s="0" t="s">
        <v>31</v>
      </c>
      <c r="D2535" s="0" t="s">
        <v>3671</v>
      </c>
    </row>
    <row r="2536" customFormat="false" ht="15" hidden="false" customHeight="false" outlineLevel="0" collapsed="false">
      <c r="A2536" s="0" t="n">
        <v>37769</v>
      </c>
      <c r="B2536" s="0" t="s">
        <v>5864</v>
      </c>
      <c r="C2536" s="0" t="s">
        <v>31</v>
      </c>
      <c r="D2536" s="0" t="s">
        <v>3671</v>
      </c>
    </row>
    <row r="2537" customFormat="false" ht="15" hidden="false" customHeight="false" outlineLevel="0" collapsed="false">
      <c r="A2537" s="0" t="n">
        <v>37770</v>
      </c>
      <c r="B2537" s="0" t="s">
        <v>5865</v>
      </c>
      <c r="C2537" s="0" t="s">
        <v>31</v>
      </c>
      <c r="D2537" s="0" t="s">
        <v>3671</v>
      </c>
    </row>
    <row r="2538" customFormat="false" ht="15" hidden="false" customHeight="false" outlineLevel="0" collapsed="false">
      <c r="A2538" s="0" t="n">
        <v>38382</v>
      </c>
      <c r="B2538" s="0" t="s">
        <v>5866</v>
      </c>
      <c r="C2538" s="0" t="s">
        <v>31</v>
      </c>
      <c r="D2538" s="0" t="s">
        <v>3671</v>
      </c>
      <c r="E2538" s="0" t="n">
        <v>12.79</v>
      </c>
    </row>
    <row r="2539" customFormat="false" ht="15" hidden="false" customHeight="false" outlineLevel="0" collapsed="false">
      <c r="A2539" s="0" t="n">
        <v>38383</v>
      </c>
      <c r="B2539" s="0" t="s">
        <v>2093</v>
      </c>
      <c r="C2539" s="0" t="s">
        <v>31</v>
      </c>
      <c r="D2539" s="0" t="s">
        <v>3671</v>
      </c>
      <c r="E2539" s="0" t="n">
        <v>2.39</v>
      </c>
    </row>
    <row r="2540" customFormat="false" ht="15" hidden="false" customHeight="false" outlineLevel="0" collapsed="false">
      <c r="A2540" s="0" t="n">
        <v>3768</v>
      </c>
      <c r="B2540" s="0" t="s">
        <v>1997</v>
      </c>
      <c r="C2540" s="0" t="s">
        <v>31</v>
      </c>
      <c r="D2540" s="0" t="s">
        <v>3671</v>
      </c>
      <c r="E2540" s="0" t="n">
        <v>2.43</v>
      </c>
    </row>
    <row r="2541" customFormat="false" ht="15" hidden="false" customHeight="false" outlineLevel="0" collapsed="false">
      <c r="A2541" s="0" t="n">
        <v>3767</v>
      </c>
      <c r="B2541" s="0" t="s">
        <v>1879</v>
      </c>
      <c r="C2541" s="0" t="s">
        <v>31</v>
      </c>
      <c r="D2541" s="0" t="s">
        <v>3671</v>
      </c>
      <c r="E2541" s="0" t="n">
        <v>0.81</v>
      </c>
    </row>
    <row r="2542" customFormat="false" ht="15" hidden="false" customHeight="false" outlineLevel="0" collapsed="false">
      <c r="A2542" s="0" t="n">
        <v>13192</v>
      </c>
      <c r="B2542" s="0" t="s">
        <v>5867</v>
      </c>
      <c r="C2542" s="0" t="s">
        <v>31</v>
      </c>
      <c r="D2542" s="0" t="s">
        <v>3671</v>
      </c>
      <c r="E2542" s="0" t="n">
        <v>5316.87</v>
      </c>
    </row>
    <row r="2543" customFormat="false" ht="15" hidden="false" customHeight="false" outlineLevel="0" collapsed="false">
      <c r="A2543" s="0" t="n">
        <v>38413</v>
      </c>
      <c r="B2543" s="0" t="s">
        <v>5868</v>
      </c>
      <c r="C2543" s="0" t="s">
        <v>31</v>
      </c>
      <c r="D2543" s="0" t="s">
        <v>3671</v>
      </c>
      <c r="E2543" s="0" t="n">
        <v>879.33</v>
      </c>
    </row>
    <row r="2544" customFormat="false" ht="15" hidden="false" customHeight="false" outlineLevel="0" collapsed="false">
      <c r="A2544" s="0" t="n">
        <v>42440</v>
      </c>
      <c r="B2544" s="0" t="s">
        <v>5869</v>
      </c>
      <c r="C2544" s="0" t="s">
        <v>31</v>
      </c>
      <c r="D2544" s="0" t="s">
        <v>3671</v>
      </c>
    </row>
    <row r="2545" customFormat="false" ht="15" hidden="false" customHeight="false" outlineLevel="0" collapsed="false">
      <c r="A2545" s="0" t="n">
        <v>20193</v>
      </c>
      <c r="B2545" s="0" t="s">
        <v>5870</v>
      </c>
      <c r="C2545" s="0" t="s">
        <v>5871</v>
      </c>
      <c r="D2545" s="0" t="s">
        <v>3671</v>
      </c>
      <c r="E2545" s="0" t="n">
        <v>22.5</v>
      </c>
    </row>
    <row r="2546" customFormat="false" ht="15" hidden="false" customHeight="false" outlineLevel="0" collapsed="false">
      <c r="A2546" s="0" t="n">
        <v>10527</v>
      </c>
      <c r="B2546" s="0" t="s">
        <v>5872</v>
      </c>
      <c r="C2546" s="0" t="s">
        <v>5873</v>
      </c>
      <c r="D2546" s="0" t="s">
        <v>3676</v>
      </c>
      <c r="E2546" s="0" t="n">
        <v>30</v>
      </c>
    </row>
    <row r="2547" customFormat="false" ht="15" hidden="false" customHeight="false" outlineLevel="0" collapsed="false">
      <c r="A2547" s="0" t="n">
        <v>41805</v>
      </c>
      <c r="B2547" s="0" t="s">
        <v>5874</v>
      </c>
      <c r="C2547" s="0" t="s">
        <v>1416</v>
      </c>
      <c r="D2547" s="0" t="s">
        <v>3671</v>
      </c>
      <c r="E2547" s="0" t="n">
        <v>862.5</v>
      </c>
    </row>
    <row r="2548" customFormat="false" ht="15" hidden="false" customHeight="false" outlineLevel="0" collapsed="false">
      <c r="A2548" s="0" t="n">
        <v>40271</v>
      </c>
      <c r="B2548" s="0" t="s">
        <v>1637</v>
      </c>
      <c r="C2548" s="0" t="s">
        <v>3666</v>
      </c>
      <c r="D2548" s="0" t="s">
        <v>3671</v>
      </c>
      <c r="E2548" s="0" t="n">
        <v>22.96</v>
      </c>
    </row>
    <row r="2549" customFormat="false" ht="15" hidden="false" customHeight="false" outlineLevel="0" collapsed="false">
      <c r="A2549" s="0" t="n">
        <v>40287</v>
      </c>
      <c r="B2549" s="0" t="s">
        <v>1639</v>
      </c>
      <c r="C2549" s="0" t="s">
        <v>1416</v>
      </c>
      <c r="D2549" s="0" t="s">
        <v>3671</v>
      </c>
      <c r="E2549" s="0" t="n">
        <v>8.84</v>
      </c>
    </row>
    <row r="2550" customFormat="false" ht="15" hidden="false" customHeight="false" outlineLevel="0" collapsed="false">
      <c r="A2550" s="0" t="n">
        <v>4084</v>
      </c>
      <c r="B2550" s="0" t="s">
        <v>5875</v>
      </c>
      <c r="C2550" s="0" t="s">
        <v>1444</v>
      </c>
      <c r="D2550" s="0" t="s">
        <v>3671</v>
      </c>
      <c r="E2550" s="0" t="n">
        <v>3.6</v>
      </c>
    </row>
    <row r="2551" customFormat="false" ht="15" hidden="false" customHeight="false" outlineLevel="0" collapsed="false">
      <c r="A2551" s="0" t="n">
        <v>743</v>
      </c>
      <c r="B2551" s="0" t="s">
        <v>5876</v>
      </c>
      <c r="C2551" s="0" t="s">
        <v>1444</v>
      </c>
      <c r="D2551" s="0" t="s">
        <v>3676</v>
      </c>
      <c r="E2551" s="0" t="n">
        <v>3.6</v>
      </c>
    </row>
    <row r="2552" customFormat="false" ht="15" hidden="false" customHeight="false" outlineLevel="0" collapsed="false">
      <c r="A2552" s="0" t="n">
        <v>40293</v>
      </c>
      <c r="B2552" s="0" t="s">
        <v>5877</v>
      </c>
      <c r="C2552" s="0" t="s">
        <v>1444</v>
      </c>
      <c r="D2552" s="0" t="s">
        <v>3671</v>
      </c>
      <c r="E2552" s="0" t="n">
        <v>4.32</v>
      </c>
    </row>
    <row r="2553" customFormat="false" ht="15" hidden="false" customHeight="false" outlineLevel="0" collapsed="false">
      <c r="A2553" s="0" t="n">
        <v>40294</v>
      </c>
      <c r="B2553" s="0" t="s">
        <v>5878</v>
      </c>
      <c r="C2553" s="0" t="s">
        <v>1444</v>
      </c>
      <c r="D2553" s="0" t="s">
        <v>3671</v>
      </c>
      <c r="E2553" s="0" t="n">
        <v>3.6</v>
      </c>
    </row>
    <row r="2554" customFormat="false" ht="15" hidden="false" customHeight="false" outlineLevel="0" collapsed="false">
      <c r="A2554" s="0" t="n">
        <v>4085</v>
      </c>
      <c r="B2554" s="0" t="s">
        <v>5879</v>
      </c>
      <c r="C2554" s="0" t="s">
        <v>1444</v>
      </c>
      <c r="D2554" s="0" t="s">
        <v>3671</v>
      </c>
      <c r="E2554" s="0" t="n">
        <v>5.04</v>
      </c>
    </row>
    <row r="2555" customFormat="false" ht="15" hidden="false" customHeight="false" outlineLevel="0" collapsed="false">
      <c r="A2555" s="0" t="n">
        <v>10779</v>
      </c>
      <c r="B2555" s="0" t="s">
        <v>5880</v>
      </c>
      <c r="C2555" s="0" t="s">
        <v>1416</v>
      </c>
      <c r="D2555" s="0" t="s">
        <v>3671</v>
      </c>
    </row>
    <row r="2556" customFormat="false" ht="15" hidden="false" customHeight="false" outlineLevel="0" collapsed="false">
      <c r="A2556" s="0" t="n">
        <v>10777</v>
      </c>
      <c r="B2556" s="0" t="s">
        <v>1521</v>
      </c>
      <c r="C2556" s="0" t="s">
        <v>1416</v>
      </c>
      <c r="D2556" s="0" t="s">
        <v>3671</v>
      </c>
    </row>
    <row r="2557" customFormat="false" ht="15" hidden="false" customHeight="false" outlineLevel="0" collapsed="false">
      <c r="A2557" s="0" t="n">
        <v>10775</v>
      </c>
      <c r="B2557" s="0" t="s">
        <v>1519</v>
      </c>
      <c r="C2557" s="0" t="s">
        <v>1416</v>
      </c>
      <c r="D2557" s="0" t="s">
        <v>3676</v>
      </c>
    </row>
    <row r="2558" customFormat="false" ht="15" hidden="false" customHeight="false" outlineLevel="0" collapsed="false">
      <c r="A2558" s="0" t="n">
        <v>10776</v>
      </c>
      <c r="B2558" s="0" t="s">
        <v>5881</v>
      </c>
      <c r="C2558" s="0" t="s">
        <v>1416</v>
      </c>
      <c r="D2558" s="0" t="s">
        <v>3671</v>
      </c>
    </row>
    <row r="2559" customFormat="false" ht="15" hidden="false" customHeight="false" outlineLevel="0" collapsed="false">
      <c r="A2559" s="0" t="n">
        <v>10778</v>
      </c>
      <c r="B2559" s="0" t="s">
        <v>5882</v>
      </c>
      <c r="C2559" s="0" t="s">
        <v>1416</v>
      </c>
      <c r="D2559" s="0" t="s">
        <v>3671</v>
      </c>
    </row>
    <row r="2560" customFormat="false" ht="15" hidden="false" customHeight="false" outlineLevel="0" collapsed="false">
      <c r="A2560" s="0" t="n">
        <v>40339</v>
      </c>
      <c r="B2560" s="0" t="s">
        <v>1675</v>
      </c>
      <c r="C2560" s="0" t="s">
        <v>3666</v>
      </c>
      <c r="D2560" s="0" t="s">
        <v>3671</v>
      </c>
      <c r="E2560" s="0" t="n">
        <v>8.05</v>
      </c>
    </row>
    <row r="2561" customFormat="false" ht="15" hidden="false" customHeight="false" outlineLevel="0" collapsed="false">
      <c r="A2561" s="0" t="n">
        <v>10749</v>
      </c>
      <c r="B2561" s="0" t="s">
        <v>1676</v>
      </c>
      <c r="C2561" s="0" t="s">
        <v>3666</v>
      </c>
      <c r="D2561" s="0" t="s">
        <v>3671</v>
      </c>
      <c r="E2561" s="0" t="n">
        <v>26.62</v>
      </c>
    </row>
    <row r="2562" customFormat="false" ht="15" hidden="false" customHeight="false" outlineLevel="0" collapsed="false">
      <c r="A2562" s="0" t="n">
        <v>40290</v>
      </c>
      <c r="B2562" s="0" t="s">
        <v>5883</v>
      </c>
      <c r="C2562" s="0" t="s">
        <v>3666</v>
      </c>
      <c r="D2562" s="0" t="s">
        <v>3671</v>
      </c>
      <c r="E2562" s="0" t="n">
        <v>14.4</v>
      </c>
    </row>
    <row r="2563" customFormat="false" ht="15" hidden="false" customHeight="false" outlineLevel="0" collapsed="false">
      <c r="A2563" s="0" t="n">
        <v>3346</v>
      </c>
      <c r="B2563" s="0" t="s">
        <v>5884</v>
      </c>
      <c r="C2563" s="0" t="s">
        <v>1444</v>
      </c>
      <c r="D2563" s="0" t="s">
        <v>3676</v>
      </c>
      <c r="E2563" s="0" t="n">
        <v>18</v>
      </c>
    </row>
    <row r="2564" customFormat="false" ht="15" hidden="false" customHeight="false" outlineLevel="0" collapsed="false">
      <c r="A2564" s="0" t="n">
        <v>3348</v>
      </c>
      <c r="B2564" s="0" t="s">
        <v>5885</v>
      </c>
      <c r="C2564" s="0" t="s">
        <v>1444</v>
      </c>
      <c r="D2564" s="0" t="s">
        <v>3671</v>
      </c>
      <c r="E2564" s="0" t="n">
        <v>21.53</v>
      </c>
    </row>
    <row r="2565" customFormat="false" ht="15" hidden="false" customHeight="false" outlineLevel="0" collapsed="false">
      <c r="A2565" s="0" t="n">
        <v>39833</v>
      </c>
      <c r="B2565" s="0" t="s">
        <v>5886</v>
      </c>
      <c r="C2565" s="0" t="s">
        <v>1444</v>
      </c>
      <c r="D2565" s="0" t="s">
        <v>3671</v>
      </c>
      <c r="E2565" s="0" t="n">
        <v>29.49</v>
      </c>
    </row>
    <row r="2566" customFormat="false" ht="15" hidden="false" customHeight="false" outlineLevel="0" collapsed="false">
      <c r="A2566" s="0" t="n">
        <v>7252</v>
      </c>
      <c r="B2566" s="0" t="s">
        <v>5887</v>
      </c>
      <c r="C2566" s="0" t="s">
        <v>1444</v>
      </c>
      <c r="D2566" s="0" t="s">
        <v>3671</v>
      </c>
    </row>
    <row r="2567" customFormat="false" ht="15" hidden="false" customHeight="false" outlineLevel="0" collapsed="false">
      <c r="A2567" s="0" t="n">
        <v>7247</v>
      </c>
      <c r="B2567" s="0" t="s">
        <v>5888</v>
      </c>
      <c r="C2567" s="0" t="s">
        <v>1444</v>
      </c>
      <c r="D2567" s="0" t="s">
        <v>3676</v>
      </c>
    </row>
    <row r="2568" customFormat="false" ht="15" hidden="false" customHeight="false" outlineLevel="0" collapsed="false">
      <c r="A2568" s="0" t="n">
        <v>40291</v>
      </c>
      <c r="B2568" s="0" t="s">
        <v>1754</v>
      </c>
      <c r="C2568" s="0" t="s">
        <v>3666</v>
      </c>
      <c r="D2568" s="0" t="s">
        <v>3671</v>
      </c>
      <c r="E2568" s="0" t="n">
        <v>750</v>
      </c>
    </row>
    <row r="2569" customFormat="false" ht="15" hidden="false" customHeight="false" outlineLevel="0" collapsed="false">
      <c r="A2569" s="0" t="n">
        <v>40275</v>
      </c>
      <c r="B2569" s="0" t="s">
        <v>1640</v>
      </c>
      <c r="C2569" s="0" t="s">
        <v>3666</v>
      </c>
      <c r="D2569" s="0" t="s">
        <v>3671</v>
      </c>
      <c r="E2569" s="0" t="n">
        <v>24</v>
      </c>
    </row>
    <row r="2570" customFormat="false" ht="15" hidden="false" customHeight="false" outlineLevel="0" collapsed="false">
      <c r="A2570" s="0" t="n">
        <v>42408</v>
      </c>
      <c r="B2570" s="0" t="s">
        <v>1573</v>
      </c>
      <c r="C2570" s="0" t="s">
        <v>1477</v>
      </c>
      <c r="D2570" s="0" t="s">
        <v>3671</v>
      </c>
      <c r="E2570" s="0" t="n">
        <v>1.65</v>
      </c>
    </row>
    <row r="2571" customFormat="false" ht="15" hidden="false" customHeight="false" outlineLevel="0" collapsed="false">
      <c r="A2571" s="0" t="n">
        <v>3777</v>
      </c>
      <c r="B2571" s="0" t="s">
        <v>5889</v>
      </c>
      <c r="C2571" s="0" t="s">
        <v>1477</v>
      </c>
      <c r="D2571" s="0" t="s">
        <v>3676</v>
      </c>
      <c r="E2571" s="0" t="n">
        <v>1.19</v>
      </c>
    </row>
    <row r="2572" customFormat="false" ht="15" hidden="false" customHeight="false" outlineLevel="0" collapsed="false">
      <c r="A2572" s="0" t="n">
        <v>44699</v>
      </c>
      <c r="B2572" s="0" t="s">
        <v>5890</v>
      </c>
      <c r="C2572" s="0" t="s">
        <v>1513</v>
      </c>
      <c r="D2572" s="0" t="s">
        <v>3671</v>
      </c>
      <c r="E2572" s="0" t="n">
        <v>50.14</v>
      </c>
    </row>
    <row r="2573" customFormat="false" ht="15" hidden="false" customHeight="false" outlineLevel="0" collapsed="false">
      <c r="A2573" s="0" t="n">
        <v>3798</v>
      </c>
      <c r="B2573" s="0" t="s">
        <v>5891</v>
      </c>
      <c r="C2573" s="0" t="s">
        <v>31</v>
      </c>
      <c r="D2573" s="0" t="s">
        <v>3671</v>
      </c>
    </row>
    <row r="2574" customFormat="false" ht="15" hidden="false" customHeight="false" outlineLevel="0" collapsed="false">
      <c r="A2574" s="0" t="n">
        <v>38769</v>
      </c>
      <c r="B2574" s="0" t="s">
        <v>2918</v>
      </c>
      <c r="C2574" s="0" t="s">
        <v>31</v>
      </c>
      <c r="D2574" s="0" t="s">
        <v>3671</v>
      </c>
    </row>
    <row r="2575" customFormat="false" ht="15" hidden="false" customHeight="false" outlineLevel="0" collapsed="false">
      <c r="A2575" s="0" t="n">
        <v>38774</v>
      </c>
      <c r="B2575" s="0" t="s">
        <v>2646</v>
      </c>
      <c r="C2575" s="0" t="s">
        <v>31</v>
      </c>
      <c r="D2575" s="0" t="s">
        <v>3671</v>
      </c>
      <c r="E2575" s="0" t="n">
        <v>11.55</v>
      </c>
    </row>
    <row r="2576" customFormat="false" ht="15" hidden="false" customHeight="false" outlineLevel="0" collapsed="false">
      <c r="A2576" s="0" t="n">
        <v>42247</v>
      </c>
      <c r="B2576" s="0" t="s">
        <v>5892</v>
      </c>
      <c r="C2576" s="0" t="s">
        <v>31</v>
      </c>
      <c r="D2576" s="0" t="s">
        <v>3671</v>
      </c>
      <c r="E2576" s="0" t="n">
        <v>394.44</v>
      </c>
    </row>
    <row r="2577" customFormat="false" ht="15" hidden="false" customHeight="false" outlineLevel="0" collapsed="false">
      <c r="A2577" s="0" t="n">
        <v>42248</v>
      </c>
      <c r="B2577" s="0" t="s">
        <v>5893</v>
      </c>
      <c r="C2577" s="0" t="s">
        <v>31</v>
      </c>
      <c r="D2577" s="0" t="s">
        <v>3671</v>
      </c>
      <c r="E2577" s="0" t="n">
        <v>458.17</v>
      </c>
    </row>
    <row r="2578" customFormat="false" ht="15" hidden="false" customHeight="false" outlineLevel="0" collapsed="false">
      <c r="A2578" s="0" t="n">
        <v>42249</v>
      </c>
      <c r="B2578" s="0" t="s">
        <v>5894</v>
      </c>
      <c r="C2578" s="0" t="s">
        <v>31</v>
      </c>
      <c r="D2578" s="0" t="s">
        <v>3671</v>
      </c>
      <c r="E2578" s="0" t="n">
        <v>759.03</v>
      </c>
    </row>
    <row r="2579" customFormat="false" ht="15" hidden="false" customHeight="false" outlineLevel="0" collapsed="false">
      <c r="A2579" s="0" t="n">
        <v>42244</v>
      </c>
      <c r="B2579" s="0" t="s">
        <v>5895</v>
      </c>
      <c r="C2579" s="0" t="s">
        <v>31</v>
      </c>
      <c r="D2579" s="0" t="s">
        <v>3671</v>
      </c>
      <c r="E2579" s="0" t="n">
        <v>118.54</v>
      </c>
    </row>
    <row r="2580" customFormat="false" ht="15" hidden="false" customHeight="false" outlineLevel="0" collapsed="false">
      <c r="A2580" s="0" t="n">
        <v>42245</v>
      </c>
      <c r="B2580" s="0" t="s">
        <v>5896</v>
      </c>
      <c r="C2580" s="0" t="s">
        <v>31</v>
      </c>
      <c r="D2580" s="0" t="s">
        <v>3671</v>
      </c>
      <c r="E2580" s="0" t="n">
        <v>218.74</v>
      </c>
    </row>
    <row r="2581" customFormat="false" ht="15" hidden="false" customHeight="false" outlineLevel="0" collapsed="false">
      <c r="A2581" s="0" t="n">
        <v>42246</v>
      </c>
      <c r="B2581" s="0" t="s">
        <v>5897</v>
      </c>
      <c r="C2581" s="0" t="s">
        <v>31</v>
      </c>
      <c r="D2581" s="0" t="s">
        <v>3671</v>
      </c>
      <c r="E2581" s="0" t="n">
        <v>242.13</v>
      </c>
    </row>
    <row r="2582" customFormat="false" ht="15" hidden="false" customHeight="false" outlineLevel="0" collapsed="false">
      <c r="A2582" s="0" t="n">
        <v>42243</v>
      </c>
      <c r="B2582" s="0" t="s">
        <v>5898</v>
      </c>
      <c r="C2582" s="0" t="s">
        <v>31</v>
      </c>
      <c r="D2582" s="0" t="s">
        <v>3671</v>
      </c>
      <c r="E2582" s="0" t="n">
        <v>291.97</v>
      </c>
    </row>
    <row r="2583" customFormat="false" ht="15" hidden="false" customHeight="false" outlineLevel="0" collapsed="false">
      <c r="A2583" s="0" t="n">
        <v>38889</v>
      </c>
      <c r="B2583" s="0" t="s">
        <v>5899</v>
      </c>
      <c r="C2583" s="0" t="s">
        <v>31</v>
      </c>
      <c r="D2583" s="0" t="s">
        <v>3671</v>
      </c>
    </row>
    <row r="2584" customFormat="false" ht="15" hidden="false" customHeight="false" outlineLevel="0" collapsed="false">
      <c r="A2584" s="0" t="n">
        <v>38784</v>
      </c>
      <c r="B2584" s="0" t="s">
        <v>5900</v>
      </c>
      <c r="C2584" s="0" t="s">
        <v>31</v>
      </c>
      <c r="D2584" s="0" t="s">
        <v>3671</v>
      </c>
    </row>
    <row r="2585" customFormat="false" ht="15" hidden="false" customHeight="false" outlineLevel="0" collapsed="false">
      <c r="A2585" s="0" t="n">
        <v>3780</v>
      </c>
      <c r="B2585" s="0" t="s">
        <v>5901</v>
      </c>
      <c r="C2585" s="0" t="s">
        <v>31</v>
      </c>
      <c r="D2585" s="0" t="s">
        <v>3676</v>
      </c>
    </row>
    <row r="2586" customFormat="false" ht="15" hidden="false" customHeight="false" outlineLevel="0" collapsed="false">
      <c r="A2586" s="0" t="n">
        <v>38773</v>
      </c>
      <c r="B2586" s="0" t="s">
        <v>5902</v>
      </c>
      <c r="C2586" s="0" t="s">
        <v>31</v>
      </c>
      <c r="D2586" s="0" t="s">
        <v>3671</v>
      </c>
    </row>
    <row r="2587" customFormat="false" ht="15" hidden="false" customHeight="false" outlineLevel="0" collapsed="false">
      <c r="A2587" s="0" t="n">
        <v>12271</v>
      </c>
      <c r="B2587" s="0" t="s">
        <v>5903</v>
      </c>
      <c r="C2587" s="0" t="s">
        <v>31</v>
      </c>
      <c r="D2587" s="0" t="s">
        <v>3671</v>
      </c>
    </row>
    <row r="2588" customFormat="false" ht="15" hidden="false" customHeight="false" outlineLevel="0" collapsed="false">
      <c r="A2588" s="0" t="n">
        <v>39385</v>
      </c>
      <c r="B2588" s="0" t="s">
        <v>2512</v>
      </c>
      <c r="C2588" s="0" t="s">
        <v>31</v>
      </c>
      <c r="D2588" s="0" t="s">
        <v>3671</v>
      </c>
      <c r="E2588" s="0" t="n">
        <v>10.57</v>
      </c>
    </row>
    <row r="2589" customFormat="false" ht="15" hidden="false" customHeight="false" outlineLevel="0" collapsed="false">
      <c r="A2589" s="0" t="n">
        <v>39389</v>
      </c>
      <c r="B2589" s="0" t="s">
        <v>5904</v>
      </c>
      <c r="C2589" s="0" t="s">
        <v>31</v>
      </c>
      <c r="D2589" s="0" t="s">
        <v>3671</v>
      </c>
      <c r="E2589" s="0" t="n">
        <v>11.46</v>
      </c>
    </row>
    <row r="2590" customFormat="false" ht="15" hidden="false" customHeight="false" outlineLevel="0" collapsed="false">
      <c r="A2590" s="0" t="n">
        <v>39390</v>
      </c>
      <c r="B2590" s="0" t="s">
        <v>5905</v>
      </c>
      <c r="C2590" s="0" t="s">
        <v>31</v>
      </c>
      <c r="D2590" s="0" t="s">
        <v>3671</v>
      </c>
      <c r="E2590" s="0" t="n">
        <v>24.04</v>
      </c>
    </row>
    <row r="2591" customFormat="false" ht="15" hidden="false" customHeight="false" outlineLevel="0" collapsed="false">
      <c r="A2591" s="0" t="n">
        <v>39391</v>
      </c>
      <c r="B2591" s="0" t="s">
        <v>2522</v>
      </c>
      <c r="C2591" s="0" t="s">
        <v>31</v>
      </c>
      <c r="D2591" s="0" t="s">
        <v>3671</v>
      </c>
      <c r="E2591" s="0" t="n">
        <v>26.98</v>
      </c>
    </row>
    <row r="2592" customFormat="false" ht="15" hidden="false" customHeight="false" outlineLevel="0" collapsed="false">
      <c r="A2592" s="0" t="n">
        <v>3803</v>
      </c>
      <c r="B2592" s="0" t="s">
        <v>5906</v>
      </c>
      <c r="C2592" s="0" t="s">
        <v>31</v>
      </c>
      <c r="D2592" s="0" t="s">
        <v>3671</v>
      </c>
    </row>
    <row r="2593" customFormat="false" ht="15" hidden="false" customHeight="false" outlineLevel="0" collapsed="false">
      <c r="A2593" s="0" t="n">
        <v>38770</v>
      </c>
      <c r="B2593" s="0" t="s">
        <v>5907</v>
      </c>
      <c r="C2593" s="0" t="s">
        <v>31</v>
      </c>
      <c r="D2593" s="0" t="s">
        <v>3671</v>
      </c>
    </row>
    <row r="2594" customFormat="false" ht="15" hidden="false" customHeight="false" outlineLevel="0" collapsed="false">
      <c r="A2594" s="0" t="n">
        <v>12267</v>
      </c>
      <c r="B2594" s="0" t="s">
        <v>5908</v>
      </c>
      <c r="C2594" s="0" t="s">
        <v>31</v>
      </c>
      <c r="D2594" s="0" t="s">
        <v>3671</v>
      </c>
    </row>
    <row r="2595" customFormat="false" ht="15" hidden="false" customHeight="false" outlineLevel="0" collapsed="false">
      <c r="A2595" s="0" t="n">
        <v>43265</v>
      </c>
      <c r="B2595" s="0" t="s">
        <v>5909</v>
      </c>
      <c r="C2595" s="0" t="s">
        <v>31</v>
      </c>
      <c r="D2595" s="0" t="s">
        <v>3671</v>
      </c>
      <c r="E2595" s="0" t="n">
        <v>33.05</v>
      </c>
    </row>
    <row r="2596" customFormat="false" ht="15" hidden="false" customHeight="false" outlineLevel="0" collapsed="false">
      <c r="A2596" s="0" t="n">
        <v>12266</v>
      </c>
      <c r="B2596" s="0" t="s">
        <v>5910</v>
      </c>
      <c r="C2596" s="0" t="s">
        <v>31</v>
      </c>
      <c r="D2596" s="0" t="s">
        <v>3671</v>
      </c>
    </row>
    <row r="2597" customFormat="false" ht="15" hidden="false" customHeight="false" outlineLevel="0" collapsed="false">
      <c r="A2597" s="0" t="n">
        <v>39378</v>
      </c>
      <c r="B2597" s="0" t="s">
        <v>5911</v>
      </c>
      <c r="C2597" s="0" t="s">
        <v>31</v>
      </c>
      <c r="D2597" s="0" t="s">
        <v>3671</v>
      </c>
    </row>
    <row r="2598" customFormat="false" ht="15" hidden="false" customHeight="false" outlineLevel="0" collapsed="false">
      <c r="A2598" s="0" t="n">
        <v>43543</v>
      </c>
      <c r="B2598" s="0" t="s">
        <v>5912</v>
      </c>
      <c r="C2598" s="0" t="s">
        <v>31</v>
      </c>
      <c r="D2598" s="0" t="s">
        <v>3671</v>
      </c>
    </row>
    <row r="2599" customFormat="false" ht="15" hidden="false" customHeight="false" outlineLevel="0" collapsed="false">
      <c r="A2599" s="0" t="n">
        <v>38775</v>
      </c>
      <c r="B2599" s="0" t="s">
        <v>2520</v>
      </c>
      <c r="C2599" s="0" t="s">
        <v>31</v>
      </c>
      <c r="D2599" s="0" t="s">
        <v>3671</v>
      </c>
    </row>
    <row r="2600" customFormat="false" ht="15" hidden="false" customHeight="false" outlineLevel="0" collapsed="false">
      <c r="A2600" s="0" t="n">
        <v>44252</v>
      </c>
      <c r="B2600" s="0" t="s">
        <v>5913</v>
      </c>
      <c r="C2600" s="0" t="s">
        <v>31</v>
      </c>
      <c r="D2600" s="0" t="s">
        <v>3671</v>
      </c>
      <c r="E2600" s="0" t="n">
        <v>177.17</v>
      </c>
    </row>
    <row r="2601" customFormat="false" ht="15" hidden="false" customHeight="false" outlineLevel="0" collapsed="false">
      <c r="A2601" s="0" t="n">
        <v>21119</v>
      </c>
      <c r="B2601" s="0" t="s">
        <v>5914</v>
      </c>
      <c r="C2601" s="0" t="s">
        <v>31</v>
      </c>
      <c r="D2601" s="0" t="s">
        <v>3671</v>
      </c>
      <c r="E2601" s="0" t="n">
        <v>1.78</v>
      </c>
    </row>
    <row r="2602" customFormat="false" ht="15" hidden="false" customHeight="false" outlineLevel="0" collapsed="false">
      <c r="A2602" s="0" t="n">
        <v>37974</v>
      </c>
      <c r="B2602" s="0" t="s">
        <v>5915</v>
      </c>
      <c r="C2602" s="0" t="s">
        <v>31</v>
      </c>
      <c r="D2602" s="0" t="s">
        <v>3671</v>
      </c>
      <c r="E2602" s="0" t="n">
        <v>2.3</v>
      </c>
    </row>
    <row r="2603" customFormat="false" ht="15" hidden="false" customHeight="false" outlineLevel="0" collapsed="false">
      <c r="A2603" s="0" t="n">
        <v>37975</v>
      </c>
      <c r="B2603" s="0" t="s">
        <v>5916</v>
      </c>
      <c r="C2603" s="0" t="s">
        <v>31</v>
      </c>
      <c r="D2603" s="0" t="s">
        <v>3671</v>
      </c>
      <c r="E2603" s="0" t="n">
        <v>5.11</v>
      </c>
    </row>
    <row r="2604" customFormat="false" ht="15" hidden="false" customHeight="false" outlineLevel="0" collapsed="false">
      <c r="A2604" s="0" t="n">
        <v>37976</v>
      </c>
      <c r="B2604" s="0" t="s">
        <v>5917</v>
      </c>
      <c r="C2604" s="0" t="s">
        <v>31</v>
      </c>
      <c r="D2604" s="0" t="s">
        <v>3671</v>
      </c>
      <c r="E2604" s="0" t="n">
        <v>11.39</v>
      </c>
    </row>
    <row r="2605" customFormat="false" ht="15" hidden="false" customHeight="false" outlineLevel="0" collapsed="false">
      <c r="A2605" s="0" t="n">
        <v>37977</v>
      </c>
      <c r="B2605" s="0" t="s">
        <v>5918</v>
      </c>
      <c r="C2605" s="0" t="s">
        <v>31</v>
      </c>
      <c r="D2605" s="0" t="s">
        <v>3671</v>
      </c>
      <c r="E2605" s="0" t="n">
        <v>15.76</v>
      </c>
    </row>
    <row r="2606" customFormat="false" ht="15" hidden="false" customHeight="false" outlineLevel="0" collapsed="false">
      <c r="A2606" s="0" t="n">
        <v>37978</v>
      </c>
      <c r="B2606" s="0" t="s">
        <v>5919</v>
      </c>
      <c r="C2606" s="0" t="s">
        <v>31</v>
      </c>
      <c r="D2606" s="0" t="s">
        <v>3671</v>
      </c>
      <c r="E2606" s="0" t="n">
        <v>31.25</v>
      </c>
    </row>
    <row r="2607" customFormat="false" ht="15" hidden="false" customHeight="false" outlineLevel="0" collapsed="false">
      <c r="A2607" s="0" t="n">
        <v>37979</v>
      </c>
      <c r="B2607" s="0" t="s">
        <v>5920</v>
      </c>
      <c r="C2607" s="0" t="s">
        <v>31</v>
      </c>
      <c r="D2607" s="0" t="s">
        <v>3671</v>
      </c>
      <c r="E2607" s="0" t="n">
        <v>132.64</v>
      </c>
    </row>
    <row r="2608" customFormat="false" ht="15" hidden="false" customHeight="false" outlineLevel="0" collapsed="false">
      <c r="A2608" s="0" t="n">
        <v>37980</v>
      </c>
      <c r="B2608" s="0" t="s">
        <v>5921</v>
      </c>
      <c r="C2608" s="0" t="s">
        <v>31</v>
      </c>
      <c r="D2608" s="0" t="s">
        <v>3671</v>
      </c>
      <c r="E2608" s="0" t="n">
        <v>152.36</v>
      </c>
    </row>
    <row r="2609" customFormat="false" ht="15" hidden="false" customHeight="false" outlineLevel="0" collapsed="false">
      <c r="A2609" s="0" t="n">
        <v>36147</v>
      </c>
      <c r="B2609" s="0" t="s">
        <v>5922</v>
      </c>
      <c r="C2609" s="0" t="s">
        <v>1568</v>
      </c>
      <c r="D2609" s="0" t="s">
        <v>3671</v>
      </c>
      <c r="E2609" s="0" t="n">
        <v>338.72</v>
      </c>
    </row>
    <row r="2610" customFormat="false" ht="15" hidden="false" customHeight="false" outlineLevel="0" collapsed="false">
      <c r="A2610" s="0" t="n">
        <v>12731</v>
      </c>
      <c r="B2610" s="0" t="s">
        <v>5923</v>
      </c>
      <c r="C2610" s="0" t="s">
        <v>31</v>
      </c>
      <c r="D2610" s="0" t="s">
        <v>3671</v>
      </c>
    </row>
    <row r="2611" customFormat="false" ht="15" hidden="false" customHeight="false" outlineLevel="0" collapsed="false">
      <c r="A2611" s="0" t="n">
        <v>12723</v>
      </c>
      <c r="B2611" s="0" t="s">
        <v>5924</v>
      </c>
      <c r="C2611" s="0" t="s">
        <v>31</v>
      </c>
      <c r="D2611" s="0" t="s">
        <v>3671</v>
      </c>
    </row>
    <row r="2612" customFormat="false" ht="15" hidden="false" customHeight="false" outlineLevel="0" collapsed="false">
      <c r="A2612" s="0" t="n">
        <v>12724</v>
      </c>
      <c r="B2612" s="0" t="s">
        <v>5925</v>
      </c>
      <c r="C2612" s="0" t="s">
        <v>31</v>
      </c>
      <c r="D2612" s="0" t="s">
        <v>3671</v>
      </c>
    </row>
    <row r="2613" customFormat="false" ht="15" hidden="false" customHeight="false" outlineLevel="0" collapsed="false">
      <c r="A2613" s="0" t="n">
        <v>12725</v>
      </c>
      <c r="B2613" s="0" t="s">
        <v>5926</v>
      </c>
      <c r="C2613" s="0" t="s">
        <v>31</v>
      </c>
      <c r="D2613" s="0" t="s">
        <v>3671</v>
      </c>
    </row>
    <row r="2614" customFormat="false" ht="15" hidden="false" customHeight="false" outlineLevel="0" collapsed="false">
      <c r="A2614" s="0" t="n">
        <v>12726</v>
      </c>
      <c r="B2614" s="0" t="s">
        <v>5927</v>
      </c>
      <c r="C2614" s="0" t="s">
        <v>31</v>
      </c>
      <c r="D2614" s="0" t="s">
        <v>3671</v>
      </c>
    </row>
    <row r="2615" customFormat="false" ht="15" hidden="false" customHeight="false" outlineLevel="0" collapsed="false">
      <c r="A2615" s="0" t="n">
        <v>12727</v>
      </c>
      <c r="B2615" s="0" t="s">
        <v>5928</v>
      </c>
      <c r="C2615" s="0" t="s">
        <v>31</v>
      </c>
      <c r="D2615" s="0" t="s">
        <v>3671</v>
      </c>
    </row>
    <row r="2616" customFormat="false" ht="15" hidden="false" customHeight="false" outlineLevel="0" collapsed="false">
      <c r="A2616" s="0" t="n">
        <v>12728</v>
      </c>
      <c r="B2616" s="0" t="s">
        <v>5929</v>
      </c>
      <c r="C2616" s="0" t="s">
        <v>31</v>
      </c>
      <c r="D2616" s="0" t="s">
        <v>3671</v>
      </c>
    </row>
    <row r="2617" customFormat="false" ht="15" hidden="false" customHeight="false" outlineLevel="0" collapsed="false">
      <c r="A2617" s="0" t="n">
        <v>12729</v>
      </c>
      <c r="B2617" s="0" t="s">
        <v>5930</v>
      </c>
      <c r="C2617" s="0" t="s">
        <v>31</v>
      </c>
      <c r="D2617" s="0" t="s">
        <v>3671</v>
      </c>
    </row>
    <row r="2618" customFormat="false" ht="15" hidden="false" customHeight="false" outlineLevel="0" collapsed="false">
      <c r="A2618" s="0" t="n">
        <v>12730</v>
      </c>
      <c r="B2618" s="0" t="s">
        <v>5931</v>
      </c>
      <c r="C2618" s="0" t="s">
        <v>31</v>
      </c>
      <c r="D2618" s="0" t="s">
        <v>3671</v>
      </c>
    </row>
    <row r="2619" customFormat="false" ht="15" hidden="false" customHeight="false" outlineLevel="0" collapsed="false">
      <c r="A2619" s="0" t="n">
        <v>3840</v>
      </c>
      <c r="B2619" s="0" t="s">
        <v>5932</v>
      </c>
      <c r="C2619" s="0" t="s">
        <v>31</v>
      </c>
      <c r="D2619" s="0" t="s">
        <v>3671</v>
      </c>
    </row>
    <row r="2620" customFormat="false" ht="15" hidden="false" customHeight="false" outlineLevel="0" collapsed="false">
      <c r="A2620" s="0" t="n">
        <v>3838</v>
      </c>
      <c r="B2620" s="0" t="s">
        <v>5933</v>
      </c>
      <c r="C2620" s="0" t="s">
        <v>31</v>
      </c>
      <c r="D2620" s="0" t="s">
        <v>3671</v>
      </c>
    </row>
    <row r="2621" customFormat="false" ht="15" hidden="false" customHeight="false" outlineLevel="0" collapsed="false">
      <c r="A2621" s="0" t="n">
        <v>3844</v>
      </c>
      <c r="B2621" s="0" t="s">
        <v>5934</v>
      </c>
      <c r="C2621" s="0" t="s">
        <v>31</v>
      </c>
      <c r="D2621" s="0" t="s">
        <v>3671</v>
      </c>
    </row>
    <row r="2622" customFormat="false" ht="15" hidden="false" customHeight="false" outlineLevel="0" collapsed="false">
      <c r="A2622" s="0" t="n">
        <v>3839</v>
      </c>
      <c r="B2622" s="0" t="s">
        <v>5935</v>
      </c>
      <c r="C2622" s="0" t="s">
        <v>31</v>
      </c>
      <c r="D2622" s="0" t="s">
        <v>3671</v>
      </c>
    </row>
    <row r="2623" customFormat="false" ht="15" hidden="false" customHeight="false" outlineLevel="0" collapsed="false">
      <c r="A2623" s="0" t="n">
        <v>3843</v>
      </c>
      <c r="B2623" s="0" t="s">
        <v>5936</v>
      </c>
      <c r="C2623" s="0" t="s">
        <v>31</v>
      </c>
      <c r="D2623" s="0" t="s">
        <v>3671</v>
      </c>
    </row>
    <row r="2624" customFormat="false" ht="15" hidden="false" customHeight="false" outlineLevel="0" collapsed="false">
      <c r="A2624" s="0" t="n">
        <v>3900</v>
      </c>
      <c r="B2624" s="0" t="s">
        <v>5937</v>
      </c>
      <c r="C2624" s="0" t="s">
        <v>31</v>
      </c>
      <c r="D2624" s="0" t="s">
        <v>3671</v>
      </c>
      <c r="E2624" s="0" t="n">
        <v>46.82</v>
      </c>
    </row>
    <row r="2625" customFormat="false" ht="15" hidden="false" customHeight="false" outlineLevel="0" collapsed="false">
      <c r="A2625" s="0" t="n">
        <v>3846</v>
      </c>
      <c r="B2625" s="0" t="s">
        <v>5938</v>
      </c>
      <c r="C2625" s="0" t="s">
        <v>31</v>
      </c>
      <c r="D2625" s="0" t="s">
        <v>3671</v>
      </c>
      <c r="E2625" s="0" t="n">
        <v>14.07</v>
      </c>
    </row>
    <row r="2626" customFormat="false" ht="15" hidden="false" customHeight="false" outlineLevel="0" collapsed="false">
      <c r="A2626" s="0" t="n">
        <v>3886</v>
      </c>
      <c r="B2626" s="0" t="s">
        <v>5939</v>
      </c>
      <c r="C2626" s="0" t="s">
        <v>31</v>
      </c>
      <c r="D2626" s="0" t="s">
        <v>3671</v>
      </c>
      <c r="E2626" s="0" t="n">
        <v>18.67</v>
      </c>
    </row>
    <row r="2627" customFormat="false" ht="15" hidden="false" customHeight="false" outlineLevel="0" collapsed="false">
      <c r="A2627" s="0" t="n">
        <v>3854</v>
      </c>
      <c r="B2627" s="0" t="s">
        <v>5940</v>
      </c>
      <c r="C2627" s="0" t="s">
        <v>31</v>
      </c>
      <c r="D2627" s="0" t="s">
        <v>3671</v>
      </c>
      <c r="E2627" s="0" t="n">
        <v>10.64</v>
      </c>
    </row>
    <row r="2628" customFormat="false" ht="15" hidden="false" customHeight="false" outlineLevel="0" collapsed="false">
      <c r="A2628" s="0" t="n">
        <v>3873</v>
      </c>
      <c r="B2628" s="0" t="s">
        <v>5941</v>
      </c>
      <c r="C2628" s="0" t="s">
        <v>31</v>
      </c>
      <c r="D2628" s="0" t="s">
        <v>3671</v>
      </c>
      <c r="E2628" s="0" t="n">
        <v>12.39</v>
      </c>
    </row>
    <row r="2629" customFormat="false" ht="15" hidden="false" customHeight="false" outlineLevel="0" collapsed="false">
      <c r="A2629" s="0" t="n">
        <v>38021</v>
      </c>
      <c r="B2629" s="0" t="s">
        <v>5942</v>
      </c>
      <c r="C2629" s="0" t="s">
        <v>31</v>
      </c>
      <c r="D2629" s="0" t="s">
        <v>3671</v>
      </c>
      <c r="E2629" s="0" t="n">
        <v>22</v>
      </c>
    </row>
    <row r="2630" customFormat="false" ht="15" hidden="false" customHeight="false" outlineLevel="0" collapsed="false">
      <c r="A2630" s="0" t="n">
        <v>43838</v>
      </c>
      <c r="B2630" s="0" t="s">
        <v>5943</v>
      </c>
      <c r="C2630" s="0" t="s">
        <v>31</v>
      </c>
      <c r="D2630" s="0" t="s">
        <v>3671</v>
      </c>
      <c r="E2630" s="0" t="n">
        <v>28.44</v>
      </c>
    </row>
    <row r="2631" customFormat="false" ht="15" hidden="false" customHeight="false" outlineLevel="0" collapsed="false">
      <c r="A2631" s="0" t="n">
        <v>3847</v>
      </c>
      <c r="B2631" s="0" t="s">
        <v>5944</v>
      </c>
      <c r="C2631" s="0" t="s">
        <v>31</v>
      </c>
      <c r="D2631" s="0" t="s">
        <v>3671</v>
      </c>
      <c r="E2631" s="0" t="n">
        <v>28.68</v>
      </c>
    </row>
    <row r="2632" customFormat="false" ht="15" hidden="false" customHeight="false" outlineLevel="0" collapsed="false">
      <c r="A2632" s="0" t="n">
        <v>38022</v>
      </c>
      <c r="B2632" s="0" t="s">
        <v>5945</v>
      </c>
      <c r="C2632" s="0" t="s">
        <v>31</v>
      </c>
      <c r="D2632" s="0" t="s">
        <v>3671</v>
      </c>
      <c r="E2632" s="0" t="n">
        <v>39.41</v>
      </c>
    </row>
    <row r="2633" customFormat="false" ht="15" hidden="false" customHeight="false" outlineLevel="0" collapsed="false">
      <c r="A2633" s="0" t="n">
        <v>3826</v>
      </c>
      <c r="B2633" s="0" t="s">
        <v>5946</v>
      </c>
      <c r="C2633" s="0" t="s">
        <v>31</v>
      </c>
      <c r="D2633" s="0" t="s">
        <v>3671</v>
      </c>
    </row>
    <row r="2634" customFormat="false" ht="15" hidden="false" customHeight="false" outlineLevel="0" collapsed="false">
      <c r="A2634" s="0" t="n">
        <v>3825</v>
      </c>
      <c r="B2634" s="0" t="s">
        <v>5947</v>
      </c>
      <c r="C2634" s="0" t="s">
        <v>31</v>
      </c>
      <c r="D2634" s="0" t="s">
        <v>3671</v>
      </c>
    </row>
    <row r="2635" customFormat="false" ht="15" hidden="false" customHeight="false" outlineLevel="0" collapsed="false">
      <c r="A2635" s="0" t="n">
        <v>3827</v>
      </c>
      <c r="B2635" s="0" t="s">
        <v>5948</v>
      </c>
      <c r="C2635" s="0" t="s">
        <v>31</v>
      </c>
      <c r="D2635" s="0" t="s">
        <v>3671</v>
      </c>
    </row>
    <row r="2636" customFormat="false" ht="15" hidden="false" customHeight="false" outlineLevel="0" collapsed="false">
      <c r="A2636" s="0" t="n">
        <v>3830</v>
      </c>
      <c r="B2636" s="0" t="s">
        <v>5949</v>
      </c>
      <c r="C2636" s="0" t="s">
        <v>31</v>
      </c>
      <c r="D2636" s="0" t="s">
        <v>3671</v>
      </c>
      <c r="E2636" s="0" t="n">
        <v>210.09</v>
      </c>
    </row>
    <row r="2637" customFormat="false" ht="15" hidden="false" customHeight="false" outlineLevel="0" collapsed="false">
      <c r="A2637" s="0" t="n">
        <v>37981</v>
      </c>
      <c r="B2637" s="0" t="s">
        <v>5950</v>
      </c>
      <c r="C2637" s="0" t="s">
        <v>31</v>
      </c>
      <c r="D2637" s="0" t="s">
        <v>3671</v>
      </c>
      <c r="E2637" s="0" t="n">
        <v>6.63</v>
      </c>
    </row>
    <row r="2638" customFormat="false" ht="15" hidden="false" customHeight="false" outlineLevel="0" collapsed="false">
      <c r="A2638" s="0" t="n">
        <v>37982</v>
      </c>
      <c r="B2638" s="0" t="s">
        <v>5951</v>
      </c>
      <c r="C2638" s="0" t="s">
        <v>31</v>
      </c>
      <c r="D2638" s="0" t="s">
        <v>3671</v>
      </c>
      <c r="E2638" s="0" t="n">
        <v>9.63</v>
      </c>
    </row>
    <row r="2639" customFormat="false" ht="15" hidden="false" customHeight="false" outlineLevel="0" collapsed="false">
      <c r="A2639" s="0" t="n">
        <v>37983</v>
      </c>
      <c r="B2639" s="0" t="s">
        <v>5952</v>
      </c>
      <c r="C2639" s="0" t="s">
        <v>31</v>
      </c>
      <c r="D2639" s="0" t="s">
        <v>3671</v>
      </c>
      <c r="E2639" s="0" t="n">
        <v>14.23</v>
      </c>
    </row>
    <row r="2640" customFormat="false" ht="15" hidden="false" customHeight="false" outlineLevel="0" collapsed="false">
      <c r="A2640" s="0" t="n">
        <v>37984</v>
      </c>
      <c r="B2640" s="0" t="s">
        <v>5953</v>
      </c>
      <c r="C2640" s="0" t="s">
        <v>31</v>
      </c>
      <c r="D2640" s="0" t="s">
        <v>3671</v>
      </c>
      <c r="E2640" s="0" t="n">
        <v>20</v>
      </c>
    </row>
    <row r="2641" customFormat="false" ht="15" hidden="false" customHeight="false" outlineLevel="0" collapsed="false">
      <c r="A2641" s="0" t="n">
        <v>37985</v>
      </c>
      <c r="B2641" s="0" t="s">
        <v>5954</v>
      </c>
      <c r="C2641" s="0" t="s">
        <v>31</v>
      </c>
      <c r="D2641" s="0" t="s">
        <v>3671</v>
      </c>
      <c r="E2641" s="0" t="n">
        <v>28.41</v>
      </c>
    </row>
    <row r="2642" customFormat="false" ht="15" hidden="false" customHeight="false" outlineLevel="0" collapsed="false">
      <c r="A2642" s="0" t="n">
        <v>20165</v>
      </c>
      <c r="B2642" s="0" t="s">
        <v>5955</v>
      </c>
      <c r="C2642" s="0" t="s">
        <v>31</v>
      </c>
      <c r="D2642" s="0" t="s">
        <v>3671</v>
      </c>
      <c r="E2642" s="0" t="n">
        <v>26.04</v>
      </c>
    </row>
    <row r="2643" customFormat="false" ht="15" hidden="false" customHeight="false" outlineLevel="0" collapsed="false">
      <c r="A2643" s="0" t="n">
        <v>20166</v>
      </c>
      <c r="B2643" s="0" t="s">
        <v>5956</v>
      </c>
      <c r="C2643" s="0" t="s">
        <v>31</v>
      </c>
      <c r="D2643" s="0" t="s">
        <v>3671</v>
      </c>
      <c r="E2643" s="0" t="n">
        <v>79.54</v>
      </c>
    </row>
    <row r="2644" customFormat="false" ht="15" hidden="false" customHeight="false" outlineLevel="0" collapsed="false">
      <c r="A2644" s="0" t="n">
        <v>20164</v>
      </c>
      <c r="B2644" s="0" t="s">
        <v>5957</v>
      </c>
      <c r="C2644" s="0" t="s">
        <v>31</v>
      </c>
      <c r="D2644" s="0" t="s">
        <v>3671</v>
      </c>
      <c r="E2644" s="0" t="n">
        <v>12.51</v>
      </c>
    </row>
    <row r="2645" customFormat="false" ht="15" hidden="false" customHeight="false" outlineLevel="0" collapsed="false">
      <c r="A2645" s="0" t="n">
        <v>3893</v>
      </c>
      <c r="B2645" s="0" t="s">
        <v>5958</v>
      </c>
      <c r="C2645" s="0" t="s">
        <v>31</v>
      </c>
      <c r="D2645" s="0" t="s">
        <v>3671</v>
      </c>
      <c r="E2645" s="0" t="n">
        <v>19.61</v>
      </c>
    </row>
    <row r="2646" customFormat="false" ht="15" hidden="false" customHeight="false" outlineLevel="0" collapsed="false">
      <c r="A2646" s="0" t="n">
        <v>3848</v>
      </c>
      <c r="B2646" s="0" t="s">
        <v>5959</v>
      </c>
      <c r="C2646" s="0" t="s">
        <v>31</v>
      </c>
      <c r="D2646" s="0" t="s">
        <v>3671</v>
      </c>
      <c r="E2646" s="0" t="n">
        <v>11.96</v>
      </c>
    </row>
    <row r="2647" customFormat="false" ht="15" hidden="false" customHeight="false" outlineLevel="0" collapsed="false">
      <c r="A2647" s="0" t="n">
        <v>3895</v>
      </c>
      <c r="B2647" s="0" t="s">
        <v>5960</v>
      </c>
      <c r="C2647" s="0" t="s">
        <v>31</v>
      </c>
      <c r="D2647" s="0" t="s">
        <v>3671</v>
      </c>
      <c r="E2647" s="0" t="n">
        <v>13.28</v>
      </c>
    </row>
    <row r="2648" customFormat="false" ht="15" hidden="false" customHeight="false" outlineLevel="0" collapsed="false">
      <c r="A2648" s="0" t="n">
        <v>12404</v>
      </c>
      <c r="B2648" s="0" t="s">
        <v>5961</v>
      </c>
      <c r="C2648" s="0" t="s">
        <v>31</v>
      </c>
      <c r="D2648" s="0" t="s">
        <v>3671</v>
      </c>
    </row>
    <row r="2649" customFormat="false" ht="15" hidden="false" customHeight="false" outlineLevel="0" collapsed="false">
      <c r="A2649" s="0" t="n">
        <v>3939</v>
      </c>
      <c r="B2649" s="0" t="s">
        <v>5962</v>
      </c>
      <c r="C2649" s="0" t="s">
        <v>31</v>
      </c>
      <c r="D2649" s="0" t="s">
        <v>3671</v>
      </c>
    </row>
    <row r="2650" customFormat="false" ht="15" hidden="false" customHeight="false" outlineLevel="0" collapsed="false">
      <c r="A2650" s="0" t="n">
        <v>3911</v>
      </c>
      <c r="B2650" s="0" t="s">
        <v>5963</v>
      </c>
      <c r="C2650" s="0" t="s">
        <v>31</v>
      </c>
      <c r="D2650" s="0" t="s">
        <v>3671</v>
      </c>
    </row>
    <row r="2651" customFormat="false" ht="15" hidden="false" customHeight="false" outlineLevel="0" collapsed="false">
      <c r="A2651" s="0" t="n">
        <v>3910</v>
      </c>
      <c r="B2651" s="0" t="s">
        <v>5964</v>
      </c>
      <c r="C2651" s="0" t="s">
        <v>31</v>
      </c>
      <c r="D2651" s="0" t="s">
        <v>3671</v>
      </c>
    </row>
    <row r="2652" customFormat="false" ht="15" hidden="false" customHeight="false" outlineLevel="0" collapsed="false">
      <c r="A2652" s="0" t="n">
        <v>3908</v>
      </c>
      <c r="B2652" s="0" t="s">
        <v>5965</v>
      </c>
      <c r="C2652" s="0" t="s">
        <v>31</v>
      </c>
      <c r="D2652" s="0" t="s">
        <v>3671</v>
      </c>
    </row>
    <row r="2653" customFormat="false" ht="15" hidden="false" customHeight="false" outlineLevel="0" collapsed="false">
      <c r="A2653" s="0" t="n">
        <v>3913</v>
      </c>
      <c r="B2653" s="0" t="s">
        <v>5966</v>
      </c>
      <c r="C2653" s="0" t="s">
        <v>31</v>
      </c>
      <c r="D2653" s="0" t="s">
        <v>3671</v>
      </c>
    </row>
    <row r="2654" customFormat="false" ht="15" hidden="false" customHeight="false" outlineLevel="0" collapsed="false">
      <c r="A2654" s="0" t="n">
        <v>3912</v>
      </c>
      <c r="B2654" s="0" t="s">
        <v>5967</v>
      </c>
      <c r="C2654" s="0" t="s">
        <v>31</v>
      </c>
      <c r="D2654" s="0" t="s">
        <v>3671</v>
      </c>
    </row>
    <row r="2655" customFormat="false" ht="15" hidden="false" customHeight="false" outlineLevel="0" collapsed="false">
      <c r="A2655" s="0" t="n">
        <v>3914</v>
      </c>
      <c r="B2655" s="0" t="s">
        <v>5968</v>
      </c>
      <c r="C2655" s="0" t="s">
        <v>31</v>
      </c>
      <c r="D2655" s="0" t="s">
        <v>3671</v>
      </c>
    </row>
    <row r="2656" customFormat="false" ht="15" hidden="false" customHeight="false" outlineLevel="0" collapsed="false">
      <c r="A2656" s="0" t="n">
        <v>3909</v>
      </c>
      <c r="B2656" s="0" t="s">
        <v>5969</v>
      </c>
      <c r="C2656" s="0" t="s">
        <v>31</v>
      </c>
      <c r="D2656" s="0" t="s">
        <v>3671</v>
      </c>
    </row>
    <row r="2657" customFormat="false" ht="15" hidden="false" customHeight="false" outlineLevel="0" collapsed="false">
      <c r="A2657" s="0" t="n">
        <v>3915</v>
      </c>
      <c r="B2657" s="0" t="s">
        <v>5970</v>
      </c>
      <c r="C2657" s="0" t="s">
        <v>31</v>
      </c>
      <c r="D2657" s="0" t="s">
        <v>3671</v>
      </c>
    </row>
    <row r="2658" customFormat="false" ht="15" hidden="false" customHeight="false" outlineLevel="0" collapsed="false">
      <c r="A2658" s="0" t="n">
        <v>3916</v>
      </c>
      <c r="B2658" s="0" t="s">
        <v>5971</v>
      </c>
      <c r="C2658" s="0" t="s">
        <v>31</v>
      </c>
      <c r="D2658" s="0" t="s">
        <v>3671</v>
      </c>
    </row>
    <row r="2659" customFormat="false" ht="15" hidden="false" customHeight="false" outlineLevel="0" collapsed="false">
      <c r="A2659" s="0" t="n">
        <v>3917</v>
      </c>
      <c r="B2659" s="0" t="s">
        <v>5972</v>
      </c>
      <c r="C2659" s="0" t="s">
        <v>31</v>
      </c>
      <c r="D2659" s="0" t="s">
        <v>3671</v>
      </c>
    </row>
    <row r="2660" customFormat="false" ht="15" hidden="false" customHeight="false" outlineLevel="0" collapsed="false">
      <c r="A2660" s="0" t="n">
        <v>1904</v>
      </c>
      <c r="B2660" s="0" t="s">
        <v>5973</v>
      </c>
      <c r="C2660" s="0" t="s">
        <v>31</v>
      </c>
      <c r="D2660" s="0" t="s">
        <v>3671</v>
      </c>
      <c r="E2660" s="0" t="n">
        <v>0.56</v>
      </c>
    </row>
    <row r="2661" customFormat="false" ht="15" hidden="false" customHeight="false" outlineLevel="0" collapsed="false">
      <c r="A2661" s="0" t="n">
        <v>1899</v>
      </c>
      <c r="B2661" s="0" t="s">
        <v>5974</v>
      </c>
      <c r="C2661" s="0" t="s">
        <v>31</v>
      </c>
      <c r="D2661" s="0" t="s">
        <v>3671</v>
      </c>
      <c r="E2661" s="0" t="n">
        <v>0.63</v>
      </c>
    </row>
    <row r="2662" customFormat="false" ht="15" hidden="false" customHeight="false" outlineLevel="0" collapsed="false">
      <c r="A2662" s="0" t="n">
        <v>1900</v>
      </c>
      <c r="B2662" s="0" t="s">
        <v>5975</v>
      </c>
      <c r="C2662" s="0" t="s">
        <v>31</v>
      </c>
      <c r="D2662" s="0" t="s">
        <v>3671</v>
      </c>
      <c r="E2662" s="0" t="n">
        <v>1.03</v>
      </c>
    </row>
    <row r="2663" customFormat="false" ht="15" hidden="false" customHeight="false" outlineLevel="0" collapsed="false">
      <c r="A2663" s="0" t="n">
        <v>12407</v>
      </c>
      <c r="B2663" s="0" t="s">
        <v>5976</v>
      </c>
      <c r="C2663" s="0" t="s">
        <v>31</v>
      </c>
      <c r="D2663" s="0" t="s">
        <v>3671</v>
      </c>
    </row>
    <row r="2664" customFormat="false" ht="15" hidden="false" customHeight="false" outlineLevel="0" collapsed="false">
      <c r="A2664" s="0" t="n">
        <v>12408</v>
      </c>
      <c r="B2664" s="0" t="s">
        <v>5977</v>
      </c>
      <c r="C2664" s="0" t="s">
        <v>31</v>
      </c>
      <c r="D2664" s="0" t="s">
        <v>3671</v>
      </c>
    </row>
    <row r="2665" customFormat="false" ht="15" hidden="false" customHeight="false" outlineLevel="0" collapsed="false">
      <c r="A2665" s="0" t="n">
        <v>12409</v>
      </c>
      <c r="B2665" s="0" t="s">
        <v>5978</v>
      </c>
      <c r="C2665" s="0" t="s">
        <v>31</v>
      </c>
      <c r="D2665" s="0" t="s">
        <v>3671</v>
      </c>
    </row>
    <row r="2666" customFormat="false" ht="15" hidden="false" customHeight="false" outlineLevel="0" collapsed="false">
      <c r="A2666" s="0" t="n">
        <v>12410</v>
      </c>
      <c r="B2666" s="0" t="s">
        <v>5979</v>
      </c>
      <c r="C2666" s="0" t="s">
        <v>31</v>
      </c>
      <c r="D2666" s="0" t="s">
        <v>3671</v>
      </c>
    </row>
    <row r="2667" customFormat="false" ht="15" hidden="false" customHeight="false" outlineLevel="0" collapsed="false">
      <c r="A2667" s="0" t="n">
        <v>3936</v>
      </c>
      <c r="B2667" s="0" t="s">
        <v>5980</v>
      </c>
      <c r="C2667" s="0" t="s">
        <v>31</v>
      </c>
      <c r="D2667" s="0" t="s">
        <v>3671</v>
      </c>
    </row>
    <row r="2668" customFormat="false" ht="15" hidden="false" customHeight="false" outlineLevel="0" collapsed="false">
      <c r="A2668" s="0" t="n">
        <v>3924</v>
      </c>
      <c r="B2668" s="0" t="s">
        <v>5981</v>
      </c>
      <c r="C2668" s="0" t="s">
        <v>31</v>
      </c>
      <c r="D2668" s="0" t="s">
        <v>3671</v>
      </c>
    </row>
    <row r="2669" customFormat="false" ht="15" hidden="false" customHeight="false" outlineLevel="0" collapsed="false">
      <c r="A2669" s="0" t="n">
        <v>3922</v>
      </c>
      <c r="B2669" s="0" t="s">
        <v>5982</v>
      </c>
      <c r="C2669" s="0" t="s">
        <v>31</v>
      </c>
      <c r="D2669" s="0" t="s">
        <v>3671</v>
      </c>
    </row>
    <row r="2670" customFormat="false" ht="15" hidden="false" customHeight="false" outlineLevel="0" collapsed="false">
      <c r="A2670" s="0" t="n">
        <v>3923</v>
      </c>
      <c r="B2670" s="0" t="s">
        <v>5983</v>
      </c>
      <c r="C2670" s="0" t="s">
        <v>31</v>
      </c>
      <c r="D2670" s="0" t="s">
        <v>3671</v>
      </c>
    </row>
    <row r="2671" customFormat="false" ht="15" hidden="false" customHeight="false" outlineLevel="0" collapsed="false">
      <c r="A2671" s="0" t="n">
        <v>3921</v>
      </c>
      <c r="B2671" s="0" t="s">
        <v>5984</v>
      </c>
      <c r="C2671" s="0" t="s">
        <v>31</v>
      </c>
      <c r="D2671" s="0" t="s">
        <v>3671</v>
      </c>
    </row>
    <row r="2672" customFormat="false" ht="15" hidden="false" customHeight="false" outlineLevel="0" collapsed="false">
      <c r="A2672" s="0" t="n">
        <v>3937</v>
      </c>
      <c r="B2672" s="0" t="s">
        <v>5985</v>
      </c>
      <c r="C2672" s="0" t="s">
        <v>31</v>
      </c>
      <c r="D2672" s="0" t="s">
        <v>3671</v>
      </c>
    </row>
    <row r="2673" customFormat="false" ht="15" hidden="false" customHeight="false" outlineLevel="0" collapsed="false">
      <c r="A2673" s="0" t="n">
        <v>3920</v>
      </c>
      <c r="B2673" s="0" t="s">
        <v>5986</v>
      </c>
      <c r="C2673" s="0" t="s">
        <v>31</v>
      </c>
      <c r="D2673" s="0" t="s">
        <v>3671</v>
      </c>
    </row>
    <row r="2674" customFormat="false" ht="15" hidden="false" customHeight="false" outlineLevel="0" collapsed="false">
      <c r="A2674" s="0" t="n">
        <v>3938</v>
      </c>
      <c r="B2674" s="0" t="s">
        <v>5987</v>
      </c>
      <c r="C2674" s="0" t="s">
        <v>31</v>
      </c>
      <c r="D2674" s="0" t="s">
        <v>3671</v>
      </c>
    </row>
    <row r="2675" customFormat="false" ht="15" hidden="false" customHeight="false" outlineLevel="0" collapsed="false">
      <c r="A2675" s="0" t="n">
        <v>3919</v>
      </c>
      <c r="B2675" s="0" t="s">
        <v>5988</v>
      </c>
      <c r="C2675" s="0" t="s">
        <v>31</v>
      </c>
      <c r="D2675" s="0" t="s">
        <v>3671</v>
      </c>
    </row>
    <row r="2676" customFormat="false" ht="15" hidden="false" customHeight="false" outlineLevel="0" collapsed="false">
      <c r="A2676" s="0" t="n">
        <v>3927</v>
      </c>
      <c r="B2676" s="0" t="s">
        <v>5989</v>
      </c>
      <c r="C2676" s="0" t="s">
        <v>31</v>
      </c>
      <c r="D2676" s="0" t="s">
        <v>3671</v>
      </c>
    </row>
    <row r="2677" customFormat="false" ht="15" hidden="false" customHeight="false" outlineLevel="0" collapsed="false">
      <c r="A2677" s="0" t="n">
        <v>3928</v>
      </c>
      <c r="B2677" s="0" t="s">
        <v>5990</v>
      </c>
      <c r="C2677" s="0" t="s">
        <v>31</v>
      </c>
      <c r="D2677" s="0" t="s">
        <v>3671</v>
      </c>
    </row>
    <row r="2678" customFormat="false" ht="15" hidden="false" customHeight="false" outlineLevel="0" collapsed="false">
      <c r="A2678" s="0" t="n">
        <v>3926</v>
      </c>
      <c r="B2678" s="0" t="s">
        <v>5991</v>
      </c>
      <c r="C2678" s="0" t="s">
        <v>31</v>
      </c>
      <c r="D2678" s="0" t="s">
        <v>3671</v>
      </c>
    </row>
    <row r="2679" customFormat="false" ht="15" hidden="false" customHeight="false" outlineLevel="0" collapsed="false">
      <c r="A2679" s="0" t="n">
        <v>3935</v>
      </c>
      <c r="B2679" s="0" t="s">
        <v>5992</v>
      </c>
      <c r="C2679" s="0" t="s">
        <v>31</v>
      </c>
      <c r="D2679" s="0" t="s">
        <v>3671</v>
      </c>
    </row>
    <row r="2680" customFormat="false" ht="15" hidden="false" customHeight="false" outlineLevel="0" collapsed="false">
      <c r="A2680" s="0" t="n">
        <v>3925</v>
      </c>
      <c r="B2680" s="0" t="s">
        <v>5993</v>
      </c>
      <c r="C2680" s="0" t="s">
        <v>31</v>
      </c>
      <c r="D2680" s="0" t="s">
        <v>3671</v>
      </c>
    </row>
    <row r="2681" customFormat="false" ht="15" hidden="false" customHeight="false" outlineLevel="0" collapsed="false">
      <c r="A2681" s="0" t="n">
        <v>3929</v>
      </c>
      <c r="B2681" s="0" t="s">
        <v>5994</v>
      </c>
      <c r="C2681" s="0" t="s">
        <v>31</v>
      </c>
      <c r="D2681" s="0" t="s">
        <v>3671</v>
      </c>
    </row>
    <row r="2682" customFormat="false" ht="15" hidden="false" customHeight="false" outlineLevel="0" collapsed="false">
      <c r="A2682" s="0" t="n">
        <v>3931</v>
      </c>
      <c r="B2682" s="0" t="s">
        <v>2700</v>
      </c>
      <c r="C2682" s="0" t="s">
        <v>31</v>
      </c>
      <c r="D2682" s="0" t="s">
        <v>3671</v>
      </c>
    </row>
    <row r="2683" customFormat="false" ht="15" hidden="false" customHeight="false" outlineLevel="0" collapsed="false">
      <c r="A2683" s="0" t="n">
        <v>3930</v>
      </c>
      <c r="B2683" s="0" t="s">
        <v>5995</v>
      </c>
      <c r="C2683" s="0" t="s">
        <v>31</v>
      </c>
      <c r="D2683" s="0" t="s">
        <v>3671</v>
      </c>
    </row>
    <row r="2684" customFormat="false" ht="15" hidden="false" customHeight="false" outlineLevel="0" collapsed="false">
      <c r="A2684" s="0" t="n">
        <v>12406</v>
      </c>
      <c r="B2684" s="0" t="s">
        <v>5996</v>
      </c>
      <c r="C2684" s="0" t="s">
        <v>31</v>
      </c>
      <c r="D2684" s="0" t="s">
        <v>3671</v>
      </c>
    </row>
    <row r="2685" customFormat="false" ht="15" hidden="false" customHeight="false" outlineLevel="0" collapsed="false">
      <c r="A2685" s="0" t="n">
        <v>3932</v>
      </c>
      <c r="B2685" s="0" t="s">
        <v>5997</v>
      </c>
      <c r="C2685" s="0" t="s">
        <v>31</v>
      </c>
      <c r="D2685" s="0" t="s">
        <v>3671</v>
      </c>
    </row>
    <row r="2686" customFormat="false" ht="15" hidden="false" customHeight="false" outlineLevel="0" collapsed="false">
      <c r="A2686" s="0" t="n">
        <v>3933</v>
      </c>
      <c r="B2686" s="0" t="s">
        <v>5998</v>
      </c>
      <c r="C2686" s="0" t="s">
        <v>31</v>
      </c>
      <c r="D2686" s="0" t="s">
        <v>3671</v>
      </c>
    </row>
    <row r="2687" customFormat="false" ht="15" hidden="false" customHeight="false" outlineLevel="0" collapsed="false">
      <c r="A2687" s="0" t="n">
        <v>3934</v>
      </c>
      <c r="B2687" s="0" t="s">
        <v>5999</v>
      </c>
      <c r="C2687" s="0" t="s">
        <v>31</v>
      </c>
      <c r="D2687" s="0" t="s">
        <v>3671</v>
      </c>
    </row>
    <row r="2688" customFormat="false" ht="15" hidden="false" customHeight="false" outlineLevel="0" collapsed="false">
      <c r="A2688" s="0" t="n">
        <v>40355</v>
      </c>
      <c r="B2688" s="0" t="s">
        <v>6000</v>
      </c>
      <c r="C2688" s="0" t="s">
        <v>31</v>
      </c>
      <c r="D2688" s="0" t="s">
        <v>3671</v>
      </c>
    </row>
    <row r="2689" customFormat="false" ht="15" hidden="false" customHeight="false" outlineLevel="0" collapsed="false">
      <c r="A2689" s="0" t="n">
        <v>40364</v>
      </c>
      <c r="B2689" s="0" t="s">
        <v>6001</v>
      </c>
      <c r="C2689" s="0" t="s">
        <v>31</v>
      </c>
      <c r="D2689" s="0" t="s">
        <v>3671</v>
      </c>
    </row>
    <row r="2690" customFormat="false" ht="15" hidden="false" customHeight="false" outlineLevel="0" collapsed="false">
      <c r="A2690" s="0" t="n">
        <v>40361</v>
      </c>
      <c r="B2690" s="0" t="s">
        <v>6002</v>
      </c>
      <c r="C2690" s="0" t="s">
        <v>31</v>
      </c>
      <c r="D2690" s="0" t="s">
        <v>3671</v>
      </c>
    </row>
    <row r="2691" customFormat="false" ht="15" hidden="false" customHeight="false" outlineLevel="0" collapsed="false">
      <c r="A2691" s="0" t="n">
        <v>40358</v>
      </c>
      <c r="B2691" s="0" t="s">
        <v>6003</v>
      </c>
      <c r="C2691" s="0" t="s">
        <v>31</v>
      </c>
      <c r="D2691" s="0" t="s">
        <v>3671</v>
      </c>
    </row>
    <row r="2692" customFormat="false" ht="15" hidden="false" customHeight="false" outlineLevel="0" collapsed="false">
      <c r="A2692" s="0" t="n">
        <v>40370</v>
      </c>
      <c r="B2692" s="0" t="s">
        <v>6004</v>
      </c>
      <c r="C2692" s="0" t="s">
        <v>31</v>
      </c>
      <c r="D2692" s="0" t="s">
        <v>3671</v>
      </c>
    </row>
    <row r="2693" customFormat="false" ht="15" hidden="false" customHeight="false" outlineLevel="0" collapsed="false">
      <c r="A2693" s="0" t="n">
        <v>40367</v>
      </c>
      <c r="B2693" s="0" t="s">
        <v>6005</v>
      </c>
      <c r="C2693" s="0" t="s">
        <v>31</v>
      </c>
      <c r="D2693" s="0" t="s">
        <v>3671</v>
      </c>
    </row>
    <row r="2694" customFormat="false" ht="15" hidden="false" customHeight="false" outlineLevel="0" collapsed="false">
      <c r="A2694" s="0" t="n">
        <v>40373</v>
      </c>
      <c r="B2694" s="0" t="s">
        <v>6006</v>
      </c>
      <c r="C2694" s="0" t="s">
        <v>31</v>
      </c>
      <c r="D2694" s="0" t="s">
        <v>3671</v>
      </c>
    </row>
    <row r="2695" customFormat="false" ht="15" hidden="false" customHeight="false" outlineLevel="0" collapsed="false">
      <c r="A2695" s="0" t="n">
        <v>3907</v>
      </c>
      <c r="B2695" s="0" t="s">
        <v>6007</v>
      </c>
      <c r="C2695" s="0" t="s">
        <v>31</v>
      </c>
      <c r="D2695" s="0" t="s">
        <v>3671</v>
      </c>
      <c r="E2695" s="0" t="n">
        <v>5.39</v>
      </c>
    </row>
    <row r="2696" customFormat="false" ht="15" hidden="false" customHeight="false" outlineLevel="0" collapsed="false">
      <c r="A2696" s="0" t="n">
        <v>3889</v>
      </c>
      <c r="B2696" s="0" t="s">
        <v>6008</v>
      </c>
      <c r="C2696" s="0" t="s">
        <v>31</v>
      </c>
      <c r="D2696" s="0" t="s">
        <v>3671</v>
      </c>
      <c r="E2696" s="0" t="n">
        <v>3.83</v>
      </c>
    </row>
    <row r="2697" customFormat="false" ht="15" hidden="false" customHeight="false" outlineLevel="0" collapsed="false">
      <c r="A2697" s="0" t="n">
        <v>3868</v>
      </c>
      <c r="B2697" s="0" t="s">
        <v>6009</v>
      </c>
      <c r="C2697" s="0" t="s">
        <v>31</v>
      </c>
      <c r="D2697" s="0" t="s">
        <v>3671</v>
      </c>
      <c r="E2697" s="0" t="n">
        <v>1.41</v>
      </c>
    </row>
    <row r="2698" customFormat="false" ht="15" hidden="false" customHeight="false" outlineLevel="0" collapsed="false">
      <c r="A2698" s="0" t="n">
        <v>3869</v>
      </c>
      <c r="B2698" s="0" t="s">
        <v>6010</v>
      </c>
      <c r="C2698" s="0" t="s">
        <v>31</v>
      </c>
      <c r="D2698" s="0" t="s">
        <v>3671</v>
      </c>
      <c r="E2698" s="0" t="n">
        <v>3.12</v>
      </c>
    </row>
    <row r="2699" customFormat="false" ht="15" hidden="false" customHeight="false" outlineLevel="0" collapsed="false">
      <c r="A2699" s="0" t="n">
        <v>3872</v>
      </c>
      <c r="B2699" s="0" t="s">
        <v>6011</v>
      </c>
      <c r="C2699" s="0" t="s">
        <v>31</v>
      </c>
      <c r="D2699" s="0" t="s">
        <v>3671</v>
      </c>
      <c r="E2699" s="0" t="n">
        <v>5.32</v>
      </c>
    </row>
    <row r="2700" customFormat="false" ht="15" hidden="false" customHeight="false" outlineLevel="0" collapsed="false">
      <c r="A2700" s="0" t="n">
        <v>3850</v>
      </c>
      <c r="B2700" s="0" t="s">
        <v>6012</v>
      </c>
      <c r="C2700" s="0" t="s">
        <v>31</v>
      </c>
      <c r="D2700" s="0" t="s">
        <v>3671</v>
      </c>
      <c r="E2700" s="0" t="n">
        <v>12.28</v>
      </c>
    </row>
    <row r="2701" customFormat="false" ht="15" hidden="false" customHeight="false" outlineLevel="0" collapsed="false">
      <c r="A2701" s="0" t="n">
        <v>38023</v>
      </c>
      <c r="B2701" s="0" t="s">
        <v>6013</v>
      </c>
      <c r="C2701" s="0" t="s">
        <v>31</v>
      </c>
      <c r="D2701" s="0" t="s">
        <v>3671</v>
      </c>
      <c r="E2701" s="0" t="n">
        <v>6.25</v>
      </c>
    </row>
    <row r="2702" customFormat="false" ht="15" hidden="false" customHeight="false" outlineLevel="0" collapsed="false">
      <c r="A2702" s="0" t="n">
        <v>37986</v>
      </c>
      <c r="B2702" s="0" t="s">
        <v>6014</v>
      </c>
      <c r="C2702" s="0" t="s">
        <v>31</v>
      </c>
      <c r="D2702" s="0" t="s">
        <v>3671</v>
      </c>
      <c r="E2702" s="0" t="n">
        <v>2.26</v>
      </c>
    </row>
    <row r="2703" customFormat="false" ht="15" hidden="false" customHeight="false" outlineLevel="0" collapsed="false">
      <c r="A2703" s="0" t="n">
        <v>21120</v>
      </c>
      <c r="B2703" s="0" t="s">
        <v>6015</v>
      </c>
      <c r="C2703" s="0" t="s">
        <v>31</v>
      </c>
      <c r="D2703" s="0" t="s">
        <v>3671</v>
      </c>
      <c r="E2703" s="0" t="n">
        <v>11.56</v>
      </c>
    </row>
    <row r="2704" customFormat="false" ht="15" hidden="false" customHeight="false" outlineLevel="0" collapsed="false">
      <c r="A2704" s="0" t="n">
        <v>39318</v>
      </c>
      <c r="B2704" s="0" t="s">
        <v>6016</v>
      </c>
      <c r="C2704" s="0" t="s">
        <v>31</v>
      </c>
      <c r="D2704" s="0" t="s">
        <v>3671</v>
      </c>
      <c r="E2704" s="0" t="n">
        <v>10.75</v>
      </c>
    </row>
    <row r="2705" customFormat="false" ht="15" hidden="false" customHeight="false" outlineLevel="0" collapsed="false">
      <c r="A2705" s="0" t="n">
        <v>37987</v>
      </c>
      <c r="B2705" s="0" t="s">
        <v>6017</v>
      </c>
      <c r="C2705" s="0" t="s">
        <v>31</v>
      </c>
      <c r="D2705" s="0" t="s">
        <v>3671</v>
      </c>
      <c r="E2705" s="0" t="n">
        <v>113.02</v>
      </c>
    </row>
    <row r="2706" customFormat="false" ht="15" hidden="false" customHeight="false" outlineLevel="0" collapsed="false">
      <c r="A2706" s="0" t="n">
        <v>37988</v>
      </c>
      <c r="B2706" s="0" t="s">
        <v>6018</v>
      </c>
      <c r="C2706" s="0" t="s">
        <v>31</v>
      </c>
      <c r="D2706" s="0" t="s">
        <v>3671</v>
      </c>
      <c r="E2706" s="0" t="n">
        <v>179.59</v>
      </c>
    </row>
    <row r="2707" customFormat="false" ht="15" hidden="false" customHeight="false" outlineLevel="0" collapsed="false">
      <c r="A2707" s="0" t="n">
        <v>40366</v>
      </c>
      <c r="B2707" s="0" t="s">
        <v>6019</v>
      </c>
      <c r="C2707" s="0" t="s">
        <v>31</v>
      </c>
      <c r="D2707" s="0" t="s">
        <v>3671</v>
      </c>
    </row>
    <row r="2708" customFormat="false" ht="15" hidden="false" customHeight="false" outlineLevel="0" collapsed="false">
      <c r="A2708" s="0" t="n">
        <v>40363</v>
      </c>
      <c r="B2708" s="0" t="s">
        <v>6020</v>
      </c>
      <c r="C2708" s="0" t="s">
        <v>31</v>
      </c>
      <c r="D2708" s="0" t="s">
        <v>3671</v>
      </c>
    </row>
    <row r="2709" customFormat="false" ht="15" hidden="false" customHeight="false" outlineLevel="0" collapsed="false">
      <c r="A2709" s="0" t="n">
        <v>40360</v>
      </c>
      <c r="B2709" s="0" t="s">
        <v>6021</v>
      </c>
      <c r="C2709" s="0" t="s">
        <v>31</v>
      </c>
      <c r="D2709" s="0" t="s">
        <v>3671</v>
      </c>
    </row>
    <row r="2710" customFormat="false" ht="15" hidden="false" customHeight="false" outlineLevel="0" collapsed="false">
      <c r="A2710" s="0" t="n">
        <v>40354</v>
      </c>
      <c r="B2710" s="0" t="s">
        <v>6022</v>
      </c>
      <c r="C2710" s="0" t="s">
        <v>31</v>
      </c>
      <c r="D2710" s="0" t="s">
        <v>3676</v>
      </c>
    </row>
    <row r="2711" customFormat="false" ht="15" hidden="false" customHeight="false" outlineLevel="0" collapsed="false">
      <c r="A2711" s="0" t="n">
        <v>40372</v>
      </c>
      <c r="B2711" s="0" t="s">
        <v>6023</v>
      </c>
      <c r="C2711" s="0" t="s">
        <v>31</v>
      </c>
      <c r="D2711" s="0" t="s">
        <v>3671</v>
      </c>
    </row>
    <row r="2712" customFormat="false" ht="15" hidden="false" customHeight="false" outlineLevel="0" collapsed="false">
      <c r="A2712" s="0" t="n">
        <v>40369</v>
      </c>
      <c r="B2712" s="0" t="s">
        <v>6024</v>
      </c>
      <c r="C2712" s="0" t="s">
        <v>31</v>
      </c>
      <c r="D2712" s="0" t="s">
        <v>3671</v>
      </c>
    </row>
    <row r="2713" customFormat="false" ht="15" hidden="false" customHeight="false" outlineLevel="0" collapsed="false">
      <c r="A2713" s="0" t="n">
        <v>40375</v>
      </c>
      <c r="B2713" s="0" t="s">
        <v>6025</v>
      </c>
      <c r="C2713" s="0" t="s">
        <v>31</v>
      </c>
      <c r="D2713" s="0" t="s">
        <v>3671</v>
      </c>
    </row>
    <row r="2714" customFormat="false" ht="15" hidden="false" customHeight="false" outlineLevel="0" collapsed="false">
      <c r="A2714" s="0" t="n">
        <v>40357</v>
      </c>
      <c r="B2714" s="0" t="s">
        <v>6026</v>
      </c>
      <c r="C2714" s="0" t="s">
        <v>31</v>
      </c>
      <c r="D2714" s="0" t="s">
        <v>3671</v>
      </c>
    </row>
    <row r="2715" customFormat="false" ht="15" hidden="false" customHeight="false" outlineLevel="0" collapsed="false">
      <c r="A2715" s="0" t="n">
        <v>1893</v>
      </c>
      <c r="B2715" s="0" t="s">
        <v>6027</v>
      </c>
      <c r="C2715" s="0" t="s">
        <v>31</v>
      </c>
      <c r="D2715" s="0" t="s">
        <v>3671</v>
      </c>
      <c r="E2715" s="0" t="n">
        <v>2.12</v>
      </c>
    </row>
    <row r="2716" customFormat="false" ht="15" hidden="false" customHeight="false" outlineLevel="0" collapsed="false">
      <c r="A2716" s="0" t="n">
        <v>1902</v>
      </c>
      <c r="B2716" s="0" t="s">
        <v>6028</v>
      </c>
      <c r="C2716" s="0" t="s">
        <v>31</v>
      </c>
      <c r="D2716" s="0" t="s">
        <v>3671</v>
      </c>
      <c r="E2716" s="0" t="n">
        <v>1.54</v>
      </c>
    </row>
    <row r="2717" customFormat="false" ht="15" hidden="false" customHeight="false" outlineLevel="0" collapsed="false">
      <c r="A2717" s="0" t="n">
        <v>1892</v>
      </c>
      <c r="B2717" s="0" t="s">
        <v>6029</v>
      </c>
      <c r="C2717" s="0" t="s">
        <v>31</v>
      </c>
      <c r="D2717" s="0" t="s">
        <v>3671</v>
      </c>
      <c r="E2717" s="0" t="n">
        <v>0.99</v>
      </c>
    </row>
    <row r="2718" customFormat="false" ht="15" hidden="false" customHeight="false" outlineLevel="0" collapsed="false">
      <c r="A2718" s="0" t="n">
        <v>1901</v>
      </c>
      <c r="B2718" s="0" t="s">
        <v>6030</v>
      </c>
      <c r="C2718" s="0" t="s">
        <v>31</v>
      </c>
      <c r="D2718" s="0" t="s">
        <v>3671</v>
      </c>
      <c r="E2718" s="0" t="n">
        <v>0.48</v>
      </c>
    </row>
    <row r="2719" customFormat="false" ht="15" hidden="false" customHeight="false" outlineLevel="0" collapsed="false">
      <c r="A2719" s="0" t="n">
        <v>1907</v>
      </c>
      <c r="B2719" s="0" t="s">
        <v>6031</v>
      </c>
      <c r="C2719" s="0" t="s">
        <v>31</v>
      </c>
      <c r="D2719" s="0" t="s">
        <v>3671</v>
      </c>
      <c r="E2719" s="0" t="n">
        <v>6.82</v>
      </c>
    </row>
    <row r="2720" customFormat="false" ht="15" hidden="false" customHeight="false" outlineLevel="0" collapsed="false">
      <c r="A2720" s="0" t="n">
        <v>1894</v>
      </c>
      <c r="B2720" s="0" t="s">
        <v>6032</v>
      </c>
      <c r="C2720" s="0" t="s">
        <v>31</v>
      </c>
      <c r="D2720" s="0" t="s">
        <v>3671</v>
      </c>
      <c r="E2720" s="0" t="n">
        <v>3.07</v>
      </c>
    </row>
    <row r="2721" customFormat="false" ht="15" hidden="false" customHeight="false" outlineLevel="0" collapsed="false">
      <c r="A2721" s="0" t="n">
        <v>1896</v>
      </c>
      <c r="B2721" s="0" t="s">
        <v>6033</v>
      </c>
      <c r="C2721" s="0" t="s">
        <v>31</v>
      </c>
      <c r="D2721" s="0" t="s">
        <v>3671</v>
      </c>
      <c r="E2721" s="0" t="n">
        <v>9.16</v>
      </c>
    </row>
    <row r="2722" customFormat="false" ht="15" hidden="false" customHeight="false" outlineLevel="0" collapsed="false">
      <c r="A2722" s="0" t="n">
        <v>1891</v>
      </c>
      <c r="B2722" s="0" t="s">
        <v>2384</v>
      </c>
      <c r="C2722" s="0" t="s">
        <v>31</v>
      </c>
      <c r="D2722" s="0" t="s">
        <v>3671</v>
      </c>
      <c r="E2722" s="0" t="n">
        <v>0.71</v>
      </c>
    </row>
    <row r="2723" customFormat="false" ht="15" hidden="false" customHeight="false" outlineLevel="0" collapsed="false">
      <c r="A2723" s="0" t="n">
        <v>1895</v>
      </c>
      <c r="B2723" s="0" t="s">
        <v>6034</v>
      </c>
      <c r="C2723" s="0" t="s">
        <v>31</v>
      </c>
      <c r="D2723" s="0" t="s">
        <v>3671</v>
      </c>
      <c r="E2723" s="0" t="n">
        <v>16.1</v>
      </c>
    </row>
    <row r="2724" customFormat="false" ht="15" hidden="false" customHeight="false" outlineLevel="0" collapsed="false">
      <c r="A2724" s="0" t="n">
        <v>2641</v>
      </c>
      <c r="B2724" s="0" t="s">
        <v>6035</v>
      </c>
      <c r="C2724" s="0" t="s">
        <v>31</v>
      </c>
      <c r="D2724" s="0" t="s">
        <v>3671</v>
      </c>
      <c r="E2724" s="0" t="n">
        <v>21.42</v>
      </c>
    </row>
    <row r="2725" customFormat="false" ht="15" hidden="false" customHeight="false" outlineLevel="0" collapsed="false">
      <c r="A2725" s="0" t="n">
        <v>2636</v>
      </c>
      <c r="B2725" s="0" t="s">
        <v>6036</v>
      </c>
      <c r="C2725" s="0" t="s">
        <v>31</v>
      </c>
      <c r="D2725" s="0" t="s">
        <v>3671</v>
      </c>
      <c r="E2725" s="0" t="n">
        <v>1.38</v>
      </c>
    </row>
    <row r="2726" customFormat="false" ht="15" hidden="false" customHeight="false" outlineLevel="0" collapsed="false">
      <c r="A2726" s="0" t="n">
        <v>2637</v>
      </c>
      <c r="B2726" s="0" t="s">
        <v>6037</v>
      </c>
      <c r="C2726" s="0" t="s">
        <v>31</v>
      </c>
      <c r="D2726" s="0" t="s">
        <v>3671</v>
      </c>
      <c r="E2726" s="0" t="n">
        <v>1.47</v>
      </c>
    </row>
    <row r="2727" customFormat="false" ht="15" hidden="false" customHeight="false" outlineLevel="0" collapsed="false">
      <c r="A2727" s="0" t="n">
        <v>2638</v>
      </c>
      <c r="B2727" s="0" t="s">
        <v>6038</v>
      </c>
      <c r="C2727" s="0" t="s">
        <v>31</v>
      </c>
      <c r="D2727" s="0" t="s">
        <v>3671</v>
      </c>
      <c r="E2727" s="0" t="n">
        <v>1.7</v>
      </c>
    </row>
    <row r="2728" customFormat="false" ht="15" hidden="false" customHeight="false" outlineLevel="0" collapsed="false">
      <c r="A2728" s="0" t="n">
        <v>2639</v>
      </c>
      <c r="B2728" s="0" t="s">
        <v>6039</v>
      </c>
      <c r="C2728" s="0" t="s">
        <v>31</v>
      </c>
      <c r="D2728" s="0" t="s">
        <v>3671</v>
      </c>
      <c r="E2728" s="0" t="n">
        <v>3.02</v>
      </c>
    </row>
    <row r="2729" customFormat="false" ht="15" hidden="false" customHeight="false" outlineLevel="0" collapsed="false">
      <c r="A2729" s="0" t="n">
        <v>2644</v>
      </c>
      <c r="B2729" s="0" t="s">
        <v>6040</v>
      </c>
      <c r="C2729" s="0" t="s">
        <v>31</v>
      </c>
      <c r="D2729" s="0" t="s">
        <v>3671</v>
      </c>
      <c r="E2729" s="0" t="n">
        <v>4.38</v>
      </c>
    </row>
    <row r="2730" customFormat="false" ht="15" hidden="false" customHeight="false" outlineLevel="0" collapsed="false">
      <c r="A2730" s="0" t="n">
        <v>2640</v>
      </c>
      <c r="B2730" s="0" t="s">
        <v>6041</v>
      </c>
      <c r="C2730" s="0" t="s">
        <v>31</v>
      </c>
      <c r="D2730" s="0" t="s">
        <v>3671</v>
      </c>
      <c r="E2730" s="0" t="n">
        <v>8.91</v>
      </c>
    </row>
    <row r="2731" customFormat="false" ht="15" hidden="false" customHeight="false" outlineLevel="0" collapsed="false">
      <c r="A2731" s="0" t="n">
        <v>2642</v>
      </c>
      <c r="B2731" s="0" t="s">
        <v>6042</v>
      </c>
      <c r="C2731" s="0" t="s">
        <v>31</v>
      </c>
      <c r="D2731" s="0" t="s">
        <v>3671</v>
      </c>
      <c r="E2731" s="0" t="n">
        <v>13.57</v>
      </c>
    </row>
    <row r="2732" customFormat="false" ht="15" hidden="false" customHeight="false" outlineLevel="0" collapsed="false">
      <c r="A2732" s="0" t="n">
        <v>2643</v>
      </c>
      <c r="B2732" s="0" t="s">
        <v>6043</v>
      </c>
      <c r="C2732" s="0" t="s">
        <v>31</v>
      </c>
      <c r="D2732" s="0" t="s">
        <v>3671</v>
      </c>
      <c r="E2732" s="0" t="n">
        <v>6.11</v>
      </c>
    </row>
    <row r="2733" customFormat="false" ht="15" hidden="false" customHeight="false" outlineLevel="0" collapsed="false">
      <c r="A2733" s="0" t="n">
        <v>44281</v>
      </c>
      <c r="B2733" s="0" t="s">
        <v>6044</v>
      </c>
      <c r="C2733" s="0" t="s">
        <v>31</v>
      </c>
      <c r="D2733" s="0" t="s">
        <v>3671</v>
      </c>
    </row>
    <row r="2734" customFormat="false" ht="15" hidden="false" customHeight="false" outlineLevel="0" collapsed="false">
      <c r="A2734" s="0" t="n">
        <v>39855</v>
      </c>
      <c r="B2734" s="0" t="s">
        <v>6045</v>
      </c>
      <c r="C2734" s="0" t="s">
        <v>31</v>
      </c>
      <c r="D2734" s="0" t="s">
        <v>3671</v>
      </c>
    </row>
    <row r="2735" customFormat="false" ht="15" hidden="false" customHeight="false" outlineLevel="0" collapsed="false">
      <c r="A2735" s="0" t="n">
        <v>39856</v>
      </c>
      <c r="B2735" s="0" t="s">
        <v>6046</v>
      </c>
      <c r="C2735" s="0" t="s">
        <v>31</v>
      </c>
      <c r="D2735" s="0" t="s">
        <v>3671</v>
      </c>
    </row>
    <row r="2736" customFormat="false" ht="15" hidden="false" customHeight="false" outlineLevel="0" collapsed="false">
      <c r="A2736" s="0" t="n">
        <v>39857</v>
      </c>
      <c r="B2736" s="0" t="s">
        <v>6047</v>
      </c>
      <c r="C2736" s="0" t="s">
        <v>31</v>
      </c>
      <c r="D2736" s="0" t="s">
        <v>3671</v>
      </c>
    </row>
    <row r="2737" customFormat="false" ht="15" hidden="false" customHeight="false" outlineLevel="0" collapsed="false">
      <c r="A2737" s="0" t="n">
        <v>39858</v>
      </c>
      <c r="B2737" s="0" t="s">
        <v>6048</v>
      </c>
      <c r="C2737" s="0" t="s">
        <v>31</v>
      </c>
      <c r="D2737" s="0" t="s">
        <v>3671</v>
      </c>
    </row>
    <row r="2738" customFormat="false" ht="15" hidden="false" customHeight="false" outlineLevel="0" collapsed="false">
      <c r="A2738" s="0" t="n">
        <v>39859</v>
      </c>
      <c r="B2738" s="0" t="s">
        <v>6049</v>
      </c>
      <c r="C2738" s="0" t="s">
        <v>31</v>
      </c>
      <c r="D2738" s="0" t="s">
        <v>3671</v>
      </c>
    </row>
    <row r="2739" customFormat="false" ht="15" hidden="false" customHeight="false" outlineLevel="0" collapsed="false">
      <c r="A2739" s="0" t="n">
        <v>39860</v>
      </c>
      <c r="B2739" s="0" t="s">
        <v>6050</v>
      </c>
      <c r="C2739" s="0" t="s">
        <v>31</v>
      </c>
      <c r="D2739" s="0" t="s">
        <v>3671</v>
      </c>
    </row>
    <row r="2740" customFormat="false" ht="15" hidden="false" customHeight="false" outlineLevel="0" collapsed="false">
      <c r="A2740" s="0" t="n">
        <v>39861</v>
      </c>
      <c r="B2740" s="0" t="s">
        <v>6051</v>
      </c>
      <c r="C2740" s="0" t="s">
        <v>31</v>
      </c>
      <c r="D2740" s="0" t="s">
        <v>3671</v>
      </c>
    </row>
    <row r="2741" customFormat="false" ht="15" hidden="false" customHeight="false" outlineLevel="0" collapsed="false">
      <c r="A2741" s="0" t="n">
        <v>3867</v>
      </c>
      <c r="B2741" s="0" t="s">
        <v>6052</v>
      </c>
      <c r="C2741" s="0" t="s">
        <v>31</v>
      </c>
      <c r="D2741" s="0" t="s">
        <v>3671</v>
      </c>
      <c r="E2741" s="0" t="n">
        <v>74.77</v>
      </c>
    </row>
    <row r="2742" customFormat="false" ht="15" hidden="false" customHeight="false" outlineLevel="0" collapsed="false">
      <c r="A2742" s="0" t="n">
        <v>3861</v>
      </c>
      <c r="B2742" s="0" t="s">
        <v>6053</v>
      </c>
      <c r="C2742" s="0" t="s">
        <v>31</v>
      </c>
      <c r="D2742" s="0" t="s">
        <v>3671</v>
      </c>
      <c r="E2742" s="0" t="n">
        <v>0.77</v>
      </c>
    </row>
    <row r="2743" customFormat="false" ht="15" hidden="false" customHeight="false" outlineLevel="0" collapsed="false">
      <c r="A2743" s="0" t="n">
        <v>3904</v>
      </c>
      <c r="B2743" s="0" t="s">
        <v>2839</v>
      </c>
      <c r="C2743" s="0" t="s">
        <v>31</v>
      </c>
      <c r="D2743" s="0" t="s">
        <v>3671</v>
      </c>
      <c r="E2743" s="0" t="n">
        <v>0.82</v>
      </c>
    </row>
    <row r="2744" customFormat="false" ht="15" hidden="false" customHeight="false" outlineLevel="0" collapsed="false">
      <c r="A2744" s="0" t="n">
        <v>3903</v>
      </c>
      <c r="B2744" s="0" t="s">
        <v>6054</v>
      </c>
      <c r="C2744" s="0" t="s">
        <v>31</v>
      </c>
      <c r="D2744" s="0" t="s">
        <v>3671</v>
      </c>
      <c r="E2744" s="0" t="n">
        <v>2.01</v>
      </c>
    </row>
    <row r="2745" customFormat="false" ht="15" hidden="false" customHeight="false" outlineLevel="0" collapsed="false">
      <c r="A2745" s="0" t="n">
        <v>3862</v>
      </c>
      <c r="B2745" s="0" t="s">
        <v>6055</v>
      </c>
      <c r="C2745" s="0" t="s">
        <v>31</v>
      </c>
      <c r="D2745" s="0" t="s">
        <v>3671</v>
      </c>
      <c r="E2745" s="0" t="n">
        <v>4.27</v>
      </c>
    </row>
    <row r="2746" customFormat="false" ht="15" hidden="false" customHeight="false" outlineLevel="0" collapsed="false">
      <c r="A2746" s="0" t="n">
        <v>3863</v>
      </c>
      <c r="B2746" s="0" t="s">
        <v>2319</v>
      </c>
      <c r="C2746" s="0" t="s">
        <v>31</v>
      </c>
      <c r="D2746" s="0" t="s">
        <v>3671</v>
      </c>
      <c r="E2746" s="0" t="n">
        <v>4.38</v>
      </c>
    </row>
    <row r="2747" customFormat="false" ht="15" hidden="false" customHeight="false" outlineLevel="0" collapsed="false">
      <c r="A2747" s="0" t="n">
        <v>3864</v>
      </c>
      <c r="B2747" s="0" t="s">
        <v>6056</v>
      </c>
      <c r="C2747" s="0" t="s">
        <v>31</v>
      </c>
      <c r="D2747" s="0" t="s">
        <v>3671</v>
      </c>
      <c r="E2747" s="0" t="n">
        <v>13.41</v>
      </c>
    </row>
    <row r="2748" customFormat="false" ht="15" hidden="false" customHeight="false" outlineLevel="0" collapsed="false">
      <c r="A2748" s="0" t="n">
        <v>3865</v>
      </c>
      <c r="B2748" s="0" t="s">
        <v>2321</v>
      </c>
      <c r="C2748" s="0" t="s">
        <v>31</v>
      </c>
      <c r="D2748" s="0" t="s">
        <v>3671</v>
      </c>
      <c r="E2748" s="0" t="n">
        <v>19.61</v>
      </c>
    </row>
    <row r="2749" customFormat="false" ht="15" hidden="false" customHeight="false" outlineLevel="0" collapsed="false">
      <c r="A2749" s="0" t="n">
        <v>3866</v>
      </c>
      <c r="B2749" s="0" t="s">
        <v>6057</v>
      </c>
      <c r="C2749" s="0" t="s">
        <v>31</v>
      </c>
      <c r="D2749" s="0" t="s">
        <v>3671</v>
      </c>
      <c r="E2749" s="0" t="n">
        <v>44.03</v>
      </c>
    </row>
    <row r="2750" customFormat="false" ht="15" hidden="false" customHeight="false" outlineLevel="0" collapsed="false">
      <c r="A2750" s="0" t="n">
        <v>3878</v>
      </c>
      <c r="B2750" s="0" t="s">
        <v>6058</v>
      </c>
      <c r="C2750" s="0" t="s">
        <v>31</v>
      </c>
      <c r="D2750" s="0" t="s">
        <v>3671</v>
      </c>
      <c r="E2750" s="0" t="n">
        <v>12.01</v>
      </c>
    </row>
    <row r="2751" customFormat="false" ht="15" hidden="false" customHeight="false" outlineLevel="0" collapsed="false">
      <c r="A2751" s="0" t="n">
        <v>3876</v>
      </c>
      <c r="B2751" s="0" t="s">
        <v>6059</v>
      </c>
      <c r="C2751" s="0" t="s">
        <v>31</v>
      </c>
      <c r="D2751" s="0" t="s">
        <v>3671</v>
      </c>
      <c r="E2751" s="0" t="n">
        <v>4.78</v>
      </c>
    </row>
    <row r="2752" customFormat="false" ht="15" hidden="false" customHeight="false" outlineLevel="0" collapsed="false">
      <c r="A2752" s="0" t="n">
        <v>3883</v>
      </c>
      <c r="B2752" s="0" t="s">
        <v>6060</v>
      </c>
      <c r="C2752" s="0" t="s">
        <v>31</v>
      </c>
      <c r="D2752" s="0" t="s">
        <v>3671</v>
      </c>
      <c r="E2752" s="0" t="n">
        <v>1.53</v>
      </c>
    </row>
    <row r="2753" customFormat="false" ht="15" hidden="false" customHeight="false" outlineLevel="0" collapsed="false">
      <c r="A2753" s="0" t="n">
        <v>3884</v>
      </c>
      <c r="B2753" s="0" t="s">
        <v>6061</v>
      </c>
      <c r="C2753" s="0" t="s">
        <v>31</v>
      </c>
      <c r="D2753" s="0" t="s">
        <v>3671</v>
      </c>
      <c r="E2753" s="0" t="n">
        <v>2.43</v>
      </c>
    </row>
    <row r="2754" customFormat="false" ht="15" hidden="false" customHeight="false" outlineLevel="0" collapsed="false">
      <c r="A2754" s="0" t="n">
        <v>12892</v>
      </c>
      <c r="B2754" s="0" t="s">
        <v>6062</v>
      </c>
      <c r="C2754" s="0" t="s">
        <v>1568</v>
      </c>
      <c r="D2754" s="0" t="s">
        <v>3671</v>
      </c>
      <c r="E2754" s="0" t="n">
        <v>11.78</v>
      </c>
    </row>
    <row r="2755" customFormat="false" ht="15" hidden="false" customHeight="false" outlineLevel="0" collapsed="false">
      <c r="A2755" s="0" t="n">
        <v>38447</v>
      </c>
      <c r="B2755" s="0" t="s">
        <v>6063</v>
      </c>
      <c r="C2755" s="0" t="s">
        <v>31</v>
      </c>
      <c r="D2755" s="0" t="s">
        <v>3671</v>
      </c>
    </row>
    <row r="2756" customFormat="false" ht="15" hidden="false" customHeight="false" outlineLevel="0" collapsed="false">
      <c r="A2756" s="0" t="n">
        <v>36320</v>
      </c>
      <c r="B2756" s="0" t="s">
        <v>6064</v>
      </c>
      <c r="C2756" s="0" t="s">
        <v>31</v>
      </c>
      <c r="D2756" s="0" t="s">
        <v>3671</v>
      </c>
    </row>
    <row r="2757" customFormat="false" ht="15" hidden="false" customHeight="false" outlineLevel="0" collapsed="false">
      <c r="A2757" s="0" t="n">
        <v>36324</v>
      </c>
      <c r="B2757" s="0" t="s">
        <v>6065</v>
      </c>
      <c r="C2757" s="0" t="s">
        <v>31</v>
      </c>
      <c r="D2757" s="0" t="s">
        <v>3671</v>
      </c>
    </row>
    <row r="2758" customFormat="false" ht="15" hidden="false" customHeight="false" outlineLevel="0" collapsed="false">
      <c r="A2758" s="0" t="n">
        <v>38441</v>
      </c>
      <c r="B2758" s="0" t="s">
        <v>6066</v>
      </c>
      <c r="C2758" s="0" t="s">
        <v>31</v>
      </c>
      <c r="D2758" s="0" t="s">
        <v>3671</v>
      </c>
    </row>
    <row r="2759" customFormat="false" ht="15" hidden="false" customHeight="false" outlineLevel="0" collapsed="false">
      <c r="A2759" s="0" t="n">
        <v>38442</v>
      </c>
      <c r="B2759" s="0" t="s">
        <v>6067</v>
      </c>
      <c r="C2759" s="0" t="s">
        <v>31</v>
      </c>
      <c r="D2759" s="0" t="s">
        <v>3671</v>
      </c>
    </row>
    <row r="2760" customFormat="false" ht="15" hidden="false" customHeight="false" outlineLevel="0" collapsed="false">
      <c r="A2760" s="0" t="n">
        <v>38443</v>
      </c>
      <c r="B2760" s="0" t="s">
        <v>6068</v>
      </c>
      <c r="C2760" s="0" t="s">
        <v>31</v>
      </c>
      <c r="D2760" s="0" t="s">
        <v>3671</v>
      </c>
    </row>
    <row r="2761" customFormat="false" ht="15" hidden="false" customHeight="false" outlineLevel="0" collapsed="false">
      <c r="A2761" s="0" t="n">
        <v>38444</v>
      </c>
      <c r="B2761" s="0" t="s">
        <v>6069</v>
      </c>
      <c r="C2761" s="0" t="s">
        <v>31</v>
      </c>
      <c r="D2761" s="0" t="s">
        <v>3671</v>
      </c>
    </row>
    <row r="2762" customFormat="false" ht="15" hidden="false" customHeight="false" outlineLevel="0" collapsed="false">
      <c r="A2762" s="0" t="n">
        <v>38445</v>
      </c>
      <c r="B2762" s="0" t="s">
        <v>6070</v>
      </c>
      <c r="C2762" s="0" t="s">
        <v>31</v>
      </c>
      <c r="D2762" s="0" t="s">
        <v>3671</v>
      </c>
    </row>
    <row r="2763" customFormat="false" ht="15" hidden="false" customHeight="false" outlineLevel="0" collapsed="false">
      <c r="A2763" s="0" t="n">
        <v>38446</v>
      </c>
      <c r="B2763" s="0" t="s">
        <v>6071</v>
      </c>
      <c r="C2763" s="0" t="s">
        <v>31</v>
      </c>
      <c r="D2763" s="0" t="s">
        <v>3671</v>
      </c>
    </row>
    <row r="2764" customFormat="false" ht="15" hidden="false" customHeight="false" outlineLevel="0" collapsed="false">
      <c r="A2764" s="0" t="n">
        <v>3837</v>
      </c>
      <c r="B2764" s="0" t="s">
        <v>6072</v>
      </c>
      <c r="C2764" s="0" t="s">
        <v>31</v>
      </c>
      <c r="D2764" s="0" t="s">
        <v>3671</v>
      </c>
    </row>
    <row r="2765" customFormat="false" ht="15" hidden="false" customHeight="false" outlineLevel="0" collapsed="false">
      <c r="A2765" s="0" t="n">
        <v>3845</v>
      </c>
      <c r="B2765" s="0" t="s">
        <v>6073</v>
      </c>
      <c r="C2765" s="0" t="s">
        <v>31</v>
      </c>
      <c r="D2765" s="0" t="s">
        <v>3671</v>
      </c>
    </row>
    <row r="2766" customFormat="false" ht="15" hidden="false" customHeight="false" outlineLevel="0" collapsed="false">
      <c r="A2766" s="0" t="n">
        <v>11045</v>
      </c>
      <c r="B2766" s="0" t="s">
        <v>6074</v>
      </c>
      <c r="C2766" s="0" t="s">
        <v>31</v>
      </c>
      <c r="D2766" s="0" t="s">
        <v>3671</v>
      </c>
    </row>
    <row r="2767" customFormat="false" ht="15" hidden="false" customHeight="false" outlineLevel="0" collapsed="false">
      <c r="A2767" s="0" t="n">
        <v>20170</v>
      </c>
      <c r="B2767" s="0" t="s">
        <v>2243</v>
      </c>
      <c r="C2767" s="0" t="s">
        <v>31</v>
      </c>
      <c r="D2767" s="0" t="s">
        <v>3671</v>
      </c>
      <c r="E2767" s="0" t="n">
        <v>14.43</v>
      </c>
    </row>
    <row r="2768" customFormat="false" ht="15" hidden="false" customHeight="false" outlineLevel="0" collapsed="false">
      <c r="A2768" s="0" t="n">
        <v>20171</v>
      </c>
      <c r="B2768" s="0" t="s">
        <v>2245</v>
      </c>
      <c r="C2768" s="0" t="s">
        <v>31</v>
      </c>
      <c r="D2768" s="0" t="s">
        <v>3671</v>
      </c>
      <c r="E2768" s="0" t="n">
        <v>41.6</v>
      </c>
    </row>
    <row r="2769" customFormat="false" ht="15" hidden="false" customHeight="false" outlineLevel="0" collapsed="false">
      <c r="A2769" s="0" t="n">
        <v>20167</v>
      </c>
      <c r="B2769" s="0" t="s">
        <v>6075</v>
      </c>
      <c r="C2769" s="0" t="s">
        <v>31</v>
      </c>
      <c r="D2769" s="0" t="s">
        <v>3671</v>
      </c>
      <c r="E2769" s="0" t="n">
        <v>5.23</v>
      </c>
    </row>
    <row r="2770" customFormat="false" ht="15" hidden="false" customHeight="false" outlineLevel="0" collapsed="false">
      <c r="A2770" s="0" t="n">
        <v>20168</v>
      </c>
      <c r="B2770" s="0" t="s">
        <v>6076</v>
      </c>
      <c r="C2770" s="0" t="s">
        <v>31</v>
      </c>
      <c r="D2770" s="0" t="s">
        <v>3671</v>
      </c>
      <c r="E2770" s="0" t="n">
        <v>10.76</v>
      </c>
    </row>
    <row r="2771" customFormat="false" ht="15" hidden="false" customHeight="false" outlineLevel="0" collapsed="false">
      <c r="A2771" s="0" t="n">
        <v>20169</v>
      </c>
      <c r="B2771" s="0" t="s">
        <v>2247</v>
      </c>
      <c r="C2771" s="0" t="s">
        <v>31</v>
      </c>
      <c r="D2771" s="0" t="s">
        <v>3671</v>
      </c>
      <c r="E2771" s="0" t="n">
        <v>12.56</v>
      </c>
    </row>
    <row r="2772" customFormat="false" ht="15" hidden="false" customHeight="false" outlineLevel="0" collapsed="false">
      <c r="A2772" s="0" t="n">
        <v>3899</v>
      </c>
      <c r="B2772" s="0" t="s">
        <v>2164</v>
      </c>
      <c r="C2772" s="0" t="s">
        <v>31</v>
      </c>
      <c r="D2772" s="0" t="s">
        <v>3671</v>
      </c>
      <c r="E2772" s="0" t="n">
        <v>6.97</v>
      </c>
    </row>
    <row r="2773" customFormat="false" ht="15" hidden="false" customHeight="false" outlineLevel="0" collapsed="false">
      <c r="A2773" s="0" t="n">
        <v>38676</v>
      </c>
      <c r="B2773" s="0" t="s">
        <v>6077</v>
      </c>
      <c r="C2773" s="0" t="s">
        <v>31</v>
      </c>
      <c r="D2773" s="0" t="s">
        <v>3671</v>
      </c>
      <c r="E2773" s="0" t="n">
        <v>34.86</v>
      </c>
    </row>
    <row r="2774" customFormat="false" ht="15" hidden="false" customHeight="false" outlineLevel="0" collapsed="false">
      <c r="A2774" s="0" t="n">
        <v>3897</v>
      </c>
      <c r="B2774" s="0" t="s">
        <v>6078</v>
      </c>
      <c r="C2774" s="0" t="s">
        <v>31</v>
      </c>
      <c r="D2774" s="0" t="s">
        <v>3671</v>
      </c>
      <c r="E2774" s="0" t="n">
        <v>1.7</v>
      </c>
    </row>
    <row r="2775" customFormat="false" ht="15" hidden="false" customHeight="false" outlineLevel="0" collapsed="false">
      <c r="A2775" s="0" t="n">
        <v>3875</v>
      </c>
      <c r="B2775" s="0" t="s">
        <v>2166</v>
      </c>
      <c r="C2775" s="0" t="s">
        <v>31</v>
      </c>
      <c r="D2775" s="0" t="s">
        <v>3671</v>
      </c>
      <c r="E2775" s="0" t="n">
        <v>3.51</v>
      </c>
    </row>
    <row r="2776" customFormat="false" ht="15" hidden="false" customHeight="false" outlineLevel="0" collapsed="false">
      <c r="A2776" s="0" t="n">
        <v>3898</v>
      </c>
      <c r="B2776" s="0" t="s">
        <v>2168</v>
      </c>
      <c r="C2776" s="0" t="s">
        <v>31</v>
      </c>
      <c r="D2776" s="0" t="s">
        <v>3671</v>
      </c>
      <c r="E2776" s="0" t="n">
        <v>7.13</v>
      </c>
    </row>
    <row r="2777" customFormat="false" ht="15" hidden="false" customHeight="false" outlineLevel="0" collapsed="false">
      <c r="A2777" s="0" t="n">
        <v>3855</v>
      </c>
      <c r="B2777" s="0" t="s">
        <v>6079</v>
      </c>
      <c r="C2777" s="0" t="s">
        <v>31</v>
      </c>
      <c r="D2777" s="0" t="s">
        <v>3671</v>
      </c>
      <c r="E2777" s="0" t="n">
        <v>5.18</v>
      </c>
    </row>
    <row r="2778" customFormat="false" ht="15" hidden="false" customHeight="false" outlineLevel="0" collapsed="false">
      <c r="A2778" s="0" t="n">
        <v>3874</v>
      </c>
      <c r="B2778" s="0" t="s">
        <v>6080</v>
      </c>
      <c r="C2778" s="0" t="s">
        <v>31</v>
      </c>
      <c r="D2778" s="0" t="s">
        <v>3671</v>
      </c>
      <c r="E2778" s="0" t="n">
        <v>6.01</v>
      </c>
    </row>
    <row r="2779" customFormat="false" ht="15" hidden="false" customHeight="false" outlineLevel="0" collapsed="false">
      <c r="A2779" s="0" t="n">
        <v>3870</v>
      </c>
      <c r="B2779" s="0" t="s">
        <v>6081</v>
      </c>
      <c r="C2779" s="0" t="s">
        <v>31</v>
      </c>
      <c r="D2779" s="0" t="s">
        <v>3671</v>
      </c>
      <c r="E2779" s="0" t="n">
        <v>6.59</v>
      </c>
    </row>
    <row r="2780" customFormat="false" ht="15" hidden="false" customHeight="false" outlineLevel="0" collapsed="false">
      <c r="A2780" s="0" t="n">
        <v>38678</v>
      </c>
      <c r="B2780" s="0" t="s">
        <v>6082</v>
      </c>
      <c r="C2780" s="0" t="s">
        <v>31</v>
      </c>
      <c r="D2780" s="0" t="s">
        <v>3671</v>
      </c>
      <c r="E2780" s="0" t="n">
        <v>17.44</v>
      </c>
    </row>
    <row r="2781" customFormat="false" ht="15" hidden="false" customHeight="false" outlineLevel="0" collapsed="false">
      <c r="A2781" s="0" t="n">
        <v>3859</v>
      </c>
      <c r="B2781" s="0" t="s">
        <v>6083</v>
      </c>
      <c r="C2781" s="0" t="s">
        <v>31</v>
      </c>
      <c r="D2781" s="0" t="s">
        <v>3671</v>
      </c>
      <c r="E2781" s="0" t="n">
        <v>1.33</v>
      </c>
    </row>
    <row r="2782" customFormat="false" ht="15" hidden="false" customHeight="false" outlineLevel="0" collapsed="false">
      <c r="A2782" s="0" t="n">
        <v>3856</v>
      </c>
      <c r="B2782" s="0" t="s">
        <v>6084</v>
      </c>
      <c r="C2782" s="0" t="s">
        <v>31</v>
      </c>
      <c r="D2782" s="0" t="s">
        <v>3671</v>
      </c>
      <c r="E2782" s="0" t="n">
        <v>1.84</v>
      </c>
    </row>
    <row r="2783" customFormat="false" ht="15" hidden="false" customHeight="false" outlineLevel="0" collapsed="false">
      <c r="A2783" s="0" t="n">
        <v>3906</v>
      </c>
      <c r="B2783" s="0" t="s">
        <v>6085</v>
      </c>
      <c r="C2783" s="0" t="s">
        <v>31</v>
      </c>
      <c r="D2783" s="0" t="s">
        <v>3671</v>
      </c>
      <c r="E2783" s="0" t="n">
        <v>1.52</v>
      </c>
    </row>
    <row r="2784" customFormat="false" ht="15" hidden="false" customHeight="false" outlineLevel="0" collapsed="false">
      <c r="A2784" s="0" t="n">
        <v>3860</v>
      </c>
      <c r="B2784" s="0" t="s">
        <v>6086</v>
      </c>
      <c r="C2784" s="0" t="s">
        <v>31</v>
      </c>
      <c r="D2784" s="0" t="s">
        <v>3671</v>
      </c>
      <c r="E2784" s="0" t="n">
        <v>4.52</v>
      </c>
    </row>
    <row r="2785" customFormat="false" ht="15" hidden="false" customHeight="false" outlineLevel="0" collapsed="false">
      <c r="A2785" s="0" t="n">
        <v>3905</v>
      </c>
      <c r="B2785" s="0" t="s">
        <v>6087</v>
      </c>
      <c r="C2785" s="0" t="s">
        <v>31</v>
      </c>
      <c r="D2785" s="0" t="s">
        <v>3671</v>
      </c>
      <c r="E2785" s="0" t="n">
        <v>10.37</v>
      </c>
    </row>
    <row r="2786" customFormat="false" ht="15" hidden="false" customHeight="false" outlineLevel="0" collapsed="false">
      <c r="A2786" s="0" t="n">
        <v>3871</v>
      </c>
      <c r="B2786" s="0" t="s">
        <v>6088</v>
      </c>
      <c r="C2786" s="0" t="s">
        <v>31</v>
      </c>
      <c r="D2786" s="0" t="s">
        <v>3671</v>
      </c>
      <c r="E2786" s="0" t="n">
        <v>18.34</v>
      </c>
    </row>
    <row r="2787" customFormat="false" ht="15" hidden="false" customHeight="false" outlineLevel="0" collapsed="false">
      <c r="A2787" s="0" t="n">
        <v>37427</v>
      </c>
      <c r="B2787" s="0" t="s">
        <v>6089</v>
      </c>
      <c r="C2787" s="0" t="s">
        <v>31</v>
      </c>
      <c r="D2787" s="0" t="s">
        <v>3671</v>
      </c>
    </row>
    <row r="2788" customFormat="false" ht="15" hidden="false" customHeight="false" outlineLevel="0" collapsed="false">
      <c r="A2788" s="0" t="n">
        <v>37424</v>
      </c>
      <c r="B2788" s="0" t="s">
        <v>6090</v>
      </c>
      <c r="C2788" s="0" t="s">
        <v>31</v>
      </c>
      <c r="D2788" s="0" t="s">
        <v>3671</v>
      </c>
    </row>
    <row r="2789" customFormat="false" ht="15" hidden="false" customHeight="false" outlineLevel="0" collapsed="false">
      <c r="A2789" s="0" t="n">
        <v>37428</v>
      </c>
      <c r="B2789" s="0" t="s">
        <v>6091</v>
      </c>
      <c r="C2789" s="0" t="s">
        <v>31</v>
      </c>
      <c r="D2789" s="0" t="s">
        <v>3671</v>
      </c>
    </row>
    <row r="2790" customFormat="false" ht="15" hidden="false" customHeight="false" outlineLevel="0" collapsed="false">
      <c r="A2790" s="0" t="n">
        <v>37425</v>
      </c>
      <c r="B2790" s="0" t="s">
        <v>6092</v>
      </c>
      <c r="C2790" s="0" t="s">
        <v>31</v>
      </c>
      <c r="D2790" s="0" t="s">
        <v>3671</v>
      </c>
    </row>
    <row r="2791" customFormat="false" ht="15" hidden="false" customHeight="false" outlineLevel="0" collapsed="false">
      <c r="A2791" s="0" t="n">
        <v>37429</v>
      </c>
      <c r="B2791" s="0" t="s">
        <v>6093</v>
      </c>
      <c r="C2791" s="0" t="s">
        <v>31</v>
      </c>
      <c r="D2791" s="0" t="s">
        <v>3671</v>
      </c>
    </row>
    <row r="2792" customFormat="false" ht="15" hidden="false" customHeight="false" outlineLevel="0" collapsed="false">
      <c r="A2792" s="0" t="n">
        <v>37426</v>
      </c>
      <c r="B2792" s="0" t="s">
        <v>6094</v>
      </c>
      <c r="C2792" s="0" t="s">
        <v>31</v>
      </c>
      <c r="D2792" s="0" t="s">
        <v>3671</v>
      </c>
    </row>
    <row r="2793" customFormat="false" ht="15" hidden="false" customHeight="false" outlineLevel="0" collapsed="false">
      <c r="A2793" s="0" t="n">
        <v>39292</v>
      </c>
      <c r="B2793" s="0" t="s">
        <v>6095</v>
      </c>
      <c r="C2793" s="0" t="s">
        <v>31</v>
      </c>
      <c r="D2793" s="0" t="s">
        <v>3671</v>
      </c>
    </row>
    <row r="2794" customFormat="false" ht="15" hidden="false" customHeight="false" outlineLevel="0" collapsed="false">
      <c r="A2794" s="0" t="n">
        <v>39293</v>
      </c>
      <c r="B2794" s="0" t="s">
        <v>6096</v>
      </c>
      <c r="C2794" s="0" t="s">
        <v>31</v>
      </c>
      <c r="D2794" s="0" t="s">
        <v>3671</v>
      </c>
    </row>
    <row r="2795" customFormat="false" ht="15" hidden="false" customHeight="false" outlineLevel="0" collapsed="false">
      <c r="A2795" s="0" t="n">
        <v>39294</v>
      </c>
      <c r="B2795" s="0" t="s">
        <v>6097</v>
      </c>
      <c r="C2795" s="0" t="s">
        <v>31</v>
      </c>
      <c r="D2795" s="0" t="s">
        <v>3671</v>
      </c>
    </row>
    <row r="2796" customFormat="false" ht="15" hidden="false" customHeight="false" outlineLevel="0" collapsed="false">
      <c r="A2796" s="0" t="n">
        <v>39295</v>
      </c>
      <c r="B2796" s="0" t="s">
        <v>6098</v>
      </c>
      <c r="C2796" s="0" t="s">
        <v>31</v>
      </c>
      <c r="D2796" s="0" t="s">
        <v>3671</v>
      </c>
    </row>
    <row r="2797" customFormat="false" ht="15" hidden="false" customHeight="false" outlineLevel="0" collapsed="false">
      <c r="A2797" s="0" t="n">
        <v>39312</v>
      </c>
      <c r="B2797" s="0" t="s">
        <v>6099</v>
      </c>
      <c r="C2797" s="0" t="s">
        <v>31</v>
      </c>
      <c r="D2797" s="0" t="s">
        <v>3671</v>
      </c>
    </row>
    <row r="2798" customFormat="false" ht="15" hidden="false" customHeight="false" outlineLevel="0" collapsed="false">
      <c r="A2798" s="0" t="n">
        <v>39313</v>
      </c>
      <c r="B2798" s="0" t="s">
        <v>6100</v>
      </c>
      <c r="C2798" s="0" t="s">
        <v>31</v>
      </c>
      <c r="D2798" s="0" t="s">
        <v>3671</v>
      </c>
    </row>
    <row r="2799" customFormat="false" ht="15" hidden="false" customHeight="false" outlineLevel="0" collapsed="false">
      <c r="A2799" s="0" t="n">
        <v>39314</v>
      </c>
      <c r="B2799" s="0" t="s">
        <v>6101</v>
      </c>
      <c r="C2799" s="0" t="s">
        <v>31</v>
      </c>
      <c r="D2799" s="0" t="s">
        <v>3671</v>
      </c>
    </row>
    <row r="2800" customFormat="false" ht="15" hidden="false" customHeight="false" outlineLevel="0" collapsed="false">
      <c r="A2800" s="0" t="n">
        <v>39296</v>
      </c>
      <c r="B2800" s="0" t="s">
        <v>6102</v>
      </c>
      <c r="C2800" s="0" t="s">
        <v>31</v>
      </c>
      <c r="D2800" s="0" t="s">
        <v>3671</v>
      </c>
    </row>
    <row r="2801" customFormat="false" ht="15" hidden="false" customHeight="false" outlineLevel="0" collapsed="false">
      <c r="A2801" s="0" t="n">
        <v>39297</v>
      </c>
      <c r="B2801" s="0" t="s">
        <v>6103</v>
      </c>
      <c r="C2801" s="0" t="s">
        <v>31</v>
      </c>
      <c r="D2801" s="0" t="s">
        <v>3671</v>
      </c>
    </row>
    <row r="2802" customFormat="false" ht="15" hidden="false" customHeight="false" outlineLevel="0" collapsed="false">
      <c r="A2802" s="0" t="n">
        <v>39298</v>
      </c>
      <c r="B2802" s="0" t="s">
        <v>6104</v>
      </c>
      <c r="C2802" s="0" t="s">
        <v>31</v>
      </c>
      <c r="D2802" s="0" t="s">
        <v>3671</v>
      </c>
    </row>
    <row r="2803" customFormat="false" ht="15" hidden="false" customHeight="false" outlineLevel="0" collapsed="false">
      <c r="A2803" s="0" t="n">
        <v>39299</v>
      </c>
      <c r="B2803" s="0" t="s">
        <v>6105</v>
      </c>
      <c r="C2803" s="0" t="s">
        <v>31</v>
      </c>
      <c r="D2803" s="0" t="s">
        <v>3671</v>
      </c>
    </row>
    <row r="2804" customFormat="false" ht="15" hidden="false" customHeight="false" outlineLevel="0" collapsed="false">
      <c r="A2804" s="0" t="n">
        <v>39308</v>
      </c>
      <c r="B2804" s="0" t="s">
        <v>6106</v>
      </c>
      <c r="C2804" s="0" t="s">
        <v>31</v>
      </c>
      <c r="D2804" s="0" t="s">
        <v>3671</v>
      </c>
    </row>
    <row r="2805" customFormat="false" ht="15" hidden="false" customHeight="false" outlineLevel="0" collapsed="false">
      <c r="A2805" s="0" t="n">
        <v>39309</v>
      </c>
      <c r="B2805" s="0" t="s">
        <v>6107</v>
      </c>
      <c r="C2805" s="0" t="s">
        <v>31</v>
      </c>
      <c r="D2805" s="0" t="s">
        <v>3671</v>
      </c>
    </row>
    <row r="2806" customFormat="false" ht="15" hidden="false" customHeight="false" outlineLevel="0" collapsed="false">
      <c r="A2806" s="0" t="n">
        <v>39310</v>
      </c>
      <c r="B2806" s="0" t="s">
        <v>6108</v>
      </c>
      <c r="C2806" s="0" t="s">
        <v>31</v>
      </c>
      <c r="D2806" s="0" t="s">
        <v>3671</v>
      </c>
    </row>
    <row r="2807" customFormat="false" ht="15" hidden="false" customHeight="false" outlineLevel="0" collapsed="false">
      <c r="A2807" s="0" t="n">
        <v>39311</v>
      </c>
      <c r="B2807" s="0" t="s">
        <v>6109</v>
      </c>
      <c r="C2807" s="0" t="s">
        <v>31</v>
      </c>
      <c r="D2807" s="0" t="s">
        <v>3671</v>
      </c>
    </row>
    <row r="2808" customFormat="false" ht="15" hidden="false" customHeight="false" outlineLevel="0" collapsed="false">
      <c r="A2808" s="0" t="n">
        <v>11519</v>
      </c>
      <c r="B2808" s="0" t="s">
        <v>6110</v>
      </c>
      <c r="C2808" s="0" t="s">
        <v>1568</v>
      </c>
      <c r="D2808" s="0" t="s">
        <v>3671</v>
      </c>
      <c r="E2808" s="0" t="n">
        <v>64.7</v>
      </c>
    </row>
    <row r="2809" customFormat="false" ht="15" hidden="false" customHeight="false" outlineLevel="0" collapsed="false">
      <c r="A2809" s="0" t="n">
        <v>11520</v>
      </c>
      <c r="B2809" s="0" t="s">
        <v>6111</v>
      </c>
      <c r="C2809" s="0" t="s">
        <v>1568</v>
      </c>
      <c r="D2809" s="0" t="s">
        <v>3671</v>
      </c>
      <c r="E2809" s="0" t="n">
        <v>29.91</v>
      </c>
    </row>
    <row r="2810" customFormat="false" ht="15" hidden="false" customHeight="false" outlineLevel="0" collapsed="false">
      <c r="A2810" s="0" t="n">
        <v>11518</v>
      </c>
      <c r="B2810" s="0" t="s">
        <v>6112</v>
      </c>
      <c r="C2810" s="0" t="s">
        <v>1568</v>
      </c>
      <c r="D2810" s="0" t="s">
        <v>3671</v>
      </c>
      <c r="E2810" s="0" t="n">
        <v>108.76</v>
      </c>
    </row>
    <row r="2811" customFormat="false" ht="15" hidden="false" customHeight="false" outlineLevel="0" collapsed="false">
      <c r="A2811" s="0" t="n">
        <v>38473</v>
      </c>
      <c r="B2811" s="0" t="s">
        <v>6113</v>
      </c>
      <c r="C2811" s="0" t="s">
        <v>31</v>
      </c>
      <c r="D2811" s="0" t="s">
        <v>3671</v>
      </c>
      <c r="E2811" s="0" t="n">
        <v>126.29</v>
      </c>
    </row>
    <row r="2812" customFormat="false" ht="15" hidden="false" customHeight="false" outlineLevel="0" collapsed="false">
      <c r="A2812" s="0" t="n">
        <v>4244</v>
      </c>
      <c r="B2812" s="0" t="s">
        <v>6114</v>
      </c>
      <c r="C2812" s="0" t="s">
        <v>1444</v>
      </c>
      <c r="D2812" s="0" t="s">
        <v>3671</v>
      </c>
      <c r="E2812" s="0" t="n">
        <v>20.02</v>
      </c>
    </row>
    <row r="2813" customFormat="false" ht="15" hidden="false" customHeight="false" outlineLevel="0" collapsed="false">
      <c r="A2813" s="0" t="n">
        <v>40977</v>
      </c>
      <c r="B2813" s="0" t="s">
        <v>6115</v>
      </c>
      <c r="C2813" s="0" t="s">
        <v>1416</v>
      </c>
      <c r="D2813" s="0" t="s">
        <v>3671</v>
      </c>
      <c r="E2813" s="0" t="n">
        <v>3525.63</v>
      </c>
    </row>
    <row r="2814" customFormat="false" ht="15" hidden="false" customHeight="false" outlineLevel="0" collapsed="false">
      <c r="A2814" s="0" t="n">
        <v>4115</v>
      </c>
      <c r="B2814" s="0" t="s">
        <v>6116</v>
      </c>
      <c r="C2814" s="0" t="s">
        <v>1455</v>
      </c>
      <c r="D2814" s="0" t="s">
        <v>3671</v>
      </c>
      <c r="E2814" s="0" t="n">
        <v>31</v>
      </c>
    </row>
    <row r="2815" customFormat="false" ht="15" hidden="false" customHeight="false" outlineLevel="0" collapsed="false">
      <c r="A2815" s="0" t="n">
        <v>4119</v>
      </c>
      <c r="B2815" s="0" t="s">
        <v>6117</v>
      </c>
      <c r="C2815" s="0" t="s">
        <v>1455</v>
      </c>
      <c r="D2815" s="0" t="s">
        <v>3671</v>
      </c>
      <c r="E2815" s="0" t="n">
        <v>62.62</v>
      </c>
    </row>
    <row r="2816" customFormat="false" ht="15" hidden="false" customHeight="false" outlineLevel="0" collapsed="false">
      <c r="A2816" s="0" t="n">
        <v>2794</v>
      </c>
      <c r="B2816" s="0" t="s">
        <v>6118</v>
      </c>
      <c r="C2816" s="0" t="s">
        <v>1455</v>
      </c>
      <c r="D2816" s="0" t="s">
        <v>3671</v>
      </c>
      <c r="E2816" s="0" t="n">
        <v>166.12</v>
      </c>
    </row>
    <row r="2817" customFormat="false" ht="15" hidden="false" customHeight="false" outlineLevel="0" collapsed="false">
      <c r="A2817" s="0" t="n">
        <v>2788</v>
      </c>
      <c r="B2817" s="0" t="s">
        <v>6119</v>
      </c>
      <c r="C2817" s="0" t="s">
        <v>1455</v>
      </c>
      <c r="D2817" s="0" t="s">
        <v>3671</v>
      </c>
      <c r="E2817" s="0" t="n">
        <v>242</v>
      </c>
    </row>
    <row r="2818" customFormat="false" ht="15" hidden="false" customHeight="false" outlineLevel="0" collapsed="false">
      <c r="A2818" s="0" t="n">
        <v>4006</v>
      </c>
      <c r="B2818" s="0" t="s">
        <v>6120</v>
      </c>
      <c r="C2818" s="0" t="s">
        <v>1442</v>
      </c>
      <c r="D2818" s="0" t="s">
        <v>3671</v>
      </c>
      <c r="E2818" s="0" t="n">
        <v>2307.61</v>
      </c>
    </row>
    <row r="2819" customFormat="false" ht="15" hidden="false" customHeight="false" outlineLevel="0" collapsed="false">
      <c r="A2819" s="0" t="n">
        <v>36151</v>
      </c>
      <c r="B2819" s="0" t="s">
        <v>6121</v>
      </c>
      <c r="C2819" s="0" t="s">
        <v>31</v>
      </c>
      <c r="D2819" s="0" t="s">
        <v>3671</v>
      </c>
      <c r="E2819" s="0" t="n">
        <v>26.18</v>
      </c>
    </row>
    <row r="2820" customFormat="false" ht="15" hidden="false" customHeight="false" outlineLevel="0" collapsed="false">
      <c r="A2820" s="0" t="n">
        <v>37461</v>
      </c>
      <c r="B2820" s="0" t="s">
        <v>6122</v>
      </c>
      <c r="C2820" s="0" t="s">
        <v>1455</v>
      </c>
      <c r="D2820" s="0" t="s">
        <v>3671</v>
      </c>
      <c r="E2820" s="0" t="n">
        <v>14.99</v>
      </c>
    </row>
    <row r="2821" customFormat="false" ht="15" hidden="false" customHeight="false" outlineLevel="0" collapsed="false">
      <c r="A2821" s="0" t="n">
        <v>37460</v>
      </c>
      <c r="B2821" s="0" t="s">
        <v>6123</v>
      </c>
      <c r="C2821" s="0" t="s">
        <v>1455</v>
      </c>
      <c r="D2821" s="0" t="s">
        <v>3671</v>
      </c>
      <c r="E2821" s="0" t="n">
        <v>20.47</v>
      </c>
    </row>
    <row r="2822" customFormat="false" ht="15" hidden="false" customHeight="false" outlineLevel="0" collapsed="false">
      <c r="A2822" s="0" t="n">
        <v>37458</v>
      </c>
      <c r="B2822" s="0" t="s">
        <v>6124</v>
      </c>
      <c r="C2822" s="0" t="s">
        <v>1455</v>
      </c>
      <c r="D2822" s="0" t="s">
        <v>3676</v>
      </c>
      <c r="E2822" s="0" t="n">
        <v>6</v>
      </c>
    </row>
    <row r="2823" customFormat="false" ht="15" hidden="false" customHeight="false" outlineLevel="0" collapsed="false">
      <c r="A2823" s="0" t="n">
        <v>37454</v>
      </c>
      <c r="B2823" s="0" t="s">
        <v>6125</v>
      </c>
      <c r="C2823" s="0" t="s">
        <v>1455</v>
      </c>
      <c r="D2823" s="0" t="s">
        <v>3671</v>
      </c>
      <c r="E2823" s="0" t="n">
        <v>1.57</v>
      </c>
    </row>
    <row r="2824" customFormat="false" ht="15" hidden="false" customHeight="false" outlineLevel="0" collapsed="false">
      <c r="A2824" s="0" t="n">
        <v>37455</v>
      </c>
      <c r="B2824" s="0" t="s">
        <v>6126</v>
      </c>
      <c r="C2824" s="0" t="s">
        <v>1455</v>
      </c>
      <c r="D2824" s="0" t="s">
        <v>3671</v>
      </c>
      <c r="E2824" s="0" t="n">
        <v>2.65</v>
      </c>
    </row>
    <row r="2825" customFormat="false" ht="15" hidden="false" customHeight="false" outlineLevel="0" collapsed="false">
      <c r="A2825" s="0" t="n">
        <v>37459</v>
      </c>
      <c r="B2825" s="0" t="s">
        <v>6127</v>
      </c>
      <c r="C2825" s="0" t="s">
        <v>1455</v>
      </c>
      <c r="D2825" s="0" t="s">
        <v>3671</v>
      </c>
      <c r="E2825" s="0" t="n">
        <v>8.42</v>
      </c>
    </row>
    <row r="2826" customFormat="false" ht="15" hidden="false" customHeight="false" outlineLevel="0" collapsed="false">
      <c r="A2826" s="0" t="n">
        <v>37457</v>
      </c>
      <c r="B2826" s="0" t="s">
        <v>6128</v>
      </c>
      <c r="C2826" s="0" t="s">
        <v>1455</v>
      </c>
      <c r="D2826" s="0" t="s">
        <v>3671</v>
      </c>
      <c r="E2826" s="0" t="n">
        <v>4.04</v>
      </c>
    </row>
    <row r="2827" customFormat="false" ht="15" hidden="false" customHeight="false" outlineLevel="0" collapsed="false">
      <c r="A2827" s="0" t="n">
        <v>37456</v>
      </c>
      <c r="B2827" s="0" t="s">
        <v>6129</v>
      </c>
      <c r="C2827" s="0" t="s">
        <v>1455</v>
      </c>
      <c r="D2827" s="0" t="s">
        <v>3671</v>
      </c>
      <c r="E2827" s="0" t="n">
        <v>2.13</v>
      </c>
    </row>
    <row r="2828" customFormat="false" ht="15" hidden="false" customHeight="false" outlineLevel="0" collapsed="false">
      <c r="A2828" s="0" t="n">
        <v>21029</v>
      </c>
      <c r="B2828" s="0" t="s">
        <v>6130</v>
      </c>
      <c r="C2828" s="0" t="s">
        <v>31</v>
      </c>
      <c r="D2828" s="0" t="s">
        <v>3676</v>
      </c>
      <c r="E2828" s="0" t="n">
        <v>293.7</v>
      </c>
    </row>
    <row r="2829" customFormat="false" ht="15" hidden="false" customHeight="false" outlineLevel="0" collapsed="false">
      <c r="A2829" s="0" t="n">
        <v>21030</v>
      </c>
      <c r="B2829" s="0" t="s">
        <v>6131</v>
      </c>
      <c r="C2829" s="0" t="s">
        <v>31</v>
      </c>
      <c r="D2829" s="0" t="s">
        <v>3671</v>
      </c>
      <c r="E2829" s="0" t="n">
        <v>362.03</v>
      </c>
    </row>
    <row r="2830" customFormat="false" ht="15" hidden="false" customHeight="false" outlineLevel="0" collapsed="false">
      <c r="A2830" s="0" t="n">
        <v>21031</v>
      </c>
      <c r="B2830" s="0" t="s">
        <v>6132</v>
      </c>
      <c r="C2830" s="0" t="s">
        <v>31</v>
      </c>
      <c r="D2830" s="0" t="s">
        <v>3671</v>
      </c>
      <c r="E2830" s="0" t="n">
        <v>450.72</v>
      </c>
    </row>
    <row r="2831" customFormat="false" ht="15" hidden="false" customHeight="false" outlineLevel="0" collapsed="false">
      <c r="A2831" s="0" t="n">
        <v>21032</v>
      </c>
      <c r="B2831" s="0" t="s">
        <v>6133</v>
      </c>
      <c r="C2831" s="0" t="s">
        <v>31</v>
      </c>
      <c r="D2831" s="0" t="s">
        <v>3671</v>
      </c>
      <c r="E2831" s="0" t="n">
        <v>481.26</v>
      </c>
    </row>
    <row r="2832" customFormat="false" ht="15" hidden="false" customHeight="false" outlineLevel="0" collapsed="false">
      <c r="A2832" s="0" t="n">
        <v>37527</v>
      </c>
      <c r="B2832" s="0" t="s">
        <v>6134</v>
      </c>
      <c r="C2832" s="0" t="s">
        <v>31</v>
      </c>
      <c r="D2832" s="0" t="s">
        <v>3671</v>
      </c>
      <c r="E2832" s="0" t="n">
        <v>434.73</v>
      </c>
    </row>
    <row r="2833" customFormat="false" ht="15" hidden="false" customHeight="false" outlineLevel="0" collapsed="false">
      <c r="A2833" s="0" t="n">
        <v>37528</v>
      </c>
      <c r="B2833" s="0" t="s">
        <v>6135</v>
      </c>
      <c r="C2833" s="0" t="s">
        <v>31</v>
      </c>
      <c r="D2833" s="0" t="s">
        <v>3671</v>
      </c>
      <c r="E2833" s="0" t="n">
        <v>518.33</v>
      </c>
    </row>
    <row r="2834" customFormat="false" ht="15" hidden="false" customHeight="false" outlineLevel="0" collapsed="false">
      <c r="A2834" s="0" t="n">
        <v>37529</v>
      </c>
      <c r="B2834" s="0" t="s">
        <v>6136</v>
      </c>
      <c r="C2834" s="0" t="s">
        <v>31</v>
      </c>
      <c r="D2834" s="0" t="s">
        <v>3671</v>
      </c>
      <c r="E2834" s="0" t="n">
        <v>523.42</v>
      </c>
    </row>
    <row r="2835" customFormat="false" ht="15" hidden="false" customHeight="false" outlineLevel="0" collapsed="false">
      <c r="A2835" s="0" t="n">
        <v>37530</v>
      </c>
      <c r="B2835" s="0" t="s">
        <v>6137</v>
      </c>
      <c r="C2835" s="0" t="s">
        <v>31</v>
      </c>
      <c r="D2835" s="0" t="s">
        <v>3671</v>
      </c>
      <c r="E2835" s="0" t="n">
        <v>683.36</v>
      </c>
    </row>
    <row r="2836" customFormat="false" ht="15" hidden="false" customHeight="false" outlineLevel="0" collapsed="false">
      <c r="A2836" s="0" t="n">
        <v>21034</v>
      </c>
      <c r="B2836" s="0" t="s">
        <v>2674</v>
      </c>
      <c r="C2836" s="0" t="s">
        <v>31</v>
      </c>
      <c r="D2836" s="0" t="s">
        <v>3671</v>
      </c>
      <c r="E2836" s="0" t="n">
        <v>583.03</v>
      </c>
    </row>
    <row r="2837" customFormat="false" ht="15" hidden="false" customHeight="false" outlineLevel="0" collapsed="false">
      <c r="A2837" s="0" t="n">
        <v>37531</v>
      </c>
      <c r="B2837" s="0" t="s">
        <v>6138</v>
      </c>
      <c r="C2837" s="0" t="s">
        <v>31</v>
      </c>
      <c r="D2837" s="0" t="s">
        <v>3671</v>
      </c>
      <c r="E2837" s="0" t="n">
        <v>734.25</v>
      </c>
    </row>
    <row r="2838" customFormat="false" ht="15" hidden="false" customHeight="false" outlineLevel="0" collapsed="false">
      <c r="A2838" s="0" t="n">
        <v>21036</v>
      </c>
      <c r="B2838" s="0" t="s">
        <v>6139</v>
      </c>
      <c r="C2838" s="0" t="s">
        <v>31</v>
      </c>
      <c r="D2838" s="0" t="s">
        <v>3671</v>
      </c>
      <c r="E2838" s="0" t="n">
        <v>892.73</v>
      </c>
    </row>
    <row r="2839" customFormat="false" ht="15" hidden="false" customHeight="false" outlineLevel="0" collapsed="false">
      <c r="A2839" s="0" t="n">
        <v>21037</v>
      </c>
      <c r="B2839" s="0" t="s">
        <v>6140</v>
      </c>
      <c r="C2839" s="0" t="s">
        <v>31</v>
      </c>
      <c r="D2839" s="0" t="s">
        <v>3671</v>
      </c>
      <c r="E2839" s="0" t="n">
        <v>1017.77</v>
      </c>
    </row>
    <row r="2840" customFormat="false" ht="15" hidden="false" customHeight="false" outlineLevel="0" collapsed="false">
      <c r="A2840" s="0" t="n">
        <v>20185</v>
      </c>
      <c r="B2840" s="0" t="s">
        <v>6141</v>
      </c>
      <c r="C2840" s="0" t="s">
        <v>1455</v>
      </c>
      <c r="D2840" s="0" t="s">
        <v>3671</v>
      </c>
      <c r="E2840" s="0" t="n">
        <v>24.37</v>
      </c>
    </row>
    <row r="2841" customFormat="false" ht="15" hidden="false" customHeight="false" outlineLevel="0" collapsed="false">
      <c r="A2841" s="0" t="n">
        <v>20260</v>
      </c>
      <c r="B2841" s="0" t="s">
        <v>6142</v>
      </c>
      <c r="C2841" s="0" t="s">
        <v>31</v>
      </c>
      <c r="D2841" s="0" t="s">
        <v>3671</v>
      </c>
      <c r="E2841" s="0" t="n">
        <v>19.6</v>
      </c>
    </row>
    <row r="2842" customFormat="false" ht="15" hidden="false" customHeight="false" outlineLevel="0" collapsed="false">
      <c r="A2842" s="0" t="n">
        <v>37523</v>
      </c>
      <c r="B2842" s="0" t="s">
        <v>6143</v>
      </c>
      <c r="C2842" s="0" t="s">
        <v>31</v>
      </c>
      <c r="D2842" s="0" t="s">
        <v>3671</v>
      </c>
    </row>
    <row r="2843" customFormat="false" ht="15" hidden="false" customHeight="false" outlineLevel="0" collapsed="false">
      <c r="A2843" s="0" t="n">
        <v>37515</v>
      </c>
      <c r="B2843" s="0" t="s">
        <v>6144</v>
      </c>
      <c r="C2843" s="0" t="s">
        <v>31</v>
      </c>
      <c r="D2843" s="0" t="s">
        <v>3676</v>
      </c>
    </row>
    <row r="2844" customFormat="false" ht="15" hidden="false" customHeight="false" outlineLevel="0" collapsed="false">
      <c r="A2844" s="0" t="n">
        <v>12899</v>
      </c>
      <c r="B2844" s="0" t="s">
        <v>2712</v>
      </c>
      <c r="C2844" s="0" t="s">
        <v>31</v>
      </c>
      <c r="D2844" s="0" t="s">
        <v>3671</v>
      </c>
    </row>
    <row r="2845" customFormat="false" ht="15" hidden="false" customHeight="false" outlineLevel="0" collapsed="false">
      <c r="A2845" s="0" t="n">
        <v>12898</v>
      </c>
      <c r="B2845" s="0" t="s">
        <v>6145</v>
      </c>
      <c r="C2845" s="0" t="s">
        <v>31</v>
      </c>
      <c r="D2845" s="0" t="s">
        <v>3676</v>
      </c>
    </row>
    <row r="2846" customFormat="false" ht="15" hidden="false" customHeight="false" outlineLevel="0" collapsed="false">
      <c r="A2846" s="0" t="n">
        <v>39699</v>
      </c>
      <c r="B2846" s="0" t="s">
        <v>6146</v>
      </c>
      <c r="C2846" s="0" t="s">
        <v>1477</v>
      </c>
      <c r="D2846" s="0" t="s">
        <v>3671</v>
      </c>
      <c r="E2846" s="0" t="n">
        <v>16.31</v>
      </c>
    </row>
    <row r="2847" customFormat="false" ht="15" hidden="false" customHeight="false" outlineLevel="0" collapsed="false">
      <c r="A2847" s="0" t="n">
        <v>39696</v>
      </c>
      <c r="B2847" s="0" t="s">
        <v>6147</v>
      </c>
      <c r="C2847" s="0" t="s">
        <v>1477</v>
      </c>
      <c r="D2847" s="0" t="s">
        <v>3676</v>
      </c>
    </row>
    <row r="2848" customFormat="false" ht="15" hidden="false" customHeight="false" outlineLevel="0" collapsed="false">
      <c r="A2848" s="0" t="n">
        <v>42528</v>
      </c>
      <c r="B2848" s="0" t="s">
        <v>6148</v>
      </c>
      <c r="C2848" s="0" t="s">
        <v>1477</v>
      </c>
      <c r="D2848" s="0" t="s">
        <v>3671</v>
      </c>
    </row>
    <row r="2849" customFormat="false" ht="15" hidden="false" customHeight="false" outlineLevel="0" collapsed="false">
      <c r="A2849" s="0" t="n">
        <v>39700</v>
      </c>
      <c r="B2849" s="0" t="s">
        <v>6149</v>
      </c>
      <c r="C2849" s="0" t="s">
        <v>1477</v>
      </c>
      <c r="D2849" s="0" t="s">
        <v>3671</v>
      </c>
      <c r="E2849" s="0" t="n">
        <v>22.02</v>
      </c>
    </row>
    <row r="2850" customFormat="false" ht="15" hidden="false" customHeight="false" outlineLevel="0" collapsed="false">
      <c r="A2850" s="0" t="n">
        <v>4014</v>
      </c>
      <c r="B2850" s="0" t="s">
        <v>6150</v>
      </c>
      <c r="C2850" s="0" t="s">
        <v>1477</v>
      </c>
      <c r="D2850" s="0" t="s">
        <v>3671</v>
      </c>
      <c r="E2850" s="0" t="n">
        <v>45.34</v>
      </c>
    </row>
    <row r="2851" customFormat="false" ht="15" hidden="false" customHeight="false" outlineLevel="0" collapsed="false">
      <c r="A2851" s="0" t="n">
        <v>4015</v>
      </c>
      <c r="B2851" s="0" t="s">
        <v>1909</v>
      </c>
      <c r="C2851" s="0" t="s">
        <v>1477</v>
      </c>
      <c r="D2851" s="0" t="s">
        <v>3671</v>
      </c>
      <c r="E2851" s="0" t="n">
        <v>55.68</v>
      </c>
    </row>
    <row r="2852" customFormat="false" ht="15" hidden="false" customHeight="false" outlineLevel="0" collapsed="false">
      <c r="A2852" s="0" t="n">
        <v>4017</v>
      </c>
      <c r="B2852" s="0" t="s">
        <v>6151</v>
      </c>
      <c r="C2852" s="0" t="s">
        <v>1477</v>
      </c>
      <c r="D2852" s="0" t="s">
        <v>3671</v>
      </c>
      <c r="E2852" s="0" t="n">
        <v>81.02</v>
      </c>
    </row>
    <row r="2853" customFormat="false" ht="15" hidden="false" customHeight="false" outlineLevel="0" collapsed="false">
      <c r="A2853" s="0" t="n">
        <v>11621</v>
      </c>
      <c r="B2853" s="0" t="s">
        <v>6152</v>
      </c>
      <c r="C2853" s="0" t="s">
        <v>1477</v>
      </c>
      <c r="D2853" s="0" t="s">
        <v>3671</v>
      </c>
      <c r="E2853" s="0" t="n">
        <v>43.82</v>
      </c>
    </row>
    <row r="2854" customFormat="false" ht="15" hidden="false" customHeight="false" outlineLevel="0" collapsed="false">
      <c r="A2854" s="0" t="n">
        <v>4016</v>
      </c>
      <c r="B2854" s="0" t="s">
        <v>6153</v>
      </c>
      <c r="C2854" s="0" t="s">
        <v>1477</v>
      </c>
      <c r="D2854" s="0" t="s">
        <v>3676</v>
      </c>
      <c r="E2854" s="0" t="n">
        <v>32</v>
      </c>
    </row>
    <row r="2855" customFormat="false" ht="15" hidden="false" customHeight="false" outlineLevel="0" collapsed="false">
      <c r="A2855" s="0" t="n">
        <v>38544</v>
      </c>
      <c r="B2855" s="0" t="s">
        <v>6154</v>
      </c>
      <c r="C2855" s="0" t="s">
        <v>1477</v>
      </c>
      <c r="D2855" s="0" t="s">
        <v>3671</v>
      </c>
      <c r="E2855" s="0" t="n">
        <v>8.21</v>
      </c>
    </row>
    <row r="2856" customFormat="false" ht="15" hidden="false" customHeight="false" outlineLevel="0" collapsed="false">
      <c r="A2856" s="0" t="n">
        <v>38545</v>
      </c>
      <c r="B2856" s="0" t="s">
        <v>6155</v>
      </c>
      <c r="C2856" s="0" t="s">
        <v>1477</v>
      </c>
      <c r="D2856" s="0" t="s">
        <v>3671</v>
      </c>
      <c r="E2856" s="0" t="n">
        <v>5.27</v>
      </c>
    </row>
    <row r="2857" customFormat="false" ht="15" hidden="false" customHeight="false" outlineLevel="0" collapsed="false">
      <c r="A2857" s="0" t="n">
        <v>42527</v>
      </c>
      <c r="B2857" s="0" t="s">
        <v>6156</v>
      </c>
      <c r="C2857" s="0" t="s">
        <v>1477</v>
      </c>
      <c r="D2857" s="0" t="s">
        <v>3671</v>
      </c>
    </row>
    <row r="2858" customFormat="false" ht="15" hidden="false" customHeight="false" outlineLevel="0" collapsed="false">
      <c r="A2858" s="0" t="n">
        <v>39323</v>
      </c>
      <c r="B2858" s="0" t="s">
        <v>6157</v>
      </c>
      <c r="C2858" s="0" t="s">
        <v>1477</v>
      </c>
      <c r="D2858" s="0" t="s">
        <v>3671</v>
      </c>
      <c r="E2858" s="0" t="n">
        <v>20.13</v>
      </c>
    </row>
    <row r="2859" customFormat="false" ht="15" hidden="false" customHeight="false" outlineLevel="0" collapsed="false">
      <c r="A2859" s="0" t="n">
        <v>626</v>
      </c>
      <c r="B2859" s="0" t="s">
        <v>1659</v>
      </c>
      <c r="C2859" s="0" t="s">
        <v>1513</v>
      </c>
      <c r="D2859" s="0" t="s">
        <v>3676</v>
      </c>
      <c r="E2859" s="0" t="n">
        <v>16.67</v>
      </c>
    </row>
    <row r="2860" customFormat="false" ht="15" hidden="false" customHeight="false" outlineLevel="0" collapsed="false">
      <c r="A2860" s="0" t="n">
        <v>44504</v>
      </c>
      <c r="B2860" s="0" t="s">
        <v>6158</v>
      </c>
      <c r="C2860" s="0" t="s">
        <v>1477</v>
      </c>
      <c r="D2860" s="0" t="s">
        <v>3671</v>
      </c>
    </row>
    <row r="2861" customFormat="false" ht="15" hidden="false" customHeight="false" outlineLevel="0" collapsed="false">
      <c r="A2861" s="0" t="n">
        <v>44505</v>
      </c>
      <c r="B2861" s="0" t="s">
        <v>6159</v>
      </c>
      <c r="C2861" s="0" t="s">
        <v>1477</v>
      </c>
      <c r="D2861" s="0" t="s">
        <v>3671</v>
      </c>
    </row>
    <row r="2862" customFormat="false" ht="15" hidden="false" customHeight="false" outlineLevel="0" collapsed="false">
      <c r="A2862" s="0" t="n">
        <v>44506</v>
      </c>
      <c r="B2862" s="0" t="s">
        <v>6160</v>
      </c>
      <c r="C2862" s="0" t="s">
        <v>1477</v>
      </c>
      <c r="D2862" s="0" t="s">
        <v>3671</v>
      </c>
    </row>
    <row r="2863" customFormat="false" ht="15" hidden="false" customHeight="false" outlineLevel="0" collapsed="false">
      <c r="A2863" s="0" t="n">
        <v>44507</v>
      </c>
      <c r="B2863" s="0" t="s">
        <v>6161</v>
      </c>
      <c r="C2863" s="0" t="s">
        <v>1477</v>
      </c>
      <c r="D2863" s="0" t="s">
        <v>3671</v>
      </c>
    </row>
    <row r="2864" customFormat="false" ht="15" hidden="false" customHeight="false" outlineLevel="0" collapsed="false">
      <c r="A2864" s="0" t="n">
        <v>44508</v>
      </c>
      <c r="B2864" s="0" t="s">
        <v>6162</v>
      </c>
      <c r="C2864" s="0" t="s">
        <v>1477</v>
      </c>
      <c r="D2864" s="0" t="s">
        <v>3671</v>
      </c>
    </row>
    <row r="2865" customFormat="false" ht="15" hidden="false" customHeight="false" outlineLevel="0" collapsed="false">
      <c r="A2865" s="0" t="n">
        <v>44509</v>
      </c>
      <c r="B2865" s="0" t="s">
        <v>6163</v>
      </c>
      <c r="C2865" s="0" t="s">
        <v>1477</v>
      </c>
      <c r="D2865" s="0" t="s">
        <v>3671</v>
      </c>
    </row>
    <row r="2866" customFormat="false" ht="15" hidden="false" customHeight="false" outlineLevel="0" collapsed="false">
      <c r="A2866" s="0" t="n">
        <v>44510</v>
      </c>
      <c r="B2866" s="0" t="s">
        <v>6164</v>
      </c>
      <c r="C2866" s="0" t="s">
        <v>1477</v>
      </c>
      <c r="D2866" s="0" t="s">
        <v>3671</v>
      </c>
    </row>
    <row r="2867" customFormat="false" ht="15" hidden="false" customHeight="false" outlineLevel="0" collapsed="false">
      <c r="A2867" s="0" t="n">
        <v>44512</v>
      </c>
      <c r="B2867" s="0" t="s">
        <v>6165</v>
      </c>
      <c r="C2867" s="0" t="s">
        <v>1477</v>
      </c>
      <c r="D2867" s="0" t="s">
        <v>3671</v>
      </c>
    </row>
    <row r="2868" customFormat="false" ht="15" hidden="false" customHeight="false" outlineLevel="0" collapsed="false">
      <c r="A2868" s="0" t="n">
        <v>44513</v>
      </c>
      <c r="B2868" s="0" t="s">
        <v>6166</v>
      </c>
      <c r="C2868" s="0" t="s">
        <v>1477</v>
      </c>
      <c r="D2868" s="0" t="s">
        <v>3671</v>
      </c>
    </row>
    <row r="2869" customFormat="false" ht="15" hidden="false" customHeight="false" outlineLevel="0" collapsed="false">
      <c r="A2869" s="0" t="n">
        <v>44514</v>
      </c>
      <c r="B2869" s="0" t="s">
        <v>6167</v>
      </c>
      <c r="C2869" s="0" t="s">
        <v>1477</v>
      </c>
      <c r="D2869" s="0" t="s">
        <v>3671</v>
      </c>
    </row>
    <row r="2870" customFormat="false" ht="15" hidden="false" customHeight="false" outlineLevel="0" collapsed="false">
      <c r="A2870" s="0" t="n">
        <v>44515</v>
      </c>
      <c r="B2870" s="0" t="s">
        <v>6168</v>
      </c>
      <c r="C2870" s="0" t="s">
        <v>1477</v>
      </c>
      <c r="D2870" s="0" t="s">
        <v>3671</v>
      </c>
    </row>
    <row r="2871" customFormat="false" ht="15" hidden="false" customHeight="false" outlineLevel="0" collapsed="false">
      <c r="A2871" s="0" t="n">
        <v>44511</v>
      </c>
      <c r="B2871" s="0" t="s">
        <v>6169</v>
      </c>
      <c r="C2871" s="0" t="s">
        <v>1477</v>
      </c>
      <c r="D2871" s="0" t="s">
        <v>3671</v>
      </c>
    </row>
    <row r="2872" customFormat="false" ht="15" hidden="false" customHeight="false" outlineLevel="0" collapsed="false">
      <c r="A2872" s="0" t="n">
        <v>44516</v>
      </c>
      <c r="B2872" s="0" t="s">
        <v>6170</v>
      </c>
      <c r="C2872" s="0" t="s">
        <v>1477</v>
      </c>
      <c r="D2872" s="0" t="s">
        <v>3671</v>
      </c>
    </row>
    <row r="2873" customFormat="false" ht="15" hidden="false" customHeight="false" outlineLevel="0" collapsed="false">
      <c r="A2873" s="0" t="n">
        <v>44517</v>
      </c>
      <c r="B2873" s="0" t="s">
        <v>6171</v>
      </c>
      <c r="C2873" s="0" t="s">
        <v>1477</v>
      </c>
      <c r="D2873" s="0" t="s">
        <v>3671</v>
      </c>
    </row>
    <row r="2874" customFormat="false" ht="15" hidden="false" customHeight="false" outlineLevel="0" collapsed="false">
      <c r="A2874" s="0" t="n">
        <v>11479</v>
      </c>
      <c r="B2874" s="0" t="s">
        <v>6172</v>
      </c>
      <c r="C2874" s="0" t="s">
        <v>31</v>
      </c>
      <c r="D2874" s="0" t="s">
        <v>3671</v>
      </c>
      <c r="E2874" s="0" t="n">
        <v>45.43</v>
      </c>
    </row>
    <row r="2875" customFormat="false" ht="15" hidden="false" customHeight="false" outlineLevel="0" collapsed="false">
      <c r="A2875" s="0" t="n">
        <v>11481</v>
      </c>
      <c r="B2875" s="0" t="s">
        <v>6173</v>
      </c>
      <c r="C2875" s="0" t="s">
        <v>31</v>
      </c>
      <c r="D2875" s="0" t="s">
        <v>3671</v>
      </c>
      <c r="E2875" s="0" t="n">
        <v>41.09</v>
      </c>
    </row>
    <row r="2876" customFormat="false" ht="15" hidden="false" customHeight="false" outlineLevel="0" collapsed="false">
      <c r="A2876" s="0" t="n">
        <v>43609</v>
      </c>
      <c r="B2876" s="0" t="s">
        <v>6174</v>
      </c>
      <c r="C2876" s="0" t="s">
        <v>31</v>
      </c>
      <c r="D2876" s="0" t="s">
        <v>3671</v>
      </c>
      <c r="E2876" s="0" t="n">
        <v>41.09</v>
      </c>
    </row>
    <row r="2877" customFormat="false" ht="15" hidden="false" customHeight="false" outlineLevel="0" collapsed="false">
      <c r="A2877" s="0" t="n">
        <v>11478</v>
      </c>
      <c r="B2877" s="0" t="s">
        <v>6175</v>
      </c>
      <c r="C2877" s="0" t="s">
        <v>31</v>
      </c>
      <c r="D2877" s="0" t="s">
        <v>3671</v>
      </c>
      <c r="E2877" s="0" t="n">
        <v>77.94</v>
      </c>
    </row>
    <row r="2878" customFormat="false" ht="15" hidden="false" customHeight="false" outlineLevel="0" collapsed="false">
      <c r="A2878" s="0" t="n">
        <v>43608</v>
      </c>
      <c r="B2878" s="0" t="s">
        <v>6176</v>
      </c>
      <c r="C2878" s="0" t="s">
        <v>31</v>
      </c>
      <c r="D2878" s="0" t="s">
        <v>3671</v>
      </c>
      <c r="E2878" s="0" t="n">
        <v>59.48</v>
      </c>
    </row>
    <row r="2879" customFormat="false" ht="15" hidden="false" customHeight="false" outlineLevel="0" collapsed="false">
      <c r="A2879" s="0" t="n">
        <v>11476</v>
      </c>
      <c r="B2879" s="0" t="s">
        <v>6177</v>
      </c>
      <c r="C2879" s="0" t="s">
        <v>31</v>
      </c>
      <c r="D2879" s="0" t="s">
        <v>3671</v>
      </c>
      <c r="E2879" s="0" t="n">
        <v>59.48</v>
      </c>
    </row>
    <row r="2880" customFormat="false" ht="15" hidden="false" customHeight="false" outlineLevel="0" collapsed="false">
      <c r="A2880" s="0" t="n">
        <v>40637</v>
      </c>
      <c r="B2880" s="0" t="s">
        <v>6178</v>
      </c>
      <c r="C2880" s="0" t="s">
        <v>31</v>
      </c>
      <c r="D2880" s="0" t="s">
        <v>3671</v>
      </c>
    </row>
    <row r="2881" customFormat="false" ht="15" hidden="false" customHeight="false" outlineLevel="0" collapsed="false">
      <c r="A2881" s="0" t="n">
        <v>13836</v>
      </c>
      <c r="B2881" s="0" t="s">
        <v>6179</v>
      </c>
      <c r="C2881" s="0" t="s">
        <v>31</v>
      </c>
      <c r="D2881" s="0" t="s">
        <v>3671</v>
      </c>
    </row>
    <row r="2882" customFormat="false" ht="15" hidden="false" customHeight="false" outlineLevel="0" collapsed="false">
      <c r="A2882" s="0" t="n">
        <v>14534</v>
      </c>
      <c r="B2882" s="0" t="s">
        <v>6180</v>
      </c>
      <c r="C2882" s="0" t="s">
        <v>31</v>
      </c>
      <c r="D2882" s="0" t="s">
        <v>3671</v>
      </c>
    </row>
    <row r="2883" customFormat="false" ht="15" hidden="false" customHeight="false" outlineLevel="0" collapsed="false">
      <c r="A2883" s="0" t="n">
        <v>14619</v>
      </c>
      <c r="B2883" s="0" t="s">
        <v>6181</v>
      </c>
      <c r="C2883" s="0" t="s">
        <v>31</v>
      </c>
      <c r="D2883" s="0" t="s">
        <v>3671</v>
      </c>
      <c r="E2883" s="0" t="n">
        <v>15029.33</v>
      </c>
    </row>
    <row r="2884" customFormat="false" ht="15" hidden="false" customHeight="false" outlineLevel="0" collapsed="false">
      <c r="A2884" s="0" t="n">
        <v>14535</v>
      </c>
      <c r="B2884" s="0" t="s">
        <v>6182</v>
      </c>
      <c r="C2884" s="0" t="s">
        <v>31</v>
      </c>
      <c r="D2884" s="0" t="s">
        <v>3671</v>
      </c>
    </row>
    <row r="2885" customFormat="false" ht="15" hidden="false" customHeight="false" outlineLevel="0" collapsed="false">
      <c r="A2885" s="0" t="n">
        <v>39813</v>
      </c>
      <c r="B2885" s="0" t="s">
        <v>1730</v>
      </c>
      <c r="C2885" s="0" t="s">
        <v>31</v>
      </c>
      <c r="D2885" s="0" t="s">
        <v>3671</v>
      </c>
    </row>
    <row r="2886" customFormat="false" ht="15" hidden="false" customHeight="false" outlineLevel="0" collapsed="false">
      <c r="A2886" s="0" t="n">
        <v>12868</v>
      </c>
      <c r="B2886" s="0" t="s">
        <v>6183</v>
      </c>
      <c r="C2886" s="0" t="s">
        <v>1444</v>
      </c>
      <c r="D2886" s="0" t="s">
        <v>3671</v>
      </c>
      <c r="E2886" s="0" t="n">
        <v>18.74</v>
      </c>
    </row>
    <row r="2887" customFormat="false" ht="15" hidden="false" customHeight="false" outlineLevel="0" collapsed="false">
      <c r="A2887" s="0" t="n">
        <v>40916</v>
      </c>
      <c r="B2887" s="0" t="s">
        <v>6184</v>
      </c>
      <c r="C2887" s="0" t="s">
        <v>1416</v>
      </c>
      <c r="D2887" s="0" t="s">
        <v>3671</v>
      </c>
      <c r="E2887" s="0" t="n">
        <v>3300.92</v>
      </c>
    </row>
    <row r="2888" customFormat="false" ht="15" hidden="false" customHeight="false" outlineLevel="0" collapsed="false">
      <c r="A2888" s="0" t="n">
        <v>4755</v>
      </c>
      <c r="B2888" s="0" t="s">
        <v>1783</v>
      </c>
      <c r="C2888" s="0" t="s">
        <v>1444</v>
      </c>
      <c r="D2888" s="0" t="s">
        <v>3671</v>
      </c>
      <c r="E2888" s="0" t="n">
        <v>20.22</v>
      </c>
    </row>
    <row r="2889" customFormat="false" ht="15" hidden="false" customHeight="false" outlineLevel="0" collapsed="false">
      <c r="A2889" s="0" t="n">
        <v>41067</v>
      </c>
      <c r="B2889" s="0" t="s">
        <v>6185</v>
      </c>
      <c r="C2889" s="0" t="s">
        <v>1416</v>
      </c>
      <c r="D2889" s="0" t="s">
        <v>3671</v>
      </c>
      <c r="E2889" s="0" t="n">
        <v>3561.68</v>
      </c>
    </row>
    <row r="2890" customFormat="false" ht="15" hidden="false" customHeight="false" outlineLevel="0" collapsed="false">
      <c r="A2890" s="0" t="n">
        <v>38463</v>
      </c>
      <c r="B2890" s="0" t="s">
        <v>6186</v>
      </c>
      <c r="C2890" s="0" t="s">
        <v>31</v>
      </c>
      <c r="D2890" s="0" t="s">
        <v>3671</v>
      </c>
      <c r="E2890" s="0" t="n">
        <v>30.68</v>
      </c>
    </row>
    <row r="2891" customFormat="false" ht="15" hidden="false" customHeight="false" outlineLevel="0" collapsed="false">
      <c r="A2891" s="0" t="n">
        <v>40703</v>
      </c>
      <c r="B2891" s="0" t="s">
        <v>1466</v>
      </c>
      <c r="C2891" s="0" t="s">
        <v>31</v>
      </c>
      <c r="D2891" s="0" t="s">
        <v>3676</v>
      </c>
    </row>
    <row r="2892" customFormat="false" ht="15" hidden="false" customHeight="false" outlineLevel="0" collapsed="false">
      <c r="A2892" s="0" t="n">
        <v>14531</v>
      </c>
      <c r="B2892" s="0" t="s">
        <v>6187</v>
      </c>
      <c r="C2892" s="0" t="s">
        <v>31</v>
      </c>
      <c r="D2892" s="0" t="s">
        <v>3671</v>
      </c>
    </row>
    <row r="2893" customFormat="false" ht="15" hidden="false" customHeight="false" outlineLevel="0" collapsed="false">
      <c r="A2893" s="0" t="n">
        <v>36533</v>
      </c>
      <c r="B2893" s="0" t="s">
        <v>6188</v>
      </c>
      <c r="C2893" s="0" t="s">
        <v>31</v>
      </c>
      <c r="D2893" s="0" t="s">
        <v>3671</v>
      </c>
    </row>
    <row r="2894" customFormat="false" ht="15" hidden="false" customHeight="false" outlineLevel="0" collapsed="false">
      <c r="A2894" s="0" t="n">
        <v>11616</v>
      </c>
      <c r="B2894" s="0" t="s">
        <v>6189</v>
      </c>
      <c r="C2894" s="0" t="s">
        <v>31</v>
      </c>
      <c r="D2894" s="0" t="s">
        <v>3671</v>
      </c>
    </row>
    <row r="2895" customFormat="false" ht="15" hidden="false" customHeight="false" outlineLevel="0" collapsed="false">
      <c r="A2895" s="0" t="n">
        <v>41898</v>
      </c>
      <c r="B2895" s="0" t="s">
        <v>1461</v>
      </c>
      <c r="C2895" s="0" t="s">
        <v>31</v>
      </c>
      <c r="D2895" s="0" t="s">
        <v>3671</v>
      </c>
    </row>
    <row r="2896" customFormat="false" ht="15" hidden="false" customHeight="false" outlineLevel="0" collapsed="false">
      <c r="A2896" s="0" t="n">
        <v>13447</v>
      </c>
      <c r="B2896" s="0" t="s">
        <v>6190</v>
      </c>
      <c r="C2896" s="0" t="s">
        <v>31</v>
      </c>
      <c r="D2896" s="0" t="s">
        <v>3671</v>
      </c>
    </row>
    <row r="2897" customFormat="false" ht="15" hidden="false" customHeight="false" outlineLevel="0" collapsed="false">
      <c r="A2897" s="0" t="n">
        <v>14529</v>
      </c>
      <c r="B2897" s="0" t="s">
        <v>6191</v>
      </c>
      <c r="C2897" s="0" t="s">
        <v>31</v>
      </c>
      <c r="D2897" s="0" t="s">
        <v>3671</v>
      </c>
    </row>
    <row r="2898" customFormat="false" ht="15" hidden="false" customHeight="false" outlineLevel="0" collapsed="false">
      <c r="A2898" s="0" t="n">
        <v>10747</v>
      </c>
      <c r="B2898" s="0" t="s">
        <v>6192</v>
      </c>
      <c r="C2898" s="0" t="s">
        <v>31</v>
      </c>
      <c r="D2898" s="0" t="s">
        <v>3671</v>
      </c>
    </row>
    <row r="2899" customFormat="false" ht="15" hidden="false" customHeight="false" outlineLevel="0" collapsed="false">
      <c r="A2899" s="0" t="n">
        <v>36141</v>
      </c>
      <c r="B2899" s="0" t="s">
        <v>6193</v>
      </c>
      <c r="C2899" s="0" t="s">
        <v>31</v>
      </c>
      <c r="D2899" s="0" t="s">
        <v>3671</v>
      </c>
      <c r="E2899" s="0" t="n">
        <v>35.34</v>
      </c>
    </row>
    <row r="2900" customFormat="false" ht="15" hidden="false" customHeight="false" outlineLevel="0" collapsed="false">
      <c r="A2900" s="0" t="n">
        <v>43651</v>
      </c>
      <c r="B2900" s="0" t="s">
        <v>1966</v>
      </c>
      <c r="C2900" s="0" t="s">
        <v>1513</v>
      </c>
      <c r="D2900" s="0" t="s">
        <v>3671</v>
      </c>
      <c r="E2900" s="0" t="n">
        <v>4.33</v>
      </c>
    </row>
    <row r="2901" customFormat="false" ht="15" hidden="false" customHeight="false" outlineLevel="0" collapsed="false">
      <c r="A2901" s="0" t="n">
        <v>43626</v>
      </c>
      <c r="B2901" s="0" t="s">
        <v>6194</v>
      </c>
      <c r="C2901" s="0" t="s">
        <v>1513</v>
      </c>
      <c r="D2901" s="0" t="s">
        <v>3676</v>
      </c>
      <c r="E2901" s="0" t="n">
        <v>2.41</v>
      </c>
    </row>
    <row r="2902" customFormat="false" ht="15" hidden="false" customHeight="false" outlineLevel="0" collapsed="false">
      <c r="A2902" s="0" t="n">
        <v>39434</v>
      </c>
      <c r="B2902" s="0" t="s">
        <v>1794</v>
      </c>
      <c r="C2902" s="0" t="s">
        <v>1513</v>
      </c>
      <c r="D2902" s="0" t="s">
        <v>3671</v>
      </c>
      <c r="E2902" s="0" t="n">
        <v>3.38</v>
      </c>
    </row>
    <row r="2903" customFormat="false" ht="15" hidden="false" customHeight="false" outlineLevel="0" collapsed="false">
      <c r="A2903" s="0" t="n">
        <v>39433</v>
      </c>
      <c r="B2903" s="0" t="s">
        <v>6195</v>
      </c>
      <c r="C2903" s="0" t="s">
        <v>1513</v>
      </c>
      <c r="D2903" s="0" t="s">
        <v>3671</v>
      </c>
      <c r="E2903" s="0" t="n">
        <v>2.69</v>
      </c>
    </row>
    <row r="2904" customFormat="false" ht="15" hidden="false" customHeight="false" outlineLevel="0" collapsed="false">
      <c r="A2904" s="0" t="n">
        <v>4049</v>
      </c>
      <c r="B2904" s="0" t="s">
        <v>6196</v>
      </c>
      <c r="C2904" s="0" t="s">
        <v>1452</v>
      </c>
      <c r="D2904" s="0" t="s">
        <v>3671</v>
      </c>
      <c r="E2904" s="0" t="n">
        <v>48.37</v>
      </c>
    </row>
    <row r="2905" customFormat="false" ht="15" hidden="false" customHeight="false" outlineLevel="0" collapsed="false">
      <c r="A2905" s="0" t="n">
        <v>38120</v>
      </c>
      <c r="B2905" s="0" t="s">
        <v>6197</v>
      </c>
      <c r="C2905" s="0" t="s">
        <v>1513</v>
      </c>
      <c r="D2905" s="0" t="s">
        <v>3671</v>
      </c>
      <c r="E2905" s="0" t="n">
        <v>118.63</v>
      </c>
    </row>
    <row r="2906" customFormat="false" ht="15" hidden="false" customHeight="false" outlineLevel="0" collapsed="false">
      <c r="A2906" s="0" t="n">
        <v>43652</v>
      </c>
      <c r="B2906" s="0" t="s">
        <v>6198</v>
      </c>
      <c r="C2906" s="0" t="s">
        <v>1513</v>
      </c>
      <c r="D2906" s="0" t="s">
        <v>3671</v>
      </c>
      <c r="E2906" s="0" t="n">
        <v>9.71</v>
      </c>
    </row>
    <row r="2907" customFormat="false" ht="15" hidden="false" customHeight="false" outlineLevel="0" collapsed="false">
      <c r="A2907" s="0" t="n">
        <v>10498</v>
      </c>
      <c r="B2907" s="0" t="s">
        <v>6199</v>
      </c>
      <c r="C2907" s="0" t="s">
        <v>1513</v>
      </c>
      <c r="D2907" s="0" t="s">
        <v>3671</v>
      </c>
      <c r="E2907" s="0" t="n">
        <v>7.89</v>
      </c>
    </row>
    <row r="2908" customFormat="false" ht="15" hidden="false" customHeight="false" outlineLevel="0" collapsed="false">
      <c r="A2908" s="0" t="n">
        <v>4823</v>
      </c>
      <c r="B2908" s="0" t="s">
        <v>2030</v>
      </c>
      <c r="C2908" s="0" t="s">
        <v>1513</v>
      </c>
      <c r="D2908" s="0" t="s">
        <v>3671</v>
      </c>
      <c r="E2908" s="0" t="n">
        <v>29.89</v>
      </c>
    </row>
    <row r="2909" customFormat="false" ht="15" hidden="false" customHeight="false" outlineLevel="0" collapsed="false">
      <c r="A2909" s="0" t="n">
        <v>38877</v>
      </c>
      <c r="B2909" s="0" t="s">
        <v>6200</v>
      </c>
      <c r="C2909" s="0" t="s">
        <v>1513</v>
      </c>
      <c r="D2909" s="0" t="s">
        <v>3671</v>
      </c>
      <c r="E2909" s="0" t="n">
        <v>7.54</v>
      </c>
    </row>
    <row r="2910" customFormat="false" ht="15" hidden="false" customHeight="false" outlineLevel="0" collapsed="false">
      <c r="A2910" s="0" t="n">
        <v>34546</v>
      </c>
      <c r="B2910" s="0" t="s">
        <v>6201</v>
      </c>
      <c r="C2910" s="0" t="s">
        <v>1513</v>
      </c>
      <c r="D2910" s="0" t="s">
        <v>3671</v>
      </c>
      <c r="E2910" s="0" t="n">
        <v>7.75</v>
      </c>
    </row>
    <row r="2911" customFormat="false" ht="15" hidden="false" customHeight="false" outlineLevel="0" collapsed="false">
      <c r="A2911" s="0" t="n">
        <v>41387</v>
      </c>
      <c r="B2911" s="0" t="s">
        <v>2616</v>
      </c>
      <c r="C2911" s="0" t="s">
        <v>1455</v>
      </c>
      <c r="D2911" s="0" t="s">
        <v>3671</v>
      </c>
      <c r="E2911" s="0" t="n">
        <v>55.23</v>
      </c>
    </row>
    <row r="2912" customFormat="false" ht="15" hidden="false" customHeight="false" outlineLevel="0" collapsed="false">
      <c r="A2912" s="0" t="n">
        <v>41388</v>
      </c>
      <c r="B2912" s="0" t="s">
        <v>6202</v>
      </c>
      <c r="C2912" s="0" t="s">
        <v>1455</v>
      </c>
      <c r="D2912" s="0" t="s">
        <v>3671</v>
      </c>
      <c r="E2912" s="0" t="n">
        <v>66.26</v>
      </c>
    </row>
    <row r="2913" customFormat="false" ht="15" hidden="false" customHeight="false" outlineLevel="0" collapsed="false">
      <c r="A2913" s="0" t="n">
        <v>41380</v>
      </c>
      <c r="B2913" s="0" t="s">
        <v>6203</v>
      </c>
      <c r="C2913" s="0" t="s">
        <v>31</v>
      </c>
      <c r="D2913" s="0" t="s">
        <v>3671</v>
      </c>
      <c r="E2913" s="0" t="n">
        <v>440.86</v>
      </c>
    </row>
    <row r="2914" customFormat="false" ht="15" hidden="false" customHeight="false" outlineLevel="0" collapsed="false">
      <c r="A2914" s="0" t="n">
        <v>41381</v>
      </c>
      <c r="B2914" s="0" t="s">
        <v>1765</v>
      </c>
      <c r="C2914" s="0" t="s">
        <v>31</v>
      </c>
      <c r="D2914" s="0" t="s">
        <v>3671</v>
      </c>
      <c r="E2914" s="0" t="n">
        <v>461.86</v>
      </c>
    </row>
    <row r="2915" customFormat="false" ht="15" hidden="false" customHeight="false" outlineLevel="0" collapsed="false">
      <c r="A2915" s="0" t="n">
        <v>41382</v>
      </c>
      <c r="B2915" s="0" t="s">
        <v>6204</v>
      </c>
      <c r="C2915" s="0" t="s">
        <v>31</v>
      </c>
      <c r="D2915" s="0" t="s">
        <v>3671</v>
      </c>
      <c r="E2915" s="0" t="n">
        <v>447.05</v>
      </c>
    </row>
    <row r="2916" customFormat="false" ht="15" hidden="false" customHeight="false" outlineLevel="0" collapsed="false">
      <c r="A2916" s="0" t="n">
        <v>41383</v>
      </c>
      <c r="B2916" s="0" t="s">
        <v>6205</v>
      </c>
      <c r="C2916" s="0" t="s">
        <v>31</v>
      </c>
      <c r="D2916" s="0" t="s">
        <v>3671</v>
      </c>
      <c r="E2916" s="0" t="n">
        <v>606.78</v>
      </c>
    </row>
    <row r="2917" customFormat="false" ht="15" hidden="false" customHeight="false" outlineLevel="0" collapsed="false">
      <c r="A2917" s="0" t="n">
        <v>41385</v>
      </c>
      <c r="B2917" s="0" t="s">
        <v>6206</v>
      </c>
      <c r="C2917" s="0" t="s">
        <v>31</v>
      </c>
      <c r="D2917" s="0" t="s">
        <v>3671</v>
      </c>
      <c r="E2917" s="0" t="n">
        <v>755.06</v>
      </c>
    </row>
    <row r="2918" customFormat="false" ht="15" hidden="false" customHeight="false" outlineLevel="0" collapsed="false">
      <c r="A2918" s="0" t="n">
        <v>4058</v>
      </c>
      <c r="B2918" s="0" t="s">
        <v>6207</v>
      </c>
      <c r="C2918" s="0" t="s">
        <v>1444</v>
      </c>
      <c r="D2918" s="0" t="s">
        <v>3671</v>
      </c>
      <c r="E2918" s="0" t="n">
        <v>21.67</v>
      </c>
    </row>
    <row r="2919" customFormat="false" ht="15" hidden="false" customHeight="false" outlineLevel="0" collapsed="false">
      <c r="A2919" s="0" t="n">
        <v>40974</v>
      </c>
      <c r="B2919" s="0" t="s">
        <v>6208</v>
      </c>
      <c r="C2919" s="0" t="s">
        <v>1416</v>
      </c>
      <c r="D2919" s="0" t="s">
        <v>3671</v>
      </c>
      <c r="E2919" s="0" t="n">
        <v>3817.33</v>
      </c>
    </row>
    <row r="2920" customFormat="false" ht="15" hidden="false" customHeight="false" outlineLevel="0" collapsed="false">
      <c r="A2920" s="0" t="n">
        <v>34794</v>
      </c>
      <c r="B2920" s="0" t="s">
        <v>2764</v>
      </c>
      <c r="C2920" s="0" t="s">
        <v>1444</v>
      </c>
      <c r="D2920" s="0" t="s">
        <v>3671</v>
      </c>
      <c r="E2920" s="0" t="n">
        <v>20.17</v>
      </c>
    </row>
    <row r="2921" customFormat="false" ht="15" hidden="false" customHeight="false" outlineLevel="0" collapsed="false">
      <c r="A2921" s="0" t="n">
        <v>40925</v>
      </c>
      <c r="B2921" s="0" t="s">
        <v>6209</v>
      </c>
      <c r="C2921" s="0" t="s">
        <v>1416</v>
      </c>
      <c r="D2921" s="0" t="s">
        <v>3671</v>
      </c>
      <c r="E2921" s="0" t="n">
        <v>3553.44</v>
      </c>
    </row>
    <row r="2922" customFormat="false" ht="15" hidden="false" customHeight="false" outlineLevel="0" collapsed="false">
      <c r="A2922" s="0" t="n">
        <v>13741</v>
      </c>
      <c r="B2922" s="0" t="s">
        <v>6210</v>
      </c>
      <c r="C2922" s="0" t="s">
        <v>31</v>
      </c>
      <c r="D2922" s="0" t="s">
        <v>3671</v>
      </c>
      <c r="E2922" s="0" t="n">
        <v>2318.33</v>
      </c>
    </row>
    <row r="2923" customFormat="false" ht="15" hidden="false" customHeight="false" outlineLevel="0" collapsed="false">
      <c r="A2923" s="0" t="n">
        <v>3288</v>
      </c>
      <c r="B2923" s="0" t="s">
        <v>6211</v>
      </c>
      <c r="C2923" s="0" t="s">
        <v>1455</v>
      </c>
      <c r="D2923" s="0" t="s">
        <v>3676</v>
      </c>
      <c r="E2923" s="0" t="n">
        <v>12</v>
      </c>
    </row>
    <row r="2924" customFormat="false" ht="15" hidden="false" customHeight="false" outlineLevel="0" collapsed="false">
      <c r="A2924" s="0" t="n">
        <v>13587</v>
      </c>
      <c r="B2924" s="0" t="s">
        <v>6212</v>
      </c>
      <c r="C2924" s="0" t="s">
        <v>1455</v>
      </c>
      <c r="D2924" s="0" t="s">
        <v>3671</v>
      </c>
      <c r="E2924" s="0" t="n">
        <v>7.25</v>
      </c>
    </row>
    <row r="2925" customFormat="false" ht="15" hidden="false" customHeight="false" outlineLevel="0" collapsed="false">
      <c r="A2925" s="0" t="n">
        <v>38598</v>
      </c>
      <c r="B2925" s="0" t="s">
        <v>6213</v>
      </c>
      <c r="C2925" s="0" t="s">
        <v>31</v>
      </c>
      <c r="D2925" s="0" t="s">
        <v>3671</v>
      </c>
      <c r="E2925" s="0" t="n">
        <v>3.63</v>
      </c>
    </row>
    <row r="2926" customFormat="false" ht="15" hidden="false" customHeight="false" outlineLevel="0" collapsed="false">
      <c r="A2926" s="0" t="n">
        <v>38595</v>
      </c>
      <c r="B2926" s="0" t="s">
        <v>6214</v>
      </c>
      <c r="C2926" s="0" t="s">
        <v>31</v>
      </c>
      <c r="D2926" s="0" t="s">
        <v>3671</v>
      </c>
      <c r="E2926" s="0" t="n">
        <v>3.08</v>
      </c>
    </row>
    <row r="2927" customFormat="false" ht="15" hidden="false" customHeight="false" outlineLevel="0" collapsed="false">
      <c r="A2927" s="0" t="n">
        <v>38592</v>
      </c>
      <c r="B2927" s="0" t="s">
        <v>6215</v>
      </c>
      <c r="C2927" s="0" t="s">
        <v>31</v>
      </c>
      <c r="D2927" s="0" t="s">
        <v>3671</v>
      </c>
      <c r="E2927" s="0" t="n">
        <v>3.11</v>
      </c>
    </row>
    <row r="2928" customFormat="false" ht="15" hidden="false" customHeight="false" outlineLevel="0" collapsed="false">
      <c r="A2928" s="0" t="n">
        <v>38588</v>
      </c>
      <c r="B2928" s="0" t="s">
        <v>6216</v>
      </c>
      <c r="C2928" s="0" t="s">
        <v>31</v>
      </c>
      <c r="D2928" s="0" t="s">
        <v>3671</v>
      </c>
      <c r="E2928" s="0" t="n">
        <v>2.49</v>
      </c>
    </row>
    <row r="2929" customFormat="false" ht="15" hidden="false" customHeight="false" outlineLevel="0" collapsed="false">
      <c r="A2929" s="0" t="n">
        <v>38593</v>
      </c>
      <c r="B2929" s="0" t="s">
        <v>6217</v>
      </c>
      <c r="C2929" s="0" t="s">
        <v>31</v>
      </c>
      <c r="D2929" s="0" t="s">
        <v>3671</v>
      </c>
      <c r="E2929" s="0" t="n">
        <v>3.43</v>
      </c>
    </row>
    <row r="2930" customFormat="false" ht="15" hidden="false" customHeight="false" outlineLevel="0" collapsed="false">
      <c r="A2930" s="0" t="n">
        <v>38589</v>
      </c>
      <c r="B2930" s="0" t="s">
        <v>1747</v>
      </c>
      <c r="C2930" s="0" t="s">
        <v>31</v>
      </c>
      <c r="D2930" s="0" t="s">
        <v>3671</v>
      </c>
      <c r="E2930" s="0" t="n">
        <v>2.61</v>
      </c>
    </row>
    <row r="2931" customFormat="false" ht="15" hidden="false" customHeight="false" outlineLevel="0" collapsed="false">
      <c r="A2931" s="0" t="n">
        <v>38594</v>
      </c>
      <c r="B2931" s="0" t="s">
        <v>6218</v>
      </c>
      <c r="C2931" s="0" t="s">
        <v>31</v>
      </c>
      <c r="D2931" s="0" t="s">
        <v>3671</v>
      </c>
      <c r="E2931" s="0" t="n">
        <v>5.42</v>
      </c>
    </row>
    <row r="2932" customFormat="false" ht="15" hidden="false" customHeight="false" outlineLevel="0" collapsed="false">
      <c r="A2932" s="0" t="n">
        <v>34774</v>
      </c>
      <c r="B2932" s="0" t="s">
        <v>6219</v>
      </c>
      <c r="C2932" s="0" t="s">
        <v>31</v>
      </c>
      <c r="D2932" s="0" t="s">
        <v>3671</v>
      </c>
      <c r="E2932" s="0" t="n">
        <v>2.43</v>
      </c>
    </row>
    <row r="2933" customFormat="false" ht="15" hidden="false" customHeight="false" outlineLevel="0" collapsed="false">
      <c r="A2933" s="0" t="n">
        <v>34771</v>
      </c>
      <c r="B2933" s="0" t="s">
        <v>6220</v>
      </c>
      <c r="C2933" s="0" t="s">
        <v>31</v>
      </c>
      <c r="D2933" s="0" t="s">
        <v>3671</v>
      </c>
      <c r="E2933" s="0" t="n">
        <v>2.93</v>
      </c>
    </row>
    <row r="2934" customFormat="false" ht="15" hidden="false" customHeight="false" outlineLevel="0" collapsed="false">
      <c r="A2934" s="0" t="n">
        <v>34764</v>
      </c>
      <c r="B2934" s="0" t="s">
        <v>6221</v>
      </c>
      <c r="C2934" s="0" t="s">
        <v>31</v>
      </c>
      <c r="D2934" s="0" t="s">
        <v>3671</v>
      </c>
      <c r="E2934" s="0" t="n">
        <v>1.92</v>
      </c>
    </row>
    <row r="2935" customFormat="false" ht="15" hidden="false" customHeight="false" outlineLevel="0" collapsed="false">
      <c r="A2935" s="0" t="n">
        <v>34773</v>
      </c>
      <c r="B2935" s="0" t="s">
        <v>6222</v>
      </c>
      <c r="C2935" s="0" t="s">
        <v>31</v>
      </c>
      <c r="D2935" s="0" t="s">
        <v>3671</v>
      </c>
      <c r="E2935" s="0" t="n">
        <v>2.56</v>
      </c>
    </row>
    <row r="2936" customFormat="false" ht="15" hidden="false" customHeight="false" outlineLevel="0" collapsed="false">
      <c r="A2936" s="0" t="n">
        <v>34769</v>
      </c>
      <c r="B2936" s="0" t="s">
        <v>6223</v>
      </c>
      <c r="C2936" s="0" t="s">
        <v>31</v>
      </c>
      <c r="D2936" s="0" t="s">
        <v>3671</v>
      </c>
      <c r="E2936" s="0" t="n">
        <v>3.17</v>
      </c>
    </row>
    <row r="2937" customFormat="false" ht="15" hidden="false" customHeight="false" outlineLevel="0" collapsed="false">
      <c r="A2937" s="0" t="n">
        <v>34763</v>
      </c>
      <c r="B2937" s="0" t="s">
        <v>6224</v>
      </c>
      <c r="C2937" s="0" t="s">
        <v>31</v>
      </c>
      <c r="D2937" s="0" t="s">
        <v>3671</v>
      </c>
      <c r="E2937" s="0" t="n">
        <v>1.95</v>
      </c>
    </row>
    <row r="2938" customFormat="false" ht="15" hidden="false" customHeight="false" outlineLevel="0" collapsed="false">
      <c r="A2938" s="0" t="n">
        <v>34788</v>
      </c>
      <c r="B2938" s="0" t="s">
        <v>6225</v>
      </c>
      <c r="C2938" s="0" t="s">
        <v>31</v>
      </c>
      <c r="D2938" s="0" t="s">
        <v>3671</v>
      </c>
      <c r="E2938" s="0" t="n">
        <v>1.62</v>
      </c>
    </row>
    <row r="2939" customFormat="false" ht="15" hidden="false" customHeight="false" outlineLevel="0" collapsed="false">
      <c r="A2939" s="0" t="n">
        <v>34781</v>
      </c>
      <c r="B2939" s="0" t="s">
        <v>6226</v>
      </c>
      <c r="C2939" s="0" t="s">
        <v>31</v>
      </c>
      <c r="D2939" s="0" t="s">
        <v>3671</v>
      </c>
      <c r="E2939" s="0" t="n">
        <v>2.23</v>
      </c>
    </row>
    <row r="2940" customFormat="false" ht="15" hidden="false" customHeight="false" outlineLevel="0" collapsed="false">
      <c r="A2940" s="0" t="n">
        <v>41682</v>
      </c>
      <c r="B2940" s="0" t="s">
        <v>6227</v>
      </c>
      <c r="C2940" s="0" t="s">
        <v>31</v>
      </c>
      <c r="D2940" s="0" t="s">
        <v>3671</v>
      </c>
      <c r="E2940" s="0" t="n">
        <v>36.38</v>
      </c>
    </row>
    <row r="2941" customFormat="false" ht="15" hidden="false" customHeight="false" outlineLevel="0" collapsed="false">
      <c r="A2941" s="0" t="n">
        <v>41683</v>
      </c>
      <c r="B2941" s="0" t="s">
        <v>6228</v>
      </c>
      <c r="C2941" s="0" t="s">
        <v>31</v>
      </c>
      <c r="D2941" s="0" t="s">
        <v>3671</v>
      </c>
      <c r="E2941" s="0" t="n">
        <v>26.77</v>
      </c>
    </row>
    <row r="2942" customFormat="false" ht="15" hidden="false" customHeight="false" outlineLevel="0" collapsed="false">
      <c r="A2942" s="0" t="n">
        <v>41680</v>
      </c>
      <c r="B2942" s="0" t="s">
        <v>6229</v>
      </c>
      <c r="C2942" s="0" t="s">
        <v>31</v>
      </c>
      <c r="D2942" s="0" t="s">
        <v>3671</v>
      </c>
      <c r="E2942" s="0" t="n">
        <v>14.41</v>
      </c>
    </row>
    <row r="2943" customFormat="false" ht="15" hidden="false" customHeight="false" outlineLevel="0" collapsed="false">
      <c r="A2943" s="0" t="n">
        <v>41679</v>
      </c>
      <c r="B2943" s="0" t="s">
        <v>6230</v>
      </c>
      <c r="C2943" s="0" t="s">
        <v>31</v>
      </c>
      <c r="D2943" s="0" t="s">
        <v>3671</v>
      </c>
      <c r="E2943" s="0" t="n">
        <v>32.94</v>
      </c>
    </row>
    <row r="2944" customFormat="false" ht="15" hidden="false" customHeight="false" outlineLevel="0" collapsed="false">
      <c r="A2944" s="0" t="n">
        <v>41681</v>
      </c>
      <c r="B2944" s="0" t="s">
        <v>1956</v>
      </c>
      <c r="C2944" s="0" t="s">
        <v>31</v>
      </c>
      <c r="D2944" s="0" t="s">
        <v>3671</v>
      </c>
      <c r="E2944" s="0" t="n">
        <v>22.54</v>
      </c>
    </row>
    <row r="2945" customFormat="false" ht="15" hidden="false" customHeight="false" outlineLevel="0" collapsed="false">
      <c r="A2945" s="0" t="n">
        <v>43386</v>
      </c>
      <c r="B2945" s="0" t="s">
        <v>6231</v>
      </c>
      <c r="C2945" s="0" t="s">
        <v>31</v>
      </c>
      <c r="D2945" s="0" t="s">
        <v>3671</v>
      </c>
      <c r="E2945" s="0" t="n">
        <v>51.48</v>
      </c>
    </row>
    <row r="2946" customFormat="false" ht="15" hidden="false" customHeight="false" outlineLevel="0" collapsed="false">
      <c r="A2946" s="0" t="n">
        <v>4059</v>
      </c>
      <c r="B2946" s="0" t="s">
        <v>6232</v>
      </c>
      <c r="C2946" s="0" t="s">
        <v>1455</v>
      </c>
      <c r="D2946" s="0" t="s">
        <v>3671</v>
      </c>
      <c r="E2946" s="0" t="n">
        <v>36.38</v>
      </c>
    </row>
    <row r="2947" customFormat="false" ht="15" hidden="false" customHeight="false" outlineLevel="0" collapsed="false">
      <c r="A2947" s="0" t="n">
        <v>4062</v>
      </c>
      <c r="B2947" s="0" t="s">
        <v>6233</v>
      </c>
      <c r="C2947" s="0" t="s">
        <v>31</v>
      </c>
      <c r="D2947" s="0" t="s">
        <v>3671</v>
      </c>
      <c r="E2947" s="0" t="n">
        <v>36.38</v>
      </c>
    </row>
    <row r="2948" customFormat="false" ht="15" hidden="false" customHeight="false" outlineLevel="0" collapsed="false">
      <c r="A2948" s="0" t="n">
        <v>4061</v>
      </c>
      <c r="B2948" s="0" t="s">
        <v>6234</v>
      </c>
      <c r="C2948" s="0" t="s">
        <v>31</v>
      </c>
      <c r="D2948" s="0" t="s">
        <v>3671</v>
      </c>
      <c r="E2948" s="0" t="n">
        <v>45.3</v>
      </c>
    </row>
    <row r="2949" customFormat="false" ht="15" hidden="false" customHeight="false" outlineLevel="0" collapsed="false">
      <c r="A2949" s="0" t="n">
        <v>41315</v>
      </c>
      <c r="B2949" s="0" t="s">
        <v>6235</v>
      </c>
      <c r="C2949" s="0" t="s">
        <v>1513</v>
      </c>
      <c r="D2949" s="0" t="s">
        <v>3671</v>
      </c>
      <c r="E2949" s="0" t="n">
        <v>83.2</v>
      </c>
    </row>
    <row r="2950" customFormat="false" ht="15" hidden="false" customHeight="false" outlineLevel="0" collapsed="false">
      <c r="A2950" s="0" t="n">
        <v>43148</v>
      </c>
      <c r="B2950" s="0" t="s">
        <v>1912</v>
      </c>
      <c r="C2950" s="0" t="s">
        <v>1513</v>
      </c>
      <c r="D2950" s="0" t="s">
        <v>3671</v>
      </c>
      <c r="E2950" s="0" t="n">
        <v>56.48</v>
      </c>
    </row>
    <row r="2951" customFormat="false" ht="15" hidden="false" customHeight="false" outlineLevel="0" collapsed="false">
      <c r="A2951" s="0" t="n">
        <v>43147</v>
      </c>
      <c r="B2951" s="0" t="s">
        <v>6236</v>
      </c>
      <c r="C2951" s="0" t="s">
        <v>1513</v>
      </c>
      <c r="D2951" s="0" t="s">
        <v>3671</v>
      </c>
      <c r="E2951" s="0" t="n">
        <v>21.87</v>
      </c>
    </row>
    <row r="2952" customFormat="false" ht="15" hidden="false" customHeight="false" outlineLevel="0" collapsed="false">
      <c r="A2952" s="0" t="n">
        <v>10608</v>
      </c>
      <c r="B2952" s="0" t="s">
        <v>6237</v>
      </c>
      <c r="C2952" s="0" t="s">
        <v>31</v>
      </c>
      <c r="D2952" s="0" t="s">
        <v>3676</v>
      </c>
    </row>
    <row r="2953" customFormat="false" ht="15" hidden="false" customHeight="false" outlineLevel="0" collapsed="false">
      <c r="A2953" s="0" t="n">
        <v>4069</v>
      </c>
      <c r="B2953" s="0" t="s">
        <v>6238</v>
      </c>
      <c r="C2953" s="0" t="s">
        <v>1444</v>
      </c>
      <c r="D2953" s="0" t="s">
        <v>3671</v>
      </c>
      <c r="E2953" s="0" t="n">
        <v>39.1</v>
      </c>
    </row>
    <row r="2954" customFormat="false" ht="15" hidden="false" customHeight="false" outlineLevel="0" collapsed="false">
      <c r="A2954" s="0" t="n">
        <v>40819</v>
      </c>
      <c r="B2954" s="0" t="s">
        <v>1433</v>
      </c>
      <c r="C2954" s="0" t="s">
        <v>1416</v>
      </c>
      <c r="D2954" s="0" t="s">
        <v>3671</v>
      </c>
      <c r="E2954" s="0" t="n">
        <v>6888.54</v>
      </c>
    </row>
    <row r="2955" customFormat="false" ht="15" hidden="false" customHeight="false" outlineLevel="0" collapsed="false">
      <c r="A2955" s="0" t="n">
        <v>34361</v>
      </c>
      <c r="B2955" s="0" t="s">
        <v>6239</v>
      </c>
      <c r="C2955" s="0" t="s">
        <v>1513</v>
      </c>
      <c r="D2955" s="0" t="s">
        <v>3671</v>
      </c>
      <c r="E2955" s="0" t="n">
        <v>15.92</v>
      </c>
    </row>
    <row r="2956" customFormat="false" ht="15" hidden="false" customHeight="false" outlineLevel="0" collapsed="false">
      <c r="A2956" s="0" t="n">
        <v>36512</v>
      </c>
      <c r="B2956" s="0" t="s">
        <v>6240</v>
      </c>
      <c r="C2956" s="0" t="s">
        <v>31</v>
      </c>
      <c r="D2956" s="0" t="s">
        <v>3671</v>
      </c>
    </row>
    <row r="2957" customFormat="false" ht="15" hidden="false" customHeight="false" outlineLevel="0" collapsed="false">
      <c r="A2957" s="0" t="n">
        <v>44478</v>
      </c>
      <c r="B2957" s="0" t="s">
        <v>6241</v>
      </c>
      <c r="C2957" s="0" t="s">
        <v>1513</v>
      </c>
      <c r="D2957" s="0" t="s">
        <v>3671</v>
      </c>
      <c r="E2957" s="0" t="n">
        <v>10.33</v>
      </c>
    </row>
    <row r="2958" customFormat="false" ht="15" hidden="false" customHeight="false" outlineLevel="0" collapsed="false">
      <c r="A2958" s="0" t="n">
        <v>44477</v>
      </c>
      <c r="B2958" s="0" t="s">
        <v>6242</v>
      </c>
      <c r="C2958" s="0" t="s">
        <v>1513</v>
      </c>
      <c r="D2958" s="0" t="s">
        <v>3671</v>
      </c>
      <c r="E2958" s="0" t="n">
        <v>10.33</v>
      </c>
    </row>
    <row r="2959" customFormat="false" ht="15" hidden="false" customHeight="false" outlineLevel="0" collapsed="false">
      <c r="A2959" s="0" t="n">
        <v>11697</v>
      </c>
      <c r="B2959" s="0" t="s">
        <v>6243</v>
      </c>
      <c r="C2959" s="0" t="s">
        <v>31</v>
      </c>
      <c r="D2959" s="0" t="s">
        <v>3671</v>
      </c>
      <c r="E2959" s="0" t="n">
        <v>671.64</v>
      </c>
    </row>
    <row r="2960" customFormat="false" ht="15" hidden="false" customHeight="false" outlineLevel="0" collapsed="false">
      <c r="A2960" s="0" t="n">
        <v>11698</v>
      </c>
      <c r="B2960" s="0" t="s">
        <v>6244</v>
      </c>
      <c r="C2960" s="0" t="s">
        <v>31</v>
      </c>
      <c r="D2960" s="0" t="s">
        <v>3671</v>
      </c>
      <c r="E2960" s="0" t="n">
        <v>801.23</v>
      </c>
    </row>
    <row r="2961" customFormat="false" ht="15" hidden="false" customHeight="false" outlineLevel="0" collapsed="false">
      <c r="A2961" s="0" t="n">
        <v>11699</v>
      </c>
      <c r="B2961" s="0" t="s">
        <v>6245</v>
      </c>
      <c r="C2961" s="0" t="s">
        <v>31</v>
      </c>
      <c r="D2961" s="0" t="s">
        <v>3671</v>
      </c>
      <c r="E2961" s="0" t="n">
        <v>885.54</v>
      </c>
    </row>
    <row r="2962" customFormat="false" ht="15" hidden="false" customHeight="false" outlineLevel="0" collapsed="false">
      <c r="A2962" s="0" t="n">
        <v>10432</v>
      </c>
      <c r="B2962" s="0" t="s">
        <v>2026</v>
      </c>
      <c r="C2962" s="0" t="s">
        <v>31</v>
      </c>
      <c r="D2962" s="0" t="s">
        <v>3671</v>
      </c>
      <c r="E2962" s="0" t="n">
        <v>352.39</v>
      </c>
    </row>
    <row r="2963" customFormat="false" ht="15" hidden="false" customHeight="false" outlineLevel="0" collapsed="false">
      <c r="A2963" s="0" t="n">
        <v>44020</v>
      </c>
      <c r="B2963" s="0" t="s">
        <v>6246</v>
      </c>
      <c r="C2963" s="0" t="s">
        <v>31</v>
      </c>
      <c r="D2963" s="0" t="s">
        <v>3671</v>
      </c>
      <c r="E2963" s="0" t="n">
        <v>869.39</v>
      </c>
    </row>
    <row r="2964" customFormat="false" ht="15" hidden="false" customHeight="false" outlineLevel="0" collapsed="false">
      <c r="A2964" s="0" t="n">
        <v>41419</v>
      </c>
      <c r="B2964" s="0" t="s">
        <v>6247</v>
      </c>
      <c r="C2964" s="0" t="s">
        <v>31</v>
      </c>
      <c r="D2964" s="0" t="s">
        <v>3671</v>
      </c>
      <c r="E2964" s="0" t="n">
        <v>8.26</v>
      </c>
    </row>
    <row r="2965" customFormat="false" ht="15" hidden="false" customHeight="false" outlineLevel="0" collapsed="false">
      <c r="A2965" s="0" t="n">
        <v>41420</v>
      </c>
      <c r="B2965" s="0" t="s">
        <v>6248</v>
      </c>
      <c r="C2965" s="0" t="s">
        <v>31</v>
      </c>
      <c r="D2965" s="0" t="s">
        <v>3671</v>
      </c>
      <c r="E2965" s="0" t="n">
        <v>11.24</v>
      </c>
    </row>
    <row r="2966" customFormat="false" ht="15" hidden="false" customHeight="false" outlineLevel="0" collapsed="false">
      <c r="A2966" s="0" t="n">
        <v>41421</v>
      </c>
      <c r="B2966" s="0" t="s">
        <v>6249</v>
      </c>
      <c r="C2966" s="0" t="s">
        <v>31</v>
      </c>
      <c r="D2966" s="0" t="s">
        <v>3671</v>
      </c>
      <c r="E2966" s="0" t="n">
        <v>11.21</v>
      </c>
    </row>
    <row r="2967" customFormat="false" ht="15" hidden="false" customHeight="false" outlineLevel="0" collapsed="false">
      <c r="A2967" s="0" t="n">
        <v>41422</v>
      </c>
      <c r="B2967" s="0" t="s">
        <v>6250</v>
      </c>
      <c r="C2967" s="0" t="s">
        <v>31</v>
      </c>
      <c r="D2967" s="0" t="s">
        <v>3671</v>
      </c>
      <c r="E2967" s="0" t="n">
        <v>15.35</v>
      </c>
    </row>
    <row r="2968" customFormat="false" ht="15" hidden="false" customHeight="false" outlineLevel="0" collapsed="false">
      <c r="A2968" s="0" t="n">
        <v>41425</v>
      </c>
      <c r="B2968" s="0" t="s">
        <v>6251</v>
      </c>
      <c r="C2968" s="0" t="s">
        <v>31</v>
      </c>
      <c r="D2968" s="0" t="s">
        <v>3671</v>
      </c>
      <c r="E2968" s="0" t="n">
        <v>7.85</v>
      </c>
    </row>
    <row r="2969" customFormat="false" ht="15" hidden="false" customHeight="false" outlineLevel="0" collapsed="false">
      <c r="A2969" s="0" t="n">
        <v>41426</v>
      </c>
      <c r="B2969" s="0" t="s">
        <v>2604</v>
      </c>
      <c r="C2969" s="0" t="s">
        <v>31</v>
      </c>
      <c r="D2969" s="0" t="s">
        <v>3671</v>
      </c>
      <c r="E2969" s="0" t="n">
        <v>14.16</v>
      </c>
    </row>
    <row r="2970" customFormat="false" ht="15" hidden="false" customHeight="false" outlineLevel="0" collapsed="false">
      <c r="A2970" s="0" t="n">
        <v>41414</v>
      </c>
      <c r="B2970" s="0" t="s">
        <v>6252</v>
      </c>
      <c r="C2970" s="0" t="s">
        <v>31</v>
      </c>
      <c r="D2970" s="0" t="s">
        <v>3671</v>
      </c>
      <c r="E2970" s="0" t="n">
        <v>25.99</v>
      </c>
    </row>
    <row r="2971" customFormat="false" ht="15" hidden="false" customHeight="false" outlineLevel="0" collapsed="false">
      <c r="A2971" s="0" t="n">
        <v>41415</v>
      </c>
      <c r="B2971" s="0" t="s">
        <v>6253</v>
      </c>
      <c r="C2971" s="0" t="s">
        <v>31</v>
      </c>
      <c r="D2971" s="0" t="s">
        <v>3671</v>
      </c>
      <c r="E2971" s="0" t="n">
        <v>30.27</v>
      </c>
    </row>
    <row r="2972" customFormat="false" ht="15" hidden="false" customHeight="false" outlineLevel="0" collapsed="false">
      <c r="A2972" s="0" t="n">
        <v>37514</v>
      </c>
      <c r="B2972" s="0" t="s">
        <v>1724</v>
      </c>
      <c r="C2972" s="0" t="s">
        <v>31</v>
      </c>
      <c r="D2972" s="0" t="s">
        <v>3676</v>
      </c>
    </row>
    <row r="2973" customFormat="false" ht="15" hidden="false" customHeight="false" outlineLevel="0" collapsed="false">
      <c r="A2973" s="0" t="n">
        <v>37519</v>
      </c>
      <c r="B2973" s="0" t="s">
        <v>6254</v>
      </c>
      <c r="C2973" s="0" t="s">
        <v>31</v>
      </c>
      <c r="D2973" s="0" t="s">
        <v>3671</v>
      </c>
    </row>
    <row r="2974" customFormat="false" ht="15" hidden="false" customHeight="false" outlineLevel="0" collapsed="false">
      <c r="A2974" s="0" t="n">
        <v>37520</v>
      </c>
      <c r="B2974" s="0" t="s">
        <v>1649</v>
      </c>
      <c r="C2974" s="0" t="s">
        <v>31</v>
      </c>
      <c r="D2974" s="0" t="s">
        <v>3671</v>
      </c>
    </row>
    <row r="2975" customFormat="false" ht="15" hidden="false" customHeight="false" outlineLevel="0" collapsed="false">
      <c r="A2975" s="0" t="n">
        <v>37521</v>
      </c>
      <c r="B2975" s="0" t="s">
        <v>6255</v>
      </c>
      <c r="C2975" s="0" t="s">
        <v>31</v>
      </c>
      <c r="D2975" s="0" t="s">
        <v>3671</v>
      </c>
    </row>
    <row r="2976" customFormat="false" ht="15" hidden="false" customHeight="false" outlineLevel="0" collapsed="false">
      <c r="A2976" s="0" t="n">
        <v>37522</v>
      </c>
      <c r="B2976" s="0" t="s">
        <v>6256</v>
      </c>
      <c r="C2976" s="0" t="s">
        <v>31</v>
      </c>
      <c r="D2976" s="0" t="s">
        <v>3671</v>
      </c>
    </row>
    <row r="2977" customFormat="false" ht="15" hidden="false" customHeight="false" outlineLevel="0" collapsed="false">
      <c r="A2977" s="0" t="n">
        <v>37546</v>
      </c>
      <c r="B2977" s="0" t="s">
        <v>6257</v>
      </c>
      <c r="C2977" s="0" t="s">
        <v>31</v>
      </c>
      <c r="D2977" s="0" t="s">
        <v>3671</v>
      </c>
      <c r="E2977" s="0" t="n">
        <v>11775.55</v>
      </c>
    </row>
    <row r="2978" customFormat="false" ht="15" hidden="false" customHeight="false" outlineLevel="0" collapsed="false">
      <c r="A2978" s="0" t="n">
        <v>37544</v>
      </c>
      <c r="B2978" s="0" t="s">
        <v>6258</v>
      </c>
      <c r="C2978" s="0" t="s">
        <v>31</v>
      </c>
      <c r="D2978" s="0" t="s">
        <v>3671</v>
      </c>
      <c r="E2978" s="0" t="n">
        <v>12454.63</v>
      </c>
    </row>
    <row r="2979" customFormat="false" ht="15" hidden="false" customHeight="false" outlineLevel="0" collapsed="false">
      <c r="A2979" s="0" t="n">
        <v>37545</v>
      </c>
      <c r="B2979" s="0" t="s">
        <v>6259</v>
      </c>
      <c r="C2979" s="0" t="s">
        <v>31</v>
      </c>
      <c r="D2979" s="0" t="s">
        <v>3671</v>
      </c>
      <c r="E2979" s="0" t="n">
        <v>14819.33</v>
      </c>
    </row>
    <row r="2980" customFormat="false" ht="15" hidden="false" customHeight="false" outlineLevel="0" collapsed="false">
      <c r="A2980" s="0" t="n">
        <v>36793</v>
      </c>
      <c r="B2980" s="0" t="s">
        <v>6260</v>
      </c>
      <c r="C2980" s="0" t="s">
        <v>31</v>
      </c>
      <c r="D2980" s="0" t="s">
        <v>3671</v>
      </c>
      <c r="E2980" s="0" t="n">
        <v>1019.31</v>
      </c>
    </row>
    <row r="2981" customFormat="false" ht="15" hidden="false" customHeight="false" outlineLevel="0" collapsed="false">
      <c r="A2981" s="0" t="n">
        <v>11769</v>
      </c>
      <c r="B2981" s="0" t="s">
        <v>6261</v>
      </c>
      <c r="C2981" s="0" t="s">
        <v>31</v>
      </c>
      <c r="D2981" s="0" t="s">
        <v>3671</v>
      </c>
      <c r="E2981" s="0" t="n">
        <v>450.46</v>
      </c>
    </row>
    <row r="2982" customFormat="false" ht="15" hidden="false" customHeight="false" outlineLevel="0" collapsed="false">
      <c r="A2982" s="0" t="n">
        <v>11771</v>
      </c>
      <c r="B2982" s="0" t="s">
        <v>6262</v>
      </c>
      <c r="C2982" s="0" t="s">
        <v>31</v>
      </c>
      <c r="D2982" s="0" t="s">
        <v>3671</v>
      </c>
      <c r="E2982" s="0" t="n">
        <v>551.75</v>
      </c>
    </row>
    <row r="2983" customFormat="false" ht="15" hidden="false" customHeight="false" outlineLevel="0" collapsed="false">
      <c r="A2983" s="0" t="n">
        <v>39919</v>
      </c>
      <c r="B2983" s="0" t="s">
        <v>6263</v>
      </c>
      <c r="C2983" s="0" t="s">
        <v>31</v>
      </c>
      <c r="D2983" s="0" t="s">
        <v>3671</v>
      </c>
      <c r="E2983" s="0" t="n">
        <v>58943.16</v>
      </c>
    </row>
    <row r="2984" customFormat="false" ht="15" hidden="false" customHeight="false" outlineLevel="0" collapsed="false">
      <c r="A2984" s="0" t="n">
        <v>38385</v>
      </c>
      <c r="B2984" s="0" t="s">
        <v>6264</v>
      </c>
      <c r="C2984" s="0" t="s">
        <v>31</v>
      </c>
      <c r="D2984" s="0" t="s">
        <v>3671</v>
      </c>
      <c r="E2984" s="0" t="n">
        <v>52.42</v>
      </c>
    </row>
    <row r="2985" customFormat="false" ht="15" hidden="false" customHeight="false" outlineLevel="0" collapsed="false">
      <c r="A2985" s="0" t="n">
        <v>36800</v>
      </c>
      <c r="B2985" s="0" t="s">
        <v>6265</v>
      </c>
      <c r="C2985" s="0" t="s">
        <v>31</v>
      </c>
      <c r="D2985" s="0" t="s">
        <v>3671</v>
      </c>
      <c r="E2985" s="0" t="n">
        <v>270.67</v>
      </c>
    </row>
    <row r="2986" customFormat="false" ht="15" hidden="false" customHeight="false" outlineLevel="0" collapsed="false">
      <c r="A2986" s="0" t="n">
        <v>37587</v>
      </c>
      <c r="B2986" s="0" t="s">
        <v>6266</v>
      </c>
      <c r="C2986" s="0" t="s">
        <v>31</v>
      </c>
      <c r="D2986" s="0" t="s">
        <v>3671</v>
      </c>
      <c r="E2986" s="0" t="n">
        <v>594.66</v>
      </c>
    </row>
    <row r="2987" customFormat="false" ht="15" hidden="false" customHeight="false" outlineLevel="0" collapsed="false">
      <c r="A2987" s="0" t="n">
        <v>11561</v>
      </c>
      <c r="B2987" s="0" t="s">
        <v>6267</v>
      </c>
      <c r="C2987" s="0" t="s">
        <v>31</v>
      </c>
      <c r="D2987" s="0" t="s">
        <v>3671</v>
      </c>
      <c r="E2987" s="0" t="n">
        <v>266.91</v>
      </c>
    </row>
    <row r="2988" customFormat="false" ht="15" hidden="false" customHeight="false" outlineLevel="0" collapsed="false">
      <c r="A2988" s="0" t="n">
        <v>43604</v>
      </c>
      <c r="B2988" s="0" t="s">
        <v>6268</v>
      </c>
      <c r="C2988" s="0" t="s">
        <v>31</v>
      </c>
      <c r="D2988" s="0" t="s">
        <v>3671</v>
      </c>
      <c r="E2988" s="0" t="n">
        <v>142.29</v>
      </c>
    </row>
    <row r="2989" customFormat="false" ht="15" hidden="false" customHeight="false" outlineLevel="0" collapsed="false">
      <c r="A2989" s="0" t="n">
        <v>11560</v>
      </c>
      <c r="B2989" s="0" t="s">
        <v>6269</v>
      </c>
      <c r="C2989" s="0" t="s">
        <v>31</v>
      </c>
      <c r="D2989" s="0" t="s">
        <v>3671</v>
      </c>
      <c r="E2989" s="0" t="n">
        <v>206.01</v>
      </c>
    </row>
    <row r="2990" customFormat="false" ht="15" hidden="false" customHeight="false" outlineLevel="0" collapsed="false">
      <c r="A2990" s="0" t="n">
        <v>11499</v>
      </c>
      <c r="B2990" s="0" t="s">
        <v>6270</v>
      </c>
      <c r="C2990" s="0" t="s">
        <v>31</v>
      </c>
      <c r="D2990" s="0" t="s">
        <v>3671</v>
      </c>
      <c r="E2990" s="0" t="n">
        <v>1073.8</v>
      </c>
    </row>
    <row r="2991" customFormat="false" ht="15" hidden="false" customHeight="false" outlineLevel="0" collapsed="false">
      <c r="A2991" s="0" t="n">
        <v>34761</v>
      </c>
      <c r="B2991" s="0" t="s">
        <v>2529</v>
      </c>
      <c r="C2991" s="0" t="s">
        <v>1444</v>
      </c>
      <c r="D2991" s="0" t="s">
        <v>3671</v>
      </c>
      <c r="E2991" s="0" t="n">
        <v>17.12</v>
      </c>
    </row>
    <row r="2992" customFormat="false" ht="15" hidden="false" customHeight="false" outlineLevel="0" collapsed="false">
      <c r="A2992" s="0" t="n">
        <v>40924</v>
      </c>
      <c r="B2992" s="0" t="s">
        <v>6271</v>
      </c>
      <c r="C2992" s="0" t="s">
        <v>1416</v>
      </c>
      <c r="D2992" s="0" t="s">
        <v>3671</v>
      </c>
      <c r="E2992" s="0" t="n">
        <v>3016.39</v>
      </c>
    </row>
    <row r="2993" customFormat="false" ht="15" hidden="false" customHeight="false" outlineLevel="0" collapsed="false">
      <c r="A2993" s="0" t="n">
        <v>40983</v>
      </c>
      <c r="B2993" s="0" t="s">
        <v>6272</v>
      </c>
      <c r="C2993" s="0" t="s">
        <v>1416</v>
      </c>
      <c r="D2993" s="0" t="s">
        <v>3671</v>
      </c>
      <c r="E2993" s="0" t="n">
        <v>2554.58</v>
      </c>
    </row>
    <row r="2994" customFormat="false" ht="15" hidden="false" customHeight="false" outlineLevel="0" collapsed="false">
      <c r="A2994" s="0" t="n">
        <v>44497</v>
      </c>
      <c r="B2994" s="0" t="s">
        <v>1739</v>
      </c>
      <c r="C2994" s="0" t="s">
        <v>1444</v>
      </c>
      <c r="D2994" s="0" t="s">
        <v>3671</v>
      </c>
      <c r="E2994" s="0" t="n">
        <v>14.49</v>
      </c>
    </row>
    <row r="2995" customFormat="false" ht="15" hidden="false" customHeight="false" outlineLevel="0" collapsed="false">
      <c r="A2995" s="0" t="n">
        <v>2437</v>
      </c>
      <c r="B2995" s="0" t="s">
        <v>2873</v>
      </c>
      <c r="C2995" s="0" t="s">
        <v>1444</v>
      </c>
      <c r="D2995" s="0" t="s">
        <v>3671</v>
      </c>
      <c r="E2995" s="0" t="n">
        <v>13.29</v>
      </c>
    </row>
    <row r="2996" customFormat="false" ht="15" hidden="false" customHeight="false" outlineLevel="0" collapsed="false">
      <c r="A2996" s="0" t="n">
        <v>40921</v>
      </c>
      <c r="B2996" s="0" t="s">
        <v>6273</v>
      </c>
      <c r="C2996" s="0" t="s">
        <v>1416</v>
      </c>
      <c r="D2996" s="0" t="s">
        <v>3671</v>
      </c>
      <c r="E2996" s="0" t="n">
        <v>2342.85</v>
      </c>
    </row>
    <row r="2997" customFormat="false" ht="15" hidden="false" customHeight="false" outlineLevel="0" collapsed="false">
      <c r="A2997" s="0" t="n">
        <v>14252</v>
      </c>
      <c r="B2997" s="0" t="s">
        <v>6274</v>
      </c>
      <c r="C2997" s="0" t="s">
        <v>31</v>
      </c>
      <c r="D2997" s="0" t="s">
        <v>3671</v>
      </c>
      <c r="E2997" s="0" t="n">
        <v>2564.44</v>
      </c>
    </row>
    <row r="2998" customFormat="false" ht="15" hidden="false" customHeight="false" outlineLevel="0" collapsed="false">
      <c r="A2998" s="0" t="n">
        <v>730</v>
      </c>
      <c r="B2998" s="0" t="s">
        <v>6275</v>
      </c>
      <c r="C2998" s="0" t="s">
        <v>31</v>
      </c>
      <c r="D2998" s="0" t="s">
        <v>3671</v>
      </c>
      <c r="E2998" s="0" t="n">
        <v>6851.7</v>
      </c>
    </row>
    <row r="2999" customFormat="false" ht="15" hidden="false" customHeight="false" outlineLevel="0" collapsed="false">
      <c r="A2999" s="0" t="n">
        <v>723</v>
      </c>
      <c r="B2999" s="0" t="s">
        <v>6276</v>
      </c>
      <c r="C2999" s="0" t="s">
        <v>31</v>
      </c>
      <c r="D2999" s="0" t="s">
        <v>3671</v>
      </c>
      <c r="E2999" s="0" t="n">
        <v>3405.54</v>
      </c>
    </row>
    <row r="3000" customFormat="false" ht="15" hidden="false" customHeight="false" outlineLevel="0" collapsed="false">
      <c r="A3000" s="0" t="n">
        <v>36502</v>
      </c>
      <c r="B3000" s="0" t="s">
        <v>6277</v>
      </c>
      <c r="C3000" s="0" t="s">
        <v>31</v>
      </c>
      <c r="D3000" s="0" t="s">
        <v>3671</v>
      </c>
      <c r="E3000" s="0" t="n">
        <v>3200.8</v>
      </c>
    </row>
    <row r="3001" customFormat="false" ht="15" hidden="false" customHeight="false" outlineLevel="0" collapsed="false">
      <c r="A3001" s="0" t="n">
        <v>36503</v>
      </c>
      <c r="B3001" s="0" t="s">
        <v>6278</v>
      </c>
      <c r="C3001" s="0" t="s">
        <v>31</v>
      </c>
      <c r="D3001" s="0" t="s">
        <v>3671</v>
      </c>
      <c r="E3001" s="0" t="n">
        <v>3946.96</v>
      </c>
    </row>
    <row r="3002" customFormat="false" ht="15" hidden="false" customHeight="false" outlineLevel="0" collapsed="false">
      <c r="A3002" s="0" t="n">
        <v>4090</v>
      </c>
      <c r="B3002" s="0" t="s">
        <v>1499</v>
      </c>
      <c r="C3002" s="0" t="s">
        <v>31</v>
      </c>
      <c r="D3002" s="0" t="s">
        <v>3676</v>
      </c>
    </row>
    <row r="3003" customFormat="false" ht="15" hidden="false" customHeight="false" outlineLevel="0" collapsed="false">
      <c r="A3003" s="0" t="n">
        <v>13227</v>
      </c>
      <c r="B3003" s="0" t="s">
        <v>6279</v>
      </c>
      <c r="C3003" s="0" t="s">
        <v>31</v>
      </c>
      <c r="D3003" s="0" t="s">
        <v>3671</v>
      </c>
    </row>
    <row r="3004" customFormat="false" ht="15" hidden="false" customHeight="false" outlineLevel="0" collapsed="false">
      <c r="A3004" s="0" t="n">
        <v>10597</v>
      </c>
      <c r="B3004" s="0" t="s">
        <v>6280</v>
      </c>
      <c r="C3004" s="0" t="s">
        <v>31</v>
      </c>
      <c r="D3004" s="0" t="s">
        <v>3671</v>
      </c>
    </row>
    <row r="3005" customFormat="false" ht="15" hidden="false" customHeight="false" outlineLevel="0" collapsed="false">
      <c r="A3005" s="0" t="n">
        <v>39628</v>
      </c>
      <c r="B3005" s="0" t="s">
        <v>6281</v>
      </c>
      <c r="C3005" s="0" t="s">
        <v>31</v>
      </c>
      <c r="D3005" s="0" t="s">
        <v>3671</v>
      </c>
    </row>
    <row r="3006" customFormat="false" ht="15" hidden="false" customHeight="false" outlineLevel="0" collapsed="false">
      <c r="A3006" s="0" t="n">
        <v>39404</v>
      </c>
      <c r="B3006" s="0" t="s">
        <v>6282</v>
      </c>
      <c r="C3006" s="0" t="s">
        <v>31</v>
      </c>
      <c r="D3006" s="0" t="s">
        <v>3671</v>
      </c>
    </row>
    <row r="3007" customFormat="false" ht="15" hidden="false" customHeight="false" outlineLevel="0" collapsed="false">
      <c r="A3007" s="0" t="n">
        <v>39402</v>
      </c>
      <c r="B3007" s="0" t="s">
        <v>6283</v>
      </c>
      <c r="C3007" s="0" t="s">
        <v>31</v>
      </c>
      <c r="D3007" s="0" t="s">
        <v>3671</v>
      </c>
    </row>
    <row r="3008" customFormat="false" ht="15" hidden="false" customHeight="false" outlineLevel="0" collapsed="false">
      <c r="A3008" s="0" t="n">
        <v>39403</v>
      </c>
      <c r="B3008" s="0" t="s">
        <v>6284</v>
      </c>
      <c r="C3008" s="0" t="s">
        <v>31</v>
      </c>
      <c r="D3008" s="0" t="s">
        <v>3671</v>
      </c>
    </row>
    <row r="3009" customFormat="false" ht="15" hidden="false" customHeight="false" outlineLevel="0" collapsed="false">
      <c r="A3009" s="0" t="n">
        <v>4093</v>
      </c>
      <c r="B3009" s="0" t="s">
        <v>1502</v>
      </c>
      <c r="C3009" s="0" t="s">
        <v>1444</v>
      </c>
      <c r="D3009" s="0" t="s">
        <v>3676</v>
      </c>
      <c r="E3009" s="0" t="n">
        <v>23.28</v>
      </c>
    </row>
    <row r="3010" customFormat="false" ht="15" hidden="false" customHeight="false" outlineLevel="0" collapsed="false">
      <c r="A3010" s="0" t="n">
        <v>10512</v>
      </c>
      <c r="B3010" s="0" t="s">
        <v>6285</v>
      </c>
      <c r="C3010" s="0" t="s">
        <v>1416</v>
      </c>
      <c r="D3010" s="0" t="s">
        <v>3671</v>
      </c>
      <c r="E3010" s="0" t="n">
        <v>4100.72</v>
      </c>
    </row>
    <row r="3011" customFormat="false" ht="15" hidden="false" customHeight="false" outlineLevel="0" collapsed="false">
      <c r="A3011" s="0" t="n">
        <v>4243</v>
      </c>
      <c r="B3011" s="0" t="s">
        <v>6286</v>
      </c>
      <c r="C3011" s="0" t="s">
        <v>1444</v>
      </c>
      <c r="D3011" s="0" t="s">
        <v>3671</v>
      </c>
      <c r="E3011" s="0" t="n">
        <v>12.94</v>
      </c>
    </row>
    <row r="3012" customFormat="false" ht="15" hidden="false" customHeight="false" outlineLevel="0" collapsed="false">
      <c r="A3012" s="0" t="n">
        <v>20020</v>
      </c>
      <c r="B3012" s="0" t="s">
        <v>1474</v>
      </c>
      <c r="C3012" s="0" t="s">
        <v>1444</v>
      </c>
      <c r="D3012" s="0" t="s">
        <v>3671</v>
      </c>
      <c r="E3012" s="0" t="n">
        <v>24.19</v>
      </c>
    </row>
    <row r="3013" customFormat="false" ht="15" hidden="false" customHeight="false" outlineLevel="0" collapsed="false">
      <c r="A3013" s="0" t="n">
        <v>41038</v>
      </c>
      <c r="B3013" s="0" t="s">
        <v>6287</v>
      </c>
      <c r="C3013" s="0" t="s">
        <v>1416</v>
      </c>
      <c r="D3013" s="0" t="s">
        <v>3671</v>
      </c>
      <c r="E3013" s="0" t="n">
        <v>4261.49</v>
      </c>
    </row>
    <row r="3014" customFormat="false" ht="15" hidden="false" customHeight="false" outlineLevel="0" collapsed="false">
      <c r="A3014" s="0" t="n">
        <v>4094</v>
      </c>
      <c r="B3014" s="0" t="s">
        <v>6288</v>
      </c>
      <c r="C3014" s="0" t="s">
        <v>1444</v>
      </c>
      <c r="D3014" s="0" t="s">
        <v>3671</v>
      </c>
      <c r="E3014" s="0" t="n">
        <v>28.96</v>
      </c>
    </row>
    <row r="3015" customFormat="false" ht="15" hidden="false" customHeight="false" outlineLevel="0" collapsed="false">
      <c r="A3015" s="0" t="n">
        <v>40988</v>
      </c>
      <c r="B3015" s="0" t="s">
        <v>6289</v>
      </c>
      <c r="C3015" s="0" t="s">
        <v>1416</v>
      </c>
      <c r="D3015" s="0" t="s">
        <v>3671</v>
      </c>
      <c r="E3015" s="0" t="n">
        <v>5100.58</v>
      </c>
    </row>
    <row r="3016" customFormat="false" ht="15" hidden="false" customHeight="false" outlineLevel="0" collapsed="false">
      <c r="A3016" s="0" t="n">
        <v>4095</v>
      </c>
      <c r="B3016" s="0" t="s">
        <v>6290</v>
      </c>
      <c r="C3016" s="0" t="s">
        <v>1444</v>
      </c>
      <c r="D3016" s="0" t="s">
        <v>3671</v>
      </c>
      <c r="E3016" s="0" t="n">
        <v>19.38</v>
      </c>
    </row>
    <row r="3017" customFormat="false" ht="15" hidden="false" customHeight="false" outlineLevel="0" collapsed="false">
      <c r="A3017" s="0" t="n">
        <v>40990</v>
      </c>
      <c r="B3017" s="0" t="s">
        <v>6291</v>
      </c>
      <c r="C3017" s="0" t="s">
        <v>1416</v>
      </c>
      <c r="D3017" s="0" t="s">
        <v>3671</v>
      </c>
      <c r="E3017" s="0" t="n">
        <v>3415.79</v>
      </c>
    </row>
    <row r="3018" customFormat="false" ht="15" hidden="false" customHeight="false" outlineLevel="0" collapsed="false">
      <c r="A3018" s="0" t="n">
        <v>4096</v>
      </c>
      <c r="B3018" s="0" t="s">
        <v>2892</v>
      </c>
      <c r="C3018" s="0" t="s">
        <v>1444</v>
      </c>
      <c r="D3018" s="0" t="s">
        <v>3671</v>
      </c>
      <c r="E3018" s="0" t="n">
        <v>25.39</v>
      </c>
    </row>
    <row r="3019" customFormat="false" ht="15" hidden="false" customHeight="false" outlineLevel="0" collapsed="false">
      <c r="A3019" s="0" t="n">
        <v>40992</v>
      </c>
      <c r="B3019" s="0" t="s">
        <v>6292</v>
      </c>
      <c r="C3019" s="0" t="s">
        <v>1416</v>
      </c>
      <c r="D3019" s="0" t="s">
        <v>3671</v>
      </c>
      <c r="E3019" s="0" t="n">
        <v>4472.21</v>
      </c>
    </row>
    <row r="3020" customFormat="false" ht="15" hidden="false" customHeight="false" outlineLevel="0" collapsed="false">
      <c r="A3020" s="0" t="n">
        <v>4114</v>
      </c>
      <c r="B3020" s="0" t="s">
        <v>6293</v>
      </c>
      <c r="C3020" s="0" t="s">
        <v>31</v>
      </c>
      <c r="D3020" s="0" t="s">
        <v>3671</v>
      </c>
      <c r="E3020" s="0" t="n">
        <v>83.4</v>
      </c>
    </row>
    <row r="3021" customFormat="false" ht="15" hidden="false" customHeight="false" outlineLevel="0" collapsed="false">
      <c r="A3021" s="0" t="n">
        <v>36797</v>
      </c>
      <c r="B3021" s="0" t="s">
        <v>6294</v>
      </c>
      <c r="C3021" s="0" t="s">
        <v>31</v>
      </c>
      <c r="D3021" s="0" t="s">
        <v>3671</v>
      </c>
      <c r="E3021" s="0" t="n">
        <v>74.25</v>
      </c>
    </row>
    <row r="3022" customFormat="false" ht="15" hidden="false" customHeight="false" outlineLevel="0" collapsed="false">
      <c r="A3022" s="0" t="n">
        <v>4107</v>
      </c>
      <c r="B3022" s="0" t="s">
        <v>1806</v>
      </c>
      <c r="C3022" s="0" t="s">
        <v>31</v>
      </c>
      <c r="D3022" s="0" t="s">
        <v>3671</v>
      </c>
      <c r="E3022" s="0" t="n">
        <v>70.01</v>
      </c>
    </row>
    <row r="3023" customFormat="false" ht="15" hidden="false" customHeight="false" outlineLevel="0" collapsed="false">
      <c r="A3023" s="0" t="n">
        <v>4102</v>
      </c>
      <c r="B3023" s="0" t="s">
        <v>6295</v>
      </c>
      <c r="C3023" s="0" t="s">
        <v>31</v>
      </c>
      <c r="D3023" s="0" t="s">
        <v>3676</v>
      </c>
      <c r="E3023" s="0" t="n">
        <v>85.46</v>
      </c>
    </row>
    <row r="3024" customFormat="false" ht="15" hidden="false" customHeight="false" outlineLevel="0" collapsed="false">
      <c r="A3024" s="0" t="n">
        <v>36799</v>
      </c>
      <c r="B3024" s="0" t="s">
        <v>6296</v>
      </c>
      <c r="C3024" s="0" t="s">
        <v>31</v>
      </c>
      <c r="D3024" s="0" t="s">
        <v>3671</v>
      </c>
      <c r="E3024" s="0" t="n">
        <v>72.07</v>
      </c>
    </row>
    <row r="3025" customFormat="false" ht="15" hidden="false" customHeight="false" outlineLevel="0" collapsed="false">
      <c r="A3025" s="0" t="n">
        <v>2747</v>
      </c>
      <c r="B3025" s="0" t="s">
        <v>6297</v>
      </c>
      <c r="C3025" s="0" t="s">
        <v>1455</v>
      </c>
      <c r="D3025" s="0" t="s">
        <v>3671</v>
      </c>
      <c r="E3025" s="0" t="n">
        <v>35.14</v>
      </c>
    </row>
    <row r="3026" customFormat="false" ht="15" hidden="false" customHeight="false" outlineLevel="0" collapsed="false">
      <c r="A3026" s="0" t="n">
        <v>21138</v>
      </c>
      <c r="B3026" s="0" t="s">
        <v>6298</v>
      </c>
      <c r="C3026" s="0" t="s">
        <v>1455</v>
      </c>
      <c r="D3026" s="0" t="s">
        <v>3676</v>
      </c>
      <c r="E3026" s="0" t="n">
        <v>11.14</v>
      </c>
    </row>
    <row r="3027" customFormat="false" ht="15" hidden="false" customHeight="false" outlineLevel="0" collapsed="false">
      <c r="A3027" s="0" t="n">
        <v>10826</v>
      </c>
      <c r="B3027" s="0" t="s">
        <v>6299</v>
      </c>
      <c r="C3027" s="0" t="s">
        <v>31</v>
      </c>
      <c r="D3027" s="0" t="s">
        <v>3671</v>
      </c>
      <c r="E3027" s="0" t="n">
        <v>86.2</v>
      </c>
    </row>
    <row r="3028" customFormat="false" ht="15" hidden="false" customHeight="false" outlineLevel="0" collapsed="false">
      <c r="A3028" s="0" t="n">
        <v>365</v>
      </c>
      <c r="B3028" s="0" t="s">
        <v>6300</v>
      </c>
      <c r="C3028" s="0" t="s">
        <v>31</v>
      </c>
      <c r="D3028" s="0" t="s">
        <v>3671</v>
      </c>
      <c r="E3028" s="0" t="n">
        <v>53.44</v>
      </c>
    </row>
    <row r="3029" customFormat="false" ht="15" hidden="false" customHeight="false" outlineLevel="0" collapsed="false">
      <c r="A3029" s="0" t="n">
        <v>38639</v>
      </c>
      <c r="B3029" s="0" t="s">
        <v>6301</v>
      </c>
      <c r="C3029" s="0" t="s">
        <v>31</v>
      </c>
      <c r="D3029" s="0" t="s">
        <v>3671</v>
      </c>
      <c r="E3029" s="0" t="n">
        <v>206.89</v>
      </c>
    </row>
    <row r="3030" customFormat="false" ht="15" hidden="false" customHeight="false" outlineLevel="0" collapsed="false">
      <c r="A3030" s="0" t="n">
        <v>38640</v>
      </c>
      <c r="B3030" s="0" t="s">
        <v>6302</v>
      </c>
      <c r="C3030" s="0" t="s">
        <v>31</v>
      </c>
      <c r="D3030" s="0" t="s">
        <v>3671</v>
      </c>
      <c r="E3030" s="0" t="n">
        <v>3.1</v>
      </c>
    </row>
    <row r="3031" customFormat="false" ht="15" hidden="false" customHeight="false" outlineLevel="0" collapsed="false">
      <c r="A3031" s="0" t="n">
        <v>358</v>
      </c>
      <c r="B3031" s="0" t="s">
        <v>6303</v>
      </c>
      <c r="C3031" s="0" t="s">
        <v>31</v>
      </c>
      <c r="D3031" s="0" t="s">
        <v>3671</v>
      </c>
      <c r="E3031" s="0" t="n">
        <v>63.79</v>
      </c>
    </row>
    <row r="3032" customFormat="false" ht="15" hidden="false" customHeight="false" outlineLevel="0" collapsed="false">
      <c r="A3032" s="0" t="n">
        <v>359</v>
      </c>
      <c r="B3032" s="0" t="s">
        <v>6304</v>
      </c>
      <c r="C3032" s="0" t="s">
        <v>31</v>
      </c>
      <c r="D3032" s="0" t="s">
        <v>3671</v>
      </c>
      <c r="E3032" s="0" t="n">
        <v>131.03</v>
      </c>
    </row>
    <row r="3033" customFormat="false" ht="15" hidden="false" customHeight="false" outlineLevel="0" collapsed="false">
      <c r="A3033" s="0" t="n">
        <v>38641</v>
      </c>
      <c r="B3033" s="0" t="s">
        <v>6305</v>
      </c>
      <c r="C3033" s="0" t="s">
        <v>31</v>
      </c>
      <c r="D3033" s="0" t="s">
        <v>3671</v>
      </c>
      <c r="E3033" s="0" t="n">
        <v>129.31</v>
      </c>
    </row>
    <row r="3034" customFormat="false" ht="15" hidden="false" customHeight="false" outlineLevel="0" collapsed="false">
      <c r="A3034" s="0" t="n">
        <v>360</v>
      </c>
      <c r="B3034" s="0" t="s">
        <v>2909</v>
      </c>
      <c r="C3034" s="0" t="s">
        <v>31</v>
      </c>
      <c r="D3034" s="0" t="s">
        <v>3676</v>
      </c>
      <c r="E3034" s="0" t="n">
        <v>3</v>
      </c>
    </row>
    <row r="3035" customFormat="false" ht="15" hidden="false" customHeight="false" outlineLevel="0" collapsed="false">
      <c r="A3035" s="0" t="n">
        <v>42430</v>
      </c>
      <c r="B3035" s="0" t="s">
        <v>6306</v>
      </c>
      <c r="C3035" s="0" t="s">
        <v>31</v>
      </c>
      <c r="D3035" s="0" t="s">
        <v>3671</v>
      </c>
    </row>
    <row r="3036" customFormat="false" ht="15" hidden="false" customHeight="false" outlineLevel="0" collapsed="false">
      <c r="A3036" s="0" t="n">
        <v>4209</v>
      </c>
      <c r="B3036" s="0" t="s">
        <v>6307</v>
      </c>
      <c r="C3036" s="0" t="s">
        <v>31</v>
      </c>
      <c r="D3036" s="0" t="s">
        <v>3671</v>
      </c>
    </row>
    <row r="3037" customFormat="false" ht="15" hidden="false" customHeight="false" outlineLevel="0" collapsed="false">
      <c r="A3037" s="0" t="n">
        <v>4180</v>
      </c>
      <c r="B3037" s="0" t="s">
        <v>6308</v>
      </c>
      <c r="C3037" s="0" t="s">
        <v>31</v>
      </c>
      <c r="D3037" s="0" t="s">
        <v>3671</v>
      </c>
    </row>
    <row r="3038" customFormat="false" ht="15" hidden="false" customHeight="false" outlineLevel="0" collapsed="false">
      <c r="A3038" s="0" t="n">
        <v>4179</v>
      </c>
      <c r="B3038" s="0" t="s">
        <v>6309</v>
      </c>
      <c r="C3038" s="0" t="s">
        <v>31</v>
      </c>
      <c r="D3038" s="0" t="s">
        <v>3671</v>
      </c>
    </row>
    <row r="3039" customFormat="false" ht="15" hidden="false" customHeight="false" outlineLevel="0" collapsed="false">
      <c r="A3039" s="0" t="n">
        <v>4177</v>
      </c>
      <c r="B3039" s="0" t="s">
        <v>2761</v>
      </c>
      <c r="C3039" s="0" t="s">
        <v>31</v>
      </c>
      <c r="D3039" s="0" t="s">
        <v>3671</v>
      </c>
    </row>
    <row r="3040" customFormat="false" ht="15" hidden="false" customHeight="false" outlineLevel="0" collapsed="false">
      <c r="A3040" s="0" t="n">
        <v>4208</v>
      </c>
      <c r="B3040" s="0" t="s">
        <v>2694</v>
      </c>
      <c r="C3040" s="0" t="s">
        <v>31</v>
      </c>
      <c r="D3040" s="0" t="s">
        <v>3671</v>
      </c>
    </row>
    <row r="3041" customFormat="false" ht="15" hidden="false" customHeight="false" outlineLevel="0" collapsed="false">
      <c r="A3041" s="0" t="n">
        <v>4181</v>
      </c>
      <c r="B3041" s="0" t="s">
        <v>6310</v>
      </c>
      <c r="C3041" s="0" t="s">
        <v>31</v>
      </c>
      <c r="D3041" s="0" t="s">
        <v>3671</v>
      </c>
    </row>
    <row r="3042" customFormat="false" ht="15" hidden="false" customHeight="false" outlineLevel="0" collapsed="false">
      <c r="A3042" s="0" t="n">
        <v>4182</v>
      </c>
      <c r="B3042" s="0" t="s">
        <v>2696</v>
      </c>
      <c r="C3042" s="0" t="s">
        <v>31</v>
      </c>
      <c r="D3042" s="0" t="s">
        <v>3671</v>
      </c>
    </row>
    <row r="3043" customFormat="false" ht="15" hidden="false" customHeight="false" outlineLevel="0" collapsed="false">
      <c r="A3043" s="0" t="n">
        <v>4178</v>
      </c>
      <c r="B3043" s="0" t="s">
        <v>6311</v>
      </c>
      <c r="C3043" s="0" t="s">
        <v>31</v>
      </c>
      <c r="D3043" s="0" t="s">
        <v>3671</v>
      </c>
    </row>
    <row r="3044" customFormat="false" ht="15" hidden="false" customHeight="false" outlineLevel="0" collapsed="false">
      <c r="A3044" s="0" t="n">
        <v>4183</v>
      </c>
      <c r="B3044" s="0" t="s">
        <v>6312</v>
      </c>
      <c r="C3044" s="0" t="s">
        <v>31</v>
      </c>
      <c r="D3044" s="0" t="s">
        <v>3671</v>
      </c>
    </row>
    <row r="3045" customFormat="false" ht="15" hidden="false" customHeight="false" outlineLevel="0" collapsed="false">
      <c r="A3045" s="0" t="n">
        <v>4184</v>
      </c>
      <c r="B3045" s="0" t="s">
        <v>6313</v>
      </c>
      <c r="C3045" s="0" t="s">
        <v>31</v>
      </c>
      <c r="D3045" s="0" t="s">
        <v>3671</v>
      </c>
    </row>
    <row r="3046" customFormat="false" ht="15" hidden="false" customHeight="false" outlineLevel="0" collapsed="false">
      <c r="A3046" s="0" t="n">
        <v>4185</v>
      </c>
      <c r="B3046" s="0" t="s">
        <v>6314</v>
      </c>
      <c r="C3046" s="0" t="s">
        <v>31</v>
      </c>
      <c r="D3046" s="0" t="s">
        <v>3671</v>
      </c>
    </row>
    <row r="3047" customFormat="false" ht="15" hidden="false" customHeight="false" outlineLevel="0" collapsed="false">
      <c r="A3047" s="0" t="n">
        <v>4205</v>
      </c>
      <c r="B3047" s="0" t="s">
        <v>6315</v>
      </c>
      <c r="C3047" s="0" t="s">
        <v>31</v>
      </c>
      <c r="D3047" s="0" t="s">
        <v>3671</v>
      </c>
    </row>
    <row r="3048" customFormat="false" ht="15" hidden="false" customHeight="false" outlineLevel="0" collapsed="false">
      <c r="A3048" s="0" t="n">
        <v>4192</v>
      </c>
      <c r="B3048" s="0" t="s">
        <v>6316</v>
      </c>
      <c r="C3048" s="0" t="s">
        <v>31</v>
      </c>
      <c r="D3048" s="0" t="s">
        <v>3671</v>
      </c>
    </row>
    <row r="3049" customFormat="false" ht="15" hidden="false" customHeight="false" outlineLevel="0" collapsed="false">
      <c r="A3049" s="0" t="n">
        <v>4191</v>
      </c>
      <c r="B3049" s="0" t="s">
        <v>6317</v>
      </c>
      <c r="C3049" s="0" t="s">
        <v>31</v>
      </c>
      <c r="D3049" s="0" t="s">
        <v>3671</v>
      </c>
    </row>
    <row r="3050" customFormat="false" ht="15" hidden="false" customHeight="false" outlineLevel="0" collapsed="false">
      <c r="A3050" s="0" t="n">
        <v>4206</v>
      </c>
      <c r="B3050" s="0" t="s">
        <v>6318</v>
      </c>
      <c r="C3050" s="0" t="s">
        <v>31</v>
      </c>
      <c r="D3050" s="0" t="s">
        <v>3671</v>
      </c>
    </row>
    <row r="3051" customFormat="false" ht="15" hidden="false" customHeight="false" outlineLevel="0" collapsed="false">
      <c r="A3051" s="0" t="n">
        <v>4207</v>
      </c>
      <c r="B3051" s="0" t="s">
        <v>6319</v>
      </c>
      <c r="C3051" s="0" t="s">
        <v>31</v>
      </c>
      <c r="D3051" s="0" t="s">
        <v>3671</v>
      </c>
    </row>
    <row r="3052" customFormat="false" ht="15" hidden="false" customHeight="false" outlineLevel="0" collapsed="false">
      <c r="A3052" s="0" t="n">
        <v>4190</v>
      </c>
      <c r="B3052" s="0" t="s">
        <v>6320</v>
      </c>
      <c r="C3052" s="0" t="s">
        <v>31</v>
      </c>
      <c r="D3052" s="0" t="s">
        <v>3671</v>
      </c>
    </row>
    <row r="3053" customFormat="false" ht="15" hidden="false" customHeight="false" outlineLevel="0" collapsed="false">
      <c r="A3053" s="0" t="n">
        <v>4188</v>
      </c>
      <c r="B3053" s="0" t="s">
        <v>6321</v>
      </c>
      <c r="C3053" s="0" t="s">
        <v>31</v>
      </c>
      <c r="D3053" s="0" t="s">
        <v>3671</v>
      </c>
    </row>
    <row r="3054" customFormat="false" ht="15" hidden="false" customHeight="false" outlineLevel="0" collapsed="false">
      <c r="A3054" s="0" t="n">
        <v>4189</v>
      </c>
      <c r="B3054" s="0" t="s">
        <v>6322</v>
      </c>
      <c r="C3054" s="0" t="s">
        <v>31</v>
      </c>
      <c r="D3054" s="0" t="s">
        <v>3671</v>
      </c>
    </row>
    <row r="3055" customFormat="false" ht="15" hidden="false" customHeight="false" outlineLevel="0" collapsed="false">
      <c r="A3055" s="0" t="n">
        <v>4186</v>
      </c>
      <c r="B3055" s="0" t="s">
        <v>6323</v>
      </c>
      <c r="C3055" s="0" t="s">
        <v>31</v>
      </c>
      <c r="D3055" s="0" t="s">
        <v>3671</v>
      </c>
    </row>
    <row r="3056" customFormat="false" ht="15" hidden="false" customHeight="false" outlineLevel="0" collapsed="false">
      <c r="A3056" s="0" t="n">
        <v>4197</v>
      </c>
      <c r="B3056" s="0" t="s">
        <v>6324</v>
      </c>
      <c r="C3056" s="0" t="s">
        <v>31</v>
      </c>
      <c r="D3056" s="0" t="s">
        <v>3671</v>
      </c>
    </row>
    <row r="3057" customFormat="false" ht="15" hidden="false" customHeight="false" outlineLevel="0" collapsed="false">
      <c r="A3057" s="0" t="n">
        <v>4194</v>
      </c>
      <c r="B3057" s="0" t="s">
        <v>6325</v>
      </c>
      <c r="C3057" s="0" t="s">
        <v>31</v>
      </c>
      <c r="D3057" s="0" t="s">
        <v>3671</v>
      </c>
    </row>
    <row r="3058" customFormat="false" ht="15" hidden="false" customHeight="false" outlineLevel="0" collapsed="false">
      <c r="A3058" s="0" t="n">
        <v>4193</v>
      </c>
      <c r="B3058" s="0" t="s">
        <v>6326</v>
      </c>
      <c r="C3058" s="0" t="s">
        <v>31</v>
      </c>
      <c r="D3058" s="0" t="s">
        <v>3671</v>
      </c>
    </row>
    <row r="3059" customFormat="false" ht="15" hidden="false" customHeight="false" outlineLevel="0" collapsed="false">
      <c r="A3059" s="0" t="n">
        <v>4204</v>
      </c>
      <c r="B3059" s="0" t="s">
        <v>6327</v>
      </c>
      <c r="C3059" s="0" t="s">
        <v>31</v>
      </c>
      <c r="D3059" s="0" t="s">
        <v>3671</v>
      </c>
    </row>
    <row r="3060" customFormat="false" ht="15" hidden="false" customHeight="false" outlineLevel="0" collapsed="false">
      <c r="A3060" s="0" t="n">
        <v>4202</v>
      </c>
      <c r="B3060" s="0" t="s">
        <v>6328</v>
      </c>
      <c r="C3060" s="0" t="s">
        <v>31</v>
      </c>
      <c r="D3060" s="0" t="s">
        <v>3671</v>
      </c>
    </row>
    <row r="3061" customFormat="false" ht="15" hidden="false" customHeight="false" outlineLevel="0" collapsed="false">
      <c r="A3061" s="0" t="n">
        <v>4203</v>
      </c>
      <c r="B3061" s="0" t="s">
        <v>6329</v>
      </c>
      <c r="C3061" s="0" t="s">
        <v>31</v>
      </c>
      <c r="D3061" s="0" t="s">
        <v>3671</v>
      </c>
    </row>
    <row r="3062" customFormat="false" ht="15" hidden="false" customHeight="false" outlineLevel="0" collapsed="false">
      <c r="A3062" s="0" t="n">
        <v>4187</v>
      </c>
      <c r="B3062" s="0" t="s">
        <v>6330</v>
      </c>
      <c r="C3062" s="0" t="s">
        <v>31</v>
      </c>
      <c r="D3062" s="0" t="s">
        <v>3671</v>
      </c>
    </row>
    <row r="3063" customFormat="false" ht="15" hidden="false" customHeight="false" outlineLevel="0" collapsed="false">
      <c r="A3063" s="0" t="n">
        <v>40368</v>
      </c>
      <c r="B3063" s="0" t="s">
        <v>6331</v>
      </c>
      <c r="C3063" s="0" t="s">
        <v>31</v>
      </c>
      <c r="D3063" s="0" t="s">
        <v>3671</v>
      </c>
    </row>
    <row r="3064" customFormat="false" ht="15" hidden="false" customHeight="false" outlineLevel="0" collapsed="false">
      <c r="A3064" s="0" t="n">
        <v>40365</v>
      </c>
      <c r="B3064" s="0" t="s">
        <v>6332</v>
      </c>
      <c r="C3064" s="0" t="s">
        <v>31</v>
      </c>
      <c r="D3064" s="0" t="s">
        <v>3671</v>
      </c>
    </row>
    <row r="3065" customFormat="false" ht="15" hidden="false" customHeight="false" outlineLevel="0" collapsed="false">
      <c r="A3065" s="0" t="n">
        <v>40362</v>
      </c>
      <c r="B3065" s="0" t="s">
        <v>6333</v>
      </c>
      <c r="C3065" s="0" t="s">
        <v>31</v>
      </c>
      <c r="D3065" s="0" t="s">
        <v>3671</v>
      </c>
    </row>
    <row r="3066" customFormat="false" ht="15" hidden="false" customHeight="false" outlineLevel="0" collapsed="false">
      <c r="A3066" s="0" t="n">
        <v>40356</v>
      </c>
      <c r="B3066" s="0" t="s">
        <v>6334</v>
      </c>
      <c r="C3066" s="0" t="s">
        <v>31</v>
      </c>
      <c r="D3066" s="0" t="s">
        <v>3671</v>
      </c>
    </row>
    <row r="3067" customFormat="false" ht="15" hidden="false" customHeight="false" outlineLevel="0" collapsed="false">
      <c r="A3067" s="0" t="n">
        <v>40374</v>
      </c>
      <c r="B3067" s="0" t="s">
        <v>6335</v>
      </c>
      <c r="C3067" s="0" t="s">
        <v>31</v>
      </c>
      <c r="D3067" s="0" t="s">
        <v>3671</v>
      </c>
    </row>
    <row r="3068" customFormat="false" ht="15" hidden="false" customHeight="false" outlineLevel="0" collapsed="false">
      <c r="A3068" s="0" t="n">
        <v>40371</v>
      </c>
      <c r="B3068" s="0" t="s">
        <v>6336</v>
      </c>
      <c r="C3068" s="0" t="s">
        <v>31</v>
      </c>
      <c r="D3068" s="0" t="s">
        <v>3671</v>
      </c>
    </row>
    <row r="3069" customFormat="false" ht="15" hidden="false" customHeight="false" outlineLevel="0" collapsed="false">
      <c r="A3069" s="0" t="n">
        <v>40359</v>
      </c>
      <c r="B3069" s="0" t="s">
        <v>6337</v>
      </c>
      <c r="C3069" s="0" t="s">
        <v>31</v>
      </c>
      <c r="D3069" s="0" t="s">
        <v>3671</v>
      </c>
    </row>
    <row r="3070" customFormat="false" ht="15" hidden="false" customHeight="false" outlineLevel="0" collapsed="false">
      <c r="A3070" s="0" t="n">
        <v>7595</v>
      </c>
      <c r="B3070" s="0" t="s">
        <v>6338</v>
      </c>
      <c r="C3070" s="0" t="s">
        <v>1444</v>
      </c>
      <c r="D3070" s="0" t="s">
        <v>3671</v>
      </c>
      <c r="E3070" s="0" t="n">
        <v>13.26</v>
      </c>
    </row>
    <row r="3071" customFormat="false" ht="15" hidden="false" customHeight="false" outlineLevel="0" collapsed="false">
      <c r="A3071" s="0" t="n">
        <v>41094</v>
      </c>
      <c r="B3071" s="0" t="s">
        <v>6339</v>
      </c>
      <c r="C3071" s="0" t="s">
        <v>1416</v>
      </c>
      <c r="D3071" s="0" t="s">
        <v>3671</v>
      </c>
      <c r="E3071" s="0" t="n">
        <v>2335.01</v>
      </c>
    </row>
    <row r="3072" customFormat="false" ht="15" hidden="false" customHeight="false" outlineLevel="0" collapsed="false">
      <c r="A3072" s="0" t="n">
        <v>39609</v>
      </c>
      <c r="B3072" s="0" t="s">
        <v>6340</v>
      </c>
      <c r="C3072" s="0" t="s">
        <v>31</v>
      </c>
      <c r="D3072" s="0" t="s">
        <v>3671</v>
      </c>
    </row>
    <row r="3073" customFormat="false" ht="15" hidden="false" customHeight="false" outlineLevel="0" collapsed="false">
      <c r="A3073" s="0" t="n">
        <v>39610</v>
      </c>
      <c r="B3073" s="0" t="s">
        <v>6341</v>
      </c>
      <c r="C3073" s="0" t="s">
        <v>31</v>
      </c>
      <c r="D3073" s="0" t="s">
        <v>3671</v>
      </c>
    </row>
    <row r="3074" customFormat="false" ht="15" hidden="false" customHeight="false" outlineLevel="0" collapsed="false">
      <c r="A3074" s="0" t="n">
        <v>39611</v>
      </c>
      <c r="B3074" s="0" t="s">
        <v>6342</v>
      </c>
      <c r="C3074" s="0" t="s">
        <v>31</v>
      </c>
      <c r="D3074" s="0" t="s">
        <v>3671</v>
      </c>
    </row>
    <row r="3075" customFormat="false" ht="15" hidden="false" customHeight="false" outlineLevel="0" collapsed="false">
      <c r="A3075" s="0" t="n">
        <v>39612</v>
      </c>
      <c r="B3075" s="0" t="s">
        <v>6343</v>
      </c>
      <c r="C3075" s="0" t="s">
        <v>31</v>
      </c>
      <c r="D3075" s="0" t="s">
        <v>3671</v>
      </c>
    </row>
    <row r="3076" customFormat="false" ht="15" hidden="false" customHeight="false" outlineLevel="0" collapsed="false">
      <c r="A3076" s="0" t="n">
        <v>39608</v>
      </c>
      <c r="B3076" s="0" t="s">
        <v>6344</v>
      </c>
      <c r="C3076" s="0" t="s">
        <v>31</v>
      </c>
      <c r="D3076" s="0" t="s">
        <v>3671</v>
      </c>
    </row>
    <row r="3077" customFormat="false" ht="15" hidden="false" customHeight="false" outlineLevel="0" collapsed="false">
      <c r="A3077" s="0" t="n">
        <v>38175</v>
      </c>
      <c r="B3077" s="0" t="s">
        <v>6345</v>
      </c>
      <c r="C3077" s="0" t="s">
        <v>31</v>
      </c>
      <c r="D3077" s="0" t="s">
        <v>3671</v>
      </c>
      <c r="E3077" s="0" t="n">
        <v>5.35</v>
      </c>
    </row>
    <row r="3078" customFormat="false" ht="15" hidden="false" customHeight="false" outlineLevel="0" collapsed="false">
      <c r="A3078" s="0" t="n">
        <v>38176</v>
      </c>
      <c r="B3078" s="0" t="s">
        <v>6346</v>
      </c>
      <c r="C3078" s="0" t="s">
        <v>31</v>
      </c>
      <c r="D3078" s="0" t="s">
        <v>3671</v>
      </c>
      <c r="E3078" s="0" t="n">
        <v>15.74</v>
      </c>
    </row>
    <row r="3079" customFormat="false" ht="15" hidden="false" customHeight="false" outlineLevel="0" collapsed="false">
      <c r="A3079" s="0" t="n">
        <v>36152</v>
      </c>
      <c r="B3079" s="0" t="s">
        <v>6347</v>
      </c>
      <c r="C3079" s="0" t="s">
        <v>31</v>
      </c>
      <c r="D3079" s="0" t="s">
        <v>3671</v>
      </c>
      <c r="E3079" s="0" t="n">
        <v>5.1</v>
      </c>
    </row>
    <row r="3080" customFormat="false" ht="15" hidden="false" customHeight="false" outlineLevel="0" collapsed="false">
      <c r="A3080" s="0" t="n">
        <v>4221</v>
      </c>
      <c r="B3080" s="0" t="s">
        <v>1451</v>
      </c>
      <c r="C3080" s="0" t="s">
        <v>1452</v>
      </c>
      <c r="D3080" s="0" t="s">
        <v>3676</v>
      </c>
      <c r="E3080" s="0" t="n">
        <v>6.28</v>
      </c>
    </row>
    <row r="3081" customFormat="false" ht="15" hidden="false" customHeight="false" outlineLevel="0" collapsed="false">
      <c r="A3081" s="0" t="n">
        <v>4227</v>
      </c>
      <c r="B3081" s="0" t="s">
        <v>6348</v>
      </c>
      <c r="C3081" s="0" t="s">
        <v>1452</v>
      </c>
      <c r="D3081" s="0" t="s">
        <v>3671</v>
      </c>
      <c r="E3081" s="0" t="n">
        <v>29.28</v>
      </c>
    </row>
    <row r="3082" customFormat="false" ht="15" hidden="false" customHeight="false" outlineLevel="0" collapsed="false">
      <c r="A3082" s="0" t="n">
        <v>38170</v>
      </c>
      <c r="B3082" s="0" t="s">
        <v>6349</v>
      </c>
      <c r="C3082" s="0" t="s">
        <v>31</v>
      </c>
      <c r="D3082" s="0" t="s">
        <v>3671</v>
      </c>
      <c r="E3082" s="0" t="n">
        <v>23.39</v>
      </c>
    </row>
    <row r="3083" customFormat="false" ht="15" hidden="false" customHeight="false" outlineLevel="0" collapsed="false">
      <c r="A3083" s="0" t="n">
        <v>4252</v>
      </c>
      <c r="B3083" s="0" t="s">
        <v>6350</v>
      </c>
      <c r="C3083" s="0" t="s">
        <v>1444</v>
      </c>
      <c r="D3083" s="0" t="s">
        <v>3671</v>
      </c>
      <c r="E3083" s="0" t="n">
        <v>26.74</v>
      </c>
    </row>
    <row r="3084" customFormat="false" ht="15" hidden="false" customHeight="false" outlineLevel="0" collapsed="false">
      <c r="A3084" s="0" t="n">
        <v>40980</v>
      </c>
      <c r="B3084" s="0" t="s">
        <v>6351</v>
      </c>
      <c r="C3084" s="0" t="s">
        <v>1416</v>
      </c>
      <c r="D3084" s="0" t="s">
        <v>3671</v>
      </c>
      <c r="E3084" s="0" t="n">
        <v>4711.79</v>
      </c>
    </row>
    <row r="3085" customFormat="false" ht="15" hidden="false" customHeight="false" outlineLevel="0" collapsed="false">
      <c r="A3085" s="0" t="n">
        <v>41031</v>
      </c>
      <c r="B3085" s="0" t="s">
        <v>6352</v>
      </c>
      <c r="C3085" s="0" t="s">
        <v>1416</v>
      </c>
      <c r="D3085" s="0" t="s">
        <v>3671</v>
      </c>
      <c r="E3085" s="0" t="n">
        <v>2279.25</v>
      </c>
    </row>
    <row r="3086" customFormat="false" ht="15" hidden="false" customHeight="false" outlineLevel="0" collapsed="false">
      <c r="A3086" s="0" t="n">
        <v>37666</v>
      </c>
      <c r="B3086" s="0" t="s">
        <v>1558</v>
      </c>
      <c r="C3086" s="0" t="s">
        <v>1444</v>
      </c>
      <c r="D3086" s="0" t="s">
        <v>3671</v>
      </c>
      <c r="E3086" s="0" t="n">
        <v>11.87</v>
      </c>
    </row>
    <row r="3087" customFormat="false" ht="15" hidden="false" customHeight="false" outlineLevel="0" collapsed="false">
      <c r="A3087" s="0" t="n">
        <v>40986</v>
      </c>
      <c r="B3087" s="0" t="s">
        <v>6353</v>
      </c>
      <c r="C3087" s="0" t="s">
        <v>1416</v>
      </c>
      <c r="D3087" s="0" t="s">
        <v>3671</v>
      </c>
      <c r="E3087" s="0" t="n">
        <v>2091.91</v>
      </c>
    </row>
    <row r="3088" customFormat="false" ht="15" hidden="false" customHeight="false" outlineLevel="0" collapsed="false">
      <c r="A3088" s="0" t="n">
        <v>4250</v>
      </c>
      <c r="B3088" s="0" t="s">
        <v>6354</v>
      </c>
      <c r="C3088" s="0" t="s">
        <v>1444</v>
      </c>
      <c r="D3088" s="0" t="s">
        <v>3671</v>
      </c>
      <c r="E3088" s="0" t="n">
        <v>13.87</v>
      </c>
    </row>
    <row r="3089" customFormat="false" ht="15" hidden="false" customHeight="false" outlineLevel="0" collapsed="false">
      <c r="A3089" s="0" t="n">
        <v>40978</v>
      </c>
      <c r="B3089" s="0" t="s">
        <v>6355</v>
      </c>
      <c r="C3089" s="0" t="s">
        <v>1416</v>
      </c>
      <c r="D3089" s="0" t="s">
        <v>3671</v>
      </c>
      <c r="E3089" s="0" t="n">
        <v>2444.6</v>
      </c>
    </row>
    <row r="3090" customFormat="false" ht="15" hidden="false" customHeight="false" outlineLevel="0" collapsed="false">
      <c r="A3090" s="0" t="n">
        <v>44501</v>
      </c>
      <c r="B3090" s="0" t="s">
        <v>6356</v>
      </c>
      <c r="C3090" s="0" t="s">
        <v>1444</v>
      </c>
      <c r="D3090" s="0" t="s">
        <v>3671</v>
      </c>
      <c r="E3090" s="0" t="n">
        <v>12.94</v>
      </c>
    </row>
    <row r="3091" customFormat="false" ht="15" hidden="false" customHeight="false" outlineLevel="0" collapsed="false">
      <c r="A3091" s="0" t="n">
        <v>41043</v>
      </c>
      <c r="B3091" s="0" t="s">
        <v>6357</v>
      </c>
      <c r="C3091" s="0" t="s">
        <v>1416</v>
      </c>
      <c r="D3091" s="0" t="s">
        <v>3671</v>
      </c>
      <c r="E3091" s="0" t="n">
        <v>2279.25</v>
      </c>
    </row>
    <row r="3092" customFormat="false" ht="15" hidden="false" customHeight="false" outlineLevel="0" collapsed="false">
      <c r="A3092" s="0" t="n">
        <v>4234</v>
      </c>
      <c r="B3092" s="0" t="s">
        <v>1475</v>
      </c>
      <c r="C3092" s="0" t="s">
        <v>1444</v>
      </c>
      <c r="D3092" s="0" t="s">
        <v>3676</v>
      </c>
      <c r="E3092" s="0" t="n">
        <v>20.22</v>
      </c>
    </row>
    <row r="3093" customFormat="false" ht="15" hidden="false" customHeight="false" outlineLevel="0" collapsed="false">
      <c r="A3093" s="0" t="n">
        <v>40987</v>
      </c>
      <c r="B3093" s="0" t="s">
        <v>6358</v>
      </c>
      <c r="C3093" s="0" t="s">
        <v>1416</v>
      </c>
      <c r="D3093" s="0" t="s">
        <v>3671</v>
      </c>
      <c r="E3093" s="0" t="n">
        <v>3561.68</v>
      </c>
    </row>
    <row r="3094" customFormat="false" ht="15" hidden="false" customHeight="false" outlineLevel="0" collapsed="false">
      <c r="A3094" s="0" t="n">
        <v>4253</v>
      </c>
      <c r="B3094" s="0" t="s">
        <v>1559</v>
      </c>
      <c r="C3094" s="0" t="s">
        <v>1444</v>
      </c>
      <c r="D3094" s="0" t="s">
        <v>3671</v>
      </c>
      <c r="E3094" s="0" t="n">
        <v>10.83</v>
      </c>
    </row>
    <row r="3095" customFormat="false" ht="15" hidden="false" customHeight="false" outlineLevel="0" collapsed="false">
      <c r="A3095" s="0" t="n">
        <v>40981</v>
      </c>
      <c r="B3095" s="0" t="s">
        <v>6359</v>
      </c>
      <c r="C3095" s="0" t="s">
        <v>1416</v>
      </c>
      <c r="D3095" s="0" t="s">
        <v>3671</v>
      </c>
      <c r="E3095" s="0" t="n">
        <v>1910.82</v>
      </c>
    </row>
    <row r="3096" customFormat="false" ht="15" hidden="false" customHeight="false" outlineLevel="0" collapsed="false">
      <c r="A3096" s="0" t="n">
        <v>4254</v>
      </c>
      <c r="B3096" s="0" t="s">
        <v>1590</v>
      </c>
      <c r="C3096" s="0" t="s">
        <v>1444</v>
      </c>
      <c r="D3096" s="0" t="s">
        <v>3671</v>
      </c>
      <c r="E3096" s="0" t="n">
        <v>21.01</v>
      </c>
    </row>
    <row r="3097" customFormat="false" ht="15" hidden="false" customHeight="false" outlineLevel="0" collapsed="false">
      <c r="A3097" s="0" t="n">
        <v>41036</v>
      </c>
      <c r="B3097" s="0" t="s">
        <v>6360</v>
      </c>
      <c r="C3097" s="0" t="s">
        <v>1416</v>
      </c>
      <c r="D3097" s="0" t="s">
        <v>3671</v>
      </c>
      <c r="E3097" s="0" t="n">
        <v>3703.85</v>
      </c>
    </row>
    <row r="3098" customFormat="false" ht="15" hidden="false" customHeight="false" outlineLevel="0" collapsed="false">
      <c r="A3098" s="0" t="n">
        <v>4251</v>
      </c>
      <c r="B3098" s="0" t="s">
        <v>1740</v>
      </c>
      <c r="C3098" s="0" t="s">
        <v>1444</v>
      </c>
      <c r="D3098" s="0" t="s">
        <v>3671</v>
      </c>
      <c r="E3098" s="0" t="n">
        <v>18.4</v>
      </c>
    </row>
    <row r="3099" customFormat="false" ht="15" hidden="false" customHeight="false" outlineLevel="0" collapsed="false">
      <c r="A3099" s="0" t="n">
        <v>40979</v>
      </c>
      <c r="B3099" s="0" t="s">
        <v>6361</v>
      </c>
      <c r="C3099" s="0" t="s">
        <v>1416</v>
      </c>
      <c r="D3099" s="0" t="s">
        <v>3671</v>
      </c>
      <c r="E3099" s="0" t="n">
        <v>3242.79</v>
      </c>
    </row>
    <row r="3100" customFormat="false" ht="15" hidden="false" customHeight="false" outlineLevel="0" collapsed="false">
      <c r="A3100" s="0" t="n">
        <v>4230</v>
      </c>
      <c r="B3100" s="0" t="s">
        <v>1597</v>
      </c>
      <c r="C3100" s="0" t="s">
        <v>1444</v>
      </c>
      <c r="D3100" s="0" t="s">
        <v>3671</v>
      </c>
      <c r="E3100" s="0" t="n">
        <v>14.53</v>
      </c>
    </row>
    <row r="3101" customFormat="false" ht="15" hidden="false" customHeight="false" outlineLevel="0" collapsed="false">
      <c r="A3101" s="0" t="n">
        <v>40998</v>
      </c>
      <c r="B3101" s="0" t="s">
        <v>6362</v>
      </c>
      <c r="C3101" s="0" t="s">
        <v>1416</v>
      </c>
      <c r="D3101" s="0" t="s">
        <v>3671</v>
      </c>
      <c r="E3101" s="0" t="n">
        <v>2561.73</v>
      </c>
    </row>
    <row r="3102" customFormat="false" ht="15" hidden="false" customHeight="false" outlineLevel="0" collapsed="false">
      <c r="A3102" s="0" t="n">
        <v>4257</v>
      </c>
      <c r="B3102" s="0" t="s">
        <v>1462</v>
      </c>
      <c r="C3102" s="0" t="s">
        <v>1444</v>
      </c>
      <c r="D3102" s="0" t="s">
        <v>3671</v>
      </c>
      <c r="E3102" s="0" t="n">
        <v>15.11</v>
      </c>
    </row>
    <row r="3103" customFormat="false" ht="15" hidden="false" customHeight="false" outlineLevel="0" collapsed="false">
      <c r="A3103" s="0" t="n">
        <v>40982</v>
      </c>
      <c r="B3103" s="0" t="s">
        <v>6363</v>
      </c>
      <c r="C3103" s="0" t="s">
        <v>1416</v>
      </c>
      <c r="D3103" s="0" t="s">
        <v>3671</v>
      </c>
      <c r="E3103" s="0" t="n">
        <v>2665.36</v>
      </c>
    </row>
    <row r="3104" customFormat="false" ht="15" hidden="false" customHeight="false" outlineLevel="0" collapsed="false">
      <c r="A3104" s="0" t="n">
        <v>4240</v>
      </c>
      <c r="B3104" s="0" t="s">
        <v>6364</v>
      </c>
      <c r="C3104" s="0" t="s">
        <v>1444</v>
      </c>
      <c r="D3104" s="0" t="s">
        <v>3671</v>
      </c>
      <c r="E3104" s="0" t="n">
        <v>24.17</v>
      </c>
    </row>
    <row r="3105" customFormat="false" ht="15" hidden="false" customHeight="false" outlineLevel="0" collapsed="false">
      <c r="A3105" s="0" t="n">
        <v>41026</v>
      </c>
      <c r="B3105" s="0" t="s">
        <v>6365</v>
      </c>
      <c r="C3105" s="0" t="s">
        <v>1416</v>
      </c>
      <c r="D3105" s="0" t="s">
        <v>3671</v>
      </c>
      <c r="E3105" s="0" t="n">
        <v>4257.64</v>
      </c>
    </row>
    <row r="3106" customFormat="false" ht="15" hidden="false" customHeight="false" outlineLevel="0" collapsed="false">
      <c r="A3106" s="0" t="n">
        <v>4239</v>
      </c>
      <c r="B3106" s="0" t="s">
        <v>1503</v>
      </c>
      <c r="C3106" s="0" t="s">
        <v>1444</v>
      </c>
      <c r="D3106" s="0" t="s">
        <v>3671</v>
      </c>
      <c r="E3106" s="0" t="n">
        <v>24.17</v>
      </c>
    </row>
    <row r="3107" customFormat="false" ht="15" hidden="false" customHeight="false" outlineLevel="0" collapsed="false">
      <c r="A3107" s="0" t="n">
        <v>41024</v>
      </c>
      <c r="B3107" s="0" t="s">
        <v>6366</v>
      </c>
      <c r="C3107" s="0" t="s">
        <v>1416</v>
      </c>
      <c r="D3107" s="0" t="s">
        <v>3671</v>
      </c>
      <c r="E3107" s="0" t="n">
        <v>4257.64</v>
      </c>
    </row>
    <row r="3108" customFormat="false" ht="15" hidden="false" customHeight="false" outlineLevel="0" collapsed="false">
      <c r="A3108" s="0" t="n">
        <v>4248</v>
      </c>
      <c r="B3108" s="0" t="s">
        <v>1453</v>
      </c>
      <c r="C3108" s="0" t="s">
        <v>1444</v>
      </c>
      <c r="D3108" s="0" t="s">
        <v>3671</v>
      </c>
      <c r="E3108" s="0" t="n">
        <v>12.94</v>
      </c>
    </row>
    <row r="3109" customFormat="false" ht="15" hidden="false" customHeight="false" outlineLevel="0" collapsed="false">
      <c r="A3109" s="0" t="n">
        <v>41033</v>
      </c>
      <c r="B3109" s="0" t="s">
        <v>6367</v>
      </c>
      <c r="C3109" s="0" t="s">
        <v>1416</v>
      </c>
      <c r="D3109" s="0" t="s">
        <v>3671</v>
      </c>
      <c r="E3109" s="0" t="n">
        <v>2279.25</v>
      </c>
    </row>
    <row r="3110" customFormat="false" ht="15" hidden="false" customHeight="false" outlineLevel="0" collapsed="false">
      <c r="A3110" s="0" t="n">
        <v>44500</v>
      </c>
      <c r="B3110" s="0" t="s">
        <v>6368</v>
      </c>
      <c r="C3110" s="0" t="s">
        <v>1444</v>
      </c>
      <c r="D3110" s="0" t="s">
        <v>3671</v>
      </c>
      <c r="E3110" s="0" t="n">
        <v>12.94</v>
      </c>
    </row>
    <row r="3111" customFormat="false" ht="15" hidden="false" customHeight="false" outlineLevel="0" collapsed="false">
      <c r="A3111" s="0" t="n">
        <v>41040</v>
      </c>
      <c r="B3111" s="0" t="s">
        <v>6369</v>
      </c>
      <c r="C3111" s="0" t="s">
        <v>1416</v>
      </c>
      <c r="D3111" s="0" t="s">
        <v>3671</v>
      </c>
      <c r="E3111" s="0" t="n">
        <v>2279.25</v>
      </c>
    </row>
    <row r="3112" customFormat="false" ht="15" hidden="false" customHeight="false" outlineLevel="0" collapsed="false">
      <c r="A3112" s="0" t="n">
        <v>4238</v>
      </c>
      <c r="B3112" s="0" t="s">
        <v>1504</v>
      </c>
      <c r="C3112" s="0" t="s">
        <v>1444</v>
      </c>
      <c r="D3112" s="0" t="s">
        <v>3671</v>
      </c>
      <c r="E3112" s="0" t="n">
        <v>13.93</v>
      </c>
    </row>
    <row r="3113" customFormat="false" ht="15" hidden="false" customHeight="false" outlineLevel="0" collapsed="false">
      <c r="A3113" s="0" t="n">
        <v>41012</v>
      </c>
      <c r="B3113" s="0" t="s">
        <v>6370</v>
      </c>
      <c r="C3113" s="0" t="s">
        <v>1416</v>
      </c>
      <c r="D3113" s="0" t="s">
        <v>3671</v>
      </c>
      <c r="E3113" s="0" t="n">
        <v>2454.1</v>
      </c>
    </row>
    <row r="3114" customFormat="false" ht="15" hidden="false" customHeight="false" outlineLevel="0" collapsed="false">
      <c r="A3114" s="0" t="n">
        <v>4233</v>
      </c>
      <c r="B3114" s="0" t="s">
        <v>6371</v>
      </c>
      <c r="C3114" s="0" t="s">
        <v>1444</v>
      </c>
      <c r="D3114" s="0" t="s">
        <v>3671</v>
      </c>
      <c r="E3114" s="0" t="n">
        <v>24.17</v>
      </c>
    </row>
    <row r="3115" customFormat="false" ht="15" hidden="false" customHeight="false" outlineLevel="0" collapsed="false">
      <c r="A3115" s="0" t="n">
        <v>41001</v>
      </c>
      <c r="B3115" s="0" t="s">
        <v>6372</v>
      </c>
      <c r="C3115" s="0" t="s">
        <v>1416</v>
      </c>
      <c r="D3115" s="0" t="s">
        <v>3671</v>
      </c>
      <c r="E3115" s="0" t="n">
        <v>4257.64</v>
      </c>
    </row>
    <row r="3116" customFormat="false" ht="15" hidden="false" customHeight="false" outlineLevel="0" collapsed="false">
      <c r="A3116" s="0" t="n">
        <v>2</v>
      </c>
      <c r="B3116" s="0" t="s">
        <v>6373</v>
      </c>
      <c r="C3116" s="0" t="s">
        <v>1442</v>
      </c>
      <c r="D3116" s="0" t="s">
        <v>3671</v>
      </c>
      <c r="E3116" s="0" t="n">
        <v>16.07</v>
      </c>
    </row>
    <row r="3117" customFormat="false" ht="15" hidden="false" customHeight="false" outlineLevel="0" collapsed="false">
      <c r="A3117" s="0" t="n">
        <v>14221</v>
      </c>
      <c r="B3117" s="0" t="s">
        <v>6374</v>
      </c>
      <c r="C3117" s="0" t="s">
        <v>31</v>
      </c>
      <c r="D3117" s="0" t="s">
        <v>3671</v>
      </c>
    </row>
    <row r="3118" customFormat="false" ht="15" hidden="false" customHeight="false" outlineLevel="0" collapsed="false">
      <c r="A3118" s="0" t="n">
        <v>36517</v>
      </c>
      <c r="B3118" s="0" t="s">
        <v>6375</v>
      </c>
      <c r="C3118" s="0" t="s">
        <v>31</v>
      </c>
      <c r="D3118" s="0" t="s">
        <v>3671</v>
      </c>
    </row>
    <row r="3119" customFormat="false" ht="15" hidden="false" customHeight="false" outlineLevel="0" collapsed="false">
      <c r="A3119" s="0" t="n">
        <v>4262</v>
      </c>
      <c r="B3119" s="0" t="s">
        <v>1450</v>
      </c>
      <c r="C3119" s="0" t="s">
        <v>31</v>
      </c>
      <c r="D3119" s="0" t="s">
        <v>3676</v>
      </c>
    </row>
    <row r="3120" customFormat="false" ht="15" hidden="false" customHeight="false" outlineLevel="0" collapsed="false">
      <c r="A3120" s="0" t="n">
        <v>4263</v>
      </c>
      <c r="B3120" s="0" t="s">
        <v>6376</v>
      </c>
      <c r="C3120" s="0" t="s">
        <v>31</v>
      </c>
      <c r="D3120" s="0" t="s">
        <v>3671</v>
      </c>
    </row>
    <row r="3121" customFormat="false" ht="15" hidden="false" customHeight="false" outlineLevel="0" collapsed="false">
      <c r="A3121" s="0" t="n">
        <v>36518</v>
      </c>
      <c r="B3121" s="0" t="s">
        <v>6377</v>
      </c>
      <c r="C3121" s="0" t="s">
        <v>31</v>
      </c>
      <c r="D3121" s="0" t="s">
        <v>3671</v>
      </c>
    </row>
    <row r="3122" customFormat="false" ht="15" hidden="false" customHeight="false" outlineLevel="0" collapsed="false">
      <c r="A3122" s="0" t="n">
        <v>38402</v>
      </c>
      <c r="B3122" s="0" t="s">
        <v>6378</v>
      </c>
      <c r="C3122" s="0" t="s">
        <v>31</v>
      </c>
      <c r="D3122" s="0" t="s">
        <v>3671</v>
      </c>
      <c r="E3122" s="0" t="n">
        <v>14.52</v>
      </c>
    </row>
    <row r="3123" customFormat="false" ht="15" hidden="false" customHeight="false" outlineLevel="0" collapsed="false">
      <c r="A3123" s="0" t="n">
        <v>3412</v>
      </c>
      <c r="B3123" s="0" t="s">
        <v>6379</v>
      </c>
      <c r="C3123" s="0" t="s">
        <v>1477</v>
      </c>
      <c r="D3123" s="0" t="s">
        <v>3671</v>
      </c>
    </row>
    <row r="3124" customFormat="false" ht="15" hidden="false" customHeight="false" outlineLevel="0" collapsed="false">
      <c r="A3124" s="0" t="n">
        <v>3413</v>
      </c>
      <c r="B3124" s="0" t="s">
        <v>1795</v>
      </c>
      <c r="C3124" s="0" t="s">
        <v>1477</v>
      </c>
      <c r="D3124" s="0" t="s">
        <v>3671</v>
      </c>
    </row>
    <row r="3125" customFormat="false" ht="15" hidden="false" customHeight="false" outlineLevel="0" collapsed="false">
      <c r="A3125" s="0" t="n">
        <v>39744</v>
      </c>
      <c r="B3125" s="0" t="s">
        <v>6380</v>
      </c>
      <c r="C3125" s="0" t="s">
        <v>1477</v>
      </c>
      <c r="D3125" s="0" t="s">
        <v>3671</v>
      </c>
    </row>
    <row r="3126" customFormat="false" ht="15" hidden="false" customHeight="false" outlineLevel="0" collapsed="false">
      <c r="A3126" s="0" t="n">
        <v>39745</v>
      </c>
      <c r="B3126" s="0" t="s">
        <v>6381</v>
      </c>
      <c r="C3126" s="0" t="s">
        <v>1477</v>
      </c>
      <c r="D3126" s="0" t="s">
        <v>3671</v>
      </c>
    </row>
    <row r="3127" customFormat="false" ht="15" hidden="false" customHeight="false" outlineLevel="0" collapsed="false">
      <c r="A3127" s="0" t="n">
        <v>39637</v>
      </c>
      <c r="B3127" s="0" t="s">
        <v>6382</v>
      </c>
      <c r="C3127" s="0" t="s">
        <v>1477</v>
      </c>
      <c r="D3127" s="0" t="s">
        <v>3671</v>
      </c>
      <c r="E3127" s="0" t="n">
        <v>100.76</v>
      </c>
    </row>
    <row r="3128" customFormat="false" ht="15" hidden="false" customHeight="false" outlineLevel="0" collapsed="false">
      <c r="A3128" s="0" t="n">
        <v>39638</v>
      </c>
      <c r="B3128" s="0" t="s">
        <v>6383</v>
      </c>
      <c r="C3128" s="0" t="s">
        <v>1477</v>
      </c>
      <c r="D3128" s="0" t="s">
        <v>3671</v>
      </c>
      <c r="E3128" s="0" t="n">
        <v>114.02</v>
      </c>
    </row>
    <row r="3129" customFormat="false" ht="15" hidden="false" customHeight="false" outlineLevel="0" collapsed="false">
      <c r="A3129" s="0" t="n">
        <v>39639</v>
      </c>
      <c r="B3129" s="0" t="s">
        <v>6384</v>
      </c>
      <c r="C3129" s="0" t="s">
        <v>1477</v>
      </c>
      <c r="D3129" s="0" t="s">
        <v>3671</v>
      </c>
      <c r="E3129" s="0" t="n">
        <v>172.03</v>
      </c>
    </row>
    <row r="3130" customFormat="false" ht="15" hidden="false" customHeight="false" outlineLevel="0" collapsed="false">
      <c r="A3130" s="0" t="n">
        <v>39517</v>
      </c>
      <c r="B3130" s="0" t="s">
        <v>6385</v>
      </c>
      <c r="C3130" s="0" t="s">
        <v>1477</v>
      </c>
      <c r="D3130" s="0" t="s">
        <v>3671</v>
      </c>
      <c r="E3130" s="0" t="n">
        <v>165.35</v>
      </c>
    </row>
    <row r="3131" customFormat="false" ht="15" hidden="false" customHeight="false" outlineLevel="0" collapsed="false">
      <c r="A3131" s="0" t="n">
        <v>39518</v>
      </c>
      <c r="B3131" s="0" t="s">
        <v>6386</v>
      </c>
      <c r="C3131" s="0" t="s">
        <v>1477</v>
      </c>
      <c r="D3131" s="0" t="s">
        <v>3671</v>
      </c>
      <c r="E3131" s="0" t="n">
        <v>196.03</v>
      </c>
    </row>
    <row r="3132" customFormat="false" ht="15" hidden="false" customHeight="false" outlineLevel="0" collapsed="false">
      <c r="A3132" s="0" t="n">
        <v>38366</v>
      </c>
      <c r="B3132" s="0" t="s">
        <v>6387</v>
      </c>
      <c r="C3132" s="0" t="s">
        <v>1477</v>
      </c>
      <c r="D3132" s="0" t="s">
        <v>3671</v>
      </c>
      <c r="E3132" s="0" t="n">
        <v>4.65</v>
      </c>
    </row>
    <row r="3133" customFormat="false" ht="15" hidden="false" customHeight="false" outlineLevel="0" collapsed="false">
      <c r="A3133" s="0" t="n">
        <v>11703</v>
      </c>
      <c r="B3133" s="0" t="s">
        <v>6388</v>
      </c>
      <c r="C3133" s="0" t="s">
        <v>31</v>
      </c>
      <c r="D3133" s="0" t="s">
        <v>3671</v>
      </c>
      <c r="E3133" s="0" t="n">
        <v>24.1</v>
      </c>
    </row>
    <row r="3134" customFormat="false" ht="15" hidden="false" customHeight="false" outlineLevel="0" collapsed="false">
      <c r="A3134" s="0" t="n">
        <v>37400</v>
      </c>
      <c r="B3134" s="0" t="s">
        <v>2048</v>
      </c>
      <c r="C3134" s="0" t="s">
        <v>31</v>
      </c>
      <c r="D3134" s="0" t="s">
        <v>3671</v>
      </c>
      <c r="E3134" s="0" t="n">
        <v>100.36</v>
      </c>
    </row>
    <row r="3135" customFormat="false" ht="15" hidden="false" customHeight="false" outlineLevel="0" collapsed="false">
      <c r="A3135" s="0" t="n">
        <v>25400</v>
      </c>
      <c r="B3135" s="0" t="s">
        <v>6389</v>
      </c>
      <c r="C3135" s="0" t="s">
        <v>31</v>
      </c>
      <c r="D3135" s="0" t="s">
        <v>3671</v>
      </c>
      <c r="E3135" s="0" t="n">
        <v>3550.48</v>
      </c>
    </row>
    <row r="3136" customFormat="false" ht="15" hidden="false" customHeight="false" outlineLevel="0" collapsed="false">
      <c r="A3136" s="0" t="n">
        <v>4276</v>
      </c>
      <c r="B3136" s="0" t="s">
        <v>6390</v>
      </c>
      <c r="C3136" s="0" t="s">
        <v>31</v>
      </c>
      <c r="D3136" s="0" t="s">
        <v>3671</v>
      </c>
      <c r="E3136" s="0" t="n">
        <v>209.21</v>
      </c>
    </row>
    <row r="3137" customFormat="false" ht="15" hidden="false" customHeight="false" outlineLevel="0" collapsed="false">
      <c r="A3137" s="0" t="n">
        <v>4273</v>
      </c>
      <c r="B3137" s="0" t="s">
        <v>6391</v>
      </c>
      <c r="C3137" s="0" t="s">
        <v>31</v>
      </c>
      <c r="D3137" s="0" t="s">
        <v>3671</v>
      </c>
      <c r="E3137" s="0" t="n">
        <v>379.84</v>
      </c>
    </row>
    <row r="3138" customFormat="false" ht="15" hidden="false" customHeight="false" outlineLevel="0" collapsed="false">
      <c r="A3138" s="0" t="n">
        <v>4274</v>
      </c>
      <c r="B3138" s="0" t="s">
        <v>2612</v>
      </c>
      <c r="C3138" s="0" t="s">
        <v>31</v>
      </c>
      <c r="D3138" s="0" t="s">
        <v>3676</v>
      </c>
      <c r="E3138" s="0" t="n">
        <v>138.96</v>
      </c>
    </row>
    <row r="3139" customFormat="false" ht="15" hidden="false" customHeight="false" outlineLevel="0" collapsed="false">
      <c r="A3139" s="0" t="n">
        <v>39438</v>
      </c>
      <c r="B3139" s="0" t="s">
        <v>6392</v>
      </c>
      <c r="C3139" s="0" t="s">
        <v>31</v>
      </c>
      <c r="D3139" s="0" t="s">
        <v>3671</v>
      </c>
    </row>
    <row r="3140" customFormat="false" ht="15" hidden="false" customHeight="false" outlineLevel="0" collapsed="false">
      <c r="A3140" s="0" t="n">
        <v>4379</v>
      </c>
      <c r="B3140" s="0" t="s">
        <v>6393</v>
      </c>
      <c r="C3140" s="0" t="s">
        <v>31</v>
      </c>
      <c r="D3140" s="0" t="s">
        <v>3671</v>
      </c>
    </row>
    <row r="3141" customFormat="false" ht="15" hidden="false" customHeight="false" outlineLevel="0" collapsed="false">
      <c r="A3141" s="0" t="n">
        <v>4377</v>
      </c>
      <c r="B3141" s="0" t="s">
        <v>1829</v>
      </c>
      <c r="C3141" s="0" t="s">
        <v>31</v>
      </c>
      <c r="D3141" s="0" t="s">
        <v>3671</v>
      </c>
    </row>
    <row r="3142" customFormat="false" ht="15" hidden="false" customHeight="false" outlineLevel="0" collapsed="false">
      <c r="A3142" s="0" t="n">
        <v>4356</v>
      </c>
      <c r="B3142" s="0" t="s">
        <v>6394</v>
      </c>
      <c r="C3142" s="0" t="s">
        <v>31</v>
      </c>
      <c r="D3142" s="0" t="s">
        <v>3671</v>
      </c>
    </row>
    <row r="3143" customFormat="false" ht="15" hidden="false" customHeight="false" outlineLevel="0" collapsed="false">
      <c r="A3143" s="0" t="n">
        <v>13246</v>
      </c>
      <c r="B3143" s="0" t="s">
        <v>1811</v>
      </c>
      <c r="C3143" s="0" t="s">
        <v>31</v>
      </c>
      <c r="D3143" s="0" t="s">
        <v>3671</v>
      </c>
    </row>
    <row r="3144" customFormat="false" ht="15" hidden="false" customHeight="false" outlineLevel="0" collapsed="false">
      <c r="A3144" s="0" t="n">
        <v>13294</v>
      </c>
      <c r="B3144" s="0" t="s">
        <v>2782</v>
      </c>
      <c r="C3144" s="0" t="s">
        <v>31</v>
      </c>
      <c r="D3144" s="0" t="s">
        <v>3671</v>
      </c>
    </row>
    <row r="3145" customFormat="false" ht="15" hidden="false" customHeight="false" outlineLevel="0" collapsed="false">
      <c r="A3145" s="0" t="n">
        <v>11963</v>
      </c>
      <c r="B3145" s="0" t="s">
        <v>6395</v>
      </c>
      <c r="C3145" s="0" t="s">
        <v>31</v>
      </c>
      <c r="D3145" s="0" t="s">
        <v>3671</v>
      </c>
    </row>
    <row r="3146" customFormat="false" ht="15" hidden="false" customHeight="false" outlineLevel="0" collapsed="false">
      <c r="A3146" s="0" t="n">
        <v>11964</v>
      </c>
      <c r="B3146" s="0" t="s">
        <v>1812</v>
      </c>
      <c r="C3146" s="0" t="s">
        <v>31</v>
      </c>
      <c r="D3146" s="0" t="s">
        <v>3671</v>
      </c>
    </row>
    <row r="3147" customFormat="false" ht="15" hidden="false" customHeight="false" outlineLevel="0" collapsed="false">
      <c r="A3147" s="0" t="n">
        <v>4346</v>
      </c>
      <c r="B3147" s="0" t="s">
        <v>2710</v>
      </c>
      <c r="C3147" s="0" t="s">
        <v>31</v>
      </c>
      <c r="D3147" s="0" t="s">
        <v>3671</v>
      </c>
    </row>
    <row r="3148" customFormat="false" ht="15" hidden="false" customHeight="false" outlineLevel="0" collapsed="false">
      <c r="A3148" s="0" t="n">
        <v>11955</v>
      </c>
      <c r="B3148" s="0" t="s">
        <v>6396</v>
      </c>
      <c r="C3148" s="0" t="s">
        <v>31</v>
      </c>
      <c r="D3148" s="0" t="s">
        <v>3671</v>
      </c>
    </row>
    <row r="3149" customFormat="false" ht="15" hidden="false" customHeight="false" outlineLevel="0" collapsed="false">
      <c r="A3149" s="0" t="n">
        <v>11960</v>
      </c>
      <c r="B3149" s="0" t="s">
        <v>6397</v>
      </c>
      <c r="C3149" s="0" t="s">
        <v>31</v>
      </c>
      <c r="D3149" s="0" t="s">
        <v>3671</v>
      </c>
    </row>
    <row r="3150" customFormat="false" ht="15" hidden="false" customHeight="false" outlineLevel="0" collapsed="false">
      <c r="A3150" s="0" t="n">
        <v>4333</v>
      </c>
      <c r="B3150" s="0" t="s">
        <v>6398</v>
      </c>
      <c r="C3150" s="0" t="s">
        <v>31</v>
      </c>
      <c r="D3150" s="0" t="s">
        <v>3671</v>
      </c>
    </row>
    <row r="3151" customFormat="false" ht="15" hidden="false" customHeight="false" outlineLevel="0" collapsed="false">
      <c r="A3151" s="0" t="n">
        <v>4358</v>
      </c>
      <c r="B3151" s="0" t="s">
        <v>6399</v>
      </c>
      <c r="C3151" s="0" t="s">
        <v>31</v>
      </c>
      <c r="D3151" s="0" t="s">
        <v>3671</v>
      </c>
    </row>
    <row r="3152" customFormat="false" ht="15" hidden="false" customHeight="false" outlineLevel="0" collapsed="false">
      <c r="A3152" s="0" t="n">
        <v>39435</v>
      </c>
      <c r="B3152" s="0" t="s">
        <v>1796</v>
      </c>
      <c r="C3152" s="0" t="s">
        <v>31</v>
      </c>
      <c r="D3152" s="0" t="s">
        <v>3671</v>
      </c>
    </row>
    <row r="3153" customFormat="false" ht="15" hidden="false" customHeight="false" outlineLevel="0" collapsed="false">
      <c r="A3153" s="0" t="n">
        <v>39436</v>
      </c>
      <c r="B3153" s="0" t="s">
        <v>6400</v>
      </c>
      <c r="C3153" s="0" t="s">
        <v>31</v>
      </c>
      <c r="D3153" s="0" t="s">
        <v>3671</v>
      </c>
    </row>
    <row r="3154" customFormat="false" ht="15" hidden="false" customHeight="false" outlineLevel="0" collapsed="false">
      <c r="A3154" s="0" t="n">
        <v>39437</v>
      </c>
      <c r="B3154" s="0" t="s">
        <v>6401</v>
      </c>
      <c r="C3154" s="0" t="s">
        <v>31</v>
      </c>
      <c r="D3154" s="0" t="s">
        <v>3671</v>
      </c>
    </row>
    <row r="3155" customFormat="false" ht="15" hidden="false" customHeight="false" outlineLevel="0" collapsed="false">
      <c r="A3155" s="0" t="n">
        <v>39439</v>
      </c>
      <c r="B3155" s="0" t="s">
        <v>6402</v>
      </c>
      <c r="C3155" s="0" t="s">
        <v>31</v>
      </c>
      <c r="D3155" s="0" t="s">
        <v>3671</v>
      </c>
    </row>
    <row r="3156" customFormat="false" ht="15" hidden="false" customHeight="false" outlineLevel="0" collapsed="false">
      <c r="A3156" s="0" t="n">
        <v>39440</v>
      </c>
      <c r="B3156" s="0" t="s">
        <v>6403</v>
      </c>
      <c r="C3156" s="0" t="s">
        <v>31</v>
      </c>
      <c r="D3156" s="0" t="s">
        <v>3671</v>
      </c>
    </row>
    <row r="3157" customFormat="false" ht="15" hidden="false" customHeight="false" outlineLevel="0" collapsed="false">
      <c r="A3157" s="0" t="n">
        <v>39441</v>
      </c>
      <c r="B3157" s="0" t="s">
        <v>6404</v>
      </c>
      <c r="C3157" s="0" t="s">
        <v>31</v>
      </c>
      <c r="D3157" s="0" t="s">
        <v>3671</v>
      </c>
    </row>
    <row r="3158" customFormat="false" ht="15" hidden="false" customHeight="false" outlineLevel="0" collapsed="false">
      <c r="A3158" s="0" t="n">
        <v>39442</v>
      </c>
      <c r="B3158" s="0" t="s">
        <v>6405</v>
      </c>
      <c r="C3158" s="0" t="s">
        <v>31</v>
      </c>
      <c r="D3158" s="0" t="s">
        <v>3671</v>
      </c>
    </row>
    <row r="3159" customFormat="false" ht="15" hidden="false" customHeight="false" outlineLevel="0" collapsed="false">
      <c r="A3159" s="0" t="n">
        <v>39443</v>
      </c>
      <c r="B3159" s="0" t="s">
        <v>1797</v>
      </c>
      <c r="C3159" s="0" t="s">
        <v>31</v>
      </c>
      <c r="D3159" s="0" t="s">
        <v>3671</v>
      </c>
    </row>
    <row r="3160" customFormat="false" ht="15" hidden="false" customHeight="false" outlineLevel="0" collapsed="false">
      <c r="A3160" s="0" t="n">
        <v>4329</v>
      </c>
      <c r="B3160" s="0" t="s">
        <v>6406</v>
      </c>
      <c r="C3160" s="0" t="s">
        <v>31</v>
      </c>
      <c r="D3160" s="0" t="s">
        <v>3676</v>
      </c>
    </row>
    <row r="3161" customFormat="false" ht="15" hidden="false" customHeight="false" outlineLevel="0" collapsed="false">
      <c r="A3161" s="0" t="n">
        <v>436</v>
      </c>
      <c r="B3161" s="0" t="s">
        <v>6407</v>
      </c>
      <c r="C3161" s="0" t="s">
        <v>31</v>
      </c>
      <c r="D3161" s="0" t="s">
        <v>3671</v>
      </c>
    </row>
    <row r="3162" customFormat="false" ht="15" hidden="false" customHeight="false" outlineLevel="0" collapsed="false">
      <c r="A3162" s="0" t="n">
        <v>442</v>
      </c>
      <c r="B3162" s="0" t="s">
        <v>1736</v>
      </c>
      <c r="C3162" s="0" t="s">
        <v>31</v>
      </c>
      <c r="D3162" s="0" t="s">
        <v>3671</v>
      </c>
    </row>
    <row r="3163" customFormat="false" ht="15" hidden="false" customHeight="false" outlineLevel="0" collapsed="false">
      <c r="A3163" s="0" t="n">
        <v>4383</v>
      </c>
      <c r="B3163" s="0" t="s">
        <v>6408</v>
      </c>
      <c r="C3163" s="0" t="s">
        <v>31</v>
      </c>
      <c r="D3163" s="0" t="s">
        <v>3671</v>
      </c>
    </row>
    <row r="3164" customFormat="false" ht="15" hidden="false" customHeight="false" outlineLevel="0" collapsed="false">
      <c r="A3164" s="0" t="n">
        <v>4344</v>
      </c>
      <c r="B3164" s="0" t="s">
        <v>1574</v>
      </c>
      <c r="C3164" s="0" t="s">
        <v>31</v>
      </c>
      <c r="D3164" s="0" t="s">
        <v>3671</v>
      </c>
    </row>
    <row r="3165" customFormat="false" ht="15" hidden="false" customHeight="false" outlineLevel="0" collapsed="false">
      <c r="A3165" s="0" t="n">
        <v>4335</v>
      </c>
      <c r="B3165" s="0" t="s">
        <v>6409</v>
      </c>
      <c r="C3165" s="0" t="s">
        <v>31</v>
      </c>
      <c r="D3165" s="0" t="s">
        <v>3671</v>
      </c>
    </row>
    <row r="3166" customFormat="false" ht="15" hidden="false" customHeight="false" outlineLevel="0" collapsed="false">
      <c r="A3166" s="0" t="n">
        <v>4334</v>
      </c>
      <c r="B3166" s="0" t="s">
        <v>6410</v>
      </c>
      <c r="C3166" s="0" t="s">
        <v>31</v>
      </c>
      <c r="D3166" s="0" t="s">
        <v>3671</v>
      </c>
    </row>
    <row r="3167" customFormat="false" ht="15" hidden="false" customHeight="false" outlineLevel="0" collapsed="false">
      <c r="A3167" s="0" t="n">
        <v>11953</v>
      </c>
      <c r="B3167" s="0" t="s">
        <v>6411</v>
      </c>
      <c r="C3167" s="0" t="s">
        <v>31</v>
      </c>
      <c r="D3167" s="0" t="s">
        <v>3671</v>
      </c>
    </row>
    <row r="3168" customFormat="false" ht="15" hidden="false" customHeight="false" outlineLevel="0" collapsed="false">
      <c r="A3168" s="0" t="n">
        <v>4343</v>
      </c>
      <c r="B3168" s="0" t="s">
        <v>6412</v>
      </c>
      <c r="C3168" s="0" t="s">
        <v>31</v>
      </c>
      <c r="D3168" s="0" t="s">
        <v>3671</v>
      </c>
    </row>
    <row r="3169" customFormat="false" ht="15" hidden="false" customHeight="false" outlineLevel="0" collapsed="false">
      <c r="A3169" s="0" t="n">
        <v>430</v>
      </c>
      <c r="B3169" s="0" t="s">
        <v>6413</v>
      </c>
      <c r="C3169" s="0" t="s">
        <v>31</v>
      </c>
      <c r="D3169" s="0" t="s">
        <v>3671</v>
      </c>
    </row>
    <row r="3170" customFormat="false" ht="15" hidden="false" customHeight="false" outlineLevel="0" collapsed="false">
      <c r="A3170" s="0" t="n">
        <v>441</v>
      </c>
      <c r="B3170" s="0" t="s">
        <v>6414</v>
      </c>
      <c r="C3170" s="0" t="s">
        <v>31</v>
      </c>
      <c r="D3170" s="0" t="s">
        <v>3671</v>
      </c>
    </row>
    <row r="3171" customFormat="false" ht="15" hidden="false" customHeight="false" outlineLevel="0" collapsed="false">
      <c r="A3171" s="0" t="n">
        <v>431</v>
      </c>
      <c r="B3171" s="0" t="s">
        <v>6415</v>
      </c>
      <c r="C3171" s="0" t="s">
        <v>31</v>
      </c>
      <c r="D3171" s="0" t="s">
        <v>3671</v>
      </c>
    </row>
    <row r="3172" customFormat="false" ht="15" hidden="false" customHeight="false" outlineLevel="0" collapsed="false">
      <c r="A3172" s="0" t="n">
        <v>432</v>
      </c>
      <c r="B3172" s="0" t="s">
        <v>6416</v>
      </c>
      <c r="C3172" s="0" t="s">
        <v>31</v>
      </c>
      <c r="D3172" s="0" t="s">
        <v>3671</v>
      </c>
    </row>
    <row r="3173" customFormat="false" ht="15" hidden="false" customHeight="false" outlineLevel="0" collapsed="false">
      <c r="A3173" s="0" t="n">
        <v>429</v>
      </c>
      <c r="B3173" s="0" t="s">
        <v>6417</v>
      </c>
      <c r="C3173" s="0" t="s">
        <v>31</v>
      </c>
      <c r="D3173" s="0" t="s">
        <v>3671</v>
      </c>
    </row>
    <row r="3174" customFormat="false" ht="15" hidden="false" customHeight="false" outlineLevel="0" collapsed="false">
      <c r="A3174" s="0" t="n">
        <v>439</v>
      </c>
      <c r="B3174" s="0" t="s">
        <v>6418</v>
      </c>
      <c r="C3174" s="0" t="s">
        <v>31</v>
      </c>
      <c r="D3174" s="0" t="s">
        <v>3671</v>
      </c>
    </row>
    <row r="3175" customFormat="false" ht="15" hidden="false" customHeight="false" outlineLevel="0" collapsed="false">
      <c r="A3175" s="0" t="n">
        <v>433</v>
      </c>
      <c r="B3175" s="0" t="s">
        <v>6419</v>
      </c>
      <c r="C3175" s="0" t="s">
        <v>31</v>
      </c>
      <c r="D3175" s="0" t="s">
        <v>3671</v>
      </c>
    </row>
    <row r="3176" customFormat="false" ht="15" hidden="false" customHeight="false" outlineLevel="0" collapsed="false">
      <c r="A3176" s="0" t="n">
        <v>437</v>
      </c>
      <c r="B3176" s="0" t="s">
        <v>6420</v>
      </c>
      <c r="C3176" s="0" t="s">
        <v>31</v>
      </c>
      <c r="D3176" s="0" t="s">
        <v>3671</v>
      </c>
    </row>
    <row r="3177" customFormat="false" ht="15" hidden="false" customHeight="false" outlineLevel="0" collapsed="false">
      <c r="A3177" s="0" t="n">
        <v>11790</v>
      </c>
      <c r="B3177" s="0" t="s">
        <v>6421</v>
      </c>
      <c r="C3177" s="0" t="s">
        <v>31</v>
      </c>
      <c r="D3177" s="0" t="s">
        <v>3671</v>
      </c>
    </row>
    <row r="3178" customFormat="false" ht="15" hidden="false" customHeight="false" outlineLevel="0" collapsed="false">
      <c r="A3178" s="0" t="n">
        <v>428</v>
      </c>
      <c r="B3178" s="0" t="s">
        <v>6422</v>
      </c>
      <c r="C3178" s="0" t="s">
        <v>31</v>
      </c>
      <c r="D3178" s="0" t="s">
        <v>3676</v>
      </c>
    </row>
    <row r="3179" customFormat="false" ht="15" hidden="false" customHeight="false" outlineLevel="0" collapsed="false">
      <c r="A3179" s="0" t="n">
        <v>4351</v>
      </c>
      <c r="B3179" s="0" t="s">
        <v>1884</v>
      </c>
      <c r="C3179" s="0" t="s">
        <v>31</v>
      </c>
      <c r="D3179" s="0" t="s">
        <v>3671</v>
      </c>
    </row>
    <row r="3180" customFormat="false" ht="15" hidden="false" customHeight="false" outlineLevel="0" collapsed="false">
      <c r="A3180" s="0" t="n">
        <v>4384</v>
      </c>
      <c r="B3180" s="0" t="s">
        <v>2017</v>
      </c>
      <c r="C3180" s="0" t="s">
        <v>31</v>
      </c>
      <c r="D3180" s="0" t="s">
        <v>3671</v>
      </c>
    </row>
    <row r="3181" customFormat="false" ht="15" hidden="false" customHeight="false" outlineLevel="0" collapsed="false">
      <c r="A3181" s="0" t="n">
        <v>11054</v>
      </c>
      <c r="B3181" s="0" t="s">
        <v>6423</v>
      </c>
      <c r="C3181" s="0" t="s">
        <v>31</v>
      </c>
      <c r="D3181" s="0" t="s">
        <v>3671</v>
      </c>
      <c r="E3181" s="0" t="n">
        <v>0.03</v>
      </c>
    </row>
    <row r="3182" customFormat="false" ht="15" hidden="false" customHeight="false" outlineLevel="0" collapsed="false">
      <c r="A3182" s="0" t="n">
        <v>11055</v>
      </c>
      <c r="B3182" s="0" t="s">
        <v>1846</v>
      </c>
      <c r="C3182" s="0" t="s">
        <v>31</v>
      </c>
      <c r="D3182" s="0" t="s">
        <v>3671</v>
      </c>
      <c r="E3182" s="0" t="n">
        <v>0.06</v>
      </c>
    </row>
    <row r="3183" customFormat="false" ht="15" hidden="false" customHeight="false" outlineLevel="0" collapsed="false">
      <c r="A3183" s="0" t="n">
        <v>11056</v>
      </c>
      <c r="B3183" s="0" t="s">
        <v>6424</v>
      </c>
      <c r="C3183" s="0" t="s">
        <v>31</v>
      </c>
      <c r="D3183" s="0" t="s">
        <v>3671</v>
      </c>
      <c r="E3183" s="0" t="n">
        <v>0.06</v>
      </c>
    </row>
    <row r="3184" customFormat="false" ht="15" hidden="false" customHeight="false" outlineLevel="0" collapsed="false">
      <c r="A3184" s="0" t="n">
        <v>11057</v>
      </c>
      <c r="B3184" s="0" t="s">
        <v>6425</v>
      </c>
      <c r="C3184" s="0" t="s">
        <v>31</v>
      </c>
      <c r="D3184" s="0" t="s">
        <v>3671</v>
      </c>
      <c r="E3184" s="0" t="n">
        <v>0.13</v>
      </c>
    </row>
    <row r="3185" customFormat="false" ht="15" hidden="false" customHeight="false" outlineLevel="0" collapsed="false">
      <c r="A3185" s="0" t="n">
        <v>11059</v>
      </c>
      <c r="B3185" s="0" t="s">
        <v>6426</v>
      </c>
      <c r="C3185" s="0" t="s">
        <v>31</v>
      </c>
      <c r="D3185" s="0" t="s">
        <v>3671</v>
      </c>
      <c r="E3185" s="0" t="n">
        <v>0.27</v>
      </c>
    </row>
    <row r="3186" customFormat="false" ht="15" hidden="false" customHeight="false" outlineLevel="0" collapsed="false">
      <c r="A3186" s="0" t="n">
        <v>11058</v>
      </c>
      <c r="B3186" s="0" t="s">
        <v>6427</v>
      </c>
      <c r="C3186" s="0" t="s">
        <v>31</v>
      </c>
      <c r="D3186" s="0" t="s">
        <v>3671</v>
      </c>
      <c r="E3186" s="0" t="n">
        <v>0.34</v>
      </c>
    </row>
    <row r="3187" customFormat="false" ht="15" hidden="false" customHeight="false" outlineLevel="0" collapsed="false">
      <c r="A3187" s="0" t="n">
        <v>4320</v>
      </c>
      <c r="B3187" s="0" t="s">
        <v>6428</v>
      </c>
      <c r="C3187" s="0" t="s">
        <v>31</v>
      </c>
      <c r="D3187" s="0" t="s">
        <v>3671</v>
      </c>
      <c r="E3187" s="0" t="n">
        <v>2.77</v>
      </c>
    </row>
    <row r="3188" customFormat="false" ht="15" hidden="false" customHeight="false" outlineLevel="0" collapsed="false">
      <c r="A3188" s="0" t="n">
        <v>4318</v>
      </c>
      <c r="B3188" s="0" t="s">
        <v>6429</v>
      </c>
      <c r="C3188" s="0" t="s">
        <v>31</v>
      </c>
      <c r="D3188" s="0" t="s">
        <v>3671</v>
      </c>
      <c r="E3188" s="0" t="n">
        <v>1.35</v>
      </c>
    </row>
    <row r="3189" customFormat="false" ht="15" hidden="false" customHeight="false" outlineLevel="0" collapsed="false">
      <c r="A3189" s="0" t="n">
        <v>4380</v>
      </c>
      <c r="B3189" s="0" t="s">
        <v>6430</v>
      </c>
      <c r="C3189" s="0" t="s">
        <v>31</v>
      </c>
      <c r="D3189" s="0" t="s">
        <v>3671</v>
      </c>
      <c r="E3189" s="0" t="n">
        <v>1.16</v>
      </c>
    </row>
    <row r="3190" customFormat="false" ht="15" hidden="false" customHeight="false" outlineLevel="0" collapsed="false">
      <c r="A3190" s="0" t="n">
        <v>4299</v>
      </c>
      <c r="B3190" s="0" t="s">
        <v>6431</v>
      </c>
      <c r="C3190" s="0" t="s">
        <v>31</v>
      </c>
      <c r="D3190" s="0" t="s">
        <v>3676</v>
      </c>
      <c r="E3190" s="0" t="n">
        <v>1.1</v>
      </c>
    </row>
    <row r="3191" customFormat="false" ht="15" hidden="false" customHeight="false" outlineLevel="0" collapsed="false">
      <c r="A3191" s="0" t="n">
        <v>4304</v>
      </c>
      <c r="B3191" s="0" t="s">
        <v>6432</v>
      </c>
      <c r="C3191" s="0" t="s">
        <v>31</v>
      </c>
      <c r="D3191" s="0" t="s">
        <v>3671</v>
      </c>
      <c r="E3191" s="0" t="n">
        <v>1.5</v>
      </c>
    </row>
    <row r="3192" customFormat="false" ht="15" hidden="false" customHeight="false" outlineLevel="0" collapsed="false">
      <c r="A3192" s="0" t="n">
        <v>4305</v>
      </c>
      <c r="B3192" s="0" t="s">
        <v>6433</v>
      </c>
      <c r="C3192" s="0" t="s">
        <v>31</v>
      </c>
      <c r="D3192" s="0" t="s">
        <v>3671</v>
      </c>
      <c r="E3192" s="0" t="n">
        <v>1.74</v>
      </c>
    </row>
    <row r="3193" customFormat="false" ht="15" hidden="false" customHeight="false" outlineLevel="0" collapsed="false">
      <c r="A3193" s="0" t="n">
        <v>4306</v>
      </c>
      <c r="B3193" s="0" t="s">
        <v>6434</v>
      </c>
      <c r="C3193" s="0" t="s">
        <v>31</v>
      </c>
      <c r="D3193" s="0" t="s">
        <v>3671</v>
      </c>
      <c r="E3193" s="0" t="n">
        <v>2.02</v>
      </c>
    </row>
    <row r="3194" customFormat="false" ht="15" hidden="false" customHeight="false" outlineLevel="0" collapsed="false">
      <c r="A3194" s="0" t="n">
        <v>4308</v>
      </c>
      <c r="B3194" s="0" t="s">
        <v>6435</v>
      </c>
      <c r="C3194" s="0" t="s">
        <v>31</v>
      </c>
      <c r="D3194" s="0" t="s">
        <v>3671</v>
      </c>
      <c r="E3194" s="0" t="n">
        <v>4.19</v>
      </c>
    </row>
    <row r="3195" customFormat="false" ht="15" hidden="false" customHeight="false" outlineLevel="0" collapsed="false">
      <c r="A3195" s="0" t="n">
        <v>4302</v>
      </c>
      <c r="B3195" s="0" t="s">
        <v>1545</v>
      </c>
      <c r="C3195" s="0" t="s">
        <v>31</v>
      </c>
      <c r="D3195" s="0" t="s">
        <v>3671</v>
      </c>
      <c r="E3195" s="0" t="n">
        <v>3.14</v>
      </c>
    </row>
    <row r="3196" customFormat="false" ht="15" hidden="false" customHeight="false" outlineLevel="0" collapsed="false">
      <c r="A3196" s="0" t="n">
        <v>4300</v>
      </c>
      <c r="B3196" s="0" t="s">
        <v>6436</v>
      </c>
      <c r="C3196" s="0" t="s">
        <v>31</v>
      </c>
      <c r="D3196" s="0" t="s">
        <v>3671</v>
      </c>
      <c r="E3196" s="0" t="n">
        <v>0.75</v>
      </c>
    </row>
    <row r="3197" customFormat="false" ht="15" hidden="false" customHeight="false" outlineLevel="0" collapsed="false">
      <c r="A3197" s="0" t="n">
        <v>4301</v>
      </c>
      <c r="B3197" s="0" t="s">
        <v>6437</v>
      </c>
      <c r="C3197" s="0" t="s">
        <v>31</v>
      </c>
      <c r="D3197" s="0" t="s">
        <v>3671</v>
      </c>
      <c r="E3197" s="0" t="n">
        <v>0.91</v>
      </c>
    </row>
    <row r="3198" customFormat="false" ht="15" hidden="false" customHeight="false" outlineLevel="0" collapsed="false">
      <c r="A3198" s="0" t="n">
        <v>40547</v>
      </c>
      <c r="B3198" s="0" t="s">
        <v>1785</v>
      </c>
      <c r="C3198" s="0" t="s">
        <v>1576</v>
      </c>
      <c r="D3198" s="0" t="s">
        <v>3671</v>
      </c>
    </row>
    <row r="3199" customFormat="false" ht="15" hidden="false" customHeight="false" outlineLevel="0" collapsed="false">
      <c r="A3199" s="0" t="n">
        <v>11962</v>
      </c>
      <c r="B3199" s="0" t="s">
        <v>6438</v>
      </c>
      <c r="C3199" s="0" t="s">
        <v>31</v>
      </c>
      <c r="D3199" s="0" t="s">
        <v>3671</v>
      </c>
    </row>
    <row r="3200" customFormat="false" ht="15" hidden="false" customHeight="false" outlineLevel="0" collapsed="false">
      <c r="A3200" s="0" t="n">
        <v>4332</v>
      </c>
      <c r="B3200" s="0" t="s">
        <v>6439</v>
      </c>
      <c r="C3200" s="0" t="s">
        <v>31</v>
      </c>
      <c r="D3200" s="0" t="s">
        <v>3671</v>
      </c>
    </row>
    <row r="3201" customFormat="false" ht="15" hidden="false" customHeight="false" outlineLevel="0" collapsed="false">
      <c r="A3201" s="0" t="n">
        <v>4331</v>
      </c>
      <c r="B3201" s="0" t="s">
        <v>6440</v>
      </c>
      <c r="C3201" s="0" t="s">
        <v>31</v>
      </c>
      <c r="D3201" s="0" t="s">
        <v>3671</v>
      </c>
    </row>
    <row r="3202" customFormat="false" ht="15" hidden="false" customHeight="false" outlineLevel="0" collapsed="false">
      <c r="A3202" s="0" t="n">
        <v>4336</v>
      </c>
      <c r="B3202" s="0" t="s">
        <v>6441</v>
      </c>
      <c r="C3202" s="0" t="s">
        <v>31</v>
      </c>
      <c r="D3202" s="0" t="s">
        <v>3671</v>
      </c>
    </row>
    <row r="3203" customFormat="false" ht="15" hidden="false" customHeight="false" outlineLevel="0" collapsed="false">
      <c r="A3203" s="0" t="n">
        <v>11948</v>
      </c>
      <c r="B3203" s="0" t="s">
        <v>6442</v>
      </c>
      <c r="C3203" s="0" t="s">
        <v>31</v>
      </c>
      <c r="D3203" s="0" t="s">
        <v>3671</v>
      </c>
    </row>
    <row r="3204" customFormat="false" ht="15" hidden="false" customHeight="false" outlineLevel="0" collapsed="false">
      <c r="A3204" s="0" t="n">
        <v>4382</v>
      </c>
      <c r="B3204" s="0" t="s">
        <v>6443</v>
      </c>
      <c r="C3204" s="0" t="s">
        <v>31</v>
      </c>
      <c r="D3204" s="0" t="s">
        <v>3671</v>
      </c>
    </row>
    <row r="3205" customFormat="false" ht="15" hidden="false" customHeight="false" outlineLevel="0" collapsed="false">
      <c r="A3205" s="0" t="n">
        <v>4354</v>
      </c>
      <c r="B3205" s="0" t="s">
        <v>6444</v>
      </c>
      <c r="C3205" s="0" t="s">
        <v>31</v>
      </c>
      <c r="D3205" s="0" t="s">
        <v>3671</v>
      </c>
    </row>
    <row r="3206" customFormat="false" ht="15" hidden="false" customHeight="false" outlineLevel="0" collapsed="false">
      <c r="A3206" s="0" t="n">
        <v>40839</v>
      </c>
      <c r="B3206" s="0" t="s">
        <v>6445</v>
      </c>
      <c r="C3206" s="0" t="s">
        <v>1576</v>
      </c>
      <c r="D3206" s="0" t="s">
        <v>3671</v>
      </c>
    </row>
    <row r="3207" customFormat="false" ht="15" hidden="false" customHeight="false" outlineLevel="0" collapsed="false">
      <c r="A3207" s="0" t="n">
        <v>40552</v>
      </c>
      <c r="B3207" s="0" t="s">
        <v>1575</v>
      </c>
      <c r="C3207" s="0" t="s">
        <v>1576</v>
      </c>
      <c r="D3207" s="0" t="s">
        <v>3671</v>
      </c>
    </row>
    <row r="3208" customFormat="false" ht="15" hidden="false" customHeight="false" outlineLevel="0" collapsed="false">
      <c r="A3208" s="0" t="n">
        <v>40549</v>
      </c>
      <c r="B3208" s="0" t="s">
        <v>1891</v>
      </c>
      <c r="C3208" s="0" t="s">
        <v>1576</v>
      </c>
      <c r="D3208" s="0" t="s">
        <v>3671</v>
      </c>
    </row>
    <row r="3209" customFormat="false" ht="15" hidden="false" customHeight="false" outlineLevel="0" collapsed="false">
      <c r="A3209" s="0" t="n">
        <v>4385</v>
      </c>
      <c r="B3209" s="0" t="s">
        <v>6446</v>
      </c>
      <c r="C3209" s="0" t="s">
        <v>6447</v>
      </c>
      <c r="D3209" s="0" t="s">
        <v>3671</v>
      </c>
      <c r="E3209" s="0" t="n">
        <v>5670.11</v>
      </c>
    </row>
    <row r="3210" customFormat="false" ht="15" hidden="false" customHeight="false" outlineLevel="0" collapsed="false">
      <c r="A3210" s="0" t="n">
        <v>20078</v>
      </c>
      <c r="B3210" s="0" t="s">
        <v>2123</v>
      </c>
      <c r="C3210" s="0" t="s">
        <v>31</v>
      </c>
      <c r="D3210" s="0" t="s">
        <v>3671</v>
      </c>
      <c r="E3210" s="0" t="n">
        <v>26.04</v>
      </c>
    </row>
    <row r="3211" customFormat="false" ht="15" hidden="false" customHeight="false" outlineLevel="0" collapsed="false">
      <c r="A3211" s="0" t="n">
        <v>39897</v>
      </c>
      <c r="B3211" s="0" t="s">
        <v>6448</v>
      </c>
      <c r="C3211" s="0" t="s">
        <v>31</v>
      </c>
      <c r="D3211" s="0" t="s">
        <v>3671</v>
      </c>
    </row>
    <row r="3212" customFormat="false" ht="15" hidden="false" customHeight="false" outlineLevel="0" collapsed="false">
      <c r="A3212" s="0" t="n">
        <v>118</v>
      </c>
      <c r="B3212" s="0" t="s">
        <v>6449</v>
      </c>
      <c r="C3212" s="0" t="s">
        <v>31</v>
      </c>
      <c r="D3212" s="0" t="s">
        <v>3671</v>
      </c>
      <c r="E3212" s="0" t="n">
        <v>55.05</v>
      </c>
    </row>
    <row r="3213" customFormat="false" ht="15" hidden="false" customHeight="false" outlineLevel="0" collapsed="false">
      <c r="A3213" s="0" t="n">
        <v>4396</v>
      </c>
      <c r="B3213" s="0" t="s">
        <v>6450</v>
      </c>
      <c r="C3213" s="0" t="s">
        <v>1477</v>
      </c>
      <c r="D3213" s="0" t="s">
        <v>3671</v>
      </c>
      <c r="E3213" s="0" t="n">
        <v>270.47</v>
      </c>
    </row>
    <row r="3214" customFormat="false" ht="15" hidden="false" customHeight="false" outlineLevel="0" collapsed="false">
      <c r="A3214" s="0" t="n">
        <v>36881</v>
      </c>
      <c r="B3214" s="0" t="s">
        <v>6451</v>
      </c>
      <c r="C3214" s="0" t="s">
        <v>1477</v>
      </c>
      <c r="D3214" s="0" t="s">
        <v>3671</v>
      </c>
      <c r="E3214" s="0" t="n">
        <v>197.45</v>
      </c>
    </row>
    <row r="3215" customFormat="false" ht="15" hidden="false" customHeight="false" outlineLevel="0" collapsed="false">
      <c r="A3215" s="0" t="n">
        <v>4397</v>
      </c>
      <c r="B3215" s="0" t="s">
        <v>6452</v>
      </c>
      <c r="C3215" s="0" t="s">
        <v>1477</v>
      </c>
      <c r="D3215" s="0" t="s">
        <v>3671</v>
      </c>
      <c r="E3215" s="0" t="n">
        <v>274.97</v>
      </c>
    </row>
    <row r="3216" customFormat="false" ht="15" hidden="false" customHeight="false" outlineLevel="0" collapsed="false">
      <c r="A3216" s="0" t="n">
        <v>36882</v>
      </c>
      <c r="B3216" s="0" t="s">
        <v>6453</v>
      </c>
      <c r="C3216" s="0" t="s">
        <v>1477</v>
      </c>
      <c r="D3216" s="0" t="s">
        <v>3671</v>
      </c>
      <c r="E3216" s="0" t="n">
        <v>201.34</v>
      </c>
    </row>
    <row r="3217" customFormat="false" ht="15" hidden="false" customHeight="false" outlineLevel="0" collapsed="false">
      <c r="A3217" s="0" t="n">
        <v>4751</v>
      </c>
      <c r="B3217" s="0" t="s">
        <v>6454</v>
      </c>
      <c r="C3217" s="0" t="s">
        <v>1444</v>
      </c>
      <c r="D3217" s="0" t="s">
        <v>3671</v>
      </c>
      <c r="E3217" s="0" t="n">
        <v>20.22</v>
      </c>
    </row>
    <row r="3218" customFormat="false" ht="15" hidden="false" customHeight="false" outlineLevel="0" collapsed="false">
      <c r="A3218" s="0" t="n">
        <v>41066</v>
      </c>
      <c r="B3218" s="0" t="s">
        <v>6455</v>
      </c>
      <c r="C3218" s="0" t="s">
        <v>1416</v>
      </c>
      <c r="D3218" s="0" t="s">
        <v>3671</v>
      </c>
      <c r="E3218" s="0" t="n">
        <v>3561.68</v>
      </c>
    </row>
    <row r="3219" customFormat="false" ht="15" hidden="false" customHeight="false" outlineLevel="0" collapsed="false">
      <c r="A3219" s="0" t="n">
        <v>39604</v>
      </c>
      <c r="B3219" s="0" t="s">
        <v>6456</v>
      </c>
      <c r="C3219" s="0" t="s">
        <v>31</v>
      </c>
      <c r="D3219" s="0" t="s">
        <v>3671</v>
      </c>
      <c r="E3219" s="0" t="n">
        <v>12.89</v>
      </c>
    </row>
    <row r="3220" customFormat="false" ht="15" hidden="false" customHeight="false" outlineLevel="0" collapsed="false">
      <c r="A3220" s="0" t="n">
        <v>39605</v>
      </c>
      <c r="B3220" s="0" t="s">
        <v>6457</v>
      </c>
      <c r="C3220" s="0" t="s">
        <v>31</v>
      </c>
      <c r="D3220" s="0" t="s">
        <v>3671</v>
      </c>
      <c r="E3220" s="0" t="n">
        <v>14.01</v>
      </c>
    </row>
    <row r="3221" customFormat="false" ht="15" hidden="false" customHeight="false" outlineLevel="0" collapsed="false">
      <c r="A3221" s="0" t="n">
        <v>39606</v>
      </c>
      <c r="B3221" s="0" t="s">
        <v>6458</v>
      </c>
      <c r="C3221" s="0" t="s">
        <v>31</v>
      </c>
      <c r="D3221" s="0" t="s">
        <v>3671</v>
      </c>
      <c r="E3221" s="0" t="n">
        <v>24.53</v>
      </c>
    </row>
    <row r="3222" customFormat="false" ht="15" hidden="false" customHeight="false" outlineLevel="0" collapsed="false">
      <c r="A3222" s="0" t="n">
        <v>39607</v>
      </c>
      <c r="B3222" s="0" t="s">
        <v>6459</v>
      </c>
      <c r="C3222" s="0" t="s">
        <v>31</v>
      </c>
      <c r="D3222" s="0" t="s">
        <v>3671</v>
      </c>
      <c r="E3222" s="0" t="n">
        <v>33.19</v>
      </c>
    </row>
    <row r="3223" customFormat="false" ht="15" hidden="false" customHeight="false" outlineLevel="0" collapsed="false">
      <c r="A3223" s="0" t="n">
        <v>39594</v>
      </c>
      <c r="B3223" s="0" t="s">
        <v>6460</v>
      </c>
      <c r="C3223" s="0" t="s">
        <v>31</v>
      </c>
      <c r="D3223" s="0" t="s">
        <v>3676</v>
      </c>
      <c r="E3223" s="0" t="n">
        <v>327.9</v>
      </c>
    </row>
    <row r="3224" customFormat="false" ht="15" hidden="false" customHeight="false" outlineLevel="0" collapsed="false">
      <c r="A3224" s="0" t="n">
        <v>39596</v>
      </c>
      <c r="B3224" s="0" t="s">
        <v>2548</v>
      </c>
      <c r="C3224" s="0" t="s">
        <v>31</v>
      </c>
      <c r="D3224" s="0" t="s">
        <v>3671</v>
      </c>
      <c r="E3224" s="0" t="n">
        <v>878.14</v>
      </c>
    </row>
    <row r="3225" customFormat="false" ht="15" hidden="false" customHeight="false" outlineLevel="0" collapsed="false">
      <c r="A3225" s="0" t="n">
        <v>39595</v>
      </c>
      <c r="B3225" s="0" t="s">
        <v>6461</v>
      </c>
      <c r="C3225" s="0" t="s">
        <v>31</v>
      </c>
      <c r="D3225" s="0" t="s">
        <v>3671</v>
      </c>
      <c r="E3225" s="0" t="n">
        <v>1973.06</v>
      </c>
    </row>
    <row r="3226" customFormat="false" ht="15" hidden="false" customHeight="false" outlineLevel="0" collapsed="false">
      <c r="A3226" s="0" t="n">
        <v>39597</v>
      </c>
      <c r="B3226" s="0" t="s">
        <v>2546</v>
      </c>
      <c r="C3226" s="0" t="s">
        <v>31</v>
      </c>
      <c r="D3226" s="0" t="s">
        <v>3671</v>
      </c>
      <c r="E3226" s="0" t="n">
        <v>3095.02</v>
      </c>
    </row>
    <row r="3227" customFormat="false" ht="15" hidden="false" customHeight="false" outlineLevel="0" collapsed="false">
      <c r="A3227" s="0" t="n">
        <v>10731</v>
      </c>
      <c r="B3227" s="0" t="s">
        <v>6462</v>
      </c>
      <c r="C3227" s="0" t="s">
        <v>1477</v>
      </c>
      <c r="D3227" s="0" t="s">
        <v>3676</v>
      </c>
    </row>
    <row r="3228" customFormat="false" ht="15" hidden="false" customHeight="false" outlineLevel="0" collapsed="false">
      <c r="A3228" s="0" t="n">
        <v>4704</v>
      </c>
      <c r="B3228" s="0" t="s">
        <v>6463</v>
      </c>
      <c r="C3228" s="0" t="s">
        <v>1477</v>
      </c>
      <c r="D3228" s="0" t="s">
        <v>3671</v>
      </c>
    </row>
    <row r="3229" customFormat="false" ht="15" hidden="false" customHeight="false" outlineLevel="0" collapsed="false">
      <c r="A3229" s="0" t="n">
        <v>10730</v>
      </c>
      <c r="B3229" s="0" t="s">
        <v>6464</v>
      </c>
      <c r="C3229" s="0" t="s">
        <v>1477</v>
      </c>
      <c r="D3229" s="0" t="s">
        <v>3671</v>
      </c>
    </row>
    <row r="3230" customFormat="false" ht="15" hidden="false" customHeight="false" outlineLevel="0" collapsed="false">
      <c r="A3230" s="0" t="n">
        <v>4720</v>
      </c>
      <c r="B3230" s="0" t="s">
        <v>2214</v>
      </c>
      <c r="C3230" s="0" t="s">
        <v>1442</v>
      </c>
      <c r="D3230" s="0" t="s">
        <v>3671</v>
      </c>
      <c r="E3230" s="0" t="n">
        <v>133.58</v>
      </c>
    </row>
    <row r="3231" customFormat="false" ht="15" hidden="false" customHeight="false" outlineLevel="0" collapsed="false">
      <c r="A3231" s="0" t="n">
        <v>4721</v>
      </c>
      <c r="B3231" s="0" t="s">
        <v>1593</v>
      </c>
      <c r="C3231" s="0" t="s">
        <v>1442</v>
      </c>
      <c r="D3231" s="0" t="s">
        <v>3671</v>
      </c>
      <c r="E3231" s="0" t="n">
        <v>115.7</v>
      </c>
    </row>
    <row r="3232" customFormat="false" ht="15" hidden="false" customHeight="false" outlineLevel="0" collapsed="false">
      <c r="A3232" s="0" t="n">
        <v>4718</v>
      </c>
      <c r="B3232" s="0" t="s">
        <v>1577</v>
      </c>
      <c r="C3232" s="0" t="s">
        <v>1442</v>
      </c>
      <c r="D3232" s="0" t="s">
        <v>3676</v>
      </c>
      <c r="E3232" s="0" t="n">
        <v>116.31</v>
      </c>
    </row>
    <row r="3233" customFormat="false" ht="15" hidden="false" customHeight="false" outlineLevel="0" collapsed="false">
      <c r="A3233" s="0" t="n">
        <v>4722</v>
      </c>
      <c r="B3233" s="0" t="s">
        <v>6465</v>
      </c>
      <c r="C3233" s="0" t="s">
        <v>1442</v>
      </c>
      <c r="D3233" s="0" t="s">
        <v>3671</v>
      </c>
      <c r="E3233" s="0" t="n">
        <v>109.29</v>
      </c>
    </row>
    <row r="3234" customFormat="false" ht="15" hidden="false" customHeight="false" outlineLevel="0" collapsed="false">
      <c r="A3234" s="0" t="n">
        <v>4730</v>
      </c>
      <c r="B3234" s="0" t="s">
        <v>6466</v>
      </c>
      <c r="C3234" s="0" t="s">
        <v>1442</v>
      </c>
      <c r="D3234" s="0" t="s">
        <v>3671</v>
      </c>
      <c r="E3234" s="0" t="n">
        <v>108.75</v>
      </c>
    </row>
    <row r="3235" customFormat="false" ht="15" hidden="false" customHeight="false" outlineLevel="0" collapsed="false">
      <c r="A3235" s="0" t="n">
        <v>13186</v>
      </c>
      <c r="B3235" s="0" t="s">
        <v>6467</v>
      </c>
      <c r="C3235" s="0" t="s">
        <v>1442</v>
      </c>
      <c r="D3235" s="0" t="s">
        <v>3671</v>
      </c>
      <c r="E3235" s="0" t="n">
        <v>125.48</v>
      </c>
    </row>
    <row r="3236" customFormat="false" ht="15" hidden="false" customHeight="false" outlineLevel="0" collapsed="false">
      <c r="A3236" s="0" t="n">
        <v>10737</v>
      </c>
      <c r="B3236" s="0" t="s">
        <v>6468</v>
      </c>
      <c r="C3236" s="0" t="s">
        <v>1477</v>
      </c>
      <c r="D3236" s="0" t="s">
        <v>3671</v>
      </c>
    </row>
    <row r="3237" customFormat="false" ht="15" hidden="false" customHeight="false" outlineLevel="0" collapsed="false">
      <c r="A3237" s="0" t="n">
        <v>10734</v>
      </c>
      <c r="B3237" s="0" t="s">
        <v>6469</v>
      </c>
      <c r="C3237" s="0" t="s">
        <v>1477</v>
      </c>
      <c r="D3237" s="0" t="s">
        <v>3671</v>
      </c>
    </row>
    <row r="3238" customFormat="false" ht="15" hidden="false" customHeight="false" outlineLevel="0" collapsed="false">
      <c r="A3238" s="0" t="n">
        <v>4708</v>
      </c>
      <c r="B3238" s="0" t="s">
        <v>6470</v>
      </c>
      <c r="C3238" s="0" t="s">
        <v>1477</v>
      </c>
      <c r="D3238" s="0" t="s">
        <v>3671</v>
      </c>
    </row>
    <row r="3239" customFormat="false" ht="15" hidden="false" customHeight="false" outlineLevel="0" collapsed="false">
      <c r="A3239" s="0" t="n">
        <v>4712</v>
      </c>
      <c r="B3239" s="0" t="s">
        <v>6471</v>
      </c>
      <c r="C3239" s="0" t="s">
        <v>1477</v>
      </c>
      <c r="D3239" s="0" t="s">
        <v>3671</v>
      </c>
    </row>
    <row r="3240" customFormat="false" ht="15" hidden="false" customHeight="false" outlineLevel="0" collapsed="false">
      <c r="A3240" s="0" t="n">
        <v>4710</v>
      </c>
      <c r="B3240" s="0" t="s">
        <v>6472</v>
      </c>
      <c r="C3240" s="0" t="s">
        <v>1477</v>
      </c>
      <c r="D3240" s="0" t="s">
        <v>3671</v>
      </c>
    </row>
    <row r="3241" customFormat="false" ht="15" hidden="false" customHeight="false" outlineLevel="0" collapsed="false">
      <c r="A3241" s="0" t="n">
        <v>4750</v>
      </c>
      <c r="B3241" s="0" t="s">
        <v>1463</v>
      </c>
      <c r="C3241" s="0" t="s">
        <v>1444</v>
      </c>
      <c r="D3241" s="0" t="s">
        <v>3676</v>
      </c>
      <c r="E3241" s="0" t="n">
        <v>20.22</v>
      </c>
    </row>
    <row r="3242" customFormat="false" ht="15" hidden="false" customHeight="false" outlineLevel="0" collapsed="false">
      <c r="A3242" s="0" t="n">
        <v>41065</v>
      </c>
      <c r="B3242" s="0" t="s">
        <v>6473</v>
      </c>
      <c r="C3242" s="0" t="s">
        <v>1416</v>
      </c>
      <c r="D3242" s="0" t="s">
        <v>3671</v>
      </c>
      <c r="E3242" s="0" t="n">
        <v>3561.68</v>
      </c>
    </row>
    <row r="3243" customFormat="false" ht="15" hidden="false" customHeight="false" outlineLevel="0" collapsed="false">
      <c r="A3243" s="0" t="n">
        <v>34747</v>
      </c>
      <c r="B3243" s="0" t="s">
        <v>1826</v>
      </c>
      <c r="C3243" s="0" t="s">
        <v>1455</v>
      </c>
      <c r="D3243" s="0" t="s">
        <v>3671</v>
      </c>
      <c r="E3243" s="0" t="n">
        <v>130.53</v>
      </c>
    </row>
    <row r="3244" customFormat="false" ht="15" hidden="false" customHeight="false" outlineLevel="0" collapsed="false">
      <c r="A3244" s="0" t="n">
        <v>4826</v>
      </c>
      <c r="B3244" s="0" t="s">
        <v>6474</v>
      </c>
      <c r="C3244" s="0" t="s">
        <v>1455</v>
      </c>
      <c r="D3244" s="0" t="s">
        <v>3671</v>
      </c>
      <c r="E3244" s="0" t="n">
        <v>140.36</v>
      </c>
    </row>
    <row r="3245" customFormat="false" ht="15" hidden="false" customHeight="false" outlineLevel="0" collapsed="false">
      <c r="A3245" s="0" t="n">
        <v>41975</v>
      </c>
      <c r="B3245" s="0" t="s">
        <v>6475</v>
      </c>
      <c r="C3245" s="0" t="s">
        <v>1477</v>
      </c>
      <c r="D3245" s="0" t="s">
        <v>3671</v>
      </c>
    </row>
    <row r="3246" customFormat="false" ht="15" hidden="false" customHeight="false" outlineLevel="0" collapsed="false">
      <c r="A3246" s="0" t="n">
        <v>4825</v>
      </c>
      <c r="B3246" s="0" t="s">
        <v>6476</v>
      </c>
      <c r="C3246" s="0" t="s">
        <v>1455</v>
      </c>
      <c r="D3246" s="0" t="s">
        <v>3671</v>
      </c>
      <c r="E3246" s="0" t="n">
        <v>194.28</v>
      </c>
    </row>
    <row r="3247" customFormat="false" ht="15" hidden="false" customHeight="false" outlineLevel="0" collapsed="false">
      <c r="A3247" s="0" t="n">
        <v>34744</v>
      </c>
      <c r="B3247" s="0" t="s">
        <v>6477</v>
      </c>
      <c r="C3247" s="0" t="s">
        <v>1477</v>
      </c>
      <c r="D3247" s="0" t="s">
        <v>3671</v>
      </c>
    </row>
    <row r="3248" customFormat="false" ht="15" hidden="false" customHeight="false" outlineLevel="0" collapsed="false">
      <c r="A3248" s="0" t="n">
        <v>39430</v>
      </c>
      <c r="B3248" s="0" t="s">
        <v>6478</v>
      </c>
      <c r="C3248" s="0" t="s">
        <v>31</v>
      </c>
      <c r="D3248" s="0" t="s">
        <v>3671</v>
      </c>
      <c r="E3248" s="0" t="n">
        <v>1.81</v>
      </c>
    </row>
    <row r="3249" customFormat="false" ht="15" hidden="false" customHeight="false" outlineLevel="0" collapsed="false">
      <c r="A3249" s="0" t="n">
        <v>39573</v>
      </c>
      <c r="B3249" s="0" t="s">
        <v>6479</v>
      </c>
      <c r="C3249" s="0" t="s">
        <v>31</v>
      </c>
      <c r="D3249" s="0" t="s">
        <v>3671</v>
      </c>
      <c r="E3249" s="0" t="n">
        <v>1.78</v>
      </c>
    </row>
    <row r="3250" customFormat="false" ht="15" hidden="false" customHeight="false" outlineLevel="0" collapsed="false">
      <c r="A3250" s="0" t="n">
        <v>38410</v>
      </c>
      <c r="B3250" s="0" t="s">
        <v>6480</v>
      </c>
      <c r="C3250" s="0" t="s">
        <v>31</v>
      </c>
      <c r="D3250" s="0" t="s">
        <v>3671</v>
      </c>
      <c r="E3250" s="0" t="n">
        <v>13789</v>
      </c>
    </row>
    <row r="3251" customFormat="false" ht="15" hidden="false" customHeight="false" outlineLevel="0" collapsed="false">
      <c r="A3251" s="0" t="n">
        <v>43082</v>
      </c>
      <c r="B3251" s="0" t="s">
        <v>1737</v>
      </c>
      <c r="C3251" s="0" t="s">
        <v>1513</v>
      </c>
      <c r="D3251" s="0" t="s">
        <v>3676</v>
      </c>
    </row>
    <row r="3252" customFormat="false" ht="15" hidden="false" customHeight="false" outlineLevel="0" collapsed="false">
      <c r="A3252" s="0" t="n">
        <v>43083</v>
      </c>
      <c r="B3252" s="0" t="s">
        <v>1892</v>
      </c>
      <c r="C3252" s="0" t="s">
        <v>1513</v>
      </c>
      <c r="D3252" s="0" t="s">
        <v>3671</v>
      </c>
    </row>
    <row r="3253" customFormat="false" ht="15" hidden="false" customHeight="false" outlineLevel="0" collapsed="false">
      <c r="A3253" s="0" t="n">
        <v>40535</v>
      </c>
      <c r="B3253" s="0" t="s">
        <v>6481</v>
      </c>
      <c r="C3253" s="0" t="s">
        <v>1513</v>
      </c>
      <c r="D3253" s="0" t="s">
        <v>3671</v>
      </c>
    </row>
    <row r="3254" customFormat="false" ht="15" hidden="false" customHeight="false" outlineLevel="0" collapsed="false">
      <c r="A3254" s="0" t="n">
        <v>40598</v>
      </c>
      <c r="B3254" s="0" t="s">
        <v>6482</v>
      </c>
      <c r="C3254" s="0" t="s">
        <v>1513</v>
      </c>
      <c r="D3254" s="0" t="s">
        <v>3671</v>
      </c>
    </row>
    <row r="3255" customFormat="false" ht="15" hidden="false" customHeight="false" outlineLevel="0" collapsed="false">
      <c r="A3255" s="0" t="n">
        <v>43692</v>
      </c>
      <c r="B3255" s="0" t="s">
        <v>6483</v>
      </c>
      <c r="C3255" s="0" t="s">
        <v>1513</v>
      </c>
      <c r="D3255" s="0" t="s">
        <v>3671</v>
      </c>
    </row>
    <row r="3256" customFormat="false" ht="15" hidden="false" customHeight="false" outlineLevel="0" collapsed="false">
      <c r="A3256" s="0" t="n">
        <v>43665</v>
      </c>
      <c r="B3256" s="0" t="s">
        <v>6484</v>
      </c>
      <c r="C3256" s="0" t="s">
        <v>1513</v>
      </c>
      <c r="D3256" s="0" t="s">
        <v>3671</v>
      </c>
    </row>
    <row r="3257" customFormat="false" ht="15" hidden="false" customHeight="false" outlineLevel="0" collapsed="false">
      <c r="A3257" s="0" t="n">
        <v>10966</v>
      </c>
      <c r="B3257" s="0" t="s">
        <v>6485</v>
      </c>
      <c r="C3257" s="0" t="s">
        <v>1513</v>
      </c>
      <c r="D3257" s="0" t="s">
        <v>3671</v>
      </c>
    </row>
    <row r="3258" customFormat="false" ht="15" hidden="false" customHeight="false" outlineLevel="0" collapsed="false">
      <c r="A3258" s="0" t="n">
        <v>39427</v>
      </c>
      <c r="B3258" s="0" t="s">
        <v>6486</v>
      </c>
      <c r="C3258" s="0" t="s">
        <v>1455</v>
      </c>
      <c r="D3258" s="0" t="s">
        <v>3671</v>
      </c>
      <c r="E3258" s="0" t="n">
        <v>4.8</v>
      </c>
    </row>
    <row r="3259" customFormat="false" ht="15" hidden="false" customHeight="false" outlineLevel="0" collapsed="false">
      <c r="A3259" s="0" t="n">
        <v>39424</v>
      </c>
      <c r="B3259" s="0" t="s">
        <v>6487</v>
      </c>
      <c r="C3259" s="0" t="s">
        <v>1455</v>
      </c>
      <c r="D3259" s="0" t="s">
        <v>3671</v>
      </c>
      <c r="E3259" s="0" t="n">
        <v>2.85</v>
      </c>
    </row>
    <row r="3260" customFormat="false" ht="15" hidden="false" customHeight="false" outlineLevel="0" collapsed="false">
      <c r="A3260" s="0" t="n">
        <v>39425</v>
      </c>
      <c r="B3260" s="0" t="s">
        <v>6488</v>
      </c>
      <c r="C3260" s="0" t="s">
        <v>1455</v>
      </c>
      <c r="D3260" s="0" t="s">
        <v>3671</v>
      </c>
      <c r="E3260" s="0" t="n">
        <v>2.81</v>
      </c>
    </row>
    <row r="3261" customFormat="false" ht="15" hidden="false" customHeight="false" outlineLevel="0" collapsed="false">
      <c r="A3261" s="0" t="n">
        <v>40664</v>
      </c>
      <c r="B3261" s="0" t="s">
        <v>6489</v>
      </c>
      <c r="C3261" s="0" t="s">
        <v>1513</v>
      </c>
      <c r="D3261" s="0" t="s">
        <v>3671</v>
      </c>
    </row>
    <row r="3262" customFormat="false" ht="15" hidden="false" customHeight="false" outlineLevel="0" collapsed="false">
      <c r="A3262" s="0" t="n">
        <v>34360</v>
      </c>
      <c r="B3262" s="0" t="s">
        <v>1776</v>
      </c>
      <c r="C3262" s="0" t="s">
        <v>1513</v>
      </c>
      <c r="D3262" s="0" t="s">
        <v>3671</v>
      </c>
    </row>
    <row r="3263" customFormat="false" ht="15" hidden="false" customHeight="false" outlineLevel="0" collapsed="false">
      <c r="A3263" s="0" t="n">
        <v>20259</v>
      </c>
      <c r="B3263" s="0" t="s">
        <v>1813</v>
      </c>
      <c r="C3263" s="0" t="s">
        <v>1455</v>
      </c>
      <c r="D3263" s="0" t="s">
        <v>3671</v>
      </c>
    </row>
    <row r="3264" customFormat="false" ht="15" hidden="false" customHeight="false" outlineLevel="0" collapsed="false">
      <c r="A3264" s="0" t="n">
        <v>14077</v>
      </c>
      <c r="B3264" s="0" t="s">
        <v>6490</v>
      </c>
      <c r="C3264" s="0" t="s">
        <v>1455</v>
      </c>
      <c r="D3264" s="0" t="s">
        <v>3671</v>
      </c>
    </row>
    <row r="3265" customFormat="false" ht="15" hidden="false" customHeight="false" outlineLevel="0" collapsed="false">
      <c r="A3265" s="0" t="n">
        <v>3678</v>
      </c>
      <c r="B3265" s="0" t="s">
        <v>6491</v>
      </c>
      <c r="C3265" s="0" t="s">
        <v>1455</v>
      </c>
      <c r="D3265" s="0" t="s">
        <v>3671</v>
      </c>
    </row>
    <row r="3266" customFormat="false" ht="15" hidden="false" customHeight="false" outlineLevel="0" collapsed="false">
      <c r="A3266" s="0" t="n">
        <v>11552</v>
      </c>
      <c r="B3266" s="0" t="s">
        <v>6492</v>
      </c>
      <c r="C3266" s="0" t="s">
        <v>1455</v>
      </c>
      <c r="D3266" s="0" t="s">
        <v>3671</v>
      </c>
      <c r="E3266" s="0" t="n">
        <v>8.25</v>
      </c>
    </row>
    <row r="3267" customFormat="false" ht="15" hidden="false" customHeight="false" outlineLevel="0" collapsed="false">
      <c r="A3267" s="0" t="n">
        <v>585</v>
      </c>
      <c r="B3267" s="0" t="s">
        <v>6493</v>
      </c>
      <c r="C3267" s="0" t="s">
        <v>1513</v>
      </c>
      <c r="D3267" s="0" t="s">
        <v>3671</v>
      </c>
    </row>
    <row r="3268" customFormat="false" ht="15" hidden="false" customHeight="false" outlineLevel="0" collapsed="false">
      <c r="A3268" s="0" t="n">
        <v>39418</v>
      </c>
      <c r="B3268" s="0" t="s">
        <v>6494</v>
      </c>
      <c r="C3268" s="0" t="s">
        <v>1455</v>
      </c>
      <c r="D3268" s="0" t="s">
        <v>3671</v>
      </c>
      <c r="E3268" s="0" t="n">
        <v>5.35</v>
      </c>
    </row>
    <row r="3269" customFormat="false" ht="15" hidden="false" customHeight="false" outlineLevel="0" collapsed="false">
      <c r="A3269" s="0" t="n">
        <v>39419</v>
      </c>
      <c r="B3269" s="0" t="s">
        <v>1798</v>
      </c>
      <c r="C3269" s="0" t="s">
        <v>1455</v>
      </c>
      <c r="D3269" s="0" t="s">
        <v>3671</v>
      </c>
      <c r="E3269" s="0" t="n">
        <v>6.52</v>
      </c>
    </row>
    <row r="3270" customFormat="false" ht="15" hidden="false" customHeight="false" outlineLevel="0" collapsed="false">
      <c r="A3270" s="0" t="n">
        <v>39420</v>
      </c>
      <c r="B3270" s="0" t="s">
        <v>6495</v>
      </c>
      <c r="C3270" s="0" t="s">
        <v>1455</v>
      </c>
      <c r="D3270" s="0" t="s">
        <v>3671</v>
      </c>
      <c r="E3270" s="0" t="n">
        <v>7.2</v>
      </c>
    </row>
    <row r="3271" customFormat="false" ht="15" hidden="false" customHeight="false" outlineLevel="0" collapsed="false">
      <c r="A3271" s="0" t="n">
        <v>39571</v>
      </c>
      <c r="B3271" s="0" t="s">
        <v>6496</v>
      </c>
      <c r="C3271" s="0" t="s">
        <v>1455</v>
      </c>
      <c r="D3271" s="0" t="s">
        <v>3671</v>
      </c>
      <c r="E3271" s="0" t="n">
        <v>4.35</v>
      </c>
    </row>
    <row r="3272" customFormat="false" ht="15" hidden="false" customHeight="false" outlineLevel="0" collapsed="false">
      <c r="A3272" s="0" t="n">
        <v>39421</v>
      </c>
      <c r="B3272" s="0" t="s">
        <v>6497</v>
      </c>
      <c r="C3272" s="0" t="s">
        <v>1455</v>
      </c>
      <c r="D3272" s="0" t="s">
        <v>3671</v>
      </c>
      <c r="E3272" s="0" t="n">
        <v>6.34</v>
      </c>
    </row>
    <row r="3273" customFormat="false" ht="15" hidden="false" customHeight="false" outlineLevel="0" collapsed="false">
      <c r="A3273" s="0" t="n">
        <v>39422</v>
      </c>
      <c r="B3273" s="0" t="s">
        <v>1799</v>
      </c>
      <c r="C3273" s="0" t="s">
        <v>1455</v>
      </c>
      <c r="D3273" s="0" t="s">
        <v>3676</v>
      </c>
      <c r="E3273" s="0" t="n">
        <v>7.4</v>
      </c>
    </row>
    <row r="3274" customFormat="false" ht="15" hidden="false" customHeight="false" outlineLevel="0" collapsed="false">
      <c r="A3274" s="0" t="n">
        <v>39423</v>
      </c>
      <c r="B3274" s="0" t="s">
        <v>6498</v>
      </c>
      <c r="C3274" s="0" t="s">
        <v>1455</v>
      </c>
      <c r="D3274" s="0" t="s">
        <v>3671</v>
      </c>
      <c r="E3274" s="0" t="n">
        <v>8.59</v>
      </c>
    </row>
    <row r="3275" customFormat="false" ht="15" hidden="false" customHeight="false" outlineLevel="0" collapsed="false">
      <c r="A3275" s="0" t="n">
        <v>39426</v>
      </c>
      <c r="B3275" s="0" t="s">
        <v>6499</v>
      </c>
      <c r="C3275" s="0" t="s">
        <v>1455</v>
      </c>
      <c r="D3275" s="0" t="s">
        <v>3671</v>
      </c>
      <c r="E3275" s="0" t="n">
        <v>19.31</v>
      </c>
    </row>
    <row r="3276" customFormat="false" ht="15" hidden="false" customHeight="false" outlineLevel="0" collapsed="false">
      <c r="A3276" s="0" t="n">
        <v>39429</v>
      </c>
      <c r="B3276" s="0" t="s">
        <v>6500</v>
      </c>
      <c r="C3276" s="0" t="s">
        <v>1455</v>
      </c>
      <c r="D3276" s="0" t="s">
        <v>3671</v>
      </c>
      <c r="E3276" s="0" t="n">
        <v>6.09</v>
      </c>
    </row>
    <row r="3277" customFormat="false" ht="15" hidden="false" customHeight="false" outlineLevel="0" collapsed="false">
      <c r="A3277" s="0" t="n">
        <v>39428</v>
      </c>
      <c r="B3277" s="0" t="s">
        <v>6501</v>
      </c>
      <c r="C3277" s="0" t="s">
        <v>1455</v>
      </c>
      <c r="D3277" s="0" t="s">
        <v>3671</v>
      </c>
      <c r="E3277" s="0" t="n">
        <v>4.65</v>
      </c>
    </row>
    <row r="3278" customFormat="false" ht="15" hidden="false" customHeight="false" outlineLevel="0" collapsed="false">
      <c r="A3278" s="0" t="n">
        <v>39572</v>
      </c>
      <c r="B3278" s="0" t="s">
        <v>6502</v>
      </c>
      <c r="C3278" s="0" t="s">
        <v>1455</v>
      </c>
      <c r="D3278" s="0" t="s">
        <v>3671</v>
      </c>
      <c r="E3278" s="0" t="n">
        <v>4.03</v>
      </c>
    </row>
    <row r="3279" customFormat="false" ht="15" hidden="false" customHeight="false" outlineLevel="0" collapsed="false">
      <c r="A3279" s="0" t="n">
        <v>39570</v>
      </c>
      <c r="B3279" s="0" t="s">
        <v>6503</v>
      </c>
      <c r="C3279" s="0" t="s">
        <v>1455</v>
      </c>
      <c r="D3279" s="0" t="s">
        <v>3671</v>
      </c>
      <c r="E3279" s="0" t="n">
        <v>4.27</v>
      </c>
    </row>
    <row r="3280" customFormat="false" ht="15" hidden="false" customHeight="false" outlineLevel="0" collapsed="false">
      <c r="A3280" s="0" t="n">
        <v>39569</v>
      </c>
      <c r="B3280" s="0" t="s">
        <v>6504</v>
      </c>
      <c r="C3280" s="0" t="s">
        <v>1455</v>
      </c>
      <c r="D3280" s="0" t="s">
        <v>3671</v>
      </c>
      <c r="E3280" s="0" t="n">
        <v>4.22</v>
      </c>
    </row>
    <row r="3281" customFormat="false" ht="15" hidden="false" customHeight="false" outlineLevel="0" collapsed="false">
      <c r="A3281" s="0" t="n">
        <v>39328</v>
      </c>
      <c r="B3281" s="0" t="s">
        <v>6505</v>
      </c>
      <c r="C3281" s="0" t="s">
        <v>1455</v>
      </c>
      <c r="D3281" s="0" t="s">
        <v>3671</v>
      </c>
      <c r="E3281" s="0" t="n">
        <v>4.36</v>
      </c>
    </row>
    <row r="3282" customFormat="false" ht="15" hidden="false" customHeight="false" outlineLevel="0" collapsed="false">
      <c r="A3282" s="0" t="n">
        <v>39029</v>
      </c>
      <c r="B3282" s="0" t="s">
        <v>2437</v>
      </c>
      <c r="C3282" s="0" t="s">
        <v>1455</v>
      </c>
      <c r="D3282" s="0" t="s">
        <v>3671</v>
      </c>
      <c r="E3282" s="0" t="n">
        <v>13.63</v>
      </c>
    </row>
    <row r="3283" customFormat="false" ht="15" hidden="false" customHeight="false" outlineLevel="0" collapsed="false">
      <c r="A3283" s="0" t="n">
        <v>39028</v>
      </c>
      <c r="B3283" s="0" t="s">
        <v>6506</v>
      </c>
      <c r="C3283" s="0" t="s">
        <v>1455</v>
      </c>
      <c r="D3283" s="0" t="s">
        <v>3671</v>
      </c>
      <c r="E3283" s="0" t="n">
        <v>7.94</v>
      </c>
    </row>
    <row r="3284" customFormat="false" ht="15" hidden="false" customHeight="false" outlineLevel="0" collapsed="false">
      <c r="A3284" s="0" t="n">
        <v>38541</v>
      </c>
      <c r="B3284" s="0" t="s">
        <v>1617</v>
      </c>
      <c r="C3284" s="0" t="s">
        <v>31</v>
      </c>
      <c r="D3284" s="0" t="s">
        <v>3671</v>
      </c>
    </row>
    <row r="3285" customFormat="false" ht="15" hidden="false" customHeight="false" outlineLevel="0" collapsed="false">
      <c r="A3285" s="0" t="n">
        <v>38542</v>
      </c>
      <c r="B3285" s="0" t="s">
        <v>6507</v>
      </c>
      <c r="C3285" s="0" t="s">
        <v>31</v>
      </c>
      <c r="D3285" s="0" t="s">
        <v>3671</v>
      </c>
    </row>
    <row r="3286" customFormat="false" ht="15" hidden="false" customHeight="false" outlineLevel="0" collapsed="false">
      <c r="A3286" s="0" t="n">
        <v>45080</v>
      </c>
      <c r="B3286" s="0" t="s">
        <v>6508</v>
      </c>
      <c r="C3286" s="0" t="s">
        <v>31</v>
      </c>
      <c r="D3286" s="0" t="s">
        <v>3671</v>
      </c>
    </row>
    <row r="3287" customFormat="false" ht="15" hidden="false" customHeight="false" outlineLevel="0" collapsed="false">
      <c r="A3287" s="0" t="n">
        <v>38543</v>
      </c>
      <c r="B3287" s="0" t="s">
        <v>6509</v>
      </c>
      <c r="C3287" s="0" t="s">
        <v>31</v>
      </c>
      <c r="D3287" s="0" t="s">
        <v>3671</v>
      </c>
    </row>
    <row r="3288" customFormat="false" ht="15" hidden="false" customHeight="false" outlineLevel="0" collapsed="false">
      <c r="A3288" s="0" t="n">
        <v>44002</v>
      </c>
      <c r="B3288" s="0" t="s">
        <v>6510</v>
      </c>
      <c r="C3288" s="0" t="s">
        <v>31</v>
      </c>
      <c r="D3288" s="0" t="s">
        <v>3671</v>
      </c>
    </row>
    <row r="3289" customFormat="false" ht="15" hidden="false" customHeight="false" outlineLevel="0" collapsed="false">
      <c r="A3289" s="0" t="n">
        <v>43886</v>
      </c>
      <c r="B3289" s="0" t="s">
        <v>6511</v>
      </c>
      <c r="C3289" s="0" t="s">
        <v>31</v>
      </c>
      <c r="D3289" s="0" t="s">
        <v>3671</v>
      </c>
    </row>
    <row r="3290" customFormat="false" ht="15" hidden="false" customHeight="false" outlineLevel="0" collapsed="false">
      <c r="A3290" s="0" t="n">
        <v>40406</v>
      </c>
      <c r="B3290" s="0" t="s">
        <v>6512</v>
      </c>
      <c r="C3290" s="0" t="s">
        <v>31</v>
      </c>
      <c r="D3290" s="0" t="s">
        <v>3671</v>
      </c>
    </row>
    <row r="3291" customFormat="false" ht="15" hidden="false" customHeight="false" outlineLevel="0" collapsed="false">
      <c r="A3291" s="0" t="n">
        <v>40789</v>
      </c>
      <c r="B3291" s="0" t="s">
        <v>6513</v>
      </c>
      <c r="C3291" s="0" t="s">
        <v>31</v>
      </c>
      <c r="D3291" s="0" t="s">
        <v>3671</v>
      </c>
    </row>
    <row r="3292" customFormat="false" ht="15" hidden="false" customHeight="false" outlineLevel="0" collapsed="false">
      <c r="A3292" s="0" t="n">
        <v>40791</v>
      </c>
      <c r="B3292" s="0" t="s">
        <v>1750</v>
      </c>
      <c r="C3292" s="0" t="s">
        <v>31</v>
      </c>
      <c r="D3292" s="0" t="s">
        <v>3671</v>
      </c>
    </row>
    <row r="3293" customFormat="false" ht="15" hidden="false" customHeight="false" outlineLevel="0" collapsed="false">
      <c r="A3293" s="0" t="n">
        <v>44003</v>
      </c>
      <c r="B3293" s="0" t="s">
        <v>6514</v>
      </c>
      <c r="C3293" s="0" t="s">
        <v>31</v>
      </c>
      <c r="D3293" s="0" t="s">
        <v>3671</v>
      </c>
    </row>
    <row r="3294" customFormat="false" ht="15" hidden="false" customHeight="false" outlineLevel="0" collapsed="false">
      <c r="A3294" s="0" t="n">
        <v>44548</v>
      </c>
      <c r="B3294" s="0" t="s">
        <v>6515</v>
      </c>
      <c r="C3294" s="0" t="s">
        <v>31</v>
      </c>
      <c r="D3294" s="0" t="s">
        <v>3671</v>
      </c>
    </row>
    <row r="3295" customFormat="false" ht="15" hidden="false" customHeight="false" outlineLevel="0" collapsed="false">
      <c r="A3295" s="0" t="n">
        <v>44550</v>
      </c>
      <c r="B3295" s="0" t="s">
        <v>6516</v>
      </c>
      <c r="C3295" s="0" t="s">
        <v>31</v>
      </c>
      <c r="D3295" s="0" t="s">
        <v>3671</v>
      </c>
    </row>
    <row r="3296" customFormat="false" ht="15" hidden="false" customHeight="false" outlineLevel="0" collapsed="false">
      <c r="A3296" s="0" t="n">
        <v>44549</v>
      </c>
      <c r="B3296" s="0" t="s">
        <v>6517</v>
      </c>
      <c r="C3296" s="0" t="s">
        <v>31</v>
      </c>
      <c r="D3296" s="0" t="s">
        <v>3671</v>
      </c>
    </row>
    <row r="3297" customFormat="false" ht="15" hidden="false" customHeight="false" outlineLevel="0" collapsed="false">
      <c r="A3297" s="0" t="n">
        <v>11651</v>
      </c>
      <c r="B3297" s="0" t="s">
        <v>6518</v>
      </c>
      <c r="C3297" s="0" t="s">
        <v>31</v>
      </c>
      <c r="D3297" s="0" t="s">
        <v>3671</v>
      </c>
    </row>
    <row r="3298" customFormat="false" ht="15" hidden="false" customHeight="false" outlineLevel="0" collapsed="false">
      <c r="A3298" s="0" t="n">
        <v>41982</v>
      </c>
      <c r="B3298" s="0" t="s">
        <v>6519</v>
      </c>
      <c r="C3298" s="0" t="s">
        <v>31</v>
      </c>
      <c r="D3298" s="0" t="s">
        <v>3671</v>
      </c>
    </row>
    <row r="3299" customFormat="false" ht="15" hidden="false" customHeight="false" outlineLevel="0" collapsed="false">
      <c r="A3299" s="0" t="n">
        <v>39012</v>
      </c>
      <c r="B3299" s="0" t="s">
        <v>6520</v>
      </c>
      <c r="C3299" s="0" t="s">
        <v>31</v>
      </c>
      <c r="D3299" s="0" t="s">
        <v>3671</v>
      </c>
    </row>
    <row r="3300" customFormat="false" ht="15" hidden="false" customHeight="false" outlineLevel="0" collapsed="false">
      <c r="A3300" s="0" t="n">
        <v>40435</v>
      </c>
      <c r="B3300" s="0" t="s">
        <v>6521</v>
      </c>
      <c r="C3300" s="0" t="s">
        <v>31</v>
      </c>
      <c r="D3300" s="0" t="s">
        <v>3671</v>
      </c>
    </row>
    <row r="3301" customFormat="false" ht="15" hidden="false" customHeight="false" outlineLevel="0" collapsed="false">
      <c r="A3301" s="0" t="n">
        <v>13617</v>
      </c>
      <c r="B3301" s="0" t="s">
        <v>6522</v>
      </c>
      <c r="C3301" s="0" t="s">
        <v>31</v>
      </c>
      <c r="D3301" s="0" t="s">
        <v>3671</v>
      </c>
      <c r="E3301" s="0" t="n">
        <v>97258.93</v>
      </c>
    </row>
    <row r="3302" customFormat="false" ht="15" hidden="false" customHeight="false" outlineLevel="0" collapsed="false">
      <c r="A3302" s="0" t="n">
        <v>35274</v>
      </c>
      <c r="B3302" s="0" t="s">
        <v>6523</v>
      </c>
      <c r="C3302" s="0" t="s">
        <v>1455</v>
      </c>
      <c r="D3302" s="0" t="s">
        <v>3671</v>
      </c>
      <c r="E3302" s="0" t="n">
        <v>41.86</v>
      </c>
    </row>
    <row r="3303" customFormat="false" ht="15" hidden="false" customHeight="false" outlineLevel="0" collapsed="false">
      <c r="A3303" s="0" t="n">
        <v>35275</v>
      </c>
      <c r="B3303" s="0" t="s">
        <v>6524</v>
      </c>
      <c r="C3303" s="0" t="s">
        <v>1455</v>
      </c>
      <c r="D3303" s="0" t="s">
        <v>3671</v>
      </c>
      <c r="E3303" s="0" t="n">
        <v>88.86</v>
      </c>
    </row>
    <row r="3304" customFormat="false" ht="15" hidden="false" customHeight="false" outlineLevel="0" collapsed="false">
      <c r="A3304" s="0" t="n">
        <v>35276</v>
      </c>
      <c r="B3304" s="0" t="s">
        <v>6525</v>
      </c>
      <c r="C3304" s="0" t="s">
        <v>1455</v>
      </c>
      <c r="D3304" s="0" t="s">
        <v>3671</v>
      </c>
      <c r="E3304" s="0" t="n">
        <v>154.62</v>
      </c>
    </row>
    <row r="3305" customFormat="false" ht="15" hidden="false" customHeight="false" outlineLevel="0" collapsed="false">
      <c r="A3305" s="0" t="n">
        <v>11091</v>
      </c>
      <c r="B3305" s="0" t="s">
        <v>6526</v>
      </c>
      <c r="C3305" s="0" t="s">
        <v>31</v>
      </c>
      <c r="D3305" s="0" t="s">
        <v>3671</v>
      </c>
      <c r="E3305" s="0" t="n">
        <v>1.34</v>
      </c>
    </row>
    <row r="3306" customFormat="false" ht="15" hidden="false" customHeight="false" outlineLevel="0" collapsed="false">
      <c r="A3306" s="0" t="n">
        <v>37586</v>
      </c>
      <c r="B3306" s="0" t="s">
        <v>1800</v>
      </c>
      <c r="C3306" s="0" t="s">
        <v>1576</v>
      </c>
      <c r="D3306" s="0" t="s">
        <v>3671</v>
      </c>
    </row>
    <row r="3307" customFormat="false" ht="15" hidden="false" customHeight="false" outlineLevel="0" collapsed="false">
      <c r="A3307" s="0" t="n">
        <v>37395</v>
      </c>
      <c r="B3307" s="0" t="s">
        <v>1768</v>
      </c>
      <c r="C3307" s="0" t="s">
        <v>1576</v>
      </c>
      <c r="D3307" s="0" t="s">
        <v>3671</v>
      </c>
    </row>
    <row r="3308" customFormat="false" ht="15" hidden="false" customHeight="false" outlineLevel="0" collapsed="false">
      <c r="A3308" s="0" t="n">
        <v>14147</v>
      </c>
      <c r="B3308" s="0" t="s">
        <v>6527</v>
      </c>
      <c r="C3308" s="0" t="s">
        <v>1576</v>
      </c>
      <c r="D3308" s="0" t="s">
        <v>3671</v>
      </c>
    </row>
    <row r="3309" customFormat="false" ht="15" hidden="false" customHeight="false" outlineLevel="0" collapsed="false">
      <c r="A3309" s="0" t="n">
        <v>37396</v>
      </c>
      <c r="B3309" s="0" t="s">
        <v>6528</v>
      </c>
      <c r="C3309" s="0" t="s">
        <v>1576</v>
      </c>
      <c r="D3309" s="0" t="s">
        <v>3671</v>
      </c>
    </row>
    <row r="3310" customFormat="false" ht="15" hidden="false" customHeight="false" outlineLevel="0" collapsed="false">
      <c r="A3310" s="0" t="n">
        <v>37397</v>
      </c>
      <c r="B3310" s="0" t="s">
        <v>6529</v>
      </c>
      <c r="C3310" s="0" t="s">
        <v>1576</v>
      </c>
      <c r="D3310" s="0" t="s">
        <v>3671</v>
      </c>
    </row>
    <row r="3311" customFormat="false" ht="15" hidden="false" customHeight="false" outlineLevel="0" collapsed="false">
      <c r="A3311" s="0" t="n">
        <v>43606</v>
      </c>
      <c r="B3311" s="0" t="s">
        <v>6530</v>
      </c>
      <c r="C3311" s="0" t="s">
        <v>31</v>
      </c>
      <c r="D3311" s="0" t="s">
        <v>3671</v>
      </c>
      <c r="E3311" s="0" t="n">
        <v>9.89</v>
      </c>
    </row>
    <row r="3312" customFormat="false" ht="15" hidden="false" customHeight="false" outlineLevel="0" collapsed="false">
      <c r="A3312" s="0" t="n">
        <v>444</v>
      </c>
      <c r="B3312" s="0" t="s">
        <v>6531</v>
      </c>
      <c r="C3312" s="0" t="s">
        <v>31</v>
      </c>
      <c r="D3312" s="0" t="s">
        <v>3671</v>
      </c>
      <c r="E3312" s="0" t="n">
        <v>35.57</v>
      </c>
    </row>
    <row r="3313" customFormat="false" ht="15" hidden="false" customHeight="false" outlineLevel="0" collapsed="false">
      <c r="A3313" s="0" t="n">
        <v>445</v>
      </c>
      <c r="B3313" s="0" t="s">
        <v>6532</v>
      </c>
      <c r="C3313" s="0" t="s">
        <v>31</v>
      </c>
      <c r="D3313" s="0" t="s">
        <v>3671</v>
      </c>
      <c r="E3313" s="0" t="n">
        <v>48.69</v>
      </c>
    </row>
    <row r="3314" customFormat="false" ht="15" hidden="false" customHeight="false" outlineLevel="0" collapsed="false">
      <c r="A3314" s="0" t="n">
        <v>4783</v>
      </c>
      <c r="B3314" s="0" t="s">
        <v>1517</v>
      </c>
      <c r="C3314" s="0" t="s">
        <v>1444</v>
      </c>
      <c r="D3314" s="0" t="s">
        <v>3676</v>
      </c>
      <c r="E3314" s="0" t="n">
        <v>20.22</v>
      </c>
    </row>
    <row r="3315" customFormat="false" ht="15" hidden="false" customHeight="false" outlineLevel="0" collapsed="false">
      <c r="A3315" s="0" t="n">
        <v>41079</v>
      </c>
      <c r="B3315" s="0" t="s">
        <v>6533</v>
      </c>
      <c r="C3315" s="0" t="s">
        <v>1416</v>
      </c>
      <c r="D3315" s="0" t="s">
        <v>3671</v>
      </c>
      <c r="E3315" s="0" t="n">
        <v>3561.68</v>
      </c>
    </row>
    <row r="3316" customFormat="false" ht="15" hidden="false" customHeight="false" outlineLevel="0" collapsed="false">
      <c r="A3316" s="0" t="n">
        <v>12874</v>
      </c>
      <c r="B3316" s="0" t="s">
        <v>6534</v>
      </c>
      <c r="C3316" s="0" t="s">
        <v>1444</v>
      </c>
      <c r="D3316" s="0" t="s">
        <v>3671</v>
      </c>
      <c r="E3316" s="0" t="n">
        <v>19.62</v>
      </c>
    </row>
    <row r="3317" customFormat="false" ht="15" hidden="false" customHeight="false" outlineLevel="0" collapsed="false">
      <c r="A3317" s="0" t="n">
        <v>41082</v>
      </c>
      <c r="B3317" s="0" t="s">
        <v>6535</v>
      </c>
      <c r="C3317" s="0" t="s">
        <v>1416</v>
      </c>
      <c r="D3317" s="0" t="s">
        <v>3671</v>
      </c>
      <c r="E3317" s="0" t="n">
        <v>3458.63</v>
      </c>
    </row>
    <row r="3318" customFormat="false" ht="15" hidden="false" customHeight="false" outlineLevel="0" collapsed="false">
      <c r="A3318" s="0" t="n">
        <v>4785</v>
      </c>
      <c r="B3318" s="0" t="s">
        <v>6536</v>
      </c>
      <c r="C3318" s="0" t="s">
        <v>1444</v>
      </c>
      <c r="D3318" s="0" t="s">
        <v>3671</v>
      </c>
      <c r="E3318" s="0" t="n">
        <v>20.22</v>
      </c>
    </row>
    <row r="3319" customFormat="false" ht="15" hidden="false" customHeight="false" outlineLevel="0" collapsed="false">
      <c r="A3319" s="0" t="n">
        <v>41081</v>
      </c>
      <c r="B3319" s="0" t="s">
        <v>6537</v>
      </c>
      <c r="C3319" s="0" t="s">
        <v>1416</v>
      </c>
      <c r="D3319" s="0" t="s">
        <v>3671</v>
      </c>
      <c r="E3319" s="0" t="n">
        <v>3561.68</v>
      </c>
    </row>
    <row r="3320" customFormat="false" ht="15" hidden="false" customHeight="false" outlineLevel="0" collapsed="false">
      <c r="A3320" s="0" t="n">
        <v>4801</v>
      </c>
      <c r="B3320" s="0" t="s">
        <v>6538</v>
      </c>
      <c r="C3320" s="0" t="s">
        <v>1477</v>
      </c>
      <c r="D3320" s="0" t="s">
        <v>3671</v>
      </c>
      <c r="E3320" s="0" t="n">
        <v>77.75</v>
      </c>
    </row>
    <row r="3321" customFormat="false" ht="15" hidden="false" customHeight="false" outlineLevel="0" collapsed="false">
      <c r="A3321" s="0" t="n">
        <v>4794</v>
      </c>
      <c r="B3321" s="0" t="s">
        <v>6539</v>
      </c>
      <c r="C3321" s="0" t="s">
        <v>1477</v>
      </c>
      <c r="D3321" s="0" t="s">
        <v>3671</v>
      </c>
      <c r="E3321" s="0" t="n">
        <v>354.12</v>
      </c>
    </row>
    <row r="3322" customFormat="false" ht="15" hidden="false" customHeight="false" outlineLevel="0" collapsed="false">
      <c r="A3322" s="0" t="n">
        <v>4796</v>
      </c>
      <c r="B3322" s="0" t="s">
        <v>6540</v>
      </c>
      <c r="C3322" s="0" t="s">
        <v>1477</v>
      </c>
      <c r="D3322" s="0" t="s">
        <v>3671</v>
      </c>
      <c r="E3322" s="0" t="n">
        <v>215.09</v>
      </c>
    </row>
    <row r="3323" customFormat="false" ht="15" hidden="false" customHeight="false" outlineLevel="0" collapsed="false">
      <c r="A3323" s="0" t="n">
        <v>4800</v>
      </c>
      <c r="B3323" s="0" t="s">
        <v>6541</v>
      </c>
      <c r="C3323" s="0" t="s">
        <v>1477</v>
      </c>
      <c r="D3323" s="0" t="s">
        <v>3671</v>
      </c>
      <c r="E3323" s="0" t="n">
        <v>59.15</v>
      </c>
    </row>
    <row r="3324" customFormat="false" ht="15" hidden="false" customHeight="false" outlineLevel="0" collapsed="false">
      <c r="A3324" s="0" t="n">
        <v>4795</v>
      </c>
      <c r="B3324" s="0" t="s">
        <v>6542</v>
      </c>
      <c r="C3324" s="0" t="s">
        <v>1477</v>
      </c>
      <c r="D3324" s="0" t="s">
        <v>3671</v>
      </c>
      <c r="E3324" s="0" t="n">
        <v>344.72</v>
      </c>
    </row>
    <row r="3325" customFormat="false" ht="15" hidden="false" customHeight="false" outlineLevel="0" collapsed="false">
      <c r="A3325" s="0" t="n">
        <v>39694</v>
      </c>
      <c r="B3325" s="0" t="s">
        <v>6543</v>
      </c>
      <c r="C3325" s="0" t="s">
        <v>1477</v>
      </c>
      <c r="D3325" s="0" t="s">
        <v>3671</v>
      </c>
      <c r="E3325" s="0" t="n">
        <v>313.35</v>
      </c>
    </row>
    <row r="3326" customFormat="false" ht="15" hidden="false" customHeight="false" outlineLevel="0" collapsed="false">
      <c r="A3326" s="0" t="n">
        <v>1292</v>
      </c>
      <c r="B3326" s="0" t="s">
        <v>6544</v>
      </c>
      <c r="C3326" s="0" t="s">
        <v>1477</v>
      </c>
      <c r="D3326" s="0" t="s">
        <v>3671</v>
      </c>
      <c r="E3326" s="0" t="n">
        <v>39.91</v>
      </c>
    </row>
    <row r="3327" customFormat="false" ht="15" hidden="false" customHeight="false" outlineLevel="0" collapsed="false">
      <c r="A3327" s="0" t="n">
        <v>1287</v>
      </c>
      <c r="B3327" s="0" t="s">
        <v>1943</v>
      </c>
      <c r="C3327" s="0" t="s">
        <v>1477</v>
      </c>
      <c r="D3327" s="0" t="s">
        <v>3671</v>
      </c>
      <c r="E3327" s="0" t="n">
        <v>31.95</v>
      </c>
    </row>
    <row r="3328" customFormat="false" ht="15" hidden="false" customHeight="false" outlineLevel="0" collapsed="false">
      <c r="A3328" s="0" t="n">
        <v>4786</v>
      </c>
      <c r="B3328" s="0" t="s">
        <v>6545</v>
      </c>
      <c r="C3328" s="0" t="s">
        <v>1477</v>
      </c>
      <c r="D3328" s="0" t="s">
        <v>3676</v>
      </c>
    </row>
    <row r="3329" customFormat="false" ht="15" hidden="false" customHeight="false" outlineLevel="0" collapsed="false">
      <c r="A3329" s="0" t="n">
        <v>10840</v>
      </c>
      <c r="B3329" s="0" t="s">
        <v>6546</v>
      </c>
      <c r="C3329" s="0" t="s">
        <v>1477</v>
      </c>
      <c r="D3329" s="0" t="s">
        <v>3676</v>
      </c>
      <c r="E3329" s="0" t="n">
        <v>390</v>
      </c>
    </row>
    <row r="3330" customFormat="false" ht="15" hidden="false" customHeight="false" outlineLevel="0" collapsed="false">
      <c r="A3330" s="0" t="n">
        <v>10841</v>
      </c>
      <c r="B3330" s="0" t="s">
        <v>1949</v>
      </c>
      <c r="C3330" s="0" t="s">
        <v>1477</v>
      </c>
      <c r="D3330" s="0" t="s">
        <v>3671</v>
      </c>
      <c r="E3330" s="0" t="n">
        <v>294.33</v>
      </c>
    </row>
    <row r="3331" customFormat="false" ht="15" hidden="false" customHeight="false" outlineLevel="0" collapsed="false">
      <c r="A3331" s="0" t="n">
        <v>44540</v>
      </c>
      <c r="B3331" s="0" t="s">
        <v>6547</v>
      </c>
      <c r="C3331" s="0" t="s">
        <v>1477</v>
      </c>
      <c r="D3331" s="0" t="s">
        <v>3671</v>
      </c>
      <c r="E3331" s="0" t="n">
        <v>376.1</v>
      </c>
    </row>
    <row r="3332" customFormat="false" ht="15" hidden="false" customHeight="false" outlineLevel="0" collapsed="false">
      <c r="A3332" s="0" t="n">
        <v>10842</v>
      </c>
      <c r="B3332" s="0" t="s">
        <v>6548</v>
      </c>
      <c r="C3332" s="0" t="s">
        <v>1477</v>
      </c>
      <c r="D3332" s="0" t="s">
        <v>3671</v>
      </c>
      <c r="E3332" s="0" t="n">
        <v>425.15</v>
      </c>
    </row>
    <row r="3333" customFormat="false" ht="15" hidden="false" customHeight="false" outlineLevel="0" collapsed="false">
      <c r="A3333" s="0" t="n">
        <v>45190</v>
      </c>
      <c r="B3333" s="0" t="s">
        <v>1937</v>
      </c>
      <c r="C3333" s="0" t="s">
        <v>1477</v>
      </c>
      <c r="D3333" s="0" t="s">
        <v>3676</v>
      </c>
      <c r="E3333" s="0" t="n">
        <v>65.9</v>
      </c>
    </row>
    <row r="3334" customFormat="false" ht="15" hidden="false" customHeight="false" outlineLevel="0" collapsed="false">
      <c r="A3334" s="0" t="n">
        <v>45191</v>
      </c>
      <c r="B3334" s="0" t="s">
        <v>6549</v>
      </c>
      <c r="C3334" s="0" t="s">
        <v>1477</v>
      </c>
      <c r="D3334" s="0" t="s">
        <v>3671</v>
      </c>
      <c r="E3334" s="0" t="n">
        <v>111.8</v>
      </c>
    </row>
    <row r="3335" customFormat="false" ht="15" hidden="false" customHeight="false" outlineLevel="0" collapsed="false">
      <c r="A3335" s="0" t="n">
        <v>38180</v>
      </c>
      <c r="B3335" s="0" t="s">
        <v>6550</v>
      </c>
      <c r="C3335" s="0" t="s">
        <v>1477</v>
      </c>
      <c r="D3335" s="0" t="s">
        <v>3671</v>
      </c>
      <c r="E3335" s="0" t="n">
        <v>173.17</v>
      </c>
    </row>
    <row r="3336" customFormat="false" ht="15" hidden="false" customHeight="false" outlineLevel="0" collapsed="false">
      <c r="A3336" s="0" t="n">
        <v>40648</v>
      </c>
      <c r="B3336" s="0" t="s">
        <v>6551</v>
      </c>
      <c r="C3336" s="0" t="s">
        <v>1477</v>
      </c>
      <c r="D3336" s="0" t="s">
        <v>3671</v>
      </c>
    </row>
    <row r="3337" customFormat="false" ht="15" hidden="false" customHeight="false" outlineLevel="0" collapsed="false">
      <c r="A3337" s="0" t="n">
        <v>40649</v>
      </c>
      <c r="B3337" s="0" t="s">
        <v>6552</v>
      </c>
      <c r="C3337" s="0" t="s">
        <v>1477</v>
      </c>
      <c r="D3337" s="0" t="s">
        <v>3671</v>
      </c>
    </row>
    <row r="3338" customFormat="false" ht="15" hidden="false" customHeight="false" outlineLevel="0" collapsed="false">
      <c r="A3338" s="0" t="n">
        <v>40650</v>
      </c>
      <c r="B3338" s="0" t="s">
        <v>6553</v>
      </c>
      <c r="C3338" s="0" t="s">
        <v>1477</v>
      </c>
      <c r="D3338" s="0" t="s">
        <v>3671</v>
      </c>
    </row>
    <row r="3339" customFormat="false" ht="15" hidden="false" customHeight="false" outlineLevel="0" collapsed="false">
      <c r="A3339" s="0" t="n">
        <v>40651</v>
      </c>
      <c r="B3339" s="0" t="s">
        <v>6554</v>
      </c>
      <c r="C3339" s="0" t="s">
        <v>1477</v>
      </c>
      <c r="D3339" s="0" t="s">
        <v>3671</v>
      </c>
    </row>
    <row r="3340" customFormat="false" ht="15" hidden="false" customHeight="false" outlineLevel="0" collapsed="false">
      <c r="A3340" s="0" t="n">
        <v>40652</v>
      </c>
      <c r="B3340" s="0" t="s">
        <v>6555</v>
      </c>
      <c r="C3340" s="0" t="s">
        <v>1477</v>
      </c>
      <c r="D3340" s="0" t="s">
        <v>3671</v>
      </c>
    </row>
    <row r="3341" customFormat="false" ht="15" hidden="false" customHeight="false" outlineLevel="0" collapsed="false">
      <c r="A3341" s="0" t="n">
        <v>40647</v>
      </c>
      <c r="B3341" s="0" t="s">
        <v>6556</v>
      </c>
      <c r="C3341" s="0" t="s">
        <v>1477</v>
      </c>
      <c r="D3341" s="0" t="s">
        <v>3671</v>
      </c>
    </row>
    <row r="3342" customFormat="false" ht="15" hidden="false" customHeight="false" outlineLevel="0" collapsed="false">
      <c r="A3342" s="0" t="n">
        <v>40653</v>
      </c>
      <c r="B3342" s="0" t="s">
        <v>6557</v>
      </c>
      <c r="C3342" s="0" t="s">
        <v>1477</v>
      </c>
      <c r="D3342" s="0" t="s">
        <v>3671</v>
      </c>
    </row>
    <row r="3343" customFormat="false" ht="15" hidden="false" customHeight="false" outlineLevel="0" collapsed="false">
      <c r="A3343" s="0" t="n">
        <v>38135</v>
      </c>
      <c r="B3343" s="0" t="s">
        <v>6558</v>
      </c>
      <c r="C3343" s="0" t="s">
        <v>1477</v>
      </c>
      <c r="D3343" s="0" t="s">
        <v>3671</v>
      </c>
    </row>
    <row r="3344" customFormat="false" ht="15" hidden="false" customHeight="false" outlineLevel="0" collapsed="false">
      <c r="A3344" s="0" t="n">
        <v>36178</v>
      </c>
      <c r="B3344" s="0" t="s">
        <v>6559</v>
      </c>
      <c r="C3344" s="0" t="s">
        <v>31</v>
      </c>
      <c r="D3344" s="0" t="s">
        <v>3671</v>
      </c>
      <c r="E3344" s="0" t="n">
        <v>16.76</v>
      </c>
    </row>
    <row r="3345" customFormat="false" ht="15" hidden="false" customHeight="false" outlineLevel="0" collapsed="false">
      <c r="A3345" s="0" t="n">
        <v>38181</v>
      </c>
      <c r="B3345" s="0" t="s">
        <v>6560</v>
      </c>
      <c r="C3345" s="0" t="s">
        <v>1477</v>
      </c>
      <c r="D3345" s="0" t="s">
        <v>3671</v>
      </c>
      <c r="E3345" s="0" t="n">
        <v>236.41</v>
      </c>
    </row>
    <row r="3346" customFormat="false" ht="15" hidden="false" customHeight="false" outlineLevel="0" collapsed="false">
      <c r="A3346" s="0" t="n">
        <v>38182</v>
      </c>
      <c r="B3346" s="0" t="s">
        <v>6561</v>
      </c>
      <c r="C3346" s="0" t="s">
        <v>1477</v>
      </c>
      <c r="D3346" s="0" t="s">
        <v>3671</v>
      </c>
      <c r="E3346" s="0" t="n">
        <v>225.19</v>
      </c>
    </row>
    <row r="3347" customFormat="false" ht="15" hidden="false" customHeight="false" outlineLevel="0" collapsed="false">
      <c r="A3347" s="0" t="n">
        <v>38186</v>
      </c>
      <c r="B3347" s="0" t="s">
        <v>6562</v>
      </c>
      <c r="C3347" s="0" t="s">
        <v>1477</v>
      </c>
      <c r="D3347" s="0" t="s">
        <v>3671</v>
      </c>
      <c r="E3347" s="0" t="n">
        <v>585.35</v>
      </c>
    </row>
    <row r="3348" customFormat="false" ht="15" hidden="false" customHeight="false" outlineLevel="0" collapsed="false">
      <c r="A3348" s="0" t="n">
        <v>38185</v>
      </c>
      <c r="B3348" s="0" t="s">
        <v>6563</v>
      </c>
      <c r="C3348" s="0" t="s">
        <v>1477</v>
      </c>
      <c r="D3348" s="0" t="s">
        <v>3671</v>
      </c>
      <c r="E3348" s="0" t="n">
        <v>521.16</v>
      </c>
    </row>
    <row r="3349" customFormat="false" ht="15" hidden="false" customHeight="false" outlineLevel="0" collapsed="false">
      <c r="A3349" s="0" t="n">
        <v>40654</v>
      </c>
      <c r="B3349" s="0" t="s">
        <v>6564</v>
      </c>
      <c r="C3349" s="0" t="s">
        <v>1477</v>
      </c>
      <c r="D3349" s="0" t="s">
        <v>3671</v>
      </c>
    </row>
    <row r="3350" customFormat="false" ht="15" hidden="false" customHeight="false" outlineLevel="0" collapsed="false">
      <c r="A3350" s="0" t="n">
        <v>44541</v>
      </c>
      <c r="B3350" s="0" t="s">
        <v>6565</v>
      </c>
      <c r="C3350" s="0" t="s">
        <v>1477</v>
      </c>
      <c r="D3350" s="0" t="s">
        <v>3671</v>
      </c>
      <c r="E3350" s="0" t="n">
        <v>310.69</v>
      </c>
    </row>
    <row r="3351" customFormat="false" ht="15" hidden="false" customHeight="false" outlineLevel="0" collapsed="false">
      <c r="A3351" s="0" t="n">
        <v>4822</v>
      </c>
      <c r="B3351" s="0" t="s">
        <v>6566</v>
      </c>
      <c r="C3351" s="0" t="s">
        <v>1477</v>
      </c>
      <c r="D3351" s="0" t="s">
        <v>3671</v>
      </c>
      <c r="E3351" s="0" t="n">
        <v>537.77</v>
      </c>
    </row>
    <row r="3352" customFormat="false" ht="15" hidden="false" customHeight="false" outlineLevel="0" collapsed="false">
      <c r="A3352" s="0" t="n">
        <v>4818</v>
      </c>
      <c r="B3352" s="0" t="s">
        <v>6567</v>
      </c>
      <c r="C3352" s="0" t="s">
        <v>1477</v>
      </c>
      <c r="D3352" s="0" t="s">
        <v>3676</v>
      </c>
      <c r="E3352" s="0" t="n">
        <v>552.75</v>
      </c>
    </row>
    <row r="3353" customFormat="false" ht="15" hidden="false" customHeight="false" outlineLevel="0" collapsed="false">
      <c r="A3353" s="0" t="n">
        <v>39567</v>
      </c>
      <c r="B3353" s="0" t="s">
        <v>6568</v>
      </c>
      <c r="C3353" s="0" t="s">
        <v>1477</v>
      </c>
      <c r="D3353" s="0" t="s">
        <v>3671</v>
      </c>
      <c r="E3353" s="0" t="n">
        <v>40.92</v>
      </c>
    </row>
    <row r="3354" customFormat="false" ht="15" hidden="false" customHeight="false" outlineLevel="0" collapsed="false">
      <c r="A3354" s="0" t="n">
        <v>39566</v>
      </c>
      <c r="B3354" s="0" t="s">
        <v>6569</v>
      </c>
      <c r="C3354" s="0" t="s">
        <v>1477</v>
      </c>
      <c r="D3354" s="0" t="s">
        <v>3671</v>
      </c>
      <c r="E3354" s="0" t="n">
        <v>43.32</v>
      </c>
    </row>
    <row r="3355" customFormat="false" ht="15" hidden="false" customHeight="false" outlineLevel="0" collapsed="false">
      <c r="A3355" s="0" t="n">
        <v>39416</v>
      </c>
      <c r="B3355" s="0" t="s">
        <v>6570</v>
      </c>
      <c r="C3355" s="0" t="s">
        <v>1477</v>
      </c>
      <c r="D3355" s="0" t="s">
        <v>3671</v>
      </c>
      <c r="E3355" s="0" t="n">
        <v>26.4</v>
      </c>
    </row>
    <row r="3356" customFormat="false" ht="15" hidden="false" customHeight="false" outlineLevel="0" collapsed="false">
      <c r="A3356" s="0" t="n">
        <v>39417</v>
      </c>
      <c r="B3356" s="0" t="s">
        <v>6571</v>
      </c>
      <c r="C3356" s="0" t="s">
        <v>1477</v>
      </c>
      <c r="D3356" s="0" t="s">
        <v>3671</v>
      </c>
      <c r="E3356" s="0" t="n">
        <v>25.75</v>
      </c>
    </row>
    <row r="3357" customFormat="false" ht="15" hidden="false" customHeight="false" outlineLevel="0" collapsed="false">
      <c r="A3357" s="0" t="n">
        <v>43742</v>
      </c>
      <c r="B3357" s="0" t="s">
        <v>6572</v>
      </c>
      <c r="C3357" s="0" t="s">
        <v>1477</v>
      </c>
      <c r="D3357" s="0" t="s">
        <v>3671</v>
      </c>
      <c r="E3357" s="0" t="n">
        <v>27.77</v>
      </c>
    </row>
    <row r="3358" customFormat="false" ht="15" hidden="false" customHeight="false" outlineLevel="0" collapsed="false">
      <c r="A3358" s="0" t="n">
        <v>39414</v>
      </c>
      <c r="B3358" s="0" t="s">
        <v>6573</v>
      </c>
      <c r="C3358" s="0" t="s">
        <v>1477</v>
      </c>
      <c r="D3358" s="0" t="s">
        <v>3671</v>
      </c>
      <c r="E3358" s="0" t="n">
        <v>25</v>
      </c>
    </row>
    <row r="3359" customFormat="false" ht="15" hidden="false" customHeight="false" outlineLevel="0" collapsed="false">
      <c r="A3359" s="0" t="n">
        <v>39415</v>
      </c>
      <c r="B3359" s="0" t="s">
        <v>6574</v>
      </c>
      <c r="C3359" s="0" t="s">
        <v>1477</v>
      </c>
      <c r="D3359" s="0" t="s">
        <v>3671</v>
      </c>
      <c r="E3359" s="0" t="n">
        <v>21.55</v>
      </c>
    </row>
    <row r="3360" customFormat="false" ht="15" hidden="false" customHeight="false" outlineLevel="0" collapsed="false">
      <c r="A3360" s="0" t="n">
        <v>43740</v>
      </c>
      <c r="B3360" s="0" t="s">
        <v>6575</v>
      </c>
      <c r="C3360" s="0" t="s">
        <v>1477</v>
      </c>
      <c r="D3360" s="0" t="s">
        <v>3671</v>
      </c>
      <c r="E3360" s="0" t="n">
        <v>26.32</v>
      </c>
    </row>
    <row r="3361" customFormat="false" ht="15" hidden="false" customHeight="false" outlineLevel="0" collapsed="false">
      <c r="A3361" s="0" t="n">
        <v>39412</v>
      </c>
      <c r="B3361" s="0" t="s">
        <v>6576</v>
      </c>
      <c r="C3361" s="0" t="s">
        <v>1477</v>
      </c>
      <c r="D3361" s="0" t="s">
        <v>3676</v>
      </c>
      <c r="E3361" s="0" t="n">
        <v>18.05</v>
      </c>
    </row>
    <row r="3362" customFormat="false" ht="15" hidden="false" customHeight="false" outlineLevel="0" collapsed="false">
      <c r="A3362" s="0" t="n">
        <v>39413</v>
      </c>
      <c r="B3362" s="0" t="s">
        <v>1801</v>
      </c>
      <c r="C3362" s="0" t="s">
        <v>1477</v>
      </c>
      <c r="D3362" s="0" t="s">
        <v>3671</v>
      </c>
      <c r="E3362" s="0" t="n">
        <v>19.52</v>
      </c>
    </row>
    <row r="3363" customFormat="false" ht="15" hidden="false" customHeight="false" outlineLevel="0" collapsed="false">
      <c r="A3363" s="0" t="n">
        <v>43741</v>
      </c>
      <c r="B3363" s="0" t="s">
        <v>6577</v>
      </c>
      <c r="C3363" s="0" t="s">
        <v>1477</v>
      </c>
      <c r="D3363" s="0" t="s">
        <v>3671</v>
      </c>
      <c r="E3363" s="0" t="n">
        <v>20.81</v>
      </c>
    </row>
    <row r="3364" customFormat="false" ht="15" hidden="false" customHeight="false" outlineLevel="0" collapsed="false">
      <c r="A3364" s="0" t="n">
        <v>11062</v>
      </c>
      <c r="B3364" s="0" t="s">
        <v>1786</v>
      </c>
      <c r="C3364" s="0" t="s">
        <v>1477</v>
      </c>
      <c r="D3364" s="0" t="s">
        <v>3671</v>
      </c>
      <c r="E3364" s="0" t="n">
        <v>52.44</v>
      </c>
    </row>
    <row r="3365" customFormat="false" ht="15" hidden="false" customHeight="false" outlineLevel="0" collapsed="false">
      <c r="A3365" s="0" t="n">
        <v>11063</v>
      </c>
      <c r="B3365" s="0" t="s">
        <v>6578</v>
      </c>
      <c r="C3365" s="0" t="s">
        <v>1477</v>
      </c>
      <c r="D3365" s="0" t="s">
        <v>3671</v>
      </c>
      <c r="E3365" s="0" t="n">
        <v>32.09</v>
      </c>
    </row>
    <row r="3366" customFormat="false" ht="15" hidden="false" customHeight="false" outlineLevel="0" collapsed="false">
      <c r="A3366" s="0" t="n">
        <v>13521</v>
      </c>
      <c r="B3366" s="0" t="s">
        <v>6579</v>
      </c>
      <c r="C3366" s="0" t="s">
        <v>31</v>
      </c>
      <c r="D3366" s="0" t="s">
        <v>3671</v>
      </c>
    </row>
    <row r="3367" customFormat="false" ht="15" hidden="false" customHeight="false" outlineLevel="0" collapsed="false">
      <c r="A3367" s="0" t="n">
        <v>10851</v>
      </c>
      <c r="B3367" s="0" t="s">
        <v>1986</v>
      </c>
      <c r="C3367" s="0" t="s">
        <v>31</v>
      </c>
      <c r="D3367" s="0" t="s">
        <v>3671</v>
      </c>
    </row>
    <row r="3368" customFormat="false" ht="15" hidden="false" customHeight="false" outlineLevel="0" collapsed="false">
      <c r="A3368" s="0" t="n">
        <v>39515</v>
      </c>
      <c r="B3368" s="0" t="s">
        <v>6580</v>
      </c>
      <c r="C3368" s="0" t="s">
        <v>31</v>
      </c>
      <c r="D3368" s="0" t="s">
        <v>3671</v>
      </c>
    </row>
    <row r="3369" customFormat="false" ht="15" hidden="false" customHeight="false" outlineLevel="0" collapsed="false">
      <c r="A3369" s="0" t="n">
        <v>39516</v>
      </c>
      <c r="B3369" s="0" t="s">
        <v>6581</v>
      </c>
      <c r="C3369" s="0" t="s">
        <v>31</v>
      </c>
      <c r="D3369" s="0" t="s">
        <v>3671</v>
      </c>
    </row>
    <row r="3370" customFormat="false" ht="15" hidden="false" customHeight="false" outlineLevel="0" collapsed="false">
      <c r="A3370" s="0" t="n">
        <v>39514</v>
      </c>
      <c r="B3370" s="0" t="s">
        <v>6582</v>
      </c>
      <c r="C3370" s="0" t="s">
        <v>31</v>
      </c>
      <c r="D3370" s="0" t="s">
        <v>3676</v>
      </c>
    </row>
    <row r="3371" customFormat="false" ht="15" hidden="false" customHeight="false" outlineLevel="0" collapsed="false">
      <c r="A3371" s="0" t="n">
        <v>4812</v>
      </c>
      <c r="B3371" s="0" t="s">
        <v>2006</v>
      </c>
      <c r="C3371" s="0" t="s">
        <v>1477</v>
      </c>
      <c r="D3371" s="0" t="s">
        <v>3671</v>
      </c>
      <c r="E3371" s="0" t="n">
        <v>10.83</v>
      </c>
    </row>
    <row r="3372" customFormat="false" ht="15" hidden="false" customHeight="false" outlineLevel="0" collapsed="false">
      <c r="A3372" s="0" t="n">
        <v>10849</v>
      </c>
      <c r="B3372" s="0" t="s">
        <v>6583</v>
      </c>
      <c r="C3372" s="0" t="s">
        <v>31</v>
      </c>
      <c r="D3372" s="0" t="s">
        <v>3671</v>
      </c>
    </row>
    <row r="3373" customFormat="false" ht="15" hidden="false" customHeight="false" outlineLevel="0" collapsed="false">
      <c r="A3373" s="0" t="n">
        <v>10848</v>
      </c>
      <c r="B3373" s="0" t="s">
        <v>6584</v>
      </c>
      <c r="C3373" s="0" t="s">
        <v>31</v>
      </c>
      <c r="D3373" s="0" t="s">
        <v>3671</v>
      </c>
    </row>
    <row r="3374" customFormat="false" ht="15" hidden="false" customHeight="false" outlineLevel="0" collapsed="false">
      <c r="A3374" s="0" t="n">
        <v>4813</v>
      </c>
      <c r="B3374" s="0" t="s">
        <v>1511</v>
      </c>
      <c r="C3374" s="0" t="s">
        <v>1477</v>
      </c>
      <c r="D3374" s="0" t="s">
        <v>3676</v>
      </c>
    </row>
    <row r="3375" customFormat="false" ht="15" hidden="false" customHeight="false" outlineLevel="0" collapsed="false">
      <c r="A3375" s="0" t="n">
        <v>37560</v>
      </c>
      <c r="B3375" s="0" t="s">
        <v>6585</v>
      </c>
      <c r="C3375" s="0" t="s">
        <v>31</v>
      </c>
      <c r="D3375" s="0" t="s">
        <v>3671</v>
      </c>
      <c r="E3375" s="0" t="n">
        <v>29.53</v>
      </c>
    </row>
    <row r="3376" customFormat="false" ht="15" hidden="false" customHeight="false" outlineLevel="0" collapsed="false">
      <c r="A3376" s="0" t="n">
        <v>37557</v>
      </c>
      <c r="B3376" s="0" t="s">
        <v>2661</v>
      </c>
      <c r="C3376" s="0" t="s">
        <v>31</v>
      </c>
      <c r="D3376" s="0" t="s">
        <v>3671</v>
      </c>
      <c r="E3376" s="0" t="n">
        <v>8.96</v>
      </c>
    </row>
    <row r="3377" customFormat="false" ht="15" hidden="false" customHeight="false" outlineLevel="0" collapsed="false">
      <c r="A3377" s="0" t="n">
        <v>37556</v>
      </c>
      <c r="B3377" s="0" t="s">
        <v>2654</v>
      </c>
      <c r="C3377" s="0" t="s">
        <v>31</v>
      </c>
      <c r="D3377" s="0" t="s">
        <v>3671</v>
      </c>
      <c r="E3377" s="0" t="n">
        <v>17.35</v>
      </c>
    </row>
    <row r="3378" customFormat="false" ht="15" hidden="false" customHeight="false" outlineLevel="0" collapsed="false">
      <c r="A3378" s="0" t="n">
        <v>37559</v>
      </c>
      <c r="B3378" s="0" t="s">
        <v>6586</v>
      </c>
      <c r="C3378" s="0" t="s">
        <v>31</v>
      </c>
      <c r="D3378" s="0" t="s">
        <v>3671</v>
      </c>
      <c r="E3378" s="0" t="n">
        <v>21.28</v>
      </c>
    </row>
    <row r="3379" customFormat="false" ht="15" hidden="false" customHeight="false" outlineLevel="0" collapsed="false">
      <c r="A3379" s="0" t="n">
        <v>37539</v>
      </c>
      <c r="B3379" s="0" t="s">
        <v>6587</v>
      </c>
      <c r="C3379" s="0" t="s">
        <v>31</v>
      </c>
      <c r="D3379" s="0" t="s">
        <v>3676</v>
      </c>
      <c r="E3379" s="0" t="n">
        <v>15</v>
      </c>
    </row>
    <row r="3380" customFormat="false" ht="15" hidden="false" customHeight="false" outlineLevel="0" collapsed="false">
      <c r="A3380" s="0" t="n">
        <v>37558</v>
      </c>
      <c r="B3380" s="0" t="s">
        <v>2658</v>
      </c>
      <c r="C3380" s="0" t="s">
        <v>31</v>
      </c>
      <c r="D3380" s="0" t="s">
        <v>3671</v>
      </c>
      <c r="E3380" s="0" t="n">
        <v>27.96</v>
      </c>
    </row>
    <row r="3381" customFormat="false" ht="15" hidden="false" customHeight="false" outlineLevel="0" collapsed="false">
      <c r="A3381" s="0" t="n">
        <v>34723</v>
      </c>
      <c r="B3381" s="0" t="s">
        <v>6588</v>
      </c>
      <c r="C3381" s="0" t="s">
        <v>1477</v>
      </c>
      <c r="D3381" s="0" t="s">
        <v>3671</v>
      </c>
    </row>
    <row r="3382" customFormat="false" ht="15" hidden="false" customHeight="false" outlineLevel="0" collapsed="false">
      <c r="A3382" s="0" t="n">
        <v>34721</v>
      </c>
      <c r="B3382" s="0" t="s">
        <v>6589</v>
      </c>
      <c r="C3382" s="0" t="s">
        <v>1477</v>
      </c>
      <c r="D3382" s="0" t="s">
        <v>3671</v>
      </c>
    </row>
    <row r="3383" customFormat="false" ht="15" hidden="false" customHeight="false" outlineLevel="0" collapsed="false">
      <c r="A3383" s="0" t="n">
        <v>4309</v>
      </c>
      <c r="B3383" s="0" t="s">
        <v>6590</v>
      </c>
      <c r="C3383" s="0" t="s">
        <v>31</v>
      </c>
      <c r="D3383" s="0" t="s">
        <v>3671</v>
      </c>
      <c r="E3383" s="0" t="n">
        <v>6.02</v>
      </c>
    </row>
    <row r="3384" customFormat="false" ht="15" hidden="false" customHeight="false" outlineLevel="0" collapsed="false">
      <c r="A3384" s="0" t="n">
        <v>4307</v>
      </c>
      <c r="B3384" s="0" t="s">
        <v>6591</v>
      </c>
      <c r="C3384" s="0" t="s">
        <v>31</v>
      </c>
      <c r="D3384" s="0" t="s">
        <v>3671</v>
      </c>
      <c r="E3384" s="0" t="n">
        <v>10.3</v>
      </c>
    </row>
    <row r="3385" customFormat="false" ht="15" hidden="false" customHeight="false" outlineLevel="0" collapsed="false">
      <c r="A3385" s="0" t="n">
        <v>10850</v>
      </c>
      <c r="B3385" s="0" t="s">
        <v>6592</v>
      </c>
      <c r="C3385" s="0" t="s">
        <v>31</v>
      </c>
      <c r="D3385" s="0" t="s">
        <v>3671</v>
      </c>
    </row>
    <row r="3386" customFormat="false" ht="15" hidden="false" customHeight="false" outlineLevel="0" collapsed="false">
      <c r="A3386" s="0" t="n">
        <v>42438</v>
      </c>
      <c r="B3386" s="0" t="s">
        <v>6593</v>
      </c>
      <c r="C3386" s="0" t="s">
        <v>31</v>
      </c>
      <c r="D3386" s="0" t="s">
        <v>3671</v>
      </c>
    </row>
    <row r="3387" customFormat="false" ht="15" hidden="false" customHeight="false" outlineLevel="0" collapsed="false">
      <c r="A3387" s="0" t="n">
        <v>4792</v>
      </c>
      <c r="B3387" s="0" t="s">
        <v>6594</v>
      </c>
      <c r="C3387" s="0" t="s">
        <v>1477</v>
      </c>
      <c r="D3387" s="0" t="s">
        <v>3671</v>
      </c>
      <c r="E3387" s="0" t="n">
        <v>166.24</v>
      </c>
    </row>
    <row r="3388" customFormat="false" ht="15" hidden="false" customHeight="false" outlineLevel="0" collapsed="false">
      <c r="A3388" s="0" t="n">
        <v>4790</v>
      </c>
      <c r="B3388" s="0" t="s">
        <v>6595</v>
      </c>
      <c r="C3388" s="0" t="s">
        <v>1477</v>
      </c>
      <c r="D3388" s="0" t="s">
        <v>3676</v>
      </c>
      <c r="E3388" s="0" t="n">
        <v>99.95</v>
      </c>
    </row>
    <row r="3389" customFormat="false" ht="15" hidden="false" customHeight="false" outlineLevel="0" collapsed="false">
      <c r="A3389" s="0" t="n">
        <v>40671</v>
      </c>
      <c r="B3389" s="0" t="s">
        <v>6596</v>
      </c>
      <c r="C3389" s="0" t="s">
        <v>1477</v>
      </c>
      <c r="D3389" s="0" t="s">
        <v>3671</v>
      </c>
      <c r="E3389" s="0" t="n">
        <v>110.04</v>
      </c>
    </row>
    <row r="3390" customFormat="false" ht="15" hidden="false" customHeight="false" outlineLevel="0" collapsed="false">
      <c r="A3390" s="0" t="n">
        <v>7552</v>
      </c>
      <c r="B3390" s="0" t="s">
        <v>6597</v>
      </c>
      <c r="C3390" s="0" t="s">
        <v>31</v>
      </c>
      <c r="D3390" s="0" t="s">
        <v>3671</v>
      </c>
      <c r="E3390" s="0" t="n">
        <v>19.92</v>
      </c>
    </row>
    <row r="3391" customFormat="false" ht="15" hidden="false" customHeight="false" outlineLevel="0" collapsed="false">
      <c r="A3391" s="0" t="n">
        <v>4893</v>
      </c>
      <c r="B3391" s="0" t="s">
        <v>6598</v>
      </c>
      <c r="C3391" s="0" t="s">
        <v>31</v>
      </c>
      <c r="D3391" s="0" t="s">
        <v>3671</v>
      </c>
    </row>
    <row r="3392" customFormat="false" ht="15" hidden="false" customHeight="false" outlineLevel="0" collapsed="false">
      <c r="A3392" s="0" t="n">
        <v>4894</v>
      </c>
      <c r="B3392" s="0" t="s">
        <v>6599</v>
      </c>
      <c r="C3392" s="0" t="s">
        <v>31</v>
      </c>
      <c r="D3392" s="0" t="s">
        <v>3671</v>
      </c>
    </row>
    <row r="3393" customFormat="false" ht="15" hidden="false" customHeight="false" outlineLevel="0" collapsed="false">
      <c r="A3393" s="0" t="n">
        <v>4890</v>
      </c>
      <c r="B3393" s="0" t="s">
        <v>6600</v>
      </c>
      <c r="C3393" s="0" t="s">
        <v>31</v>
      </c>
      <c r="D3393" s="0" t="s">
        <v>3671</v>
      </c>
    </row>
    <row r="3394" customFormat="false" ht="15" hidden="false" customHeight="false" outlineLevel="0" collapsed="false">
      <c r="A3394" s="0" t="n">
        <v>4888</v>
      </c>
      <c r="B3394" s="0" t="s">
        <v>6601</v>
      </c>
      <c r="C3394" s="0" t="s">
        <v>31</v>
      </c>
      <c r="D3394" s="0" t="s">
        <v>3671</v>
      </c>
    </row>
    <row r="3395" customFormat="false" ht="15" hidden="false" customHeight="false" outlineLevel="0" collapsed="false">
      <c r="A3395" s="0" t="n">
        <v>12411</v>
      </c>
      <c r="B3395" s="0" t="s">
        <v>6602</v>
      </c>
      <c r="C3395" s="0" t="s">
        <v>31</v>
      </c>
      <c r="D3395" s="0" t="s">
        <v>3671</v>
      </c>
    </row>
    <row r="3396" customFormat="false" ht="15" hidden="false" customHeight="false" outlineLevel="0" collapsed="false">
      <c r="A3396" s="0" t="n">
        <v>4891</v>
      </c>
      <c r="B3396" s="0" t="s">
        <v>6603</v>
      </c>
      <c r="C3396" s="0" t="s">
        <v>31</v>
      </c>
      <c r="D3396" s="0" t="s">
        <v>3671</v>
      </c>
    </row>
    <row r="3397" customFormat="false" ht="15" hidden="false" customHeight="false" outlineLevel="0" collapsed="false">
      <c r="A3397" s="0" t="n">
        <v>4892</v>
      </c>
      <c r="B3397" s="0" t="s">
        <v>6604</v>
      </c>
      <c r="C3397" s="0" t="s">
        <v>31</v>
      </c>
      <c r="D3397" s="0" t="s">
        <v>3671</v>
      </c>
    </row>
    <row r="3398" customFormat="false" ht="15" hidden="false" customHeight="false" outlineLevel="0" collapsed="false">
      <c r="A3398" s="0" t="n">
        <v>4889</v>
      </c>
      <c r="B3398" s="0" t="s">
        <v>6605</v>
      </c>
      <c r="C3398" s="0" t="s">
        <v>31</v>
      </c>
      <c r="D3398" s="0" t="s">
        <v>3671</v>
      </c>
    </row>
    <row r="3399" customFormat="false" ht="15" hidden="false" customHeight="false" outlineLevel="0" collapsed="false">
      <c r="A3399" s="0" t="n">
        <v>12412</v>
      </c>
      <c r="B3399" s="0" t="s">
        <v>6606</v>
      </c>
      <c r="C3399" s="0" t="s">
        <v>31</v>
      </c>
      <c r="D3399" s="0" t="s">
        <v>3671</v>
      </c>
    </row>
    <row r="3400" customFormat="false" ht="15" hidden="false" customHeight="false" outlineLevel="0" collapsed="false">
      <c r="A3400" s="0" t="n">
        <v>4907</v>
      </c>
      <c r="B3400" s="0" t="s">
        <v>6607</v>
      </c>
      <c r="C3400" s="0" t="s">
        <v>31</v>
      </c>
      <c r="D3400" s="0" t="s">
        <v>3671</v>
      </c>
      <c r="E3400" s="0" t="n">
        <v>22.64</v>
      </c>
    </row>
    <row r="3401" customFormat="false" ht="15" hidden="false" customHeight="false" outlineLevel="0" collapsed="false">
      <c r="A3401" s="0" t="n">
        <v>4902</v>
      </c>
      <c r="B3401" s="0" t="s">
        <v>6608</v>
      </c>
      <c r="C3401" s="0" t="s">
        <v>31</v>
      </c>
      <c r="D3401" s="0" t="s">
        <v>3671</v>
      </c>
      <c r="E3401" s="0" t="n">
        <v>58.74</v>
      </c>
    </row>
    <row r="3402" customFormat="false" ht="15" hidden="false" customHeight="false" outlineLevel="0" collapsed="false">
      <c r="A3402" s="0" t="n">
        <v>4741</v>
      </c>
      <c r="B3402" s="0" t="s">
        <v>1953</v>
      </c>
      <c r="C3402" s="0" t="s">
        <v>1442</v>
      </c>
      <c r="D3402" s="0" t="s">
        <v>3671</v>
      </c>
      <c r="E3402" s="0" t="n">
        <v>109.29</v>
      </c>
    </row>
    <row r="3403" customFormat="false" ht="15" hidden="false" customHeight="false" outlineLevel="0" collapsed="false">
      <c r="A3403" s="0" t="n">
        <v>4752</v>
      </c>
      <c r="B3403" s="0" t="s">
        <v>6609</v>
      </c>
      <c r="C3403" s="0" t="s">
        <v>1444</v>
      </c>
      <c r="D3403" s="0" t="s">
        <v>3671</v>
      </c>
      <c r="E3403" s="0" t="n">
        <v>13.46</v>
      </c>
    </row>
    <row r="3404" customFormat="false" ht="15" hidden="false" customHeight="false" outlineLevel="0" collapsed="false">
      <c r="A3404" s="0" t="n">
        <v>41091</v>
      </c>
      <c r="B3404" s="0" t="s">
        <v>6610</v>
      </c>
      <c r="C3404" s="0" t="s">
        <v>1416</v>
      </c>
      <c r="D3404" s="0" t="s">
        <v>3671</v>
      </c>
      <c r="E3404" s="0" t="n">
        <v>2372.07</v>
      </c>
    </row>
    <row r="3405" customFormat="false" ht="15" hidden="false" customHeight="false" outlineLevel="0" collapsed="false">
      <c r="A3405" s="0" t="n">
        <v>13954</v>
      </c>
      <c r="B3405" s="0" t="s">
        <v>6611</v>
      </c>
      <c r="C3405" s="0" t="s">
        <v>31</v>
      </c>
      <c r="D3405" s="0" t="s">
        <v>3671</v>
      </c>
    </row>
    <row r="3406" customFormat="false" ht="15" hidden="false" customHeight="false" outlineLevel="0" collapsed="false">
      <c r="A3406" s="0" t="n">
        <v>3411</v>
      </c>
      <c r="B3406" s="0" t="s">
        <v>6612</v>
      </c>
      <c r="C3406" s="0" t="s">
        <v>1513</v>
      </c>
      <c r="D3406" s="0" t="s">
        <v>3671</v>
      </c>
    </row>
    <row r="3407" customFormat="false" ht="15" hidden="false" customHeight="false" outlineLevel="0" collapsed="false">
      <c r="A3407" s="0" t="n">
        <v>39995</v>
      </c>
      <c r="B3407" s="0" t="s">
        <v>2215</v>
      </c>
      <c r="C3407" s="0" t="s">
        <v>1442</v>
      </c>
      <c r="D3407" s="0" t="s">
        <v>3671</v>
      </c>
    </row>
    <row r="3408" customFormat="false" ht="15" hidden="false" customHeight="false" outlineLevel="0" collapsed="false">
      <c r="A3408" s="0" t="n">
        <v>11615</v>
      </c>
      <c r="B3408" s="0" t="s">
        <v>1717</v>
      </c>
      <c r="C3408" s="0" t="s">
        <v>1477</v>
      </c>
      <c r="D3408" s="0" t="s">
        <v>3671</v>
      </c>
    </row>
    <row r="3409" customFormat="false" ht="15" hidden="false" customHeight="false" outlineLevel="0" collapsed="false">
      <c r="A3409" s="0" t="n">
        <v>3408</v>
      </c>
      <c r="B3409" s="0" t="s">
        <v>6613</v>
      </c>
      <c r="C3409" s="0" t="s">
        <v>1477</v>
      </c>
      <c r="D3409" s="0" t="s">
        <v>3676</v>
      </c>
    </row>
    <row r="3410" customFormat="false" ht="15" hidden="false" customHeight="false" outlineLevel="0" collapsed="false">
      <c r="A3410" s="0" t="n">
        <v>3409</v>
      </c>
      <c r="B3410" s="0" t="s">
        <v>6614</v>
      </c>
      <c r="C3410" s="0" t="s">
        <v>1477</v>
      </c>
      <c r="D3410" s="0" t="s">
        <v>3671</v>
      </c>
    </row>
    <row r="3411" customFormat="false" ht="15" hidden="false" customHeight="false" outlineLevel="0" collapsed="false">
      <c r="A3411" s="0" t="n">
        <v>11427</v>
      </c>
      <c r="B3411" s="0" t="s">
        <v>6615</v>
      </c>
      <c r="C3411" s="0" t="s">
        <v>1513</v>
      </c>
      <c r="D3411" s="0" t="s">
        <v>3671</v>
      </c>
    </row>
    <row r="3412" customFormat="false" ht="15" hidden="false" customHeight="false" outlineLevel="0" collapsed="false">
      <c r="A3412" s="0" t="n">
        <v>4491</v>
      </c>
      <c r="B3412" s="0" t="s">
        <v>1578</v>
      </c>
      <c r="C3412" s="0" t="s">
        <v>1455</v>
      </c>
      <c r="D3412" s="0" t="s">
        <v>3671</v>
      </c>
      <c r="E3412" s="0" t="n">
        <v>10.25</v>
      </c>
    </row>
    <row r="3413" customFormat="false" ht="15" hidden="false" customHeight="false" outlineLevel="0" collapsed="false">
      <c r="A3413" s="0" t="n">
        <v>2745</v>
      </c>
      <c r="B3413" s="0" t="s">
        <v>6616</v>
      </c>
      <c r="C3413" s="0" t="s">
        <v>1455</v>
      </c>
      <c r="D3413" s="0" t="s">
        <v>3671</v>
      </c>
      <c r="E3413" s="0" t="n">
        <v>4.1</v>
      </c>
    </row>
    <row r="3414" customFormat="false" ht="15" hidden="false" customHeight="false" outlineLevel="0" collapsed="false">
      <c r="A3414" s="0" t="n">
        <v>14439</v>
      </c>
      <c r="B3414" s="0" t="s">
        <v>6617</v>
      </c>
      <c r="C3414" s="0" t="s">
        <v>1455</v>
      </c>
      <c r="D3414" s="0" t="s">
        <v>3671</v>
      </c>
      <c r="E3414" s="0" t="n">
        <v>5.08</v>
      </c>
    </row>
    <row r="3415" customFormat="false" ht="15" hidden="false" customHeight="false" outlineLevel="0" collapsed="false">
      <c r="A3415" s="0" t="n">
        <v>44496</v>
      </c>
      <c r="B3415" s="0" t="s">
        <v>6618</v>
      </c>
      <c r="C3415" s="0" t="s">
        <v>31</v>
      </c>
      <c r="D3415" s="0" t="s">
        <v>3671</v>
      </c>
    </row>
    <row r="3416" customFormat="false" ht="15" hidden="false" customHeight="false" outlineLevel="0" collapsed="false">
      <c r="A3416" s="0" t="n">
        <v>12362</v>
      </c>
      <c r="B3416" s="0" t="s">
        <v>6619</v>
      </c>
      <c r="C3416" s="0" t="s">
        <v>31</v>
      </c>
      <c r="D3416" s="0" t="s">
        <v>3671</v>
      </c>
      <c r="E3416" s="0" t="n">
        <v>19.33</v>
      </c>
    </row>
    <row r="3417" customFormat="false" ht="15" hidden="false" customHeight="false" outlineLevel="0" collapsed="false">
      <c r="A3417" s="0" t="n">
        <v>421</v>
      </c>
      <c r="B3417" s="0" t="s">
        <v>6620</v>
      </c>
      <c r="C3417" s="0" t="s">
        <v>31</v>
      </c>
      <c r="D3417" s="0" t="s">
        <v>3671</v>
      </c>
    </row>
    <row r="3418" customFormat="false" ht="15" hidden="false" customHeight="false" outlineLevel="0" collapsed="false">
      <c r="A3418" s="0" t="n">
        <v>14148</v>
      </c>
      <c r="B3418" s="0" t="s">
        <v>6621</v>
      </c>
      <c r="C3418" s="0" t="s">
        <v>31</v>
      </c>
      <c r="D3418" s="0" t="s">
        <v>3671</v>
      </c>
    </row>
    <row r="3419" customFormat="false" ht="15" hidden="false" customHeight="false" outlineLevel="0" collapsed="false">
      <c r="A3419" s="0" t="n">
        <v>4341</v>
      </c>
      <c r="B3419" s="0" t="s">
        <v>6622</v>
      </c>
      <c r="C3419" s="0" t="s">
        <v>31</v>
      </c>
      <c r="D3419" s="0" t="s">
        <v>3671</v>
      </c>
    </row>
    <row r="3420" customFormat="false" ht="15" hidden="false" customHeight="false" outlineLevel="0" collapsed="false">
      <c r="A3420" s="0" t="n">
        <v>4337</v>
      </c>
      <c r="B3420" s="0" t="s">
        <v>6623</v>
      </c>
      <c r="C3420" s="0" t="s">
        <v>31</v>
      </c>
      <c r="D3420" s="0" t="s">
        <v>3671</v>
      </c>
    </row>
    <row r="3421" customFormat="false" ht="15" hidden="false" customHeight="false" outlineLevel="0" collapsed="false">
      <c r="A3421" s="0" t="n">
        <v>11971</v>
      </c>
      <c r="B3421" s="0" t="s">
        <v>6624</v>
      </c>
      <c r="C3421" s="0" t="s">
        <v>31</v>
      </c>
      <c r="D3421" s="0" t="s">
        <v>3671</v>
      </c>
    </row>
    <row r="3422" customFormat="false" ht="15" hidden="false" customHeight="false" outlineLevel="0" collapsed="false">
      <c r="A3422" s="0" t="n">
        <v>4339</v>
      </c>
      <c r="B3422" s="0" t="s">
        <v>6625</v>
      </c>
      <c r="C3422" s="0" t="s">
        <v>31</v>
      </c>
      <c r="D3422" s="0" t="s">
        <v>3671</v>
      </c>
    </row>
    <row r="3423" customFormat="false" ht="15" hidden="false" customHeight="false" outlineLevel="0" collapsed="false">
      <c r="A3423" s="0" t="n">
        <v>39997</v>
      </c>
      <c r="B3423" s="0" t="s">
        <v>2438</v>
      </c>
      <c r="C3423" s="0" t="s">
        <v>31</v>
      </c>
      <c r="D3423" s="0" t="s">
        <v>3671</v>
      </c>
    </row>
    <row r="3424" customFormat="false" ht="15" hidden="false" customHeight="false" outlineLevel="0" collapsed="false">
      <c r="A3424" s="0" t="n">
        <v>4342</v>
      </c>
      <c r="B3424" s="0" t="s">
        <v>6626</v>
      </c>
      <c r="C3424" s="0" t="s">
        <v>31</v>
      </c>
      <c r="D3424" s="0" t="s">
        <v>3671</v>
      </c>
    </row>
    <row r="3425" customFormat="false" ht="15" hidden="false" customHeight="false" outlineLevel="0" collapsed="false">
      <c r="A3425" s="0" t="n">
        <v>4330</v>
      </c>
      <c r="B3425" s="0" t="s">
        <v>6627</v>
      </c>
      <c r="C3425" s="0" t="s">
        <v>31</v>
      </c>
      <c r="D3425" s="0" t="s">
        <v>3671</v>
      </c>
    </row>
    <row r="3426" customFormat="false" ht="15" hidden="false" customHeight="false" outlineLevel="0" collapsed="false">
      <c r="A3426" s="0" t="n">
        <v>4340</v>
      </c>
      <c r="B3426" s="0" t="s">
        <v>6628</v>
      </c>
      <c r="C3426" s="0" t="s">
        <v>31</v>
      </c>
      <c r="D3426" s="0" t="s">
        <v>3671</v>
      </c>
    </row>
    <row r="3427" customFormat="false" ht="15" hidden="false" customHeight="false" outlineLevel="0" collapsed="false">
      <c r="A3427" s="0" t="n">
        <v>5088</v>
      </c>
      <c r="B3427" s="0" t="s">
        <v>1546</v>
      </c>
      <c r="C3427" s="0" t="s">
        <v>31</v>
      </c>
      <c r="D3427" s="0" t="s">
        <v>3671</v>
      </c>
      <c r="E3427" s="0" t="n">
        <v>7.72</v>
      </c>
    </row>
    <row r="3428" customFormat="false" ht="15" hidden="false" customHeight="false" outlineLevel="0" collapsed="false">
      <c r="A3428" s="0" t="n">
        <v>11154</v>
      </c>
      <c r="B3428" s="0" t="s">
        <v>6629</v>
      </c>
      <c r="C3428" s="0" t="s">
        <v>31</v>
      </c>
      <c r="D3428" s="0" t="s">
        <v>3671</v>
      </c>
      <c r="E3428" s="0" t="n">
        <v>817.8</v>
      </c>
    </row>
    <row r="3429" customFormat="false" ht="15" hidden="false" customHeight="false" outlineLevel="0" collapsed="false">
      <c r="A3429" s="0" t="n">
        <v>4989</v>
      </c>
      <c r="B3429" s="0" t="s">
        <v>6630</v>
      </c>
      <c r="C3429" s="0" t="s">
        <v>31</v>
      </c>
      <c r="D3429" s="0" t="s">
        <v>3671</v>
      </c>
      <c r="E3429" s="0" t="n">
        <v>334.08</v>
      </c>
    </row>
    <row r="3430" customFormat="false" ht="15" hidden="false" customHeight="false" outlineLevel="0" collapsed="false">
      <c r="A3430" s="0" t="n">
        <v>4982</v>
      </c>
      <c r="B3430" s="0" t="s">
        <v>6631</v>
      </c>
      <c r="C3430" s="0" t="s">
        <v>31</v>
      </c>
      <c r="D3430" s="0" t="s">
        <v>3671</v>
      </c>
      <c r="E3430" s="0" t="n">
        <v>313.36</v>
      </c>
    </row>
    <row r="3431" customFormat="false" ht="15" hidden="false" customHeight="false" outlineLevel="0" collapsed="false">
      <c r="A3431" s="0" t="n">
        <v>4962</v>
      </c>
      <c r="B3431" s="0" t="s">
        <v>6632</v>
      </c>
      <c r="C3431" s="0" t="s">
        <v>31</v>
      </c>
      <c r="D3431" s="0" t="s">
        <v>3671</v>
      </c>
      <c r="E3431" s="0" t="n">
        <v>247.12</v>
      </c>
    </row>
    <row r="3432" customFormat="false" ht="15" hidden="false" customHeight="false" outlineLevel="0" collapsed="false">
      <c r="A3432" s="0" t="n">
        <v>4981</v>
      </c>
      <c r="B3432" s="0" t="s">
        <v>6633</v>
      </c>
      <c r="C3432" s="0" t="s">
        <v>31</v>
      </c>
      <c r="D3432" s="0" t="s">
        <v>3676</v>
      </c>
      <c r="E3432" s="0" t="n">
        <v>220</v>
      </c>
    </row>
    <row r="3433" customFormat="false" ht="15" hidden="false" customHeight="false" outlineLevel="0" collapsed="false">
      <c r="A3433" s="0" t="n">
        <v>4964</v>
      </c>
      <c r="B3433" s="0" t="s">
        <v>6634</v>
      </c>
      <c r="C3433" s="0" t="s">
        <v>31</v>
      </c>
      <c r="D3433" s="0" t="s">
        <v>3671</v>
      </c>
      <c r="E3433" s="0" t="n">
        <v>279.1</v>
      </c>
    </row>
    <row r="3434" customFormat="false" ht="15" hidden="false" customHeight="false" outlineLevel="0" collapsed="false">
      <c r="A3434" s="0" t="n">
        <v>4992</v>
      </c>
      <c r="B3434" s="0" t="s">
        <v>6635</v>
      </c>
      <c r="C3434" s="0" t="s">
        <v>31</v>
      </c>
      <c r="D3434" s="0" t="s">
        <v>3671</v>
      </c>
      <c r="E3434" s="0" t="n">
        <v>272.63</v>
      </c>
    </row>
    <row r="3435" customFormat="false" ht="15" hidden="false" customHeight="false" outlineLevel="0" collapsed="false">
      <c r="A3435" s="0" t="n">
        <v>4987</v>
      </c>
      <c r="B3435" s="0" t="s">
        <v>6636</v>
      </c>
      <c r="C3435" s="0" t="s">
        <v>31</v>
      </c>
      <c r="D3435" s="0" t="s">
        <v>3671</v>
      </c>
      <c r="E3435" s="0" t="n">
        <v>311.9</v>
      </c>
    </row>
    <row r="3436" customFormat="false" ht="15" hidden="false" customHeight="false" outlineLevel="0" collapsed="false">
      <c r="A3436" s="0" t="n">
        <v>4930</v>
      </c>
      <c r="B3436" s="0" t="s">
        <v>6637</v>
      </c>
      <c r="C3436" s="0" t="s">
        <v>1477</v>
      </c>
      <c r="D3436" s="0" t="s">
        <v>3671</v>
      </c>
      <c r="E3436" s="0" t="n">
        <v>346.39</v>
      </c>
    </row>
    <row r="3437" customFormat="false" ht="15" hidden="false" customHeight="false" outlineLevel="0" collapsed="false">
      <c r="A3437" s="0" t="n">
        <v>4998</v>
      </c>
      <c r="B3437" s="0" t="s">
        <v>6638</v>
      </c>
      <c r="C3437" s="0" t="s">
        <v>1477</v>
      </c>
      <c r="D3437" s="0" t="s">
        <v>3671</v>
      </c>
    </row>
    <row r="3438" customFormat="false" ht="15" hidden="false" customHeight="false" outlineLevel="0" collapsed="false">
      <c r="A3438" s="0" t="n">
        <v>39021</v>
      </c>
      <c r="B3438" s="0" t="s">
        <v>6639</v>
      </c>
      <c r="C3438" s="0" t="s">
        <v>31</v>
      </c>
      <c r="D3438" s="0" t="s">
        <v>3671</v>
      </c>
      <c r="E3438" s="0" t="n">
        <v>368.3</v>
      </c>
    </row>
    <row r="3439" customFormat="false" ht="15" hidden="false" customHeight="false" outlineLevel="0" collapsed="false">
      <c r="A3439" s="0" t="n">
        <v>39022</v>
      </c>
      <c r="B3439" s="0" t="s">
        <v>6640</v>
      </c>
      <c r="C3439" s="0" t="s">
        <v>31</v>
      </c>
      <c r="D3439" s="0" t="s">
        <v>3676</v>
      </c>
      <c r="E3439" s="0" t="n">
        <v>329.9</v>
      </c>
    </row>
    <row r="3440" customFormat="false" ht="15" hidden="false" customHeight="false" outlineLevel="0" collapsed="false">
      <c r="A3440" s="0" t="n">
        <v>39024</v>
      </c>
      <c r="B3440" s="0" t="s">
        <v>6641</v>
      </c>
      <c r="C3440" s="0" t="s">
        <v>31</v>
      </c>
      <c r="D3440" s="0" t="s">
        <v>3671</v>
      </c>
    </row>
    <row r="3441" customFormat="false" ht="15" hidden="false" customHeight="false" outlineLevel="0" collapsed="false">
      <c r="A3441" s="0" t="n">
        <v>4914</v>
      </c>
      <c r="B3441" s="0" t="s">
        <v>6642</v>
      </c>
      <c r="C3441" s="0" t="s">
        <v>1477</v>
      </c>
      <c r="D3441" s="0" t="s">
        <v>3671</v>
      </c>
    </row>
    <row r="3442" customFormat="false" ht="15" hidden="false" customHeight="false" outlineLevel="0" collapsed="false">
      <c r="A3442" s="0" t="n">
        <v>4917</v>
      </c>
      <c r="B3442" s="0" t="s">
        <v>6643</v>
      </c>
      <c r="C3442" s="0" t="s">
        <v>1477</v>
      </c>
      <c r="D3442" s="0" t="s">
        <v>3676</v>
      </c>
    </row>
    <row r="3443" customFormat="false" ht="15" hidden="false" customHeight="false" outlineLevel="0" collapsed="false">
      <c r="A3443" s="0" t="n">
        <v>39025</v>
      </c>
      <c r="B3443" s="0" t="s">
        <v>1869</v>
      </c>
      <c r="C3443" s="0" t="s">
        <v>31</v>
      </c>
      <c r="D3443" s="0" t="s">
        <v>3671</v>
      </c>
    </row>
    <row r="3444" customFormat="false" ht="15" hidden="false" customHeight="false" outlineLevel="0" collapsed="false">
      <c r="A3444" s="0" t="n">
        <v>4922</v>
      </c>
      <c r="B3444" s="0" t="s">
        <v>6644</v>
      </c>
      <c r="C3444" s="0" t="s">
        <v>1477</v>
      </c>
      <c r="D3444" s="0" t="s">
        <v>3671</v>
      </c>
    </row>
    <row r="3445" customFormat="false" ht="15" hidden="false" customHeight="false" outlineLevel="0" collapsed="false">
      <c r="A3445" s="0" t="n">
        <v>4911</v>
      </c>
      <c r="B3445" s="0" t="s">
        <v>6645</v>
      </c>
      <c r="C3445" s="0" t="s">
        <v>1477</v>
      </c>
      <c r="D3445" s="0" t="s">
        <v>3671</v>
      </c>
    </row>
    <row r="3446" customFormat="false" ht="15" hidden="false" customHeight="false" outlineLevel="0" collapsed="false">
      <c r="A3446" s="0" t="n">
        <v>37518</v>
      </c>
      <c r="B3446" s="0" t="s">
        <v>6646</v>
      </c>
      <c r="C3446" s="0" t="s">
        <v>1477</v>
      </c>
      <c r="D3446" s="0" t="s">
        <v>3671</v>
      </c>
    </row>
    <row r="3447" customFormat="false" ht="15" hidden="false" customHeight="false" outlineLevel="0" collapsed="false">
      <c r="A3447" s="0" t="n">
        <v>4910</v>
      </c>
      <c r="B3447" s="0" t="s">
        <v>6647</v>
      </c>
      <c r="C3447" s="0" t="s">
        <v>1477</v>
      </c>
      <c r="D3447" s="0" t="s">
        <v>3671</v>
      </c>
    </row>
    <row r="3448" customFormat="false" ht="15" hidden="false" customHeight="false" outlineLevel="0" collapsed="false">
      <c r="A3448" s="0" t="n">
        <v>4943</v>
      </c>
      <c r="B3448" s="0" t="s">
        <v>6648</v>
      </c>
      <c r="C3448" s="0" t="s">
        <v>1477</v>
      </c>
      <c r="D3448" s="0" t="s">
        <v>3671</v>
      </c>
    </row>
    <row r="3449" customFormat="false" ht="15" hidden="false" customHeight="false" outlineLevel="0" collapsed="false">
      <c r="A3449" s="0" t="n">
        <v>5002</v>
      </c>
      <c r="B3449" s="0" t="s">
        <v>6649</v>
      </c>
      <c r="C3449" s="0" t="s">
        <v>1477</v>
      </c>
      <c r="D3449" s="0" t="s">
        <v>3671</v>
      </c>
    </row>
    <row r="3450" customFormat="false" ht="15" hidden="false" customHeight="false" outlineLevel="0" collapsed="false">
      <c r="A3450" s="0" t="n">
        <v>4977</v>
      </c>
      <c r="B3450" s="0" t="s">
        <v>6650</v>
      </c>
      <c r="C3450" s="0" t="s">
        <v>1477</v>
      </c>
      <c r="D3450" s="0" t="s">
        <v>3671</v>
      </c>
    </row>
    <row r="3451" customFormat="false" ht="15" hidden="false" customHeight="false" outlineLevel="0" collapsed="false">
      <c r="A3451" s="0" t="n">
        <v>11364</v>
      </c>
      <c r="B3451" s="0" t="s">
        <v>6651</v>
      </c>
      <c r="C3451" s="0" t="s">
        <v>31</v>
      </c>
      <c r="D3451" s="0" t="s">
        <v>3671</v>
      </c>
      <c r="E3451" s="0" t="n">
        <v>189</v>
      </c>
    </row>
    <row r="3452" customFormat="false" ht="15" hidden="false" customHeight="false" outlineLevel="0" collapsed="false">
      <c r="A3452" s="0" t="n">
        <v>11365</v>
      </c>
      <c r="B3452" s="0" t="s">
        <v>6652</v>
      </c>
      <c r="C3452" s="0" t="s">
        <v>31</v>
      </c>
      <c r="D3452" s="0" t="s">
        <v>3671</v>
      </c>
      <c r="E3452" s="0" t="n">
        <v>196.13</v>
      </c>
    </row>
    <row r="3453" customFormat="false" ht="15" hidden="false" customHeight="false" outlineLevel="0" collapsed="false">
      <c r="A3453" s="0" t="n">
        <v>11366</v>
      </c>
      <c r="B3453" s="0" t="s">
        <v>6653</v>
      </c>
      <c r="C3453" s="0" t="s">
        <v>31</v>
      </c>
      <c r="D3453" s="0" t="s">
        <v>3671</v>
      </c>
      <c r="E3453" s="0" t="n">
        <v>208.49</v>
      </c>
    </row>
    <row r="3454" customFormat="false" ht="15" hidden="false" customHeight="false" outlineLevel="0" collapsed="false">
      <c r="A3454" s="0" t="n">
        <v>43777</v>
      </c>
      <c r="B3454" s="0" t="s">
        <v>6654</v>
      </c>
      <c r="C3454" s="0" t="s">
        <v>31</v>
      </c>
      <c r="D3454" s="0" t="s">
        <v>3671</v>
      </c>
      <c r="E3454" s="0" t="n">
        <v>244.9</v>
      </c>
    </row>
    <row r="3455" customFormat="false" ht="15" hidden="false" customHeight="false" outlineLevel="0" collapsed="false">
      <c r="A3455" s="0" t="n">
        <v>20322</v>
      </c>
      <c r="B3455" s="0" t="s">
        <v>6655</v>
      </c>
      <c r="C3455" s="0" t="s">
        <v>31</v>
      </c>
      <c r="D3455" s="0" t="s">
        <v>3671</v>
      </c>
      <c r="E3455" s="0" t="n">
        <v>227.34</v>
      </c>
    </row>
    <row r="3456" customFormat="false" ht="15" hidden="false" customHeight="false" outlineLevel="0" collapsed="false">
      <c r="A3456" s="0" t="n">
        <v>10553</v>
      </c>
      <c r="B3456" s="0" t="s">
        <v>6656</v>
      </c>
      <c r="C3456" s="0" t="s">
        <v>31</v>
      </c>
      <c r="D3456" s="0" t="s">
        <v>3671</v>
      </c>
      <c r="E3456" s="0" t="n">
        <v>206.43</v>
      </c>
    </row>
    <row r="3457" customFormat="false" ht="15" hidden="false" customHeight="false" outlineLevel="0" collapsed="false">
      <c r="A3457" s="0" t="n">
        <v>5020</v>
      </c>
      <c r="B3457" s="0" t="s">
        <v>6657</v>
      </c>
      <c r="C3457" s="0" t="s">
        <v>31</v>
      </c>
      <c r="D3457" s="0" t="s">
        <v>3671</v>
      </c>
      <c r="E3457" s="0" t="n">
        <v>217.64</v>
      </c>
    </row>
    <row r="3458" customFormat="false" ht="15" hidden="false" customHeight="false" outlineLevel="0" collapsed="false">
      <c r="A3458" s="0" t="n">
        <v>10554</v>
      </c>
      <c r="B3458" s="0" t="s">
        <v>6658</v>
      </c>
      <c r="C3458" s="0" t="s">
        <v>31</v>
      </c>
      <c r="D3458" s="0" t="s">
        <v>3671</v>
      </c>
      <c r="E3458" s="0" t="n">
        <v>208.26</v>
      </c>
    </row>
    <row r="3459" customFormat="false" ht="15" hidden="false" customHeight="false" outlineLevel="0" collapsed="false">
      <c r="A3459" s="0" t="n">
        <v>10555</v>
      </c>
      <c r="B3459" s="0" t="s">
        <v>1847</v>
      </c>
      <c r="C3459" s="0" t="s">
        <v>31</v>
      </c>
      <c r="D3459" s="0" t="s">
        <v>3671</v>
      </c>
      <c r="E3459" s="0" t="n">
        <v>227.11</v>
      </c>
    </row>
    <row r="3460" customFormat="false" ht="15" hidden="false" customHeight="false" outlineLevel="0" collapsed="false">
      <c r="A3460" s="0" t="n">
        <v>10556</v>
      </c>
      <c r="B3460" s="0" t="s">
        <v>1852</v>
      </c>
      <c r="C3460" s="0" t="s">
        <v>31</v>
      </c>
      <c r="D3460" s="0" t="s">
        <v>3671</v>
      </c>
      <c r="E3460" s="0" t="n">
        <v>301.97</v>
      </c>
    </row>
    <row r="3461" customFormat="false" ht="15" hidden="false" customHeight="false" outlineLevel="0" collapsed="false">
      <c r="A3461" s="0" t="n">
        <v>39502</v>
      </c>
      <c r="B3461" s="0" t="s">
        <v>6659</v>
      </c>
      <c r="C3461" s="0" t="s">
        <v>31</v>
      </c>
      <c r="D3461" s="0" t="s">
        <v>3671</v>
      </c>
      <c r="E3461" s="0" t="n">
        <v>424.03</v>
      </c>
    </row>
    <row r="3462" customFormat="false" ht="15" hidden="false" customHeight="false" outlineLevel="0" collapsed="false">
      <c r="A3462" s="0" t="n">
        <v>39504</v>
      </c>
      <c r="B3462" s="0" t="s">
        <v>6660</v>
      </c>
      <c r="C3462" s="0" t="s">
        <v>31</v>
      </c>
      <c r="D3462" s="0" t="s">
        <v>3671</v>
      </c>
      <c r="E3462" s="0" t="n">
        <v>468.9</v>
      </c>
    </row>
    <row r="3463" customFormat="false" ht="15" hidden="false" customHeight="false" outlineLevel="0" collapsed="false">
      <c r="A3463" s="0" t="n">
        <v>39503</v>
      </c>
      <c r="B3463" s="0" t="s">
        <v>6661</v>
      </c>
      <c r="C3463" s="0" t="s">
        <v>31</v>
      </c>
      <c r="D3463" s="0" t="s">
        <v>3671</v>
      </c>
      <c r="E3463" s="0" t="n">
        <v>493.5</v>
      </c>
    </row>
    <row r="3464" customFormat="false" ht="15" hidden="false" customHeight="false" outlineLevel="0" collapsed="false">
      <c r="A3464" s="0" t="n">
        <v>39505</v>
      </c>
      <c r="B3464" s="0" t="s">
        <v>6662</v>
      </c>
      <c r="C3464" s="0" t="s">
        <v>31</v>
      </c>
      <c r="D3464" s="0" t="s">
        <v>3671</v>
      </c>
      <c r="E3464" s="0" t="n">
        <v>531.82</v>
      </c>
    </row>
    <row r="3465" customFormat="false" ht="15" hidden="false" customHeight="false" outlineLevel="0" collapsed="false">
      <c r="A3465" s="0" t="n">
        <v>5028</v>
      </c>
      <c r="B3465" s="0" t="s">
        <v>6663</v>
      </c>
      <c r="C3465" s="0" t="s">
        <v>1477</v>
      </c>
      <c r="D3465" s="0" t="s">
        <v>3671</v>
      </c>
    </row>
    <row r="3466" customFormat="false" ht="15" hidden="false" customHeight="false" outlineLevel="0" collapsed="false">
      <c r="A3466" s="0" t="n">
        <v>4969</v>
      </c>
      <c r="B3466" s="0" t="s">
        <v>6664</v>
      </c>
      <c r="C3466" s="0" t="s">
        <v>1477</v>
      </c>
      <c r="D3466" s="0" t="s">
        <v>3676</v>
      </c>
    </row>
    <row r="3467" customFormat="false" ht="15" hidden="false" customHeight="false" outlineLevel="0" collapsed="false">
      <c r="A3467" s="0" t="n">
        <v>44471</v>
      </c>
      <c r="B3467" s="0" t="s">
        <v>6665</v>
      </c>
      <c r="C3467" s="0" t="s">
        <v>31</v>
      </c>
      <c r="D3467" s="0" t="s">
        <v>3671</v>
      </c>
    </row>
    <row r="3468" customFormat="false" ht="15" hidden="false" customHeight="false" outlineLevel="0" collapsed="false">
      <c r="A3468" s="0" t="n">
        <v>4944</v>
      </c>
      <c r="B3468" s="0" t="s">
        <v>6666</v>
      </c>
      <c r="C3468" s="0" t="s">
        <v>1477</v>
      </c>
      <c r="D3468" s="0" t="s">
        <v>3671</v>
      </c>
    </row>
    <row r="3469" customFormat="false" ht="15" hidden="false" customHeight="false" outlineLevel="0" collapsed="false">
      <c r="A3469" s="0" t="n">
        <v>21102</v>
      </c>
      <c r="B3469" s="0" t="s">
        <v>6667</v>
      </c>
      <c r="C3469" s="0" t="s">
        <v>31</v>
      </c>
      <c r="D3469" s="0" t="s">
        <v>3671</v>
      </c>
      <c r="E3469" s="0" t="n">
        <v>28.68</v>
      </c>
    </row>
    <row r="3470" customFormat="false" ht="15" hidden="false" customHeight="false" outlineLevel="0" collapsed="false">
      <c r="A3470" s="0" t="n">
        <v>21101</v>
      </c>
      <c r="B3470" s="0" t="s">
        <v>6668</v>
      </c>
      <c r="C3470" s="0" t="s">
        <v>31</v>
      </c>
      <c r="D3470" s="0" t="s">
        <v>3671</v>
      </c>
      <c r="E3470" s="0" t="n">
        <v>18.41</v>
      </c>
    </row>
    <row r="3471" customFormat="false" ht="15" hidden="false" customHeight="false" outlineLevel="0" collapsed="false">
      <c r="A3471" s="0" t="n">
        <v>34713</v>
      </c>
      <c r="B3471" s="0" t="s">
        <v>6669</v>
      </c>
      <c r="C3471" s="0" t="s">
        <v>1477</v>
      </c>
      <c r="D3471" s="0" t="s">
        <v>3671</v>
      </c>
      <c r="E3471" s="0" t="n">
        <v>283.44</v>
      </c>
    </row>
    <row r="3472" customFormat="false" ht="15" hidden="false" customHeight="false" outlineLevel="0" collapsed="false">
      <c r="A3472" s="0" t="n">
        <v>37563</v>
      </c>
      <c r="B3472" s="0" t="s">
        <v>6670</v>
      </c>
      <c r="C3472" s="0" t="s">
        <v>1477</v>
      </c>
      <c r="D3472" s="0" t="s">
        <v>3671</v>
      </c>
      <c r="E3472" s="0" t="n">
        <v>381.16</v>
      </c>
    </row>
    <row r="3473" customFormat="false" ht="15" hidden="false" customHeight="false" outlineLevel="0" collapsed="false">
      <c r="A3473" s="0" t="n">
        <v>4948</v>
      </c>
      <c r="B3473" s="0" t="s">
        <v>1599</v>
      </c>
      <c r="C3473" s="0" t="s">
        <v>1477</v>
      </c>
      <c r="D3473" s="0" t="s">
        <v>3671</v>
      </c>
      <c r="E3473" s="0" t="n">
        <v>331.61</v>
      </c>
    </row>
    <row r="3474" customFormat="false" ht="15" hidden="false" customHeight="false" outlineLevel="0" collapsed="false">
      <c r="A3474" s="0" t="n">
        <v>37561</v>
      </c>
      <c r="B3474" s="0" t="s">
        <v>6671</v>
      </c>
      <c r="C3474" s="0" t="s">
        <v>1477</v>
      </c>
      <c r="D3474" s="0" t="s">
        <v>3671</v>
      </c>
      <c r="E3474" s="0" t="n">
        <v>309.28</v>
      </c>
    </row>
    <row r="3475" customFormat="false" ht="15" hidden="false" customHeight="false" outlineLevel="0" collapsed="false">
      <c r="A3475" s="0" t="n">
        <v>37562</v>
      </c>
      <c r="B3475" s="0" t="s">
        <v>6672</v>
      </c>
      <c r="C3475" s="0" t="s">
        <v>1477</v>
      </c>
      <c r="D3475" s="0" t="s">
        <v>3671</v>
      </c>
      <c r="E3475" s="0" t="n">
        <v>405.5</v>
      </c>
    </row>
    <row r="3476" customFormat="false" ht="15" hidden="false" customHeight="false" outlineLevel="0" collapsed="false">
      <c r="A3476" s="0" t="n">
        <v>14164</v>
      </c>
      <c r="B3476" s="0" t="s">
        <v>6673</v>
      </c>
      <c r="C3476" s="0" t="s">
        <v>31</v>
      </c>
      <c r="D3476" s="0" t="s">
        <v>3671</v>
      </c>
    </row>
    <row r="3477" customFormat="false" ht="15" hidden="false" customHeight="false" outlineLevel="0" collapsed="false">
      <c r="A3477" s="0" t="n">
        <v>14163</v>
      </c>
      <c r="B3477" s="0" t="s">
        <v>6674</v>
      </c>
      <c r="C3477" s="0" t="s">
        <v>31</v>
      </c>
      <c r="D3477" s="0" t="s">
        <v>3671</v>
      </c>
    </row>
    <row r="3478" customFormat="false" ht="15" hidden="false" customHeight="false" outlineLevel="0" collapsed="false">
      <c r="A3478" s="0" t="n">
        <v>5051</v>
      </c>
      <c r="B3478" s="0" t="s">
        <v>6675</v>
      </c>
      <c r="C3478" s="0" t="s">
        <v>31</v>
      </c>
      <c r="D3478" s="0" t="s">
        <v>3671</v>
      </c>
    </row>
    <row r="3479" customFormat="false" ht="15" hidden="false" customHeight="false" outlineLevel="0" collapsed="false">
      <c r="A3479" s="0" t="n">
        <v>5052</v>
      </c>
      <c r="B3479" s="0" t="s">
        <v>6676</v>
      </c>
      <c r="C3479" s="0" t="s">
        <v>31</v>
      </c>
      <c r="D3479" s="0" t="s">
        <v>3676</v>
      </c>
    </row>
    <row r="3480" customFormat="false" ht="15" hidden="false" customHeight="false" outlineLevel="0" collapsed="false">
      <c r="A3480" s="0" t="n">
        <v>14162</v>
      </c>
      <c r="B3480" s="0" t="s">
        <v>6677</v>
      </c>
      <c r="C3480" s="0" t="s">
        <v>31</v>
      </c>
      <c r="D3480" s="0" t="s">
        <v>3671</v>
      </c>
    </row>
    <row r="3481" customFormat="false" ht="15" hidden="false" customHeight="false" outlineLevel="0" collapsed="false">
      <c r="A3481" s="0" t="n">
        <v>14166</v>
      </c>
      <c r="B3481" s="0" t="s">
        <v>6678</v>
      </c>
      <c r="C3481" s="0" t="s">
        <v>31</v>
      </c>
      <c r="D3481" s="0" t="s">
        <v>3671</v>
      </c>
    </row>
    <row r="3482" customFormat="false" ht="15" hidden="false" customHeight="false" outlineLevel="0" collapsed="false">
      <c r="A3482" s="0" t="n">
        <v>14165</v>
      </c>
      <c r="B3482" s="0" t="s">
        <v>6679</v>
      </c>
      <c r="C3482" s="0" t="s">
        <v>31</v>
      </c>
      <c r="D3482" s="0" t="s">
        <v>3671</v>
      </c>
    </row>
    <row r="3483" customFormat="false" ht="15" hidden="false" customHeight="false" outlineLevel="0" collapsed="false">
      <c r="A3483" s="0" t="n">
        <v>5050</v>
      </c>
      <c r="B3483" s="0" t="s">
        <v>1929</v>
      </c>
      <c r="C3483" s="0" t="s">
        <v>31</v>
      </c>
      <c r="D3483" s="0" t="s">
        <v>3671</v>
      </c>
    </row>
    <row r="3484" customFormat="false" ht="15" hidden="false" customHeight="false" outlineLevel="0" collapsed="false">
      <c r="A3484" s="0" t="n">
        <v>12366</v>
      </c>
      <c r="B3484" s="0" t="s">
        <v>6680</v>
      </c>
      <c r="C3484" s="0" t="s">
        <v>31</v>
      </c>
      <c r="D3484" s="0" t="s">
        <v>3671</v>
      </c>
    </row>
    <row r="3485" customFormat="false" ht="15" hidden="false" customHeight="false" outlineLevel="0" collapsed="false">
      <c r="A3485" s="0" t="n">
        <v>5045</v>
      </c>
      <c r="B3485" s="0" t="s">
        <v>6681</v>
      </c>
      <c r="C3485" s="0" t="s">
        <v>31</v>
      </c>
      <c r="D3485" s="0" t="s">
        <v>3671</v>
      </c>
    </row>
    <row r="3486" customFormat="false" ht="15" hidden="false" customHeight="false" outlineLevel="0" collapsed="false">
      <c r="A3486" s="0" t="n">
        <v>5035</v>
      </c>
      <c r="B3486" s="0" t="s">
        <v>6682</v>
      </c>
      <c r="C3486" s="0" t="s">
        <v>31</v>
      </c>
      <c r="D3486" s="0" t="s">
        <v>3671</v>
      </c>
    </row>
    <row r="3487" customFormat="false" ht="15" hidden="false" customHeight="false" outlineLevel="0" collapsed="false">
      <c r="A3487" s="0" t="n">
        <v>41180</v>
      </c>
      <c r="B3487" s="0" t="s">
        <v>6683</v>
      </c>
      <c r="C3487" s="0" t="s">
        <v>31</v>
      </c>
      <c r="D3487" s="0" t="s">
        <v>3671</v>
      </c>
    </row>
    <row r="3488" customFormat="false" ht="15" hidden="false" customHeight="false" outlineLevel="0" collapsed="false">
      <c r="A3488" s="0" t="n">
        <v>41181</v>
      </c>
      <c r="B3488" s="0" t="s">
        <v>6684</v>
      </c>
      <c r="C3488" s="0" t="s">
        <v>31</v>
      </c>
      <c r="D3488" s="0" t="s">
        <v>3671</v>
      </c>
    </row>
    <row r="3489" customFormat="false" ht="15" hidden="false" customHeight="false" outlineLevel="0" collapsed="false">
      <c r="A3489" s="0" t="n">
        <v>41182</v>
      </c>
      <c r="B3489" s="0" t="s">
        <v>6685</v>
      </c>
      <c r="C3489" s="0" t="s">
        <v>31</v>
      </c>
      <c r="D3489" s="0" t="s">
        <v>3671</v>
      </c>
    </row>
    <row r="3490" customFormat="false" ht="15" hidden="false" customHeight="false" outlineLevel="0" collapsed="false">
      <c r="A3490" s="0" t="n">
        <v>41183</v>
      </c>
      <c r="B3490" s="0" t="s">
        <v>6686</v>
      </c>
      <c r="C3490" s="0" t="s">
        <v>31</v>
      </c>
      <c r="D3490" s="0" t="s">
        <v>3671</v>
      </c>
    </row>
    <row r="3491" customFormat="false" ht="15" hidden="false" customHeight="false" outlineLevel="0" collapsed="false">
      <c r="A3491" s="0" t="n">
        <v>41184</v>
      </c>
      <c r="B3491" s="0" t="s">
        <v>6687</v>
      </c>
      <c r="C3491" s="0" t="s">
        <v>31</v>
      </c>
      <c r="D3491" s="0" t="s">
        <v>3671</v>
      </c>
    </row>
    <row r="3492" customFormat="false" ht="15" hidden="false" customHeight="false" outlineLevel="0" collapsed="false">
      <c r="A3492" s="0" t="n">
        <v>41185</v>
      </c>
      <c r="B3492" s="0" t="s">
        <v>6688</v>
      </c>
      <c r="C3492" s="0" t="s">
        <v>31</v>
      </c>
      <c r="D3492" s="0" t="s">
        <v>3671</v>
      </c>
    </row>
    <row r="3493" customFormat="false" ht="15" hidden="false" customHeight="false" outlineLevel="0" collapsed="false">
      <c r="A3493" s="0" t="n">
        <v>41186</v>
      </c>
      <c r="B3493" s="0" t="s">
        <v>6689</v>
      </c>
      <c r="C3493" s="0" t="s">
        <v>31</v>
      </c>
      <c r="D3493" s="0" t="s">
        <v>3671</v>
      </c>
    </row>
    <row r="3494" customFormat="false" ht="15" hidden="false" customHeight="false" outlineLevel="0" collapsed="false">
      <c r="A3494" s="0" t="n">
        <v>41187</v>
      </c>
      <c r="B3494" s="0" t="s">
        <v>6690</v>
      </c>
      <c r="C3494" s="0" t="s">
        <v>31</v>
      </c>
      <c r="D3494" s="0" t="s">
        <v>3671</v>
      </c>
    </row>
    <row r="3495" customFormat="false" ht="15" hidden="false" customHeight="false" outlineLevel="0" collapsed="false">
      <c r="A3495" s="0" t="n">
        <v>41188</v>
      </c>
      <c r="B3495" s="0" t="s">
        <v>6691</v>
      </c>
      <c r="C3495" s="0" t="s">
        <v>31</v>
      </c>
      <c r="D3495" s="0" t="s">
        <v>3671</v>
      </c>
    </row>
    <row r="3496" customFormat="false" ht="15" hidden="false" customHeight="false" outlineLevel="0" collapsed="false">
      <c r="A3496" s="0" t="n">
        <v>5036</v>
      </c>
      <c r="B3496" s="0" t="s">
        <v>6692</v>
      </c>
      <c r="C3496" s="0" t="s">
        <v>31</v>
      </c>
      <c r="D3496" s="0" t="s">
        <v>3671</v>
      </c>
    </row>
    <row r="3497" customFormat="false" ht="15" hidden="false" customHeight="false" outlineLevel="0" collapsed="false">
      <c r="A3497" s="0" t="n">
        <v>41189</v>
      </c>
      <c r="B3497" s="0" t="s">
        <v>6693</v>
      </c>
      <c r="C3497" s="0" t="s">
        <v>31</v>
      </c>
      <c r="D3497" s="0" t="s">
        <v>3671</v>
      </c>
    </row>
    <row r="3498" customFormat="false" ht="15" hidden="false" customHeight="false" outlineLevel="0" collapsed="false">
      <c r="A3498" s="0" t="n">
        <v>41190</v>
      </c>
      <c r="B3498" s="0" t="s">
        <v>6694</v>
      </c>
      <c r="C3498" s="0" t="s">
        <v>31</v>
      </c>
      <c r="D3498" s="0" t="s">
        <v>3671</v>
      </c>
    </row>
    <row r="3499" customFormat="false" ht="15" hidden="false" customHeight="false" outlineLevel="0" collapsed="false">
      <c r="A3499" s="0" t="n">
        <v>41191</v>
      </c>
      <c r="B3499" s="0" t="s">
        <v>6695</v>
      </c>
      <c r="C3499" s="0" t="s">
        <v>31</v>
      </c>
      <c r="D3499" s="0" t="s">
        <v>3671</v>
      </c>
    </row>
    <row r="3500" customFormat="false" ht="15" hidden="false" customHeight="false" outlineLevel="0" collapsed="false">
      <c r="A3500" s="0" t="n">
        <v>41192</v>
      </c>
      <c r="B3500" s="0" t="s">
        <v>6696</v>
      </c>
      <c r="C3500" s="0" t="s">
        <v>31</v>
      </c>
      <c r="D3500" s="0" t="s">
        <v>3671</v>
      </c>
    </row>
    <row r="3501" customFormat="false" ht="15" hidden="false" customHeight="false" outlineLevel="0" collapsed="false">
      <c r="A3501" s="0" t="n">
        <v>41193</v>
      </c>
      <c r="B3501" s="0" t="s">
        <v>6697</v>
      </c>
      <c r="C3501" s="0" t="s">
        <v>31</v>
      </c>
      <c r="D3501" s="0" t="s">
        <v>3671</v>
      </c>
    </row>
    <row r="3502" customFormat="false" ht="15" hidden="false" customHeight="false" outlineLevel="0" collapsed="false">
      <c r="A3502" s="0" t="n">
        <v>41194</v>
      </c>
      <c r="B3502" s="0" t="s">
        <v>6698</v>
      </c>
      <c r="C3502" s="0" t="s">
        <v>31</v>
      </c>
      <c r="D3502" s="0" t="s">
        <v>3671</v>
      </c>
    </row>
    <row r="3503" customFormat="false" ht="15" hidden="false" customHeight="false" outlineLevel="0" collapsed="false">
      <c r="A3503" s="0" t="n">
        <v>5044</v>
      </c>
      <c r="B3503" s="0" t="s">
        <v>6699</v>
      </c>
      <c r="C3503" s="0" t="s">
        <v>31</v>
      </c>
      <c r="D3503" s="0" t="s">
        <v>3671</v>
      </c>
    </row>
    <row r="3504" customFormat="false" ht="15" hidden="false" customHeight="false" outlineLevel="0" collapsed="false">
      <c r="A3504" s="0" t="n">
        <v>5059</v>
      </c>
      <c r="B3504" s="0" t="s">
        <v>6700</v>
      </c>
      <c r="C3504" s="0" t="s">
        <v>31</v>
      </c>
      <c r="D3504" s="0" t="s">
        <v>3671</v>
      </c>
    </row>
    <row r="3505" customFormat="false" ht="15" hidden="false" customHeight="false" outlineLevel="0" collapsed="false">
      <c r="A3505" s="0" t="n">
        <v>41201</v>
      </c>
      <c r="B3505" s="0" t="s">
        <v>6701</v>
      </c>
      <c r="C3505" s="0" t="s">
        <v>31</v>
      </c>
      <c r="D3505" s="0" t="s">
        <v>3671</v>
      </c>
    </row>
    <row r="3506" customFormat="false" ht="15" hidden="false" customHeight="false" outlineLevel="0" collapsed="false">
      <c r="A3506" s="0" t="n">
        <v>41199</v>
      </c>
      <c r="B3506" s="0" t="s">
        <v>6702</v>
      </c>
      <c r="C3506" s="0" t="s">
        <v>31</v>
      </c>
      <c r="D3506" s="0" t="s">
        <v>3671</v>
      </c>
    </row>
    <row r="3507" customFormat="false" ht="15" hidden="false" customHeight="false" outlineLevel="0" collapsed="false">
      <c r="A3507" s="0" t="n">
        <v>5057</v>
      </c>
      <c r="B3507" s="0" t="s">
        <v>6703</v>
      </c>
      <c r="C3507" s="0" t="s">
        <v>31</v>
      </c>
      <c r="D3507" s="0" t="s">
        <v>3671</v>
      </c>
    </row>
    <row r="3508" customFormat="false" ht="15" hidden="false" customHeight="false" outlineLevel="0" collapsed="false">
      <c r="A3508" s="0" t="n">
        <v>41200</v>
      </c>
      <c r="B3508" s="0" t="s">
        <v>6704</v>
      </c>
      <c r="C3508" s="0" t="s">
        <v>31</v>
      </c>
      <c r="D3508" s="0" t="s">
        <v>3671</v>
      </c>
    </row>
    <row r="3509" customFormat="false" ht="15" hidden="false" customHeight="false" outlineLevel="0" collapsed="false">
      <c r="A3509" s="0" t="n">
        <v>41205</v>
      </c>
      <c r="B3509" s="0" t="s">
        <v>6705</v>
      </c>
      <c r="C3509" s="0" t="s">
        <v>31</v>
      </c>
      <c r="D3509" s="0" t="s">
        <v>3671</v>
      </c>
    </row>
    <row r="3510" customFormat="false" ht="15" hidden="false" customHeight="false" outlineLevel="0" collapsed="false">
      <c r="A3510" s="0" t="n">
        <v>41202</v>
      </c>
      <c r="B3510" s="0" t="s">
        <v>6706</v>
      </c>
      <c r="C3510" s="0" t="s">
        <v>31</v>
      </c>
      <c r="D3510" s="0" t="s">
        <v>3671</v>
      </c>
    </row>
    <row r="3511" customFormat="false" ht="15" hidden="false" customHeight="false" outlineLevel="0" collapsed="false">
      <c r="A3511" s="0" t="n">
        <v>41206</v>
      </c>
      <c r="B3511" s="0" t="s">
        <v>6707</v>
      </c>
      <c r="C3511" s="0" t="s">
        <v>31</v>
      </c>
      <c r="D3511" s="0" t="s">
        <v>3671</v>
      </c>
    </row>
    <row r="3512" customFormat="false" ht="15" hidden="false" customHeight="false" outlineLevel="0" collapsed="false">
      <c r="A3512" s="0" t="n">
        <v>12372</v>
      </c>
      <c r="B3512" s="0" t="s">
        <v>6708</v>
      </c>
      <c r="C3512" s="0" t="s">
        <v>31</v>
      </c>
      <c r="D3512" s="0" t="s">
        <v>3671</v>
      </c>
    </row>
    <row r="3513" customFormat="false" ht="15" hidden="false" customHeight="false" outlineLevel="0" collapsed="false">
      <c r="A3513" s="0" t="n">
        <v>41207</v>
      </c>
      <c r="B3513" s="0" t="s">
        <v>6709</v>
      </c>
      <c r="C3513" s="0" t="s">
        <v>31</v>
      </c>
      <c r="D3513" s="0" t="s">
        <v>3671</v>
      </c>
    </row>
    <row r="3514" customFormat="false" ht="15" hidden="false" customHeight="false" outlineLevel="0" collapsed="false">
      <c r="A3514" s="0" t="n">
        <v>41203</v>
      </c>
      <c r="B3514" s="0" t="s">
        <v>6710</v>
      </c>
      <c r="C3514" s="0" t="s">
        <v>31</v>
      </c>
      <c r="D3514" s="0" t="s">
        <v>3671</v>
      </c>
    </row>
    <row r="3515" customFormat="false" ht="15" hidden="false" customHeight="false" outlineLevel="0" collapsed="false">
      <c r="A3515" s="0" t="n">
        <v>41204</v>
      </c>
      <c r="B3515" s="0" t="s">
        <v>6711</v>
      </c>
      <c r="C3515" s="0" t="s">
        <v>31</v>
      </c>
      <c r="D3515" s="0" t="s">
        <v>3671</v>
      </c>
    </row>
    <row r="3516" customFormat="false" ht="15" hidden="false" customHeight="false" outlineLevel="0" collapsed="false">
      <c r="A3516" s="0" t="n">
        <v>41210</v>
      </c>
      <c r="B3516" s="0" t="s">
        <v>6712</v>
      </c>
      <c r="C3516" s="0" t="s">
        <v>31</v>
      </c>
      <c r="D3516" s="0" t="s">
        <v>3671</v>
      </c>
    </row>
    <row r="3517" customFormat="false" ht="15" hidden="false" customHeight="false" outlineLevel="0" collapsed="false">
      <c r="A3517" s="0" t="n">
        <v>41208</v>
      </c>
      <c r="B3517" s="0" t="s">
        <v>6713</v>
      </c>
      <c r="C3517" s="0" t="s">
        <v>31</v>
      </c>
      <c r="D3517" s="0" t="s">
        <v>3671</v>
      </c>
    </row>
    <row r="3518" customFormat="false" ht="15" hidden="false" customHeight="false" outlineLevel="0" collapsed="false">
      <c r="A3518" s="0" t="n">
        <v>41211</v>
      </c>
      <c r="B3518" s="0" t="s">
        <v>6714</v>
      </c>
      <c r="C3518" s="0" t="s">
        <v>31</v>
      </c>
      <c r="D3518" s="0" t="s">
        <v>3671</v>
      </c>
    </row>
    <row r="3519" customFormat="false" ht="15" hidden="false" customHeight="false" outlineLevel="0" collapsed="false">
      <c r="A3519" s="0" t="n">
        <v>13339</v>
      </c>
      <c r="B3519" s="0" t="s">
        <v>6715</v>
      </c>
      <c r="C3519" s="0" t="s">
        <v>31</v>
      </c>
      <c r="D3519" s="0" t="s">
        <v>3671</v>
      </c>
    </row>
    <row r="3520" customFormat="false" ht="15" hidden="false" customHeight="false" outlineLevel="0" collapsed="false">
      <c r="A3520" s="0" t="n">
        <v>41213</v>
      </c>
      <c r="B3520" s="0" t="s">
        <v>6716</v>
      </c>
      <c r="C3520" s="0" t="s">
        <v>31</v>
      </c>
      <c r="D3520" s="0" t="s">
        <v>3671</v>
      </c>
    </row>
    <row r="3521" customFormat="false" ht="15" hidden="false" customHeight="false" outlineLevel="0" collapsed="false">
      <c r="A3521" s="0" t="n">
        <v>41209</v>
      </c>
      <c r="B3521" s="0" t="s">
        <v>6717</v>
      </c>
      <c r="C3521" s="0" t="s">
        <v>31</v>
      </c>
      <c r="D3521" s="0" t="s">
        <v>3671</v>
      </c>
    </row>
    <row r="3522" customFormat="false" ht="15" hidden="false" customHeight="false" outlineLevel="0" collapsed="false">
      <c r="A3522" s="0" t="n">
        <v>41216</v>
      </c>
      <c r="B3522" s="0" t="s">
        <v>6718</v>
      </c>
      <c r="C3522" s="0" t="s">
        <v>31</v>
      </c>
      <c r="D3522" s="0" t="s">
        <v>3671</v>
      </c>
    </row>
    <row r="3523" customFormat="false" ht="15" hidden="false" customHeight="false" outlineLevel="0" collapsed="false">
      <c r="A3523" s="0" t="n">
        <v>41217</v>
      </c>
      <c r="B3523" s="0" t="s">
        <v>6719</v>
      </c>
      <c r="C3523" s="0" t="s">
        <v>31</v>
      </c>
      <c r="D3523" s="0" t="s">
        <v>3671</v>
      </c>
    </row>
    <row r="3524" customFormat="false" ht="15" hidden="false" customHeight="false" outlineLevel="0" collapsed="false">
      <c r="A3524" s="0" t="n">
        <v>41218</v>
      </c>
      <c r="B3524" s="0" t="s">
        <v>6720</v>
      </c>
      <c r="C3524" s="0" t="s">
        <v>31</v>
      </c>
      <c r="D3524" s="0" t="s">
        <v>3671</v>
      </c>
    </row>
    <row r="3525" customFormat="false" ht="15" hidden="false" customHeight="false" outlineLevel="0" collapsed="false">
      <c r="A3525" s="0" t="n">
        <v>41214</v>
      </c>
      <c r="B3525" s="0" t="s">
        <v>6721</v>
      </c>
      <c r="C3525" s="0" t="s">
        <v>31</v>
      </c>
      <c r="D3525" s="0" t="s">
        <v>3671</v>
      </c>
    </row>
    <row r="3526" customFormat="false" ht="15" hidden="false" customHeight="false" outlineLevel="0" collapsed="false">
      <c r="A3526" s="0" t="n">
        <v>41215</v>
      </c>
      <c r="B3526" s="0" t="s">
        <v>6722</v>
      </c>
      <c r="C3526" s="0" t="s">
        <v>31</v>
      </c>
      <c r="D3526" s="0" t="s">
        <v>3671</v>
      </c>
    </row>
    <row r="3527" customFormat="false" ht="15" hidden="false" customHeight="false" outlineLevel="0" collapsed="false">
      <c r="A3527" s="0" t="n">
        <v>41221</v>
      </c>
      <c r="B3527" s="0" t="s">
        <v>6723</v>
      </c>
      <c r="C3527" s="0" t="s">
        <v>31</v>
      </c>
      <c r="D3527" s="0" t="s">
        <v>3671</v>
      </c>
    </row>
    <row r="3528" customFormat="false" ht="15" hidden="false" customHeight="false" outlineLevel="0" collapsed="false">
      <c r="A3528" s="0" t="n">
        <v>41222</v>
      </c>
      <c r="B3528" s="0" t="s">
        <v>6724</v>
      </c>
      <c r="C3528" s="0" t="s">
        <v>31</v>
      </c>
      <c r="D3528" s="0" t="s">
        <v>3671</v>
      </c>
    </row>
    <row r="3529" customFormat="false" ht="15" hidden="false" customHeight="false" outlineLevel="0" collapsed="false">
      <c r="A3529" s="0" t="n">
        <v>41195</v>
      </c>
      <c r="B3529" s="0" t="s">
        <v>6725</v>
      </c>
      <c r="C3529" s="0" t="s">
        <v>31</v>
      </c>
      <c r="D3529" s="0" t="s">
        <v>3671</v>
      </c>
    </row>
    <row r="3530" customFormat="false" ht="15" hidden="false" customHeight="false" outlineLevel="0" collapsed="false">
      <c r="A3530" s="0" t="n">
        <v>41198</v>
      </c>
      <c r="B3530" s="0" t="s">
        <v>6726</v>
      </c>
      <c r="C3530" s="0" t="s">
        <v>31</v>
      </c>
      <c r="D3530" s="0" t="s">
        <v>3671</v>
      </c>
    </row>
    <row r="3531" customFormat="false" ht="15" hidden="false" customHeight="false" outlineLevel="0" collapsed="false">
      <c r="A3531" s="0" t="n">
        <v>41196</v>
      </c>
      <c r="B3531" s="0" t="s">
        <v>6727</v>
      </c>
      <c r="C3531" s="0" t="s">
        <v>31</v>
      </c>
      <c r="D3531" s="0" t="s">
        <v>3671</v>
      </c>
    </row>
    <row r="3532" customFormat="false" ht="15" hidden="false" customHeight="false" outlineLevel="0" collapsed="false">
      <c r="A3532" s="0" t="n">
        <v>5033</v>
      </c>
      <c r="B3532" s="0" t="s">
        <v>6728</v>
      </c>
      <c r="C3532" s="0" t="s">
        <v>31</v>
      </c>
      <c r="D3532" s="0" t="s">
        <v>3676</v>
      </c>
    </row>
    <row r="3533" customFormat="false" ht="15" hidden="false" customHeight="false" outlineLevel="0" collapsed="false">
      <c r="A3533" s="0" t="n">
        <v>41197</v>
      </c>
      <c r="B3533" s="0" t="s">
        <v>6729</v>
      </c>
      <c r="C3533" s="0" t="s">
        <v>31</v>
      </c>
      <c r="D3533" s="0" t="s">
        <v>3671</v>
      </c>
    </row>
    <row r="3534" customFormat="false" ht="15" hidden="false" customHeight="false" outlineLevel="0" collapsed="false">
      <c r="A3534" s="0" t="n">
        <v>12388</v>
      </c>
      <c r="B3534" s="0" t="s">
        <v>2915</v>
      </c>
      <c r="C3534" s="0" t="s">
        <v>31</v>
      </c>
      <c r="D3534" s="0" t="s">
        <v>3671</v>
      </c>
    </row>
    <row r="3535" customFormat="false" ht="15" hidden="false" customHeight="false" outlineLevel="0" collapsed="false">
      <c r="A3535" s="0" t="n">
        <v>2731</v>
      </c>
      <c r="B3535" s="0" t="s">
        <v>6730</v>
      </c>
      <c r="C3535" s="0" t="s">
        <v>1455</v>
      </c>
      <c r="D3535" s="0" t="s">
        <v>3671</v>
      </c>
      <c r="E3535" s="0" t="n">
        <v>117.06</v>
      </c>
    </row>
    <row r="3536" customFormat="false" ht="15" hidden="false" customHeight="false" outlineLevel="0" collapsed="false">
      <c r="A3536" s="0" t="n">
        <v>41457</v>
      </c>
      <c r="B3536" s="0" t="s">
        <v>6731</v>
      </c>
      <c r="C3536" s="0" t="s">
        <v>31</v>
      </c>
      <c r="D3536" s="0" t="s">
        <v>3671</v>
      </c>
      <c r="E3536" s="0" t="n">
        <v>1638.49</v>
      </c>
    </row>
    <row r="3537" customFormat="false" ht="15" hidden="false" customHeight="false" outlineLevel="0" collapsed="false">
      <c r="A3537" s="0" t="n">
        <v>41458</v>
      </c>
      <c r="B3537" s="0" t="s">
        <v>6732</v>
      </c>
      <c r="C3537" s="0" t="s">
        <v>31</v>
      </c>
      <c r="D3537" s="0" t="s">
        <v>3671</v>
      </c>
      <c r="E3537" s="0" t="n">
        <v>2287.42</v>
      </c>
    </row>
    <row r="3538" customFormat="false" ht="15" hidden="false" customHeight="false" outlineLevel="0" collapsed="false">
      <c r="A3538" s="0" t="n">
        <v>41459</v>
      </c>
      <c r="B3538" s="0" t="s">
        <v>6733</v>
      </c>
      <c r="C3538" s="0" t="s">
        <v>31</v>
      </c>
      <c r="D3538" s="0" t="s">
        <v>3671</v>
      </c>
      <c r="E3538" s="0" t="n">
        <v>3190.77</v>
      </c>
    </row>
    <row r="3539" customFormat="false" ht="15" hidden="false" customHeight="false" outlineLevel="0" collapsed="false">
      <c r="A3539" s="0" t="n">
        <v>41461</v>
      </c>
      <c r="B3539" s="0" t="s">
        <v>6734</v>
      </c>
      <c r="C3539" s="0" t="s">
        <v>31</v>
      </c>
      <c r="D3539" s="0" t="s">
        <v>3671</v>
      </c>
      <c r="E3539" s="0" t="n">
        <v>4350.45</v>
      </c>
    </row>
    <row r="3540" customFormat="false" ht="15" hidden="false" customHeight="false" outlineLevel="0" collapsed="false">
      <c r="A3540" s="0" t="n">
        <v>44537</v>
      </c>
      <c r="B3540" s="0" t="s">
        <v>6735</v>
      </c>
      <c r="C3540" s="0" t="s">
        <v>4710</v>
      </c>
      <c r="D3540" s="0" t="s">
        <v>3671</v>
      </c>
      <c r="E3540" s="0" t="n">
        <v>330.68</v>
      </c>
    </row>
    <row r="3541" customFormat="false" ht="15" hidden="false" customHeight="false" outlineLevel="0" collapsed="false">
      <c r="A3541" s="0" t="n">
        <v>11844</v>
      </c>
      <c r="B3541" s="0" t="s">
        <v>6736</v>
      </c>
      <c r="C3541" s="0" t="s">
        <v>1455</v>
      </c>
      <c r="D3541" s="0" t="s">
        <v>3671</v>
      </c>
      <c r="E3541" s="0" t="n">
        <v>43.84</v>
      </c>
    </row>
    <row r="3542" customFormat="false" ht="15" hidden="false" customHeight="false" outlineLevel="0" collapsed="false">
      <c r="A3542" s="0" t="n">
        <v>4465</v>
      </c>
      <c r="B3542" s="0" t="s">
        <v>6737</v>
      </c>
      <c r="C3542" s="0" t="s">
        <v>1455</v>
      </c>
      <c r="D3542" s="0" t="s">
        <v>3671</v>
      </c>
      <c r="E3542" s="0" t="n">
        <v>36.43</v>
      </c>
    </row>
    <row r="3543" customFormat="false" ht="15" hidden="false" customHeight="false" outlineLevel="0" collapsed="false">
      <c r="A3543" s="0" t="n">
        <v>35273</v>
      </c>
      <c r="B3543" s="0" t="s">
        <v>6738</v>
      </c>
      <c r="C3543" s="0" t="s">
        <v>1455</v>
      </c>
      <c r="D3543" s="0" t="s">
        <v>3671</v>
      </c>
      <c r="E3543" s="0" t="n">
        <v>43.69</v>
      </c>
    </row>
    <row r="3544" customFormat="false" ht="15" hidden="false" customHeight="false" outlineLevel="0" collapsed="false">
      <c r="A3544" s="0" t="n">
        <v>4470</v>
      </c>
      <c r="B3544" s="0" t="s">
        <v>6739</v>
      </c>
      <c r="C3544" s="0" t="s">
        <v>1455</v>
      </c>
      <c r="D3544" s="0" t="s">
        <v>3671</v>
      </c>
      <c r="E3544" s="0" t="n">
        <v>100.84</v>
      </c>
    </row>
    <row r="3545" customFormat="false" ht="15" hidden="false" customHeight="false" outlineLevel="0" collapsed="false">
      <c r="A3545" s="0" t="n">
        <v>20204</v>
      </c>
      <c r="B3545" s="0" t="s">
        <v>6740</v>
      </c>
      <c r="C3545" s="0" t="s">
        <v>1455</v>
      </c>
      <c r="D3545" s="0" t="s">
        <v>3671</v>
      </c>
      <c r="E3545" s="0" t="n">
        <v>67.22</v>
      </c>
    </row>
    <row r="3546" customFormat="false" ht="15" hidden="false" customHeight="false" outlineLevel="0" collapsed="false">
      <c r="A3546" s="0" t="n">
        <v>20208</v>
      </c>
      <c r="B3546" s="0" t="s">
        <v>6741</v>
      </c>
      <c r="C3546" s="0" t="s">
        <v>1455</v>
      </c>
      <c r="D3546" s="0" t="s">
        <v>3671</v>
      </c>
      <c r="E3546" s="0" t="n">
        <v>90.75</v>
      </c>
    </row>
    <row r="3547" customFormat="false" ht="15" hidden="false" customHeight="false" outlineLevel="0" collapsed="false">
      <c r="A3547" s="0" t="n">
        <v>4437</v>
      </c>
      <c r="B3547" s="0" t="s">
        <v>6742</v>
      </c>
      <c r="C3547" s="0" t="s">
        <v>1455</v>
      </c>
      <c r="D3547" s="0" t="s">
        <v>3671</v>
      </c>
      <c r="E3547" s="0" t="n">
        <v>75.63</v>
      </c>
    </row>
    <row r="3548" customFormat="false" ht="15" hidden="false" customHeight="false" outlineLevel="0" collapsed="false">
      <c r="A3548" s="0" t="n">
        <v>14580</v>
      </c>
      <c r="B3548" s="0" t="s">
        <v>6743</v>
      </c>
      <c r="C3548" s="0" t="s">
        <v>1455</v>
      </c>
      <c r="D3548" s="0" t="s">
        <v>3671</v>
      </c>
      <c r="E3548" s="0" t="n">
        <v>75.63</v>
      </c>
    </row>
    <row r="3549" customFormat="false" ht="15" hidden="false" customHeight="false" outlineLevel="0" collapsed="false">
      <c r="A3549" s="0" t="n">
        <v>5065</v>
      </c>
      <c r="B3549" s="0" t="s">
        <v>1512</v>
      </c>
      <c r="C3549" s="0" t="s">
        <v>1513</v>
      </c>
      <c r="D3549" s="0" t="s">
        <v>3671</v>
      </c>
      <c r="E3549" s="0" t="n">
        <v>38.7</v>
      </c>
    </row>
    <row r="3550" customFormat="false" ht="15" hidden="false" customHeight="false" outlineLevel="0" collapsed="false">
      <c r="A3550" s="0" t="n">
        <v>5072</v>
      </c>
      <c r="B3550" s="0" t="s">
        <v>6744</v>
      </c>
      <c r="C3550" s="0" t="s">
        <v>1513</v>
      </c>
      <c r="D3550" s="0" t="s">
        <v>3671</v>
      </c>
      <c r="E3550" s="0" t="n">
        <v>35.8</v>
      </c>
    </row>
    <row r="3551" customFormat="false" ht="15" hidden="false" customHeight="false" outlineLevel="0" collapsed="false">
      <c r="A3551" s="0" t="n">
        <v>5066</v>
      </c>
      <c r="B3551" s="0" t="s">
        <v>1848</v>
      </c>
      <c r="C3551" s="0" t="s">
        <v>1513</v>
      </c>
      <c r="D3551" s="0" t="s">
        <v>3671</v>
      </c>
      <c r="E3551" s="0" t="n">
        <v>26.81</v>
      </c>
    </row>
    <row r="3552" customFormat="false" ht="15" hidden="false" customHeight="false" outlineLevel="0" collapsed="false">
      <c r="A3552" s="0" t="n">
        <v>5063</v>
      </c>
      <c r="B3552" s="0" t="s">
        <v>6745</v>
      </c>
      <c r="C3552" s="0" t="s">
        <v>1513</v>
      </c>
      <c r="D3552" s="0" t="s">
        <v>3671</v>
      </c>
      <c r="E3552" s="0" t="n">
        <v>24.27</v>
      </c>
    </row>
    <row r="3553" customFormat="false" ht="15" hidden="false" customHeight="false" outlineLevel="0" collapsed="false">
      <c r="A3553" s="0" t="n">
        <v>20247</v>
      </c>
      <c r="B3553" s="0" t="s">
        <v>1695</v>
      </c>
      <c r="C3553" s="0" t="s">
        <v>1513</v>
      </c>
      <c r="D3553" s="0" t="s">
        <v>3671</v>
      </c>
      <c r="E3553" s="0" t="n">
        <v>22.53</v>
      </c>
    </row>
    <row r="3554" customFormat="false" ht="15" hidden="false" customHeight="false" outlineLevel="0" collapsed="false">
      <c r="A3554" s="0" t="n">
        <v>5074</v>
      </c>
      <c r="B3554" s="0" t="s">
        <v>1547</v>
      </c>
      <c r="C3554" s="0" t="s">
        <v>1513</v>
      </c>
      <c r="D3554" s="0" t="s">
        <v>3671</v>
      </c>
      <c r="E3554" s="0" t="n">
        <v>22.79</v>
      </c>
    </row>
    <row r="3555" customFormat="false" ht="15" hidden="false" customHeight="false" outlineLevel="0" collapsed="false">
      <c r="A3555" s="0" t="n">
        <v>5067</v>
      </c>
      <c r="B3555" s="0" t="s">
        <v>2680</v>
      </c>
      <c r="C3555" s="0" t="s">
        <v>1513</v>
      </c>
      <c r="D3555" s="0" t="s">
        <v>3671</v>
      </c>
      <c r="E3555" s="0" t="n">
        <v>21.68</v>
      </c>
    </row>
    <row r="3556" customFormat="false" ht="15" hidden="false" customHeight="false" outlineLevel="0" collapsed="false">
      <c r="A3556" s="0" t="n">
        <v>5078</v>
      </c>
      <c r="B3556" s="0" t="s">
        <v>6746</v>
      </c>
      <c r="C3556" s="0" t="s">
        <v>1513</v>
      </c>
      <c r="D3556" s="0" t="s">
        <v>3671</v>
      </c>
      <c r="E3556" s="0" t="n">
        <v>21.44</v>
      </c>
    </row>
    <row r="3557" customFormat="false" ht="15" hidden="false" customHeight="false" outlineLevel="0" collapsed="false">
      <c r="A3557" s="0" t="n">
        <v>5068</v>
      </c>
      <c r="B3557" s="0" t="s">
        <v>1579</v>
      </c>
      <c r="C3557" s="0" t="s">
        <v>1513</v>
      </c>
      <c r="D3557" s="0" t="s">
        <v>3671</v>
      </c>
      <c r="E3557" s="0" t="n">
        <v>20.34</v>
      </c>
    </row>
    <row r="3558" customFormat="false" ht="15" hidden="false" customHeight="false" outlineLevel="0" collapsed="false">
      <c r="A3558" s="0" t="n">
        <v>5073</v>
      </c>
      <c r="B3558" s="0" t="s">
        <v>1651</v>
      </c>
      <c r="C3558" s="0" t="s">
        <v>1513</v>
      </c>
      <c r="D3558" s="0" t="s">
        <v>3671</v>
      </c>
      <c r="E3558" s="0" t="n">
        <v>20.74</v>
      </c>
    </row>
    <row r="3559" customFormat="false" ht="15" hidden="false" customHeight="false" outlineLevel="0" collapsed="false">
      <c r="A3559" s="0" t="n">
        <v>5069</v>
      </c>
      <c r="B3559" s="0" t="s">
        <v>1514</v>
      </c>
      <c r="C3559" s="0" t="s">
        <v>1513</v>
      </c>
      <c r="D3559" s="0" t="s">
        <v>3671</v>
      </c>
      <c r="E3559" s="0" t="n">
        <v>20.74</v>
      </c>
    </row>
    <row r="3560" customFormat="false" ht="15" hidden="false" customHeight="false" outlineLevel="0" collapsed="false">
      <c r="A3560" s="0" t="n">
        <v>5070</v>
      </c>
      <c r="B3560" s="0" t="s">
        <v>6747</v>
      </c>
      <c r="C3560" s="0" t="s">
        <v>1513</v>
      </c>
      <c r="D3560" s="0" t="s">
        <v>3671</v>
      </c>
      <c r="E3560" s="0" t="n">
        <v>20.96</v>
      </c>
    </row>
    <row r="3561" customFormat="false" ht="15" hidden="false" customHeight="false" outlineLevel="0" collapsed="false">
      <c r="A3561" s="0" t="n">
        <v>5071</v>
      </c>
      <c r="B3561" s="0" t="s">
        <v>6748</v>
      </c>
      <c r="C3561" s="0" t="s">
        <v>1513</v>
      </c>
      <c r="D3561" s="0" t="s">
        <v>3671</v>
      </c>
      <c r="E3561" s="0" t="n">
        <v>20.34</v>
      </c>
    </row>
    <row r="3562" customFormat="false" ht="15" hidden="false" customHeight="false" outlineLevel="0" collapsed="false">
      <c r="A3562" s="0" t="n">
        <v>5061</v>
      </c>
      <c r="B3562" s="0" t="s">
        <v>1901</v>
      </c>
      <c r="C3562" s="0" t="s">
        <v>1513</v>
      </c>
      <c r="D3562" s="0" t="s">
        <v>3676</v>
      </c>
      <c r="E3562" s="0" t="n">
        <v>20</v>
      </c>
    </row>
    <row r="3563" customFormat="false" ht="15" hidden="false" customHeight="false" outlineLevel="0" collapsed="false">
      <c r="A3563" s="0" t="n">
        <v>5075</v>
      </c>
      <c r="B3563" s="0" t="s">
        <v>1580</v>
      </c>
      <c r="C3563" s="0" t="s">
        <v>1513</v>
      </c>
      <c r="D3563" s="0" t="s">
        <v>3671</v>
      </c>
      <c r="E3563" s="0" t="n">
        <v>20.34</v>
      </c>
    </row>
    <row r="3564" customFormat="false" ht="15" hidden="false" customHeight="false" outlineLevel="0" collapsed="false">
      <c r="A3564" s="0" t="n">
        <v>39027</v>
      </c>
      <c r="B3564" s="0" t="s">
        <v>6749</v>
      </c>
      <c r="C3564" s="0" t="s">
        <v>1513</v>
      </c>
      <c r="D3564" s="0" t="s">
        <v>3671</v>
      </c>
      <c r="E3564" s="0" t="n">
        <v>20.32</v>
      </c>
    </row>
    <row r="3565" customFormat="false" ht="15" hidden="false" customHeight="false" outlineLevel="0" collapsed="false">
      <c r="A3565" s="0" t="n">
        <v>5062</v>
      </c>
      <c r="B3565" s="0" t="s">
        <v>6750</v>
      </c>
      <c r="C3565" s="0" t="s">
        <v>1513</v>
      </c>
      <c r="D3565" s="0" t="s">
        <v>3671</v>
      </c>
      <c r="E3565" s="0" t="n">
        <v>20.61</v>
      </c>
    </row>
    <row r="3566" customFormat="false" ht="15" hidden="false" customHeight="false" outlineLevel="0" collapsed="false">
      <c r="A3566" s="0" t="n">
        <v>40568</v>
      </c>
      <c r="B3566" s="0" t="s">
        <v>1548</v>
      </c>
      <c r="C3566" s="0" t="s">
        <v>1513</v>
      </c>
      <c r="D3566" s="0" t="s">
        <v>3671</v>
      </c>
      <c r="E3566" s="0" t="n">
        <v>20.5</v>
      </c>
    </row>
    <row r="3567" customFormat="false" ht="15" hidden="false" customHeight="false" outlineLevel="0" collapsed="false">
      <c r="A3567" s="0" t="n">
        <v>40304</v>
      </c>
      <c r="B3567" s="0" t="s">
        <v>1626</v>
      </c>
      <c r="C3567" s="0" t="s">
        <v>1513</v>
      </c>
      <c r="D3567" s="0" t="s">
        <v>3671</v>
      </c>
      <c r="E3567" s="0" t="n">
        <v>25.11</v>
      </c>
    </row>
    <row r="3568" customFormat="false" ht="15" hidden="false" customHeight="false" outlineLevel="0" collapsed="false">
      <c r="A3568" s="0" t="n">
        <v>39026</v>
      </c>
      <c r="B3568" s="0" t="s">
        <v>1849</v>
      </c>
      <c r="C3568" s="0" t="s">
        <v>1513</v>
      </c>
      <c r="D3568" s="0" t="s">
        <v>3671</v>
      </c>
      <c r="E3568" s="0" t="n">
        <v>22.88</v>
      </c>
    </row>
    <row r="3569" customFormat="false" ht="15" hidden="false" customHeight="false" outlineLevel="0" collapsed="false">
      <c r="A3569" s="0" t="n">
        <v>42431</v>
      </c>
      <c r="B3569" s="0" t="s">
        <v>6751</v>
      </c>
      <c r="C3569" s="0" t="s">
        <v>31</v>
      </c>
      <c r="D3569" s="0" t="s">
        <v>3671</v>
      </c>
    </row>
    <row r="3570" customFormat="false" ht="15" hidden="false" customHeight="false" outlineLevel="0" collapsed="false">
      <c r="A3570" s="0" t="n">
        <v>44074</v>
      </c>
      <c r="B3570" s="0" t="s">
        <v>6752</v>
      </c>
      <c r="C3570" s="0" t="s">
        <v>1452</v>
      </c>
      <c r="D3570" s="0" t="s">
        <v>3671</v>
      </c>
      <c r="E3570" s="0" t="n">
        <v>528.19</v>
      </c>
    </row>
    <row r="3571" customFormat="false" ht="15" hidden="false" customHeight="false" outlineLevel="0" collapsed="false">
      <c r="A3571" s="0" t="n">
        <v>44072</v>
      </c>
      <c r="B3571" s="0" t="s">
        <v>1913</v>
      </c>
      <c r="C3571" s="0" t="s">
        <v>1452</v>
      </c>
      <c r="D3571" s="0" t="s">
        <v>3671</v>
      </c>
      <c r="E3571" s="0" t="n">
        <v>124.78</v>
      </c>
    </row>
    <row r="3572" customFormat="false" ht="15" hidden="false" customHeight="false" outlineLevel="0" collapsed="false">
      <c r="A3572" s="0" t="n">
        <v>511</v>
      </c>
      <c r="B3572" s="0" t="s">
        <v>1910</v>
      </c>
      <c r="C3572" s="0" t="s">
        <v>1452</v>
      </c>
      <c r="D3572" s="0" t="s">
        <v>3676</v>
      </c>
      <c r="E3572" s="0" t="n">
        <v>19.73</v>
      </c>
    </row>
    <row r="3573" customFormat="false" ht="15" hidden="false" customHeight="false" outlineLevel="0" collapsed="false">
      <c r="A3573" s="0" t="n">
        <v>37540</v>
      </c>
      <c r="B3573" s="0" t="s">
        <v>6753</v>
      </c>
      <c r="C3573" s="0" t="s">
        <v>31</v>
      </c>
      <c r="D3573" s="0" t="s">
        <v>3671</v>
      </c>
      <c r="E3573" s="0" t="n">
        <v>76618.79</v>
      </c>
    </row>
    <row r="3574" customFormat="false" ht="15" hidden="false" customHeight="false" outlineLevel="0" collapsed="false">
      <c r="A3574" s="0" t="n">
        <v>37548</v>
      </c>
      <c r="B3574" s="0" t="s">
        <v>6754</v>
      </c>
      <c r="C3574" s="0" t="s">
        <v>31</v>
      </c>
      <c r="D3574" s="0" t="s">
        <v>3671</v>
      </c>
      <c r="E3574" s="0" t="n">
        <v>101557.82</v>
      </c>
    </row>
    <row r="3575" customFormat="false" ht="15" hidden="false" customHeight="false" outlineLevel="0" collapsed="false">
      <c r="A3575" s="0" t="n">
        <v>39828</v>
      </c>
      <c r="B3575" s="0" t="s">
        <v>6755</v>
      </c>
      <c r="C3575" s="0" t="s">
        <v>31</v>
      </c>
      <c r="D3575" s="0" t="s">
        <v>3671</v>
      </c>
      <c r="E3575" s="0" t="n">
        <v>609.25</v>
      </c>
    </row>
    <row r="3576" customFormat="false" ht="15" hidden="false" customHeight="false" outlineLevel="0" collapsed="false">
      <c r="A3576" s="0" t="n">
        <v>38392</v>
      </c>
      <c r="B3576" s="0" t="s">
        <v>6756</v>
      </c>
      <c r="C3576" s="0" t="s">
        <v>31</v>
      </c>
      <c r="D3576" s="0" t="s">
        <v>3671</v>
      </c>
      <c r="E3576" s="0" t="n">
        <v>62.05</v>
      </c>
    </row>
    <row r="3577" customFormat="false" ht="15" hidden="false" customHeight="false" outlineLevel="0" collapsed="false">
      <c r="A3577" s="0" t="n">
        <v>11735</v>
      </c>
      <c r="B3577" s="0" t="s">
        <v>6757</v>
      </c>
      <c r="C3577" s="0" t="s">
        <v>31</v>
      </c>
      <c r="D3577" s="0" t="s">
        <v>3671</v>
      </c>
      <c r="E3577" s="0" t="n">
        <v>10.02</v>
      </c>
    </row>
    <row r="3578" customFormat="false" ht="15" hidden="false" customHeight="false" outlineLevel="0" collapsed="false">
      <c r="A3578" s="0" t="n">
        <v>11737</v>
      </c>
      <c r="B3578" s="0" t="s">
        <v>6758</v>
      </c>
      <c r="C3578" s="0" t="s">
        <v>31</v>
      </c>
      <c r="D3578" s="0" t="s">
        <v>3671</v>
      </c>
      <c r="E3578" s="0" t="n">
        <v>14.21</v>
      </c>
    </row>
    <row r="3579" customFormat="false" ht="15" hidden="false" customHeight="false" outlineLevel="0" collapsed="false">
      <c r="A3579" s="0" t="n">
        <v>11738</v>
      </c>
      <c r="B3579" s="0" t="s">
        <v>6759</v>
      </c>
      <c r="C3579" s="0" t="s">
        <v>31</v>
      </c>
      <c r="D3579" s="0" t="s">
        <v>3671</v>
      </c>
      <c r="E3579" s="0" t="n">
        <v>17.92</v>
      </c>
    </row>
    <row r="3580" customFormat="false" ht="15" hidden="false" customHeight="false" outlineLevel="0" collapsed="false">
      <c r="A3580" s="0" t="n">
        <v>36143</v>
      </c>
      <c r="B3580" s="0" t="s">
        <v>6760</v>
      </c>
      <c r="C3580" s="0" t="s">
        <v>31</v>
      </c>
      <c r="D3580" s="0" t="s">
        <v>3671</v>
      </c>
      <c r="E3580" s="0" t="n">
        <v>26.83</v>
      </c>
    </row>
    <row r="3581" customFormat="false" ht="15" hidden="false" customHeight="false" outlineLevel="0" collapsed="false">
      <c r="A3581" s="0" t="n">
        <v>36142</v>
      </c>
      <c r="B3581" s="0" t="s">
        <v>6761</v>
      </c>
      <c r="C3581" s="0" t="s">
        <v>31</v>
      </c>
      <c r="D3581" s="0" t="s">
        <v>3671</v>
      </c>
      <c r="E3581" s="0" t="n">
        <v>1.96</v>
      </c>
    </row>
    <row r="3582" customFormat="false" ht="15" hidden="false" customHeight="false" outlineLevel="0" collapsed="false">
      <c r="A3582" s="0" t="n">
        <v>36146</v>
      </c>
      <c r="B3582" s="0" t="s">
        <v>6762</v>
      </c>
      <c r="C3582" s="0" t="s">
        <v>31</v>
      </c>
      <c r="D3582" s="0" t="s">
        <v>3671</v>
      </c>
      <c r="E3582" s="0" t="n">
        <v>222.53</v>
      </c>
    </row>
    <row r="3583" customFormat="false" ht="15" hidden="false" customHeight="false" outlineLevel="0" collapsed="false">
      <c r="A3583" s="0" t="n">
        <v>39015</v>
      </c>
      <c r="B3583" s="0" t="s">
        <v>6763</v>
      </c>
      <c r="C3583" s="0" t="s">
        <v>31</v>
      </c>
      <c r="D3583" s="0" t="s">
        <v>3676</v>
      </c>
    </row>
    <row r="3584" customFormat="false" ht="15" hidden="false" customHeight="false" outlineLevel="0" collapsed="false">
      <c r="A3584" s="0" t="n">
        <v>38377</v>
      </c>
      <c r="B3584" s="0" t="s">
        <v>6764</v>
      </c>
      <c r="C3584" s="0" t="s">
        <v>31</v>
      </c>
      <c r="D3584" s="0" t="s">
        <v>3671</v>
      </c>
      <c r="E3584" s="0" t="n">
        <v>45.88</v>
      </c>
    </row>
    <row r="3585" customFormat="false" ht="15" hidden="false" customHeight="false" outlineLevel="0" collapsed="false">
      <c r="A3585" s="0" t="n">
        <v>38376</v>
      </c>
      <c r="B3585" s="0" t="s">
        <v>6765</v>
      </c>
      <c r="C3585" s="0" t="s">
        <v>31</v>
      </c>
      <c r="D3585" s="0" t="s">
        <v>3671</v>
      </c>
      <c r="E3585" s="0" t="n">
        <v>52.32</v>
      </c>
    </row>
    <row r="3586" customFormat="false" ht="15" hidden="false" customHeight="false" outlineLevel="0" collapsed="false">
      <c r="A3586" s="0" t="n">
        <v>38116</v>
      </c>
      <c r="B3586" s="0" t="s">
        <v>6766</v>
      </c>
      <c r="C3586" s="0" t="s">
        <v>31</v>
      </c>
      <c r="D3586" s="0" t="s">
        <v>3671</v>
      </c>
      <c r="E3586" s="0" t="n">
        <v>5.17</v>
      </c>
    </row>
    <row r="3587" customFormat="false" ht="15" hidden="false" customHeight="false" outlineLevel="0" collapsed="false">
      <c r="A3587" s="0" t="n">
        <v>38066</v>
      </c>
      <c r="B3587" s="0" t="s">
        <v>6767</v>
      </c>
      <c r="C3587" s="0" t="s">
        <v>31</v>
      </c>
      <c r="D3587" s="0" t="s">
        <v>3671</v>
      </c>
      <c r="E3587" s="0" t="n">
        <v>8.54</v>
      </c>
    </row>
    <row r="3588" customFormat="false" ht="15" hidden="false" customHeight="false" outlineLevel="0" collapsed="false">
      <c r="A3588" s="0" t="n">
        <v>38117</v>
      </c>
      <c r="B3588" s="0" t="s">
        <v>6768</v>
      </c>
      <c r="C3588" s="0" t="s">
        <v>31</v>
      </c>
      <c r="D3588" s="0" t="s">
        <v>3671</v>
      </c>
      <c r="E3588" s="0" t="n">
        <v>8.81</v>
      </c>
    </row>
    <row r="3589" customFormat="false" ht="15" hidden="false" customHeight="false" outlineLevel="0" collapsed="false">
      <c r="A3589" s="0" t="n">
        <v>38067</v>
      </c>
      <c r="B3589" s="0" t="s">
        <v>6769</v>
      </c>
      <c r="C3589" s="0" t="s">
        <v>31</v>
      </c>
      <c r="D3589" s="0" t="s">
        <v>3671</v>
      </c>
      <c r="E3589" s="0" t="n">
        <v>12.03</v>
      </c>
    </row>
    <row r="3590" customFormat="false" ht="15" hidden="false" customHeight="false" outlineLevel="0" collapsed="false">
      <c r="A3590" s="0" t="n">
        <v>44313</v>
      </c>
      <c r="B3590" s="0" t="s">
        <v>6770</v>
      </c>
      <c r="C3590" s="0" t="s">
        <v>31</v>
      </c>
      <c r="D3590" s="0" t="s">
        <v>3671</v>
      </c>
    </row>
    <row r="3591" customFormat="false" ht="15" hidden="false" customHeight="false" outlineLevel="0" collapsed="false">
      <c r="A3591" s="0" t="n">
        <v>11522</v>
      </c>
      <c r="B3591" s="0" t="s">
        <v>6771</v>
      </c>
      <c r="C3591" s="0" t="s">
        <v>31</v>
      </c>
      <c r="D3591" s="0" t="s">
        <v>3671</v>
      </c>
      <c r="E3591" s="0" t="n">
        <v>14.96</v>
      </c>
    </row>
    <row r="3592" customFormat="false" ht="15" hidden="false" customHeight="false" outlineLevel="0" collapsed="false">
      <c r="A3592" s="0" t="n">
        <v>43600</v>
      </c>
      <c r="B3592" s="0" t="s">
        <v>6772</v>
      </c>
      <c r="C3592" s="0" t="s">
        <v>31</v>
      </c>
      <c r="D3592" s="0" t="s">
        <v>3671</v>
      </c>
      <c r="E3592" s="0" t="n">
        <v>59.95</v>
      </c>
    </row>
    <row r="3593" customFormat="false" ht="15" hidden="false" customHeight="false" outlineLevel="0" collapsed="false">
      <c r="A3593" s="0" t="n">
        <v>5080</v>
      </c>
      <c r="B3593" s="0" t="s">
        <v>6773</v>
      </c>
      <c r="C3593" s="0" t="s">
        <v>31</v>
      </c>
      <c r="D3593" s="0" t="s">
        <v>3671</v>
      </c>
      <c r="E3593" s="0" t="n">
        <v>23.38</v>
      </c>
    </row>
    <row r="3594" customFormat="false" ht="15" hidden="false" customHeight="false" outlineLevel="0" collapsed="false">
      <c r="A3594" s="0" t="n">
        <v>38168</v>
      </c>
      <c r="B3594" s="0" t="s">
        <v>6774</v>
      </c>
      <c r="C3594" s="0" t="s">
        <v>31</v>
      </c>
      <c r="D3594" s="0" t="s">
        <v>3671</v>
      </c>
      <c r="E3594" s="0" t="n">
        <v>163.22</v>
      </c>
    </row>
    <row r="3595" customFormat="false" ht="15" hidden="false" customHeight="false" outlineLevel="0" collapsed="false">
      <c r="A3595" s="0" t="n">
        <v>43601</v>
      </c>
      <c r="B3595" s="0" t="s">
        <v>6775</v>
      </c>
      <c r="C3595" s="0" t="s">
        <v>31</v>
      </c>
      <c r="D3595" s="0" t="s">
        <v>3671</v>
      </c>
      <c r="E3595" s="0" t="n">
        <v>81.61</v>
      </c>
    </row>
    <row r="3596" customFormat="false" ht="15" hidden="false" customHeight="false" outlineLevel="0" collapsed="false">
      <c r="A3596" s="0" t="n">
        <v>13393</v>
      </c>
      <c r="B3596" s="0" t="s">
        <v>6776</v>
      </c>
      <c r="C3596" s="0" t="s">
        <v>31</v>
      </c>
      <c r="D3596" s="0" t="s">
        <v>3671</v>
      </c>
    </row>
    <row r="3597" customFormat="false" ht="15" hidden="false" customHeight="false" outlineLevel="0" collapsed="false">
      <c r="A3597" s="0" t="n">
        <v>13395</v>
      </c>
      <c r="B3597" s="0" t="s">
        <v>6777</v>
      </c>
      <c r="C3597" s="0" t="s">
        <v>31</v>
      </c>
      <c r="D3597" s="0" t="s">
        <v>3671</v>
      </c>
    </row>
    <row r="3598" customFormat="false" ht="15" hidden="false" customHeight="false" outlineLevel="0" collapsed="false">
      <c r="A3598" s="0" t="n">
        <v>12039</v>
      </c>
      <c r="B3598" s="0" t="s">
        <v>6778</v>
      </c>
      <c r="C3598" s="0" t="s">
        <v>31</v>
      </c>
      <c r="D3598" s="0" t="s">
        <v>3671</v>
      </c>
    </row>
    <row r="3599" customFormat="false" ht="15" hidden="false" customHeight="false" outlineLevel="0" collapsed="false">
      <c r="A3599" s="0" t="n">
        <v>13396</v>
      </c>
      <c r="B3599" s="0" t="s">
        <v>6779</v>
      </c>
      <c r="C3599" s="0" t="s">
        <v>31</v>
      </c>
      <c r="D3599" s="0" t="s">
        <v>3671</v>
      </c>
    </row>
    <row r="3600" customFormat="false" ht="15" hidden="false" customHeight="false" outlineLevel="0" collapsed="false">
      <c r="A3600" s="0" t="n">
        <v>12041</v>
      </c>
      <c r="B3600" s="0" t="s">
        <v>6780</v>
      </c>
      <c r="C3600" s="0" t="s">
        <v>31</v>
      </c>
      <c r="D3600" s="0" t="s">
        <v>3671</v>
      </c>
    </row>
    <row r="3601" customFormat="false" ht="15" hidden="false" customHeight="false" outlineLevel="0" collapsed="false">
      <c r="A3601" s="0" t="n">
        <v>12043</v>
      </c>
      <c r="B3601" s="0" t="s">
        <v>6781</v>
      </c>
      <c r="C3601" s="0" t="s">
        <v>31</v>
      </c>
      <c r="D3601" s="0" t="s">
        <v>3671</v>
      </c>
    </row>
    <row r="3602" customFormat="false" ht="15" hidden="false" customHeight="false" outlineLevel="0" collapsed="false">
      <c r="A3602" s="0" t="n">
        <v>39762</v>
      </c>
      <c r="B3602" s="0" t="s">
        <v>6782</v>
      </c>
      <c r="C3602" s="0" t="s">
        <v>31</v>
      </c>
      <c r="D3602" s="0" t="s">
        <v>3671</v>
      </c>
    </row>
    <row r="3603" customFormat="false" ht="15" hidden="false" customHeight="false" outlineLevel="0" collapsed="false">
      <c r="A3603" s="0" t="n">
        <v>12042</v>
      </c>
      <c r="B3603" s="0" t="s">
        <v>6783</v>
      </c>
      <c r="C3603" s="0" t="s">
        <v>31</v>
      </c>
      <c r="D3603" s="0" t="s">
        <v>3671</v>
      </c>
    </row>
    <row r="3604" customFormat="false" ht="15" hidden="false" customHeight="false" outlineLevel="0" collapsed="false">
      <c r="A3604" s="0" t="n">
        <v>39763</v>
      </c>
      <c r="B3604" s="0" t="s">
        <v>6784</v>
      </c>
      <c r="C3604" s="0" t="s">
        <v>31</v>
      </c>
      <c r="D3604" s="0" t="s">
        <v>3671</v>
      </c>
    </row>
    <row r="3605" customFormat="false" ht="15" hidden="false" customHeight="false" outlineLevel="0" collapsed="false">
      <c r="A3605" s="0" t="n">
        <v>39760</v>
      </c>
      <c r="B3605" s="0" t="s">
        <v>6785</v>
      </c>
      <c r="C3605" s="0" t="s">
        <v>31</v>
      </c>
      <c r="D3605" s="0" t="s">
        <v>3671</v>
      </c>
    </row>
    <row r="3606" customFormat="false" ht="15" hidden="false" customHeight="false" outlineLevel="0" collapsed="false">
      <c r="A3606" s="0" t="n">
        <v>39756</v>
      </c>
      <c r="B3606" s="0" t="s">
        <v>6786</v>
      </c>
      <c r="C3606" s="0" t="s">
        <v>31</v>
      </c>
      <c r="D3606" s="0" t="s">
        <v>3671</v>
      </c>
    </row>
    <row r="3607" customFormat="false" ht="15" hidden="false" customHeight="false" outlineLevel="0" collapsed="false">
      <c r="A3607" s="0" t="n">
        <v>12038</v>
      </c>
      <c r="B3607" s="0" t="s">
        <v>6787</v>
      </c>
      <c r="C3607" s="0" t="s">
        <v>31</v>
      </c>
      <c r="D3607" s="0" t="s">
        <v>3671</v>
      </c>
    </row>
    <row r="3608" customFormat="false" ht="15" hidden="false" customHeight="false" outlineLevel="0" collapsed="false">
      <c r="A3608" s="0" t="n">
        <v>39757</v>
      </c>
      <c r="B3608" s="0" t="s">
        <v>6788</v>
      </c>
      <c r="C3608" s="0" t="s">
        <v>31</v>
      </c>
      <c r="D3608" s="0" t="s">
        <v>3671</v>
      </c>
    </row>
    <row r="3609" customFormat="false" ht="15" hidden="false" customHeight="false" outlineLevel="0" collapsed="false">
      <c r="A3609" s="0" t="n">
        <v>39758</v>
      </c>
      <c r="B3609" s="0" t="s">
        <v>6789</v>
      </c>
      <c r="C3609" s="0" t="s">
        <v>31</v>
      </c>
      <c r="D3609" s="0" t="s">
        <v>3671</v>
      </c>
    </row>
    <row r="3610" customFormat="false" ht="15" hidden="false" customHeight="false" outlineLevel="0" collapsed="false">
      <c r="A3610" s="0" t="n">
        <v>39759</v>
      </c>
      <c r="B3610" s="0" t="s">
        <v>6790</v>
      </c>
      <c r="C3610" s="0" t="s">
        <v>31</v>
      </c>
      <c r="D3610" s="0" t="s">
        <v>3671</v>
      </c>
    </row>
    <row r="3611" customFormat="false" ht="15" hidden="false" customHeight="false" outlineLevel="0" collapsed="false">
      <c r="A3611" s="0" t="n">
        <v>39761</v>
      </c>
      <c r="B3611" s="0" t="s">
        <v>6791</v>
      </c>
      <c r="C3611" s="0" t="s">
        <v>31</v>
      </c>
      <c r="D3611" s="0" t="s">
        <v>3671</v>
      </c>
    </row>
    <row r="3612" customFormat="false" ht="15" hidden="false" customHeight="false" outlineLevel="0" collapsed="false">
      <c r="A3612" s="0" t="n">
        <v>39805</v>
      </c>
      <c r="B3612" s="0" t="s">
        <v>6792</v>
      </c>
      <c r="C3612" s="0" t="s">
        <v>31</v>
      </c>
      <c r="D3612" s="0" t="s">
        <v>3671</v>
      </c>
      <c r="E3612" s="0" t="n">
        <v>129.27</v>
      </c>
    </row>
    <row r="3613" customFormat="false" ht="15" hidden="false" customHeight="false" outlineLevel="0" collapsed="false">
      <c r="A3613" s="0" t="n">
        <v>39806</v>
      </c>
      <c r="B3613" s="0" t="s">
        <v>6793</v>
      </c>
      <c r="C3613" s="0" t="s">
        <v>31</v>
      </c>
      <c r="D3613" s="0" t="s">
        <v>3671</v>
      </c>
      <c r="E3613" s="0" t="n">
        <v>239.5</v>
      </c>
    </row>
    <row r="3614" customFormat="false" ht="15" hidden="false" customHeight="false" outlineLevel="0" collapsed="false">
      <c r="A3614" s="0" t="n">
        <v>39807</v>
      </c>
      <c r="B3614" s="0" t="s">
        <v>6794</v>
      </c>
      <c r="C3614" s="0" t="s">
        <v>31</v>
      </c>
      <c r="D3614" s="0" t="s">
        <v>3671</v>
      </c>
      <c r="E3614" s="0" t="n">
        <v>519.06</v>
      </c>
    </row>
    <row r="3615" customFormat="false" ht="15" hidden="false" customHeight="false" outlineLevel="0" collapsed="false">
      <c r="A3615" s="0" t="n">
        <v>43100</v>
      </c>
      <c r="B3615" s="0" t="s">
        <v>6795</v>
      </c>
      <c r="C3615" s="0" t="s">
        <v>31</v>
      </c>
      <c r="D3615" s="0" t="s">
        <v>3671</v>
      </c>
      <c r="E3615" s="0" t="n">
        <v>405.8</v>
      </c>
    </row>
    <row r="3616" customFormat="false" ht="15" hidden="false" customHeight="false" outlineLevel="0" collapsed="false">
      <c r="A3616" s="0" t="n">
        <v>39804</v>
      </c>
      <c r="B3616" s="0" t="s">
        <v>6796</v>
      </c>
      <c r="C3616" s="0" t="s">
        <v>31</v>
      </c>
      <c r="D3616" s="0" t="s">
        <v>3671</v>
      </c>
      <c r="E3616" s="0" t="n">
        <v>75.91</v>
      </c>
    </row>
    <row r="3617" customFormat="false" ht="15" hidden="false" customHeight="false" outlineLevel="0" collapsed="false">
      <c r="A3617" s="0" t="n">
        <v>39796</v>
      </c>
      <c r="B3617" s="0" t="s">
        <v>6797</v>
      </c>
      <c r="C3617" s="0" t="s">
        <v>31</v>
      </c>
      <c r="D3617" s="0" t="s">
        <v>3671</v>
      </c>
      <c r="E3617" s="0" t="n">
        <v>78.62</v>
      </c>
    </row>
    <row r="3618" customFormat="false" ht="15" hidden="false" customHeight="false" outlineLevel="0" collapsed="false">
      <c r="A3618" s="0" t="n">
        <v>39797</v>
      </c>
      <c r="B3618" s="0" t="s">
        <v>6798</v>
      </c>
      <c r="C3618" s="0" t="s">
        <v>31</v>
      </c>
      <c r="D3618" s="0" t="s">
        <v>3676</v>
      </c>
      <c r="E3618" s="0" t="n">
        <v>123.42</v>
      </c>
    </row>
    <row r="3619" customFormat="false" ht="15" hidden="false" customHeight="false" outlineLevel="0" collapsed="false">
      <c r="A3619" s="0" t="n">
        <v>39798</v>
      </c>
      <c r="B3619" s="0" t="s">
        <v>6799</v>
      </c>
      <c r="C3619" s="0" t="s">
        <v>31</v>
      </c>
      <c r="D3619" s="0" t="s">
        <v>3671</v>
      </c>
      <c r="E3619" s="0" t="n">
        <v>211.7</v>
      </c>
    </row>
    <row r="3620" customFormat="false" ht="15" hidden="false" customHeight="false" outlineLevel="0" collapsed="false">
      <c r="A3620" s="0" t="n">
        <v>39794</v>
      </c>
      <c r="B3620" s="0" t="s">
        <v>6800</v>
      </c>
      <c r="C3620" s="0" t="s">
        <v>31</v>
      </c>
      <c r="D3620" s="0" t="s">
        <v>3671</v>
      </c>
      <c r="E3620" s="0" t="n">
        <v>33.37</v>
      </c>
    </row>
    <row r="3621" customFormat="false" ht="15" hidden="false" customHeight="false" outlineLevel="0" collapsed="false">
      <c r="A3621" s="0" t="n">
        <v>39795</v>
      </c>
      <c r="B3621" s="0" t="s">
        <v>6801</v>
      </c>
      <c r="C3621" s="0" t="s">
        <v>31</v>
      </c>
      <c r="D3621" s="0" t="s">
        <v>3671</v>
      </c>
      <c r="E3621" s="0" t="n">
        <v>52.72</v>
      </c>
    </row>
    <row r="3622" customFormat="false" ht="15" hidden="false" customHeight="false" outlineLevel="0" collapsed="false">
      <c r="A3622" s="0" t="n">
        <v>39801</v>
      </c>
      <c r="B3622" s="0" t="s">
        <v>6802</v>
      </c>
      <c r="C3622" s="0" t="s">
        <v>31</v>
      </c>
      <c r="D3622" s="0" t="s">
        <v>3671</v>
      </c>
      <c r="E3622" s="0" t="n">
        <v>111.33</v>
      </c>
    </row>
    <row r="3623" customFormat="false" ht="15" hidden="false" customHeight="false" outlineLevel="0" collapsed="false">
      <c r="A3623" s="0" t="n">
        <v>39802</v>
      </c>
      <c r="B3623" s="0" t="s">
        <v>6803</v>
      </c>
      <c r="C3623" s="0" t="s">
        <v>31</v>
      </c>
      <c r="D3623" s="0" t="s">
        <v>3671</v>
      </c>
      <c r="E3623" s="0" t="n">
        <v>163.19</v>
      </c>
    </row>
    <row r="3624" customFormat="false" ht="15" hidden="false" customHeight="false" outlineLevel="0" collapsed="false">
      <c r="A3624" s="0" t="n">
        <v>39803</v>
      </c>
      <c r="B3624" s="0" t="s">
        <v>6804</v>
      </c>
      <c r="C3624" s="0" t="s">
        <v>31</v>
      </c>
      <c r="D3624" s="0" t="s">
        <v>3671</v>
      </c>
      <c r="E3624" s="0" t="n">
        <v>227.66</v>
      </c>
    </row>
    <row r="3625" customFormat="false" ht="15" hidden="false" customHeight="false" outlineLevel="0" collapsed="false">
      <c r="A3625" s="0" t="n">
        <v>39799</v>
      </c>
      <c r="B3625" s="0" t="s">
        <v>6805</v>
      </c>
      <c r="C3625" s="0" t="s">
        <v>31</v>
      </c>
      <c r="D3625" s="0" t="s">
        <v>3671</v>
      </c>
      <c r="E3625" s="0" t="n">
        <v>38.9</v>
      </c>
    </row>
    <row r="3626" customFormat="false" ht="15" hidden="false" customHeight="false" outlineLevel="0" collapsed="false">
      <c r="A3626" s="0" t="n">
        <v>39800</v>
      </c>
      <c r="B3626" s="0" t="s">
        <v>6806</v>
      </c>
      <c r="C3626" s="0" t="s">
        <v>31</v>
      </c>
      <c r="D3626" s="0" t="s">
        <v>3671</v>
      </c>
      <c r="E3626" s="0" t="n">
        <v>66.26</v>
      </c>
    </row>
    <row r="3627" customFormat="false" ht="15" hidden="false" customHeight="false" outlineLevel="0" collapsed="false">
      <c r="A3627" s="0" t="n">
        <v>43837</v>
      </c>
      <c r="B3627" s="0" t="s">
        <v>6807</v>
      </c>
      <c r="C3627" s="0" t="s">
        <v>31</v>
      </c>
      <c r="D3627" s="0" t="s">
        <v>3671</v>
      </c>
      <c r="E3627" s="0" t="n">
        <v>1311.36</v>
      </c>
    </row>
    <row r="3628" customFormat="false" ht="15" hidden="false" customHeight="false" outlineLevel="0" collapsed="false">
      <c r="A3628" s="0" t="n">
        <v>43836</v>
      </c>
      <c r="B3628" s="0" t="s">
        <v>6808</v>
      </c>
      <c r="C3628" s="0" t="s">
        <v>31</v>
      </c>
      <c r="D3628" s="0" t="s">
        <v>3671</v>
      </c>
      <c r="E3628" s="0" t="n">
        <v>2668.39</v>
      </c>
    </row>
    <row r="3629" customFormat="false" ht="15" hidden="false" customHeight="false" outlineLevel="0" collapsed="false">
      <c r="A3629" s="0" t="n">
        <v>21059</v>
      </c>
      <c r="B3629" s="0" t="s">
        <v>6809</v>
      </c>
      <c r="C3629" s="0" t="s">
        <v>31</v>
      </c>
      <c r="D3629" s="0" t="s">
        <v>3671</v>
      </c>
    </row>
    <row r="3630" customFormat="false" ht="15" hidden="false" customHeight="false" outlineLevel="0" collapsed="false">
      <c r="A3630" s="0" t="n">
        <v>11234</v>
      </c>
      <c r="B3630" s="0" t="s">
        <v>6810</v>
      </c>
      <c r="C3630" s="0" t="s">
        <v>31</v>
      </c>
      <c r="D3630" s="0" t="s">
        <v>3671</v>
      </c>
    </row>
    <row r="3631" customFormat="false" ht="15" hidden="false" customHeight="false" outlineLevel="0" collapsed="false">
      <c r="A3631" s="0" t="n">
        <v>21060</v>
      </c>
      <c r="B3631" s="0" t="s">
        <v>6811</v>
      </c>
      <c r="C3631" s="0" t="s">
        <v>31</v>
      </c>
      <c r="D3631" s="0" t="s">
        <v>3671</v>
      </c>
    </row>
    <row r="3632" customFormat="false" ht="15" hidden="false" customHeight="false" outlineLevel="0" collapsed="false">
      <c r="A3632" s="0" t="n">
        <v>21061</v>
      </c>
      <c r="B3632" s="0" t="s">
        <v>6812</v>
      </c>
      <c r="C3632" s="0" t="s">
        <v>31</v>
      </c>
      <c r="D3632" s="0" t="s">
        <v>3671</v>
      </c>
    </row>
    <row r="3633" customFormat="false" ht="15" hidden="false" customHeight="false" outlineLevel="0" collapsed="false">
      <c r="A3633" s="0" t="n">
        <v>21062</v>
      </c>
      <c r="B3633" s="0" t="s">
        <v>6813</v>
      </c>
      <c r="C3633" s="0" t="s">
        <v>31</v>
      </c>
      <c r="D3633" s="0" t="s">
        <v>3671</v>
      </c>
    </row>
    <row r="3634" customFormat="false" ht="15" hidden="false" customHeight="false" outlineLevel="0" collapsed="false">
      <c r="A3634" s="0" t="n">
        <v>11708</v>
      </c>
      <c r="B3634" s="0" t="s">
        <v>2222</v>
      </c>
      <c r="C3634" s="0" t="s">
        <v>31</v>
      </c>
      <c r="D3634" s="0" t="s">
        <v>3671</v>
      </c>
    </row>
    <row r="3635" customFormat="false" ht="15" hidden="false" customHeight="false" outlineLevel="0" collapsed="false">
      <c r="A3635" s="0" t="n">
        <v>11709</v>
      </c>
      <c r="B3635" s="0" t="s">
        <v>6814</v>
      </c>
      <c r="C3635" s="0" t="s">
        <v>31</v>
      </c>
      <c r="D3635" s="0" t="s">
        <v>3671</v>
      </c>
    </row>
    <row r="3636" customFormat="false" ht="15" hidden="false" customHeight="false" outlineLevel="0" collapsed="false">
      <c r="A3636" s="0" t="n">
        <v>11710</v>
      </c>
      <c r="B3636" s="0" t="s">
        <v>6815</v>
      </c>
      <c r="C3636" s="0" t="s">
        <v>31</v>
      </c>
      <c r="D3636" s="0" t="s">
        <v>3671</v>
      </c>
    </row>
    <row r="3637" customFormat="false" ht="15" hidden="false" customHeight="false" outlineLevel="0" collapsed="false">
      <c r="A3637" s="0" t="n">
        <v>11707</v>
      </c>
      <c r="B3637" s="0" t="s">
        <v>6816</v>
      </c>
      <c r="C3637" s="0" t="s">
        <v>31</v>
      </c>
      <c r="D3637" s="0" t="s">
        <v>3671</v>
      </c>
    </row>
    <row r="3638" customFormat="false" ht="15" hidden="false" customHeight="false" outlineLevel="0" collapsed="false">
      <c r="A3638" s="0" t="n">
        <v>5102</v>
      </c>
      <c r="B3638" s="0" t="s">
        <v>6817</v>
      </c>
      <c r="C3638" s="0" t="s">
        <v>31</v>
      </c>
      <c r="D3638" s="0" t="s">
        <v>3671</v>
      </c>
      <c r="E3638" s="0" t="n">
        <v>14.08</v>
      </c>
    </row>
    <row r="3639" customFormat="false" ht="15" hidden="false" customHeight="false" outlineLevel="0" collapsed="false">
      <c r="A3639" s="0" t="n">
        <v>11711</v>
      </c>
      <c r="B3639" s="0" t="s">
        <v>6818</v>
      </c>
      <c r="C3639" s="0" t="s">
        <v>31</v>
      </c>
      <c r="D3639" s="0" t="s">
        <v>3671</v>
      </c>
      <c r="E3639" s="0" t="n">
        <v>11.73</v>
      </c>
    </row>
    <row r="3640" customFormat="false" ht="15" hidden="false" customHeight="false" outlineLevel="0" collapsed="false">
      <c r="A3640" s="0" t="n">
        <v>11739</v>
      </c>
      <c r="B3640" s="0" t="s">
        <v>6819</v>
      </c>
      <c r="C3640" s="0" t="s">
        <v>31</v>
      </c>
      <c r="D3640" s="0" t="s">
        <v>3671</v>
      </c>
      <c r="E3640" s="0" t="n">
        <v>10.04</v>
      </c>
    </row>
    <row r="3641" customFormat="false" ht="15" hidden="false" customHeight="false" outlineLevel="0" collapsed="false">
      <c r="A3641" s="0" t="n">
        <v>11741</v>
      </c>
      <c r="B3641" s="0" t="s">
        <v>6820</v>
      </c>
      <c r="C3641" s="0" t="s">
        <v>31</v>
      </c>
      <c r="D3641" s="0" t="s">
        <v>3671</v>
      </c>
      <c r="E3641" s="0" t="n">
        <v>12.78</v>
      </c>
    </row>
    <row r="3642" customFormat="false" ht="15" hidden="false" customHeight="false" outlineLevel="0" collapsed="false">
      <c r="A3642" s="0" t="n">
        <v>11745</v>
      </c>
      <c r="B3642" s="0" t="s">
        <v>6821</v>
      </c>
      <c r="C3642" s="0" t="s">
        <v>31</v>
      </c>
      <c r="D3642" s="0" t="s">
        <v>3671</v>
      </c>
      <c r="E3642" s="0" t="n">
        <v>16.84</v>
      </c>
    </row>
    <row r="3643" customFormat="false" ht="15" hidden="false" customHeight="false" outlineLevel="0" collapsed="false">
      <c r="A3643" s="0" t="n">
        <v>11743</v>
      </c>
      <c r="B3643" s="0" t="s">
        <v>6822</v>
      </c>
      <c r="C3643" s="0" t="s">
        <v>31</v>
      </c>
      <c r="D3643" s="0" t="s">
        <v>3671</v>
      </c>
      <c r="E3643" s="0" t="n">
        <v>10.73</v>
      </c>
    </row>
    <row r="3644" customFormat="false" ht="15" hidden="false" customHeight="false" outlineLevel="0" collapsed="false">
      <c r="A3644" s="0" t="n">
        <v>5104</v>
      </c>
      <c r="B3644" s="0" t="s">
        <v>1902</v>
      </c>
      <c r="C3644" s="0" t="s">
        <v>1513</v>
      </c>
      <c r="D3644" s="0" t="s">
        <v>3671</v>
      </c>
    </row>
    <row r="3645" customFormat="false" ht="15" hidden="false" customHeight="false" outlineLevel="0" collapsed="false">
      <c r="A3645" s="0" t="n">
        <v>44530</v>
      </c>
      <c r="B3645" s="0" t="s">
        <v>6823</v>
      </c>
      <c r="C3645" s="0" t="s">
        <v>31</v>
      </c>
      <c r="D3645" s="0" t="s">
        <v>3671</v>
      </c>
    </row>
    <row r="3646" customFormat="false" ht="15" hidden="false" customHeight="false" outlineLevel="0" collapsed="false">
      <c r="A3646" s="0" t="n">
        <v>2710</v>
      </c>
      <c r="B3646" s="0" t="s">
        <v>6824</v>
      </c>
      <c r="C3646" s="0" t="s">
        <v>31</v>
      </c>
      <c r="D3646" s="0" t="s">
        <v>3671</v>
      </c>
    </row>
    <row r="3647" customFormat="false" ht="15" hidden="false" customHeight="false" outlineLevel="0" collapsed="false">
      <c r="A3647" s="0" t="n">
        <v>14575</v>
      </c>
      <c r="B3647" s="0" t="s">
        <v>6825</v>
      </c>
      <c r="C3647" s="0" t="s">
        <v>31</v>
      </c>
      <c r="D3647" s="0" t="s">
        <v>3671</v>
      </c>
    </row>
    <row r="3648" customFormat="false" ht="15" hidden="false" customHeight="false" outlineLevel="0" collapsed="false">
      <c r="A3648" s="0" t="n">
        <v>20043</v>
      </c>
      <c r="B3648" s="0" t="s">
        <v>2171</v>
      </c>
      <c r="C3648" s="0" t="s">
        <v>31</v>
      </c>
      <c r="D3648" s="0" t="s">
        <v>3671</v>
      </c>
      <c r="E3648" s="0" t="n">
        <v>9.54</v>
      </c>
    </row>
    <row r="3649" customFormat="false" ht="15" hidden="false" customHeight="false" outlineLevel="0" collapsed="false">
      <c r="A3649" s="0" t="n">
        <v>20044</v>
      </c>
      <c r="B3649" s="0" t="s">
        <v>2173</v>
      </c>
      <c r="C3649" s="0" t="s">
        <v>31</v>
      </c>
      <c r="D3649" s="0" t="s">
        <v>3671</v>
      </c>
      <c r="E3649" s="0" t="n">
        <v>11.06</v>
      </c>
    </row>
    <row r="3650" customFormat="false" ht="15" hidden="false" customHeight="false" outlineLevel="0" collapsed="false">
      <c r="A3650" s="0" t="n">
        <v>20042</v>
      </c>
      <c r="B3650" s="0" t="s">
        <v>6826</v>
      </c>
      <c r="C3650" s="0" t="s">
        <v>31</v>
      </c>
      <c r="D3650" s="0" t="s">
        <v>3671</v>
      </c>
      <c r="E3650" s="0" t="n">
        <v>8.27</v>
      </c>
    </row>
    <row r="3651" customFormat="false" ht="15" hidden="false" customHeight="false" outlineLevel="0" collapsed="false">
      <c r="A3651" s="0" t="n">
        <v>20046</v>
      </c>
      <c r="B3651" s="0" t="s">
        <v>2249</v>
      </c>
      <c r="C3651" s="0" t="s">
        <v>31</v>
      </c>
      <c r="D3651" s="0" t="s">
        <v>3671</v>
      </c>
      <c r="E3651" s="0" t="n">
        <v>19.58</v>
      </c>
    </row>
    <row r="3652" customFormat="false" ht="15" hidden="false" customHeight="false" outlineLevel="0" collapsed="false">
      <c r="A3652" s="0" t="n">
        <v>20047</v>
      </c>
      <c r="B3652" s="0" t="s">
        <v>2251</v>
      </c>
      <c r="C3652" s="0" t="s">
        <v>31</v>
      </c>
      <c r="D3652" s="0" t="s">
        <v>3671</v>
      </c>
      <c r="E3652" s="0" t="n">
        <v>58.72</v>
      </c>
    </row>
    <row r="3653" customFormat="false" ht="15" hidden="false" customHeight="false" outlineLevel="0" collapsed="false">
      <c r="A3653" s="0" t="n">
        <v>20045</v>
      </c>
      <c r="B3653" s="0" t="s">
        <v>2264</v>
      </c>
      <c r="C3653" s="0" t="s">
        <v>31</v>
      </c>
      <c r="D3653" s="0" t="s">
        <v>3671</v>
      </c>
      <c r="E3653" s="0" t="n">
        <v>9.91</v>
      </c>
    </row>
    <row r="3654" customFormat="false" ht="15" hidden="false" customHeight="false" outlineLevel="0" collapsed="false">
      <c r="A3654" s="0" t="n">
        <v>20972</v>
      </c>
      <c r="B3654" s="0" t="s">
        <v>6827</v>
      </c>
      <c r="C3654" s="0" t="s">
        <v>31</v>
      </c>
      <c r="D3654" s="0" t="s">
        <v>3671</v>
      </c>
    </row>
    <row r="3655" customFormat="false" ht="15" hidden="false" customHeight="false" outlineLevel="0" collapsed="false">
      <c r="A3655" s="0" t="n">
        <v>11321</v>
      </c>
      <c r="B3655" s="0" t="s">
        <v>6828</v>
      </c>
      <c r="C3655" s="0" t="s">
        <v>31</v>
      </c>
      <c r="D3655" s="0" t="s">
        <v>3671</v>
      </c>
    </row>
    <row r="3656" customFormat="false" ht="15" hidden="false" customHeight="false" outlineLevel="0" collapsed="false">
      <c r="A3656" s="0" t="n">
        <v>11323</v>
      </c>
      <c r="B3656" s="0" t="s">
        <v>6829</v>
      </c>
      <c r="C3656" s="0" t="s">
        <v>31</v>
      </c>
      <c r="D3656" s="0" t="s">
        <v>3671</v>
      </c>
    </row>
    <row r="3657" customFormat="false" ht="15" hidden="false" customHeight="false" outlineLevel="0" collapsed="false">
      <c r="A3657" s="0" t="n">
        <v>20327</v>
      </c>
      <c r="B3657" s="0" t="s">
        <v>6830</v>
      </c>
      <c r="C3657" s="0" t="s">
        <v>31</v>
      </c>
      <c r="D3657" s="0" t="s">
        <v>3671</v>
      </c>
    </row>
    <row r="3658" customFormat="false" ht="15" hidden="false" customHeight="false" outlineLevel="0" collapsed="false">
      <c r="A3658" s="0" t="n">
        <v>6034</v>
      </c>
      <c r="B3658" s="0" t="s">
        <v>6831</v>
      </c>
      <c r="C3658" s="0" t="s">
        <v>31</v>
      </c>
      <c r="D3658" s="0" t="s">
        <v>3671</v>
      </c>
      <c r="E3658" s="0" t="n">
        <v>7.5</v>
      </c>
    </row>
    <row r="3659" customFormat="false" ht="15" hidden="false" customHeight="false" outlineLevel="0" collapsed="false">
      <c r="A3659" s="0" t="n">
        <v>6036</v>
      </c>
      <c r="B3659" s="0" t="s">
        <v>6832</v>
      </c>
      <c r="C3659" s="0" t="s">
        <v>31</v>
      </c>
      <c r="D3659" s="0" t="s">
        <v>3671</v>
      </c>
      <c r="E3659" s="0" t="n">
        <v>10.21</v>
      </c>
    </row>
    <row r="3660" customFormat="false" ht="15" hidden="false" customHeight="false" outlineLevel="0" collapsed="false">
      <c r="A3660" s="0" t="n">
        <v>6031</v>
      </c>
      <c r="B3660" s="0" t="s">
        <v>2088</v>
      </c>
      <c r="C3660" s="0" t="s">
        <v>31</v>
      </c>
      <c r="D3660" s="0" t="s">
        <v>3676</v>
      </c>
      <c r="E3660" s="0" t="n">
        <v>12</v>
      </c>
    </row>
    <row r="3661" customFormat="false" ht="15" hidden="false" customHeight="false" outlineLevel="0" collapsed="false">
      <c r="A3661" s="0" t="n">
        <v>6029</v>
      </c>
      <c r="B3661" s="0" t="s">
        <v>6833</v>
      </c>
      <c r="C3661" s="0" t="s">
        <v>31</v>
      </c>
      <c r="D3661" s="0" t="s">
        <v>3671</v>
      </c>
      <c r="E3661" s="0" t="n">
        <v>12.12</v>
      </c>
    </row>
    <row r="3662" customFormat="false" ht="15" hidden="false" customHeight="false" outlineLevel="0" collapsed="false">
      <c r="A3662" s="0" t="n">
        <v>6033</v>
      </c>
      <c r="B3662" s="0" t="s">
        <v>6834</v>
      </c>
      <c r="C3662" s="0" t="s">
        <v>31</v>
      </c>
      <c r="D3662" s="0" t="s">
        <v>3671</v>
      </c>
      <c r="E3662" s="0" t="n">
        <v>15.98</v>
      </c>
    </row>
    <row r="3663" customFormat="false" ht="15" hidden="false" customHeight="false" outlineLevel="0" collapsed="false">
      <c r="A3663" s="0" t="n">
        <v>11672</v>
      </c>
      <c r="B3663" s="0" t="s">
        <v>6835</v>
      </c>
      <c r="C3663" s="0" t="s">
        <v>31</v>
      </c>
      <c r="D3663" s="0" t="s">
        <v>3671</v>
      </c>
      <c r="E3663" s="0" t="n">
        <v>34.77</v>
      </c>
    </row>
    <row r="3664" customFormat="false" ht="15" hidden="false" customHeight="false" outlineLevel="0" collapsed="false">
      <c r="A3664" s="0" t="n">
        <v>11669</v>
      </c>
      <c r="B3664" s="0" t="s">
        <v>6836</v>
      </c>
      <c r="C3664" s="0" t="s">
        <v>31</v>
      </c>
      <c r="D3664" s="0" t="s">
        <v>3671</v>
      </c>
      <c r="E3664" s="0" t="n">
        <v>33.11</v>
      </c>
    </row>
    <row r="3665" customFormat="false" ht="15" hidden="false" customHeight="false" outlineLevel="0" collapsed="false">
      <c r="A3665" s="0" t="n">
        <v>20055</v>
      </c>
      <c r="B3665" s="0" t="s">
        <v>6837</v>
      </c>
      <c r="C3665" s="0" t="s">
        <v>31</v>
      </c>
      <c r="D3665" s="0" t="s">
        <v>3671</v>
      </c>
      <c r="E3665" s="0" t="n">
        <v>24.8</v>
      </c>
    </row>
    <row r="3666" customFormat="false" ht="15" hidden="false" customHeight="false" outlineLevel="0" collapsed="false">
      <c r="A3666" s="0" t="n">
        <v>11670</v>
      </c>
      <c r="B3666" s="0" t="s">
        <v>6838</v>
      </c>
      <c r="C3666" s="0" t="s">
        <v>31</v>
      </c>
      <c r="D3666" s="0" t="s">
        <v>3671</v>
      </c>
      <c r="E3666" s="0" t="n">
        <v>12.68</v>
      </c>
    </row>
    <row r="3667" customFormat="false" ht="15" hidden="false" customHeight="false" outlineLevel="0" collapsed="false">
      <c r="A3667" s="0" t="n">
        <v>11671</v>
      </c>
      <c r="B3667" s="0" t="s">
        <v>6839</v>
      </c>
      <c r="C3667" s="0" t="s">
        <v>31</v>
      </c>
      <c r="D3667" s="0" t="s">
        <v>3671</v>
      </c>
      <c r="E3667" s="0" t="n">
        <v>53.21</v>
      </c>
    </row>
    <row r="3668" customFormat="false" ht="15" hidden="false" customHeight="false" outlineLevel="0" collapsed="false">
      <c r="A3668" s="0" t="n">
        <v>6032</v>
      </c>
      <c r="B3668" s="0" t="s">
        <v>6840</v>
      </c>
      <c r="C3668" s="0" t="s">
        <v>31</v>
      </c>
      <c r="D3668" s="0" t="s">
        <v>3671</v>
      </c>
      <c r="E3668" s="0" t="n">
        <v>15.2</v>
      </c>
    </row>
    <row r="3669" customFormat="false" ht="15" hidden="false" customHeight="false" outlineLevel="0" collapsed="false">
      <c r="A3669" s="0" t="n">
        <v>11673</v>
      </c>
      <c r="B3669" s="0" t="s">
        <v>6841</v>
      </c>
      <c r="C3669" s="0" t="s">
        <v>31</v>
      </c>
      <c r="D3669" s="0" t="s">
        <v>3671</v>
      </c>
      <c r="E3669" s="0" t="n">
        <v>11.97</v>
      </c>
    </row>
    <row r="3670" customFormat="false" ht="15" hidden="false" customHeight="false" outlineLevel="0" collapsed="false">
      <c r="A3670" s="0" t="n">
        <v>11674</v>
      </c>
      <c r="B3670" s="0" t="s">
        <v>2094</v>
      </c>
      <c r="C3670" s="0" t="s">
        <v>31</v>
      </c>
      <c r="D3670" s="0" t="s">
        <v>3671</v>
      </c>
      <c r="E3670" s="0" t="n">
        <v>15.41</v>
      </c>
    </row>
    <row r="3671" customFormat="false" ht="15" hidden="false" customHeight="false" outlineLevel="0" collapsed="false">
      <c r="A3671" s="0" t="n">
        <v>11675</v>
      </c>
      <c r="B3671" s="0" t="s">
        <v>2276</v>
      </c>
      <c r="C3671" s="0" t="s">
        <v>31</v>
      </c>
      <c r="D3671" s="0" t="s">
        <v>3671</v>
      </c>
      <c r="E3671" s="0" t="n">
        <v>24.47</v>
      </c>
    </row>
    <row r="3672" customFormat="false" ht="15" hidden="false" customHeight="false" outlineLevel="0" collapsed="false">
      <c r="A3672" s="0" t="n">
        <v>11676</v>
      </c>
      <c r="B3672" s="0" t="s">
        <v>6842</v>
      </c>
      <c r="C3672" s="0" t="s">
        <v>31</v>
      </c>
      <c r="D3672" s="0" t="s">
        <v>3671</v>
      </c>
      <c r="E3672" s="0" t="n">
        <v>32.72</v>
      </c>
    </row>
    <row r="3673" customFormat="false" ht="15" hidden="false" customHeight="false" outlineLevel="0" collapsed="false">
      <c r="A3673" s="0" t="n">
        <v>11677</v>
      </c>
      <c r="B3673" s="0" t="s">
        <v>2278</v>
      </c>
      <c r="C3673" s="0" t="s">
        <v>31</v>
      </c>
      <c r="D3673" s="0" t="s">
        <v>3671</v>
      </c>
      <c r="E3673" s="0" t="n">
        <v>33.8</v>
      </c>
    </row>
    <row r="3674" customFormat="false" ht="15" hidden="false" customHeight="false" outlineLevel="0" collapsed="false">
      <c r="A3674" s="0" t="n">
        <v>11678</v>
      </c>
      <c r="B3674" s="0" t="s">
        <v>6843</v>
      </c>
      <c r="C3674" s="0" t="s">
        <v>31</v>
      </c>
      <c r="D3674" s="0" t="s">
        <v>3671</v>
      </c>
      <c r="E3674" s="0" t="n">
        <v>61.89</v>
      </c>
    </row>
    <row r="3675" customFormat="false" ht="15" hidden="false" customHeight="false" outlineLevel="0" collapsed="false">
      <c r="A3675" s="0" t="n">
        <v>6038</v>
      </c>
      <c r="B3675" s="0" t="s">
        <v>6844</v>
      </c>
      <c r="C3675" s="0" t="s">
        <v>31</v>
      </c>
      <c r="D3675" s="0" t="s">
        <v>3671</v>
      </c>
      <c r="E3675" s="0" t="n">
        <v>3.92</v>
      </c>
    </row>
    <row r="3676" customFormat="false" ht="15" hidden="false" customHeight="false" outlineLevel="0" collapsed="false">
      <c r="A3676" s="0" t="n">
        <v>11718</v>
      </c>
      <c r="B3676" s="0" t="s">
        <v>2086</v>
      </c>
      <c r="C3676" s="0" t="s">
        <v>31</v>
      </c>
      <c r="D3676" s="0" t="s">
        <v>3671</v>
      </c>
      <c r="E3676" s="0" t="n">
        <v>11.19</v>
      </c>
    </row>
    <row r="3677" customFormat="false" ht="15" hidden="false" customHeight="false" outlineLevel="0" collapsed="false">
      <c r="A3677" s="0" t="n">
        <v>6037</v>
      </c>
      <c r="B3677" s="0" t="s">
        <v>6845</v>
      </c>
      <c r="C3677" s="0" t="s">
        <v>31</v>
      </c>
      <c r="D3677" s="0" t="s">
        <v>3671</v>
      </c>
      <c r="E3677" s="0" t="n">
        <v>8.17</v>
      </c>
    </row>
    <row r="3678" customFormat="false" ht="15" hidden="false" customHeight="false" outlineLevel="0" collapsed="false">
      <c r="A3678" s="0" t="n">
        <v>11719</v>
      </c>
      <c r="B3678" s="0" t="s">
        <v>6846</v>
      </c>
      <c r="C3678" s="0" t="s">
        <v>31</v>
      </c>
      <c r="D3678" s="0" t="s">
        <v>3671</v>
      </c>
      <c r="E3678" s="0" t="n">
        <v>9.08</v>
      </c>
    </row>
    <row r="3679" customFormat="false" ht="15" hidden="false" customHeight="false" outlineLevel="0" collapsed="false">
      <c r="A3679" s="0" t="n">
        <v>6010</v>
      </c>
      <c r="B3679" s="0" t="s">
        <v>6847</v>
      </c>
      <c r="C3679" s="0" t="s">
        <v>31</v>
      </c>
      <c r="D3679" s="0" t="s">
        <v>3671</v>
      </c>
      <c r="E3679" s="0" t="n">
        <v>88.95</v>
      </c>
    </row>
    <row r="3680" customFormat="false" ht="15" hidden="false" customHeight="false" outlineLevel="0" collapsed="false">
      <c r="A3680" s="0" t="n">
        <v>6017</v>
      </c>
      <c r="B3680" s="0" t="s">
        <v>6848</v>
      </c>
      <c r="C3680" s="0" t="s">
        <v>31</v>
      </c>
      <c r="D3680" s="0" t="s">
        <v>3671</v>
      </c>
      <c r="E3680" s="0" t="n">
        <v>70.45</v>
      </c>
    </row>
    <row r="3681" customFormat="false" ht="15" hidden="false" customHeight="false" outlineLevel="0" collapsed="false">
      <c r="A3681" s="0" t="n">
        <v>6019</v>
      </c>
      <c r="B3681" s="0" t="s">
        <v>6849</v>
      </c>
      <c r="C3681" s="0" t="s">
        <v>31</v>
      </c>
      <c r="D3681" s="0" t="s">
        <v>3671</v>
      </c>
      <c r="E3681" s="0" t="n">
        <v>51.69</v>
      </c>
    </row>
    <row r="3682" customFormat="false" ht="15" hidden="false" customHeight="false" outlineLevel="0" collapsed="false">
      <c r="A3682" s="0" t="n">
        <v>6020</v>
      </c>
      <c r="B3682" s="0" t="s">
        <v>6850</v>
      </c>
      <c r="C3682" s="0" t="s">
        <v>31</v>
      </c>
      <c r="D3682" s="0" t="s">
        <v>3671</v>
      </c>
      <c r="E3682" s="0" t="n">
        <v>31.05</v>
      </c>
    </row>
    <row r="3683" customFormat="false" ht="15" hidden="false" customHeight="false" outlineLevel="0" collapsed="false">
      <c r="A3683" s="0" t="n">
        <v>6011</v>
      </c>
      <c r="B3683" s="0" t="s">
        <v>2272</v>
      </c>
      <c r="C3683" s="0" t="s">
        <v>31</v>
      </c>
      <c r="D3683" s="0" t="s">
        <v>3671</v>
      </c>
      <c r="E3683" s="0" t="n">
        <v>256.95</v>
      </c>
    </row>
    <row r="3684" customFormat="false" ht="15" hidden="false" customHeight="false" outlineLevel="0" collapsed="false">
      <c r="A3684" s="0" t="n">
        <v>6028</v>
      </c>
      <c r="B3684" s="0" t="s">
        <v>6851</v>
      </c>
      <c r="C3684" s="0" t="s">
        <v>31</v>
      </c>
      <c r="D3684" s="0" t="s">
        <v>3671</v>
      </c>
      <c r="E3684" s="0" t="n">
        <v>123.89</v>
      </c>
    </row>
    <row r="3685" customFormat="false" ht="15" hidden="false" customHeight="false" outlineLevel="0" collapsed="false">
      <c r="A3685" s="0" t="n">
        <v>6012</v>
      </c>
      <c r="B3685" s="0" t="s">
        <v>2698</v>
      </c>
      <c r="C3685" s="0" t="s">
        <v>31</v>
      </c>
      <c r="D3685" s="0" t="s">
        <v>3671</v>
      </c>
      <c r="E3685" s="0" t="n">
        <v>311.08</v>
      </c>
    </row>
    <row r="3686" customFormat="false" ht="15" hidden="false" customHeight="false" outlineLevel="0" collapsed="false">
      <c r="A3686" s="0" t="n">
        <v>6016</v>
      </c>
      <c r="B3686" s="0" t="s">
        <v>6852</v>
      </c>
      <c r="C3686" s="0" t="s">
        <v>31</v>
      </c>
      <c r="D3686" s="0" t="s">
        <v>3671</v>
      </c>
      <c r="E3686" s="0" t="n">
        <v>32.75</v>
      </c>
    </row>
    <row r="3687" customFormat="false" ht="15" hidden="false" customHeight="false" outlineLevel="0" collapsed="false">
      <c r="A3687" s="0" t="n">
        <v>6027</v>
      </c>
      <c r="B3687" s="0" t="s">
        <v>6853</v>
      </c>
      <c r="C3687" s="0" t="s">
        <v>31</v>
      </c>
      <c r="D3687" s="0" t="s">
        <v>3671</v>
      </c>
      <c r="E3687" s="0" t="n">
        <v>648.18</v>
      </c>
    </row>
    <row r="3688" customFormat="false" ht="15" hidden="false" customHeight="false" outlineLevel="0" collapsed="false">
      <c r="A3688" s="0" t="n">
        <v>6015</v>
      </c>
      <c r="B3688" s="0" t="s">
        <v>2274</v>
      </c>
      <c r="C3688" s="0" t="s">
        <v>31</v>
      </c>
      <c r="D3688" s="0" t="s">
        <v>3671</v>
      </c>
      <c r="E3688" s="0" t="n">
        <v>142.23</v>
      </c>
    </row>
    <row r="3689" customFormat="false" ht="15" hidden="false" customHeight="false" outlineLevel="0" collapsed="false">
      <c r="A3689" s="0" t="n">
        <v>6014</v>
      </c>
      <c r="B3689" s="0" t="s">
        <v>6854</v>
      </c>
      <c r="C3689" s="0" t="s">
        <v>31</v>
      </c>
      <c r="D3689" s="0" t="s">
        <v>3671</v>
      </c>
      <c r="E3689" s="0" t="n">
        <v>135.99</v>
      </c>
    </row>
    <row r="3690" customFormat="false" ht="15" hidden="false" customHeight="false" outlineLevel="0" collapsed="false">
      <c r="A3690" s="0" t="n">
        <v>6013</v>
      </c>
      <c r="B3690" s="0" t="s">
        <v>6855</v>
      </c>
      <c r="C3690" s="0" t="s">
        <v>31</v>
      </c>
      <c r="D3690" s="0" t="s">
        <v>3671</v>
      </c>
      <c r="E3690" s="0" t="n">
        <v>97.81</v>
      </c>
    </row>
    <row r="3691" customFormat="false" ht="15" hidden="false" customHeight="false" outlineLevel="0" collapsed="false">
      <c r="A3691" s="0" t="n">
        <v>6006</v>
      </c>
      <c r="B3691" s="0" t="s">
        <v>6856</v>
      </c>
      <c r="C3691" s="0" t="s">
        <v>31</v>
      </c>
      <c r="D3691" s="0" t="s">
        <v>3671</v>
      </c>
      <c r="E3691" s="0" t="n">
        <v>70.83</v>
      </c>
    </row>
    <row r="3692" customFormat="false" ht="15" hidden="false" customHeight="false" outlineLevel="0" collapsed="false">
      <c r="A3692" s="0" t="n">
        <v>6005</v>
      </c>
      <c r="B3692" s="0" t="s">
        <v>2090</v>
      </c>
      <c r="C3692" s="0" t="s">
        <v>31</v>
      </c>
      <c r="D3692" s="0" t="s">
        <v>3676</v>
      </c>
      <c r="E3692" s="0" t="n">
        <v>79.9</v>
      </c>
    </row>
    <row r="3693" customFormat="false" ht="15" hidden="false" customHeight="false" outlineLevel="0" collapsed="false">
      <c r="A3693" s="0" t="n">
        <v>11756</v>
      </c>
      <c r="B3693" s="0" t="s">
        <v>6857</v>
      </c>
      <c r="C3693" s="0" t="s">
        <v>31</v>
      </c>
      <c r="D3693" s="0" t="s">
        <v>3671</v>
      </c>
      <c r="E3693" s="0" t="n">
        <v>38.16</v>
      </c>
    </row>
    <row r="3694" customFormat="false" ht="15" hidden="false" customHeight="false" outlineLevel="0" collapsed="false">
      <c r="A3694" s="0" t="n">
        <v>10904</v>
      </c>
      <c r="B3694" s="0" t="s">
        <v>2675</v>
      </c>
      <c r="C3694" s="0" t="s">
        <v>31</v>
      </c>
      <c r="D3694" s="0" t="s">
        <v>3676</v>
      </c>
    </row>
    <row r="3695" customFormat="false" ht="15" hidden="false" customHeight="false" outlineLevel="0" collapsed="false">
      <c r="A3695" s="0" t="n">
        <v>11752</v>
      </c>
      <c r="B3695" s="0" t="s">
        <v>6858</v>
      </c>
      <c r="C3695" s="0" t="s">
        <v>31</v>
      </c>
      <c r="D3695" s="0" t="s">
        <v>3671</v>
      </c>
      <c r="E3695" s="0" t="n">
        <v>22</v>
      </c>
    </row>
    <row r="3696" customFormat="false" ht="15" hidden="false" customHeight="false" outlineLevel="0" collapsed="false">
      <c r="A3696" s="0" t="n">
        <v>11753</v>
      </c>
      <c r="B3696" s="0" t="s">
        <v>6859</v>
      </c>
      <c r="C3696" s="0" t="s">
        <v>31</v>
      </c>
      <c r="D3696" s="0" t="s">
        <v>3671</v>
      </c>
      <c r="E3696" s="0" t="n">
        <v>26.27</v>
      </c>
    </row>
    <row r="3697" customFormat="false" ht="15" hidden="false" customHeight="false" outlineLevel="0" collapsed="false">
      <c r="A3697" s="0" t="n">
        <v>6021</v>
      </c>
      <c r="B3697" s="0" t="s">
        <v>6860</v>
      </c>
      <c r="C3697" s="0" t="s">
        <v>31</v>
      </c>
      <c r="D3697" s="0" t="s">
        <v>3671</v>
      </c>
      <c r="E3697" s="0" t="n">
        <v>72.9</v>
      </c>
    </row>
    <row r="3698" customFormat="false" ht="15" hidden="false" customHeight="false" outlineLevel="0" collapsed="false">
      <c r="A3698" s="0" t="n">
        <v>6024</v>
      </c>
      <c r="B3698" s="0" t="s">
        <v>6861</v>
      </c>
      <c r="C3698" s="0" t="s">
        <v>31</v>
      </c>
      <c r="D3698" s="0" t="s">
        <v>3671</v>
      </c>
      <c r="E3698" s="0" t="n">
        <v>75.36</v>
      </c>
    </row>
    <row r="3699" customFormat="false" ht="15" hidden="false" customHeight="false" outlineLevel="0" collapsed="false">
      <c r="A3699" s="0" t="n">
        <v>38379</v>
      </c>
      <c r="B3699" s="0" t="s">
        <v>6862</v>
      </c>
      <c r="C3699" s="0" t="s">
        <v>1455</v>
      </c>
      <c r="D3699" s="0" t="s">
        <v>3671</v>
      </c>
      <c r="E3699" s="0" t="n">
        <v>61.39</v>
      </c>
    </row>
    <row r="3700" customFormat="false" ht="15" hidden="false" customHeight="false" outlineLevel="0" collapsed="false">
      <c r="A3700" s="0" t="n">
        <v>13897</v>
      </c>
      <c r="B3700" s="0" t="s">
        <v>6863</v>
      </c>
      <c r="C3700" s="0" t="s">
        <v>31</v>
      </c>
      <c r="D3700" s="0" t="s">
        <v>3671</v>
      </c>
    </row>
    <row r="3701" customFormat="false" ht="15" hidden="false" customHeight="false" outlineLevel="0" collapsed="false">
      <c r="A3701" s="0" t="n">
        <v>10640</v>
      </c>
      <c r="B3701" s="0" t="s">
        <v>6864</v>
      </c>
      <c r="C3701" s="0" t="s">
        <v>31</v>
      </c>
      <c r="D3701" s="0" t="s">
        <v>3671</v>
      </c>
    </row>
    <row r="3702" customFormat="false" ht="15" hidden="false" customHeight="false" outlineLevel="0" collapsed="false">
      <c r="A3702" s="0" t="n">
        <v>34357</v>
      </c>
      <c r="B3702" s="0" t="s">
        <v>1938</v>
      </c>
      <c r="C3702" s="0" t="s">
        <v>1513</v>
      </c>
      <c r="D3702" s="0" t="s">
        <v>3671</v>
      </c>
      <c r="E3702" s="0" t="n">
        <v>4.69</v>
      </c>
    </row>
    <row r="3703" customFormat="false" ht="15" hidden="false" customHeight="false" outlineLevel="0" collapsed="false">
      <c r="A3703" s="0" t="n">
        <v>37329</v>
      </c>
      <c r="B3703" s="0" t="s">
        <v>2018</v>
      </c>
      <c r="C3703" s="0" t="s">
        <v>1513</v>
      </c>
      <c r="D3703" s="0" t="s">
        <v>3671</v>
      </c>
      <c r="E3703" s="0" t="n">
        <v>98.93</v>
      </c>
    </row>
    <row r="3704" customFormat="false" ht="15" hidden="false" customHeight="false" outlineLevel="0" collapsed="false">
      <c r="A3704" s="0" t="n">
        <v>2510</v>
      </c>
      <c r="B3704" s="0" t="s">
        <v>6865</v>
      </c>
      <c r="C3704" s="0" t="s">
        <v>31</v>
      </c>
      <c r="D3704" s="0" t="s">
        <v>3671</v>
      </c>
    </row>
    <row r="3705" customFormat="false" ht="15" hidden="false" customHeight="false" outlineLevel="0" collapsed="false">
      <c r="A3705" s="0" t="n">
        <v>12359</v>
      </c>
      <c r="B3705" s="0" t="s">
        <v>6866</v>
      </c>
      <c r="C3705" s="0" t="s">
        <v>31</v>
      </c>
      <c r="D3705" s="0" t="s">
        <v>3671</v>
      </c>
      <c r="E3705" s="0" t="n">
        <v>90.25</v>
      </c>
    </row>
    <row r="3706" customFormat="false" ht="15" hidden="false" customHeight="false" outlineLevel="0" collapsed="false">
      <c r="A3706" s="0" t="n">
        <v>7353</v>
      </c>
      <c r="B3706" s="0" t="s">
        <v>6867</v>
      </c>
      <c r="C3706" s="0" t="s">
        <v>1452</v>
      </c>
      <c r="D3706" s="0" t="s">
        <v>3671</v>
      </c>
      <c r="E3706" s="0" t="n">
        <v>35</v>
      </c>
    </row>
    <row r="3707" customFormat="false" ht="15" hidden="false" customHeight="false" outlineLevel="0" collapsed="false">
      <c r="A3707" s="0" t="n">
        <v>36144</v>
      </c>
      <c r="B3707" s="0" t="s">
        <v>6868</v>
      </c>
      <c r="C3707" s="0" t="s">
        <v>31</v>
      </c>
      <c r="D3707" s="0" t="s">
        <v>3671</v>
      </c>
      <c r="E3707" s="0" t="n">
        <v>1.46</v>
      </c>
    </row>
    <row r="3708" customFormat="false" ht="15" hidden="false" customHeight="false" outlineLevel="0" collapsed="false">
      <c r="A3708" s="0" t="n">
        <v>10518</v>
      </c>
      <c r="B3708" s="0" t="s">
        <v>6869</v>
      </c>
      <c r="C3708" s="0" t="s">
        <v>31</v>
      </c>
      <c r="D3708" s="0" t="s">
        <v>3671</v>
      </c>
    </row>
    <row r="3709" customFormat="false" ht="15" hidden="false" customHeight="false" outlineLevel="0" collapsed="false">
      <c r="A3709" s="0" t="n">
        <v>36530</v>
      </c>
      <c r="B3709" s="0" t="s">
        <v>6870</v>
      </c>
      <c r="C3709" s="0" t="s">
        <v>31</v>
      </c>
      <c r="D3709" s="0" t="s">
        <v>3671</v>
      </c>
    </row>
    <row r="3710" customFormat="false" ht="15" hidden="false" customHeight="false" outlineLevel="0" collapsed="false">
      <c r="A3710" s="0" t="n">
        <v>6046</v>
      </c>
      <c r="B3710" s="0" t="s">
        <v>6871</v>
      </c>
      <c r="C3710" s="0" t="s">
        <v>31</v>
      </c>
      <c r="D3710" s="0" t="s">
        <v>3676</v>
      </c>
    </row>
    <row r="3711" customFormat="false" ht="15" hidden="false" customHeight="false" outlineLevel="0" collapsed="false">
      <c r="A3711" s="0" t="n">
        <v>36531</v>
      </c>
      <c r="B3711" s="0" t="s">
        <v>1493</v>
      </c>
      <c r="C3711" s="0" t="s">
        <v>31</v>
      </c>
      <c r="D3711" s="0" t="s">
        <v>3671</v>
      </c>
    </row>
    <row r="3712" customFormat="false" ht="15" hidden="false" customHeight="false" outlineLevel="0" collapsed="false">
      <c r="A3712" s="0" t="n">
        <v>34684</v>
      </c>
      <c r="B3712" s="0" t="s">
        <v>6872</v>
      </c>
      <c r="C3712" s="0" t="s">
        <v>1477</v>
      </c>
      <c r="D3712" s="0" t="s">
        <v>3671</v>
      </c>
    </row>
    <row r="3713" customFormat="false" ht="15" hidden="false" customHeight="false" outlineLevel="0" collapsed="false">
      <c r="A3713" s="0" t="n">
        <v>34683</v>
      </c>
      <c r="B3713" s="0" t="s">
        <v>6873</v>
      </c>
      <c r="C3713" s="0" t="s">
        <v>1477</v>
      </c>
      <c r="D3713" s="0" t="s">
        <v>3671</v>
      </c>
    </row>
    <row r="3714" customFormat="false" ht="15" hidden="false" customHeight="false" outlineLevel="0" collapsed="false">
      <c r="A3714" s="0" t="n">
        <v>44954</v>
      </c>
      <c r="B3714" s="0" t="s">
        <v>6874</v>
      </c>
      <c r="C3714" s="0" t="s">
        <v>1477</v>
      </c>
      <c r="D3714" s="0" t="s">
        <v>3671</v>
      </c>
      <c r="E3714" s="0" t="n">
        <v>106.29</v>
      </c>
    </row>
    <row r="3715" customFormat="false" ht="15" hidden="false" customHeight="false" outlineLevel="0" collapsed="false">
      <c r="A3715" s="0" t="n">
        <v>44955</v>
      </c>
      <c r="B3715" s="0" t="s">
        <v>6875</v>
      </c>
      <c r="C3715" s="0" t="s">
        <v>1477</v>
      </c>
      <c r="D3715" s="0" t="s">
        <v>3671</v>
      </c>
      <c r="E3715" s="0" t="n">
        <v>155.32</v>
      </c>
    </row>
    <row r="3716" customFormat="false" ht="15" hidden="false" customHeight="false" outlineLevel="0" collapsed="false">
      <c r="A3716" s="0" t="n">
        <v>10515</v>
      </c>
      <c r="B3716" s="0" t="s">
        <v>1968</v>
      </c>
      <c r="C3716" s="0" t="s">
        <v>1477</v>
      </c>
      <c r="D3716" s="0" t="s">
        <v>3671</v>
      </c>
      <c r="E3716" s="0" t="n">
        <v>52.76</v>
      </c>
    </row>
    <row r="3717" customFormat="false" ht="15" hidden="false" customHeight="false" outlineLevel="0" collapsed="false">
      <c r="A3717" s="0" t="n">
        <v>153</v>
      </c>
      <c r="B3717" s="0" t="s">
        <v>6876</v>
      </c>
      <c r="C3717" s="0" t="s">
        <v>1452</v>
      </c>
      <c r="D3717" s="0" t="s">
        <v>3671</v>
      </c>
      <c r="E3717" s="0" t="n">
        <v>91.58</v>
      </c>
    </row>
    <row r="3718" customFormat="false" ht="15" hidden="false" customHeight="false" outlineLevel="0" collapsed="false">
      <c r="A3718" s="0" t="n">
        <v>34682</v>
      </c>
      <c r="B3718" s="0" t="s">
        <v>6877</v>
      </c>
      <c r="C3718" s="0" t="s">
        <v>1477</v>
      </c>
      <c r="D3718" s="0" t="s">
        <v>3671</v>
      </c>
    </row>
    <row r="3719" customFormat="false" ht="15" hidden="false" customHeight="false" outlineLevel="0" collapsed="false">
      <c r="A3719" s="0" t="n">
        <v>536</v>
      </c>
      <c r="B3719" s="0" t="s">
        <v>1970</v>
      </c>
      <c r="C3719" s="0" t="s">
        <v>1477</v>
      </c>
      <c r="D3719" s="0" t="s">
        <v>3671</v>
      </c>
      <c r="E3719" s="0" t="n">
        <v>29.72</v>
      </c>
    </row>
    <row r="3720" customFormat="false" ht="15" hidden="false" customHeight="false" outlineLevel="0" collapsed="false">
      <c r="A3720" s="0" t="n">
        <v>20205</v>
      </c>
      <c r="B3720" s="0" t="s">
        <v>6878</v>
      </c>
      <c r="C3720" s="0" t="s">
        <v>1455</v>
      </c>
      <c r="D3720" s="0" t="s">
        <v>3671</v>
      </c>
      <c r="E3720" s="0" t="n">
        <v>2.8</v>
      </c>
    </row>
    <row r="3721" customFormat="false" ht="15" hidden="false" customHeight="false" outlineLevel="0" collapsed="false">
      <c r="A3721" s="0" t="n">
        <v>4412</v>
      </c>
      <c r="B3721" s="0" t="s">
        <v>6879</v>
      </c>
      <c r="C3721" s="0" t="s">
        <v>1455</v>
      </c>
      <c r="D3721" s="0" t="s">
        <v>3671</v>
      </c>
      <c r="E3721" s="0" t="n">
        <v>1.68</v>
      </c>
    </row>
    <row r="3722" customFormat="false" ht="15" hidden="false" customHeight="false" outlineLevel="0" collapsed="false">
      <c r="A3722" s="0" t="n">
        <v>4408</v>
      </c>
      <c r="B3722" s="0" t="s">
        <v>6880</v>
      </c>
      <c r="C3722" s="0" t="s">
        <v>1455</v>
      </c>
      <c r="D3722" s="0" t="s">
        <v>3671</v>
      </c>
      <c r="E3722" s="0" t="n">
        <v>2.09</v>
      </c>
    </row>
    <row r="3723" customFormat="false" ht="15" hidden="false" customHeight="false" outlineLevel="0" collapsed="false">
      <c r="A3723" s="0" t="n">
        <v>36250</v>
      </c>
      <c r="B3723" s="0" t="s">
        <v>6881</v>
      </c>
      <c r="C3723" s="0" t="s">
        <v>1455</v>
      </c>
      <c r="D3723" s="0" t="s">
        <v>3671</v>
      </c>
      <c r="E3723" s="0" t="n">
        <v>3.71</v>
      </c>
    </row>
    <row r="3724" customFormat="false" ht="15" hidden="false" customHeight="false" outlineLevel="0" collapsed="false">
      <c r="A3724" s="0" t="n">
        <v>10857</v>
      </c>
      <c r="B3724" s="0" t="s">
        <v>6882</v>
      </c>
      <c r="C3724" s="0" t="s">
        <v>1455</v>
      </c>
      <c r="D3724" s="0" t="s">
        <v>3671</v>
      </c>
    </row>
    <row r="3725" customFormat="false" ht="15" hidden="false" customHeight="false" outlineLevel="0" collapsed="false">
      <c r="A3725" s="0" t="n">
        <v>4803</v>
      </c>
      <c r="B3725" s="0" t="s">
        <v>6883</v>
      </c>
      <c r="C3725" s="0" t="s">
        <v>1455</v>
      </c>
      <c r="D3725" s="0" t="s">
        <v>3671</v>
      </c>
      <c r="E3725" s="0" t="n">
        <v>31.61</v>
      </c>
    </row>
    <row r="3726" customFormat="false" ht="15" hidden="false" customHeight="false" outlineLevel="0" collapsed="false">
      <c r="A3726" s="0" t="n">
        <v>6186</v>
      </c>
      <c r="B3726" s="0" t="s">
        <v>6884</v>
      </c>
      <c r="C3726" s="0" t="s">
        <v>1455</v>
      </c>
      <c r="D3726" s="0" t="s">
        <v>3671</v>
      </c>
      <c r="E3726" s="0" t="n">
        <v>13.88</v>
      </c>
    </row>
    <row r="3727" customFormat="false" ht="15" hidden="false" customHeight="false" outlineLevel="0" collapsed="false">
      <c r="A3727" s="0" t="n">
        <v>4829</v>
      </c>
      <c r="B3727" s="0" t="s">
        <v>6885</v>
      </c>
      <c r="C3727" s="0" t="s">
        <v>1455</v>
      </c>
      <c r="D3727" s="0" t="s">
        <v>3671</v>
      </c>
      <c r="E3727" s="0" t="n">
        <v>65.8</v>
      </c>
    </row>
    <row r="3728" customFormat="false" ht="15" hidden="false" customHeight="false" outlineLevel="0" collapsed="false">
      <c r="A3728" s="0" t="n">
        <v>39829</v>
      </c>
      <c r="B3728" s="0" t="s">
        <v>6886</v>
      </c>
      <c r="C3728" s="0" t="s">
        <v>1455</v>
      </c>
      <c r="D3728" s="0" t="s">
        <v>3676</v>
      </c>
    </row>
    <row r="3729" customFormat="false" ht="15" hidden="false" customHeight="false" outlineLevel="0" collapsed="false">
      <c r="A3729" s="0" t="n">
        <v>20231</v>
      </c>
      <c r="B3729" s="0" t="s">
        <v>2031</v>
      </c>
      <c r="C3729" s="0" t="s">
        <v>1455</v>
      </c>
      <c r="D3729" s="0" t="s">
        <v>3671</v>
      </c>
      <c r="E3729" s="0" t="n">
        <v>58.05</v>
      </c>
    </row>
    <row r="3730" customFormat="false" ht="15" hidden="false" customHeight="false" outlineLevel="0" collapsed="false">
      <c r="A3730" s="0" t="n">
        <v>4804</v>
      </c>
      <c r="B3730" s="0" t="s">
        <v>6887</v>
      </c>
      <c r="C3730" s="0" t="s">
        <v>1455</v>
      </c>
      <c r="D3730" s="0" t="s">
        <v>3671</v>
      </c>
      <c r="E3730" s="0" t="n">
        <v>24.27</v>
      </c>
    </row>
    <row r="3731" customFormat="false" ht="15" hidden="false" customHeight="false" outlineLevel="0" collapsed="false">
      <c r="A3731" s="0" t="n">
        <v>34680</v>
      </c>
      <c r="B3731" s="0" t="s">
        <v>6888</v>
      </c>
      <c r="C3731" s="0" t="s">
        <v>1455</v>
      </c>
      <c r="D3731" s="0" t="s">
        <v>3671</v>
      </c>
    </row>
    <row r="3732" customFormat="false" ht="15" hidden="false" customHeight="false" outlineLevel="0" collapsed="false">
      <c r="A3732" s="0" t="n">
        <v>11573</v>
      </c>
      <c r="B3732" s="0" t="s">
        <v>6889</v>
      </c>
      <c r="C3732" s="0" t="s">
        <v>31</v>
      </c>
      <c r="D3732" s="0" t="s">
        <v>3671</v>
      </c>
      <c r="E3732" s="0" t="n">
        <v>6.69</v>
      </c>
    </row>
    <row r="3733" customFormat="false" ht="15" hidden="false" customHeight="false" outlineLevel="0" collapsed="false">
      <c r="A3733" s="0" t="n">
        <v>38401</v>
      </c>
      <c r="B3733" s="0" t="s">
        <v>6890</v>
      </c>
      <c r="C3733" s="0" t="s">
        <v>31</v>
      </c>
      <c r="D3733" s="0" t="s">
        <v>3671</v>
      </c>
      <c r="E3733" s="0" t="n">
        <v>17.28</v>
      </c>
    </row>
    <row r="3734" customFormat="false" ht="15" hidden="false" customHeight="false" outlineLevel="0" collapsed="false">
      <c r="A3734" s="0" t="n">
        <v>11575</v>
      </c>
      <c r="B3734" s="0" t="s">
        <v>6891</v>
      </c>
      <c r="C3734" s="0" t="s">
        <v>31</v>
      </c>
      <c r="D3734" s="0" t="s">
        <v>3671</v>
      </c>
      <c r="E3734" s="0" t="n">
        <v>64.56</v>
      </c>
    </row>
    <row r="3735" customFormat="false" ht="15" hidden="false" customHeight="false" outlineLevel="0" collapsed="false">
      <c r="A3735" s="0" t="n">
        <v>38179</v>
      </c>
      <c r="B3735" s="0" t="s">
        <v>1856</v>
      </c>
      <c r="C3735" s="0" t="s">
        <v>31</v>
      </c>
      <c r="D3735" s="0" t="s">
        <v>3671</v>
      </c>
      <c r="E3735" s="0" t="n">
        <v>53.38</v>
      </c>
    </row>
    <row r="3736" customFormat="false" ht="15" hidden="false" customHeight="false" outlineLevel="0" collapsed="false">
      <c r="A3736" s="0" t="n">
        <v>20256</v>
      </c>
      <c r="B3736" s="0" t="s">
        <v>6892</v>
      </c>
      <c r="C3736" s="0" t="s">
        <v>31</v>
      </c>
      <c r="D3736" s="0" t="s">
        <v>3671</v>
      </c>
      <c r="E3736" s="0" t="n">
        <v>0.26</v>
      </c>
    </row>
    <row r="3737" customFormat="false" ht="15" hidden="false" customHeight="false" outlineLevel="0" collapsed="false">
      <c r="A3737" s="0" t="n">
        <v>14511</v>
      </c>
      <c r="B3737" s="0" t="s">
        <v>1506</v>
      </c>
      <c r="C3737" s="0" t="s">
        <v>31</v>
      </c>
      <c r="D3737" s="0" t="s">
        <v>3671</v>
      </c>
    </row>
    <row r="3738" customFormat="false" ht="15" hidden="false" customHeight="false" outlineLevel="0" collapsed="false">
      <c r="A3738" s="0" t="n">
        <v>10642</v>
      </c>
      <c r="B3738" s="0" t="s">
        <v>6893</v>
      </c>
      <c r="C3738" s="0" t="s">
        <v>31</v>
      </c>
      <c r="D3738" s="0" t="s">
        <v>3676</v>
      </c>
    </row>
    <row r="3739" customFormat="false" ht="15" hidden="false" customHeight="false" outlineLevel="0" collapsed="false">
      <c r="A3739" s="0" t="n">
        <v>14489</v>
      </c>
      <c r="B3739" s="0" t="s">
        <v>6894</v>
      </c>
      <c r="C3739" s="0" t="s">
        <v>31</v>
      </c>
      <c r="D3739" s="0" t="s">
        <v>3671</v>
      </c>
    </row>
    <row r="3740" customFormat="false" ht="15" hidden="false" customHeight="false" outlineLevel="0" collapsed="false">
      <c r="A3740" s="0" t="n">
        <v>14513</v>
      </c>
      <c r="B3740" s="0" t="s">
        <v>1500</v>
      </c>
      <c r="C3740" s="0" t="s">
        <v>31</v>
      </c>
      <c r="D3740" s="0" t="s">
        <v>3671</v>
      </c>
    </row>
    <row r="3741" customFormat="false" ht="15" hidden="false" customHeight="false" outlineLevel="0" collapsed="false">
      <c r="A3741" s="0" t="n">
        <v>13600</v>
      </c>
      <c r="B3741" s="0" t="s">
        <v>6895</v>
      </c>
      <c r="C3741" s="0" t="s">
        <v>31</v>
      </c>
      <c r="D3741" s="0" t="s">
        <v>3671</v>
      </c>
    </row>
    <row r="3742" customFormat="false" ht="15" hidden="false" customHeight="false" outlineLevel="0" collapsed="false">
      <c r="A3742" s="0" t="n">
        <v>10646</v>
      </c>
      <c r="B3742" s="0" t="s">
        <v>6896</v>
      </c>
      <c r="C3742" s="0" t="s">
        <v>31</v>
      </c>
      <c r="D3742" s="0" t="s">
        <v>3671</v>
      </c>
    </row>
    <row r="3743" customFormat="false" ht="15" hidden="false" customHeight="false" outlineLevel="0" collapsed="false">
      <c r="A3743" s="0" t="n">
        <v>6070</v>
      </c>
      <c r="B3743" s="0" t="s">
        <v>6897</v>
      </c>
      <c r="C3743" s="0" t="s">
        <v>31</v>
      </c>
      <c r="D3743" s="0" t="s">
        <v>3671</v>
      </c>
    </row>
    <row r="3744" customFormat="false" ht="15" hidden="false" customHeight="false" outlineLevel="0" collapsed="false">
      <c r="A3744" s="0" t="n">
        <v>6069</v>
      </c>
      <c r="B3744" s="0" t="s">
        <v>6898</v>
      </c>
      <c r="C3744" s="0" t="s">
        <v>31</v>
      </c>
      <c r="D3744" s="0" t="s">
        <v>3671</v>
      </c>
    </row>
    <row r="3745" customFormat="false" ht="15" hidden="false" customHeight="false" outlineLevel="0" collapsed="false">
      <c r="A3745" s="0" t="n">
        <v>14626</v>
      </c>
      <c r="B3745" s="0" t="s">
        <v>6899</v>
      </c>
      <c r="C3745" s="0" t="s">
        <v>31</v>
      </c>
      <c r="D3745" s="0" t="s">
        <v>3671</v>
      </c>
    </row>
    <row r="3746" customFormat="false" ht="15" hidden="false" customHeight="false" outlineLevel="0" collapsed="false">
      <c r="A3746" s="0" t="n">
        <v>6067</v>
      </c>
      <c r="B3746" s="0" t="s">
        <v>6900</v>
      </c>
      <c r="C3746" s="0" t="s">
        <v>31</v>
      </c>
      <c r="D3746" s="0" t="s">
        <v>3671</v>
      </c>
    </row>
    <row r="3747" customFormat="false" ht="15" hidden="false" customHeight="false" outlineLevel="0" collapsed="false">
      <c r="A3747" s="0" t="n">
        <v>38393</v>
      </c>
      <c r="B3747" s="0" t="s">
        <v>6901</v>
      </c>
      <c r="C3747" s="0" t="s">
        <v>31</v>
      </c>
      <c r="D3747" s="0" t="s">
        <v>3676</v>
      </c>
      <c r="E3747" s="0" t="n">
        <v>17.38</v>
      </c>
    </row>
    <row r="3748" customFormat="false" ht="15" hidden="false" customHeight="false" outlineLevel="0" collapsed="false">
      <c r="A3748" s="0" t="n">
        <v>38390</v>
      </c>
      <c r="B3748" s="0" t="s">
        <v>6902</v>
      </c>
      <c r="C3748" s="0" t="s">
        <v>31</v>
      </c>
      <c r="D3748" s="0" t="s">
        <v>3671</v>
      </c>
      <c r="E3748" s="0" t="n">
        <v>38.55</v>
      </c>
    </row>
    <row r="3749" customFormat="false" ht="15" hidden="false" customHeight="false" outlineLevel="0" collapsed="false">
      <c r="A3749" s="0" t="n">
        <v>11578</v>
      </c>
      <c r="B3749" s="0" t="s">
        <v>6903</v>
      </c>
      <c r="C3749" s="0" t="s">
        <v>31</v>
      </c>
      <c r="D3749" s="0" t="s">
        <v>3671</v>
      </c>
      <c r="E3749" s="0" t="n">
        <v>13.94</v>
      </c>
    </row>
    <row r="3750" customFormat="false" ht="15" hidden="false" customHeight="false" outlineLevel="0" collapsed="false">
      <c r="A3750" s="0" t="n">
        <v>11577</v>
      </c>
      <c r="B3750" s="0" t="s">
        <v>6904</v>
      </c>
      <c r="C3750" s="0" t="s">
        <v>31</v>
      </c>
      <c r="D3750" s="0" t="s">
        <v>3671</v>
      </c>
      <c r="E3750" s="0" t="n">
        <v>13.3</v>
      </c>
    </row>
    <row r="3751" customFormat="false" ht="15" hidden="false" customHeight="false" outlineLevel="0" collapsed="false">
      <c r="A3751" s="0" t="n">
        <v>42432</v>
      </c>
      <c r="B3751" s="0" t="s">
        <v>6905</v>
      </c>
      <c r="C3751" s="0" t="s">
        <v>31</v>
      </c>
      <c r="D3751" s="0" t="s">
        <v>3671</v>
      </c>
    </row>
    <row r="3752" customFormat="false" ht="15" hidden="false" customHeight="false" outlineLevel="0" collapsed="false">
      <c r="A3752" s="0" t="n">
        <v>42437</v>
      </c>
      <c r="B3752" s="0" t="s">
        <v>6906</v>
      </c>
      <c r="C3752" s="0" t="s">
        <v>31</v>
      </c>
      <c r="D3752" s="0" t="s">
        <v>3671</v>
      </c>
    </row>
    <row r="3753" customFormat="false" ht="15" hidden="false" customHeight="false" outlineLevel="0" collapsed="false">
      <c r="A3753" s="0" t="n">
        <v>1116</v>
      </c>
      <c r="B3753" s="0" t="s">
        <v>6907</v>
      </c>
      <c r="C3753" s="0" t="s">
        <v>1455</v>
      </c>
      <c r="D3753" s="0" t="s">
        <v>3671</v>
      </c>
    </row>
    <row r="3754" customFormat="false" ht="15" hidden="false" customHeight="false" outlineLevel="0" collapsed="false">
      <c r="A3754" s="0" t="n">
        <v>1115</v>
      </c>
      <c r="B3754" s="0" t="s">
        <v>6908</v>
      </c>
      <c r="C3754" s="0" t="s">
        <v>1455</v>
      </c>
      <c r="D3754" s="0" t="s">
        <v>3671</v>
      </c>
    </row>
    <row r="3755" customFormat="false" ht="15" hidden="false" customHeight="false" outlineLevel="0" collapsed="false">
      <c r="A3755" s="0" t="n">
        <v>1113</v>
      </c>
      <c r="B3755" s="0" t="s">
        <v>1905</v>
      </c>
      <c r="C3755" s="0" t="s">
        <v>1455</v>
      </c>
      <c r="D3755" s="0" t="s">
        <v>3671</v>
      </c>
    </row>
    <row r="3756" customFormat="false" ht="15" hidden="false" customHeight="false" outlineLevel="0" collapsed="false">
      <c r="A3756" s="0" t="n">
        <v>1114</v>
      </c>
      <c r="B3756" s="0" t="s">
        <v>6909</v>
      </c>
      <c r="C3756" s="0" t="s">
        <v>1455</v>
      </c>
      <c r="D3756" s="0" t="s">
        <v>3671</v>
      </c>
    </row>
    <row r="3757" customFormat="false" ht="15" hidden="false" customHeight="false" outlineLevel="0" collapsed="false">
      <c r="A3757" s="0" t="n">
        <v>40873</v>
      </c>
      <c r="B3757" s="0" t="s">
        <v>6910</v>
      </c>
      <c r="C3757" s="0" t="s">
        <v>1455</v>
      </c>
      <c r="D3757" s="0" t="s">
        <v>3671</v>
      </c>
    </row>
    <row r="3758" customFormat="false" ht="15" hidden="false" customHeight="false" outlineLevel="0" collapsed="false">
      <c r="A3758" s="0" t="n">
        <v>20214</v>
      </c>
      <c r="B3758" s="0" t="s">
        <v>6911</v>
      </c>
      <c r="C3758" s="0" t="s">
        <v>31</v>
      </c>
      <c r="D3758" s="0" t="s">
        <v>3671</v>
      </c>
      <c r="E3758" s="0" t="n">
        <v>58.82</v>
      </c>
    </row>
    <row r="3759" customFormat="false" ht="15" hidden="false" customHeight="false" outlineLevel="0" collapsed="false">
      <c r="A3759" s="0" t="n">
        <v>7237</v>
      </c>
      <c r="B3759" s="0" t="s">
        <v>6912</v>
      </c>
      <c r="C3759" s="0" t="s">
        <v>31</v>
      </c>
      <c r="D3759" s="0" t="s">
        <v>3671</v>
      </c>
      <c r="E3759" s="0" t="n">
        <v>57.58</v>
      </c>
    </row>
    <row r="3760" customFormat="false" ht="15" hidden="false" customHeight="false" outlineLevel="0" collapsed="false">
      <c r="A3760" s="0" t="n">
        <v>11757</v>
      </c>
      <c r="B3760" s="0" t="s">
        <v>6913</v>
      </c>
      <c r="C3760" s="0" t="s">
        <v>31</v>
      </c>
      <c r="D3760" s="0" t="s">
        <v>3676</v>
      </c>
      <c r="E3760" s="0" t="n">
        <v>23.5</v>
      </c>
    </row>
    <row r="3761" customFormat="false" ht="15" hidden="false" customHeight="false" outlineLevel="0" collapsed="false">
      <c r="A3761" s="0" t="n">
        <v>11758</v>
      </c>
      <c r="B3761" s="0" t="s">
        <v>2046</v>
      </c>
      <c r="C3761" s="0" t="s">
        <v>31</v>
      </c>
      <c r="D3761" s="0" t="s">
        <v>3676</v>
      </c>
      <c r="E3761" s="0" t="n">
        <v>96.4</v>
      </c>
    </row>
    <row r="3762" customFormat="false" ht="15" hidden="false" customHeight="false" outlineLevel="0" collapsed="false">
      <c r="A3762" s="0" t="n">
        <v>37526</v>
      </c>
      <c r="B3762" s="0" t="s">
        <v>6914</v>
      </c>
      <c r="C3762" s="0" t="s">
        <v>31</v>
      </c>
      <c r="D3762" s="0" t="s">
        <v>3671</v>
      </c>
      <c r="E3762" s="0" t="n">
        <v>4.92</v>
      </c>
    </row>
    <row r="3763" customFormat="false" ht="15" hidden="false" customHeight="false" outlineLevel="0" collapsed="false">
      <c r="A3763" s="0" t="n">
        <v>6076</v>
      </c>
      <c r="B3763" s="0" t="s">
        <v>6915</v>
      </c>
      <c r="C3763" s="0" t="s">
        <v>1442</v>
      </c>
      <c r="D3763" s="0" t="s">
        <v>3676</v>
      </c>
    </row>
    <row r="3764" customFormat="false" ht="15" hidden="false" customHeight="false" outlineLevel="0" collapsed="false">
      <c r="A3764" s="0" t="n">
        <v>13109</v>
      </c>
      <c r="B3764" s="0" t="s">
        <v>6916</v>
      </c>
      <c r="C3764" s="0" t="s">
        <v>31</v>
      </c>
      <c r="D3764" s="0" t="s">
        <v>3671</v>
      </c>
    </row>
    <row r="3765" customFormat="false" ht="15" hidden="false" customHeight="false" outlineLevel="0" collapsed="false">
      <c r="A3765" s="0" t="n">
        <v>13110</v>
      </c>
      <c r="B3765" s="0" t="s">
        <v>6917</v>
      </c>
      <c r="C3765" s="0" t="s">
        <v>31</v>
      </c>
      <c r="D3765" s="0" t="s">
        <v>3671</v>
      </c>
    </row>
    <row r="3766" customFormat="false" ht="15" hidden="false" customHeight="false" outlineLevel="0" collapsed="false">
      <c r="A3766" s="0" t="n">
        <v>7581</v>
      </c>
      <c r="B3766" s="0" t="s">
        <v>6918</v>
      </c>
      <c r="C3766" s="0" t="s">
        <v>31</v>
      </c>
      <c r="D3766" s="0" t="s">
        <v>3671</v>
      </c>
      <c r="E3766" s="0" t="n">
        <v>5.1</v>
      </c>
    </row>
    <row r="3767" customFormat="false" ht="15" hidden="false" customHeight="false" outlineLevel="0" collapsed="false">
      <c r="A3767" s="0" t="n">
        <v>4509</v>
      </c>
      <c r="B3767" s="0" t="s">
        <v>1515</v>
      </c>
      <c r="C3767" s="0" t="s">
        <v>1455</v>
      </c>
      <c r="D3767" s="0" t="s">
        <v>3671</v>
      </c>
      <c r="E3767" s="0" t="n">
        <v>5.2</v>
      </c>
    </row>
    <row r="3768" customFormat="false" ht="15" hidden="false" customHeight="false" outlineLevel="0" collapsed="false">
      <c r="A3768" s="0" t="n">
        <v>4512</v>
      </c>
      <c r="B3768" s="0" t="s">
        <v>6919</v>
      </c>
      <c r="C3768" s="0" t="s">
        <v>1455</v>
      </c>
      <c r="D3768" s="0" t="s">
        <v>3671</v>
      </c>
      <c r="E3768" s="0" t="n">
        <v>2.48</v>
      </c>
    </row>
    <row r="3769" customFormat="false" ht="15" hidden="false" customHeight="false" outlineLevel="0" collapsed="false">
      <c r="A3769" s="0" t="n">
        <v>4517</v>
      </c>
      <c r="B3769" s="0" t="s">
        <v>1582</v>
      </c>
      <c r="C3769" s="0" t="s">
        <v>1455</v>
      </c>
      <c r="D3769" s="0" t="s">
        <v>3671</v>
      </c>
      <c r="E3769" s="0" t="n">
        <v>3.58</v>
      </c>
    </row>
    <row r="3770" customFormat="false" ht="15" hidden="false" customHeight="false" outlineLevel="0" collapsed="false">
      <c r="A3770" s="0" t="n">
        <v>20206</v>
      </c>
      <c r="B3770" s="0" t="s">
        <v>6920</v>
      </c>
      <c r="C3770" s="0" t="s">
        <v>1455</v>
      </c>
      <c r="D3770" s="0" t="s">
        <v>3671</v>
      </c>
      <c r="E3770" s="0" t="n">
        <v>7.56</v>
      </c>
    </row>
    <row r="3771" customFormat="false" ht="15" hidden="false" customHeight="false" outlineLevel="0" collapsed="false">
      <c r="A3771" s="0" t="n">
        <v>4460</v>
      </c>
      <c r="B3771" s="0" t="s">
        <v>1807</v>
      </c>
      <c r="C3771" s="0" t="s">
        <v>1455</v>
      </c>
      <c r="D3771" s="0" t="s">
        <v>3671</v>
      </c>
      <c r="E3771" s="0" t="n">
        <v>7.76</v>
      </c>
    </row>
    <row r="3772" customFormat="false" ht="15" hidden="false" customHeight="false" outlineLevel="0" collapsed="false">
      <c r="A3772" s="0" t="n">
        <v>4415</v>
      </c>
      <c r="B3772" s="0" t="s">
        <v>1583</v>
      </c>
      <c r="C3772" s="0" t="s">
        <v>1455</v>
      </c>
      <c r="D3772" s="0" t="s">
        <v>3671</v>
      </c>
      <c r="E3772" s="0" t="n">
        <v>4.15</v>
      </c>
    </row>
    <row r="3773" customFormat="false" ht="15" hidden="false" customHeight="false" outlineLevel="0" collapsed="false">
      <c r="A3773" s="0" t="n">
        <v>4417</v>
      </c>
      <c r="B3773" s="0" t="s">
        <v>1594</v>
      </c>
      <c r="C3773" s="0" t="s">
        <v>1455</v>
      </c>
      <c r="D3773" s="0" t="s">
        <v>3671</v>
      </c>
      <c r="E3773" s="0" t="n">
        <v>5.98</v>
      </c>
    </row>
    <row r="3774" customFormat="false" ht="15" hidden="false" customHeight="false" outlineLevel="0" collapsed="false">
      <c r="A3774" s="0" t="n">
        <v>37373</v>
      </c>
      <c r="B3774" s="0" t="s">
        <v>1448</v>
      </c>
      <c r="C3774" s="0" t="s">
        <v>1444</v>
      </c>
      <c r="D3774" s="0" t="s">
        <v>3676</v>
      </c>
      <c r="E3774" s="0" t="n">
        <v>0.08</v>
      </c>
    </row>
    <row r="3775" customFormat="false" ht="15" hidden="false" customHeight="false" outlineLevel="0" collapsed="false">
      <c r="A3775" s="0" t="n">
        <v>40864</v>
      </c>
      <c r="B3775" s="0" t="s">
        <v>1420</v>
      </c>
      <c r="C3775" s="0" t="s">
        <v>1416</v>
      </c>
      <c r="D3775" s="0" t="s">
        <v>3676</v>
      </c>
      <c r="E3775" s="0" t="n">
        <v>15.46</v>
      </c>
    </row>
    <row r="3776" customFormat="false" ht="15" hidden="false" customHeight="false" outlineLevel="0" collapsed="false">
      <c r="A3776" s="0" t="n">
        <v>4734</v>
      </c>
      <c r="B3776" s="0" t="s">
        <v>6921</v>
      </c>
      <c r="C3776" s="0" t="s">
        <v>1442</v>
      </c>
      <c r="D3776" s="0" t="s">
        <v>3671</v>
      </c>
      <c r="E3776" s="0" t="n">
        <v>380.34</v>
      </c>
    </row>
    <row r="3777" customFormat="false" ht="15" hidden="false" customHeight="false" outlineLevel="0" collapsed="false">
      <c r="A3777" s="0" t="n">
        <v>6085</v>
      </c>
      <c r="B3777" s="0" t="s">
        <v>1972</v>
      </c>
      <c r="C3777" s="0" t="s">
        <v>1452</v>
      </c>
      <c r="D3777" s="0" t="s">
        <v>3676</v>
      </c>
      <c r="E3777" s="0" t="n">
        <v>11.6</v>
      </c>
    </row>
    <row r="3778" customFormat="false" ht="15" hidden="false" customHeight="false" outlineLevel="0" collapsed="false">
      <c r="A3778" s="0" t="n">
        <v>38396</v>
      </c>
      <c r="B3778" s="0" t="s">
        <v>6922</v>
      </c>
      <c r="C3778" s="0" t="s">
        <v>31</v>
      </c>
      <c r="D3778" s="0" t="s">
        <v>3671</v>
      </c>
      <c r="E3778" s="0" t="n">
        <v>518.04</v>
      </c>
    </row>
    <row r="3779" customFormat="false" ht="15" hidden="false" customHeight="false" outlineLevel="0" collapsed="false">
      <c r="A3779" s="0" t="n">
        <v>11622</v>
      </c>
      <c r="B3779" s="0" t="s">
        <v>6923</v>
      </c>
      <c r="C3779" s="0" t="s">
        <v>1513</v>
      </c>
      <c r="D3779" s="0" t="s">
        <v>3671</v>
      </c>
      <c r="E3779" s="0" t="n">
        <v>69.01</v>
      </c>
    </row>
    <row r="3780" customFormat="false" ht="15" hidden="false" customHeight="false" outlineLevel="0" collapsed="false">
      <c r="A3780" s="0" t="n">
        <v>43143</v>
      </c>
      <c r="B3780" s="0" t="s">
        <v>6924</v>
      </c>
      <c r="C3780" s="0" t="s">
        <v>1452</v>
      </c>
      <c r="D3780" s="0" t="s">
        <v>3671</v>
      </c>
      <c r="E3780" s="0" t="n">
        <v>26.06</v>
      </c>
    </row>
    <row r="3781" customFormat="false" ht="15" hidden="false" customHeight="false" outlineLevel="0" collapsed="false">
      <c r="A3781" s="0" t="n">
        <v>7317</v>
      </c>
      <c r="B3781" s="0" t="s">
        <v>6925</v>
      </c>
      <c r="C3781" s="0" t="s">
        <v>1513</v>
      </c>
      <c r="D3781" s="0" t="s">
        <v>3671</v>
      </c>
      <c r="E3781" s="0" t="n">
        <v>35.13</v>
      </c>
    </row>
    <row r="3782" customFormat="false" ht="15" hidden="false" customHeight="false" outlineLevel="0" collapsed="false">
      <c r="A3782" s="0" t="n">
        <v>142</v>
      </c>
      <c r="B3782" s="0" t="s">
        <v>1870</v>
      </c>
      <c r="C3782" s="0" t="s">
        <v>1871</v>
      </c>
      <c r="D3782" s="0" t="s">
        <v>3671</v>
      </c>
      <c r="E3782" s="0" t="n">
        <v>32.56</v>
      </c>
    </row>
    <row r="3783" customFormat="false" ht="15" hidden="false" customHeight="false" outlineLevel="0" collapsed="false">
      <c r="A3783" s="0" t="n">
        <v>43142</v>
      </c>
      <c r="B3783" s="0" t="s">
        <v>1713</v>
      </c>
      <c r="C3783" s="0" t="s">
        <v>1452</v>
      </c>
      <c r="D3783" s="0" t="s">
        <v>3671</v>
      </c>
      <c r="E3783" s="0" t="n">
        <v>147.91</v>
      </c>
    </row>
    <row r="3784" customFormat="false" ht="15" hidden="false" customHeight="false" outlineLevel="0" collapsed="false">
      <c r="A3784" s="0" t="n">
        <v>38123</v>
      </c>
      <c r="B3784" s="0" t="s">
        <v>6926</v>
      </c>
      <c r="C3784" s="0" t="s">
        <v>1513</v>
      </c>
      <c r="D3784" s="0" t="s">
        <v>3671</v>
      </c>
      <c r="E3784" s="0" t="n">
        <v>73.33</v>
      </c>
    </row>
    <row r="3785" customFormat="false" ht="15" hidden="false" customHeight="false" outlineLevel="0" collapsed="false">
      <c r="A3785" s="0" t="n">
        <v>42699</v>
      </c>
      <c r="B3785" s="0" t="s">
        <v>6927</v>
      </c>
      <c r="C3785" s="0" t="s">
        <v>31</v>
      </c>
      <c r="D3785" s="0" t="s">
        <v>3671</v>
      </c>
      <c r="E3785" s="0" t="n">
        <v>34.31</v>
      </c>
    </row>
    <row r="3786" customFormat="false" ht="15" hidden="false" customHeight="false" outlineLevel="0" collapsed="false">
      <c r="A3786" s="0" t="n">
        <v>37743</v>
      </c>
      <c r="B3786" s="0" t="s">
        <v>6928</v>
      </c>
      <c r="C3786" s="0" t="s">
        <v>31</v>
      </c>
      <c r="D3786" s="0" t="s">
        <v>3671</v>
      </c>
    </row>
    <row r="3787" customFormat="false" ht="15" hidden="false" customHeight="false" outlineLevel="0" collapsed="false">
      <c r="A3787" s="0" t="n">
        <v>37744</v>
      </c>
      <c r="B3787" s="0" t="s">
        <v>1497</v>
      </c>
      <c r="C3787" s="0" t="s">
        <v>31</v>
      </c>
      <c r="D3787" s="0" t="s">
        <v>3671</v>
      </c>
    </row>
    <row r="3788" customFormat="false" ht="15" hidden="false" customHeight="false" outlineLevel="0" collapsed="false">
      <c r="A3788" s="0" t="n">
        <v>37741</v>
      </c>
      <c r="B3788" s="0" t="s">
        <v>6929</v>
      </c>
      <c r="C3788" s="0" t="s">
        <v>31</v>
      </c>
      <c r="D3788" s="0" t="s">
        <v>3671</v>
      </c>
    </row>
    <row r="3789" customFormat="false" ht="15" hidden="false" customHeight="false" outlineLevel="0" collapsed="false">
      <c r="A3789" s="0" t="n">
        <v>39396</v>
      </c>
      <c r="B3789" s="0" t="s">
        <v>6930</v>
      </c>
      <c r="C3789" s="0" t="s">
        <v>31</v>
      </c>
      <c r="D3789" s="0" t="s">
        <v>3671</v>
      </c>
    </row>
    <row r="3790" customFormat="false" ht="15" hidden="false" customHeight="false" outlineLevel="0" collapsed="false">
      <c r="A3790" s="0" t="n">
        <v>39392</v>
      </c>
      <c r="B3790" s="0" t="s">
        <v>6931</v>
      </c>
      <c r="C3790" s="0" t="s">
        <v>31</v>
      </c>
      <c r="D3790" s="0" t="s">
        <v>3671</v>
      </c>
    </row>
    <row r="3791" customFormat="false" ht="15" hidden="false" customHeight="false" outlineLevel="0" collapsed="false">
      <c r="A3791" s="0" t="n">
        <v>39393</v>
      </c>
      <c r="B3791" s="0" t="s">
        <v>6932</v>
      </c>
      <c r="C3791" s="0" t="s">
        <v>31</v>
      </c>
      <c r="D3791" s="0" t="s">
        <v>3671</v>
      </c>
    </row>
    <row r="3792" customFormat="false" ht="15" hidden="false" customHeight="false" outlineLevel="0" collapsed="false">
      <c r="A3792" s="0" t="n">
        <v>39394</v>
      </c>
      <c r="B3792" s="0" t="s">
        <v>6933</v>
      </c>
      <c r="C3792" s="0" t="s">
        <v>31</v>
      </c>
      <c r="D3792" s="0" t="s">
        <v>3671</v>
      </c>
    </row>
    <row r="3793" customFormat="false" ht="15" hidden="false" customHeight="false" outlineLevel="0" collapsed="false">
      <c r="A3793" s="0" t="n">
        <v>39395</v>
      </c>
      <c r="B3793" s="0" t="s">
        <v>6934</v>
      </c>
      <c r="C3793" s="0" t="s">
        <v>31</v>
      </c>
      <c r="D3793" s="0" t="s">
        <v>3671</v>
      </c>
    </row>
    <row r="3794" customFormat="false" ht="15" hidden="false" customHeight="false" outlineLevel="0" collapsed="false">
      <c r="A3794" s="0" t="n">
        <v>14618</v>
      </c>
      <c r="B3794" s="0" t="s">
        <v>1592</v>
      </c>
      <c r="C3794" s="0" t="s">
        <v>31</v>
      </c>
      <c r="D3794" s="0" t="s">
        <v>3671</v>
      </c>
      <c r="E3794" s="0" t="n">
        <v>1283.38</v>
      </c>
    </row>
    <row r="3795" customFormat="false" ht="15" hidden="false" customHeight="false" outlineLevel="0" collapsed="false">
      <c r="A3795" s="0" t="n">
        <v>40269</v>
      </c>
      <c r="B3795" s="0" t="s">
        <v>6935</v>
      </c>
      <c r="C3795" s="0" t="s">
        <v>31</v>
      </c>
      <c r="D3795" s="0" t="s">
        <v>3671</v>
      </c>
      <c r="E3795" s="0" t="n">
        <v>5170.65</v>
      </c>
    </row>
    <row r="3796" customFormat="false" ht="15" hidden="false" customHeight="false" outlineLevel="0" collapsed="false">
      <c r="A3796" s="0" t="n">
        <v>6110</v>
      </c>
      <c r="B3796" s="0" t="s">
        <v>1601</v>
      </c>
      <c r="C3796" s="0" t="s">
        <v>1444</v>
      </c>
      <c r="D3796" s="0" t="s">
        <v>3671</v>
      </c>
      <c r="E3796" s="0" t="n">
        <v>20.22</v>
      </c>
    </row>
    <row r="3797" customFormat="false" ht="15" hidden="false" customHeight="false" outlineLevel="0" collapsed="false">
      <c r="A3797" s="0" t="n">
        <v>40910</v>
      </c>
      <c r="B3797" s="0" t="s">
        <v>6936</v>
      </c>
      <c r="C3797" s="0" t="s">
        <v>1416</v>
      </c>
      <c r="D3797" s="0" t="s">
        <v>3671</v>
      </c>
      <c r="E3797" s="0" t="n">
        <v>3561.68</v>
      </c>
    </row>
    <row r="3798" customFormat="false" ht="15" hidden="false" customHeight="false" outlineLevel="0" collapsed="false">
      <c r="A3798" s="0" t="n">
        <v>6111</v>
      </c>
      <c r="B3798" s="0" t="s">
        <v>1464</v>
      </c>
      <c r="C3798" s="0" t="s">
        <v>1444</v>
      </c>
      <c r="D3798" s="0" t="s">
        <v>3676</v>
      </c>
      <c r="E3798" s="0" t="n">
        <v>12.95</v>
      </c>
    </row>
    <row r="3799" customFormat="false" ht="15" hidden="false" customHeight="false" outlineLevel="0" collapsed="false">
      <c r="A3799" s="0" t="n">
        <v>41084</v>
      </c>
      <c r="B3799" s="0" t="s">
        <v>6937</v>
      </c>
      <c r="C3799" s="0" t="s">
        <v>1416</v>
      </c>
      <c r="D3799" s="0" t="s">
        <v>3671</v>
      </c>
      <c r="E3799" s="0" t="n">
        <v>2281.85</v>
      </c>
    </row>
    <row r="3800" customFormat="false" ht="15" hidden="false" customHeight="false" outlineLevel="0" collapsed="false">
      <c r="A3800" s="0" t="n">
        <v>44535</v>
      </c>
      <c r="B3800" s="0" t="s">
        <v>6938</v>
      </c>
      <c r="C3800" s="0" t="s">
        <v>1442</v>
      </c>
      <c r="D3800" s="0" t="s">
        <v>3671</v>
      </c>
      <c r="E3800" s="0" t="n">
        <v>59.84</v>
      </c>
    </row>
    <row r="3801" customFormat="false" ht="15" hidden="false" customHeight="false" outlineLevel="0" collapsed="false">
      <c r="A3801" s="0" t="n">
        <v>44945</v>
      </c>
      <c r="B3801" s="0" t="s">
        <v>2075</v>
      </c>
      <c r="C3801" s="0" t="s">
        <v>31</v>
      </c>
      <c r="D3801" s="0" t="s">
        <v>3676</v>
      </c>
      <c r="E3801" s="0" t="n">
        <v>8</v>
      </c>
    </row>
    <row r="3802" customFormat="false" ht="15" hidden="false" customHeight="false" outlineLevel="0" collapsed="false">
      <c r="A3802" s="0" t="n">
        <v>38637</v>
      </c>
      <c r="B3802" s="0" t="s">
        <v>6939</v>
      </c>
      <c r="C3802" s="0" t="s">
        <v>31</v>
      </c>
      <c r="D3802" s="0" t="s">
        <v>3671</v>
      </c>
      <c r="E3802" s="0" t="n">
        <v>260.72</v>
      </c>
    </row>
    <row r="3803" customFormat="false" ht="15" hidden="false" customHeight="false" outlineLevel="0" collapsed="false">
      <c r="A3803" s="0" t="n">
        <v>6150</v>
      </c>
      <c r="B3803" s="0" t="s">
        <v>6940</v>
      </c>
      <c r="C3803" s="0" t="s">
        <v>31</v>
      </c>
      <c r="D3803" s="0" t="s">
        <v>3671</v>
      </c>
      <c r="E3803" s="0" t="n">
        <v>263.91</v>
      </c>
    </row>
    <row r="3804" customFormat="false" ht="15" hidden="false" customHeight="false" outlineLevel="0" collapsed="false">
      <c r="A3804" s="0" t="n">
        <v>6136</v>
      </c>
      <c r="B3804" s="0" t="s">
        <v>2036</v>
      </c>
      <c r="C3804" s="0" t="s">
        <v>31</v>
      </c>
      <c r="D3804" s="0" t="s">
        <v>3676</v>
      </c>
      <c r="E3804" s="0" t="n">
        <v>207.45</v>
      </c>
    </row>
    <row r="3805" customFormat="false" ht="15" hidden="false" customHeight="false" outlineLevel="0" collapsed="false">
      <c r="A3805" s="0" t="n">
        <v>38638</v>
      </c>
      <c r="B3805" s="0" t="s">
        <v>6941</v>
      </c>
      <c r="C3805" s="0" t="s">
        <v>31</v>
      </c>
      <c r="D3805" s="0" t="s">
        <v>3671</v>
      </c>
      <c r="E3805" s="0" t="n">
        <v>219.7</v>
      </c>
    </row>
    <row r="3806" customFormat="false" ht="15" hidden="false" customHeight="false" outlineLevel="0" collapsed="false">
      <c r="A3806" s="0" t="n">
        <v>20262</v>
      </c>
      <c r="B3806" s="0" t="s">
        <v>6942</v>
      </c>
      <c r="C3806" s="0" t="s">
        <v>31</v>
      </c>
      <c r="D3806" s="0" t="s">
        <v>3671</v>
      </c>
      <c r="E3806" s="0" t="n">
        <v>14.65</v>
      </c>
    </row>
    <row r="3807" customFormat="false" ht="15" hidden="false" customHeight="false" outlineLevel="0" collapsed="false">
      <c r="A3807" s="0" t="n">
        <v>6145</v>
      </c>
      <c r="B3807" s="0" t="s">
        <v>6943</v>
      </c>
      <c r="C3807" s="0" t="s">
        <v>31</v>
      </c>
      <c r="D3807" s="0" t="s">
        <v>3671</v>
      </c>
      <c r="E3807" s="0" t="n">
        <v>16.18</v>
      </c>
    </row>
    <row r="3808" customFormat="false" ht="15" hidden="false" customHeight="false" outlineLevel="0" collapsed="false">
      <c r="A3808" s="0" t="n">
        <v>6149</v>
      </c>
      <c r="B3808" s="0" t="s">
        <v>6944</v>
      </c>
      <c r="C3808" s="0" t="s">
        <v>31</v>
      </c>
      <c r="D3808" s="0" t="s">
        <v>3671</v>
      </c>
      <c r="E3808" s="0" t="n">
        <v>10.7</v>
      </c>
    </row>
    <row r="3809" customFormat="false" ht="15" hidden="false" customHeight="false" outlineLevel="0" collapsed="false">
      <c r="A3809" s="0" t="n">
        <v>6146</v>
      </c>
      <c r="B3809" s="0" t="s">
        <v>2056</v>
      </c>
      <c r="C3809" s="0" t="s">
        <v>31</v>
      </c>
      <c r="D3809" s="0" t="s">
        <v>3671</v>
      </c>
      <c r="E3809" s="0" t="n">
        <v>15.38</v>
      </c>
    </row>
    <row r="3810" customFormat="false" ht="15" hidden="false" customHeight="false" outlineLevel="0" collapsed="false">
      <c r="A3810" s="0" t="n">
        <v>44536</v>
      </c>
      <c r="B3810" s="0" t="s">
        <v>6945</v>
      </c>
      <c r="C3810" s="0" t="s">
        <v>1513</v>
      </c>
      <c r="D3810" s="0" t="s">
        <v>3671</v>
      </c>
      <c r="E3810" s="0" t="n">
        <v>2.74</v>
      </c>
    </row>
    <row r="3811" customFormat="false" ht="15" hidden="false" customHeight="false" outlineLevel="0" collapsed="false">
      <c r="A3811" s="0" t="n">
        <v>39961</v>
      </c>
      <c r="B3811" s="0" t="s">
        <v>1777</v>
      </c>
      <c r="C3811" s="0" t="s">
        <v>31</v>
      </c>
      <c r="D3811" s="0" t="s">
        <v>3671</v>
      </c>
      <c r="E3811" s="0" t="n">
        <v>21.51</v>
      </c>
    </row>
    <row r="3812" customFormat="false" ht="15" hidden="false" customHeight="false" outlineLevel="0" collapsed="false">
      <c r="A3812" s="0" t="n">
        <v>42433</v>
      </c>
      <c r="B3812" s="0" t="s">
        <v>6946</v>
      </c>
      <c r="C3812" s="0" t="s">
        <v>31</v>
      </c>
      <c r="D3812" s="0" t="s">
        <v>3671</v>
      </c>
    </row>
    <row r="3813" customFormat="false" ht="15" hidden="false" customHeight="false" outlineLevel="0" collapsed="false">
      <c r="A3813" s="0" t="n">
        <v>42434</v>
      </c>
      <c r="B3813" s="0" t="s">
        <v>6947</v>
      </c>
      <c r="C3813" s="0" t="s">
        <v>31</v>
      </c>
      <c r="D3813" s="0" t="s">
        <v>3671</v>
      </c>
    </row>
    <row r="3814" customFormat="false" ht="15" hidden="false" customHeight="false" outlineLevel="0" collapsed="false">
      <c r="A3814" s="0" t="n">
        <v>42435</v>
      </c>
      <c r="B3814" s="0" t="s">
        <v>6948</v>
      </c>
      <c r="C3814" s="0" t="s">
        <v>31</v>
      </c>
      <c r="D3814" s="0" t="s">
        <v>3671</v>
      </c>
    </row>
    <row r="3815" customFormat="false" ht="15" hidden="false" customHeight="false" outlineLevel="0" collapsed="false">
      <c r="A3815" s="0" t="n">
        <v>38061</v>
      </c>
      <c r="B3815" s="0" t="s">
        <v>6949</v>
      </c>
      <c r="C3815" s="0" t="s">
        <v>31</v>
      </c>
      <c r="D3815" s="0" t="s">
        <v>3671</v>
      </c>
      <c r="E3815" s="0" t="n">
        <v>49.54</v>
      </c>
    </row>
    <row r="3816" customFormat="false" ht="15" hidden="false" customHeight="false" outlineLevel="0" collapsed="false">
      <c r="A3816" s="0" t="n">
        <v>20250</v>
      </c>
      <c r="B3816" s="0" t="s">
        <v>2007</v>
      </c>
      <c r="C3816" s="0" t="s">
        <v>1513</v>
      </c>
      <c r="D3816" s="0" t="s">
        <v>3676</v>
      </c>
      <c r="E3816" s="0" t="n">
        <v>22.15</v>
      </c>
    </row>
    <row r="3817" customFormat="false" ht="15" hidden="false" customHeight="false" outlineLevel="0" collapsed="false">
      <c r="A3817" s="0" t="n">
        <v>13388</v>
      </c>
      <c r="B3817" s="0" t="s">
        <v>1903</v>
      </c>
      <c r="C3817" s="0" t="s">
        <v>1513</v>
      </c>
      <c r="D3817" s="0" t="s">
        <v>3671</v>
      </c>
      <c r="E3817" s="0" t="n">
        <v>120.68</v>
      </c>
    </row>
    <row r="3818" customFormat="false" ht="15" hidden="false" customHeight="false" outlineLevel="0" collapsed="false">
      <c r="A3818" s="0" t="n">
        <v>39914</v>
      </c>
      <c r="B3818" s="0" t="s">
        <v>6950</v>
      </c>
      <c r="C3818" s="0" t="s">
        <v>1513</v>
      </c>
      <c r="D3818" s="0" t="s">
        <v>3671</v>
      </c>
    </row>
    <row r="3819" customFormat="false" ht="15" hidden="false" customHeight="false" outlineLevel="0" collapsed="false">
      <c r="A3819" s="0" t="n">
        <v>12732</v>
      </c>
      <c r="B3819" s="0" t="s">
        <v>6951</v>
      </c>
      <c r="C3819" s="0" t="s">
        <v>31</v>
      </c>
      <c r="D3819" s="0" t="s">
        <v>3671</v>
      </c>
    </row>
    <row r="3820" customFormat="false" ht="15" hidden="false" customHeight="false" outlineLevel="0" collapsed="false">
      <c r="A3820" s="0" t="n">
        <v>6160</v>
      </c>
      <c r="B3820" s="0" t="s">
        <v>6952</v>
      </c>
      <c r="C3820" s="0" t="s">
        <v>1444</v>
      </c>
      <c r="D3820" s="0" t="s">
        <v>3676</v>
      </c>
      <c r="E3820" s="0" t="n">
        <v>20.22</v>
      </c>
    </row>
    <row r="3821" customFormat="false" ht="15" hidden="false" customHeight="false" outlineLevel="0" collapsed="false">
      <c r="A3821" s="0" t="n">
        <v>41087</v>
      </c>
      <c r="B3821" s="0" t="s">
        <v>6953</v>
      </c>
      <c r="C3821" s="0" t="s">
        <v>1416</v>
      </c>
      <c r="D3821" s="0" t="s">
        <v>3671</v>
      </c>
      <c r="E3821" s="0" t="n">
        <v>3561.68</v>
      </c>
    </row>
    <row r="3822" customFormat="false" ht="15" hidden="false" customHeight="false" outlineLevel="0" collapsed="false">
      <c r="A3822" s="0" t="n">
        <v>6166</v>
      </c>
      <c r="B3822" s="0" t="s">
        <v>6954</v>
      </c>
      <c r="C3822" s="0" t="s">
        <v>1444</v>
      </c>
      <c r="D3822" s="0" t="s">
        <v>3671</v>
      </c>
      <c r="E3822" s="0" t="n">
        <v>23.75</v>
      </c>
    </row>
    <row r="3823" customFormat="false" ht="15" hidden="false" customHeight="false" outlineLevel="0" collapsed="false">
      <c r="A3823" s="0" t="n">
        <v>41088</v>
      </c>
      <c r="B3823" s="0" t="s">
        <v>6955</v>
      </c>
      <c r="C3823" s="0" t="s">
        <v>1416</v>
      </c>
      <c r="D3823" s="0" t="s">
        <v>3671</v>
      </c>
      <c r="E3823" s="0" t="n">
        <v>4185.41</v>
      </c>
    </row>
    <row r="3824" customFormat="false" ht="15" hidden="false" customHeight="false" outlineLevel="0" collapsed="false">
      <c r="A3824" s="0" t="n">
        <v>20232</v>
      </c>
      <c r="B3824" s="0" t="s">
        <v>1823</v>
      </c>
      <c r="C3824" s="0" t="s">
        <v>1455</v>
      </c>
      <c r="D3824" s="0" t="s">
        <v>3671</v>
      </c>
      <c r="E3824" s="0" t="n">
        <v>82.16</v>
      </c>
    </row>
    <row r="3825" customFormat="false" ht="15" hidden="false" customHeight="false" outlineLevel="0" collapsed="false">
      <c r="A3825" s="0" t="n">
        <v>10856</v>
      </c>
      <c r="B3825" s="0" t="s">
        <v>6956</v>
      </c>
      <c r="C3825" s="0" t="s">
        <v>1455</v>
      </c>
      <c r="D3825" s="0" t="s">
        <v>3671</v>
      </c>
    </row>
    <row r="3826" customFormat="false" ht="15" hidden="false" customHeight="false" outlineLevel="0" collapsed="false">
      <c r="A3826" s="0" t="n">
        <v>4828</v>
      </c>
      <c r="B3826" s="0" t="s">
        <v>6957</v>
      </c>
      <c r="C3826" s="0" t="s">
        <v>1455</v>
      </c>
      <c r="D3826" s="0" t="s">
        <v>3671</v>
      </c>
      <c r="E3826" s="0" t="n">
        <v>98.22</v>
      </c>
    </row>
    <row r="3827" customFormat="false" ht="15" hidden="false" customHeight="false" outlineLevel="0" collapsed="false">
      <c r="A3827" s="0" t="n">
        <v>20249</v>
      </c>
      <c r="B3827" s="0" t="s">
        <v>6958</v>
      </c>
      <c r="C3827" s="0" t="s">
        <v>1455</v>
      </c>
      <c r="D3827" s="0" t="s">
        <v>3671</v>
      </c>
      <c r="E3827" s="0" t="n">
        <v>53.78</v>
      </c>
    </row>
    <row r="3828" customFormat="false" ht="15" hidden="false" customHeight="false" outlineLevel="0" collapsed="false">
      <c r="A3828" s="0" t="n">
        <v>11609</v>
      </c>
      <c r="B3828" s="0" t="s">
        <v>6959</v>
      </c>
      <c r="C3828" s="0" t="s">
        <v>1452</v>
      </c>
      <c r="D3828" s="0" t="s">
        <v>3671</v>
      </c>
      <c r="E3828" s="0" t="n">
        <v>11.46</v>
      </c>
    </row>
    <row r="3829" customFormat="false" ht="15" hidden="false" customHeight="false" outlineLevel="0" collapsed="false">
      <c r="A3829" s="0" t="n">
        <v>20083</v>
      </c>
      <c r="B3829" s="0" t="s">
        <v>2095</v>
      </c>
      <c r="C3829" s="0" t="s">
        <v>31</v>
      </c>
      <c r="D3829" s="0" t="s">
        <v>3671</v>
      </c>
      <c r="E3829" s="0" t="n">
        <v>71.48</v>
      </c>
    </row>
    <row r="3830" customFormat="false" ht="15" hidden="false" customHeight="false" outlineLevel="0" collapsed="false">
      <c r="A3830" s="0" t="n">
        <v>10691</v>
      </c>
      <c r="B3830" s="0" t="s">
        <v>6960</v>
      </c>
      <c r="C3830" s="0" t="s">
        <v>1452</v>
      </c>
      <c r="D3830" s="0" t="s">
        <v>3671</v>
      </c>
    </row>
    <row r="3831" customFormat="false" ht="15" hidden="false" customHeight="false" outlineLevel="0" collapsed="false">
      <c r="A3831" s="0" t="n">
        <v>12295</v>
      </c>
      <c r="B3831" s="0" t="s">
        <v>6961</v>
      </c>
      <c r="C3831" s="0" t="s">
        <v>31</v>
      </c>
      <c r="D3831" s="0" t="s">
        <v>3671</v>
      </c>
      <c r="E3831" s="0" t="n">
        <v>2.26</v>
      </c>
    </row>
    <row r="3832" customFormat="false" ht="15" hidden="false" customHeight="false" outlineLevel="0" collapsed="false">
      <c r="A3832" s="0" t="n">
        <v>12296</v>
      </c>
      <c r="B3832" s="0" t="s">
        <v>6962</v>
      </c>
      <c r="C3832" s="0" t="s">
        <v>31</v>
      </c>
      <c r="D3832" s="0" t="s">
        <v>3671</v>
      </c>
      <c r="E3832" s="0" t="n">
        <v>2.93</v>
      </c>
    </row>
    <row r="3833" customFormat="false" ht="15" hidden="false" customHeight="false" outlineLevel="0" collapsed="false">
      <c r="A3833" s="0" t="n">
        <v>12294</v>
      </c>
      <c r="B3833" s="0" t="s">
        <v>2916</v>
      </c>
      <c r="C3833" s="0" t="s">
        <v>31</v>
      </c>
      <c r="D3833" s="0" t="s">
        <v>3671</v>
      </c>
      <c r="E3833" s="0" t="n">
        <v>7.04</v>
      </c>
    </row>
    <row r="3834" customFormat="false" ht="15" hidden="false" customHeight="false" outlineLevel="0" collapsed="false">
      <c r="A3834" s="0" t="n">
        <v>14543</v>
      </c>
      <c r="B3834" s="0" t="s">
        <v>6963</v>
      </c>
      <c r="C3834" s="0" t="s">
        <v>31</v>
      </c>
      <c r="D3834" s="0" t="s">
        <v>3671</v>
      </c>
      <c r="E3834" s="0" t="n">
        <v>5.02</v>
      </c>
    </row>
    <row r="3835" customFormat="false" ht="15" hidden="false" customHeight="false" outlineLevel="0" collapsed="false">
      <c r="A3835" s="0" t="n">
        <v>13329</v>
      </c>
      <c r="B3835" s="0" t="s">
        <v>6964</v>
      </c>
      <c r="C3835" s="0" t="s">
        <v>31</v>
      </c>
      <c r="D3835" s="0" t="s">
        <v>3676</v>
      </c>
      <c r="E3835" s="0" t="n">
        <v>2.95</v>
      </c>
    </row>
    <row r="3836" customFormat="false" ht="15" hidden="false" customHeight="false" outlineLevel="0" collapsed="false">
      <c r="A3836" s="0" t="n">
        <v>21047</v>
      </c>
      <c r="B3836" s="0" t="s">
        <v>6965</v>
      </c>
      <c r="C3836" s="0" t="s">
        <v>31</v>
      </c>
      <c r="D3836" s="0" t="s">
        <v>3671</v>
      </c>
      <c r="E3836" s="0" t="n">
        <v>42.18</v>
      </c>
    </row>
    <row r="3837" customFormat="false" ht="15" hidden="false" customHeight="false" outlineLevel="0" collapsed="false">
      <c r="A3837" s="0" t="n">
        <v>21042</v>
      </c>
      <c r="B3837" s="0" t="s">
        <v>6966</v>
      </c>
      <c r="C3837" s="0" t="s">
        <v>31</v>
      </c>
      <c r="D3837" s="0" t="s">
        <v>3671</v>
      </c>
      <c r="E3837" s="0" t="n">
        <v>32.51</v>
      </c>
    </row>
    <row r="3838" customFormat="false" ht="15" hidden="false" customHeight="false" outlineLevel="0" collapsed="false">
      <c r="A3838" s="0" t="n">
        <v>21043</v>
      </c>
      <c r="B3838" s="0" t="s">
        <v>6967</v>
      </c>
      <c r="C3838" s="0" t="s">
        <v>31</v>
      </c>
      <c r="D3838" s="0" t="s">
        <v>3671</v>
      </c>
      <c r="E3838" s="0" t="n">
        <v>41.07</v>
      </c>
    </row>
    <row r="3839" customFormat="false" ht="15" hidden="false" customHeight="false" outlineLevel="0" collapsed="false">
      <c r="A3839" s="0" t="n">
        <v>21044</v>
      </c>
      <c r="B3839" s="0" t="s">
        <v>6968</v>
      </c>
      <c r="C3839" s="0" t="s">
        <v>31</v>
      </c>
      <c r="D3839" s="0" t="s">
        <v>3671</v>
      </c>
      <c r="E3839" s="0" t="n">
        <v>28.61</v>
      </c>
    </row>
    <row r="3840" customFormat="false" ht="15" hidden="false" customHeight="false" outlineLevel="0" collapsed="false">
      <c r="A3840" s="0" t="n">
        <v>21045</v>
      </c>
      <c r="B3840" s="0" t="s">
        <v>6969</v>
      </c>
      <c r="C3840" s="0" t="s">
        <v>31</v>
      </c>
      <c r="D3840" s="0" t="s">
        <v>3671</v>
      </c>
      <c r="E3840" s="0" t="n">
        <v>39.19</v>
      </c>
    </row>
    <row r="3841" customFormat="false" ht="15" hidden="false" customHeight="false" outlineLevel="0" collapsed="false">
      <c r="A3841" s="0" t="n">
        <v>21041</v>
      </c>
      <c r="B3841" s="0" t="s">
        <v>6970</v>
      </c>
      <c r="C3841" s="0" t="s">
        <v>31</v>
      </c>
      <c r="D3841" s="0" t="s">
        <v>3671</v>
      </c>
      <c r="E3841" s="0" t="n">
        <v>33.8</v>
      </c>
    </row>
    <row r="3842" customFormat="false" ht="15" hidden="false" customHeight="false" outlineLevel="0" collapsed="false">
      <c r="A3842" s="0" t="n">
        <v>21040</v>
      </c>
      <c r="B3842" s="0" t="s">
        <v>6971</v>
      </c>
      <c r="C3842" s="0" t="s">
        <v>31</v>
      </c>
      <c r="D3842" s="0" t="s">
        <v>3676</v>
      </c>
      <c r="E3842" s="0" t="n">
        <v>28</v>
      </c>
    </row>
    <row r="3843" customFormat="false" ht="15" hidden="false" customHeight="false" outlineLevel="0" collapsed="false">
      <c r="A3843" s="0" t="n">
        <v>14149</v>
      </c>
      <c r="B3843" s="0" t="s">
        <v>6972</v>
      </c>
      <c r="C3843" s="0" t="s">
        <v>1576</v>
      </c>
      <c r="D3843" s="0" t="s">
        <v>3671</v>
      </c>
    </row>
    <row r="3844" customFormat="false" ht="15" hidden="false" customHeight="false" outlineLevel="0" collapsed="false">
      <c r="A3844" s="0" t="n">
        <v>38099</v>
      </c>
      <c r="B3844" s="0" t="s">
        <v>1549</v>
      </c>
      <c r="C3844" s="0" t="s">
        <v>31</v>
      </c>
      <c r="D3844" s="0" t="s">
        <v>3671</v>
      </c>
      <c r="E3844" s="0" t="n">
        <v>1.36</v>
      </c>
    </row>
    <row r="3845" customFormat="false" ht="15" hidden="false" customHeight="false" outlineLevel="0" collapsed="false">
      <c r="A3845" s="0" t="n">
        <v>38100</v>
      </c>
      <c r="B3845" s="0" t="s">
        <v>6973</v>
      </c>
      <c r="C3845" s="0" t="s">
        <v>31</v>
      </c>
      <c r="D3845" s="0" t="s">
        <v>3671</v>
      </c>
      <c r="E3845" s="0" t="n">
        <v>2.22</v>
      </c>
    </row>
    <row r="3846" customFormat="false" ht="15" hidden="false" customHeight="false" outlineLevel="0" collapsed="false">
      <c r="A3846" s="0" t="n">
        <v>7576</v>
      </c>
      <c r="B3846" s="0" t="s">
        <v>6974</v>
      </c>
      <c r="C3846" s="0" t="s">
        <v>31</v>
      </c>
      <c r="D3846" s="0" t="s">
        <v>3671</v>
      </c>
      <c r="E3846" s="0" t="n">
        <v>209.46</v>
      </c>
    </row>
    <row r="3847" customFormat="false" ht="15" hidden="false" customHeight="false" outlineLevel="0" collapsed="false">
      <c r="A3847" s="0" t="n">
        <v>3384</v>
      </c>
      <c r="B3847" s="0" t="s">
        <v>6975</v>
      </c>
      <c r="C3847" s="0" t="s">
        <v>31</v>
      </c>
      <c r="D3847" s="0" t="s">
        <v>3671</v>
      </c>
      <c r="E3847" s="0" t="n">
        <v>8.48</v>
      </c>
    </row>
    <row r="3848" customFormat="false" ht="15" hidden="false" customHeight="false" outlineLevel="0" collapsed="false">
      <c r="A3848" s="0" t="n">
        <v>7572</v>
      </c>
      <c r="B3848" s="0" t="s">
        <v>2619</v>
      </c>
      <c r="C3848" s="0" t="s">
        <v>31</v>
      </c>
      <c r="D3848" s="0" t="s">
        <v>3671</v>
      </c>
      <c r="E3848" s="0" t="n">
        <v>8.1</v>
      </c>
    </row>
    <row r="3849" customFormat="false" ht="15" hidden="false" customHeight="false" outlineLevel="0" collapsed="false">
      <c r="A3849" s="0" t="n">
        <v>3396</v>
      </c>
      <c r="B3849" s="0" t="s">
        <v>6976</v>
      </c>
      <c r="C3849" s="0" t="s">
        <v>31</v>
      </c>
      <c r="D3849" s="0" t="s">
        <v>3671</v>
      </c>
      <c r="E3849" s="0" t="n">
        <v>5.47</v>
      </c>
    </row>
    <row r="3850" customFormat="false" ht="15" hidden="false" customHeight="false" outlineLevel="0" collapsed="false">
      <c r="A3850" s="0" t="n">
        <v>37590</v>
      </c>
      <c r="B3850" s="0" t="s">
        <v>2032</v>
      </c>
      <c r="C3850" s="0" t="s">
        <v>31</v>
      </c>
      <c r="D3850" s="0" t="s">
        <v>3671</v>
      </c>
    </row>
    <row r="3851" customFormat="false" ht="15" hidden="false" customHeight="false" outlineLevel="0" collapsed="false">
      <c r="A3851" s="0" t="n">
        <v>37591</v>
      </c>
      <c r="B3851" s="0" t="s">
        <v>2071</v>
      </c>
      <c r="C3851" s="0" t="s">
        <v>31</v>
      </c>
      <c r="D3851" s="0" t="s">
        <v>3671</v>
      </c>
    </row>
    <row r="3852" customFormat="false" ht="15" hidden="false" customHeight="false" outlineLevel="0" collapsed="false">
      <c r="A3852" s="0" t="n">
        <v>12626</v>
      </c>
      <c r="B3852" s="0" t="s">
        <v>6977</v>
      </c>
      <c r="C3852" s="0" t="s">
        <v>31</v>
      </c>
      <c r="D3852" s="0" t="s">
        <v>3671</v>
      </c>
      <c r="E3852" s="0" t="n">
        <v>43.4</v>
      </c>
    </row>
    <row r="3853" customFormat="false" ht="15" hidden="false" customHeight="false" outlineLevel="0" collapsed="false">
      <c r="A3853" s="0" t="n">
        <v>11033</v>
      </c>
      <c r="B3853" s="0" t="s">
        <v>6978</v>
      </c>
      <c r="C3853" s="0" t="s">
        <v>31</v>
      </c>
      <c r="D3853" s="0" t="s">
        <v>3671</v>
      </c>
      <c r="E3853" s="0" t="n">
        <v>5.76</v>
      </c>
    </row>
    <row r="3854" customFormat="false" ht="15" hidden="false" customHeight="false" outlineLevel="0" collapsed="false">
      <c r="A3854" s="0" t="n">
        <v>390</v>
      </c>
      <c r="B3854" s="0" t="s">
        <v>6979</v>
      </c>
      <c r="C3854" s="0" t="s">
        <v>31</v>
      </c>
      <c r="D3854" s="0" t="s">
        <v>3671</v>
      </c>
      <c r="E3854" s="0" t="n">
        <v>9.9</v>
      </c>
    </row>
    <row r="3855" customFormat="false" ht="15" hidden="false" customHeight="false" outlineLevel="0" collapsed="false">
      <c r="A3855" s="0" t="n">
        <v>42436</v>
      </c>
      <c r="B3855" s="0" t="s">
        <v>6980</v>
      </c>
      <c r="C3855" s="0" t="s">
        <v>31</v>
      </c>
      <c r="D3855" s="0" t="s">
        <v>3671</v>
      </c>
    </row>
    <row r="3856" customFormat="false" ht="15" hidden="false" customHeight="false" outlineLevel="0" collapsed="false">
      <c r="A3856" s="0" t="n">
        <v>6194</v>
      </c>
      <c r="B3856" s="0" t="s">
        <v>6981</v>
      </c>
      <c r="C3856" s="0" t="s">
        <v>1455</v>
      </c>
      <c r="D3856" s="0" t="s">
        <v>3671</v>
      </c>
      <c r="E3856" s="0" t="n">
        <v>7.32</v>
      </c>
    </row>
    <row r="3857" customFormat="false" ht="15" hidden="false" customHeight="false" outlineLevel="0" collapsed="false">
      <c r="A3857" s="0" t="n">
        <v>10567</v>
      </c>
      <c r="B3857" s="0" t="s">
        <v>1595</v>
      </c>
      <c r="C3857" s="0" t="s">
        <v>1455</v>
      </c>
      <c r="D3857" s="0" t="s">
        <v>3671</v>
      </c>
      <c r="E3857" s="0" t="n">
        <v>11.58</v>
      </c>
    </row>
    <row r="3858" customFormat="false" ht="15" hidden="false" customHeight="false" outlineLevel="0" collapsed="false">
      <c r="A3858" s="0" t="n">
        <v>6212</v>
      </c>
      <c r="B3858" s="0" t="s">
        <v>1627</v>
      </c>
      <c r="C3858" s="0" t="s">
        <v>1455</v>
      </c>
      <c r="D3858" s="0" t="s">
        <v>3676</v>
      </c>
      <c r="E3858" s="0" t="n">
        <v>17</v>
      </c>
    </row>
    <row r="3859" customFormat="false" ht="15" hidden="false" customHeight="false" outlineLevel="0" collapsed="false">
      <c r="A3859" s="0" t="n">
        <v>3993</v>
      </c>
      <c r="B3859" s="0" t="s">
        <v>6982</v>
      </c>
      <c r="C3859" s="0" t="s">
        <v>1477</v>
      </c>
      <c r="D3859" s="0" t="s">
        <v>3671</v>
      </c>
      <c r="E3859" s="0" t="n">
        <v>100.47</v>
      </c>
    </row>
    <row r="3860" customFormat="false" ht="15" hidden="false" customHeight="false" outlineLevel="0" collapsed="false">
      <c r="A3860" s="0" t="n">
        <v>3990</v>
      </c>
      <c r="B3860" s="0" t="s">
        <v>6983</v>
      </c>
      <c r="C3860" s="0" t="s">
        <v>1455</v>
      </c>
      <c r="D3860" s="0" t="s">
        <v>3671</v>
      </c>
      <c r="E3860" s="0" t="n">
        <v>18.9</v>
      </c>
    </row>
    <row r="3861" customFormat="false" ht="15" hidden="false" customHeight="false" outlineLevel="0" collapsed="false">
      <c r="A3861" s="0" t="n">
        <v>3992</v>
      </c>
      <c r="B3861" s="0" t="s">
        <v>6984</v>
      </c>
      <c r="C3861" s="0" t="s">
        <v>1455</v>
      </c>
      <c r="D3861" s="0" t="s">
        <v>3671</v>
      </c>
      <c r="E3861" s="0" t="n">
        <v>25.52</v>
      </c>
    </row>
    <row r="3862" customFormat="false" ht="15" hidden="false" customHeight="false" outlineLevel="0" collapsed="false">
      <c r="A3862" s="0" t="n">
        <v>6178</v>
      </c>
      <c r="B3862" s="0" t="s">
        <v>6985</v>
      </c>
      <c r="C3862" s="0" t="s">
        <v>1477</v>
      </c>
      <c r="D3862" s="0" t="s">
        <v>3671</v>
      </c>
      <c r="E3862" s="0" t="n">
        <v>231.64</v>
      </c>
    </row>
    <row r="3863" customFormat="false" ht="15" hidden="false" customHeight="false" outlineLevel="0" collapsed="false">
      <c r="A3863" s="0" t="n">
        <v>6180</v>
      </c>
      <c r="B3863" s="0" t="s">
        <v>6986</v>
      </c>
      <c r="C3863" s="0" t="s">
        <v>1477</v>
      </c>
      <c r="D3863" s="0" t="s">
        <v>3676</v>
      </c>
      <c r="E3863" s="0" t="n">
        <v>250</v>
      </c>
    </row>
    <row r="3864" customFormat="false" ht="15" hidden="false" customHeight="false" outlineLevel="0" collapsed="false">
      <c r="A3864" s="0" t="n">
        <v>6182</v>
      </c>
      <c r="B3864" s="0" t="s">
        <v>6987</v>
      </c>
      <c r="C3864" s="0" t="s">
        <v>1477</v>
      </c>
      <c r="D3864" s="0" t="s">
        <v>3671</v>
      </c>
      <c r="E3864" s="0" t="n">
        <v>310.31</v>
      </c>
    </row>
    <row r="3865" customFormat="false" ht="15" hidden="false" customHeight="false" outlineLevel="0" collapsed="false">
      <c r="A3865" s="0" t="n">
        <v>43614</v>
      </c>
      <c r="B3865" s="0" t="s">
        <v>6988</v>
      </c>
      <c r="C3865" s="0" t="s">
        <v>1455</v>
      </c>
      <c r="D3865" s="0" t="s">
        <v>3671</v>
      </c>
      <c r="E3865" s="0" t="n">
        <v>12.77</v>
      </c>
    </row>
    <row r="3866" customFormat="false" ht="15" hidden="false" customHeight="false" outlineLevel="0" collapsed="false">
      <c r="A3866" s="0" t="n">
        <v>6193</v>
      </c>
      <c r="B3866" s="0" t="s">
        <v>1584</v>
      </c>
      <c r="C3866" s="0" t="s">
        <v>1455</v>
      </c>
      <c r="D3866" s="0" t="s">
        <v>3671</v>
      </c>
      <c r="E3866" s="0" t="n">
        <v>15.54</v>
      </c>
    </row>
    <row r="3867" customFormat="false" ht="15" hidden="false" customHeight="false" outlineLevel="0" collapsed="false">
      <c r="A3867" s="0" t="n">
        <v>6189</v>
      </c>
      <c r="B3867" s="0" t="s">
        <v>1803</v>
      </c>
      <c r="C3867" s="0" t="s">
        <v>1455</v>
      </c>
      <c r="D3867" s="0" t="s">
        <v>3671</v>
      </c>
      <c r="E3867" s="0" t="n">
        <v>22.68</v>
      </c>
    </row>
    <row r="3868" customFormat="false" ht="15" hidden="false" customHeight="false" outlineLevel="0" collapsed="false">
      <c r="A3868" s="0" t="n">
        <v>6214</v>
      </c>
      <c r="B3868" s="0" t="s">
        <v>6989</v>
      </c>
      <c r="C3868" s="0" t="s">
        <v>1477</v>
      </c>
      <c r="D3868" s="0" t="s">
        <v>3671</v>
      </c>
      <c r="E3868" s="0" t="n">
        <v>145.1</v>
      </c>
    </row>
    <row r="3869" customFormat="false" ht="15" hidden="false" customHeight="false" outlineLevel="0" collapsed="false">
      <c r="A3869" s="0" t="n">
        <v>36153</v>
      </c>
      <c r="B3869" s="0" t="s">
        <v>6990</v>
      </c>
      <c r="C3869" s="0" t="s">
        <v>31</v>
      </c>
      <c r="D3869" s="0" t="s">
        <v>3671</v>
      </c>
      <c r="E3869" s="0" t="n">
        <v>175.07</v>
      </c>
    </row>
    <row r="3870" customFormat="false" ht="15" hidden="false" customHeight="false" outlineLevel="0" collapsed="false">
      <c r="A3870" s="0" t="n">
        <v>10740</v>
      </c>
      <c r="B3870" s="0" t="s">
        <v>6991</v>
      </c>
      <c r="C3870" s="0" t="s">
        <v>31</v>
      </c>
      <c r="D3870" s="0" t="s">
        <v>3671</v>
      </c>
      <c r="E3870" s="0" t="n">
        <v>13418.12</v>
      </c>
    </row>
    <row r="3871" customFormat="false" ht="15" hidden="false" customHeight="false" outlineLevel="0" collapsed="false">
      <c r="A3871" s="0" t="n">
        <v>13914</v>
      </c>
      <c r="B3871" s="0" t="s">
        <v>6992</v>
      </c>
      <c r="C3871" s="0" t="s">
        <v>31</v>
      </c>
      <c r="D3871" s="0" t="s">
        <v>3671</v>
      </c>
      <c r="E3871" s="0" t="n">
        <v>970.85</v>
      </c>
    </row>
    <row r="3872" customFormat="false" ht="15" hidden="false" customHeight="false" outlineLevel="0" collapsed="false">
      <c r="A3872" s="0" t="n">
        <v>10742</v>
      </c>
      <c r="B3872" s="0" t="s">
        <v>6993</v>
      </c>
      <c r="C3872" s="0" t="s">
        <v>31</v>
      </c>
      <c r="D3872" s="0" t="s">
        <v>3676</v>
      </c>
      <c r="E3872" s="0" t="n">
        <v>1416</v>
      </c>
    </row>
    <row r="3873" customFormat="false" ht="15" hidden="false" customHeight="false" outlineLevel="0" collapsed="false">
      <c r="A3873" s="0" t="n">
        <v>38465</v>
      </c>
      <c r="B3873" s="0" t="s">
        <v>6994</v>
      </c>
      <c r="C3873" s="0" t="s">
        <v>31</v>
      </c>
      <c r="D3873" s="0" t="s">
        <v>3671</v>
      </c>
      <c r="E3873" s="0" t="n">
        <v>31.28</v>
      </c>
    </row>
    <row r="3874" customFormat="false" ht="15" hidden="false" customHeight="false" outlineLevel="0" collapsed="false">
      <c r="A3874" s="0" t="n">
        <v>7543</v>
      </c>
      <c r="B3874" s="0" t="s">
        <v>6995</v>
      </c>
      <c r="C3874" s="0" t="s">
        <v>31</v>
      </c>
      <c r="D3874" s="0" t="s">
        <v>3671</v>
      </c>
      <c r="E3874" s="0" t="n">
        <v>3.19</v>
      </c>
    </row>
    <row r="3875" customFormat="false" ht="15" hidden="false" customHeight="false" outlineLevel="0" collapsed="false">
      <c r="A3875" s="0" t="n">
        <v>43427</v>
      </c>
      <c r="B3875" s="0" t="s">
        <v>6996</v>
      </c>
      <c r="C3875" s="0" t="s">
        <v>31</v>
      </c>
      <c r="D3875" s="0" t="s">
        <v>3671</v>
      </c>
    </row>
    <row r="3876" customFormat="false" ht="15" hidden="false" customHeight="false" outlineLevel="0" collapsed="false">
      <c r="A3876" s="0" t="n">
        <v>41613</v>
      </c>
      <c r="B3876" s="0" t="s">
        <v>6997</v>
      </c>
      <c r="C3876" s="0" t="s">
        <v>31</v>
      </c>
      <c r="D3876" s="0" t="s">
        <v>3671</v>
      </c>
    </row>
    <row r="3877" customFormat="false" ht="15" hidden="false" customHeight="false" outlineLevel="0" collapsed="false">
      <c r="A3877" s="0" t="n">
        <v>41614</v>
      </c>
      <c r="B3877" s="0" t="s">
        <v>6998</v>
      </c>
      <c r="C3877" s="0" t="s">
        <v>31</v>
      </c>
      <c r="D3877" s="0" t="s">
        <v>3671</v>
      </c>
    </row>
    <row r="3878" customFormat="false" ht="15" hidden="false" customHeight="false" outlineLevel="0" collapsed="false">
      <c r="A3878" s="0" t="n">
        <v>41615</v>
      </c>
      <c r="B3878" s="0" t="s">
        <v>6999</v>
      </c>
      <c r="C3878" s="0" t="s">
        <v>31</v>
      </c>
      <c r="D3878" s="0" t="s">
        <v>3671</v>
      </c>
    </row>
    <row r="3879" customFormat="false" ht="15" hidden="false" customHeight="false" outlineLevel="0" collapsed="false">
      <c r="A3879" s="0" t="n">
        <v>41616</v>
      </c>
      <c r="B3879" s="0" t="s">
        <v>7000</v>
      </c>
      <c r="C3879" s="0" t="s">
        <v>31</v>
      </c>
      <c r="D3879" s="0" t="s">
        <v>3671</v>
      </c>
    </row>
    <row r="3880" customFormat="false" ht="15" hidden="false" customHeight="false" outlineLevel="0" collapsed="false">
      <c r="A3880" s="0" t="n">
        <v>41617</v>
      </c>
      <c r="B3880" s="0" t="s">
        <v>7001</v>
      </c>
      <c r="C3880" s="0" t="s">
        <v>31</v>
      </c>
      <c r="D3880" s="0" t="s">
        <v>3671</v>
      </c>
    </row>
    <row r="3881" customFormat="false" ht="15" hidden="false" customHeight="false" outlineLevel="0" collapsed="false">
      <c r="A3881" s="0" t="n">
        <v>41618</v>
      </c>
      <c r="B3881" s="0" t="s">
        <v>7002</v>
      </c>
      <c r="C3881" s="0" t="s">
        <v>31</v>
      </c>
      <c r="D3881" s="0" t="s">
        <v>3671</v>
      </c>
    </row>
    <row r="3882" customFormat="false" ht="15" hidden="false" customHeight="false" outlineLevel="0" collapsed="false">
      <c r="A3882" s="0" t="n">
        <v>43428</v>
      </c>
      <c r="B3882" s="0" t="s">
        <v>7003</v>
      </c>
      <c r="C3882" s="0" t="s">
        <v>31</v>
      </c>
      <c r="D3882" s="0" t="s">
        <v>3671</v>
      </c>
    </row>
    <row r="3883" customFormat="false" ht="15" hidden="false" customHeight="false" outlineLevel="0" collapsed="false">
      <c r="A3883" s="0" t="n">
        <v>41619</v>
      </c>
      <c r="B3883" s="0" t="s">
        <v>7004</v>
      </c>
      <c r="C3883" s="0" t="s">
        <v>31</v>
      </c>
      <c r="D3883" s="0" t="s">
        <v>3671</v>
      </c>
    </row>
    <row r="3884" customFormat="false" ht="15" hidden="false" customHeight="false" outlineLevel="0" collapsed="false">
      <c r="A3884" s="0" t="n">
        <v>41620</v>
      </c>
      <c r="B3884" s="0" t="s">
        <v>7005</v>
      </c>
      <c r="C3884" s="0" t="s">
        <v>31</v>
      </c>
      <c r="D3884" s="0" t="s">
        <v>3671</v>
      </c>
    </row>
    <row r="3885" customFormat="false" ht="15" hidden="false" customHeight="false" outlineLevel="0" collapsed="false">
      <c r="A3885" s="0" t="n">
        <v>41622</v>
      </c>
      <c r="B3885" s="0" t="s">
        <v>7006</v>
      </c>
      <c r="C3885" s="0" t="s">
        <v>31</v>
      </c>
      <c r="D3885" s="0" t="s">
        <v>3671</v>
      </c>
    </row>
    <row r="3886" customFormat="false" ht="15" hidden="false" customHeight="false" outlineLevel="0" collapsed="false">
      <c r="A3886" s="0" t="n">
        <v>41623</v>
      </c>
      <c r="B3886" s="0" t="s">
        <v>7007</v>
      </c>
      <c r="C3886" s="0" t="s">
        <v>31</v>
      </c>
      <c r="D3886" s="0" t="s">
        <v>3671</v>
      </c>
    </row>
    <row r="3887" customFormat="false" ht="15" hidden="false" customHeight="false" outlineLevel="0" collapsed="false">
      <c r="A3887" s="0" t="n">
        <v>41624</v>
      </c>
      <c r="B3887" s="0" t="s">
        <v>7008</v>
      </c>
      <c r="C3887" s="0" t="s">
        <v>31</v>
      </c>
      <c r="D3887" s="0" t="s">
        <v>3671</v>
      </c>
    </row>
    <row r="3888" customFormat="false" ht="15" hidden="false" customHeight="false" outlineLevel="0" collapsed="false">
      <c r="A3888" s="0" t="n">
        <v>41625</v>
      </c>
      <c r="B3888" s="0" t="s">
        <v>7009</v>
      </c>
      <c r="C3888" s="0" t="s">
        <v>31</v>
      </c>
      <c r="D3888" s="0" t="s">
        <v>3671</v>
      </c>
    </row>
    <row r="3889" customFormat="false" ht="15" hidden="false" customHeight="false" outlineLevel="0" collapsed="false">
      <c r="A3889" s="0" t="n">
        <v>39346</v>
      </c>
      <c r="B3889" s="0" t="s">
        <v>7010</v>
      </c>
      <c r="C3889" s="0" t="s">
        <v>31</v>
      </c>
      <c r="D3889" s="0" t="s">
        <v>3671</v>
      </c>
      <c r="E3889" s="0" t="n">
        <v>1.97</v>
      </c>
    </row>
    <row r="3890" customFormat="false" ht="15" hidden="false" customHeight="false" outlineLevel="0" collapsed="false">
      <c r="A3890" s="0" t="n">
        <v>39350</v>
      </c>
      <c r="B3890" s="0" t="s">
        <v>7011</v>
      </c>
      <c r="C3890" s="0" t="s">
        <v>31</v>
      </c>
      <c r="D3890" s="0" t="s">
        <v>3671</v>
      </c>
      <c r="E3890" s="0" t="n">
        <v>2.12</v>
      </c>
    </row>
    <row r="3891" customFormat="false" ht="15" hidden="false" customHeight="false" outlineLevel="0" collapsed="false">
      <c r="A3891" s="0" t="n">
        <v>39351</v>
      </c>
      <c r="B3891" s="0" t="s">
        <v>7012</v>
      </c>
      <c r="C3891" s="0" t="s">
        <v>31</v>
      </c>
      <c r="D3891" s="0" t="s">
        <v>3671</v>
      </c>
      <c r="E3891" s="0" t="n">
        <v>2.45</v>
      </c>
    </row>
    <row r="3892" customFormat="false" ht="15" hidden="false" customHeight="false" outlineLevel="0" collapsed="false">
      <c r="A3892" s="0" t="n">
        <v>39352</v>
      </c>
      <c r="B3892" s="0" t="s">
        <v>7013</v>
      </c>
      <c r="C3892" s="0" t="s">
        <v>31</v>
      </c>
      <c r="D3892" s="0" t="s">
        <v>3671</v>
      </c>
      <c r="E3892" s="0" t="n">
        <v>1.97</v>
      </c>
    </row>
    <row r="3893" customFormat="false" ht="15" hidden="false" customHeight="false" outlineLevel="0" collapsed="false">
      <c r="A3893" s="0" t="n">
        <v>38837</v>
      </c>
      <c r="B3893" s="0" t="s">
        <v>7014</v>
      </c>
      <c r="C3893" s="0" t="s">
        <v>31</v>
      </c>
      <c r="D3893" s="0" t="s">
        <v>3671</v>
      </c>
    </row>
    <row r="3894" customFormat="false" ht="15" hidden="false" customHeight="false" outlineLevel="0" collapsed="false">
      <c r="A3894" s="0" t="n">
        <v>38836</v>
      </c>
      <c r="B3894" s="0" t="s">
        <v>7015</v>
      </c>
      <c r="C3894" s="0" t="s">
        <v>31</v>
      </c>
      <c r="D3894" s="0" t="s">
        <v>3671</v>
      </c>
    </row>
    <row r="3895" customFormat="false" ht="15" hidden="false" customHeight="false" outlineLevel="0" collapsed="false">
      <c r="A3895" s="0" t="n">
        <v>2666</v>
      </c>
      <c r="B3895" s="0" t="s">
        <v>7016</v>
      </c>
      <c r="C3895" s="0" t="s">
        <v>31</v>
      </c>
      <c r="D3895" s="0" t="s">
        <v>3671</v>
      </c>
      <c r="E3895" s="0" t="n">
        <v>5.29</v>
      </c>
    </row>
    <row r="3896" customFormat="false" ht="15" hidden="false" customHeight="false" outlineLevel="0" collapsed="false">
      <c r="A3896" s="0" t="n">
        <v>2668</v>
      </c>
      <c r="B3896" s="0" t="s">
        <v>7017</v>
      </c>
      <c r="C3896" s="0" t="s">
        <v>31</v>
      </c>
      <c r="D3896" s="0" t="s">
        <v>3671</v>
      </c>
      <c r="E3896" s="0" t="n">
        <v>6.04</v>
      </c>
    </row>
    <row r="3897" customFormat="false" ht="15" hidden="false" customHeight="false" outlineLevel="0" collapsed="false">
      <c r="A3897" s="0" t="n">
        <v>2664</v>
      </c>
      <c r="B3897" s="0" t="s">
        <v>7018</v>
      </c>
      <c r="C3897" s="0" t="s">
        <v>31</v>
      </c>
      <c r="D3897" s="0" t="s">
        <v>3671</v>
      </c>
      <c r="E3897" s="0" t="n">
        <v>8.9</v>
      </c>
    </row>
    <row r="3898" customFormat="false" ht="15" hidden="false" customHeight="false" outlineLevel="0" collapsed="false">
      <c r="A3898" s="0" t="n">
        <v>2662</v>
      </c>
      <c r="B3898" s="0" t="s">
        <v>7019</v>
      </c>
      <c r="C3898" s="0" t="s">
        <v>31</v>
      </c>
      <c r="D3898" s="0" t="s">
        <v>3671</v>
      </c>
      <c r="E3898" s="0" t="n">
        <v>10.92</v>
      </c>
    </row>
    <row r="3899" customFormat="false" ht="15" hidden="false" customHeight="false" outlineLevel="0" collapsed="false">
      <c r="A3899" s="0" t="n">
        <v>20964</v>
      </c>
      <c r="B3899" s="0" t="s">
        <v>7020</v>
      </c>
      <c r="C3899" s="0" t="s">
        <v>31</v>
      </c>
      <c r="D3899" s="0" t="s">
        <v>3671</v>
      </c>
    </row>
    <row r="3900" customFormat="false" ht="15" hidden="false" customHeight="false" outlineLevel="0" collapsed="false">
      <c r="A3900" s="0" t="n">
        <v>10905</v>
      </c>
      <c r="B3900" s="0" t="s">
        <v>2681</v>
      </c>
      <c r="C3900" s="0" t="s">
        <v>31</v>
      </c>
      <c r="D3900" s="0" t="s">
        <v>3671</v>
      </c>
    </row>
    <row r="3901" customFormat="false" ht="15" hidden="false" customHeight="false" outlineLevel="0" collapsed="false">
      <c r="A3901" s="0" t="n">
        <v>11289</v>
      </c>
      <c r="B3901" s="0" t="s">
        <v>7021</v>
      </c>
      <c r="C3901" s="0" t="s">
        <v>31</v>
      </c>
      <c r="D3901" s="0" t="s">
        <v>3671</v>
      </c>
    </row>
    <row r="3902" customFormat="false" ht="15" hidden="false" customHeight="false" outlineLevel="0" collapsed="false">
      <c r="A3902" s="0" t="n">
        <v>11241</v>
      </c>
      <c r="B3902" s="0" t="s">
        <v>7022</v>
      </c>
      <c r="C3902" s="0" t="s">
        <v>31</v>
      </c>
      <c r="D3902" s="0" t="s">
        <v>3671</v>
      </c>
    </row>
    <row r="3903" customFormat="false" ht="15" hidden="false" customHeight="false" outlineLevel="0" collapsed="false">
      <c r="A3903" s="0" t="n">
        <v>11301</v>
      </c>
      <c r="B3903" s="0" t="s">
        <v>7023</v>
      </c>
      <c r="C3903" s="0" t="s">
        <v>31</v>
      </c>
      <c r="D3903" s="0" t="s">
        <v>3671</v>
      </c>
    </row>
    <row r="3904" customFormat="false" ht="15" hidden="false" customHeight="false" outlineLevel="0" collapsed="false">
      <c r="A3904" s="0" t="n">
        <v>21090</v>
      </c>
      <c r="B3904" s="0" t="s">
        <v>7024</v>
      </c>
      <c r="C3904" s="0" t="s">
        <v>31</v>
      </c>
      <c r="D3904" s="0" t="s">
        <v>3671</v>
      </c>
    </row>
    <row r="3905" customFormat="false" ht="15" hidden="false" customHeight="false" outlineLevel="0" collapsed="false">
      <c r="A3905" s="0" t="n">
        <v>11315</v>
      </c>
      <c r="B3905" s="0" t="s">
        <v>7025</v>
      </c>
      <c r="C3905" s="0" t="s">
        <v>31</v>
      </c>
      <c r="D3905" s="0" t="s">
        <v>3671</v>
      </c>
    </row>
    <row r="3906" customFormat="false" ht="15" hidden="false" customHeight="false" outlineLevel="0" collapsed="false">
      <c r="A3906" s="0" t="n">
        <v>21071</v>
      </c>
      <c r="B3906" s="0" t="s">
        <v>7026</v>
      </c>
      <c r="C3906" s="0" t="s">
        <v>31</v>
      </c>
      <c r="D3906" s="0" t="s">
        <v>3671</v>
      </c>
    </row>
    <row r="3907" customFormat="false" ht="15" hidden="false" customHeight="false" outlineLevel="0" collapsed="false">
      <c r="A3907" s="0" t="n">
        <v>14112</v>
      </c>
      <c r="B3907" s="0" t="s">
        <v>2533</v>
      </c>
      <c r="C3907" s="0" t="s">
        <v>31</v>
      </c>
      <c r="D3907" s="0" t="s">
        <v>3671</v>
      </c>
    </row>
    <row r="3908" customFormat="false" ht="15" hidden="false" customHeight="false" outlineLevel="0" collapsed="false">
      <c r="A3908" s="0" t="n">
        <v>11316</v>
      </c>
      <c r="B3908" s="0" t="s">
        <v>7027</v>
      </c>
      <c r="C3908" s="0" t="s">
        <v>31</v>
      </c>
      <c r="D3908" s="0" t="s">
        <v>3671</v>
      </c>
    </row>
    <row r="3909" customFormat="false" ht="15" hidden="false" customHeight="false" outlineLevel="0" collapsed="false">
      <c r="A3909" s="0" t="n">
        <v>6243</v>
      </c>
      <c r="B3909" s="0" t="s">
        <v>2112</v>
      </c>
      <c r="C3909" s="0" t="s">
        <v>31</v>
      </c>
      <c r="D3909" s="0" t="s">
        <v>3676</v>
      </c>
    </row>
    <row r="3910" customFormat="false" ht="15" hidden="false" customHeight="false" outlineLevel="0" collapsed="false">
      <c r="A3910" s="0" t="n">
        <v>6240</v>
      </c>
      <c r="B3910" s="0" t="s">
        <v>7028</v>
      </c>
      <c r="C3910" s="0" t="s">
        <v>31</v>
      </c>
      <c r="D3910" s="0" t="s">
        <v>3671</v>
      </c>
    </row>
    <row r="3911" customFormat="false" ht="15" hidden="false" customHeight="false" outlineLevel="0" collapsed="false">
      <c r="A3911" s="0" t="n">
        <v>11296</v>
      </c>
      <c r="B3911" s="0" t="s">
        <v>7029</v>
      </c>
      <c r="C3911" s="0" t="s">
        <v>31</v>
      </c>
      <c r="D3911" s="0" t="s">
        <v>3671</v>
      </c>
    </row>
    <row r="3912" customFormat="false" ht="15" hidden="false" customHeight="false" outlineLevel="0" collapsed="false">
      <c r="A3912" s="0" t="n">
        <v>11299</v>
      </c>
      <c r="B3912" s="0" t="s">
        <v>7030</v>
      </c>
      <c r="C3912" s="0" t="s">
        <v>31</v>
      </c>
      <c r="D3912" s="0" t="s">
        <v>3671</v>
      </c>
    </row>
    <row r="3913" customFormat="false" ht="15" hidden="false" customHeight="false" outlineLevel="0" collapsed="false">
      <c r="A3913" s="0" t="n">
        <v>11688</v>
      </c>
      <c r="B3913" s="0" t="s">
        <v>7031</v>
      </c>
      <c r="C3913" s="0" t="s">
        <v>31</v>
      </c>
      <c r="D3913" s="0" t="s">
        <v>3671</v>
      </c>
      <c r="E3913" s="0" t="n">
        <v>480.89</v>
      </c>
    </row>
    <row r="3914" customFormat="false" ht="15" hidden="false" customHeight="false" outlineLevel="0" collapsed="false">
      <c r="A3914" s="0" t="n">
        <v>37736</v>
      </c>
      <c r="B3914" s="0" t="s">
        <v>1501</v>
      </c>
      <c r="C3914" s="0" t="s">
        <v>31</v>
      </c>
      <c r="D3914" s="0" t="s">
        <v>3676</v>
      </c>
    </row>
    <row r="3915" customFormat="false" ht="15" hidden="false" customHeight="false" outlineLevel="0" collapsed="false">
      <c r="A3915" s="0" t="n">
        <v>37739</v>
      </c>
      <c r="B3915" s="0" t="s">
        <v>7032</v>
      </c>
      <c r="C3915" s="0" t="s">
        <v>31</v>
      </c>
      <c r="D3915" s="0" t="s">
        <v>3671</v>
      </c>
    </row>
    <row r="3916" customFormat="false" ht="15" hidden="false" customHeight="false" outlineLevel="0" collapsed="false">
      <c r="A3916" s="0" t="n">
        <v>37740</v>
      </c>
      <c r="B3916" s="0" t="s">
        <v>7033</v>
      </c>
      <c r="C3916" s="0" t="s">
        <v>31</v>
      </c>
      <c r="D3916" s="0" t="s">
        <v>3671</v>
      </c>
    </row>
    <row r="3917" customFormat="false" ht="15" hidden="false" customHeight="false" outlineLevel="0" collapsed="false">
      <c r="A3917" s="0" t="n">
        <v>37738</v>
      </c>
      <c r="B3917" s="0" t="s">
        <v>7034</v>
      </c>
      <c r="C3917" s="0" t="s">
        <v>31</v>
      </c>
      <c r="D3917" s="0" t="s">
        <v>3671</v>
      </c>
    </row>
    <row r="3918" customFormat="false" ht="15" hidden="false" customHeight="false" outlineLevel="0" collapsed="false">
      <c r="A3918" s="0" t="n">
        <v>37737</v>
      </c>
      <c r="B3918" s="0" t="s">
        <v>7035</v>
      </c>
      <c r="C3918" s="0" t="s">
        <v>31</v>
      </c>
      <c r="D3918" s="0" t="s">
        <v>3671</v>
      </c>
    </row>
    <row r="3919" customFormat="false" ht="15" hidden="false" customHeight="false" outlineLevel="0" collapsed="false">
      <c r="A3919" s="0" t="n">
        <v>25014</v>
      </c>
      <c r="B3919" s="0" t="s">
        <v>7036</v>
      </c>
      <c r="C3919" s="0" t="s">
        <v>31</v>
      </c>
      <c r="D3919" s="0" t="s">
        <v>3671</v>
      </c>
    </row>
    <row r="3920" customFormat="false" ht="15" hidden="false" customHeight="false" outlineLevel="0" collapsed="false">
      <c r="A3920" s="0" t="n">
        <v>25013</v>
      </c>
      <c r="B3920" s="0" t="s">
        <v>7037</v>
      </c>
      <c r="C3920" s="0" t="s">
        <v>31</v>
      </c>
      <c r="D3920" s="0" t="s">
        <v>3671</v>
      </c>
    </row>
    <row r="3921" customFormat="false" ht="15" hidden="false" customHeight="false" outlineLevel="0" collapsed="false">
      <c r="A3921" s="0" t="n">
        <v>14405</v>
      </c>
      <c r="B3921" s="0" t="s">
        <v>7038</v>
      </c>
      <c r="C3921" s="0" t="s">
        <v>31</v>
      </c>
      <c r="D3921" s="0" t="s">
        <v>3671</v>
      </c>
    </row>
    <row r="3922" customFormat="false" ht="15" hidden="false" customHeight="false" outlineLevel="0" collapsed="false">
      <c r="A3922" s="0" t="n">
        <v>20271</v>
      </c>
      <c r="B3922" s="0" t="s">
        <v>7039</v>
      </c>
      <c r="C3922" s="0" t="s">
        <v>31</v>
      </c>
      <c r="D3922" s="0" t="s">
        <v>3671</v>
      </c>
      <c r="E3922" s="0" t="n">
        <v>527.98</v>
      </c>
    </row>
    <row r="3923" customFormat="false" ht="15" hidden="false" customHeight="false" outlineLevel="0" collapsed="false">
      <c r="A3923" s="0" t="n">
        <v>10423</v>
      </c>
      <c r="B3923" s="0" t="s">
        <v>7040</v>
      </c>
      <c r="C3923" s="0" t="s">
        <v>31</v>
      </c>
      <c r="D3923" s="0" t="s">
        <v>3671</v>
      </c>
      <c r="E3923" s="0" t="n">
        <v>387.66</v>
      </c>
    </row>
    <row r="3924" customFormat="false" ht="15" hidden="false" customHeight="false" outlineLevel="0" collapsed="false">
      <c r="A3924" s="0" t="n">
        <v>36790</v>
      </c>
      <c r="B3924" s="0" t="s">
        <v>7041</v>
      </c>
      <c r="C3924" s="0" t="s">
        <v>31</v>
      </c>
      <c r="D3924" s="0" t="s">
        <v>3671</v>
      </c>
      <c r="E3924" s="0" t="n">
        <v>285.61</v>
      </c>
    </row>
    <row r="3925" customFormat="false" ht="15" hidden="false" customHeight="false" outlineLevel="0" collapsed="false">
      <c r="A3925" s="0" t="n">
        <v>37589</v>
      </c>
      <c r="B3925" s="0" t="s">
        <v>7042</v>
      </c>
      <c r="C3925" s="0" t="s">
        <v>31</v>
      </c>
      <c r="D3925" s="0" t="s">
        <v>3671</v>
      </c>
      <c r="E3925" s="0" t="n">
        <v>349.95</v>
      </c>
    </row>
    <row r="3926" customFormat="false" ht="15" hidden="false" customHeight="false" outlineLevel="0" collapsed="false">
      <c r="A3926" s="0" t="n">
        <v>11690</v>
      </c>
      <c r="B3926" s="0" t="s">
        <v>2080</v>
      </c>
      <c r="C3926" s="0" t="s">
        <v>31</v>
      </c>
      <c r="D3926" s="0" t="s">
        <v>3671</v>
      </c>
      <c r="E3926" s="0" t="n">
        <v>185.9</v>
      </c>
    </row>
    <row r="3927" customFormat="false" ht="15" hidden="false" customHeight="false" outlineLevel="0" collapsed="false">
      <c r="A3927" s="0" t="n">
        <v>20234</v>
      </c>
      <c r="B3927" s="0" t="s">
        <v>7043</v>
      </c>
      <c r="C3927" s="0" t="s">
        <v>31</v>
      </c>
      <c r="D3927" s="0" t="s">
        <v>3671</v>
      </c>
      <c r="E3927" s="0" t="n">
        <v>235.26</v>
      </c>
    </row>
    <row r="3928" customFormat="false" ht="15" hidden="false" customHeight="false" outlineLevel="0" collapsed="false">
      <c r="A3928" s="0" t="n">
        <v>44480</v>
      </c>
      <c r="B3928" s="0" t="s">
        <v>7044</v>
      </c>
      <c r="C3928" s="0" t="s">
        <v>1442</v>
      </c>
      <c r="D3928" s="0" t="s">
        <v>3671</v>
      </c>
      <c r="E3928" s="0" t="n">
        <v>17.78</v>
      </c>
    </row>
    <row r="3929" customFormat="false" ht="15" hidden="false" customHeight="false" outlineLevel="0" collapsed="false">
      <c r="A3929" s="0" t="n">
        <v>11457</v>
      </c>
      <c r="B3929" s="0" t="s">
        <v>7045</v>
      </c>
      <c r="C3929" s="0" t="s">
        <v>31</v>
      </c>
      <c r="D3929" s="0" t="s">
        <v>3671</v>
      </c>
      <c r="E3929" s="0" t="n">
        <v>52.78</v>
      </c>
    </row>
    <row r="3930" customFormat="false" ht="15" hidden="false" customHeight="false" outlineLevel="0" collapsed="false">
      <c r="A3930" s="0" t="n">
        <v>44073</v>
      </c>
      <c r="B3930" s="0" t="s">
        <v>1714</v>
      </c>
      <c r="C3930" s="0" t="s">
        <v>1455</v>
      </c>
      <c r="D3930" s="0" t="s">
        <v>3671</v>
      </c>
      <c r="E3930" s="0" t="n">
        <v>0.72</v>
      </c>
    </row>
    <row r="3931" customFormat="false" ht="15" hidden="false" customHeight="false" outlineLevel="0" collapsed="false">
      <c r="A3931" s="0" t="n">
        <v>3593</v>
      </c>
      <c r="B3931" s="0" t="s">
        <v>7046</v>
      </c>
      <c r="C3931" s="0" t="s">
        <v>31</v>
      </c>
      <c r="D3931" s="0" t="s">
        <v>3671</v>
      </c>
    </row>
    <row r="3932" customFormat="false" ht="15" hidden="false" customHeight="false" outlineLevel="0" collapsed="false">
      <c r="A3932" s="0" t="n">
        <v>3588</v>
      </c>
      <c r="B3932" s="0" t="s">
        <v>7047</v>
      </c>
      <c r="C3932" s="0" t="s">
        <v>31</v>
      </c>
      <c r="D3932" s="0" t="s">
        <v>3671</v>
      </c>
    </row>
    <row r="3933" customFormat="false" ht="15" hidden="false" customHeight="false" outlineLevel="0" collapsed="false">
      <c r="A3933" s="0" t="n">
        <v>3587</v>
      </c>
      <c r="B3933" s="0" t="s">
        <v>7048</v>
      </c>
      <c r="C3933" s="0" t="s">
        <v>31</v>
      </c>
      <c r="D3933" s="0" t="s">
        <v>3671</v>
      </c>
    </row>
    <row r="3934" customFormat="false" ht="15" hidden="false" customHeight="false" outlineLevel="0" collapsed="false">
      <c r="A3934" s="0" t="n">
        <v>3585</v>
      </c>
      <c r="B3934" s="0" t="s">
        <v>7049</v>
      </c>
      <c r="C3934" s="0" t="s">
        <v>31</v>
      </c>
      <c r="D3934" s="0" t="s">
        <v>3671</v>
      </c>
    </row>
    <row r="3935" customFormat="false" ht="15" hidden="false" customHeight="false" outlineLevel="0" collapsed="false">
      <c r="A3935" s="0" t="n">
        <v>3590</v>
      </c>
      <c r="B3935" s="0" t="s">
        <v>7050</v>
      </c>
      <c r="C3935" s="0" t="s">
        <v>31</v>
      </c>
      <c r="D3935" s="0" t="s">
        <v>3671</v>
      </c>
    </row>
    <row r="3936" customFormat="false" ht="15" hidden="false" customHeight="false" outlineLevel="0" collapsed="false">
      <c r="A3936" s="0" t="n">
        <v>3589</v>
      </c>
      <c r="B3936" s="0" t="s">
        <v>7051</v>
      </c>
      <c r="C3936" s="0" t="s">
        <v>31</v>
      </c>
      <c r="D3936" s="0" t="s">
        <v>3671</v>
      </c>
    </row>
    <row r="3937" customFormat="false" ht="15" hidden="false" customHeight="false" outlineLevel="0" collapsed="false">
      <c r="A3937" s="0" t="n">
        <v>3592</v>
      </c>
      <c r="B3937" s="0" t="s">
        <v>7052</v>
      </c>
      <c r="C3937" s="0" t="s">
        <v>31</v>
      </c>
      <c r="D3937" s="0" t="s">
        <v>3671</v>
      </c>
    </row>
    <row r="3938" customFormat="false" ht="15" hidden="false" customHeight="false" outlineLevel="0" collapsed="false">
      <c r="A3938" s="0" t="n">
        <v>3586</v>
      </c>
      <c r="B3938" s="0" t="s">
        <v>7053</v>
      </c>
      <c r="C3938" s="0" t="s">
        <v>31</v>
      </c>
      <c r="D3938" s="0" t="s">
        <v>3671</v>
      </c>
    </row>
    <row r="3939" customFormat="false" ht="15" hidden="false" customHeight="false" outlineLevel="0" collapsed="false">
      <c r="A3939" s="0" t="n">
        <v>3591</v>
      </c>
      <c r="B3939" s="0" t="s">
        <v>7054</v>
      </c>
      <c r="C3939" s="0" t="s">
        <v>31</v>
      </c>
      <c r="D3939" s="0" t="s">
        <v>3671</v>
      </c>
    </row>
    <row r="3940" customFormat="false" ht="15" hidden="false" customHeight="false" outlineLevel="0" collapsed="false">
      <c r="A3940" s="0" t="n">
        <v>40396</v>
      </c>
      <c r="B3940" s="0" t="s">
        <v>7055</v>
      </c>
      <c r="C3940" s="0" t="s">
        <v>31</v>
      </c>
      <c r="D3940" s="0" t="s">
        <v>3671</v>
      </c>
    </row>
    <row r="3941" customFormat="false" ht="15" hidden="false" customHeight="false" outlineLevel="0" collapsed="false">
      <c r="A3941" s="0" t="n">
        <v>40395</v>
      </c>
      <c r="B3941" s="0" t="s">
        <v>7056</v>
      </c>
      <c r="C3941" s="0" t="s">
        <v>31</v>
      </c>
      <c r="D3941" s="0" t="s">
        <v>3671</v>
      </c>
    </row>
    <row r="3942" customFormat="false" ht="15" hidden="false" customHeight="false" outlineLevel="0" collapsed="false">
      <c r="A3942" s="0" t="n">
        <v>40394</v>
      </c>
      <c r="B3942" s="0" t="s">
        <v>7057</v>
      </c>
      <c r="C3942" s="0" t="s">
        <v>31</v>
      </c>
      <c r="D3942" s="0" t="s">
        <v>3671</v>
      </c>
    </row>
    <row r="3943" customFormat="false" ht="15" hidden="false" customHeight="false" outlineLevel="0" collapsed="false">
      <c r="A3943" s="0" t="n">
        <v>40392</v>
      </c>
      <c r="B3943" s="0" t="s">
        <v>7058</v>
      </c>
      <c r="C3943" s="0" t="s">
        <v>31</v>
      </c>
      <c r="D3943" s="0" t="s">
        <v>3671</v>
      </c>
    </row>
    <row r="3944" customFormat="false" ht="15" hidden="false" customHeight="false" outlineLevel="0" collapsed="false">
      <c r="A3944" s="0" t="n">
        <v>40398</v>
      </c>
      <c r="B3944" s="0" t="s">
        <v>7059</v>
      </c>
      <c r="C3944" s="0" t="s">
        <v>31</v>
      </c>
      <c r="D3944" s="0" t="s">
        <v>3671</v>
      </c>
    </row>
    <row r="3945" customFormat="false" ht="15" hidden="false" customHeight="false" outlineLevel="0" collapsed="false">
      <c r="A3945" s="0" t="n">
        <v>40397</v>
      </c>
      <c r="B3945" s="0" t="s">
        <v>7060</v>
      </c>
      <c r="C3945" s="0" t="s">
        <v>31</v>
      </c>
      <c r="D3945" s="0" t="s">
        <v>3671</v>
      </c>
    </row>
    <row r="3946" customFormat="false" ht="15" hidden="false" customHeight="false" outlineLevel="0" collapsed="false">
      <c r="A3946" s="0" t="n">
        <v>40399</v>
      </c>
      <c r="B3946" s="0" t="s">
        <v>7061</v>
      </c>
      <c r="C3946" s="0" t="s">
        <v>31</v>
      </c>
      <c r="D3946" s="0" t="s">
        <v>3671</v>
      </c>
    </row>
    <row r="3947" customFormat="false" ht="15" hidden="false" customHeight="false" outlineLevel="0" collapsed="false">
      <c r="A3947" s="0" t="n">
        <v>40393</v>
      </c>
      <c r="B3947" s="0" t="s">
        <v>7062</v>
      </c>
      <c r="C3947" s="0" t="s">
        <v>31</v>
      </c>
      <c r="D3947" s="0" t="s">
        <v>3671</v>
      </c>
    </row>
    <row r="3948" customFormat="false" ht="15" hidden="false" customHeight="false" outlineLevel="0" collapsed="false">
      <c r="A3948" s="0" t="n">
        <v>44253</v>
      </c>
      <c r="B3948" s="0" t="s">
        <v>7063</v>
      </c>
      <c r="C3948" s="0" t="s">
        <v>31</v>
      </c>
      <c r="D3948" s="0" t="s">
        <v>3671</v>
      </c>
      <c r="E3948" s="0" t="n">
        <v>261.71</v>
      </c>
    </row>
    <row r="3949" customFormat="false" ht="15" hidden="false" customHeight="false" outlineLevel="0" collapsed="false">
      <c r="A3949" s="0" t="n">
        <v>21121</v>
      </c>
      <c r="B3949" s="0" t="s">
        <v>7064</v>
      </c>
      <c r="C3949" s="0" t="s">
        <v>31</v>
      </c>
      <c r="D3949" s="0" t="s">
        <v>3671</v>
      </c>
      <c r="E3949" s="0" t="n">
        <v>3.75</v>
      </c>
    </row>
    <row r="3950" customFormat="false" ht="15" hidden="false" customHeight="false" outlineLevel="0" collapsed="false">
      <c r="A3950" s="0" t="n">
        <v>38010</v>
      </c>
      <c r="B3950" s="0" t="s">
        <v>7065</v>
      </c>
      <c r="C3950" s="0" t="s">
        <v>31</v>
      </c>
      <c r="D3950" s="0" t="s">
        <v>3671</v>
      </c>
      <c r="E3950" s="0" t="n">
        <v>4.67</v>
      </c>
    </row>
    <row r="3951" customFormat="false" ht="15" hidden="false" customHeight="false" outlineLevel="0" collapsed="false">
      <c r="A3951" s="0" t="n">
        <v>38011</v>
      </c>
      <c r="B3951" s="0" t="s">
        <v>7066</v>
      </c>
      <c r="C3951" s="0" t="s">
        <v>31</v>
      </c>
      <c r="D3951" s="0" t="s">
        <v>3671</v>
      </c>
      <c r="E3951" s="0" t="n">
        <v>9.37</v>
      </c>
    </row>
    <row r="3952" customFormat="false" ht="15" hidden="false" customHeight="false" outlineLevel="0" collapsed="false">
      <c r="A3952" s="0" t="n">
        <v>38012</v>
      </c>
      <c r="B3952" s="0" t="s">
        <v>7067</v>
      </c>
      <c r="C3952" s="0" t="s">
        <v>31</v>
      </c>
      <c r="D3952" s="0" t="s">
        <v>3671</v>
      </c>
      <c r="E3952" s="0" t="n">
        <v>35.72</v>
      </c>
    </row>
    <row r="3953" customFormat="false" ht="15" hidden="false" customHeight="false" outlineLevel="0" collapsed="false">
      <c r="A3953" s="0" t="n">
        <v>38013</v>
      </c>
      <c r="B3953" s="0" t="s">
        <v>7068</v>
      </c>
      <c r="C3953" s="0" t="s">
        <v>31</v>
      </c>
      <c r="D3953" s="0" t="s">
        <v>3671</v>
      </c>
      <c r="E3953" s="0" t="n">
        <v>45.89</v>
      </c>
    </row>
    <row r="3954" customFormat="false" ht="15" hidden="false" customHeight="false" outlineLevel="0" collapsed="false">
      <c r="A3954" s="0" t="n">
        <v>38014</v>
      </c>
      <c r="B3954" s="0" t="s">
        <v>7069</v>
      </c>
      <c r="C3954" s="0" t="s">
        <v>31</v>
      </c>
      <c r="D3954" s="0" t="s">
        <v>3671</v>
      </c>
      <c r="E3954" s="0" t="n">
        <v>76.64</v>
      </c>
    </row>
    <row r="3955" customFormat="false" ht="15" hidden="false" customHeight="false" outlineLevel="0" collapsed="false">
      <c r="A3955" s="0" t="n">
        <v>38015</v>
      </c>
      <c r="B3955" s="0" t="s">
        <v>7070</v>
      </c>
      <c r="C3955" s="0" t="s">
        <v>31</v>
      </c>
      <c r="D3955" s="0" t="s">
        <v>3671</v>
      </c>
      <c r="E3955" s="0" t="n">
        <v>180.19</v>
      </c>
    </row>
    <row r="3956" customFormat="false" ht="15" hidden="false" customHeight="false" outlineLevel="0" collapsed="false">
      <c r="A3956" s="0" t="n">
        <v>38016</v>
      </c>
      <c r="B3956" s="0" t="s">
        <v>7071</v>
      </c>
      <c r="C3956" s="0" t="s">
        <v>31</v>
      </c>
      <c r="D3956" s="0" t="s">
        <v>3671</v>
      </c>
      <c r="E3956" s="0" t="n">
        <v>209.54</v>
      </c>
    </row>
    <row r="3957" customFormat="false" ht="15" hidden="false" customHeight="false" outlineLevel="0" collapsed="false">
      <c r="A3957" s="0" t="n">
        <v>12741</v>
      </c>
      <c r="B3957" s="0" t="s">
        <v>7072</v>
      </c>
      <c r="C3957" s="0" t="s">
        <v>31</v>
      </c>
      <c r="D3957" s="0" t="s">
        <v>3671</v>
      </c>
    </row>
    <row r="3958" customFormat="false" ht="15" hidden="false" customHeight="false" outlineLevel="0" collapsed="false">
      <c r="A3958" s="0" t="n">
        <v>12733</v>
      </c>
      <c r="B3958" s="0" t="s">
        <v>7073</v>
      </c>
      <c r="C3958" s="0" t="s">
        <v>31</v>
      </c>
      <c r="D3958" s="0" t="s">
        <v>3671</v>
      </c>
    </row>
    <row r="3959" customFormat="false" ht="15" hidden="false" customHeight="false" outlineLevel="0" collapsed="false">
      <c r="A3959" s="0" t="n">
        <v>12734</v>
      </c>
      <c r="B3959" s="0" t="s">
        <v>7074</v>
      </c>
      <c r="C3959" s="0" t="s">
        <v>31</v>
      </c>
      <c r="D3959" s="0" t="s">
        <v>3671</v>
      </c>
    </row>
    <row r="3960" customFormat="false" ht="15" hidden="false" customHeight="false" outlineLevel="0" collapsed="false">
      <c r="A3960" s="0" t="n">
        <v>12735</v>
      </c>
      <c r="B3960" s="0" t="s">
        <v>7075</v>
      </c>
      <c r="C3960" s="0" t="s">
        <v>31</v>
      </c>
      <c r="D3960" s="0" t="s">
        <v>3671</v>
      </c>
    </row>
    <row r="3961" customFormat="false" ht="15" hidden="false" customHeight="false" outlineLevel="0" collapsed="false">
      <c r="A3961" s="0" t="n">
        <v>12736</v>
      </c>
      <c r="B3961" s="0" t="s">
        <v>7076</v>
      </c>
      <c r="C3961" s="0" t="s">
        <v>31</v>
      </c>
      <c r="D3961" s="0" t="s">
        <v>3671</v>
      </c>
    </row>
    <row r="3962" customFormat="false" ht="15" hidden="false" customHeight="false" outlineLevel="0" collapsed="false">
      <c r="A3962" s="0" t="n">
        <v>12737</v>
      </c>
      <c r="B3962" s="0" t="s">
        <v>7077</v>
      </c>
      <c r="C3962" s="0" t="s">
        <v>31</v>
      </c>
      <c r="D3962" s="0" t="s">
        <v>3671</v>
      </c>
    </row>
    <row r="3963" customFormat="false" ht="15" hidden="false" customHeight="false" outlineLevel="0" collapsed="false">
      <c r="A3963" s="0" t="n">
        <v>12738</v>
      </c>
      <c r="B3963" s="0" t="s">
        <v>7078</v>
      </c>
      <c r="C3963" s="0" t="s">
        <v>31</v>
      </c>
      <c r="D3963" s="0" t="s">
        <v>3671</v>
      </c>
    </row>
    <row r="3964" customFormat="false" ht="15" hidden="false" customHeight="false" outlineLevel="0" collapsed="false">
      <c r="A3964" s="0" t="n">
        <v>12739</v>
      </c>
      <c r="B3964" s="0" t="s">
        <v>7079</v>
      </c>
      <c r="C3964" s="0" t="s">
        <v>31</v>
      </c>
      <c r="D3964" s="0" t="s">
        <v>3671</v>
      </c>
    </row>
    <row r="3965" customFormat="false" ht="15" hidden="false" customHeight="false" outlineLevel="0" collapsed="false">
      <c r="A3965" s="0" t="n">
        <v>12740</v>
      </c>
      <c r="B3965" s="0" t="s">
        <v>7080</v>
      </c>
      <c r="C3965" s="0" t="s">
        <v>31</v>
      </c>
      <c r="D3965" s="0" t="s">
        <v>3671</v>
      </c>
    </row>
    <row r="3966" customFormat="false" ht="15" hidden="false" customHeight="false" outlineLevel="0" collapsed="false">
      <c r="A3966" s="0" t="n">
        <v>6297</v>
      </c>
      <c r="B3966" s="0" t="s">
        <v>7081</v>
      </c>
      <c r="C3966" s="0" t="s">
        <v>31</v>
      </c>
      <c r="D3966" s="0" t="s">
        <v>3671</v>
      </c>
    </row>
    <row r="3967" customFormat="false" ht="15" hidden="false" customHeight="false" outlineLevel="0" collapsed="false">
      <c r="A3967" s="0" t="n">
        <v>6296</v>
      </c>
      <c r="B3967" s="0" t="s">
        <v>7082</v>
      </c>
      <c r="C3967" s="0" t="s">
        <v>31</v>
      </c>
      <c r="D3967" s="0" t="s">
        <v>3671</v>
      </c>
    </row>
    <row r="3968" customFormat="false" ht="15" hidden="false" customHeight="false" outlineLevel="0" collapsed="false">
      <c r="A3968" s="0" t="n">
        <v>6323</v>
      </c>
      <c r="B3968" s="0" t="s">
        <v>7083</v>
      </c>
      <c r="C3968" s="0" t="s">
        <v>31</v>
      </c>
      <c r="D3968" s="0" t="s">
        <v>3671</v>
      </c>
    </row>
    <row r="3969" customFormat="false" ht="15" hidden="false" customHeight="false" outlineLevel="0" collapsed="false">
      <c r="A3969" s="0" t="n">
        <v>6294</v>
      </c>
      <c r="B3969" s="0" t="s">
        <v>7084</v>
      </c>
      <c r="C3969" s="0" t="s">
        <v>31</v>
      </c>
      <c r="D3969" s="0" t="s">
        <v>3671</v>
      </c>
    </row>
    <row r="3970" customFormat="false" ht="15" hidden="false" customHeight="false" outlineLevel="0" collapsed="false">
      <c r="A3970" s="0" t="n">
        <v>6299</v>
      </c>
      <c r="B3970" s="0" t="s">
        <v>2690</v>
      </c>
      <c r="C3970" s="0" t="s">
        <v>31</v>
      </c>
      <c r="D3970" s="0" t="s">
        <v>3671</v>
      </c>
    </row>
    <row r="3971" customFormat="false" ht="15" hidden="false" customHeight="false" outlineLevel="0" collapsed="false">
      <c r="A3971" s="0" t="n">
        <v>6298</v>
      </c>
      <c r="B3971" s="0" t="s">
        <v>7085</v>
      </c>
      <c r="C3971" s="0" t="s">
        <v>31</v>
      </c>
      <c r="D3971" s="0" t="s">
        <v>3671</v>
      </c>
    </row>
    <row r="3972" customFormat="false" ht="15" hidden="false" customHeight="false" outlineLevel="0" collapsed="false">
      <c r="A3972" s="0" t="n">
        <v>6322</v>
      </c>
      <c r="B3972" s="0" t="s">
        <v>2692</v>
      </c>
      <c r="C3972" s="0" t="s">
        <v>31</v>
      </c>
      <c r="D3972" s="0" t="s">
        <v>3671</v>
      </c>
    </row>
    <row r="3973" customFormat="false" ht="15" hidden="false" customHeight="false" outlineLevel="0" collapsed="false">
      <c r="A3973" s="0" t="n">
        <v>6295</v>
      </c>
      <c r="B3973" s="0" t="s">
        <v>7086</v>
      </c>
      <c r="C3973" s="0" t="s">
        <v>31</v>
      </c>
      <c r="D3973" s="0" t="s">
        <v>3671</v>
      </c>
    </row>
    <row r="3974" customFormat="false" ht="15" hidden="false" customHeight="false" outlineLevel="0" collapsed="false">
      <c r="A3974" s="0" t="n">
        <v>6300</v>
      </c>
      <c r="B3974" s="0" t="s">
        <v>7087</v>
      </c>
      <c r="C3974" s="0" t="s">
        <v>31</v>
      </c>
      <c r="D3974" s="0" t="s">
        <v>3671</v>
      </c>
    </row>
    <row r="3975" customFormat="false" ht="15" hidden="false" customHeight="false" outlineLevel="0" collapsed="false">
      <c r="A3975" s="0" t="n">
        <v>6321</v>
      </c>
      <c r="B3975" s="0" t="s">
        <v>7088</v>
      </c>
      <c r="C3975" s="0" t="s">
        <v>31</v>
      </c>
      <c r="D3975" s="0" t="s">
        <v>3671</v>
      </c>
    </row>
    <row r="3976" customFormat="false" ht="15" hidden="false" customHeight="false" outlineLevel="0" collapsed="false">
      <c r="A3976" s="0" t="n">
        <v>6301</v>
      </c>
      <c r="B3976" s="0" t="s">
        <v>7089</v>
      </c>
      <c r="C3976" s="0" t="s">
        <v>31</v>
      </c>
      <c r="D3976" s="0" t="s">
        <v>3671</v>
      </c>
    </row>
    <row r="3977" customFormat="false" ht="15" hidden="false" customHeight="false" outlineLevel="0" collapsed="false">
      <c r="A3977" s="0" t="n">
        <v>7105</v>
      </c>
      <c r="B3977" s="0" t="s">
        <v>7090</v>
      </c>
      <c r="C3977" s="0" t="s">
        <v>31</v>
      </c>
      <c r="D3977" s="0" t="s">
        <v>3671</v>
      </c>
      <c r="E3977" s="0" t="n">
        <v>43.61</v>
      </c>
    </row>
    <row r="3978" customFormat="false" ht="15" hidden="false" customHeight="false" outlineLevel="0" collapsed="false">
      <c r="A3978" s="0" t="n">
        <v>20183</v>
      </c>
      <c r="B3978" s="0" t="s">
        <v>7091</v>
      </c>
      <c r="C3978" s="0" t="s">
        <v>31</v>
      </c>
      <c r="D3978" s="0" t="s">
        <v>3671</v>
      </c>
      <c r="E3978" s="0" t="n">
        <v>53.74</v>
      </c>
    </row>
    <row r="3979" customFormat="false" ht="15" hidden="false" customHeight="false" outlineLevel="0" collapsed="false">
      <c r="A3979" s="0" t="n">
        <v>38448</v>
      </c>
      <c r="B3979" s="0" t="s">
        <v>7092</v>
      </c>
      <c r="C3979" s="0" t="s">
        <v>31</v>
      </c>
      <c r="D3979" s="0" t="s">
        <v>3671</v>
      </c>
      <c r="E3979" s="0" t="n">
        <v>243.85</v>
      </c>
    </row>
    <row r="3980" customFormat="false" ht="15" hidden="false" customHeight="false" outlineLevel="0" collapsed="false">
      <c r="A3980" s="0" t="n">
        <v>20182</v>
      </c>
      <c r="B3980" s="0" t="s">
        <v>7093</v>
      </c>
      <c r="C3980" s="0" t="s">
        <v>31</v>
      </c>
      <c r="D3980" s="0" t="s">
        <v>3671</v>
      </c>
      <c r="E3980" s="0" t="n">
        <v>31.24</v>
      </c>
    </row>
    <row r="3981" customFormat="false" ht="15" hidden="false" customHeight="false" outlineLevel="0" collapsed="false">
      <c r="A3981" s="0" t="n">
        <v>7119</v>
      </c>
      <c r="B3981" s="0" t="s">
        <v>7094</v>
      </c>
      <c r="C3981" s="0" t="s">
        <v>31</v>
      </c>
      <c r="D3981" s="0" t="s">
        <v>3671</v>
      </c>
      <c r="E3981" s="0" t="n">
        <v>11.32</v>
      </c>
    </row>
    <row r="3982" customFormat="false" ht="15" hidden="false" customHeight="false" outlineLevel="0" collapsed="false">
      <c r="A3982" s="0" t="n">
        <v>7126</v>
      </c>
      <c r="B3982" s="0" t="s">
        <v>7095</v>
      </c>
      <c r="C3982" s="0" t="s">
        <v>31</v>
      </c>
      <c r="D3982" s="0" t="s">
        <v>3671</v>
      </c>
      <c r="E3982" s="0" t="n">
        <v>23.1</v>
      </c>
    </row>
    <row r="3983" customFormat="false" ht="15" hidden="false" customHeight="false" outlineLevel="0" collapsed="false">
      <c r="A3983" s="0" t="n">
        <v>7120</v>
      </c>
      <c r="B3983" s="0" t="s">
        <v>7096</v>
      </c>
      <c r="C3983" s="0" t="s">
        <v>31</v>
      </c>
      <c r="D3983" s="0" t="s">
        <v>3671</v>
      </c>
      <c r="E3983" s="0" t="n">
        <v>8.68</v>
      </c>
    </row>
    <row r="3984" customFormat="false" ht="15" hidden="false" customHeight="false" outlineLevel="0" collapsed="false">
      <c r="A3984" s="0" t="n">
        <v>6319</v>
      </c>
      <c r="B3984" s="0" t="s">
        <v>7097</v>
      </c>
      <c r="C3984" s="0" t="s">
        <v>31</v>
      </c>
      <c r="D3984" s="0" t="s">
        <v>3671</v>
      </c>
    </row>
    <row r="3985" customFormat="false" ht="15" hidden="false" customHeight="false" outlineLevel="0" collapsed="false">
      <c r="A3985" s="0" t="n">
        <v>6304</v>
      </c>
      <c r="B3985" s="0" t="s">
        <v>7098</v>
      </c>
      <c r="C3985" s="0" t="s">
        <v>31</v>
      </c>
      <c r="D3985" s="0" t="s">
        <v>3671</v>
      </c>
    </row>
    <row r="3986" customFormat="false" ht="15" hidden="false" customHeight="false" outlineLevel="0" collapsed="false">
      <c r="A3986" s="0" t="n">
        <v>21116</v>
      </c>
      <c r="B3986" s="0" t="s">
        <v>7099</v>
      </c>
      <c r="C3986" s="0" t="s">
        <v>31</v>
      </c>
      <c r="D3986" s="0" t="s">
        <v>3671</v>
      </c>
    </row>
    <row r="3987" customFormat="false" ht="15" hidden="false" customHeight="false" outlineLevel="0" collapsed="false">
      <c r="A3987" s="0" t="n">
        <v>6320</v>
      </c>
      <c r="B3987" s="0" t="s">
        <v>7100</v>
      </c>
      <c r="C3987" s="0" t="s">
        <v>31</v>
      </c>
      <c r="D3987" s="0" t="s">
        <v>3671</v>
      </c>
    </row>
    <row r="3988" customFormat="false" ht="15" hidden="false" customHeight="false" outlineLevel="0" collapsed="false">
      <c r="A3988" s="0" t="n">
        <v>6303</v>
      </c>
      <c r="B3988" s="0" t="s">
        <v>7101</v>
      </c>
      <c r="C3988" s="0" t="s">
        <v>31</v>
      </c>
      <c r="D3988" s="0" t="s">
        <v>3671</v>
      </c>
    </row>
    <row r="3989" customFormat="false" ht="15" hidden="false" customHeight="false" outlineLevel="0" collapsed="false">
      <c r="A3989" s="0" t="n">
        <v>6308</v>
      </c>
      <c r="B3989" s="0" t="s">
        <v>7102</v>
      </c>
      <c r="C3989" s="0" t="s">
        <v>31</v>
      </c>
      <c r="D3989" s="0" t="s">
        <v>3671</v>
      </c>
    </row>
    <row r="3990" customFormat="false" ht="15" hidden="false" customHeight="false" outlineLevel="0" collapsed="false">
      <c r="A3990" s="0" t="n">
        <v>6317</v>
      </c>
      <c r="B3990" s="0" t="s">
        <v>7103</v>
      </c>
      <c r="C3990" s="0" t="s">
        <v>31</v>
      </c>
      <c r="D3990" s="0" t="s">
        <v>3671</v>
      </c>
    </row>
    <row r="3991" customFormat="false" ht="15" hidden="false" customHeight="false" outlineLevel="0" collapsed="false">
      <c r="A3991" s="0" t="n">
        <v>6307</v>
      </c>
      <c r="B3991" s="0" t="s">
        <v>7104</v>
      </c>
      <c r="C3991" s="0" t="s">
        <v>31</v>
      </c>
      <c r="D3991" s="0" t="s">
        <v>3671</v>
      </c>
    </row>
    <row r="3992" customFormat="false" ht="15" hidden="false" customHeight="false" outlineLevel="0" collapsed="false">
      <c r="A3992" s="0" t="n">
        <v>6309</v>
      </c>
      <c r="B3992" s="0" t="s">
        <v>7105</v>
      </c>
      <c r="C3992" s="0" t="s">
        <v>31</v>
      </c>
      <c r="D3992" s="0" t="s">
        <v>3671</v>
      </c>
    </row>
    <row r="3993" customFormat="false" ht="15" hidden="false" customHeight="false" outlineLevel="0" collapsed="false">
      <c r="A3993" s="0" t="n">
        <v>6318</v>
      </c>
      <c r="B3993" s="0" t="s">
        <v>7106</v>
      </c>
      <c r="C3993" s="0" t="s">
        <v>31</v>
      </c>
      <c r="D3993" s="0" t="s">
        <v>3671</v>
      </c>
    </row>
    <row r="3994" customFormat="false" ht="15" hidden="false" customHeight="false" outlineLevel="0" collapsed="false">
      <c r="A3994" s="0" t="n">
        <v>6306</v>
      </c>
      <c r="B3994" s="0" t="s">
        <v>7107</v>
      </c>
      <c r="C3994" s="0" t="s">
        <v>31</v>
      </c>
      <c r="D3994" s="0" t="s">
        <v>3671</v>
      </c>
    </row>
    <row r="3995" customFormat="false" ht="15" hidden="false" customHeight="false" outlineLevel="0" collapsed="false">
      <c r="A3995" s="0" t="n">
        <v>6305</v>
      </c>
      <c r="B3995" s="0" t="s">
        <v>7108</v>
      </c>
      <c r="C3995" s="0" t="s">
        <v>31</v>
      </c>
      <c r="D3995" s="0" t="s">
        <v>3671</v>
      </c>
    </row>
    <row r="3996" customFormat="false" ht="15" hidden="false" customHeight="false" outlineLevel="0" collapsed="false">
      <c r="A3996" s="0" t="n">
        <v>6312</v>
      </c>
      <c r="B3996" s="0" t="s">
        <v>7109</v>
      </c>
      <c r="C3996" s="0" t="s">
        <v>31</v>
      </c>
      <c r="D3996" s="0" t="s">
        <v>3671</v>
      </c>
    </row>
    <row r="3997" customFormat="false" ht="15" hidden="false" customHeight="false" outlineLevel="0" collapsed="false">
      <c r="A3997" s="0" t="n">
        <v>6311</v>
      </c>
      <c r="B3997" s="0" t="s">
        <v>7110</v>
      </c>
      <c r="C3997" s="0" t="s">
        <v>31</v>
      </c>
      <c r="D3997" s="0" t="s">
        <v>3671</v>
      </c>
    </row>
    <row r="3998" customFormat="false" ht="15" hidden="false" customHeight="false" outlineLevel="0" collapsed="false">
      <c r="A3998" s="0" t="n">
        <v>6310</v>
      </c>
      <c r="B3998" s="0" t="s">
        <v>7111</v>
      </c>
      <c r="C3998" s="0" t="s">
        <v>31</v>
      </c>
      <c r="D3998" s="0" t="s">
        <v>3671</v>
      </c>
    </row>
    <row r="3999" customFormat="false" ht="15" hidden="false" customHeight="false" outlineLevel="0" collapsed="false">
      <c r="A3999" s="0" t="n">
        <v>6314</v>
      </c>
      <c r="B3999" s="0" t="s">
        <v>7112</v>
      </c>
      <c r="C3999" s="0" t="s">
        <v>31</v>
      </c>
      <c r="D3999" s="0" t="s">
        <v>3671</v>
      </c>
    </row>
    <row r="4000" customFormat="false" ht="15" hidden="false" customHeight="false" outlineLevel="0" collapsed="false">
      <c r="A4000" s="0" t="n">
        <v>6313</v>
      </c>
      <c r="B4000" s="0" t="s">
        <v>7113</v>
      </c>
      <c r="C4000" s="0" t="s">
        <v>31</v>
      </c>
      <c r="D4000" s="0" t="s">
        <v>3671</v>
      </c>
    </row>
    <row r="4001" customFormat="false" ht="15" hidden="false" customHeight="false" outlineLevel="0" collapsed="false">
      <c r="A4001" s="0" t="n">
        <v>6302</v>
      </c>
      <c r="B4001" s="0" t="s">
        <v>7114</v>
      </c>
      <c r="C4001" s="0" t="s">
        <v>31</v>
      </c>
      <c r="D4001" s="0" t="s">
        <v>3671</v>
      </c>
    </row>
    <row r="4002" customFormat="false" ht="15" hidden="false" customHeight="false" outlineLevel="0" collapsed="false">
      <c r="A4002" s="0" t="n">
        <v>6315</v>
      </c>
      <c r="B4002" s="0" t="s">
        <v>7115</v>
      </c>
      <c r="C4002" s="0" t="s">
        <v>31</v>
      </c>
      <c r="D4002" s="0" t="s">
        <v>3671</v>
      </c>
    </row>
    <row r="4003" customFormat="false" ht="15" hidden="false" customHeight="false" outlineLevel="0" collapsed="false">
      <c r="A4003" s="0" t="n">
        <v>6316</v>
      </c>
      <c r="B4003" s="0" t="s">
        <v>7116</v>
      </c>
      <c r="C4003" s="0" t="s">
        <v>31</v>
      </c>
      <c r="D4003" s="0" t="s">
        <v>3671</v>
      </c>
    </row>
    <row r="4004" customFormat="false" ht="15" hidden="false" customHeight="false" outlineLevel="0" collapsed="false">
      <c r="A4004" s="0" t="n">
        <v>39324</v>
      </c>
      <c r="B4004" s="0" t="s">
        <v>7117</v>
      </c>
      <c r="C4004" s="0" t="s">
        <v>31</v>
      </c>
      <c r="D4004" s="0" t="s">
        <v>3671</v>
      </c>
      <c r="E4004" s="0" t="n">
        <v>4.89</v>
      </c>
    </row>
    <row r="4005" customFormat="false" ht="15" hidden="false" customHeight="false" outlineLevel="0" collapsed="false">
      <c r="A4005" s="0" t="n">
        <v>39325</v>
      </c>
      <c r="B4005" s="0" t="s">
        <v>7118</v>
      </c>
      <c r="C4005" s="0" t="s">
        <v>31</v>
      </c>
      <c r="D4005" s="0" t="s">
        <v>3671</v>
      </c>
      <c r="E4005" s="0" t="n">
        <v>7.36</v>
      </c>
    </row>
    <row r="4006" customFormat="false" ht="15" hidden="false" customHeight="false" outlineLevel="0" collapsed="false">
      <c r="A4006" s="0" t="n">
        <v>39326</v>
      </c>
      <c r="B4006" s="0" t="s">
        <v>7119</v>
      </c>
      <c r="C4006" s="0" t="s">
        <v>31</v>
      </c>
      <c r="D4006" s="0" t="s">
        <v>3671</v>
      </c>
      <c r="E4006" s="0" t="n">
        <v>26.42</v>
      </c>
    </row>
    <row r="4007" customFormat="false" ht="15" hidden="false" customHeight="false" outlineLevel="0" collapsed="false">
      <c r="A4007" s="0" t="n">
        <v>39327</v>
      </c>
      <c r="B4007" s="0" t="s">
        <v>7120</v>
      </c>
      <c r="C4007" s="0" t="s">
        <v>31</v>
      </c>
      <c r="D4007" s="0" t="s">
        <v>3671</v>
      </c>
      <c r="E4007" s="0" t="n">
        <v>39.86</v>
      </c>
    </row>
    <row r="4008" customFormat="false" ht="15" hidden="false" customHeight="false" outlineLevel="0" collapsed="false">
      <c r="A4008" s="0" t="n">
        <v>11378</v>
      </c>
      <c r="B4008" s="0" t="s">
        <v>7121</v>
      </c>
      <c r="C4008" s="0" t="s">
        <v>31</v>
      </c>
      <c r="D4008" s="0" t="s">
        <v>3671</v>
      </c>
    </row>
    <row r="4009" customFormat="false" ht="15" hidden="false" customHeight="false" outlineLevel="0" collapsed="false">
      <c r="A4009" s="0" t="n">
        <v>11379</v>
      </c>
      <c r="B4009" s="0" t="s">
        <v>7122</v>
      </c>
      <c r="C4009" s="0" t="s">
        <v>31</v>
      </c>
      <c r="D4009" s="0" t="s">
        <v>3671</v>
      </c>
    </row>
    <row r="4010" customFormat="false" ht="15" hidden="false" customHeight="false" outlineLevel="0" collapsed="false">
      <c r="A4010" s="0" t="n">
        <v>11493</v>
      </c>
      <c r="B4010" s="0" t="s">
        <v>7123</v>
      </c>
      <c r="C4010" s="0" t="s">
        <v>31</v>
      </c>
      <c r="D4010" s="0" t="s">
        <v>3671</v>
      </c>
    </row>
    <row r="4011" customFormat="false" ht="15" hidden="false" customHeight="false" outlineLevel="0" collapsed="false">
      <c r="A4011" s="0" t="n">
        <v>7106</v>
      </c>
      <c r="B4011" s="0" t="s">
        <v>7124</v>
      </c>
      <c r="C4011" s="0" t="s">
        <v>31</v>
      </c>
      <c r="D4011" s="0" t="s">
        <v>3671</v>
      </c>
      <c r="E4011" s="0" t="n">
        <v>142.97</v>
      </c>
    </row>
    <row r="4012" customFormat="false" ht="15" hidden="false" customHeight="false" outlineLevel="0" collapsed="false">
      <c r="A4012" s="0" t="n">
        <v>7104</v>
      </c>
      <c r="B4012" s="0" t="s">
        <v>7125</v>
      </c>
      <c r="C4012" s="0" t="s">
        <v>31</v>
      </c>
      <c r="D4012" s="0" t="s">
        <v>3671</v>
      </c>
      <c r="E4012" s="0" t="n">
        <v>3.85</v>
      </c>
    </row>
    <row r="4013" customFormat="false" ht="15" hidden="false" customHeight="false" outlineLevel="0" collapsed="false">
      <c r="A4013" s="0" t="n">
        <v>7136</v>
      </c>
      <c r="B4013" s="0" t="s">
        <v>2337</v>
      </c>
      <c r="C4013" s="0" t="s">
        <v>31</v>
      </c>
      <c r="D4013" s="0" t="s">
        <v>3671</v>
      </c>
      <c r="E4013" s="0" t="n">
        <v>6.71</v>
      </c>
    </row>
    <row r="4014" customFormat="false" ht="15" hidden="false" customHeight="false" outlineLevel="0" collapsed="false">
      <c r="A4014" s="0" t="n">
        <v>7128</v>
      </c>
      <c r="B4014" s="0" t="s">
        <v>2841</v>
      </c>
      <c r="C4014" s="0" t="s">
        <v>31</v>
      </c>
      <c r="D4014" s="0" t="s">
        <v>3671</v>
      </c>
      <c r="E4014" s="0" t="n">
        <v>8.71</v>
      </c>
    </row>
    <row r="4015" customFormat="false" ht="15" hidden="false" customHeight="false" outlineLevel="0" collapsed="false">
      <c r="A4015" s="0" t="n">
        <v>7108</v>
      </c>
      <c r="B4015" s="0" t="s">
        <v>7126</v>
      </c>
      <c r="C4015" s="0" t="s">
        <v>31</v>
      </c>
      <c r="D4015" s="0" t="s">
        <v>3671</v>
      </c>
      <c r="E4015" s="0" t="n">
        <v>8.68</v>
      </c>
    </row>
    <row r="4016" customFormat="false" ht="15" hidden="false" customHeight="false" outlineLevel="0" collapsed="false">
      <c r="A4016" s="0" t="n">
        <v>7129</v>
      </c>
      <c r="B4016" s="0" t="s">
        <v>2339</v>
      </c>
      <c r="C4016" s="0" t="s">
        <v>31</v>
      </c>
      <c r="D4016" s="0" t="s">
        <v>3671</v>
      </c>
      <c r="E4016" s="0" t="n">
        <v>10.22</v>
      </c>
    </row>
    <row r="4017" customFormat="false" ht="15" hidden="false" customHeight="false" outlineLevel="0" collapsed="false">
      <c r="A4017" s="0" t="n">
        <v>7130</v>
      </c>
      <c r="B4017" s="0" t="s">
        <v>7127</v>
      </c>
      <c r="C4017" s="0" t="s">
        <v>31</v>
      </c>
      <c r="D4017" s="0" t="s">
        <v>3671</v>
      </c>
      <c r="E4017" s="0" t="n">
        <v>14.85</v>
      </c>
    </row>
    <row r="4018" customFormat="false" ht="15" hidden="false" customHeight="false" outlineLevel="0" collapsed="false">
      <c r="A4018" s="0" t="n">
        <v>7131</v>
      </c>
      <c r="B4018" s="0" t="s">
        <v>7128</v>
      </c>
      <c r="C4018" s="0" t="s">
        <v>31</v>
      </c>
      <c r="D4018" s="0" t="s">
        <v>3671</v>
      </c>
      <c r="E4018" s="0" t="n">
        <v>18.16</v>
      </c>
    </row>
    <row r="4019" customFormat="false" ht="15" hidden="false" customHeight="false" outlineLevel="0" collapsed="false">
      <c r="A4019" s="0" t="n">
        <v>7132</v>
      </c>
      <c r="B4019" s="0" t="s">
        <v>2341</v>
      </c>
      <c r="C4019" s="0" t="s">
        <v>31</v>
      </c>
      <c r="D4019" s="0" t="s">
        <v>3671</v>
      </c>
      <c r="E4019" s="0" t="n">
        <v>42.76</v>
      </c>
    </row>
    <row r="4020" customFormat="false" ht="15" hidden="false" customHeight="false" outlineLevel="0" collapsed="false">
      <c r="A4020" s="0" t="n">
        <v>7133</v>
      </c>
      <c r="B4020" s="0" t="s">
        <v>7129</v>
      </c>
      <c r="C4020" s="0" t="s">
        <v>31</v>
      </c>
      <c r="D4020" s="0" t="s">
        <v>3671</v>
      </c>
      <c r="E4020" s="0" t="n">
        <v>98.82</v>
      </c>
    </row>
    <row r="4021" customFormat="false" ht="15" hidden="false" customHeight="false" outlineLevel="0" collapsed="false">
      <c r="A4021" s="0" t="n">
        <v>37422</v>
      </c>
      <c r="B4021" s="0" t="s">
        <v>7130</v>
      </c>
      <c r="C4021" s="0" t="s">
        <v>31</v>
      </c>
      <c r="D4021" s="0" t="s">
        <v>3671</v>
      </c>
    </row>
    <row r="4022" customFormat="false" ht="15" hidden="false" customHeight="false" outlineLevel="0" collapsed="false">
      <c r="A4022" s="0" t="n">
        <v>37420</v>
      </c>
      <c r="B4022" s="0" t="s">
        <v>7131</v>
      </c>
      <c r="C4022" s="0" t="s">
        <v>31</v>
      </c>
      <c r="D4022" s="0" t="s">
        <v>3671</v>
      </c>
    </row>
    <row r="4023" customFormat="false" ht="15" hidden="false" customHeight="false" outlineLevel="0" collapsed="false">
      <c r="A4023" s="0" t="n">
        <v>37421</v>
      </c>
      <c r="B4023" s="0" t="s">
        <v>7132</v>
      </c>
      <c r="C4023" s="0" t="s">
        <v>31</v>
      </c>
      <c r="D4023" s="0" t="s">
        <v>3671</v>
      </c>
    </row>
    <row r="4024" customFormat="false" ht="15" hidden="false" customHeight="false" outlineLevel="0" collapsed="false">
      <c r="A4024" s="0" t="n">
        <v>37443</v>
      </c>
      <c r="B4024" s="0" t="s">
        <v>7133</v>
      </c>
      <c r="C4024" s="0" t="s">
        <v>31</v>
      </c>
      <c r="D4024" s="0" t="s">
        <v>3671</v>
      </c>
    </row>
    <row r="4025" customFormat="false" ht="15" hidden="false" customHeight="false" outlineLevel="0" collapsed="false">
      <c r="A4025" s="0" t="n">
        <v>37444</v>
      </c>
      <c r="B4025" s="0" t="s">
        <v>7134</v>
      </c>
      <c r="C4025" s="0" t="s">
        <v>31</v>
      </c>
      <c r="D4025" s="0" t="s">
        <v>3671</v>
      </c>
    </row>
    <row r="4026" customFormat="false" ht="15" hidden="false" customHeight="false" outlineLevel="0" collapsed="false">
      <c r="A4026" s="0" t="n">
        <v>37445</v>
      </c>
      <c r="B4026" s="0" t="s">
        <v>7135</v>
      </c>
      <c r="C4026" s="0" t="s">
        <v>31</v>
      </c>
      <c r="D4026" s="0" t="s">
        <v>3671</v>
      </c>
    </row>
    <row r="4027" customFormat="false" ht="15" hidden="false" customHeight="false" outlineLevel="0" collapsed="false">
      <c r="A4027" s="0" t="n">
        <v>37446</v>
      </c>
      <c r="B4027" s="0" t="s">
        <v>7136</v>
      </c>
      <c r="C4027" s="0" t="s">
        <v>31</v>
      </c>
      <c r="D4027" s="0" t="s">
        <v>3671</v>
      </c>
    </row>
    <row r="4028" customFormat="false" ht="15" hidden="false" customHeight="false" outlineLevel="0" collapsed="false">
      <c r="A4028" s="0" t="n">
        <v>37447</v>
      </c>
      <c r="B4028" s="0" t="s">
        <v>7137</v>
      </c>
      <c r="C4028" s="0" t="s">
        <v>31</v>
      </c>
      <c r="D4028" s="0" t="s">
        <v>3671</v>
      </c>
    </row>
    <row r="4029" customFormat="false" ht="15" hidden="false" customHeight="false" outlineLevel="0" collapsed="false">
      <c r="A4029" s="0" t="n">
        <v>37448</v>
      </c>
      <c r="B4029" s="0" t="s">
        <v>7138</v>
      </c>
      <c r="C4029" s="0" t="s">
        <v>31</v>
      </c>
      <c r="D4029" s="0" t="s">
        <v>3671</v>
      </c>
    </row>
    <row r="4030" customFormat="false" ht="15" hidden="false" customHeight="false" outlineLevel="0" collapsed="false">
      <c r="A4030" s="0" t="n">
        <v>37440</v>
      </c>
      <c r="B4030" s="0" t="s">
        <v>7139</v>
      </c>
      <c r="C4030" s="0" t="s">
        <v>31</v>
      </c>
      <c r="D4030" s="0" t="s">
        <v>3671</v>
      </c>
    </row>
    <row r="4031" customFormat="false" ht="15" hidden="false" customHeight="false" outlineLevel="0" collapsed="false">
      <c r="A4031" s="0" t="n">
        <v>37441</v>
      </c>
      <c r="B4031" s="0" t="s">
        <v>7140</v>
      </c>
      <c r="C4031" s="0" t="s">
        <v>31</v>
      </c>
      <c r="D4031" s="0" t="s">
        <v>3671</v>
      </c>
    </row>
    <row r="4032" customFormat="false" ht="15" hidden="false" customHeight="false" outlineLevel="0" collapsed="false">
      <c r="A4032" s="0" t="n">
        <v>37442</v>
      </c>
      <c r="B4032" s="0" t="s">
        <v>7141</v>
      </c>
      <c r="C4032" s="0" t="s">
        <v>31</v>
      </c>
      <c r="D4032" s="0" t="s">
        <v>3671</v>
      </c>
    </row>
    <row r="4033" customFormat="false" ht="15" hidden="false" customHeight="false" outlineLevel="0" collapsed="false">
      <c r="A4033" s="0" t="n">
        <v>38017</v>
      </c>
      <c r="B4033" s="0" t="s">
        <v>7142</v>
      </c>
      <c r="C4033" s="0" t="s">
        <v>31</v>
      </c>
      <c r="D4033" s="0" t="s">
        <v>3671</v>
      </c>
      <c r="E4033" s="0" t="n">
        <v>9.99</v>
      </c>
    </row>
    <row r="4034" customFormat="false" ht="15" hidden="false" customHeight="false" outlineLevel="0" collapsed="false">
      <c r="A4034" s="0" t="n">
        <v>38018</v>
      </c>
      <c r="B4034" s="0" t="s">
        <v>7143</v>
      </c>
      <c r="C4034" s="0" t="s">
        <v>31</v>
      </c>
      <c r="D4034" s="0" t="s">
        <v>3671</v>
      </c>
      <c r="E4034" s="0" t="n">
        <v>11.23</v>
      </c>
    </row>
    <row r="4035" customFormat="false" ht="15" hidden="false" customHeight="false" outlineLevel="0" collapsed="false">
      <c r="A4035" s="0" t="n">
        <v>39895</v>
      </c>
      <c r="B4035" s="0" t="s">
        <v>7144</v>
      </c>
      <c r="C4035" s="0" t="s">
        <v>31</v>
      </c>
      <c r="D4035" s="0" t="s">
        <v>3671</v>
      </c>
    </row>
    <row r="4036" customFormat="false" ht="15" hidden="false" customHeight="false" outlineLevel="0" collapsed="false">
      <c r="A4036" s="0" t="n">
        <v>39896</v>
      </c>
      <c r="B4036" s="0" t="s">
        <v>7145</v>
      </c>
      <c r="C4036" s="0" t="s">
        <v>31</v>
      </c>
      <c r="D4036" s="0" t="s">
        <v>3671</v>
      </c>
    </row>
    <row r="4037" customFormat="false" ht="15" hidden="false" customHeight="false" outlineLevel="0" collapsed="false">
      <c r="A4037" s="0" t="n">
        <v>38873</v>
      </c>
      <c r="B4037" s="0" t="s">
        <v>7146</v>
      </c>
      <c r="C4037" s="0" t="s">
        <v>31</v>
      </c>
      <c r="D4037" s="0" t="s">
        <v>3671</v>
      </c>
    </row>
    <row r="4038" customFormat="false" ht="15" hidden="false" customHeight="false" outlineLevel="0" collapsed="false">
      <c r="A4038" s="0" t="n">
        <v>38874</v>
      </c>
      <c r="B4038" s="0" t="s">
        <v>7147</v>
      </c>
      <c r="C4038" s="0" t="s">
        <v>31</v>
      </c>
      <c r="D4038" s="0" t="s">
        <v>3671</v>
      </c>
    </row>
    <row r="4039" customFormat="false" ht="15" hidden="false" customHeight="false" outlineLevel="0" collapsed="false">
      <c r="A4039" s="0" t="n">
        <v>38875</v>
      </c>
      <c r="B4039" s="0" t="s">
        <v>7148</v>
      </c>
      <c r="C4039" s="0" t="s">
        <v>31</v>
      </c>
      <c r="D4039" s="0" t="s">
        <v>3671</v>
      </c>
    </row>
    <row r="4040" customFormat="false" ht="15" hidden="false" customHeight="false" outlineLevel="0" collapsed="false">
      <c r="A4040" s="0" t="n">
        <v>38876</v>
      </c>
      <c r="B4040" s="0" t="s">
        <v>7149</v>
      </c>
      <c r="C4040" s="0" t="s">
        <v>31</v>
      </c>
      <c r="D4040" s="0" t="s">
        <v>3671</v>
      </c>
    </row>
    <row r="4041" customFormat="false" ht="15" hidden="false" customHeight="false" outlineLevel="0" collapsed="false">
      <c r="A4041" s="0" t="n">
        <v>39000</v>
      </c>
      <c r="B4041" s="0" t="s">
        <v>7150</v>
      </c>
      <c r="C4041" s="0" t="s">
        <v>31</v>
      </c>
      <c r="D4041" s="0" t="s">
        <v>3671</v>
      </c>
    </row>
    <row r="4042" customFormat="false" ht="15" hidden="false" customHeight="false" outlineLevel="0" collapsed="false">
      <c r="A4042" s="0" t="n">
        <v>38674</v>
      </c>
      <c r="B4042" s="0" t="s">
        <v>7151</v>
      </c>
      <c r="C4042" s="0" t="s">
        <v>31</v>
      </c>
      <c r="D4042" s="0" t="s">
        <v>3671</v>
      </c>
      <c r="E4042" s="0" t="n">
        <v>33.61</v>
      </c>
    </row>
    <row r="4043" customFormat="false" ht="15" hidden="false" customHeight="false" outlineLevel="0" collapsed="false">
      <c r="A4043" s="0" t="n">
        <v>38019</v>
      </c>
      <c r="B4043" s="0" t="s">
        <v>7152</v>
      </c>
      <c r="C4043" s="0" t="s">
        <v>31</v>
      </c>
      <c r="D4043" s="0" t="s">
        <v>3671</v>
      </c>
      <c r="E4043" s="0" t="n">
        <v>7.11</v>
      </c>
    </row>
    <row r="4044" customFormat="false" ht="15" hidden="false" customHeight="false" outlineLevel="0" collapsed="false">
      <c r="A4044" s="0" t="n">
        <v>38020</v>
      </c>
      <c r="B4044" s="0" t="s">
        <v>7153</v>
      </c>
      <c r="C4044" s="0" t="s">
        <v>31</v>
      </c>
      <c r="D4044" s="0" t="s">
        <v>3671</v>
      </c>
      <c r="E4044" s="0" t="n">
        <v>8.76</v>
      </c>
    </row>
    <row r="4045" customFormat="false" ht="15" hidden="false" customHeight="false" outlineLevel="0" collapsed="false">
      <c r="A4045" s="0" t="n">
        <v>38454</v>
      </c>
      <c r="B4045" s="0" t="s">
        <v>7154</v>
      </c>
      <c r="C4045" s="0" t="s">
        <v>31</v>
      </c>
      <c r="D4045" s="0" t="s">
        <v>3671</v>
      </c>
    </row>
    <row r="4046" customFormat="false" ht="15" hidden="false" customHeight="false" outlineLevel="0" collapsed="false">
      <c r="A4046" s="0" t="n">
        <v>38455</v>
      </c>
      <c r="B4046" s="0" t="s">
        <v>7155</v>
      </c>
      <c r="C4046" s="0" t="s">
        <v>31</v>
      </c>
      <c r="D4046" s="0" t="s">
        <v>3671</v>
      </c>
    </row>
    <row r="4047" customFormat="false" ht="15" hidden="false" customHeight="false" outlineLevel="0" collapsed="false">
      <c r="A4047" s="0" t="n">
        <v>38462</v>
      </c>
      <c r="B4047" s="0" t="s">
        <v>7156</v>
      </c>
      <c r="C4047" s="0" t="s">
        <v>31</v>
      </c>
      <c r="D4047" s="0" t="s">
        <v>3671</v>
      </c>
    </row>
    <row r="4048" customFormat="false" ht="15" hidden="false" customHeight="false" outlineLevel="0" collapsed="false">
      <c r="A4048" s="0" t="n">
        <v>36362</v>
      </c>
      <c r="B4048" s="0" t="s">
        <v>7157</v>
      </c>
      <c r="C4048" s="0" t="s">
        <v>31</v>
      </c>
      <c r="D4048" s="0" t="s">
        <v>3671</v>
      </c>
    </row>
    <row r="4049" customFormat="false" ht="15" hidden="false" customHeight="false" outlineLevel="0" collapsed="false">
      <c r="A4049" s="0" t="n">
        <v>36298</v>
      </c>
      <c r="B4049" s="0" t="s">
        <v>7158</v>
      </c>
      <c r="C4049" s="0" t="s">
        <v>31</v>
      </c>
      <c r="D4049" s="0" t="s">
        <v>3671</v>
      </c>
    </row>
    <row r="4050" customFormat="false" ht="15" hidden="false" customHeight="false" outlineLevel="0" collapsed="false">
      <c r="A4050" s="0" t="n">
        <v>38456</v>
      </c>
      <c r="B4050" s="0" t="s">
        <v>7159</v>
      </c>
      <c r="C4050" s="0" t="s">
        <v>31</v>
      </c>
      <c r="D4050" s="0" t="s">
        <v>3671</v>
      </c>
    </row>
    <row r="4051" customFormat="false" ht="15" hidden="false" customHeight="false" outlineLevel="0" collapsed="false">
      <c r="A4051" s="0" t="n">
        <v>38457</v>
      </c>
      <c r="B4051" s="0" t="s">
        <v>7160</v>
      </c>
      <c r="C4051" s="0" t="s">
        <v>31</v>
      </c>
      <c r="D4051" s="0" t="s">
        <v>3671</v>
      </c>
    </row>
    <row r="4052" customFormat="false" ht="15" hidden="false" customHeight="false" outlineLevel="0" collapsed="false">
      <c r="A4052" s="0" t="n">
        <v>38458</v>
      </c>
      <c r="B4052" s="0" t="s">
        <v>7161</v>
      </c>
      <c r="C4052" s="0" t="s">
        <v>31</v>
      </c>
      <c r="D4052" s="0" t="s">
        <v>3671</v>
      </c>
    </row>
    <row r="4053" customFormat="false" ht="15" hidden="false" customHeight="false" outlineLevel="0" collapsed="false">
      <c r="A4053" s="0" t="n">
        <v>38459</v>
      </c>
      <c r="B4053" s="0" t="s">
        <v>7162</v>
      </c>
      <c r="C4053" s="0" t="s">
        <v>31</v>
      </c>
      <c r="D4053" s="0" t="s">
        <v>3671</v>
      </c>
    </row>
    <row r="4054" customFormat="false" ht="15" hidden="false" customHeight="false" outlineLevel="0" collapsed="false">
      <c r="A4054" s="0" t="n">
        <v>38460</v>
      </c>
      <c r="B4054" s="0" t="s">
        <v>7163</v>
      </c>
      <c r="C4054" s="0" t="s">
        <v>31</v>
      </c>
      <c r="D4054" s="0" t="s">
        <v>3671</v>
      </c>
    </row>
    <row r="4055" customFormat="false" ht="15" hidden="false" customHeight="false" outlineLevel="0" collapsed="false">
      <c r="A4055" s="0" t="n">
        <v>38461</v>
      </c>
      <c r="B4055" s="0" t="s">
        <v>7164</v>
      </c>
      <c r="C4055" s="0" t="s">
        <v>31</v>
      </c>
      <c r="D4055" s="0" t="s">
        <v>3671</v>
      </c>
    </row>
    <row r="4056" customFormat="false" ht="15" hidden="false" customHeight="false" outlineLevel="0" collapsed="false">
      <c r="A4056" s="0" t="n">
        <v>7094</v>
      </c>
      <c r="B4056" s="0" t="s">
        <v>7165</v>
      </c>
      <c r="C4056" s="0" t="s">
        <v>31</v>
      </c>
      <c r="D4056" s="0" t="s">
        <v>3671</v>
      </c>
      <c r="E4056" s="0" t="n">
        <v>12.58</v>
      </c>
    </row>
    <row r="4057" customFormat="false" ht="15" hidden="false" customHeight="false" outlineLevel="0" collapsed="false">
      <c r="A4057" s="0" t="n">
        <v>7116</v>
      </c>
      <c r="B4057" s="0" t="s">
        <v>7166</v>
      </c>
      <c r="C4057" s="0" t="s">
        <v>31</v>
      </c>
      <c r="D4057" s="0" t="s">
        <v>3671</v>
      </c>
      <c r="E4057" s="0" t="n">
        <v>3.91</v>
      </c>
    </row>
    <row r="4058" customFormat="false" ht="15" hidden="false" customHeight="false" outlineLevel="0" collapsed="false">
      <c r="A4058" s="0" t="n">
        <v>7118</v>
      </c>
      <c r="B4058" s="0" t="s">
        <v>7167</v>
      </c>
      <c r="C4058" s="0" t="s">
        <v>31</v>
      </c>
      <c r="D4058" s="0" t="s">
        <v>3671</v>
      </c>
      <c r="E4058" s="0" t="n">
        <v>25.87</v>
      </c>
    </row>
    <row r="4059" customFormat="false" ht="15" hidden="false" customHeight="false" outlineLevel="0" collapsed="false">
      <c r="A4059" s="0" t="n">
        <v>7098</v>
      </c>
      <c r="B4059" s="0" t="s">
        <v>7168</v>
      </c>
      <c r="C4059" s="0" t="s">
        <v>31</v>
      </c>
      <c r="D4059" s="0" t="s">
        <v>3671</v>
      </c>
      <c r="E4059" s="0" t="n">
        <v>3.84</v>
      </c>
    </row>
    <row r="4060" customFormat="false" ht="15" hidden="false" customHeight="false" outlineLevel="0" collapsed="false">
      <c r="A4060" s="0" t="n">
        <v>7110</v>
      </c>
      <c r="B4060" s="0" t="s">
        <v>7169</v>
      </c>
      <c r="C4060" s="0" t="s">
        <v>31</v>
      </c>
      <c r="D4060" s="0" t="s">
        <v>3671</v>
      </c>
      <c r="E4060" s="0" t="n">
        <v>49.19</v>
      </c>
    </row>
    <row r="4061" customFormat="false" ht="15" hidden="false" customHeight="false" outlineLevel="0" collapsed="false">
      <c r="A4061" s="0" t="n">
        <v>7123</v>
      </c>
      <c r="B4061" s="0" t="s">
        <v>7170</v>
      </c>
      <c r="C4061" s="0" t="s">
        <v>31</v>
      </c>
      <c r="D4061" s="0" t="s">
        <v>3671</v>
      </c>
      <c r="E4061" s="0" t="n">
        <v>4.65</v>
      </c>
    </row>
    <row r="4062" customFormat="false" ht="15" hidden="false" customHeight="false" outlineLevel="0" collapsed="false">
      <c r="A4062" s="0" t="n">
        <v>7121</v>
      </c>
      <c r="B4062" s="0" t="s">
        <v>7171</v>
      </c>
      <c r="C4062" s="0" t="s">
        <v>31</v>
      </c>
      <c r="D4062" s="0" t="s">
        <v>3671</v>
      </c>
      <c r="E4062" s="0" t="n">
        <v>9.2</v>
      </c>
    </row>
    <row r="4063" customFormat="false" ht="15" hidden="false" customHeight="false" outlineLevel="0" collapsed="false">
      <c r="A4063" s="0" t="n">
        <v>7137</v>
      </c>
      <c r="B4063" s="0" t="s">
        <v>2349</v>
      </c>
      <c r="C4063" s="0" t="s">
        <v>31</v>
      </c>
      <c r="D4063" s="0" t="s">
        <v>3671</v>
      </c>
      <c r="E4063" s="0" t="n">
        <v>10.05</v>
      </c>
    </row>
    <row r="4064" customFormat="false" ht="15" hidden="false" customHeight="false" outlineLevel="0" collapsed="false">
      <c r="A4064" s="0" t="n">
        <v>7122</v>
      </c>
      <c r="B4064" s="0" t="s">
        <v>2351</v>
      </c>
      <c r="C4064" s="0" t="s">
        <v>31</v>
      </c>
      <c r="D4064" s="0" t="s">
        <v>3671</v>
      </c>
      <c r="E4064" s="0" t="n">
        <v>11.06</v>
      </c>
    </row>
    <row r="4065" customFormat="false" ht="15" hidden="false" customHeight="false" outlineLevel="0" collapsed="false">
      <c r="A4065" s="0" t="n">
        <v>7114</v>
      </c>
      <c r="B4065" s="0" t="s">
        <v>7172</v>
      </c>
      <c r="C4065" s="0" t="s">
        <v>31</v>
      </c>
      <c r="D4065" s="0" t="s">
        <v>3671</v>
      </c>
      <c r="E4065" s="0" t="n">
        <v>12.86</v>
      </c>
    </row>
    <row r="4066" customFormat="false" ht="15" hidden="false" customHeight="false" outlineLevel="0" collapsed="false">
      <c r="A4066" s="0" t="n">
        <v>7109</v>
      </c>
      <c r="B4066" s="0" t="s">
        <v>7173</v>
      </c>
      <c r="C4066" s="0" t="s">
        <v>31</v>
      </c>
      <c r="D4066" s="0" t="s">
        <v>3671</v>
      </c>
      <c r="E4066" s="0" t="n">
        <v>2.55</v>
      </c>
    </row>
    <row r="4067" customFormat="false" ht="15" hidden="false" customHeight="false" outlineLevel="0" collapsed="false">
      <c r="A4067" s="0" t="n">
        <v>7135</v>
      </c>
      <c r="B4067" s="0" t="s">
        <v>7174</v>
      </c>
      <c r="C4067" s="0" t="s">
        <v>31</v>
      </c>
      <c r="D4067" s="0" t="s">
        <v>3671</v>
      </c>
      <c r="E4067" s="0" t="n">
        <v>5.22</v>
      </c>
    </row>
    <row r="4068" customFormat="false" ht="15" hidden="false" customHeight="false" outlineLevel="0" collapsed="false">
      <c r="A4068" s="0" t="n">
        <v>37947</v>
      </c>
      <c r="B4068" s="0" t="s">
        <v>7175</v>
      </c>
      <c r="C4068" s="0" t="s">
        <v>31</v>
      </c>
      <c r="D4068" s="0" t="s">
        <v>3671</v>
      </c>
      <c r="E4068" s="0" t="n">
        <v>4.24</v>
      </c>
    </row>
    <row r="4069" customFormat="false" ht="15" hidden="false" customHeight="false" outlineLevel="0" collapsed="false">
      <c r="A4069" s="0" t="n">
        <v>7103</v>
      </c>
      <c r="B4069" s="0" t="s">
        <v>7176</v>
      </c>
      <c r="C4069" s="0" t="s">
        <v>31</v>
      </c>
      <c r="D4069" s="0" t="s">
        <v>3671</v>
      </c>
      <c r="E4069" s="0" t="n">
        <v>13.83</v>
      </c>
    </row>
    <row r="4070" customFormat="false" ht="15" hidden="false" customHeight="false" outlineLevel="0" collapsed="false">
      <c r="A4070" s="0" t="n">
        <v>40419</v>
      </c>
      <c r="B4070" s="0" t="s">
        <v>7177</v>
      </c>
      <c r="C4070" s="0" t="s">
        <v>31</v>
      </c>
      <c r="D4070" s="0" t="s">
        <v>3671</v>
      </c>
    </row>
    <row r="4071" customFormat="false" ht="15" hidden="false" customHeight="false" outlineLevel="0" collapsed="false">
      <c r="A4071" s="0" t="n">
        <v>40420</v>
      </c>
      <c r="B4071" s="0" t="s">
        <v>7178</v>
      </c>
      <c r="C4071" s="0" t="s">
        <v>31</v>
      </c>
      <c r="D4071" s="0" t="s">
        <v>3671</v>
      </c>
    </row>
    <row r="4072" customFormat="false" ht="15" hidden="false" customHeight="false" outlineLevel="0" collapsed="false">
      <c r="A4072" s="0" t="n">
        <v>40421</v>
      </c>
      <c r="B4072" s="0" t="s">
        <v>7179</v>
      </c>
      <c r="C4072" s="0" t="s">
        <v>31</v>
      </c>
      <c r="D4072" s="0" t="s">
        <v>3671</v>
      </c>
    </row>
    <row r="4073" customFormat="false" ht="15" hidden="false" customHeight="false" outlineLevel="0" collapsed="false">
      <c r="A4073" s="0" t="n">
        <v>38905</v>
      </c>
      <c r="B4073" s="0" t="s">
        <v>7180</v>
      </c>
      <c r="C4073" s="0" t="s">
        <v>31</v>
      </c>
      <c r="D4073" s="0" t="s">
        <v>3671</v>
      </c>
    </row>
    <row r="4074" customFormat="false" ht="15" hidden="false" customHeight="false" outlineLevel="0" collapsed="false">
      <c r="A4074" s="0" t="n">
        <v>38907</v>
      </c>
      <c r="B4074" s="0" t="s">
        <v>7181</v>
      </c>
      <c r="C4074" s="0" t="s">
        <v>31</v>
      </c>
      <c r="D4074" s="0" t="s">
        <v>3671</v>
      </c>
    </row>
    <row r="4075" customFormat="false" ht="15" hidden="false" customHeight="false" outlineLevel="0" collapsed="false">
      <c r="A4075" s="0" t="n">
        <v>38910</v>
      </c>
      <c r="B4075" s="0" t="s">
        <v>7182</v>
      </c>
      <c r="C4075" s="0" t="s">
        <v>31</v>
      </c>
      <c r="D4075" s="0" t="s">
        <v>3671</v>
      </c>
    </row>
    <row r="4076" customFormat="false" ht="15" hidden="false" customHeight="false" outlineLevel="0" collapsed="false">
      <c r="A4076" s="0" t="n">
        <v>11655</v>
      </c>
      <c r="B4076" s="0" t="s">
        <v>2185</v>
      </c>
      <c r="C4076" s="0" t="s">
        <v>31</v>
      </c>
      <c r="D4076" s="0" t="s">
        <v>3671</v>
      </c>
      <c r="E4076" s="0" t="n">
        <v>18.08</v>
      </c>
    </row>
    <row r="4077" customFormat="false" ht="15" hidden="false" customHeight="false" outlineLevel="0" collapsed="false">
      <c r="A4077" s="0" t="n">
        <v>11656</v>
      </c>
      <c r="B4077" s="0" t="s">
        <v>2187</v>
      </c>
      <c r="C4077" s="0" t="s">
        <v>31</v>
      </c>
      <c r="D4077" s="0" t="s">
        <v>3671</v>
      </c>
      <c r="E4077" s="0" t="n">
        <v>20.75</v>
      </c>
    </row>
    <row r="4078" customFormat="false" ht="15" hidden="false" customHeight="false" outlineLevel="0" collapsed="false">
      <c r="A4078" s="0" t="n">
        <v>7091</v>
      </c>
      <c r="B4078" s="0" t="s">
        <v>7183</v>
      </c>
      <c r="C4078" s="0" t="s">
        <v>31</v>
      </c>
      <c r="D4078" s="0" t="s">
        <v>3671</v>
      </c>
      <c r="E4078" s="0" t="n">
        <v>17</v>
      </c>
    </row>
    <row r="4079" customFormat="false" ht="15" hidden="false" customHeight="false" outlineLevel="0" collapsed="false">
      <c r="A4079" s="0" t="n">
        <v>37948</v>
      </c>
      <c r="B4079" s="0" t="s">
        <v>7184</v>
      </c>
      <c r="C4079" s="0" t="s">
        <v>31</v>
      </c>
      <c r="D4079" s="0" t="s">
        <v>3671</v>
      </c>
      <c r="E4079" s="0" t="n">
        <v>3.94</v>
      </c>
    </row>
    <row r="4080" customFormat="false" ht="15" hidden="false" customHeight="false" outlineLevel="0" collapsed="false">
      <c r="A4080" s="0" t="n">
        <v>7097</v>
      </c>
      <c r="B4080" s="0" t="s">
        <v>2189</v>
      </c>
      <c r="C4080" s="0" t="s">
        <v>31</v>
      </c>
      <c r="D4080" s="0" t="s">
        <v>3671</v>
      </c>
      <c r="E4080" s="0" t="n">
        <v>7.98</v>
      </c>
    </row>
    <row r="4081" customFormat="false" ht="15" hidden="false" customHeight="false" outlineLevel="0" collapsed="false">
      <c r="A4081" s="0" t="n">
        <v>11658</v>
      </c>
      <c r="B4081" s="0" t="s">
        <v>2270</v>
      </c>
      <c r="C4081" s="0" t="s">
        <v>31</v>
      </c>
      <c r="D4081" s="0" t="s">
        <v>3671</v>
      </c>
      <c r="E4081" s="0" t="n">
        <v>17.65</v>
      </c>
    </row>
    <row r="4082" customFormat="false" ht="15" hidden="false" customHeight="false" outlineLevel="0" collapsed="false">
      <c r="A4082" s="0" t="n">
        <v>7146</v>
      </c>
      <c r="B4082" s="0" t="s">
        <v>7185</v>
      </c>
      <c r="C4082" s="0" t="s">
        <v>31</v>
      </c>
      <c r="D4082" s="0" t="s">
        <v>3671</v>
      </c>
      <c r="E4082" s="0" t="n">
        <v>168.36</v>
      </c>
    </row>
    <row r="4083" customFormat="false" ht="15" hidden="false" customHeight="false" outlineLevel="0" collapsed="false">
      <c r="A4083" s="0" t="n">
        <v>7138</v>
      </c>
      <c r="B4083" s="0" t="s">
        <v>7186</v>
      </c>
      <c r="C4083" s="0" t="s">
        <v>31</v>
      </c>
      <c r="D4083" s="0" t="s">
        <v>3671</v>
      </c>
      <c r="E4083" s="0" t="n">
        <v>1.06</v>
      </c>
    </row>
    <row r="4084" customFormat="false" ht="15" hidden="false" customHeight="false" outlineLevel="0" collapsed="false">
      <c r="A4084" s="0" t="n">
        <v>7139</v>
      </c>
      <c r="B4084" s="0" t="s">
        <v>2110</v>
      </c>
      <c r="C4084" s="0" t="s">
        <v>31</v>
      </c>
      <c r="D4084" s="0" t="s">
        <v>3671</v>
      </c>
      <c r="E4084" s="0" t="n">
        <v>1.21</v>
      </c>
    </row>
    <row r="4085" customFormat="false" ht="15" hidden="false" customHeight="false" outlineLevel="0" collapsed="false">
      <c r="A4085" s="0" t="n">
        <v>7140</v>
      </c>
      <c r="B4085" s="0" t="s">
        <v>2333</v>
      </c>
      <c r="C4085" s="0" t="s">
        <v>31</v>
      </c>
      <c r="D4085" s="0" t="s">
        <v>3671</v>
      </c>
      <c r="E4085" s="0" t="n">
        <v>3.79</v>
      </c>
    </row>
    <row r="4086" customFormat="false" ht="15" hidden="false" customHeight="false" outlineLevel="0" collapsed="false">
      <c r="A4086" s="0" t="n">
        <v>7141</v>
      </c>
      <c r="B4086" s="0" t="s">
        <v>2844</v>
      </c>
      <c r="C4086" s="0" t="s">
        <v>31</v>
      </c>
      <c r="D4086" s="0" t="s">
        <v>3671</v>
      </c>
      <c r="E4086" s="0" t="n">
        <v>9.26</v>
      </c>
    </row>
    <row r="4087" customFormat="false" ht="15" hidden="false" customHeight="false" outlineLevel="0" collapsed="false">
      <c r="A4087" s="0" t="n">
        <v>7143</v>
      </c>
      <c r="B4087" s="0" t="s">
        <v>7187</v>
      </c>
      <c r="C4087" s="0" t="s">
        <v>31</v>
      </c>
      <c r="D4087" s="0" t="s">
        <v>3671</v>
      </c>
      <c r="E4087" s="0" t="n">
        <v>31.08</v>
      </c>
    </row>
    <row r="4088" customFormat="false" ht="15" hidden="false" customHeight="false" outlineLevel="0" collapsed="false">
      <c r="A4088" s="0" t="n">
        <v>7144</v>
      </c>
      <c r="B4088" s="0" t="s">
        <v>7188</v>
      </c>
      <c r="C4088" s="0" t="s">
        <v>31</v>
      </c>
      <c r="D4088" s="0" t="s">
        <v>3671</v>
      </c>
      <c r="E4088" s="0" t="n">
        <v>57.66</v>
      </c>
    </row>
    <row r="4089" customFormat="false" ht="15" hidden="false" customHeight="false" outlineLevel="0" collapsed="false">
      <c r="A4089" s="0" t="n">
        <v>7145</v>
      </c>
      <c r="B4089" s="0" t="s">
        <v>7189</v>
      </c>
      <c r="C4089" s="0" t="s">
        <v>31</v>
      </c>
      <c r="D4089" s="0" t="s">
        <v>3671</v>
      </c>
      <c r="E4089" s="0" t="n">
        <v>78.41</v>
      </c>
    </row>
    <row r="4090" customFormat="false" ht="15" hidden="false" customHeight="false" outlineLevel="0" collapsed="false">
      <c r="A4090" s="0" t="n">
        <v>7142</v>
      </c>
      <c r="B4090" s="0" t="s">
        <v>2335</v>
      </c>
      <c r="C4090" s="0" t="s">
        <v>31</v>
      </c>
      <c r="D4090" s="0" t="s">
        <v>3671</v>
      </c>
      <c r="E4090" s="0" t="n">
        <v>9.68</v>
      </c>
    </row>
    <row r="4091" customFormat="false" ht="15" hidden="false" customHeight="false" outlineLevel="0" collapsed="false">
      <c r="A4091" s="0" t="n">
        <v>39322</v>
      </c>
      <c r="B4091" s="0" t="s">
        <v>7190</v>
      </c>
      <c r="C4091" s="0" t="s">
        <v>31</v>
      </c>
      <c r="D4091" s="0" t="s">
        <v>3671</v>
      </c>
    </row>
    <row r="4092" customFormat="false" ht="15" hidden="false" customHeight="false" outlineLevel="0" collapsed="false">
      <c r="A4092" s="0" t="n">
        <v>39289</v>
      </c>
      <c r="B4092" s="0" t="s">
        <v>7191</v>
      </c>
      <c r="C4092" s="0" t="s">
        <v>31</v>
      </c>
      <c r="D4092" s="0" t="s">
        <v>3671</v>
      </c>
    </row>
    <row r="4093" customFormat="false" ht="15" hidden="false" customHeight="false" outlineLevel="0" collapsed="false">
      <c r="A4093" s="0" t="n">
        <v>39290</v>
      </c>
      <c r="B4093" s="0" t="s">
        <v>7192</v>
      </c>
      <c r="C4093" s="0" t="s">
        <v>31</v>
      </c>
      <c r="D4093" s="0" t="s">
        <v>3671</v>
      </c>
    </row>
    <row r="4094" customFormat="false" ht="15" hidden="false" customHeight="false" outlineLevel="0" collapsed="false">
      <c r="A4094" s="0" t="n">
        <v>39291</v>
      </c>
      <c r="B4094" s="0" t="s">
        <v>7193</v>
      </c>
      <c r="C4094" s="0" t="s">
        <v>31</v>
      </c>
      <c r="D4094" s="0" t="s">
        <v>3671</v>
      </c>
    </row>
    <row r="4095" customFormat="false" ht="15" hidden="false" customHeight="false" outlineLevel="0" collapsed="false">
      <c r="A4095" s="0" t="n">
        <v>41892</v>
      </c>
      <c r="B4095" s="0" t="s">
        <v>7194</v>
      </c>
      <c r="C4095" s="0" t="s">
        <v>31</v>
      </c>
      <c r="D4095" s="0" t="s">
        <v>3671</v>
      </c>
    </row>
    <row r="4096" customFormat="false" ht="15" hidden="false" customHeight="false" outlineLevel="0" collapsed="false">
      <c r="A4096" s="0" t="n">
        <v>7048</v>
      </c>
      <c r="B4096" s="0" t="s">
        <v>7195</v>
      </c>
      <c r="C4096" s="0" t="s">
        <v>31</v>
      </c>
      <c r="D4096" s="0" t="s">
        <v>3671</v>
      </c>
    </row>
    <row r="4097" customFormat="false" ht="15" hidden="false" customHeight="false" outlineLevel="0" collapsed="false">
      <c r="A4097" s="0" t="n">
        <v>7088</v>
      </c>
      <c r="B4097" s="0" t="s">
        <v>7196</v>
      </c>
      <c r="C4097" s="0" t="s">
        <v>31</v>
      </c>
      <c r="D4097" s="0" t="s">
        <v>3671</v>
      </c>
    </row>
    <row r="4098" customFormat="false" ht="15" hidden="false" customHeight="false" outlineLevel="0" collapsed="false">
      <c r="A4098" s="0" t="n">
        <v>7070</v>
      </c>
      <c r="B4098" s="0" t="s">
        <v>7197</v>
      </c>
      <c r="C4098" s="0" t="s">
        <v>31</v>
      </c>
      <c r="D4098" s="0" t="s">
        <v>3671</v>
      </c>
      <c r="E4098" s="0" t="n">
        <v>218.72</v>
      </c>
    </row>
    <row r="4099" customFormat="false" ht="15" hidden="false" customHeight="false" outlineLevel="0" collapsed="false">
      <c r="A4099" s="0" t="n">
        <v>20179</v>
      </c>
      <c r="B4099" s="0" t="s">
        <v>7198</v>
      </c>
      <c r="C4099" s="0" t="s">
        <v>31</v>
      </c>
      <c r="D4099" s="0" t="s">
        <v>3671</v>
      </c>
      <c r="E4099" s="0" t="n">
        <v>46.52</v>
      </c>
    </row>
    <row r="4100" customFormat="false" ht="15" hidden="false" customHeight="false" outlineLevel="0" collapsed="false">
      <c r="A4100" s="0" t="n">
        <v>20178</v>
      </c>
      <c r="B4100" s="0" t="s">
        <v>7199</v>
      </c>
      <c r="C4100" s="0" t="s">
        <v>31</v>
      </c>
      <c r="D4100" s="0" t="s">
        <v>3671</v>
      </c>
      <c r="E4100" s="0" t="n">
        <v>55.76</v>
      </c>
    </row>
    <row r="4101" customFormat="false" ht="15" hidden="false" customHeight="false" outlineLevel="0" collapsed="false">
      <c r="A4101" s="0" t="n">
        <v>20180</v>
      </c>
      <c r="B4101" s="0" t="s">
        <v>7200</v>
      </c>
      <c r="C4101" s="0" t="s">
        <v>31</v>
      </c>
      <c r="D4101" s="0" t="s">
        <v>3671</v>
      </c>
      <c r="E4101" s="0" t="n">
        <v>92.03</v>
      </c>
    </row>
    <row r="4102" customFormat="false" ht="15" hidden="false" customHeight="false" outlineLevel="0" collapsed="false">
      <c r="A4102" s="0" t="n">
        <v>20181</v>
      </c>
      <c r="B4102" s="0" t="s">
        <v>7201</v>
      </c>
      <c r="C4102" s="0" t="s">
        <v>31</v>
      </c>
      <c r="D4102" s="0" t="s">
        <v>3671</v>
      </c>
      <c r="E4102" s="0" t="n">
        <v>123.22</v>
      </c>
    </row>
    <row r="4103" customFormat="false" ht="15" hidden="false" customHeight="false" outlineLevel="0" collapsed="false">
      <c r="A4103" s="0" t="n">
        <v>20177</v>
      </c>
      <c r="B4103" s="0" t="s">
        <v>7202</v>
      </c>
      <c r="C4103" s="0" t="s">
        <v>31</v>
      </c>
      <c r="D4103" s="0" t="s">
        <v>3671</v>
      </c>
      <c r="E4103" s="0" t="n">
        <v>30.48</v>
      </c>
    </row>
    <row r="4104" customFormat="false" ht="15" hidden="false" customHeight="false" outlineLevel="0" collapsed="false">
      <c r="A4104" s="0" t="n">
        <v>40945</v>
      </c>
      <c r="B4104" s="0" t="s">
        <v>7203</v>
      </c>
      <c r="C4104" s="0" t="s">
        <v>1444</v>
      </c>
      <c r="D4104" s="0" t="s">
        <v>3671</v>
      </c>
      <c r="E4104" s="0" t="n">
        <v>15.96</v>
      </c>
    </row>
    <row r="4105" customFormat="false" ht="15" hidden="false" customHeight="false" outlineLevel="0" collapsed="false">
      <c r="A4105" s="0" t="n">
        <v>40946</v>
      </c>
      <c r="B4105" s="0" t="s">
        <v>7204</v>
      </c>
      <c r="C4105" s="0" t="s">
        <v>1416</v>
      </c>
      <c r="D4105" s="0" t="s">
        <v>3671</v>
      </c>
      <c r="E4105" s="0" t="n">
        <v>2814.17</v>
      </c>
    </row>
    <row r="4106" customFormat="false" ht="15" hidden="false" customHeight="false" outlineLevel="0" collapsed="false">
      <c r="A4106" s="0" t="n">
        <v>7153</v>
      </c>
      <c r="B4106" s="0" t="s">
        <v>7205</v>
      </c>
      <c r="C4106" s="0" t="s">
        <v>1444</v>
      </c>
      <c r="D4106" s="0" t="s">
        <v>3671</v>
      </c>
      <c r="E4106" s="0" t="n">
        <v>25.91</v>
      </c>
    </row>
    <row r="4107" customFormat="false" ht="15" hidden="false" customHeight="false" outlineLevel="0" collapsed="false">
      <c r="A4107" s="0" t="n">
        <v>41089</v>
      </c>
      <c r="B4107" s="0" t="s">
        <v>7206</v>
      </c>
      <c r="C4107" s="0" t="s">
        <v>1416</v>
      </c>
      <c r="D4107" s="0" t="s">
        <v>3671</v>
      </c>
      <c r="E4107" s="0" t="n">
        <v>4566.84</v>
      </c>
    </row>
    <row r="4108" customFormat="false" ht="15" hidden="false" customHeight="false" outlineLevel="0" collapsed="false">
      <c r="A4108" s="0" t="n">
        <v>40943</v>
      </c>
      <c r="B4108" s="0" t="s">
        <v>7207</v>
      </c>
      <c r="C4108" s="0" t="s">
        <v>1444</v>
      </c>
      <c r="D4108" s="0" t="s">
        <v>3671</v>
      </c>
      <c r="E4108" s="0" t="n">
        <v>27.02</v>
      </c>
    </row>
    <row r="4109" customFormat="false" ht="15" hidden="false" customHeight="false" outlineLevel="0" collapsed="false">
      <c r="A4109" s="0" t="n">
        <v>40944</v>
      </c>
      <c r="B4109" s="0" t="s">
        <v>1425</v>
      </c>
      <c r="C4109" s="0" t="s">
        <v>1416</v>
      </c>
      <c r="D4109" s="0" t="s">
        <v>3671</v>
      </c>
      <c r="E4109" s="0" t="n">
        <v>4760.93</v>
      </c>
    </row>
    <row r="4110" customFormat="false" ht="15" hidden="false" customHeight="false" outlineLevel="0" collapsed="false">
      <c r="A4110" s="0" t="n">
        <v>6175</v>
      </c>
      <c r="B4110" s="0" t="s">
        <v>7208</v>
      </c>
      <c r="C4110" s="0" t="s">
        <v>1444</v>
      </c>
      <c r="D4110" s="0" t="s">
        <v>3671</v>
      </c>
      <c r="E4110" s="0" t="n">
        <v>61.36</v>
      </c>
    </row>
    <row r="4111" customFormat="false" ht="15" hidden="false" customHeight="false" outlineLevel="0" collapsed="false">
      <c r="A4111" s="0" t="n">
        <v>41092</v>
      </c>
      <c r="B4111" s="0" t="s">
        <v>7209</v>
      </c>
      <c r="C4111" s="0" t="s">
        <v>1416</v>
      </c>
      <c r="D4111" s="0" t="s">
        <v>3671</v>
      </c>
      <c r="E4111" s="0" t="n">
        <v>10806.39</v>
      </c>
    </row>
    <row r="4112" customFormat="false" ht="15" hidden="false" customHeight="false" outlineLevel="0" collapsed="false">
      <c r="A4112" s="0" t="n">
        <v>37712</v>
      </c>
      <c r="B4112" s="0" t="s">
        <v>7210</v>
      </c>
      <c r="C4112" s="0" t="s">
        <v>1477</v>
      </c>
      <c r="D4112" s="0" t="s">
        <v>3671</v>
      </c>
      <c r="E4112" s="0" t="n">
        <v>85.53</v>
      </c>
    </row>
    <row r="4113" customFormat="false" ht="15" hidden="false" customHeight="false" outlineLevel="0" collapsed="false">
      <c r="A4113" s="0" t="n">
        <v>34558</v>
      </c>
      <c r="B4113" s="0" t="s">
        <v>7211</v>
      </c>
      <c r="C4113" s="0" t="s">
        <v>1455</v>
      </c>
      <c r="D4113" s="0" t="s">
        <v>3671</v>
      </c>
      <c r="E4113" s="0" t="n">
        <v>2.78</v>
      </c>
    </row>
    <row r="4114" customFormat="false" ht="15" hidden="false" customHeight="false" outlineLevel="0" collapsed="false">
      <c r="A4114" s="0" t="n">
        <v>34547</v>
      </c>
      <c r="B4114" s="0" t="s">
        <v>1772</v>
      </c>
      <c r="C4114" s="0" t="s">
        <v>1455</v>
      </c>
      <c r="D4114" s="0" t="s">
        <v>3671</v>
      </c>
      <c r="E4114" s="0" t="n">
        <v>3.42</v>
      </c>
    </row>
    <row r="4115" customFormat="false" ht="15" hidden="false" customHeight="false" outlineLevel="0" collapsed="false">
      <c r="A4115" s="0" t="n">
        <v>34548</v>
      </c>
      <c r="B4115" s="0" t="s">
        <v>7212</v>
      </c>
      <c r="C4115" s="0" t="s">
        <v>1455</v>
      </c>
      <c r="D4115" s="0" t="s">
        <v>3671</v>
      </c>
      <c r="E4115" s="0" t="n">
        <v>5.61</v>
      </c>
    </row>
    <row r="4116" customFormat="false" ht="15" hidden="false" customHeight="false" outlineLevel="0" collapsed="false">
      <c r="A4116" s="0" t="n">
        <v>34550</v>
      </c>
      <c r="B4116" s="0" t="s">
        <v>7213</v>
      </c>
      <c r="C4116" s="0" t="s">
        <v>1455</v>
      </c>
      <c r="D4116" s="0" t="s">
        <v>3671</v>
      </c>
      <c r="E4116" s="0" t="n">
        <v>1.48</v>
      </c>
    </row>
    <row r="4117" customFormat="false" ht="15" hidden="false" customHeight="false" outlineLevel="0" collapsed="false">
      <c r="A4117" s="0" t="n">
        <v>34557</v>
      </c>
      <c r="B4117" s="0" t="s">
        <v>1769</v>
      </c>
      <c r="C4117" s="0" t="s">
        <v>1455</v>
      </c>
      <c r="D4117" s="0" t="s">
        <v>3671</v>
      </c>
      <c r="E4117" s="0" t="n">
        <v>2.16</v>
      </c>
    </row>
    <row r="4118" customFormat="false" ht="15" hidden="false" customHeight="false" outlineLevel="0" collapsed="false">
      <c r="A4118" s="0" t="n">
        <v>37411</v>
      </c>
      <c r="B4118" s="0" t="s">
        <v>7214</v>
      </c>
      <c r="C4118" s="0" t="s">
        <v>1477</v>
      </c>
      <c r="D4118" s="0" t="s">
        <v>3671</v>
      </c>
      <c r="E4118" s="0" t="n">
        <v>15.83</v>
      </c>
    </row>
    <row r="4119" customFormat="false" ht="15" hidden="false" customHeight="false" outlineLevel="0" collapsed="false">
      <c r="A4119" s="0" t="n">
        <v>39508</v>
      </c>
      <c r="B4119" s="0" t="s">
        <v>7215</v>
      </c>
      <c r="C4119" s="0" t="s">
        <v>1477</v>
      </c>
      <c r="D4119" s="0" t="s">
        <v>3671</v>
      </c>
      <c r="E4119" s="0" t="n">
        <v>8.89</v>
      </c>
    </row>
    <row r="4120" customFormat="false" ht="15" hidden="false" customHeight="false" outlineLevel="0" collapsed="false">
      <c r="A4120" s="0" t="n">
        <v>39507</v>
      </c>
      <c r="B4120" s="0" t="s">
        <v>1757</v>
      </c>
      <c r="C4120" s="0" t="s">
        <v>1477</v>
      </c>
      <c r="D4120" s="0" t="s">
        <v>3671</v>
      </c>
      <c r="E4120" s="0" t="n">
        <v>13.27</v>
      </c>
    </row>
    <row r="4121" customFormat="false" ht="15" hidden="false" customHeight="false" outlineLevel="0" collapsed="false">
      <c r="A4121" s="0" t="n">
        <v>7155</v>
      </c>
      <c r="B4121" s="0" t="s">
        <v>1679</v>
      </c>
      <c r="C4121" s="0" t="s">
        <v>1477</v>
      </c>
      <c r="D4121" s="0" t="s">
        <v>3671</v>
      </c>
      <c r="E4121" s="0" t="n">
        <v>17.03</v>
      </c>
    </row>
    <row r="4122" customFormat="false" ht="15" hidden="false" customHeight="false" outlineLevel="0" collapsed="false">
      <c r="A4122" s="0" t="n">
        <v>42406</v>
      </c>
      <c r="B4122" s="0" t="s">
        <v>7216</v>
      </c>
      <c r="C4122" s="0" t="s">
        <v>1477</v>
      </c>
      <c r="D4122" s="0" t="s">
        <v>3671</v>
      </c>
      <c r="E4122" s="0" t="n">
        <v>19.53</v>
      </c>
    </row>
    <row r="4123" customFormat="false" ht="15" hidden="false" customHeight="false" outlineLevel="0" collapsed="false">
      <c r="A4123" s="0" t="n">
        <v>7156</v>
      </c>
      <c r="B4123" s="0" t="s">
        <v>1585</v>
      </c>
      <c r="C4123" s="0" t="s">
        <v>1477</v>
      </c>
      <c r="D4123" s="0" t="s">
        <v>3676</v>
      </c>
      <c r="E4123" s="0" t="n">
        <v>24.44</v>
      </c>
    </row>
    <row r="4124" customFormat="false" ht="15" hidden="false" customHeight="false" outlineLevel="0" collapsed="false">
      <c r="A4124" s="0" t="n">
        <v>43127</v>
      </c>
      <c r="B4124" s="0" t="s">
        <v>7217</v>
      </c>
      <c r="C4124" s="0" t="s">
        <v>1477</v>
      </c>
      <c r="D4124" s="0" t="s">
        <v>3671</v>
      </c>
      <c r="E4124" s="0" t="n">
        <v>34.97</v>
      </c>
    </row>
    <row r="4125" customFormat="false" ht="15" hidden="false" customHeight="false" outlineLevel="0" collapsed="false">
      <c r="A4125" s="0" t="n">
        <v>10917</v>
      </c>
      <c r="B4125" s="0" t="s">
        <v>7218</v>
      </c>
      <c r="C4125" s="0" t="s">
        <v>1477</v>
      </c>
      <c r="D4125" s="0" t="s">
        <v>3671</v>
      </c>
      <c r="E4125" s="0" t="n">
        <v>7.38</v>
      </c>
    </row>
    <row r="4126" customFormat="false" ht="15" hidden="false" customHeight="false" outlineLevel="0" collapsed="false">
      <c r="A4126" s="0" t="n">
        <v>21141</v>
      </c>
      <c r="B4126" s="0" t="s">
        <v>1693</v>
      </c>
      <c r="C4126" s="0" t="s">
        <v>1477</v>
      </c>
      <c r="D4126" s="0" t="s">
        <v>3671</v>
      </c>
      <c r="E4126" s="0" t="n">
        <v>11.43</v>
      </c>
    </row>
    <row r="4127" customFormat="false" ht="15" hidden="false" customHeight="false" outlineLevel="0" collapsed="false">
      <c r="A4127" s="0" t="n">
        <v>39509</v>
      </c>
      <c r="B4127" s="0" t="s">
        <v>7219</v>
      </c>
      <c r="C4127" s="0" t="s">
        <v>1477</v>
      </c>
      <c r="D4127" s="0" t="s">
        <v>3671</v>
      </c>
      <c r="E4127" s="0" t="n">
        <v>10.99</v>
      </c>
    </row>
    <row r="4128" customFormat="false" ht="15" hidden="false" customHeight="false" outlineLevel="0" collapsed="false">
      <c r="A4128" s="0" t="n">
        <v>44529</v>
      </c>
      <c r="B4128" s="0" t="s">
        <v>7220</v>
      </c>
      <c r="C4128" s="0" t="s">
        <v>1477</v>
      </c>
      <c r="D4128" s="0" t="s">
        <v>3671</v>
      </c>
      <c r="E4128" s="0" t="n">
        <v>19.89</v>
      </c>
    </row>
    <row r="4129" customFormat="false" ht="15" hidden="false" customHeight="false" outlineLevel="0" collapsed="false">
      <c r="A4129" s="0" t="n">
        <v>7167</v>
      </c>
      <c r="B4129" s="0" t="s">
        <v>7221</v>
      </c>
      <c r="C4129" s="0" t="s">
        <v>1477</v>
      </c>
      <c r="D4129" s="0" t="s">
        <v>3671</v>
      </c>
      <c r="E4129" s="0" t="n">
        <v>26.29</v>
      </c>
    </row>
    <row r="4130" customFormat="false" ht="15" hidden="false" customHeight="false" outlineLevel="0" collapsed="false">
      <c r="A4130" s="0" t="n">
        <v>10928</v>
      </c>
      <c r="B4130" s="0" t="s">
        <v>7222</v>
      </c>
      <c r="C4130" s="0" t="s">
        <v>1477</v>
      </c>
      <c r="D4130" s="0" t="s">
        <v>3671</v>
      </c>
      <c r="E4130" s="0" t="n">
        <v>15.11</v>
      </c>
    </row>
    <row r="4131" customFormat="false" ht="15" hidden="false" customHeight="false" outlineLevel="0" collapsed="false">
      <c r="A4131" s="0" t="n">
        <v>10933</v>
      </c>
      <c r="B4131" s="0" t="s">
        <v>7223</v>
      </c>
      <c r="C4131" s="0" t="s">
        <v>1477</v>
      </c>
      <c r="D4131" s="0" t="s">
        <v>3671</v>
      </c>
      <c r="E4131" s="0" t="n">
        <v>22.79</v>
      </c>
    </row>
    <row r="4132" customFormat="false" ht="15" hidden="false" customHeight="false" outlineLevel="0" collapsed="false">
      <c r="A4132" s="0" t="n">
        <v>7158</v>
      </c>
      <c r="B4132" s="0" t="s">
        <v>7224</v>
      </c>
      <c r="C4132" s="0" t="s">
        <v>1477</v>
      </c>
      <c r="D4132" s="0" t="s">
        <v>3676</v>
      </c>
      <c r="E4132" s="0" t="n">
        <v>38.65</v>
      </c>
    </row>
    <row r="4133" customFormat="false" ht="15" hidden="false" customHeight="false" outlineLevel="0" collapsed="false">
      <c r="A4133" s="0" t="n">
        <v>10927</v>
      </c>
      <c r="B4133" s="0" t="s">
        <v>7225</v>
      </c>
      <c r="C4133" s="0" t="s">
        <v>1477</v>
      </c>
      <c r="D4133" s="0" t="s">
        <v>3671</v>
      </c>
      <c r="E4133" s="0" t="n">
        <v>24.72</v>
      </c>
    </row>
    <row r="4134" customFormat="false" ht="15" hidden="false" customHeight="false" outlineLevel="0" collapsed="false">
      <c r="A4134" s="0" t="n">
        <v>7162</v>
      </c>
      <c r="B4134" s="0" t="s">
        <v>7226</v>
      </c>
      <c r="C4134" s="0" t="s">
        <v>1477</v>
      </c>
      <c r="D4134" s="0" t="s">
        <v>3671</v>
      </c>
      <c r="E4134" s="0" t="n">
        <v>60.48</v>
      </c>
    </row>
    <row r="4135" customFormat="false" ht="15" hidden="false" customHeight="false" outlineLevel="0" collapsed="false">
      <c r="A4135" s="0" t="n">
        <v>10932</v>
      </c>
      <c r="B4135" s="0" t="s">
        <v>1605</v>
      </c>
      <c r="C4135" s="0" t="s">
        <v>1477</v>
      </c>
      <c r="D4135" s="0" t="s">
        <v>3671</v>
      </c>
      <c r="E4135" s="0" t="n">
        <v>105.2</v>
      </c>
    </row>
    <row r="4136" customFormat="false" ht="15" hidden="false" customHeight="false" outlineLevel="0" collapsed="false">
      <c r="A4136" s="0" t="n">
        <v>10937</v>
      </c>
      <c r="B4136" s="0" t="s">
        <v>1808</v>
      </c>
      <c r="C4136" s="0" t="s">
        <v>1477</v>
      </c>
      <c r="D4136" s="0" t="s">
        <v>3671</v>
      </c>
      <c r="E4136" s="0" t="n">
        <v>27.04</v>
      </c>
    </row>
    <row r="4137" customFormat="false" ht="15" hidden="false" customHeight="false" outlineLevel="0" collapsed="false">
      <c r="A4137" s="0" t="n">
        <v>10935</v>
      </c>
      <c r="B4137" s="0" t="s">
        <v>7227</v>
      </c>
      <c r="C4137" s="0" t="s">
        <v>1477</v>
      </c>
      <c r="D4137" s="0" t="s">
        <v>3671</v>
      </c>
      <c r="E4137" s="0" t="n">
        <v>46.89</v>
      </c>
    </row>
    <row r="4138" customFormat="false" ht="15" hidden="false" customHeight="false" outlineLevel="0" collapsed="false">
      <c r="A4138" s="0" t="n">
        <v>10931</v>
      </c>
      <c r="B4138" s="0" t="s">
        <v>7228</v>
      </c>
      <c r="C4138" s="0" t="s">
        <v>1477</v>
      </c>
      <c r="D4138" s="0" t="s">
        <v>3671</v>
      </c>
      <c r="E4138" s="0" t="n">
        <v>13.19</v>
      </c>
    </row>
    <row r="4139" customFormat="false" ht="15" hidden="false" customHeight="false" outlineLevel="0" collapsed="false">
      <c r="A4139" s="0" t="n">
        <v>7164</v>
      </c>
      <c r="B4139" s="0" t="s">
        <v>7229</v>
      </c>
      <c r="C4139" s="0" t="s">
        <v>1477</v>
      </c>
      <c r="D4139" s="0" t="s">
        <v>3671</v>
      </c>
      <c r="E4139" s="0" t="n">
        <v>43.65</v>
      </c>
    </row>
    <row r="4140" customFormat="false" ht="15" hidden="false" customHeight="false" outlineLevel="0" collapsed="false">
      <c r="A4140" s="0" t="n">
        <v>36887</v>
      </c>
      <c r="B4140" s="0" t="s">
        <v>7230</v>
      </c>
      <c r="C4140" s="0" t="s">
        <v>1477</v>
      </c>
      <c r="D4140" s="0" t="s">
        <v>3671</v>
      </c>
      <c r="E4140" s="0" t="n">
        <v>8.83</v>
      </c>
    </row>
    <row r="4141" customFormat="false" ht="15" hidden="false" customHeight="false" outlineLevel="0" collapsed="false">
      <c r="A4141" s="0" t="n">
        <v>34630</v>
      </c>
      <c r="B4141" s="0" t="s">
        <v>7231</v>
      </c>
      <c r="C4141" s="0" t="s">
        <v>31</v>
      </c>
      <c r="D4141" s="0" t="s">
        <v>3671</v>
      </c>
      <c r="E4141" s="0" t="n">
        <v>1390.15</v>
      </c>
    </row>
    <row r="4142" customFormat="false" ht="15" hidden="false" customHeight="false" outlineLevel="0" collapsed="false">
      <c r="A4142" s="0" t="n">
        <v>7161</v>
      </c>
      <c r="B4142" s="0" t="s">
        <v>7232</v>
      </c>
      <c r="C4142" s="0" t="s">
        <v>1477</v>
      </c>
      <c r="D4142" s="0" t="s">
        <v>3671</v>
      </c>
      <c r="E4142" s="0" t="n">
        <v>5.43</v>
      </c>
    </row>
    <row r="4143" customFormat="false" ht="15" hidden="false" customHeight="false" outlineLevel="0" collapsed="false">
      <c r="A4143" s="0" t="n">
        <v>7170</v>
      </c>
      <c r="B4143" s="0" t="s">
        <v>7233</v>
      </c>
      <c r="C4143" s="0" t="s">
        <v>1477</v>
      </c>
      <c r="D4143" s="0" t="s">
        <v>3671</v>
      </c>
      <c r="E4143" s="0" t="n">
        <v>2.13</v>
      </c>
    </row>
    <row r="4144" customFormat="false" ht="15" hidden="false" customHeight="false" outlineLevel="0" collapsed="false">
      <c r="A4144" s="0" t="n">
        <v>37524</v>
      </c>
      <c r="B4144" s="0" t="s">
        <v>7234</v>
      </c>
      <c r="C4144" s="0" t="s">
        <v>1455</v>
      </c>
      <c r="D4144" s="0" t="s">
        <v>3676</v>
      </c>
      <c r="E4144" s="0" t="n">
        <v>1.95</v>
      </c>
    </row>
    <row r="4145" customFormat="false" ht="15" hidden="false" customHeight="false" outlineLevel="0" collapsed="false">
      <c r="A4145" s="0" t="n">
        <v>37525</v>
      </c>
      <c r="B4145" s="0" t="s">
        <v>7235</v>
      </c>
      <c r="C4145" s="0" t="s">
        <v>1455</v>
      </c>
      <c r="D4145" s="0" t="s">
        <v>3671</v>
      </c>
      <c r="E4145" s="0" t="n">
        <v>2.66</v>
      </c>
    </row>
    <row r="4146" customFormat="false" ht="15" hidden="false" customHeight="false" outlineLevel="0" collapsed="false">
      <c r="A4146" s="0" t="n">
        <v>36789</v>
      </c>
      <c r="B4146" s="0" t="s">
        <v>7236</v>
      </c>
      <c r="C4146" s="0" t="s">
        <v>31</v>
      </c>
      <c r="D4146" s="0" t="s">
        <v>3671</v>
      </c>
      <c r="E4146" s="0" t="n">
        <v>2.7</v>
      </c>
    </row>
    <row r="4147" customFormat="false" ht="15" hidden="false" customHeight="false" outlineLevel="0" collapsed="false">
      <c r="A4147" s="0" t="n">
        <v>7173</v>
      </c>
      <c r="B4147" s="0" t="s">
        <v>7237</v>
      </c>
      <c r="C4147" s="0" t="s">
        <v>6447</v>
      </c>
      <c r="D4147" s="0" t="s">
        <v>3676</v>
      </c>
      <c r="E4147" s="0" t="n">
        <v>1750</v>
      </c>
    </row>
    <row r="4148" customFormat="false" ht="15" hidden="false" customHeight="false" outlineLevel="0" collapsed="false">
      <c r="A4148" s="0" t="n">
        <v>7175</v>
      </c>
      <c r="B4148" s="0" t="s">
        <v>7238</v>
      </c>
      <c r="C4148" s="0" t="s">
        <v>31</v>
      </c>
      <c r="D4148" s="0" t="s">
        <v>3671</v>
      </c>
      <c r="E4148" s="0" t="n">
        <v>1.98</v>
      </c>
    </row>
    <row r="4149" customFormat="false" ht="15" hidden="false" customHeight="false" outlineLevel="0" collapsed="false">
      <c r="A4149" s="0" t="n">
        <v>40741</v>
      </c>
      <c r="B4149" s="0" t="s">
        <v>7239</v>
      </c>
      <c r="C4149" s="0" t="s">
        <v>31</v>
      </c>
      <c r="D4149" s="0" t="s">
        <v>3671</v>
      </c>
      <c r="E4149" s="0" t="n">
        <v>3.31</v>
      </c>
    </row>
    <row r="4150" customFormat="false" ht="15" hidden="false" customHeight="false" outlineLevel="0" collapsed="false">
      <c r="A4150" s="0" t="n">
        <v>7184</v>
      </c>
      <c r="B4150" s="0" t="s">
        <v>7240</v>
      </c>
      <c r="C4150" s="0" t="s">
        <v>1477</v>
      </c>
      <c r="D4150" s="0" t="s">
        <v>3676</v>
      </c>
    </row>
    <row r="4151" customFormat="false" ht="15" hidden="false" customHeight="false" outlineLevel="0" collapsed="false">
      <c r="A4151" s="0" t="n">
        <v>34458</v>
      </c>
      <c r="B4151" s="0" t="s">
        <v>7241</v>
      </c>
      <c r="C4151" s="0" t="s">
        <v>31</v>
      </c>
      <c r="D4151" s="0" t="s">
        <v>3671</v>
      </c>
      <c r="E4151" s="0" t="n">
        <v>160.65</v>
      </c>
    </row>
    <row r="4152" customFormat="false" ht="15" hidden="false" customHeight="false" outlineLevel="0" collapsed="false">
      <c r="A4152" s="0" t="n">
        <v>34464</v>
      </c>
      <c r="B4152" s="0" t="s">
        <v>7242</v>
      </c>
      <c r="C4152" s="0" t="s">
        <v>31</v>
      </c>
      <c r="D4152" s="0" t="s">
        <v>3671</v>
      </c>
      <c r="E4152" s="0" t="n">
        <v>239.14</v>
      </c>
    </row>
    <row r="4153" customFormat="false" ht="15" hidden="false" customHeight="false" outlineLevel="0" collapsed="false">
      <c r="A4153" s="0" t="n">
        <v>34468</v>
      </c>
      <c r="B4153" s="0" t="s">
        <v>7243</v>
      </c>
      <c r="C4153" s="0" t="s">
        <v>31</v>
      </c>
      <c r="D4153" s="0" t="s">
        <v>3671</v>
      </c>
      <c r="E4153" s="0" t="n">
        <v>301.49</v>
      </c>
    </row>
    <row r="4154" customFormat="false" ht="15" hidden="false" customHeight="false" outlineLevel="0" collapsed="false">
      <c r="A4154" s="0" t="n">
        <v>34473</v>
      </c>
      <c r="B4154" s="0" t="s">
        <v>7244</v>
      </c>
      <c r="C4154" s="0" t="s">
        <v>31</v>
      </c>
      <c r="D4154" s="0" t="s">
        <v>3671</v>
      </c>
      <c r="E4154" s="0" t="n">
        <v>182.89</v>
      </c>
    </row>
    <row r="4155" customFormat="false" ht="15" hidden="false" customHeight="false" outlineLevel="0" collapsed="false">
      <c r="A4155" s="0" t="n">
        <v>34480</v>
      </c>
      <c r="B4155" s="0" t="s">
        <v>7245</v>
      </c>
      <c r="C4155" s="0" t="s">
        <v>31</v>
      </c>
      <c r="D4155" s="0" t="s">
        <v>3671</v>
      </c>
      <c r="E4155" s="0" t="n">
        <v>337.98</v>
      </c>
    </row>
    <row r="4156" customFormat="false" ht="15" hidden="false" customHeight="false" outlineLevel="0" collapsed="false">
      <c r="A4156" s="0" t="n">
        <v>34486</v>
      </c>
      <c r="B4156" s="0" t="s">
        <v>7246</v>
      </c>
      <c r="C4156" s="0" t="s">
        <v>31</v>
      </c>
      <c r="D4156" s="0" t="s">
        <v>3671</v>
      </c>
      <c r="E4156" s="0" t="n">
        <v>400.16</v>
      </c>
    </row>
    <row r="4157" customFormat="false" ht="15" hidden="false" customHeight="false" outlineLevel="0" collapsed="false">
      <c r="A4157" s="0" t="n">
        <v>7190</v>
      </c>
      <c r="B4157" s="0" t="s">
        <v>7247</v>
      </c>
      <c r="C4157" s="0" t="s">
        <v>31</v>
      </c>
      <c r="D4157" s="0" t="s">
        <v>3671</v>
      </c>
      <c r="E4157" s="0" t="n">
        <v>13.36</v>
      </c>
    </row>
    <row r="4158" customFormat="false" ht="15" hidden="false" customHeight="false" outlineLevel="0" collapsed="false">
      <c r="A4158" s="0" t="n">
        <v>34417</v>
      </c>
      <c r="B4158" s="0" t="s">
        <v>7248</v>
      </c>
      <c r="C4158" s="0" t="s">
        <v>31</v>
      </c>
      <c r="D4158" s="0" t="s">
        <v>3671</v>
      </c>
      <c r="E4158" s="0" t="n">
        <v>21.38</v>
      </c>
    </row>
    <row r="4159" customFormat="false" ht="15" hidden="false" customHeight="false" outlineLevel="0" collapsed="false">
      <c r="A4159" s="0" t="n">
        <v>7213</v>
      </c>
      <c r="B4159" s="0" t="s">
        <v>7249</v>
      </c>
      <c r="C4159" s="0" t="s">
        <v>1477</v>
      </c>
      <c r="D4159" s="0" t="s">
        <v>3671</v>
      </c>
      <c r="E4159" s="0" t="n">
        <v>19.61</v>
      </c>
    </row>
    <row r="4160" customFormat="false" ht="15" hidden="false" customHeight="false" outlineLevel="0" collapsed="false">
      <c r="A4160" s="0" t="n">
        <v>7195</v>
      </c>
      <c r="B4160" s="0" t="s">
        <v>7250</v>
      </c>
      <c r="C4160" s="0" t="s">
        <v>31</v>
      </c>
      <c r="D4160" s="0" t="s">
        <v>3671</v>
      </c>
      <c r="E4160" s="0" t="n">
        <v>57.57</v>
      </c>
    </row>
    <row r="4161" customFormat="false" ht="15" hidden="false" customHeight="false" outlineLevel="0" collapsed="false">
      <c r="A4161" s="0" t="n">
        <v>7186</v>
      </c>
      <c r="B4161" s="0" t="s">
        <v>7251</v>
      </c>
      <c r="C4161" s="0" t="s">
        <v>31</v>
      </c>
      <c r="D4161" s="0" t="s">
        <v>3676</v>
      </c>
      <c r="E4161" s="0" t="n">
        <v>62.71</v>
      </c>
    </row>
    <row r="4162" customFormat="false" ht="15" hidden="false" customHeight="false" outlineLevel="0" collapsed="false">
      <c r="A4162" s="0" t="n">
        <v>7194</v>
      </c>
      <c r="B4162" s="0" t="s">
        <v>1550</v>
      </c>
      <c r="C4162" s="0" t="s">
        <v>1477</v>
      </c>
      <c r="D4162" s="0" t="s">
        <v>3671</v>
      </c>
      <c r="E4162" s="0" t="n">
        <v>28.91</v>
      </c>
    </row>
    <row r="4163" customFormat="false" ht="15" hidden="false" customHeight="false" outlineLevel="0" collapsed="false">
      <c r="A4163" s="0" t="n">
        <v>7197</v>
      </c>
      <c r="B4163" s="0" t="s">
        <v>7252</v>
      </c>
      <c r="C4163" s="0" t="s">
        <v>31</v>
      </c>
      <c r="D4163" s="0" t="s">
        <v>3671</v>
      </c>
      <c r="E4163" s="0" t="n">
        <v>122.03</v>
      </c>
    </row>
    <row r="4164" customFormat="false" ht="15" hidden="false" customHeight="false" outlineLevel="0" collapsed="false">
      <c r="A4164" s="0" t="n">
        <v>7192</v>
      </c>
      <c r="B4164" s="0" t="s">
        <v>7253</v>
      </c>
      <c r="C4164" s="0" t="s">
        <v>31</v>
      </c>
      <c r="D4164" s="0" t="s">
        <v>3671</v>
      </c>
      <c r="E4164" s="0" t="n">
        <v>109.33</v>
      </c>
    </row>
    <row r="4165" customFormat="false" ht="15" hidden="false" customHeight="false" outlineLevel="0" collapsed="false">
      <c r="A4165" s="0" t="n">
        <v>7193</v>
      </c>
      <c r="B4165" s="0" t="s">
        <v>7254</v>
      </c>
      <c r="C4165" s="0" t="s">
        <v>31</v>
      </c>
      <c r="D4165" s="0" t="s">
        <v>3671</v>
      </c>
      <c r="E4165" s="0" t="n">
        <v>123.09</v>
      </c>
    </row>
    <row r="4166" customFormat="false" ht="15" hidden="false" customHeight="false" outlineLevel="0" collapsed="false">
      <c r="A4166" s="0" t="n">
        <v>7189</v>
      </c>
      <c r="B4166" s="0" t="s">
        <v>7255</v>
      </c>
      <c r="C4166" s="0" t="s">
        <v>31</v>
      </c>
      <c r="D4166" s="0" t="s">
        <v>3671</v>
      </c>
      <c r="E4166" s="0" t="n">
        <v>143.05</v>
      </c>
    </row>
    <row r="4167" customFormat="false" ht="15" hidden="false" customHeight="false" outlineLevel="0" collapsed="false">
      <c r="A4167" s="0" t="n">
        <v>34402</v>
      </c>
      <c r="B4167" s="0" t="s">
        <v>7256</v>
      </c>
      <c r="C4167" s="0" t="s">
        <v>31</v>
      </c>
      <c r="D4167" s="0" t="s">
        <v>3671</v>
      </c>
      <c r="E4167" s="0" t="n">
        <v>201.95</v>
      </c>
    </row>
    <row r="4168" customFormat="false" ht="15" hidden="false" customHeight="false" outlineLevel="0" collapsed="false">
      <c r="A4168" s="0" t="n">
        <v>7245</v>
      </c>
      <c r="B4168" s="0" t="s">
        <v>7257</v>
      </c>
      <c r="C4168" s="0" t="s">
        <v>31</v>
      </c>
      <c r="D4168" s="0" t="s">
        <v>3671</v>
      </c>
    </row>
    <row r="4169" customFormat="false" ht="15" hidden="false" customHeight="false" outlineLevel="0" collapsed="false">
      <c r="A4169" s="0" t="n">
        <v>34425</v>
      </c>
      <c r="B4169" s="0" t="s">
        <v>7258</v>
      </c>
      <c r="C4169" s="0" t="s">
        <v>31</v>
      </c>
      <c r="D4169" s="0" t="s">
        <v>3671</v>
      </c>
      <c r="E4169" s="0" t="n">
        <v>129.73</v>
      </c>
    </row>
    <row r="4170" customFormat="false" ht="15" hidden="false" customHeight="false" outlineLevel="0" collapsed="false">
      <c r="A4170" s="0" t="n">
        <v>7223</v>
      </c>
      <c r="B4170" s="0" t="s">
        <v>7259</v>
      </c>
      <c r="C4170" s="0" t="s">
        <v>31</v>
      </c>
      <c r="D4170" s="0" t="s">
        <v>3671</v>
      </c>
      <c r="E4170" s="0" t="n">
        <v>144.57</v>
      </c>
    </row>
    <row r="4171" customFormat="false" ht="15" hidden="false" customHeight="false" outlineLevel="0" collapsed="false">
      <c r="A4171" s="0" t="n">
        <v>7234</v>
      </c>
      <c r="B4171" s="0" t="s">
        <v>7260</v>
      </c>
      <c r="C4171" s="0" t="s">
        <v>31</v>
      </c>
      <c r="D4171" s="0" t="s">
        <v>3671</v>
      </c>
      <c r="E4171" s="0" t="n">
        <v>218.16</v>
      </c>
    </row>
    <row r="4172" customFormat="false" ht="15" hidden="false" customHeight="false" outlineLevel="0" collapsed="false">
      <c r="A4172" s="0" t="n">
        <v>7224</v>
      </c>
      <c r="B4172" s="0" t="s">
        <v>7261</v>
      </c>
      <c r="C4172" s="0" t="s">
        <v>31</v>
      </c>
      <c r="D4172" s="0" t="s">
        <v>3671</v>
      </c>
      <c r="E4172" s="0" t="n">
        <v>265.78</v>
      </c>
    </row>
    <row r="4173" customFormat="false" ht="15" hidden="false" customHeight="false" outlineLevel="0" collapsed="false">
      <c r="A4173" s="0" t="n">
        <v>7225</v>
      </c>
      <c r="B4173" s="0" t="s">
        <v>7262</v>
      </c>
      <c r="C4173" s="0" t="s">
        <v>31</v>
      </c>
      <c r="D4173" s="0" t="s">
        <v>3671</v>
      </c>
      <c r="E4173" s="0" t="n">
        <v>284.98</v>
      </c>
    </row>
    <row r="4174" customFormat="false" ht="15" hidden="false" customHeight="false" outlineLevel="0" collapsed="false">
      <c r="A4174" s="0" t="n">
        <v>7226</v>
      </c>
      <c r="B4174" s="0" t="s">
        <v>7263</v>
      </c>
      <c r="C4174" s="0" t="s">
        <v>31</v>
      </c>
      <c r="D4174" s="0" t="s">
        <v>3671</v>
      </c>
      <c r="E4174" s="0" t="n">
        <v>304.11</v>
      </c>
    </row>
    <row r="4175" customFormat="false" ht="15" hidden="false" customHeight="false" outlineLevel="0" collapsed="false">
      <c r="A4175" s="0" t="n">
        <v>7227</v>
      </c>
      <c r="B4175" s="0" t="s">
        <v>7264</v>
      </c>
      <c r="C4175" s="0" t="s">
        <v>31</v>
      </c>
      <c r="D4175" s="0" t="s">
        <v>3671</v>
      </c>
      <c r="E4175" s="0" t="n">
        <v>346.16</v>
      </c>
    </row>
    <row r="4176" customFormat="false" ht="15" hidden="false" customHeight="false" outlineLevel="0" collapsed="false">
      <c r="A4176" s="0" t="n">
        <v>7212</v>
      </c>
      <c r="B4176" s="0" t="s">
        <v>7265</v>
      </c>
      <c r="C4176" s="0" t="s">
        <v>31</v>
      </c>
      <c r="D4176" s="0" t="s">
        <v>3671</v>
      </c>
      <c r="E4176" s="0" t="n">
        <v>380.35</v>
      </c>
    </row>
    <row r="4177" customFormat="false" ht="15" hidden="false" customHeight="false" outlineLevel="0" collapsed="false">
      <c r="A4177" s="0" t="n">
        <v>7229</v>
      </c>
      <c r="B4177" s="0" t="s">
        <v>7266</v>
      </c>
      <c r="C4177" s="0" t="s">
        <v>31</v>
      </c>
      <c r="D4177" s="0" t="s">
        <v>3671</v>
      </c>
      <c r="E4177" s="0" t="n">
        <v>241.09</v>
      </c>
    </row>
    <row r="4178" customFormat="false" ht="15" hidden="false" customHeight="false" outlineLevel="0" collapsed="false">
      <c r="A4178" s="0" t="n">
        <v>7230</v>
      </c>
      <c r="B4178" s="0" t="s">
        <v>7267</v>
      </c>
      <c r="C4178" s="0" t="s">
        <v>31</v>
      </c>
      <c r="D4178" s="0" t="s">
        <v>3671</v>
      </c>
      <c r="E4178" s="0" t="n">
        <v>401.37</v>
      </c>
    </row>
    <row r="4179" customFormat="false" ht="15" hidden="false" customHeight="false" outlineLevel="0" collapsed="false">
      <c r="A4179" s="0" t="n">
        <v>7231</v>
      </c>
      <c r="B4179" s="0" t="s">
        <v>7268</v>
      </c>
      <c r="C4179" s="0" t="s">
        <v>31</v>
      </c>
      <c r="D4179" s="0" t="s">
        <v>3671</v>
      </c>
      <c r="E4179" s="0" t="n">
        <v>569.38</v>
      </c>
    </row>
    <row r="4180" customFormat="false" ht="15" hidden="false" customHeight="false" outlineLevel="0" collapsed="false">
      <c r="A4180" s="0" t="n">
        <v>7220</v>
      </c>
      <c r="B4180" s="0" t="s">
        <v>7269</v>
      </c>
      <c r="C4180" s="0" t="s">
        <v>31</v>
      </c>
      <c r="D4180" s="0" t="s">
        <v>3671</v>
      </c>
      <c r="E4180" s="0" t="n">
        <v>702.83</v>
      </c>
    </row>
    <row r="4181" customFormat="false" ht="15" hidden="false" customHeight="false" outlineLevel="0" collapsed="false">
      <c r="A4181" s="0" t="n">
        <v>34447</v>
      </c>
      <c r="B4181" s="0" t="s">
        <v>7270</v>
      </c>
      <c r="C4181" s="0" t="s">
        <v>31</v>
      </c>
      <c r="D4181" s="0" t="s">
        <v>3671</v>
      </c>
      <c r="E4181" s="0" t="n">
        <v>785.87</v>
      </c>
    </row>
    <row r="4182" customFormat="false" ht="15" hidden="false" customHeight="false" outlineLevel="0" collapsed="false">
      <c r="A4182" s="0" t="n">
        <v>7233</v>
      </c>
      <c r="B4182" s="0" t="s">
        <v>7271</v>
      </c>
      <c r="C4182" s="0" t="s">
        <v>31</v>
      </c>
      <c r="D4182" s="0" t="s">
        <v>3671</v>
      </c>
      <c r="E4182" s="0" t="n">
        <v>901.52</v>
      </c>
    </row>
    <row r="4183" customFormat="false" ht="15" hidden="false" customHeight="false" outlineLevel="0" collapsed="false">
      <c r="A4183" s="0" t="n">
        <v>40740</v>
      </c>
      <c r="B4183" s="0" t="s">
        <v>1896</v>
      </c>
      <c r="C4183" s="0" t="s">
        <v>1477</v>
      </c>
      <c r="D4183" s="0" t="s">
        <v>3671</v>
      </c>
      <c r="E4183" s="0" t="n">
        <v>118.82</v>
      </c>
    </row>
    <row r="4184" customFormat="false" ht="15" hidden="false" customHeight="false" outlineLevel="0" collapsed="false">
      <c r="A4184" s="0" t="n">
        <v>25007</v>
      </c>
      <c r="B4184" s="0" t="s">
        <v>7272</v>
      </c>
      <c r="C4184" s="0" t="s">
        <v>1477</v>
      </c>
      <c r="D4184" s="0" t="s">
        <v>3676</v>
      </c>
      <c r="E4184" s="0" t="n">
        <v>34</v>
      </c>
    </row>
    <row r="4185" customFormat="false" ht="15" hidden="false" customHeight="false" outlineLevel="0" collapsed="false">
      <c r="A4185" s="0" t="n">
        <v>43071</v>
      </c>
      <c r="B4185" s="0" t="s">
        <v>7273</v>
      </c>
      <c r="C4185" s="0" t="s">
        <v>1477</v>
      </c>
      <c r="D4185" s="0" t="s">
        <v>3671</v>
      </c>
      <c r="E4185" s="0" t="n">
        <v>133.79</v>
      </c>
    </row>
    <row r="4186" customFormat="false" ht="15" hidden="false" customHeight="false" outlineLevel="0" collapsed="false">
      <c r="A4186" s="0" t="n">
        <v>39520</v>
      </c>
      <c r="B4186" s="0" t="s">
        <v>7274</v>
      </c>
      <c r="C4186" s="0" t="s">
        <v>1477</v>
      </c>
      <c r="D4186" s="0" t="s">
        <v>3671</v>
      </c>
      <c r="E4186" s="0" t="n">
        <v>109.15</v>
      </c>
    </row>
    <row r="4187" customFormat="false" ht="15" hidden="false" customHeight="false" outlineLevel="0" collapsed="false">
      <c r="A4187" s="0" t="n">
        <v>39521</v>
      </c>
      <c r="B4187" s="0" t="s">
        <v>7275</v>
      </c>
      <c r="C4187" s="0" t="s">
        <v>1477</v>
      </c>
      <c r="D4187" s="0" t="s">
        <v>3671</v>
      </c>
      <c r="E4187" s="0" t="n">
        <v>112.72</v>
      </c>
    </row>
    <row r="4188" customFormat="false" ht="15" hidden="false" customHeight="false" outlineLevel="0" collapsed="false">
      <c r="A4188" s="0" t="n">
        <v>39522</v>
      </c>
      <c r="B4188" s="0" t="s">
        <v>7276</v>
      </c>
      <c r="C4188" s="0" t="s">
        <v>1477</v>
      </c>
      <c r="D4188" s="0" t="s">
        <v>3671</v>
      </c>
      <c r="E4188" s="0" t="n">
        <v>116.39</v>
      </c>
    </row>
    <row r="4189" customFormat="false" ht="15" hidden="false" customHeight="false" outlineLevel="0" collapsed="false">
      <c r="A4189" s="0" t="n">
        <v>7243</v>
      </c>
      <c r="B4189" s="0" t="s">
        <v>1898</v>
      </c>
      <c r="C4189" s="0" t="s">
        <v>1477</v>
      </c>
      <c r="D4189" s="0" t="s">
        <v>3671</v>
      </c>
      <c r="E4189" s="0" t="n">
        <v>35.53</v>
      </c>
    </row>
    <row r="4190" customFormat="false" ht="15" hidden="false" customHeight="false" outlineLevel="0" collapsed="false">
      <c r="A4190" s="0" t="n">
        <v>11067</v>
      </c>
      <c r="B4190" s="0" t="s">
        <v>7277</v>
      </c>
      <c r="C4190" s="0" t="s">
        <v>31</v>
      </c>
      <c r="D4190" s="0" t="s">
        <v>3671</v>
      </c>
    </row>
    <row r="4191" customFormat="false" ht="15" hidden="false" customHeight="false" outlineLevel="0" collapsed="false">
      <c r="A4191" s="0" t="n">
        <v>11068</v>
      </c>
      <c r="B4191" s="0" t="s">
        <v>7278</v>
      </c>
      <c r="C4191" s="0" t="s">
        <v>31</v>
      </c>
      <c r="D4191" s="0" t="s">
        <v>3671</v>
      </c>
    </row>
    <row r="4192" customFormat="false" ht="15" hidden="false" customHeight="false" outlineLevel="0" collapsed="false">
      <c r="A4192" s="0" t="n">
        <v>7246</v>
      </c>
      <c r="B4192" s="0" t="s">
        <v>7279</v>
      </c>
      <c r="C4192" s="0" t="s">
        <v>31</v>
      </c>
      <c r="D4192" s="0" t="s">
        <v>3671</v>
      </c>
    </row>
    <row r="4193" customFormat="false" ht="15" hidden="false" customHeight="false" outlineLevel="0" collapsed="false">
      <c r="A4193" s="0" t="n">
        <v>12869</v>
      </c>
      <c r="B4193" s="0" t="s">
        <v>1488</v>
      </c>
      <c r="C4193" s="0" t="s">
        <v>1444</v>
      </c>
      <c r="D4193" s="0" t="s">
        <v>3671</v>
      </c>
      <c r="E4193" s="0" t="n">
        <v>19.98</v>
      </c>
    </row>
    <row r="4194" customFormat="false" ht="15" hidden="false" customHeight="false" outlineLevel="0" collapsed="false">
      <c r="A4194" s="0" t="n">
        <v>41097</v>
      </c>
      <c r="B4194" s="0" t="s">
        <v>7280</v>
      </c>
      <c r="C4194" s="0" t="s">
        <v>1416</v>
      </c>
      <c r="D4194" s="0" t="s">
        <v>3671</v>
      </c>
      <c r="E4194" s="0" t="n">
        <v>3519.33</v>
      </c>
    </row>
    <row r="4195" customFormat="false" ht="15" hidden="false" customHeight="false" outlineLevel="0" collapsed="false">
      <c r="A4195" s="0" t="n">
        <v>1574</v>
      </c>
      <c r="B4195" s="0" t="s">
        <v>7281</v>
      </c>
      <c r="C4195" s="0" t="s">
        <v>31</v>
      </c>
      <c r="D4195" s="0" t="s">
        <v>3671</v>
      </c>
      <c r="E4195" s="0" t="n">
        <v>1.76</v>
      </c>
    </row>
    <row r="4196" customFormat="false" ht="15" hidden="false" customHeight="false" outlineLevel="0" collapsed="false">
      <c r="A4196" s="0" t="n">
        <v>1581</v>
      </c>
      <c r="B4196" s="0" t="s">
        <v>2489</v>
      </c>
      <c r="C4196" s="0" t="s">
        <v>31</v>
      </c>
      <c r="D4196" s="0" t="s">
        <v>3671</v>
      </c>
      <c r="E4196" s="0" t="n">
        <v>12.21</v>
      </c>
    </row>
    <row r="4197" customFormat="false" ht="15" hidden="false" customHeight="false" outlineLevel="0" collapsed="false">
      <c r="A4197" s="0" t="n">
        <v>1575</v>
      </c>
      <c r="B4197" s="0" t="s">
        <v>2481</v>
      </c>
      <c r="C4197" s="0" t="s">
        <v>31</v>
      </c>
      <c r="D4197" s="0" t="s">
        <v>3671</v>
      </c>
      <c r="E4197" s="0" t="n">
        <v>2.09</v>
      </c>
    </row>
    <row r="4198" customFormat="false" ht="15" hidden="false" customHeight="false" outlineLevel="0" collapsed="false">
      <c r="A4198" s="0" t="n">
        <v>1570</v>
      </c>
      <c r="B4198" s="0" t="s">
        <v>2474</v>
      </c>
      <c r="C4198" s="0" t="s">
        <v>31</v>
      </c>
      <c r="D4198" s="0" t="s">
        <v>3671</v>
      </c>
      <c r="E4198" s="0" t="n">
        <v>1.05</v>
      </c>
    </row>
    <row r="4199" customFormat="false" ht="15" hidden="false" customHeight="false" outlineLevel="0" collapsed="false">
      <c r="A4199" s="0" t="n">
        <v>1576</v>
      </c>
      <c r="B4199" s="0" t="s">
        <v>7282</v>
      </c>
      <c r="C4199" s="0" t="s">
        <v>31</v>
      </c>
      <c r="D4199" s="0" t="s">
        <v>3671</v>
      </c>
      <c r="E4199" s="0" t="n">
        <v>2.89</v>
      </c>
    </row>
    <row r="4200" customFormat="false" ht="15" hidden="false" customHeight="false" outlineLevel="0" collapsed="false">
      <c r="A4200" s="0" t="n">
        <v>1577</v>
      </c>
      <c r="B4200" s="0" t="s">
        <v>7283</v>
      </c>
      <c r="C4200" s="0" t="s">
        <v>31</v>
      </c>
      <c r="D4200" s="0" t="s">
        <v>3671</v>
      </c>
      <c r="E4200" s="0" t="n">
        <v>3.26</v>
      </c>
    </row>
    <row r="4201" customFormat="false" ht="15" hidden="false" customHeight="false" outlineLevel="0" collapsed="false">
      <c r="A4201" s="0" t="n">
        <v>1571</v>
      </c>
      <c r="B4201" s="0" t="s">
        <v>2477</v>
      </c>
      <c r="C4201" s="0" t="s">
        <v>31</v>
      </c>
      <c r="D4201" s="0" t="s">
        <v>3671</v>
      </c>
      <c r="E4201" s="0" t="n">
        <v>1.36</v>
      </c>
    </row>
    <row r="4202" customFormat="false" ht="15" hidden="false" customHeight="false" outlineLevel="0" collapsed="false">
      <c r="A4202" s="0" t="n">
        <v>1578</v>
      </c>
      <c r="B4202" s="0" t="s">
        <v>2486</v>
      </c>
      <c r="C4202" s="0" t="s">
        <v>31</v>
      </c>
      <c r="D4202" s="0" t="s">
        <v>3671</v>
      </c>
      <c r="E4202" s="0" t="n">
        <v>5.66</v>
      </c>
    </row>
    <row r="4203" customFormat="false" ht="15" hidden="false" customHeight="false" outlineLevel="0" collapsed="false">
      <c r="A4203" s="0" t="n">
        <v>1573</v>
      </c>
      <c r="B4203" s="0" t="s">
        <v>7284</v>
      </c>
      <c r="C4203" s="0" t="s">
        <v>31</v>
      </c>
      <c r="D4203" s="0" t="s">
        <v>3671</v>
      </c>
      <c r="E4203" s="0" t="n">
        <v>1.63</v>
      </c>
    </row>
    <row r="4204" customFormat="false" ht="15" hidden="false" customHeight="false" outlineLevel="0" collapsed="false">
      <c r="A4204" s="0" t="n">
        <v>1579</v>
      </c>
      <c r="B4204" s="0" t="s">
        <v>2494</v>
      </c>
      <c r="C4204" s="0" t="s">
        <v>31</v>
      </c>
      <c r="D4204" s="0" t="s">
        <v>3671</v>
      </c>
      <c r="E4204" s="0" t="n">
        <v>7.05</v>
      </c>
    </row>
    <row r="4205" customFormat="false" ht="15" hidden="false" customHeight="false" outlineLevel="0" collapsed="false">
      <c r="A4205" s="0" t="n">
        <v>1580</v>
      </c>
      <c r="B4205" s="0" t="s">
        <v>7285</v>
      </c>
      <c r="C4205" s="0" t="s">
        <v>31</v>
      </c>
      <c r="D4205" s="0" t="s">
        <v>3671</v>
      </c>
      <c r="E4205" s="0" t="n">
        <v>8.69</v>
      </c>
    </row>
    <row r="4206" customFormat="false" ht="15" hidden="false" customHeight="false" outlineLevel="0" collapsed="false">
      <c r="A4206" s="0" t="n">
        <v>39321</v>
      </c>
      <c r="B4206" s="0" t="s">
        <v>7286</v>
      </c>
      <c r="C4206" s="0" t="s">
        <v>31</v>
      </c>
      <c r="D4206" s="0" t="s">
        <v>3671</v>
      </c>
      <c r="E4206" s="0" t="n">
        <v>23.31</v>
      </c>
    </row>
    <row r="4207" customFormat="false" ht="15" hidden="false" customHeight="false" outlineLevel="0" collapsed="false">
      <c r="A4207" s="0" t="n">
        <v>39319</v>
      </c>
      <c r="B4207" s="0" t="s">
        <v>2266</v>
      </c>
      <c r="C4207" s="0" t="s">
        <v>31</v>
      </c>
      <c r="D4207" s="0" t="s">
        <v>3671</v>
      </c>
      <c r="E4207" s="0" t="n">
        <v>9.7</v>
      </c>
    </row>
    <row r="4208" customFormat="false" ht="15" hidden="false" customHeight="false" outlineLevel="0" collapsed="false">
      <c r="A4208" s="0" t="n">
        <v>39320</v>
      </c>
      <c r="B4208" s="0" t="s">
        <v>2268</v>
      </c>
      <c r="C4208" s="0" t="s">
        <v>31</v>
      </c>
      <c r="D4208" s="0" t="s">
        <v>3671</v>
      </c>
      <c r="E4208" s="0" t="n">
        <v>18.65</v>
      </c>
    </row>
    <row r="4209" customFormat="false" ht="15" hidden="false" customHeight="false" outlineLevel="0" collapsed="false">
      <c r="A4209" s="0" t="n">
        <v>1542</v>
      </c>
      <c r="B4209" s="0" t="s">
        <v>7287</v>
      </c>
      <c r="C4209" s="0" t="s">
        <v>31</v>
      </c>
      <c r="D4209" s="0" t="s">
        <v>3671</v>
      </c>
      <c r="E4209" s="0" t="n">
        <v>24.07</v>
      </c>
    </row>
    <row r="4210" customFormat="false" ht="15" hidden="false" customHeight="false" outlineLevel="0" collapsed="false">
      <c r="A4210" s="0" t="n">
        <v>1591</v>
      </c>
      <c r="B4210" s="0" t="s">
        <v>7288</v>
      </c>
      <c r="C4210" s="0" t="s">
        <v>31</v>
      </c>
      <c r="D4210" s="0" t="s">
        <v>3671</v>
      </c>
      <c r="E4210" s="0" t="n">
        <v>26.94</v>
      </c>
    </row>
    <row r="4211" customFormat="false" ht="15" hidden="false" customHeight="false" outlineLevel="0" collapsed="false">
      <c r="A4211" s="0" t="n">
        <v>1547</v>
      </c>
      <c r="B4211" s="0" t="s">
        <v>7289</v>
      </c>
      <c r="C4211" s="0" t="s">
        <v>31</v>
      </c>
      <c r="D4211" s="0" t="s">
        <v>3671</v>
      </c>
      <c r="E4211" s="0" t="n">
        <v>141.16</v>
      </c>
    </row>
    <row r="4212" customFormat="false" ht="15" hidden="false" customHeight="false" outlineLevel="0" collapsed="false">
      <c r="A4212" s="0" t="n">
        <v>38196</v>
      </c>
      <c r="B4212" s="0" t="s">
        <v>7290</v>
      </c>
      <c r="C4212" s="0" t="s">
        <v>31</v>
      </c>
      <c r="D4212" s="0" t="s">
        <v>3671</v>
      </c>
      <c r="E4212" s="0" t="n">
        <v>27.49</v>
      </c>
    </row>
    <row r="4213" customFormat="false" ht="15" hidden="false" customHeight="false" outlineLevel="0" collapsed="false">
      <c r="A4213" s="0" t="n">
        <v>1543</v>
      </c>
      <c r="B4213" s="0" t="s">
        <v>7291</v>
      </c>
      <c r="C4213" s="0" t="s">
        <v>31</v>
      </c>
      <c r="D4213" s="0" t="s">
        <v>3671</v>
      </c>
      <c r="E4213" s="0" t="n">
        <v>29.21</v>
      </c>
    </row>
    <row r="4214" customFormat="false" ht="15" hidden="false" customHeight="false" outlineLevel="0" collapsed="false">
      <c r="A4214" s="0" t="n">
        <v>1585</v>
      </c>
      <c r="B4214" s="0" t="s">
        <v>7292</v>
      </c>
      <c r="C4214" s="0" t="s">
        <v>31</v>
      </c>
      <c r="D4214" s="0" t="s">
        <v>3671</v>
      </c>
      <c r="E4214" s="0" t="n">
        <v>5.66</v>
      </c>
    </row>
    <row r="4215" customFormat="false" ht="15" hidden="false" customHeight="false" outlineLevel="0" collapsed="false">
      <c r="A4215" s="0" t="n">
        <v>1593</v>
      </c>
      <c r="B4215" s="0" t="s">
        <v>7293</v>
      </c>
      <c r="C4215" s="0" t="s">
        <v>31</v>
      </c>
      <c r="D4215" s="0" t="s">
        <v>3671</v>
      </c>
      <c r="E4215" s="0" t="n">
        <v>30.04</v>
      </c>
    </row>
    <row r="4216" customFormat="false" ht="15" hidden="false" customHeight="false" outlineLevel="0" collapsed="false">
      <c r="A4216" s="0" t="n">
        <v>11838</v>
      </c>
      <c r="B4216" s="0" t="s">
        <v>7294</v>
      </c>
      <c r="C4216" s="0" t="s">
        <v>31</v>
      </c>
      <c r="D4216" s="0" t="s">
        <v>3671</v>
      </c>
      <c r="E4216" s="0" t="n">
        <v>39.64</v>
      </c>
    </row>
    <row r="4217" customFormat="false" ht="15" hidden="false" customHeight="false" outlineLevel="0" collapsed="false">
      <c r="A4217" s="0" t="n">
        <v>1594</v>
      </c>
      <c r="B4217" s="0" t="s">
        <v>7295</v>
      </c>
      <c r="C4217" s="0" t="s">
        <v>31</v>
      </c>
      <c r="D4217" s="0" t="s">
        <v>3671</v>
      </c>
      <c r="E4217" s="0" t="n">
        <v>40.08</v>
      </c>
    </row>
    <row r="4218" customFormat="false" ht="15" hidden="false" customHeight="false" outlineLevel="0" collapsed="false">
      <c r="A4218" s="0" t="n">
        <v>1586</v>
      </c>
      <c r="B4218" s="0" t="s">
        <v>7296</v>
      </c>
      <c r="C4218" s="0" t="s">
        <v>31</v>
      </c>
      <c r="D4218" s="0" t="s">
        <v>3671</v>
      </c>
      <c r="E4218" s="0" t="n">
        <v>7.16</v>
      </c>
    </row>
    <row r="4219" customFormat="false" ht="15" hidden="false" customHeight="false" outlineLevel="0" collapsed="false">
      <c r="A4219" s="0" t="n">
        <v>11839</v>
      </c>
      <c r="B4219" s="0" t="s">
        <v>7297</v>
      </c>
      <c r="C4219" s="0" t="s">
        <v>31</v>
      </c>
      <c r="D4219" s="0" t="s">
        <v>3671</v>
      </c>
      <c r="E4219" s="0" t="n">
        <v>57.68</v>
      </c>
    </row>
    <row r="4220" customFormat="false" ht="15" hidden="false" customHeight="false" outlineLevel="0" collapsed="false">
      <c r="A4220" s="0" t="n">
        <v>1587</v>
      </c>
      <c r="B4220" s="0" t="s">
        <v>7298</v>
      </c>
      <c r="C4220" s="0" t="s">
        <v>31</v>
      </c>
      <c r="D4220" s="0" t="s">
        <v>3671</v>
      </c>
      <c r="E4220" s="0" t="n">
        <v>7.29</v>
      </c>
    </row>
    <row r="4221" customFormat="false" ht="15" hidden="false" customHeight="false" outlineLevel="0" collapsed="false">
      <c r="A4221" s="0" t="n">
        <v>1545</v>
      </c>
      <c r="B4221" s="0" t="s">
        <v>7299</v>
      </c>
      <c r="C4221" s="0" t="s">
        <v>31</v>
      </c>
      <c r="D4221" s="0" t="s">
        <v>3671</v>
      </c>
      <c r="E4221" s="0" t="n">
        <v>69.22</v>
      </c>
    </row>
    <row r="4222" customFormat="false" ht="15" hidden="false" customHeight="false" outlineLevel="0" collapsed="false">
      <c r="A4222" s="0" t="n">
        <v>1588</v>
      </c>
      <c r="B4222" s="0" t="s">
        <v>7300</v>
      </c>
      <c r="C4222" s="0" t="s">
        <v>31</v>
      </c>
      <c r="D4222" s="0" t="s">
        <v>3671</v>
      </c>
      <c r="E4222" s="0" t="n">
        <v>10</v>
      </c>
    </row>
    <row r="4223" customFormat="false" ht="15" hidden="false" customHeight="false" outlineLevel="0" collapsed="false">
      <c r="A4223" s="0" t="n">
        <v>1535</v>
      </c>
      <c r="B4223" s="0" t="s">
        <v>7301</v>
      </c>
      <c r="C4223" s="0" t="s">
        <v>31</v>
      </c>
      <c r="D4223" s="0" t="s">
        <v>3671</v>
      </c>
      <c r="E4223" s="0" t="n">
        <v>5.76</v>
      </c>
    </row>
    <row r="4224" customFormat="false" ht="15" hidden="false" customHeight="false" outlineLevel="0" collapsed="false">
      <c r="A4224" s="0" t="n">
        <v>1589</v>
      </c>
      <c r="B4224" s="0" t="s">
        <v>7302</v>
      </c>
      <c r="C4224" s="0" t="s">
        <v>31</v>
      </c>
      <c r="D4224" s="0" t="s">
        <v>3671</v>
      </c>
      <c r="E4224" s="0" t="n">
        <v>10.32</v>
      </c>
    </row>
    <row r="4225" customFormat="false" ht="15" hidden="false" customHeight="false" outlineLevel="0" collapsed="false">
      <c r="A4225" s="0" t="n">
        <v>1546</v>
      </c>
      <c r="B4225" s="0" t="s">
        <v>7303</v>
      </c>
      <c r="C4225" s="0" t="s">
        <v>31</v>
      </c>
      <c r="D4225" s="0" t="s">
        <v>3671</v>
      </c>
      <c r="E4225" s="0" t="n">
        <v>116.81</v>
      </c>
    </row>
    <row r="4226" customFormat="false" ht="15" hidden="false" customHeight="false" outlineLevel="0" collapsed="false">
      <c r="A4226" s="0" t="n">
        <v>1590</v>
      </c>
      <c r="B4226" s="0" t="s">
        <v>7304</v>
      </c>
      <c r="C4226" s="0" t="s">
        <v>31</v>
      </c>
      <c r="D4226" s="0" t="s">
        <v>3671</v>
      </c>
      <c r="E4226" s="0" t="n">
        <v>18.17</v>
      </c>
    </row>
    <row r="4227" customFormat="false" ht="15" hidden="false" customHeight="false" outlineLevel="0" collapsed="false">
      <c r="A4227" s="0" t="n">
        <v>38415</v>
      </c>
      <c r="B4227" s="0" t="s">
        <v>7305</v>
      </c>
      <c r="C4227" s="0" t="s">
        <v>31</v>
      </c>
      <c r="D4227" s="0" t="s">
        <v>3671</v>
      </c>
      <c r="E4227" s="0" t="n">
        <v>951.68</v>
      </c>
    </row>
    <row r="4228" customFormat="false" ht="15" hidden="false" customHeight="false" outlineLevel="0" collapsed="false">
      <c r="A4228" s="0" t="n">
        <v>38414</v>
      </c>
      <c r="B4228" s="0" t="s">
        <v>7306</v>
      </c>
      <c r="C4228" s="0" t="s">
        <v>31</v>
      </c>
      <c r="D4228" s="0" t="s">
        <v>3671</v>
      </c>
      <c r="E4228" s="0" t="n">
        <v>1335.69</v>
      </c>
    </row>
    <row r="4229" customFormat="false" ht="15" hidden="false" customHeight="false" outlineLevel="0" collapsed="false">
      <c r="A4229" s="0" t="n">
        <v>38128</v>
      </c>
      <c r="B4229" s="0" t="s">
        <v>7307</v>
      </c>
      <c r="C4229" s="0" t="s">
        <v>1513</v>
      </c>
      <c r="D4229" s="0" t="s">
        <v>3676</v>
      </c>
      <c r="E4229" s="0" t="n">
        <v>1.23</v>
      </c>
    </row>
    <row r="4230" customFormat="false" ht="15" hidden="false" customHeight="false" outlineLevel="0" collapsed="false">
      <c r="A4230" s="0" t="n">
        <v>7253</v>
      </c>
      <c r="B4230" s="0" t="s">
        <v>2886</v>
      </c>
      <c r="C4230" s="0" t="s">
        <v>1442</v>
      </c>
      <c r="D4230" s="0" t="s">
        <v>3671</v>
      </c>
      <c r="E4230" s="0" t="n">
        <v>263.57</v>
      </c>
    </row>
    <row r="4231" customFormat="false" ht="15" hidden="false" customHeight="false" outlineLevel="0" collapsed="false">
      <c r="A4231" s="0" t="n">
        <v>4806</v>
      </c>
      <c r="B4231" s="0" t="s">
        <v>7308</v>
      </c>
      <c r="C4231" s="0" t="s">
        <v>1455</v>
      </c>
      <c r="D4231" s="0" t="s">
        <v>3671</v>
      </c>
      <c r="E4231" s="0" t="n">
        <v>18.35</v>
      </c>
    </row>
    <row r="4232" customFormat="false" ht="15" hidden="false" customHeight="false" outlineLevel="0" collapsed="false">
      <c r="A4232" s="0" t="n">
        <v>34401</v>
      </c>
      <c r="B4232" s="0" t="s">
        <v>7309</v>
      </c>
      <c r="C4232" s="0" t="s">
        <v>31</v>
      </c>
      <c r="D4232" s="0" t="s">
        <v>3671</v>
      </c>
      <c r="E4232" s="0" t="n">
        <v>2.09</v>
      </c>
    </row>
    <row r="4233" customFormat="false" ht="15" hidden="false" customHeight="false" outlineLevel="0" collapsed="false">
      <c r="A4233" s="0" t="n">
        <v>7256</v>
      </c>
      <c r="B4233" s="0" t="s">
        <v>7310</v>
      </c>
      <c r="C4233" s="0" t="s">
        <v>31</v>
      </c>
      <c r="D4233" s="0" t="s">
        <v>3671</v>
      </c>
      <c r="E4233" s="0" t="n">
        <v>1.49</v>
      </c>
    </row>
    <row r="4234" customFormat="false" ht="15" hidden="false" customHeight="false" outlineLevel="0" collapsed="false">
      <c r="A4234" s="0" t="n">
        <v>7260</v>
      </c>
      <c r="B4234" s="0" t="s">
        <v>7311</v>
      </c>
      <c r="C4234" s="0" t="s">
        <v>31</v>
      </c>
      <c r="D4234" s="0" t="s">
        <v>3671</v>
      </c>
      <c r="E4234" s="0" t="n">
        <v>2.82</v>
      </c>
    </row>
    <row r="4235" customFormat="false" ht="15" hidden="false" customHeight="false" outlineLevel="0" collapsed="false">
      <c r="A4235" s="0" t="n">
        <v>7258</v>
      </c>
      <c r="B4235" s="0" t="s">
        <v>2682</v>
      </c>
      <c r="C4235" s="0" t="s">
        <v>31</v>
      </c>
      <c r="D4235" s="0" t="s">
        <v>3671</v>
      </c>
      <c r="E4235" s="0" t="n">
        <v>0.73</v>
      </c>
    </row>
    <row r="4236" customFormat="false" ht="15" hidden="false" customHeight="false" outlineLevel="0" collapsed="false">
      <c r="A4236" s="0" t="n">
        <v>34400</v>
      </c>
      <c r="B4236" s="0" t="s">
        <v>7312</v>
      </c>
      <c r="C4236" s="0" t="s">
        <v>31</v>
      </c>
      <c r="D4236" s="0" t="s">
        <v>3671</v>
      </c>
      <c r="E4236" s="0" t="n">
        <v>5.81</v>
      </c>
    </row>
    <row r="4237" customFormat="false" ht="15" hidden="false" customHeight="false" outlineLevel="0" collapsed="false">
      <c r="A4237" s="0" t="n">
        <v>10617</v>
      </c>
      <c r="B4237" s="0" t="s">
        <v>7313</v>
      </c>
      <c r="C4237" s="0" t="s">
        <v>31</v>
      </c>
      <c r="D4237" s="0" t="s">
        <v>3671</v>
      </c>
      <c r="E4237" s="0" t="n">
        <v>7.49</v>
      </c>
    </row>
    <row r="4238" customFormat="false" ht="15" hidden="false" customHeight="false" outlineLevel="0" collapsed="false">
      <c r="A4238" s="0" t="n">
        <v>44261</v>
      </c>
      <c r="B4238" s="0" t="s">
        <v>7314</v>
      </c>
      <c r="C4238" s="0" t="s">
        <v>31</v>
      </c>
      <c r="D4238" s="0" t="s">
        <v>3671</v>
      </c>
      <c r="E4238" s="0" t="n">
        <v>154.86</v>
      </c>
    </row>
    <row r="4239" customFormat="false" ht="15" hidden="false" customHeight="false" outlineLevel="0" collapsed="false">
      <c r="A4239" s="0" t="n">
        <v>7274</v>
      </c>
      <c r="B4239" s="0" t="s">
        <v>7315</v>
      </c>
      <c r="C4239" s="0" t="s">
        <v>31</v>
      </c>
      <c r="D4239" s="0" t="s">
        <v>3671</v>
      </c>
      <c r="E4239" s="0" t="n">
        <v>74.97</v>
      </c>
    </row>
    <row r="4240" customFormat="false" ht="15" hidden="false" customHeight="false" outlineLevel="0" collapsed="false">
      <c r="A4240" s="0" t="n">
        <v>44326</v>
      </c>
      <c r="B4240" s="0" t="s">
        <v>7316</v>
      </c>
      <c r="C4240" s="0" t="s">
        <v>31</v>
      </c>
      <c r="D4240" s="0" t="s">
        <v>3671</v>
      </c>
      <c r="E4240" s="0" t="n">
        <v>1619.23</v>
      </c>
    </row>
    <row r="4241" customFormat="false" ht="15" hidden="false" customHeight="false" outlineLevel="0" collapsed="false">
      <c r="A4241" s="0" t="n">
        <v>154</v>
      </c>
      <c r="B4241" s="0" t="s">
        <v>7317</v>
      </c>
      <c r="C4241" s="0" t="s">
        <v>1452</v>
      </c>
      <c r="D4241" s="0" t="s">
        <v>3671</v>
      </c>
      <c r="E4241" s="0" t="n">
        <v>68.84</v>
      </c>
    </row>
    <row r="4242" customFormat="false" ht="15" hidden="false" customHeight="false" outlineLevel="0" collapsed="false">
      <c r="A4242" s="0" t="n">
        <v>38121</v>
      </c>
      <c r="B4242" s="0" t="s">
        <v>7318</v>
      </c>
      <c r="C4242" s="0" t="s">
        <v>1452</v>
      </c>
      <c r="D4242" s="0" t="s">
        <v>3671</v>
      </c>
      <c r="E4242" s="0" t="n">
        <v>24.26</v>
      </c>
    </row>
    <row r="4243" customFormat="false" ht="15" hidden="false" customHeight="false" outlineLevel="0" collapsed="false">
      <c r="A4243" s="0" t="n">
        <v>43776</v>
      </c>
      <c r="B4243" s="0" t="s">
        <v>7319</v>
      </c>
      <c r="C4243" s="0" t="s">
        <v>1452</v>
      </c>
      <c r="D4243" s="0" t="s">
        <v>3671</v>
      </c>
      <c r="E4243" s="0" t="n">
        <v>27.96</v>
      </c>
    </row>
    <row r="4244" customFormat="false" ht="15" hidden="false" customHeight="false" outlineLevel="0" collapsed="false">
      <c r="A4244" s="0" t="n">
        <v>7343</v>
      </c>
      <c r="B4244" s="0" t="s">
        <v>7320</v>
      </c>
      <c r="C4244" s="0" t="s">
        <v>1452</v>
      </c>
      <c r="D4244" s="0" t="s">
        <v>3671</v>
      </c>
      <c r="E4244" s="0" t="n">
        <v>35.69</v>
      </c>
    </row>
    <row r="4245" customFormat="false" ht="15" hidden="false" customHeight="false" outlineLevel="0" collapsed="false">
      <c r="A4245" s="0" t="n">
        <v>7348</v>
      </c>
      <c r="B4245" s="0" t="s">
        <v>1919</v>
      </c>
      <c r="C4245" s="0" t="s">
        <v>1452</v>
      </c>
      <c r="D4245" s="0" t="s">
        <v>3671</v>
      </c>
      <c r="E4245" s="0" t="n">
        <v>21.19</v>
      </c>
    </row>
    <row r="4246" customFormat="false" ht="15" hidden="false" customHeight="false" outlineLevel="0" collapsed="false">
      <c r="A4246" s="0" t="n">
        <v>7313</v>
      </c>
      <c r="B4246" s="0" t="s">
        <v>7321</v>
      </c>
      <c r="C4246" s="0" t="s">
        <v>1452</v>
      </c>
      <c r="D4246" s="0" t="s">
        <v>3671</v>
      </c>
      <c r="E4246" s="0" t="n">
        <v>18.55</v>
      </c>
    </row>
    <row r="4247" customFormat="false" ht="15" hidden="false" customHeight="false" outlineLevel="0" collapsed="false">
      <c r="A4247" s="0" t="n">
        <v>7319</v>
      </c>
      <c r="B4247" s="0" t="s">
        <v>1850</v>
      </c>
      <c r="C4247" s="0" t="s">
        <v>1452</v>
      </c>
      <c r="D4247" s="0" t="s">
        <v>3671</v>
      </c>
      <c r="E4247" s="0" t="n">
        <v>10.62</v>
      </c>
    </row>
    <row r="4248" customFormat="false" ht="15" hidden="false" customHeight="false" outlineLevel="0" collapsed="false">
      <c r="A4248" s="0" t="n">
        <v>7314</v>
      </c>
      <c r="B4248" s="0" t="s">
        <v>7322</v>
      </c>
      <c r="C4248" s="0" t="s">
        <v>1452</v>
      </c>
      <c r="D4248" s="0" t="s">
        <v>3671</v>
      </c>
      <c r="E4248" s="0" t="n">
        <v>84.82</v>
      </c>
    </row>
    <row r="4249" customFormat="false" ht="15" hidden="false" customHeight="false" outlineLevel="0" collapsed="false">
      <c r="A4249" s="0" t="n">
        <v>7304</v>
      </c>
      <c r="B4249" s="0" t="s">
        <v>1960</v>
      </c>
      <c r="C4249" s="0" t="s">
        <v>1452</v>
      </c>
      <c r="D4249" s="0" t="s">
        <v>3671</v>
      </c>
      <c r="E4249" s="0" t="n">
        <v>82.87</v>
      </c>
    </row>
    <row r="4250" customFormat="false" ht="15" hidden="false" customHeight="false" outlineLevel="0" collapsed="false">
      <c r="A4250" s="0" t="n">
        <v>43649</v>
      </c>
      <c r="B4250" s="0" t="s">
        <v>1999</v>
      </c>
      <c r="C4250" s="0" t="s">
        <v>1452</v>
      </c>
      <c r="D4250" s="0" t="s">
        <v>3671</v>
      </c>
      <c r="E4250" s="0" t="n">
        <v>42.86</v>
      </c>
    </row>
    <row r="4251" customFormat="false" ht="15" hidden="false" customHeight="false" outlineLevel="0" collapsed="false">
      <c r="A4251" s="0" t="n">
        <v>43650</v>
      </c>
      <c r="B4251" s="0" t="s">
        <v>7323</v>
      </c>
      <c r="C4251" s="0" t="s">
        <v>1452</v>
      </c>
      <c r="D4251" s="0" t="s">
        <v>3671</v>
      </c>
      <c r="E4251" s="0" t="n">
        <v>40.5</v>
      </c>
    </row>
    <row r="4252" customFormat="false" ht="15" hidden="false" customHeight="false" outlineLevel="0" collapsed="false">
      <c r="A4252" s="0" t="n">
        <v>7311</v>
      </c>
      <c r="B4252" s="0" t="s">
        <v>1881</v>
      </c>
      <c r="C4252" s="0" t="s">
        <v>1452</v>
      </c>
      <c r="D4252" s="0" t="s">
        <v>3671</v>
      </c>
      <c r="E4252" s="0" t="n">
        <v>41.49</v>
      </c>
    </row>
    <row r="4253" customFormat="false" ht="15" hidden="false" customHeight="false" outlineLevel="0" collapsed="false">
      <c r="A4253" s="0" t="n">
        <v>7292</v>
      </c>
      <c r="B4253" s="0" t="s">
        <v>7324</v>
      </c>
      <c r="C4253" s="0" t="s">
        <v>1452</v>
      </c>
      <c r="D4253" s="0" t="s">
        <v>3676</v>
      </c>
      <c r="E4253" s="0" t="n">
        <v>40.17</v>
      </c>
    </row>
    <row r="4254" customFormat="false" ht="15" hidden="false" customHeight="false" outlineLevel="0" collapsed="false">
      <c r="A4254" s="0" t="n">
        <v>7293</v>
      </c>
      <c r="B4254" s="0" t="s">
        <v>7325</v>
      </c>
      <c r="C4254" s="0" t="s">
        <v>1452</v>
      </c>
      <c r="D4254" s="0" t="s">
        <v>3671</v>
      </c>
      <c r="E4254" s="0" t="n">
        <v>44.44</v>
      </c>
    </row>
    <row r="4255" customFormat="false" ht="15" hidden="false" customHeight="false" outlineLevel="0" collapsed="false">
      <c r="A4255" s="0" t="n">
        <v>7306</v>
      </c>
      <c r="B4255" s="0" t="s">
        <v>7326</v>
      </c>
      <c r="C4255" s="0" t="s">
        <v>1452</v>
      </c>
      <c r="D4255" s="0" t="s">
        <v>3671</v>
      </c>
      <c r="E4255" s="0" t="n">
        <v>49.04</v>
      </c>
    </row>
    <row r="4256" customFormat="false" ht="15" hidden="false" customHeight="false" outlineLevel="0" collapsed="false">
      <c r="A4256" s="0" t="n">
        <v>7288</v>
      </c>
      <c r="B4256" s="0" t="s">
        <v>7327</v>
      </c>
      <c r="C4256" s="0" t="s">
        <v>1452</v>
      </c>
      <c r="D4256" s="0" t="s">
        <v>3671</v>
      </c>
      <c r="E4256" s="0" t="n">
        <v>40.72</v>
      </c>
    </row>
    <row r="4257" customFormat="false" ht="15" hidden="false" customHeight="false" outlineLevel="0" collapsed="false">
      <c r="A4257" s="0" t="n">
        <v>43625</v>
      </c>
      <c r="B4257" s="0" t="s">
        <v>7328</v>
      </c>
      <c r="C4257" s="0" t="s">
        <v>1452</v>
      </c>
      <c r="D4257" s="0" t="s">
        <v>3671</v>
      </c>
      <c r="E4257" s="0" t="n">
        <v>32.88</v>
      </c>
    </row>
    <row r="4258" customFormat="false" ht="15" hidden="false" customHeight="false" outlineLevel="0" collapsed="false">
      <c r="A4258" s="0" t="n">
        <v>43647</v>
      </c>
      <c r="B4258" s="0" t="s">
        <v>7329</v>
      </c>
      <c r="C4258" s="0" t="s">
        <v>1452</v>
      </c>
      <c r="D4258" s="0" t="s">
        <v>3671</v>
      </c>
      <c r="E4258" s="0" t="n">
        <v>29.87</v>
      </c>
    </row>
    <row r="4259" customFormat="false" ht="15" hidden="false" customHeight="false" outlineLevel="0" collapsed="false">
      <c r="A4259" s="0" t="n">
        <v>43648</v>
      </c>
      <c r="B4259" s="0" t="s">
        <v>7330</v>
      </c>
      <c r="C4259" s="0" t="s">
        <v>1452</v>
      </c>
      <c r="D4259" s="0" t="s">
        <v>3671</v>
      </c>
      <c r="E4259" s="0" t="n">
        <v>28.82</v>
      </c>
    </row>
    <row r="4260" customFormat="false" ht="15" hidden="false" customHeight="false" outlineLevel="0" collapsed="false">
      <c r="A4260" s="0" t="n">
        <v>35693</v>
      </c>
      <c r="B4260" s="0" t="s">
        <v>7331</v>
      </c>
      <c r="C4260" s="0" t="s">
        <v>1452</v>
      </c>
      <c r="D4260" s="0" t="s">
        <v>3671</v>
      </c>
      <c r="E4260" s="0" t="n">
        <v>13.18</v>
      </c>
    </row>
    <row r="4261" customFormat="false" ht="15" hidden="false" customHeight="false" outlineLevel="0" collapsed="false">
      <c r="A4261" s="0" t="n">
        <v>7356</v>
      </c>
      <c r="B4261" s="0" t="s">
        <v>1596</v>
      </c>
      <c r="C4261" s="0" t="s">
        <v>1452</v>
      </c>
      <c r="D4261" s="0" t="s">
        <v>3676</v>
      </c>
      <c r="E4261" s="0" t="n">
        <v>31.59</v>
      </c>
    </row>
    <row r="4262" customFormat="false" ht="15" hidden="false" customHeight="false" outlineLevel="0" collapsed="false">
      <c r="A4262" s="0" t="n">
        <v>35692</v>
      </c>
      <c r="B4262" s="0" t="s">
        <v>7332</v>
      </c>
      <c r="C4262" s="0" t="s">
        <v>1452</v>
      </c>
      <c r="D4262" s="0" t="s">
        <v>3671</v>
      </c>
      <c r="E4262" s="0" t="n">
        <v>20.67</v>
      </c>
    </row>
    <row r="4263" customFormat="false" ht="15" hidden="false" customHeight="false" outlineLevel="0" collapsed="false">
      <c r="A4263" s="0" t="n">
        <v>43624</v>
      </c>
      <c r="B4263" s="0" t="s">
        <v>7333</v>
      </c>
      <c r="C4263" s="0" t="s">
        <v>1452</v>
      </c>
      <c r="D4263" s="0" t="s">
        <v>3671</v>
      </c>
      <c r="E4263" s="0" t="n">
        <v>38.5</v>
      </c>
    </row>
    <row r="4264" customFormat="false" ht="15" hidden="false" customHeight="false" outlineLevel="0" collapsed="false">
      <c r="A4264" s="0" t="n">
        <v>7342</v>
      </c>
      <c r="B4264" s="0" t="s">
        <v>7334</v>
      </c>
      <c r="C4264" s="0" t="s">
        <v>1513</v>
      </c>
      <c r="D4264" s="0" t="s">
        <v>3671</v>
      </c>
      <c r="E4264" s="0" t="n">
        <v>2.03</v>
      </c>
    </row>
    <row r="4265" customFormat="false" ht="15" hidden="false" customHeight="false" outlineLevel="0" collapsed="false">
      <c r="A4265" s="0" t="n">
        <v>7350</v>
      </c>
      <c r="B4265" s="0" t="s">
        <v>7335</v>
      </c>
      <c r="C4265" s="0" t="s">
        <v>1452</v>
      </c>
      <c r="D4265" s="0" t="s">
        <v>3671</v>
      </c>
      <c r="E4265" s="0" t="n">
        <v>45.6</v>
      </c>
    </row>
    <row r="4266" customFormat="false" ht="15" hidden="false" customHeight="false" outlineLevel="0" collapsed="false">
      <c r="A4266" s="0" t="n">
        <v>39574</v>
      </c>
      <c r="B4266" s="0" t="s">
        <v>7336</v>
      </c>
      <c r="C4266" s="0" t="s">
        <v>31</v>
      </c>
      <c r="D4266" s="0" t="s">
        <v>3671</v>
      </c>
      <c r="E4266" s="0" t="n">
        <v>4.06</v>
      </c>
    </row>
    <row r="4267" customFormat="false" ht="15" hidden="false" customHeight="false" outlineLevel="0" collapsed="false">
      <c r="A4267" s="0" t="n">
        <v>11060</v>
      </c>
      <c r="B4267" s="0" t="s">
        <v>7337</v>
      </c>
      <c r="C4267" s="0" t="s">
        <v>31</v>
      </c>
      <c r="D4267" s="0" t="s">
        <v>3671</v>
      </c>
      <c r="E4267" s="0" t="n">
        <v>34.13</v>
      </c>
    </row>
    <row r="4268" customFormat="false" ht="15" hidden="false" customHeight="false" outlineLevel="0" collapsed="false">
      <c r="A4268" s="0" t="n">
        <v>37401</v>
      </c>
      <c r="B4268" s="0" t="s">
        <v>2050</v>
      </c>
      <c r="C4268" s="0" t="s">
        <v>31</v>
      </c>
      <c r="D4268" s="0" t="s">
        <v>3671</v>
      </c>
      <c r="E4268" s="0" t="n">
        <v>100.36</v>
      </c>
    </row>
    <row r="4269" customFormat="false" ht="15" hidden="false" customHeight="false" outlineLevel="0" collapsed="false">
      <c r="A4269" s="0" t="n">
        <v>38101</v>
      </c>
      <c r="B4269" s="0" t="s">
        <v>1551</v>
      </c>
      <c r="C4269" s="0" t="s">
        <v>31</v>
      </c>
      <c r="D4269" s="0" t="s">
        <v>3671</v>
      </c>
      <c r="E4269" s="0" t="n">
        <v>7.03</v>
      </c>
    </row>
    <row r="4270" customFormat="false" ht="15" hidden="false" customHeight="false" outlineLevel="0" collapsed="false">
      <c r="A4270" s="0" t="n">
        <v>7528</v>
      </c>
      <c r="B4270" s="0" t="s">
        <v>7338</v>
      </c>
      <c r="C4270" s="0" t="s">
        <v>31</v>
      </c>
      <c r="D4270" s="0" t="s">
        <v>3676</v>
      </c>
      <c r="E4270" s="0" t="n">
        <v>8.26</v>
      </c>
    </row>
    <row r="4271" customFormat="false" ht="15" hidden="false" customHeight="false" outlineLevel="0" collapsed="false">
      <c r="A4271" s="0" t="n">
        <v>12147</v>
      </c>
      <c r="B4271" s="0" t="s">
        <v>7339</v>
      </c>
      <c r="C4271" s="0" t="s">
        <v>31</v>
      </c>
      <c r="D4271" s="0" t="s">
        <v>3671</v>
      </c>
      <c r="E4271" s="0" t="n">
        <v>12.59</v>
      </c>
    </row>
    <row r="4272" customFormat="false" ht="15" hidden="false" customHeight="false" outlineLevel="0" collapsed="false">
      <c r="A4272" s="0" t="n">
        <v>38075</v>
      </c>
      <c r="B4272" s="0" t="s">
        <v>7340</v>
      </c>
      <c r="C4272" s="0" t="s">
        <v>31</v>
      </c>
      <c r="D4272" s="0" t="s">
        <v>3671</v>
      </c>
      <c r="E4272" s="0" t="n">
        <v>14.31</v>
      </c>
    </row>
    <row r="4273" customFormat="false" ht="15" hidden="false" customHeight="false" outlineLevel="0" collapsed="false">
      <c r="A4273" s="0" t="n">
        <v>38102</v>
      </c>
      <c r="B4273" s="0" t="s">
        <v>1552</v>
      </c>
      <c r="C4273" s="0" t="s">
        <v>31</v>
      </c>
      <c r="D4273" s="0" t="s">
        <v>3671</v>
      </c>
      <c r="E4273" s="0" t="n">
        <v>8.99</v>
      </c>
    </row>
    <row r="4274" customFormat="false" ht="15" hidden="false" customHeight="false" outlineLevel="0" collapsed="false">
      <c r="A4274" s="0" t="n">
        <v>7525</v>
      </c>
      <c r="B4274" s="0" t="s">
        <v>7341</v>
      </c>
      <c r="C4274" s="0" t="s">
        <v>31</v>
      </c>
      <c r="D4274" s="0" t="s">
        <v>3671</v>
      </c>
      <c r="E4274" s="0" t="n">
        <v>40.67</v>
      </c>
    </row>
    <row r="4275" customFormat="false" ht="15" hidden="false" customHeight="false" outlineLevel="0" collapsed="false">
      <c r="A4275" s="0" t="n">
        <v>7524</v>
      </c>
      <c r="B4275" s="0" t="s">
        <v>7342</v>
      </c>
      <c r="C4275" s="0" t="s">
        <v>31</v>
      </c>
      <c r="D4275" s="0" t="s">
        <v>3671</v>
      </c>
      <c r="E4275" s="0" t="n">
        <v>38.32</v>
      </c>
    </row>
    <row r="4276" customFormat="false" ht="15" hidden="false" customHeight="false" outlineLevel="0" collapsed="false">
      <c r="A4276" s="0" t="n">
        <v>38105</v>
      </c>
      <c r="B4276" s="0" t="s">
        <v>7343</v>
      </c>
      <c r="C4276" s="0" t="s">
        <v>31</v>
      </c>
      <c r="D4276" s="0" t="s">
        <v>3671</v>
      </c>
      <c r="E4276" s="0" t="n">
        <v>9.84</v>
      </c>
    </row>
    <row r="4277" customFormat="false" ht="15" hidden="false" customHeight="false" outlineLevel="0" collapsed="false">
      <c r="A4277" s="0" t="n">
        <v>38084</v>
      </c>
      <c r="B4277" s="0" t="s">
        <v>7344</v>
      </c>
      <c r="C4277" s="0" t="s">
        <v>31</v>
      </c>
      <c r="D4277" s="0" t="s">
        <v>3671</v>
      </c>
      <c r="E4277" s="0" t="n">
        <v>13.98</v>
      </c>
    </row>
    <row r="4278" customFormat="false" ht="15" hidden="false" customHeight="false" outlineLevel="0" collapsed="false">
      <c r="A4278" s="0" t="n">
        <v>38103</v>
      </c>
      <c r="B4278" s="0" t="s">
        <v>7345</v>
      </c>
      <c r="C4278" s="0" t="s">
        <v>31</v>
      </c>
      <c r="D4278" s="0" t="s">
        <v>3671</v>
      </c>
      <c r="E4278" s="0" t="n">
        <v>14.78</v>
      </c>
    </row>
    <row r="4279" customFormat="false" ht="15" hidden="false" customHeight="false" outlineLevel="0" collapsed="false">
      <c r="A4279" s="0" t="n">
        <v>38082</v>
      </c>
      <c r="B4279" s="0" t="s">
        <v>7346</v>
      </c>
      <c r="C4279" s="0" t="s">
        <v>31</v>
      </c>
      <c r="D4279" s="0" t="s">
        <v>3671</v>
      </c>
      <c r="E4279" s="0" t="n">
        <v>18.2</v>
      </c>
    </row>
    <row r="4280" customFormat="false" ht="15" hidden="false" customHeight="false" outlineLevel="0" collapsed="false">
      <c r="A4280" s="0" t="n">
        <v>38104</v>
      </c>
      <c r="B4280" s="0" t="s">
        <v>7347</v>
      </c>
      <c r="C4280" s="0" t="s">
        <v>31</v>
      </c>
      <c r="D4280" s="0" t="s">
        <v>3671</v>
      </c>
      <c r="E4280" s="0" t="n">
        <v>28.94</v>
      </c>
    </row>
    <row r="4281" customFormat="false" ht="15" hidden="false" customHeight="false" outlineLevel="0" collapsed="false">
      <c r="A4281" s="0" t="n">
        <v>38083</v>
      </c>
      <c r="B4281" s="0" t="s">
        <v>7348</v>
      </c>
      <c r="C4281" s="0" t="s">
        <v>31</v>
      </c>
      <c r="D4281" s="0" t="s">
        <v>3671</v>
      </c>
      <c r="E4281" s="0" t="n">
        <v>32.13</v>
      </c>
    </row>
    <row r="4282" customFormat="false" ht="15" hidden="false" customHeight="false" outlineLevel="0" collapsed="false">
      <c r="A4282" s="0" t="n">
        <v>38076</v>
      </c>
      <c r="B4282" s="0" t="s">
        <v>7349</v>
      </c>
      <c r="C4282" s="0" t="s">
        <v>31</v>
      </c>
      <c r="D4282" s="0" t="s">
        <v>3671</v>
      </c>
      <c r="E4282" s="0" t="n">
        <v>16.04</v>
      </c>
    </row>
    <row r="4283" customFormat="false" ht="15" hidden="false" customHeight="false" outlineLevel="0" collapsed="false">
      <c r="A4283" s="0" t="n">
        <v>7592</v>
      </c>
      <c r="B4283" s="0" t="s">
        <v>7350</v>
      </c>
      <c r="C4283" s="0" t="s">
        <v>1444</v>
      </c>
      <c r="D4283" s="0" t="s">
        <v>3676</v>
      </c>
      <c r="E4283" s="0" t="n">
        <v>20.22</v>
      </c>
    </row>
    <row r="4284" customFormat="false" ht="15" hidden="false" customHeight="false" outlineLevel="0" collapsed="false">
      <c r="A4284" s="0" t="n">
        <v>40820</v>
      </c>
      <c r="B4284" s="0" t="s">
        <v>1421</v>
      </c>
      <c r="C4284" s="0" t="s">
        <v>1416</v>
      </c>
      <c r="D4284" s="0" t="s">
        <v>3671</v>
      </c>
      <c r="E4284" s="0" t="n">
        <v>3561.68</v>
      </c>
    </row>
    <row r="4285" customFormat="false" ht="15" hidden="false" customHeight="false" outlineLevel="0" collapsed="false">
      <c r="A4285" s="0" t="n">
        <v>11826</v>
      </c>
      <c r="B4285" s="0" t="s">
        <v>7351</v>
      </c>
      <c r="C4285" s="0" t="s">
        <v>31</v>
      </c>
      <c r="D4285" s="0" t="s">
        <v>3671</v>
      </c>
      <c r="E4285" s="0" t="n">
        <v>68.33</v>
      </c>
    </row>
    <row r="4286" customFormat="false" ht="15" hidden="false" customHeight="false" outlineLevel="0" collapsed="false">
      <c r="A4286" s="0" t="n">
        <v>7606</v>
      </c>
      <c r="B4286" s="0" t="s">
        <v>7352</v>
      </c>
      <c r="C4286" s="0" t="s">
        <v>31</v>
      </c>
      <c r="D4286" s="0" t="s">
        <v>3671</v>
      </c>
      <c r="E4286" s="0" t="n">
        <v>82.18</v>
      </c>
    </row>
    <row r="4287" customFormat="false" ht="15" hidden="false" customHeight="false" outlineLevel="0" collapsed="false">
      <c r="A4287" s="0" t="n">
        <v>11825</v>
      </c>
      <c r="B4287" s="0" t="s">
        <v>7353</v>
      </c>
      <c r="C4287" s="0" t="s">
        <v>31</v>
      </c>
      <c r="D4287" s="0" t="s">
        <v>3671</v>
      </c>
      <c r="E4287" s="0" t="n">
        <v>86.45</v>
      </c>
    </row>
    <row r="4288" customFormat="false" ht="15" hidden="false" customHeight="false" outlineLevel="0" collapsed="false">
      <c r="A4288" s="0" t="n">
        <v>11767</v>
      </c>
      <c r="B4288" s="0" t="s">
        <v>7354</v>
      </c>
      <c r="C4288" s="0" t="s">
        <v>31</v>
      </c>
      <c r="D4288" s="0" t="s">
        <v>3671</v>
      </c>
      <c r="E4288" s="0" t="n">
        <v>230.26</v>
      </c>
    </row>
    <row r="4289" customFormat="false" ht="15" hidden="false" customHeight="false" outlineLevel="0" collapsed="false">
      <c r="A4289" s="0" t="n">
        <v>11763</v>
      </c>
      <c r="B4289" s="0" t="s">
        <v>7355</v>
      </c>
      <c r="C4289" s="0" t="s">
        <v>31</v>
      </c>
      <c r="D4289" s="0" t="s">
        <v>3671</v>
      </c>
      <c r="E4289" s="0" t="n">
        <v>179.46</v>
      </c>
    </row>
    <row r="4290" customFormat="false" ht="15" hidden="false" customHeight="false" outlineLevel="0" collapsed="false">
      <c r="A4290" s="0" t="n">
        <v>11764</v>
      </c>
      <c r="B4290" s="0" t="s">
        <v>7356</v>
      </c>
      <c r="C4290" s="0" t="s">
        <v>31</v>
      </c>
      <c r="D4290" s="0" t="s">
        <v>3671</v>
      </c>
      <c r="E4290" s="0" t="n">
        <v>147.24</v>
      </c>
    </row>
    <row r="4291" customFormat="false" ht="15" hidden="false" customHeight="false" outlineLevel="0" collapsed="false">
      <c r="A4291" s="0" t="n">
        <v>11829</v>
      </c>
      <c r="B4291" s="0" t="s">
        <v>7357</v>
      </c>
      <c r="C4291" s="0" t="s">
        <v>31</v>
      </c>
      <c r="D4291" s="0" t="s">
        <v>3671</v>
      </c>
      <c r="E4291" s="0" t="n">
        <v>35.59</v>
      </c>
    </row>
    <row r="4292" customFormat="false" ht="15" hidden="false" customHeight="false" outlineLevel="0" collapsed="false">
      <c r="A4292" s="0" t="n">
        <v>11830</v>
      </c>
      <c r="B4292" s="0" t="s">
        <v>7358</v>
      </c>
      <c r="C4292" s="0" t="s">
        <v>31</v>
      </c>
      <c r="D4292" s="0" t="s">
        <v>3671</v>
      </c>
      <c r="E4292" s="0" t="n">
        <v>38.43</v>
      </c>
    </row>
    <row r="4293" customFormat="false" ht="15" hidden="false" customHeight="false" outlineLevel="0" collapsed="false">
      <c r="A4293" s="0" t="n">
        <v>11765</v>
      </c>
      <c r="B4293" s="0" t="s">
        <v>7359</v>
      </c>
      <c r="C4293" s="0" t="s">
        <v>31</v>
      </c>
      <c r="D4293" s="0" t="s">
        <v>3671</v>
      </c>
      <c r="E4293" s="0" t="n">
        <v>98.13</v>
      </c>
    </row>
    <row r="4294" customFormat="false" ht="15" hidden="false" customHeight="false" outlineLevel="0" collapsed="false">
      <c r="A4294" s="0" t="n">
        <v>11766</v>
      </c>
      <c r="B4294" s="0" t="s">
        <v>7360</v>
      </c>
      <c r="C4294" s="0" t="s">
        <v>31</v>
      </c>
      <c r="D4294" s="0" t="s">
        <v>3671</v>
      </c>
      <c r="E4294" s="0" t="n">
        <v>53.67</v>
      </c>
    </row>
    <row r="4295" customFormat="false" ht="15" hidden="false" customHeight="false" outlineLevel="0" collapsed="false">
      <c r="A4295" s="0" t="n">
        <v>11824</v>
      </c>
      <c r="B4295" s="0" t="s">
        <v>7361</v>
      </c>
      <c r="C4295" s="0" t="s">
        <v>31</v>
      </c>
      <c r="D4295" s="0" t="s">
        <v>3671</v>
      </c>
      <c r="E4295" s="0" t="n">
        <v>63.13</v>
      </c>
    </row>
    <row r="4296" customFormat="false" ht="15" hidden="false" customHeight="false" outlineLevel="0" collapsed="false">
      <c r="A4296" s="0" t="n">
        <v>44045</v>
      </c>
      <c r="B4296" s="0" t="s">
        <v>7362</v>
      </c>
      <c r="C4296" s="0" t="s">
        <v>31</v>
      </c>
      <c r="D4296" s="0" t="s">
        <v>3671</v>
      </c>
      <c r="E4296" s="0" t="n">
        <v>380.2</v>
      </c>
    </row>
    <row r="4297" customFormat="false" ht="15" hidden="false" customHeight="false" outlineLevel="0" collapsed="false">
      <c r="A4297" s="0" t="n">
        <v>39702</v>
      </c>
      <c r="B4297" s="0" t="s">
        <v>7363</v>
      </c>
      <c r="C4297" s="0" t="s">
        <v>31</v>
      </c>
      <c r="D4297" s="0" t="s">
        <v>3671</v>
      </c>
      <c r="E4297" s="0" t="n">
        <v>2525.07</v>
      </c>
    </row>
    <row r="4298" customFormat="false" ht="15" hidden="false" customHeight="false" outlineLevel="0" collapsed="false">
      <c r="A4298" s="0" t="n">
        <v>13415</v>
      </c>
      <c r="B4298" s="0" t="s">
        <v>7364</v>
      </c>
      <c r="C4298" s="0" t="s">
        <v>31</v>
      </c>
      <c r="D4298" s="0" t="s">
        <v>3676</v>
      </c>
      <c r="E4298" s="0" t="n">
        <v>82.9</v>
      </c>
    </row>
    <row r="4299" customFormat="false" ht="15" hidden="false" customHeight="false" outlineLevel="0" collapsed="false">
      <c r="A4299" s="0" t="n">
        <v>7602</v>
      </c>
      <c r="B4299" s="0" t="s">
        <v>7365</v>
      </c>
      <c r="C4299" s="0" t="s">
        <v>31</v>
      </c>
      <c r="D4299" s="0" t="s">
        <v>3671</v>
      </c>
      <c r="E4299" s="0" t="n">
        <v>52.9</v>
      </c>
    </row>
    <row r="4300" customFormat="false" ht="15" hidden="false" customHeight="false" outlineLevel="0" collapsed="false">
      <c r="A4300" s="0" t="n">
        <v>7603</v>
      </c>
      <c r="B4300" s="0" t="s">
        <v>7366</v>
      </c>
      <c r="C4300" s="0" t="s">
        <v>31</v>
      </c>
      <c r="D4300" s="0" t="s">
        <v>3671</v>
      </c>
      <c r="E4300" s="0" t="n">
        <v>44.88</v>
      </c>
    </row>
    <row r="4301" customFormat="false" ht="15" hidden="false" customHeight="false" outlineLevel="0" collapsed="false">
      <c r="A4301" s="0" t="n">
        <v>11777</v>
      </c>
      <c r="B4301" s="0" t="s">
        <v>7367</v>
      </c>
      <c r="C4301" s="0" t="s">
        <v>31</v>
      </c>
      <c r="D4301" s="0" t="s">
        <v>3671</v>
      </c>
      <c r="E4301" s="0" t="n">
        <v>195.15</v>
      </c>
    </row>
    <row r="4302" customFormat="false" ht="15" hidden="false" customHeight="false" outlineLevel="0" collapsed="false">
      <c r="A4302" s="0" t="n">
        <v>13417</v>
      </c>
      <c r="B4302" s="0" t="s">
        <v>2083</v>
      </c>
      <c r="C4302" s="0" t="s">
        <v>31</v>
      </c>
      <c r="D4302" s="0" t="s">
        <v>3671</v>
      </c>
      <c r="E4302" s="0" t="n">
        <v>107.97</v>
      </c>
    </row>
    <row r="4303" customFormat="false" ht="15" hidden="false" customHeight="false" outlineLevel="0" collapsed="false">
      <c r="A4303" s="0" t="n">
        <v>36791</v>
      </c>
      <c r="B4303" s="0" t="s">
        <v>7368</v>
      </c>
      <c r="C4303" s="0" t="s">
        <v>31</v>
      </c>
      <c r="D4303" s="0" t="s">
        <v>3671</v>
      </c>
      <c r="E4303" s="0" t="n">
        <v>162.05</v>
      </c>
    </row>
    <row r="4304" customFormat="false" ht="15" hidden="false" customHeight="false" outlineLevel="0" collapsed="false">
      <c r="A4304" s="0" t="n">
        <v>36795</v>
      </c>
      <c r="B4304" s="0" t="s">
        <v>7369</v>
      </c>
      <c r="C4304" s="0" t="s">
        <v>31</v>
      </c>
      <c r="D4304" s="0" t="s">
        <v>3671</v>
      </c>
      <c r="E4304" s="0" t="n">
        <v>2048.86</v>
      </c>
    </row>
    <row r="4305" customFormat="false" ht="15" hidden="false" customHeight="false" outlineLevel="0" collapsed="false">
      <c r="A4305" s="0" t="n">
        <v>36796</v>
      </c>
      <c r="B4305" s="0" t="s">
        <v>2039</v>
      </c>
      <c r="C4305" s="0" t="s">
        <v>31</v>
      </c>
      <c r="D4305" s="0" t="s">
        <v>3671</v>
      </c>
      <c r="E4305" s="0" t="n">
        <v>170.26</v>
      </c>
    </row>
    <row r="4306" customFormat="false" ht="15" hidden="false" customHeight="false" outlineLevel="0" collapsed="false">
      <c r="A4306" s="0" t="n">
        <v>36792</v>
      </c>
      <c r="B4306" s="0" t="s">
        <v>7370</v>
      </c>
      <c r="C4306" s="0" t="s">
        <v>31</v>
      </c>
      <c r="D4306" s="0" t="s">
        <v>3671</v>
      </c>
      <c r="E4306" s="0" t="n">
        <v>215.67</v>
      </c>
    </row>
    <row r="4307" customFormat="false" ht="15" hidden="false" customHeight="false" outlineLevel="0" collapsed="false">
      <c r="A4307" s="0" t="n">
        <v>11773</v>
      </c>
      <c r="B4307" s="0" t="s">
        <v>7371</v>
      </c>
      <c r="C4307" s="0" t="s">
        <v>31</v>
      </c>
      <c r="D4307" s="0" t="s">
        <v>3671</v>
      </c>
      <c r="E4307" s="0" t="n">
        <v>143.57</v>
      </c>
    </row>
    <row r="4308" customFormat="false" ht="15" hidden="false" customHeight="false" outlineLevel="0" collapsed="false">
      <c r="A4308" s="0" t="n">
        <v>11762</v>
      </c>
      <c r="B4308" s="0" t="s">
        <v>7372</v>
      </c>
      <c r="C4308" s="0" t="s">
        <v>31</v>
      </c>
      <c r="D4308" s="0" t="s">
        <v>3671</v>
      </c>
      <c r="E4308" s="0" t="n">
        <v>68.1</v>
      </c>
    </row>
    <row r="4309" customFormat="false" ht="15" hidden="false" customHeight="false" outlineLevel="0" collapsed="false">
      <c r="A4309" s="0" t="n">
        <v>7604</v>
      </c>
      <c r="B4309" s="0" t="s">
        <v>2081</v>
      </c>
      <c r="C4309" s="0" t="s">
        <v>31</v>
      </c>
      <c r="D4309" s="0" t="s">
        <v>3671</v>
      </c>
      <c r="E4309" s="0" t="n">
        <v>57.66</v>
      </c>
    </row>
    <row r="4310" customFormat="false" ht="15" hidden="false" customHeight="false" outlineLevel="0" collapsed="false">
      <c r="A4310" s="0" t="n">
        <v>13984</v>
      </c>
      <c r="B4310" s="0" t="s">
        <v>7373</v>
      </c>
      <c r="C4310" s="0" t="s">
        <v>31</v>
      </c>
      <c r="D4310" s="0" t="s">
        <v>3671</v>
      </c>
      <c r="E4310" s="0" t="n">
        <v>83.8</v>
      </c>
    </row>
    <row r="4311" customFormat="false" ht="15" hidden="false" customHeight="false" outlineLevel="0" collapsed="false">
      <c r="A4311" s="0" t="n">
        <v>11772</v>
      </c>
      <c r="B4311" s="0" t="s">
        <v>2078</v>
      </c>
      <c r="C4311" s="0" t="s">
        <v>31</v>
      </c>
      <c r="D4311" s="0" t="s">
        <v>3671</v>
      </c>
      <c r="E4311" s="0" t="n">
        <v>144.02</v>
      </c>
    </row>
    <row r="4312" customFormat="false" ht="15" hidden="false" customHeight="false" outlineLevel="0" collapsed="false">
      <c r="A4312" s="0" t="n">
        <v>13983</v>
      </c>
      <c r="B4312" s="0" t="s">
        <v>7374</v>
      </c>
      <c r="C4312" s="0" t="s">
        <v>31</v>
      </c>
      <c r="D4312" s="0" t="s">
        <v>3671</v>
      </c>
      <c r="E4312" s="0" t="n">
        <v>109.07</v>
      </c>
    </row>
    <row r="4313" customFormat="false" ht="15" hidden="false" customHeight="false" outlineLevel="0" collapsed="false">
      <c r="A4313" s="0" t="n">
        <v>13416</v>
      </c>
      <c r="B4313" s="0" t="s">
        <v>7375</v>
      </c>
      <c r="C4313" s="0" t="s">
        <v>31</v>
      </c>
      <c r="D4313" s="0" t="s">
        <v>3671</v>
      </c>
      <c r="E4313" s="0" t="n">
        <v>96.87</v>
      </c>
    </row>
    <row r="4314" customFormat="false" ht="15" hidden="false" customHeight="false" outlineLevel="0" collapsed="false">
      <c r="A4314" s="0" t="n">
        <v>40329</v>
      </c>
      <c r="B4314" s="0" t="s">
        <v>7376</v>
      </c>
      <c r="C4314" s="0" t="s">
        <v>31</v>
      </c>
      <c r="D4314" s="0" t="s">
        <v>3676</v>
      </c>
      <c r="E4314" s="0" t="n">
        <v>22.3</v>
      </c>
    </row>
    <row r="4315" customFormat="false" ht="15" hidden="false" customHeight="false" outlineLevel="0" collapsed="false">
      <c r="A4315" s="0" t="n">
        <v>11823</v>
      </c>
      <c r="B4315" s="0" t="s">
        <v>7377</v>
      </c>
      <c r="C4315" s="0" t="s">
        <v>31</v>
      </c>
      <c r="D4315" s="0" t="s">
        <v>3671</v>
      </c>
      <c r="E4315" s="0" t="n">
        <v>9.39</v>
      </c>
    </row>
    <row r="4316" customFormat="false" ht="15" hidden="false" customHeight="false" outlineLevel="0" collapsed="false">
      <c r="A4316" s="0" t="n">
        <v>11822</v>
      </c>
      <c r="B4316" s="0" t="s">
        <v>7378</v>
      </c>
      <c r="C4316" s="0" t="s">
        <v>31</v>
      </c>
      <c r="D4316" s="0" t="s">
        <v>3671</v>
      </c>
      <c r="E4316" s="0" t="n">
        <v>25.43</v>
      </c>
    </row>
    <row r="4317" customFormat="false" ht="15" hidden="false" customHeight="false" outlineLevel="0" collapsed="false">
      <c r="A4317" s="0" t="n">
        <v>11831</v>
      </c>
      <c r="B4317" s="0" t="s">
        <v>7379</v>
      </c>
      <c r="C4317" s="0" t="s">
        <v>31</v>
      </c>
      <c r="D4317" s="0" t="s">
        <v>3671</v>
      </c>
      <c r="E4317" s="0" t="n">
        <v>15.3</v>
      </c>
    </row>
    <row r="4318" customFormat="false" ht="15" hidden="false" customHeight="false" outlineLevel="0" collapsed="false">
      <c r="A4318" s="0" t="n">
        <v>7613</v>
      </c>
      <c r="B4318" s="0" t="s">
        <v>7380</v>
      </c>
      <c r="C4318" s="0" t="s">
        <v>31</v>
      </c>
      <c r="D4318" s="0" t="s">
        <v>3671</v>
      </c>
    </row>
    <row r="4319" customFormat="false" ht="15" hidden="false" customHeight="false" outlineLevel="0" collapsed="false">
      <c r="A4319" s="0" t="n">
        <v>7619</v>
      </c>
      <c r="B4319" s="0" t="s">
        <v>7381</v>
      </c>
      <c r="C4319" s="0" t="s">
        <v>31</v>
      </c>
      <c r="D4319" s="0" t="s">
        <v>3671</v>
      </c>
    </row>
    <row r="4320" customFormat="false" ht="15" hidden="false" customHeight="false" outlineLevel="0" collapsed="false">
      <c r="A4320" s="0" t="n">
        <v>12076</v>
      </c>
      <c r="B4320" s="0" t="s">
        <v>7382</v>
      </c>
      <c r="C4320" s="0" t="s">
        <v>31</v>
      </c>
      <c r="D4320" s="0" t="s">
        <v>3671</v>
      </c>
    </row>
    <row r="4321" customFormat="false" ht="15" hidden="false" customHeight="false" outlineLevel="0" collapsed="false">
      <c r="A4321" s="0" t="n">
        <v>7614</v>
      </c>
      <c r="B4321" s="0" t="s">
        <v>7383</v>
      </c>
      <c r="C4321" s="0" t="s">
        <v>31</v>
      </c>
      <c r="D4321" s="0" t="s">
        <v>3671</v>
      </c>
    </row>
    <row r="4322" customFormat="false" ht="15" hidden="false" customHeight="false" outlineLevel="0" collapsed="false">
      <c r="A4322" s="0" t="n">
        <v>7618</v>
      </c>
      <c r="B4322" s="0" t="s">
        <v>7384</v>
      </c>
      <c r="C4322" s="0" t="s">
        <v>31</v>
      </c>
      <c r="D4322" s="0" t="s">
        <v>3671</v>
      </c>
    </row>
    <row r="4323" customFormat="false" ht="15" hidden="false" customHeight="false" outlineLevel="0" collapsed="false">
      <c r="A4323" s="0" t="n">
        <v>7620</v>
      </c>
      <c r="B4323" s="0" t="s">
        <v>7385</v>
      </c>
      <c r="C4323" s="0" t="s">
        <v>31</v>
      </c>
      <c r="D4323" s="0" t="s">
        <v>3671</v>
      </c>
    </row>
    <row r="4324" customFormat="false" ht="15" hidden="false" customHeight="false" outlineLevel="0" collapsed="false">
      <c r="A4324" s="0" t="n">
        <v>7610</v>
      </c>
      <c r="B4324" s="0" t="s">
        <v>7386</v>
      </c>
      <c r="C4324" s="0" t="s">
        <v>31</v>
      </c>
      <c r="D4324" s="0" t="s">
        <v>3671</v>
      </c>
    </row>
    <row r="4325" customFormat="false" ht="15" hidden="false" customHeight="false" outlineLevel="0" collapsed="false">
      <c r="A4325" s="0" t="n">
        <v>7615</v>
      </c>
      <c r="B4325" s="0" t="s">
        <v>7387</v>
      </c>
      <c r="C4325" s="0" t="s">
        <v>31</v>
      </c>
      <c r="D4325" s="0" t="s">
        <v>3671</v>
      </c>
    </row>
    <row r="4326" customFormat="false" ht="15" hidden="false" customHeight="false" outlineLevel="0" collapsed="false">
      <c r="A4326" s="0" t="n">
        <v>7617</v>
      </c>
      <c r="B4326" s="0" t="s">
        <v>7388</v>
      </c>
      <c r="C4326" s="0" t="s">
        <v>31</v>
      </c>
      <c r="D4326" s="0" t="s">
        <v>3671</v>
      </c>
    </row>
    <row r="4327" customFormat="false" ht="15" hidden="false" customHeight="false" outlineLevel="0" collapsed="false">
      <c r="A4327" s="0" t="n">
        <v>7616</v>
      </c>
      <c r="B4327" s="0" t="s">
        <v>7389</v>
      </c>
      <c r="C4327" s="0" t="s">
        <v>31</v>
      </c>
      <c r="D4327" s="0" t="s">
        <v>3671</v>
      </c>
    </row>
    <row r="4328" customFormat="false" ht="15" hidden="false" customHeight="false" outlineLevel="0" collapsed="false">
      <c r="A4328" s="0" t="n">
        <v>7611</v>
      </c>
      <c r="B4328" s="0" t="s">
        <v>7390</v>
      </c>
      <c r="C4328" s="0" t="s">
        <v>31</v>
      </c>
      <c r="D4328" s="0" t="s">
        <v>3676</v>
      </c>
    </row>
    <row r="4329" customFormat="false" ht="15" hidden="false" customHeight="false" outlineLevel="0" collapsed="false">
      <c r="A4329" s="0" t="n">
        <v>7612</v>
      </c>
      <c r="B4329" s="0" t="s">
        <v>7391</v>
      </c>
      <c r="C4329" s="0" t="s">
        <v>31</v>
      </c>
      <c r="D4329" s="0" t="s">
        <v>3671</v>
      </c>
    </row>
    <row r="4330" customFormat="false" ht="15" hidden="false" customHeight="false" outlineLevel="0" collapsed="false">
      <c r="A4330" s="0" t="n">
        <v>37371</v>
      </c>
      <c r="B4330" s="0" t="s">
        <v>1449</v>
      </c>
      <c r="C4330" s="0" t="s">
        <v>1444</v>
      </c>
      <c r="D4330" s="0" t="s">
        <v>3676</v>
      </c>
      <c r="E4330" s="0" t="n">
        <v>0.59</v>
      </c>
    </row>
    <row r="4331" customFormat="false" ht="15" hidden="false" customHeight="false" outlineLevel="0" collapsed="false">
      <c r="A4331" s="0" t="n">
        <v>40861</v>
      </c>
      <c r="B4331" s="0" t="s">
        <v>1439</v>
      </c>
      <c r="C4331" s="0" t="s">
        <v>1416</v>
      </c>
      <c r="D4331" s="0" t="s">
        <v>3676</v>
      </c>
      <c r="E4331" s="0" t="n">
        <v>111.9</v>
      </c>
    </row>
    <row r="4332" customFormat="false" ht="15" hidden="false" customHeight="false" outlineLevel="0" collapsed="false">
      <c r="A4332" s="0" t="n">
        <v>36509</v>
      </c>
      <c r="B4332" s="0" t="s">
        <v>7392</v>
      </c>
      <c r="C4332" s="0" t="s">
        <v>31</v>
      </c>
      <c r="D4332" s="0" t="s">
        <v>3671</v>
      </c>
    </row>
    <row r="4333" customFormat="false" ht="15" hidden="false" customHeight="false" outlineLevel="0" collapsed="false">
      <c r="A4333" s="0" t="n">
        <v>36510</v>
      </c>
      <c r="B4333" s="0" t="s">
        <v>7393</v>
      </c>
      <c r="C4333" s="0" t="s">
        <v>31</v>
      </c>
      <c r="D4333" s="0" t="s">
        <v>3671</v>
      </c>
    </row>
    <row r="4334" customFormat="false" ht="15" hidden="false" customHeight="false" outlineLevel="0" collapsed="false">
      <c r="A4334" s="0" t="n">
        <v>25020</v>
      </c>
      <c r="B4334" s="0" t="s">
        <v>7394</v>
      </c>
      <c r="C4334" s="0" t="s">
        <v>31</v>
      </c>
      <c r="D4334" s="0" t="s">
        <v>3671</v>
      </c>
    </row>
    <row r="4335" customFormat="false" ht="15" hidden="false" customHeight="false" outlineLevel="0" collapsed="false">
      <c r="A4335" s="0" t="n">
        <v>7622</v>
      </c>
      <c r="B4335" s="0" t="s">
        <v>7395</v>
      </c>
      <c r="C4335" s="0" t="s">
        <v>31</v>
      </c>
      <c r="D4335" s="0" t="s">
        <v>3671</v>
      </c>
    </row>
    <row r="4336" customFormat="false" ht="15" hidden="false" customHeight="false" outlineLevel="0" collapsed="false">
      <c r="A4336" s="0" t="n">
        <v>7624</v>
      </c>
      <c r="B4336" s="0" t="s">
        <v>7396</v>
      </c>
      <c r="C4336" s="0" t="s">
        <v>31</v>
      </c>
      <c r="D4336" s="0" t="s">
        <v>3676</v>
      </c>
    </row>
    <row r="4337" customFormat="false" ht="15" hidden="false" customHeight="false" outlineLevel="0" collapsed="false">
      <c r="A4337" s="0" t="n">
        <v>7625</v>
      </c>
      <c r="B4337" s="0" t="s">
        <v>7397</v>
      </c>
      <c r="C4337" s="0" t="s">
        <v>31</v>
      </c>
      <c r="D4337" s="0" t="s">
        <v>3671</v>
      </c>
    </row>
    <row r="4338" customFormat="false" ht="15" hidden="false" customHeight="false" outlineLevel="0" collapsed="false">
      <c r="A4338" s="0" t="n">
        <v>7623</v>
      </c>
      <c r="B4338" s="0" t="s">
        <v>7398</v>
      </c>
      <c r="C4338" s="0" t="s">
        <v>31</v>
      </c>
      <c r="D4338" s="0" t="s">
        <v>3671</v>
      </c>
    </row>
    <row r="4339" customFormat="false" ht="15" hidden="false" customHeight="false" outlineLevel="0" collapsed="false">
      <c r="A4339" s="0" t="n">
        <v>36508</v>
      </c>
      <c r="B4339" s="0" t="s">
        <v>7399</v>
      </c>
      <c r="C4339" s="0" t="s">
        <v>31</v>
      </c>
      <c r="D4339" s="0" t="s">
        <v>3671</v>
      </c>
    </row>
    <row r="4340" customFormat="false" ht="15" hidden="false" customHeight="false" outlineLevel="0" collapsed="false">
      <c r="A4340" s="0" t="n">
        <v>13238</v>
      </c>
      <c r="B4340" s="0" t="s">
        <v>7400</v>
      </c>
      <c r="C4340" s="0" t="s">
        <v>31</v>
      </c>
      <c r="D4340" s="0" t="s">
        <v>3671</v>
      </c>
    </row>
    <row r="4341" customFormat="false" ht="15" hidden="false" customHeight="false" outlineLevel="0" collapsed="false">
      <c r="A4341" s="0" t="n">
        <v>36511</v>
      </c>
      <c r="B4341" s="0" t="s">
        <v>7401</v>
      </c>
      <c r="C4341" s="0" t="s">
        <v>31</v>
      </c>
      <c r="D4341" s="0" t="s">
        <v>3671</v>
      </c>
    </row>
    <row r="4342" customFormat="false" ht="15" hidden="false" customHeight="false" outlineLevel="0" collapsed="false">
      <c r="A4342" s="0" t="n">
        <v>36515</v>
      </c>
      <c r="B4342" s="0" t="s">
        <v>7402</v>
      </c>
      <c r="C4342" s="0" t="s">
        <v>31</v>
      </c>
      <c r="D4342" s="0" t="s">
        <v>3671</v>
      </c>
    </row>
    <row r="4343" customFormat="false" ht="15" hidden="false" customHeight="false" outlineLevel="0" collapsed="false">
      <c r="A4343" s="0" t="n">
        <v>10598</v>
      </c>
      <c r="B4343" s="0" t="s">
        <v>7403</v>
      </c>
      <c r="C4343" s="0" t="s">
        <v>31</v>
      </c>
      <c r="D4343" s="0" t="s">
        <v>3671</v>
      </c>
    </row>
    <row r="4344" customFormat="false" ht="15" hidden="false" customHeight="false" outlineLevel="0" collapsed="false">
      <c r="A4344" s="0" t="n">
        <v>7640</v>
      </c>
      <c r="B4344" s="0" t="s">
        <v>7404</v>
      </c>
      <c r="C4344" s="0" t="s">
        <v>31</v>
      </c>
      <c r="D4344" s="0" t="s">
        <v>3676</v>
      </c>
    </row>
    <row r="4345" customFormat="false" ht="15" hidden="false" customHeight="false" outlineLevel="0" collapsed="false">
      <c r="A4345" s="0" t="n">
        <v>36513</v>
      </c>
      <c r="B4345" s="0" t="s">
        <v>7405</v>
      </c>
      <c r="C4345" s="0" t="s">
        <v>31</v>
      </c>
      <c r="D4345" s="0" t="s">
        <v>3671</v>
      </c>
    </row>
    <row r="4346" customFormat="false" ht="15" hidden="false" customHeight="false" outlineLevel="0" collapsed="false">
      <c r="A4346" s="0" t="n">
        <v>36514</v>
      </c>
      <c r="B4346" s="0" t="s">
        <v>7406</v>
      </c>
      <c r="C4346" s="0" t="s">
        <v>31</v>
      </c>
      <c r="D4346" s="0" t="s">
        <v>3671</v>
      </c>
    </row>
    <row r="4347" customFormat="false" ht="15" hidden="false" customHeight="false" outlineLevel="0" collapsed="false">
      <c r="A4347" s="0" t="n">
        <v>11572</v>
      </c>
      <c r="B4347" s="0" t="s">
        <v>7407</v>
      </c>
      <c r="C4347" s="0" t="s">
        <v>31</v>
      </c>
      <c r="D4347" s="0" t="s">
        <v>3671</v>
      </c>
      <c r="E4347" s="0" t="n">
        <v>35.87</v>
      </c>
    </row>
    <row r="4348" customFormat="false" ht="15" hidden="false" customHeight="false" outlineLevel="0" collapsed="false">
      <c r="A4348" s="0" t="n">
        <v>36149</v>
      </c>
      <c r="B4348" s="0" t="s">
        <v>7408</v>
      </c>
      <c r="C4348" s="0" t="s">
        <v>31</v>
      </c>
      <c r="D4348" s="0" t="s">
        <v>3671</v>
      </c>
      <c r="E4348" s="0" t="n">
        <v>153.8</v>
      </c>
    </row>
    <row r="4349" customFormat="false" ht="15" hidden="false" customHeight="false" outlineLevel="0" collapsed="false">
      <c r="A4349" s="0" t="n">
        <v>42407</v>
      </c>
      <c r="B4349" s="0" t="s">
        <v>1586</v>
      </c>
      <c r="C4349" s="0" t="s">
        <v>1455</v>
      </c>
      <c r="D4349" s="0" t="s">
        <v>3671</v>
      </c>
      <c r="E4349" s="0" t="n">
        <v>5.57</v>
      </c>
    </row>
    <row r="4350" customFormat="false" ht="15" hidden="false" customHeight="false" outlineLevel="0" collapsed="false">
      <c r="A4350" s="0" t="n">
        <v>11581</v>
      </c>
      <c r="B4350" s="0" t="s">
        <v>1857</v>
      </c>
      <c r="C4350" s="0" t="s">
        <v>1455</v>
      </c>
      <c r="D4350" s="0" t="s">
        <v>3671</v>
      </c>
      <c r="E4350" s="0" t="n">
        <v>23.68</v>
      </c>
    </row>
    <row r="4351" customFormat="false" ht="15" hidden="false" customHeight="false" outlineLevel="0" collapsed="false">
      <c r="A4351" s="0" t="n">
        <v>43605</v>
      </c>
      <c r="B4351" s="0" t="s">
        <v>7409</v>
      </c>
      <c r="C4351" s="0" t="s">
        <v>1455</v>
      </c>
      <c r="D4351" s="0" t="s">
        <v>3671</v>
      </c>
      <c r="E4351" s="0" t="n">
        <v>48.45</v>
      </c>
    </row>
    <row r="4352" customFormat="false" ht="15" hidden="false" customHeight="false" outlineLevel="0" collapsed="false">
      <c r="A4352" s="0" t="n">
        <v>11580</v>
      </c>
      <c r="B4352" s="0" t="s">
        <v>7410</v>
      </c>
      <c r="C4352" s="0" t="s">
        <v>1455</v>
      </c>
      <c r="D4352" s="0" t="s">
        <v>3671</v>
      </c>
      <c r="E4352" s="0" t="n">
        <v>9.5</v>
      </c>
    </row>
    <row r="4353" customFormat="false" ht="15" hidden="false" customHeight="false" outlineLevel="0" collapsed="false">
      <c r="A4353" s="0" t="n">
        <v>38386</v>
      </c>
      <c r="B4353" s="0" t="s">
        <v>7411</v>
      </c>
      <c r="C4353" s="0" t="s">
        <v>31</v>
      </c>
      <c r="D4353" s="0" t="s">
        <v>3671</v>
      </c>
      <c r="E4353" s="0" t="n">
        <v>5.62</v>
      </c>
    </row>
    <row r="4354" customFormat="false" ht="15" hidden="false" customHeight="false" outlineLevel="0" collapsed="false">
      <c r="A4354" s="0" t="n">
        <v>10743</v>
      </c>
      <c r="B4354" s="0" t="s">
        <v>7412</v>
      </c>
      <c r="C4354" s="0" t="s">
        <v>31</v>
      </c>
      <c r="D4354" s="0" t="s">
        <v>3671</v>
      </c>
      <c r="E4354" s="0" t="n">
        <v>783.91</v>
      </c>
    </row>
    <row r="4355" customFormat="false" ht="15" hidden="false" customHeight="false" outlineLevel="0" collapsed="false">
      <c r="A4355" s="0" t="n">
        <v>39848</v>
      </c>
      <c r="B4355" s="0" t="s">
        <v>7413</v>
      </c>
      <c r="C4355" s="0" t="s">
        <v>1455</v>
      </c>
      <c r="D4355" s="0" t="s">
        <v>3671</v>
      </c>
    </row>
    <row r="4356" customFormat="false" ht="15" hidden="false" customHeight="false" outlineLevel="0" collapsed="false">
      <c r="A4356" s="0" t="n">
        <v>7667</v>
      </c>
      <c r="B4356" s="0" t="s">
        <v>7414</v>
      </c>
      <c r="C4356" s="0" t="s">
        <v>1455</v>
      </c>
      <c r="D4356" s="0" t="s">
        <v>3671</v>
      </c>
    </row>
    <row r="4357" customFormat="false" ht="15" hidden="false" customHeight="false" outlineLevel="0" collapsed="false">
      <c r="A4357" s="0" t="n">
        <v>7660</v>
      </c>
      <c r="B4357" s="0" t="s">
        <v>7415</v>
      </c>
      <c r="C4357" s="0" t="s">
        <v>1455</v>
      </c>
      <c r="D4357" s="0" t="s">
        <v>3671</v>
      </c>
    </row>
    <row r="4358" customFormat="false" ht="15" hidden="false" customHeight="false" outlineLevel="0" collapsed="false">
      <c r="A4358" s="0" t="n">
        <v>7676</v>
      </c>
      <c r="B4358" s="0" t="s">
        <v>7416</v>
      </c>
      <c r="C4358" s="0" t="s">
        <v>1455</v>
      </c>
      <c r="D4358" s="0" t="s">
        <v>3671</v>
      </c>
    </row>
    <row r="4359" customFormat="false" ht="15" hidden="false" customHeight="false" outlineLevel="0" collapsed="false">
      <c r="A4359" s="0" t="n">
        <v>20999</v>
      </c>
      <c r="B4359" s="0" t="s">
        <v>7417</v>
      </c>
      <c r="C4359" s="0" t="s">
        <v>1455</v>
      </c>
      <c r="D4359" s="0" t="s">
        <v>3671</v>
      </c>
    </row>
    <row r="4360" customFormat="false" ht="15" hidden="false" customHeight="false" outlineLevel="0" collapsed="false">
      <c r="A4360" s="0" t="n">
        <v>21001</v>
      </c>
      <c r="B4360" s="0" t="s">
        <v>7418</v>
      </c>
      <c r="C4360" s="0" t="s">
        <v>1455</v>
      </c>
      <c r="D4360" s="0" t="s">
        <v>3676</v>
      </c>
    </row>
    <row r="4361" customFormat="false" ht="15" hidden="false" customHeight="false" outlineLevel="0" collapsed="false">
      <c r="A4361" s="0" t="n">
        <v>21003</v>
      </c>
      <c r="B4361" s="0" t="s">
        <v>7419</v>
      </c>
      <c r="C4361" s="0" t="s">
        <v>1455</v>
      </c>
      <c r="D4361" s="0" t="s">
        <v>3671</v>
      </c>
    </row>
    <row r="4362" customFormat="false" ht="15" hidden="false" customHeight="false" outlineLevel="0" collapsed="false">
      <c r="A4362" s="0" t="n">
        <v>21006</v>
      </c>
      <c r="B4362" s="0" t="s">
        <v>7420</v>
      </c>
      <c r="C4362" s="0" t="s">
        <v>1455</v>
      </c>
      <c r="D4362" s="0" t="s">
        <v>3671</v>
      </c>
    </row>
    <row r="4363" customFormat="false" ht="15" hidden="false" customHeight="false" outlineLevel="0" collapsed="false">
      <c r="A4363" s="0" t="n">
        <v>21019</v>
      </c>
      <c r="B4363" s="0" t="s">
        <v>7421</v>
      </c>
      <c r="C4363" s="0" t="s">
        <v>1455</v>
      </c>
      <c r="D4363" s="0" t="s">
        <v>3671</v>
      </c>
    </row>
    <row r="4364" customFormat="false" ht="15" hidden="false" customHeight="false" outlineLevel="0" collapsed="false">
      <c r="A4364" s="0" t="n">
        <v>21021</v>
      </c>
      <c r="B4364" s="0" t="s">
        <v>7422</v>
      </c>
      <c r="C4364" s="0" t="s">
        <v>1455</v>
      </c>
      <c r="D4364" s="0" t="s">
        <v>3671</v>
      </c>
    </row>
    <row r="4365" customFormat="false" ht="15" hidden="false" customHeight="false" outlineLevel="0" collapsed="false">
      <c r="A4365" s="0" t="n">
        <v>21024</v>
      </c>
      <c r="B4365" s="0" t="s">
        <v>7423</v>
      </c>
      <c r="C4365" s="0" t="s">
        <v>1455</v>
      </c>
      <c r="D4365" s="0" t="s">
        <v>3671</v>
      </c>
    </row>
    <row r="4366" customFormat="false" ht="15" hidden="false" customHeight="false" outlineLevel="0" collapsed="false">
      <c r="A4366" s="0" t="n">
        <v>40624</v>
      </c>
      <c r="B4366" s="0" t="s">
        <v>7424</v>
      </c>
      <c r="C4366" s="0" t="s">
        <v>1455</v>
      </c>
      <c r="D4366" s="0" t="s">
        <v>3671</v>
      </c>
    </row>
    <row r="4367" customFormat="false" ht="15" hidden="false" customHeight="false" outlineLevel="0" collapsed="false">
      <c r="A4367" s="0" t="n">
        <v>42575</v>
      </c>
      <c r="B4367" s="0" t="s">
        <v>7425</v>
      </c>
      <c r="C4367" s="0" t="s">
        <v>1455</v>
      </c>
      <c r="D4367" s="0" t="s">
        <v>3671</v>
      </c>
    </row>
    <row r="4368" customFormat="false" ht="15" hidden="false" customHeight="false" outlineLevel="0" collapsed="false">
      <c r="A4368" s="0" t="n">
        <v>42574</v>
      </c>
      <c r="B4368" s="0" t="s">
        <v>7426</v>
      </c>
      <c r="C4368" s="0" t="s">
        <v>1455</v>
      </c>
      <c r="D4368" s="0" t="s">
        <v>3671</v>
      </c>
    </row>
    <row r="4369" customFormat="false" ht="15" hidden="false" customHeight="false" outlineLevel="0" collapsed="false">
      <c r="A4369" s="0" t="n">
        <v>13127</v>
      </c>
      <c r="B4369" s="0" t="s">
        <v>7427</v>
      </c>
      <c r="C4369" s="0" t="s">
        <v>1455</v>
      </c>
      <c r="D4369" s="0" t="s">
        <v>3671</v>
      </c>
    </row>
    <row r="4370" customFormat="false" ht="15" hidden="false" customHeight="false" outlineLevel="0" collapsed="false">
      <c r="A4370" s="0" t="n">
        <v>13137</v>
      </c>
      <c r="B4370" s="0" t="s">
        <v>7428</v>
      </c>
      <c r="C4370" s="0" t="s">
        <v>1455</v>
      </c>
      <c r="D4370" s="0" t="s">
        <v>3671</v>
      </c>
    </row>
    <row r="4371" customFormat="false" ht="15" hidden="false" customHeight="false" outlineLevel="0" collapsed="false">
      <c r="A4371" s="0" t="n">
        <v>20989</v>
      </c>
      <c r="B4371" s="0" t="s">
        <v>7429</v>
      </c>
      <c r="C4371" s="0" t="s">
        <v>1455</v>
      </c>
      <c r="D4371" s="0" t="s">
        <v>3671</v>
      </c>
    </row>
    <row r="4372" customFormat="false" ht="15" hidden="false" customHeight="false" outlineLevel="0" collapsed="false">
      <c r="A4372" s="0" t="n">
        <v>21147</v>
      </c>
      <c r="B4372" s="0" t="s">
        <v>7430</v>
      </c>
      <c r="C4372" s="0" t="s">
        <v>1455</v>
      </c>
      <c r="D4372" s="0" t="s">
        <v>3671</v>
      </c>
    </row>
    <row r="4373" customFormat="false" ht="15" hidden="false" customHeight="false" outlineLevel="0" collapsed="false">
      <c r="A4373" s="0" t="n">
        <v>21148</v>
      </c>
      <c r="B4373" s="0" t="s">
        <v>7431</v>
      </c>
      <c r="C4373" s="0" t="s">
        <v>1455</v>
      </c>
      <c r="D4373" s="0" t="s">
        <v>3676</v>
      </c>
    </row>
    <row r="4374" customFormat="false" ht="15" hidden="false" customHeight="false" outlineLevel="0" collapsed="false">
      <c r="A4374" s="0" t="n">
        <v>20984</v>
      </c>
      <c r="B4374" s="0" t="s">
        <v>7432</v>
      </c>
      <c r="C4374" s="0" t="s">
        <v>1455</v>
      </c>
      <c r="D4374" s="0" t="s">
        <v>3671</v>
      </c>
    </row>
    <row r="4375" customFormat="false" ht="15" hidden="false" customHeight="false" outlineLevel="0" collapsed="false">
      <c r="A4375" s="0" t="n">
        <v>13042</v>
      </c>
      <c r="B4375" s="0" t="s">
        <v>7433</v>
      </c>
      <c r="C4375" s="0" t="s">
        <v>1455</v>
      </c>
      <c r="D4375" s="0" t="s">
        <v>3671</v>
      </c>
    </row>
    <row r="4376" customFormat="false" ht="15" hidden="false" customHeight="false" outlineLevel="0" collapsed="false">
      <c r="A4376" s="0" t="n">
        <v>42576</v>
      </c>
      <c r="B4376" s="0" t="s">
        <v>7434</v>
      </c>
      <c r="C4376" s="0" t="s">
        <v>1455</v>
      </c>
      <c r="D4376" s="0" t="s">
        <v>3671</v>
      </c>
    </row>
    <row r="4377" customFormat="false" ht="15" hidden="false" customHeight="false" outlineLevel="0" collapsed="false">
      <c r="A4377" s="0" t="n">
        <v>21150</v>
      </c>
      <c r="B4377" s="0" t="s">
        <v>7435</v>
      </c>
      <c r="C4377" s="0" t="s">
        <v>1455</v>
      </c>
      <c r="D4377" s="0" t="s">
        <v>3671</v>
      </c>
    </row>
    <row r="4378" customFormat="false" ht="15" hidden="false" customHeight="false" outlineLevel="0" collapsed="false">
      <c r="A4378" s="0" t="n">
        <v>13141</v>
      </c>
      <c r="B4378" s="0" t="s">
        <v>7436</v>
      </c>
      <c r="C4378" s="0" t="s">
        <v>1455</v>
      </c>
      <c r="D4378" s="0" t="s">
        <v>3671</v>
      </c>
    </row>
    <row r="4379" customFormat="false" ht="15" hidden="false" customHeight="false" outlineLevel="0" collapsed="false">
      <c r="A4379" s="0" t="n">
        <v>21151</v>
      </c>
      <c r="B4379" s="0" t="s">
        <v>7437</v>
      </c>
      <c r="C4379" s="0" t="s">
        <v>1455</v>
      </c>
      <c r="D4379" s="0" t="s">
        <v>3671</v>
      </c>
    </row>
    <row r="4380" customFormat="false" ht="15" hidden="false" customHeight="false" outlineLevel="0" collapsed="false">
      <c r="A4380" s="0" t="n">
        <v>13142</v>
      </c>
      <c r="B4380" s="0" t="s">
        <v>7438</v>
      </c>
      <c r="C4380" s="0" t="s">
        <v>1455</v>
      </c>
      <c r="D4380" s="0" t="s">
        <v>3671</v>
      </c>
    </row>
    <row r="4381" customFormat="false" ht="15" hidden="false" customHeight="false" outlineLevel="0" collapsed="false">
      <c r="A4381" s="0" t="n">
        <v>42577</v>
      </c>
      <c r="B4381" s="0" t="s">
        <v>7439</v>
      </c>
      <c r="C4381" s="0" t="s">
        <v>1455</v>
      </c>
      <c r="D4381" s="0" t="s">
        <v>3671</v>
      </c>
    </row>
    <row r="4382" customFormat="false" ht="15" hidden="false" customHeight="false" outlineLevel="0" collapsed="false">
      <c r="A4382" s="0" t="n">
        <v>20994</v>
      </c>
      <c r="B4382" s="0" t="s">
        <v>7440</v>
      </c>
      <c r="C4382" s="0" t="s">
        <v>1455</v>
      </c>
      <c r="D4382" s="0" t="s">
        <v>3671</v>
      </c>
    </row>
    <row r="4383" customFormat="false" ht="15" hidden="false" customHeight="false" outlineLevel="0" collapsed="false">
      <c r="A4383" s="0" t="n">
        <v>7672</v>
      </c>
      <c r="B4383" s="0" t="s">
        <v>7441</v>
      </c>
      <c r="C4383" s="0" t="s">
        <v>1455</v>
      </c>
      <c r="D4383" s="0" t="s">
        <v>3671</v>
      </c>
    </row>
    <row r="4384" customFormat="false" ht="15" hidden="false" customHeight="false" outlineLevel="0" collapsed="false">
      <c r="A4384" s="0" t="n">
        <v>20995</v>
      </c>
      <c r="B4384" s="0" t="s">
        <v>7442</v>
      </c>
      <c r="C4384" s="0" t="s">
        <v>1455</v>
      </c>
      <c r="D4384" s="0" t="s">
        <v>3671</v>
      </c>
    </row>
    <row r="4385" customFormat="false" ht="15" hidden="false" customHeight="false" outlineLevel="0" collapsed="false">
      <c r="A4385" s="0" t="n">
        <v>7690</v>
      </c>
      <c r="B4385" s="0" t="s">
        <v>7443</v>
      </c>
      <c r="C4385" s="0" t="s">
        <v>1455</v>
      </c>
      <c r="D4385" s="0" t="s">
        <v>3671</v>
      </c>
    </row>
    <row r="4386" customFormat="false" ht="15" hidden="false" customHeight="false" outlineLevel="0" collapsed="false">
      <c r="A4386" s="0" t="n">
        <v>20980</v>
      </c>
      <c r="B4386" s="0" t="s">
        <v>7444</v>
      </c>
      <c r="C4386" s="0" t="s">
        <v>1455</v>
      </c>
      <c r="D4386" s="0" t="s">
        <v>3671</v>
      </c>
    </row>
    <row r="4387" customFormat="false" ht="15" hidden="false" customHeight="false" outlineLevel="0" collapsed="false">
      <c r="A4387" s="0" t="n">
        <v>7661</v>
      </c>
      <c r="B4387" s="0" t="s">
        <v>7445</v>
      </c>
      <c r="C4387" s="0" t="s">
        <v>1455</v>
      </c>
      <c r="D4387" s="0" t="s">
        <v>3671</v>
      </c>
    </row>
    <row r="4388" customFormat="false" ht="15" hidden="false" customHeight="false" outlineLevel="0" collapsed="false">
      <c r="A4388" s="0" t="n">
        <v>21016</v>
      </c>
      <c r="B4388" s="0" t="s">
        <v>7446</v>
      </c>
      <c r="C4388" s="0" t="s">
        <v>1455</v>
      </c>
      <c r="D4388" s="0" t="s">
        <v>3671</v>
      </c>
    </row>
    <row r="4389" customFormat="false" ht="15" hidden="false" customHeight="false" outlineLevel="0" collapsed="false">
      <c r="A4389" s="0" t="n">
        <v>21008</v>
      </c>
      <c r="B4389" s="0" t="s">
        <v>7447</v>
      </c>
      <c r="C4389" s="0" t="s">
        <v>1455</v>
      </c>
      <c r="D4389" s="0" t="s">
        <v>3671</v>
      </c>
    </row>
    <row r="4390" customFormat="false" ht="15" hidden="false" customHeight="false" outlineLevel="0" collapsed="false">
      <c r="A4390" s="0" t="n">
        <v>21009</v>
      </c>
      <c r="B4390" s="0" t="s">
        <v>7448</v>
      </c>
      <c r="C4390" s="0" t="s">
        <v>1455</v>
      </c>
      <c r="D4390" s="0" t="s">
        <v>3671</v>
      </c>
    </row>
    <row r="4391" customFormat="false" ht="15" hidden="false" customHeight="false" outlineLevel="0" collapsed="false">
      <c r="A4391" s="0" t="n">
        <v>21010</v>
      </c>
      <c r="B4391" s="0" t="s">
        <v>7449</v>
      </c>
      <c r="C4391" s="0" t="s">
        <v>1455</v>
      </c>
      <c r="D4391" s="0" t="s">
        <v>3676</v>
      </c>
    </row>
    <row r="4392" customFormat="false" ht="15" hidden="false" customHeight="false" outlineLevel="0" collapsed="false">
      <c r="A4392" s="0" t="n">
        <v>21011</v>
      </c>
      <c r="B4392" s="0" t="s">
        <v>1816</v>
      </c>
      <c r="C4392" s="0" t="s">
        <v>1455</v>
      </c>
      <c r="D4392" s="0" t="s">
        <v>3671</v>
      </c>
    </row>
    <row r="4393" customFormat="false" ht="15" hidden="false" customHeight="false" outlineLevel="0" collapsed="false">
      <c r="A4393" s="0" t="n">
        <v>21012</v>
      </c>
      <c r="B4393" s="0" t="s">
        <v>1819</v>
      </c>
      <c r="C4393" s="0" t="s">
        <v>1455</v>
      </c>
      <c r="D4393" s="0" t="s">
        <v>3671</v>
      </c>
    </row>
    <row r="4394" customFormat="false" ht="15" hidden="false" customHeight="false" outlineLevel="0" collapsed="false">
      <c r="A4394" s="0" t="n">
        <v>21013</v>
      </c>
      <c r="B4394" s="0" t="s">
        <v>1820</v>
      </c>
      <c r="C4394" s="0" t="s">
        <v>1455</v>
      </c>
      <c r="D4394" s="0" t="s">
        <v>3671</v>
      </c>
    </row>
    <row r="4395" customFormat="false" ht="15" hidden="false" customHeight="false" outlineLevel="0" collapsed="false">
      <c r="A4395" s="0" t="n">
        <v>21014</v>
      </c>
      <c r="B4395" s="0" t="s">
        <v>7450</v>
      </c>
      <c r="C4395" s="0" t="s">
        <v>1455</v>
      </c>
      <c r="D4395" s="0" t="s">
        <v>3671</v>
      </c>
    </row>
    <row r="4396" customFormat="false" ht="15" hidden="false" customHeight="false" outlineLevel="0" collapsed="false">
      <c r="A4396" s="0" t="n">
        <v>21015</v>
      </c>
      <c r="B4396" s="0" t="s">
        <v>7451</v>
      </c>
      <c r="C4396" s="0" t="s">
        <v>1455</v>
      </c>
      <c r="D4396" s="0" t="s">
        <v>3671</v>
      </c>
    </row>
    <row r="4397" customFormat="false" ht="15" hidden="false" customHeight="false" outlineLevel="0" collapsed="false">
      <c r="A4397" s="0" t="n">
        <v>40626</v>
      </c>
      <c r="B4397" s="0" t="s">
        <v>7452</v>
      </c>
      <c r="C4397" s="0" t="s">
        <v>1455</v>
      </c>
      <c r="D4397" s="0" t="s">
        <v>3671</v>
      </c>
    </row>
    <row r="4398" customFormat="false" ht="15" hidden="false" customHeight="false" outlineLevel="0" collapsed="false">
      <c r="A4398" s="0" t="n">
        <v>7697</v>
      </c>
      <c r="B4398" s="0" t="s">
        <v>7453</v>
      </c>
      <c r="C4398" s="0" t="s">
        <v>1455</v>
      </c>
      <c r="D4398" s="0" t="s">
        <v>3671</v>
      </c>
    </row>
    <row r="4399" customFormat="false" ht="15" hidden="false" customHeight="false" outlineLevel="0" collapsed="false">
      <c r="A4399" s="0" t="n">
        <v>7698</v>
      </c>
      <c r="B4399" s="0" t="s">
        <v>7454</v>
      </c>
      <c r="C4399" s="0" t="s">
        <v>1455</v>
      </c>
      <c r="D4399" s="0" t="s">
        <v>3671</v>
      </c>
    </row>
    <row r="4400" customFormat="false" ht="15" hidden="false" customHeight="false" outlineLevel="0" collapsed="false">
      <c r="A4400" s="0" t="n">
        <v>7691</v>
      </c>
      <c r="B4400" s="0" t="s">
        <v>7455</v>
      </c>
      <c r="C4400" s="0" t="s">
        <v>1455</v>
      </c>
      <c r="D4400" s="0" t="s">
        <v>3671</v>
      </c>
    </row>
    <row r="4401" customFormat="false" ht="15" hidden="false" customHeight="false" outlineLevel="0" collapsed="false">
      <c r="A4401" s="0" t="n">
        <v>7696</v>
      </c>
      <c r="B4401" s="0" t="s">
        <v>1606</v>
      </c>
      <c r="C4401" s="0" t="s">
        <v>1455</v>
      </c>
      <c r="D4401" s="0" t="s">
        <v>3671</v>
      </c>
    </row>
    <row r="4402" customFormat="false" ht="15" hidden="false" customHeight="false" outlineLevel="0" collapsed="false">
      <c r="A4402" s="0" t="n">
        <v>7701</v>
      </c>
      <c r="B4402" s="0" t="s">
        <v>2722</v>
      </c>
      <c r="C4402" s="0" t="s">
        <v>1455</v>
      </c>
      <c r="D4402" s="0" t="s">
        <v>3671</v>
      </c>
    </row>
    <row r="4403" customFormat="false" ht="15" hidden="false" customHeight="false" outlineLevel="0" collapsed="false">
      <c r="A4403" s="0" t="n">
        <v>7694</v>
      </c>
      <c r="B4403" s="0" t="s">
        <v>2724</v>
      </c>
      <c r="C4403" s="0" t="s">
        <v>1455</v>
      </c>
      <c r="D4403" s="0" t="s">
        <v>3671</v>
      </c>
    </row>
    <row r="4404" customFormat="false" ht="15" hidden="false" customHeight="false" outlineLevel="0" collapsed="false">
      <c r="A4404" s="0" t="n">
        <v>7700</v>
      </c>
      <c r="B4404" s="0" t="s">
        <v>7456</v>
      </c>
      <c r="C4404" s="0" t="s">
        <v>1455</v>
      </c>
      <c r="D4404" s="0" t="s">
        <v>3671</v>
      </c>
    </row>
    <row r="4405" customFormat="false" ht="15" hidden="false" customHeight="false" outlineLevel="0" collapsed="false">
      <c r="A4405" s="0" t="n">
        <v>7693</v>
      </c>
      <c r="B4405" s="0" t="s">
        <v>7457</v>
      </c>
      <c r="C4405" s="0" t="s">
        <v>1455</v>
      </c>
      <c r="D4405" s="0" t="s">
        <v>3671</v>
      </c>
    </row>
    <row r="4406" customFormat="false" ht="15" hidden="false" customHeight="false" outlineLevel="0" collapsed="false">
      <c r="A4406" s="0" t="n">
        <v>7692</v>
      </c>
      <c r="B4406" s="0" t="s">
        <v>7458</v>
      </c>
      <c r="C4406" s="0" t="s">
        <v>1455</v>
      </c>
      <c r="D4406" s="0" t="s">
        <v>3671</v>
      </c>
    </row>
    <row r="4407" customFormat="false" ht="15" hidden="false" customHeight="false" outlineLevel="0" collapsed="false">
      <c r="A4407" s="0" t="n">
        <v>7695</v>
      </c>
      <c r="B4407" s="0" t="s">
        <v>7459</v>
      </c>
      <c r="C4407" s="0" t="s">
        <v>1455</v>
      </c>
      <c r="D4407" s="0" t="s">
        <v>3671</v>
      </c>
    </row>
    <row r="4408" customFormat="false" ht="15" hidden="false" customHeight="false" outlineLevel="0" collapsed="false">
      <c r="A4408" s="0" t="n">
        <v>13356</v>
      </c>
      <c r="B4408" s="0" t="s">
        <v>7460</v>
      </c>
      <c r="C4408" s="0" t="s">
        <v>1455</v>
      </c>
      <c r="D4408" s="0" t="s">
        <v>3671</v>
      </c>
    </row>
    <row r="4409" customFormat="false" ht="15" hidden="false" customHeight="false" outlineLevel="0" collapsed="false">
      <c r="A4409" s="0" t="n">
        <v>36365</v>
      </c>
      <c r="B4409" s="0" t="s">
        <v>7461</v>
      </c>
      <c r="C4409" s="0" t="s">
        <v>1455</v>
      </c>
      <c r="D4409" s="0" t="s">
        <v>3671</v>
      </c>
      <c r="E4409" s="0" t="n">
        <v>42.66</v>
      </c>
    </row>
    <row r="4410" customFormat="false" ht="15" hidden="false" customHeight="false" outlineLevel="0" collapsed="false">
      <c r="A4410" s="0" t="n">
        <v>41930</v>
      </c>
      <c r="B4410" s="0" t="s">
        <v>7462</v>
      </c>
      <c r="C4410" s="0" t="s">
        <v>1455</v>
      </c>
      <c r="D4410" s="0" t="s">
        <v>3671</v>
      </c>
      <c r="E4410" s="0" t="n">
        <v>142.09</v>
      </c>
    </row>
    <row r="4411" customFormat="false" ht="15" hidden="false" customHeight="false" outlineLevel="0" collapsed="false">
      <c r="A4411" s="0" t="n">
        <v>41931</v>
      </c>
      <c r="B4411" s="0" t="s">
        <v>7463</v>
      </c>
      <c r="C4411" s="0" t="s">
        <v>1455</v>
      </c>
      <c r="D4411" s="0" t="s">
        <v>3671</v>
      </c>
      <c r="E4411" s="0" t="n">
        <v>222.54</v>
      </c>
    </row>
    <row r="4412" customFormat="false" ht="15" hidden="false" customHeight="false" outlineLevel="0" collapsed="false">
      <c r="A4412" s="0" t="n">
        <v>41932</v>
      </c>
      <c r="B4412" s="0" t="s">
        <v>7464</v>
      </c>
      <c r="C4412" s="0" t="s">
        <v>1455</v>
      </c>
      <c r="D4412" s="0" t="s">
        <v>3671</v>
      </c>
      <c r="E4412" s="0" t="n">
        <v>342.53</v>
      </c>
    </row>
    <row r="4413" customFormat="false" ht="15" hidden="false" customHeight="false" outlineLevel="0" collapsed="false">
      <c r="A4413" s="0" t="n">
        <v>41933</v>
      </c>
      <c r="B4413" s="0" t="s">
        <v>7465</v>
      </c>
      <c r="C4413" s="0" t="s">
        <v>1455</v>
      </c>
      <c r="D4413" s="0" t="s">
        <v>3671</v>
      </c>
      <c r="E4413" s="0" t="n">
        <v>484.08</v>
      </c>
    </row>
    <row r="4414" customFormat="false" ht="15" hidden="false" customHeight="false" outlineLevel="0" collapsed="false">
      <c r="A4414" s="0" t="n">
        <v>41934</v>
      </c>
      <c r="B4414" s="0" t="s">
        <v>7466</v>
      </c>
      <c r="C4414" s="0" t="s">
        <v>1455</v>
      </c>
      <c r="D4414" s="0" t="s">
        <v>3671</v>
      </c>
      <c r="E4414" s="0" t="n">
        <v>563.77</v>
      </c>
    </row>
    <row r="4415" customFormat="false" ht="15" hidden="false" customHeight="false" outlineLevel="0" collapsed="false">
      <c r="A4415" s="0" t="n">
        <v>41936</v>
      </c>
      <c r="B4415" s="0" t="s">
        <v>7467</v>
      </c>
      <c r="C4415" s="0" t="s">
        <v>1455</v>
      </c>
      <c r="D4415" s="0" t="s">
        <v>3671</v>
      </c>
      <c r="E4415" s="0" t="n">
        <v>83.67</v>
      </c>
    </row>
    <row r="4416" customFormat="false" ht="15" hidden="false" customHeight="false" outlineLevel="0" collapsed="false">
      <c r="A4416" s="0" t="n">
        <v>44812</v>
      </c>
      <c r="B4416" s="0" t="s">
        <v>7468</v>
      </c>
      <c r="C4416" s="0" t="s">
        <v>1455</v>
      </c>
      <c r="D4416" s="0" t="s">
        <v>3671</v>
      </c>
      <c r="E4416" s="0" t="n">
        <v>365.35</v>
      </c>
    </row>
    <row r="4417" customFormat="false" ht="15" hidden="false" customHeight="false" outlineLevel="0" collapsed="false">
      <c r="A4417" s="0" t="n">
        <v>41785</v>
      </c>
      <c r="B4417" s="0" t="s">
        <v>7469</v>
      </c>
      <c r="C4417" s="0" t="s">
        <v>1455</v>
      </c>
      <c r="D4417" s="0" t="s">
        <v>3671</v>
      </c>
      <c r="E4417" s="0" t="n">
        <v>1353.95</v>
      </c>
    </row>
    <row r="4418" customFormat="false" ht="15" hidden="false" customHeight="false" outlineLevel="0" collapsed="false">
      <c r="A4418" s="0" t="n">
        <v>41781</v>
      </c>
      <c r="B4418" s="0" t="s">
        <v>7470</v>
      </c>
      <c r="C4418" s="0" t="s">
        <v>1455</v>
      </c>
      <c r="D4418" s="0" t="s">
        <v>3671</v>
      </c>
      <c r="E4418" s="0" t="n">
        <v>244.48</v>
      </c>
    </row>
    <row r="4419" customFormat="false" ht="15" hidden="false" customHeight="false" outlineLevel="0" collapsed="false">
      <c r="A4419" s="0" t="n">
        <v>41783</v>
      </c>
      <c r="B4419" s="0" t="s">
        <v>7471</v>
      </c>
      <c r="C4419" s="0" t="s">
        <v>1455</v>
      </c>
      <c r="D4419" s="0" t="s">
        <v>3671</v>
      </c>
      <c r="E4419" s="0" t="n">
        <v>878.92</v>
      </c>
    </row>
    <row r="4420" customFormat="false" ht="15" hidden="false" customHeight="false" outlineLevel="0" collapsed="false">
      <c r="A4420" s="0" t="n">
        <v>41786</v>
      </c>
      <c r="B4420" s="0" t="s">
        <v>7472</v>
      </c>
      <c r="C4420" s="0" t="s">
        <v>1455</v>
      </c>
      <c r="D4420" s="0" t="s">
        <v>3671</v>
      </c>
      <c r="E4420" s="0" t="n">
        <v>1871.25</v>
      </c>
    </row>
    <row r="4421" customFormat="false" ht="15" hidden="false" customHeight="false" outlineLevel="0" collapsed="false">
      <c r="A4421" s="0" t="n">
        <v>41779</v>
      </c>
      <c r="B4421" s="0" t="s">
        <v>7473</v>
      </c>
      <c r="C4421" s="0" t="s">
        <v>1455</v>
      </c>
      <c r="D4421" s="0" t="s">
        <v>3671</v>
      </c>
      <c r="E4421" s="0" t="n">
        <v>96.28</v>
      </c>
    </row>
    <row r="4422" customFormat="false" ht="15" hidden="false" customHeight="false" outlineLevel="0" collapsed="false">
      <c r="A4422" s="0" t="n">
        <v>41780</v>
      </c>
      <c r="B4422" s="0" t="s">
        <v>7474</v>
      </c>
      <c r="C4422" s="0" t="s">
        <v>1455</v>
      </c>
      <c r="D4422" s="0" t="s">
        <v>3671</v>
      </c>
      <c r="E4422" s="0" t="n">
        <v>150.84</v>
      </c>
    </row>
    <row r="4423" customFormat="false" ht="15" hidden="false" customHeight="false" outlineLevel="0" collapsed="false">
      <c r="A4423" s="0" t="n">
        <v>41782</v>
      </c>
      <c r="B4423" s="0" t="s">
        <v>7475</v>
      </c>
      <c r="C4423" s="0" t="s">
        <v>1455</v>
      </c>
      <c r="D4423" s="0" t="s">
        <v>3671</v>
      </c>
      <c r="E4423" s="0" t="n">
        <v>540.36</v>
      </c>
    </row>
    <row r="4424" customFormat="false" ht="15" hidden="false" customHeight="false" outlineLevel="0" collapsed="false">
      <c r="A4424" s="0" t="n">
        <v>38130</v>
      </c>
      <c r="B4424" s="0" t="s">
        <v>7476</v>
      </c>
      <c r="C4424" s="0" t="s">
        <v>1455</v>
      </c>
      <c r="D4424" s="0" t="s">
        <v>3671</v>
      </c>
      <c r="E4424" s="0" t="n">
        <v>40.71</v>
      </c>
    </row>
    <row r="4425" customFormat="false" ht="15" hidden="false" customHeight="false" outlineLevel="0" collapsed="false">
      <c r="A4425" s="0" t="n">
        <v>44260</v>
      </c>
      <c r="B4425" s="0" t="s">
        <v>7477</v>
      </c>
      <c r="C4425" s="0" t="s">
        <v>1455</v>
      </c>
      <c r="D4425" s="0" t="s">
        <v>3671</v>
      </c>
      <c r="E4425" s="0" t="n">
        <v>385.34</v>
      </c>
    </row>
    <row r="4426" customFormat="false" ht="15" hidden="false" customHeight="false" outlineLevel="0" collapsed="false">
      <c r="A4426" s="0" t="n">
        <v>21123</v>
      </c>
      <c r="B4426" s="0" t="s">
        <v>7478</v>
      </c>
      <c r="C4426" s="0" t="s">
        <v>1455</v>
      </c>
      <c r="D4426" s="0" t="s">
        <v>3676</v>
      </c>
      <c r="E4426" s="0" t="n">
        <v>11.33</v>
      </c>
    </row>
    <row r="4427" customFormat="false" ht="15" hidden="false" customHeight="false" outlineLevel="0" collapsed="false">
      <c r="A4427" s="0" t="n">
        <v>21124</v>
      </c>
      <c r="B4427" s="0" t="s">
        <v>7479</v>
      </c>
      <c r="C4427" s="0" t="s">
        <v>1455</v>
      </c>
      <c r="D4427" s="0" t="s">
        <v>3671</v>
      </c>
      <c r="E4427" s="0" t="n">
        <v>18.1</v>
      </c>
    </row>
    <row r="4428" customFormat="false" ht="15" hidden="false" customHeight="false" outlineLevel="0" collapsed="false">
      <c r="A4428" s="0" t="n">
        <v>21125</v>
      </c>
      <c r="B4428" s="0" t="s">
        <v>7480</v>
      </c>
      <c r="C4428" s="0" t="s">
        <v>1455</v>
      </c>
      <c r="D4428" s="0" t="s">
        <v>3671</v>
      </c>
      <c r="E4428" s="0" t="n">
        <v>31.17</v>
      </c>
    </row>
    <row r="4429" customFormat="false" ht="15" hidden="false" customHeight="false" outlineLevel="0" collapsed="false">
      <c r="A4429" s="0" t="n">
        <v>38028</v>
      </c>
      <c r="B4429" s="0" t="s">
        <v>7481</v>
      </c>
      <c r="C4429" s="0" t="s">
        <v>1455</v>
      </c>
      <c r="D4429" s="0" t="s">
        <v>3671</v>
      </c>
      <c r="E4429" s="0" t="n">
        <v>54.5</v>
      </c>
    </row>
    <row r="4430" customFormat="false" ht="15" hidden="false" customHeight="false" outlineLevel="0" collapsed="false">
      <c r="A4430" s="0" t="n">
        <v>38029</v>
      </c>
      <c r="B4430" s="0" t="s">
        <v>7482</v>
      </c>
      <c r="C4430" s="0" t="s">
        <v>1455</v>
      </c>
      <c r="D4430" s="0" t="s">
        <v>3671</v>
      </c>
      <c r="E4430" s="0" t="n">
        <v>79.77</v>
      </c>
    </row>
    <row r="4431" customFormat="false" ht="15" hidden="false" customHeight="false" outlineLevel="0" collapsed="false">
      <c r="A4431" s="0" t="n">
        <v>38030</v>
      </c>
      <c r="B4431" s="0" t="s">
        <v>7483</v>
      </c>
      <c r="C4431" s="0" t="s">
        <v>1455</v>
      </c>
      <c r="D4431" s="0" t="s">
        <v>3671</v>
      </c>
      <c r="E4431" s="0" t="n">
        <v>129</v>
      </c>
    </row>
    <row r="4432" customFormat="false" ht="15" hidden="false" customHeight="false" outlineLevel="0" collapsed="false">
      <c r="A4432" s="0" t="n">
        <v>38031</v>
      </c>
      <c r="B4432" s="0" t="s">
        <v>7484</v>
      </c>
      <c r="C4432" s="0" t="s">
        <v>1455</v>
      </c>
      <c r="D4432" s="0" t="s">
        <v>3671</v>
      </c>
      <c r="E4432" s="0" t="n">
        <v>202.47</v>
      </c>
    </row>
    <row r="4433" customFormat="false" ht="15" hidden="false" customHeight="false" outlineLevel="0" collapsed="false">
      <c r="A4433" s="0" t="n">
        <v>39735</v>
      </c>
      <c r="B4433" s="0" t="s">
        <v>7485</v>
      </c>
      <c r="C4433" s="0" t="s">
        <v>1455</v>
      </c>
      <c r="D4433" s="0" t="s">
        <v>3671</v>
      </c>
    </row>
    <row r="4434" customFormat="false" ht="15" hidden="false" customHeight="false" outlineLevel="0" collapsed="false">
      <c r="A4434" s="0" t="n">
        <v>39734</v>
      </c>
      <c r="B4434" s="0" t="s">
        <v>7486</v>
      </c>
      <c r="C4434" s="0" t="s">
        <v>1455</v>
      </c>
      <c r="D4434" s="0" t="s">
        <v>3671</v>
      </c>
    </row>
    <row r="4435" customFormat="false" ht="15" hidden="false" customHeight="false" outlineLevel="0" collapsed="false">
      <c r="A4435" s="0" t="n">
        <v>39736</v>
      </c>
      <c r="B4435" s="0" t="s">
        <v>7487</v>
      </c>
      <c r="C4435" s="0" t="s">
        <v>1455</v>
      </c>
      <c r="D4435" s="0" t="s">
        <v>3671</v>
      </c>
    </row>
    <row r="4436" customFormat="false" ht="15" hidden="false" customHeight="false" outlineLevel="0" collapsed="false">
      <c r="A4436" s="0" t="n">
        <v>39739</v>
      </c>
      <c r="B4436" s="0" t="s">
        <v>7488</v>
      </c>
      <c r="C4436" s="0" t="s">
        <v>1455</v>
      </c>
      <c r="D4436" s="0" t="s">
        <v>3671</v>
      </c>
    </row>
    <row r="4437" customFormat="false" ht="15" hidden="false" customHeight="false" outlineLevel="0" collapsed="false">
      <c r="A4437" s="0" t="n">
        <v>39737</v>
      </c>
      <c r="B4437" s="0" t="s">
        <v>2812</v>
      </c>
      <c r="C4437" s="0" t="s">
        <v>1455</v>
      </c>
      <c r="D4437" s="0" t="s">
        <v>3671</v>
      </c>
    </row>
    <row r="4438" customFormat="false" ht="15" hidden="false" customHeight="false" outlineLevel="0" collapsed="false">
      <c r="A4438" s="0" t="n">
        <v>39738</v>
      </c>
      <c r="B4438" s="0" t="s">
        <v>2815</v>
      </c>
      <c r="C4438" s="0" t="s">
        <v>1455</v>
      </c>
      <c r="D4438" s="0" t="s">
        <v>3671</v>
      </c>
    </row>
    <row r="4439" customFormat="false" ht="15" hidden="false" customHeight="false" outlineLevel="0" collapsed="false">
      <c r="A4439" s="0" t="n">
        <v>39733</v>
      </c>
      <c r="B4439" s="0" t="s">
        <v>7489</v>
      </c>
      <c r="C4439" s="0" t="s">
        <v>1455</v>
      </c>
      <c r="D4439" s="0" t="s">
        <v>3671</v>
      </c>
    </row>
    <row r="4440" customFormat="false" ht="15" hidden="false" customHeight="false" outlineLevel="0" collapsed="false">
      <c r="A4440" s="0" t="n">
        <v>39854</v>
      </c>
      <c r="B4440" s="0" t="s">
        <v>7490</v>
      </c>
      <c r="C4440" s="0" t="s">
        <v>1455</v>
      </c>
      <c r="D4440" s="0" t="s">
        <v>3671</v>
      </c>
    </row>
    <row r="4441" customFormat="false" ht="15" hidden="false" customHeight="false" outlineLevel="0" collapsed="false">
      <c r="A4441" s="0" t="n">
        <v>39740</v>
      </c>
      <c r="B4441" s="0" t="s">
        <v>7491</v>
      </c>
      <c r="C4441" s="0" t="s">
        <v>1455</v>
      </c>
      <c r="D4441" s="0" t="s">
        <v>3671</v>
      </c>
    </row>
    <row r="4442" customFormat="false" ht="15" hidden="false" customHeight="false" outlineLevel="0" collapsed="false">
      <c r="A4442" s="0" t="n">
        <v>39741</v>
      </c>
      <c r="B4442" s="0" t="s">
        <v>2818</v>
      </c>
      <c r="C4442" s="0" t="s">
        <v>1455</v>
      </c>
      <c r="D4442" s="0" t="s">
        <v>3671</v>
      </c>
    </row>
    <row r="4443" customFormat="false" ht="15" hidden="false" customHeight="false" outlineLevel="0" collapsed="false">
      <c r="A4443" s="0" t="n">
        <v>39853</v>
      </c>
      <c r="B4443" s="0" t="s">
        <v>2821</v>
      </c>
      <c r="C4443" s="0" t="s">
        <v>1455</v>
      </c>
      <c r="D4443" s="0" t="s">
        <v>3671</v>
      </c>
    </row>
    <row r="4444" customFormat="false" ht="15" hidden="false" customHeight="false" outlineLevel="0" collapsed="false">
      <c r="A4444" s="0" t="n">
        <v>39742</v>
      </c>
      <c r="B4444" s="0" t="s">
        <v>7492</v>
      </c>
      <c r="C4444" s="0" t="s">
        <v>1455</v>
      </c>
      <c r="D4444" s="0" t="s">
        <v>3671</v>
      </c>
    </row>
    <row r="4445" customFormat="false" ht="15" hidden="false" customHeight="false" outlineLevel="0" collapsed="false">
      <c r="A4445" s="0" t="n">
        <v>39751</v>
      </c>
      <c r="B4445" s="0" t="s">
        <v>7493</v>
      </c>
      <c r="C4445" s="0" t="s">
        <v>1455</v>
      </c>
      <c r="D4445" s="0" t="s">
        <v>3671</v>
      </c>
    </row>
    <row r="4446" customFormat="false" ht="15" hidden="false" customHeight="false" outlineLevel="0" collapsed="false">
      <c r="A4446" s="0" t="n">
        <v>39750</v>
      </c>
      <c r="B4446" s="0" t="s">
        <v>7494</v>
      </c>
      <c r="C4446" s="0" t="s">
        <v>1455</v>
      </c>
      <c r="D4446" s="0" t="s">
        <v>3671</v>
      </c>
    </row>
    <row r="4447" customFormat="false" ht="15" hidden="false" customHeight="false" outlineLevel="0" collapsed="false">
      <c r="A4447" s="0" t="n">
        <v>39749</v>
      </c>
      <c r="B4447" s="0" t="s">
        <v>7495</v>
      </c>
      <c r="C4447" s="0" t="s">
        <v>1455</v>
      </c>
      <c r="D4447" s="0" t="s">
        <v>3671</v>
      </c>
    </row>
    <row r="4448" customFormat="false" ht="15" hidden="false" customHeight="false" outlineLevel="0" collapsed="false">
      <c r="A4448" s="0" t="n">
        <v>39747</v>
      </c>
      <c r="B4448" s="0" t="s">
        <v>7496</v>
      </c>
      <c r="C4448" s="0" t="s">
        <v>1455</v>
      </c>
      <c r="D4448" s="0" t="s">
        <v>3671</v>
      </c>
    </row>
    <row r="4449" customFormat="false" ht="15" hidden="false" customHeight="false" outlineLevel="0" collapsed="false">
      <c r="A4449" s="0" t="n">
        <v>39753</v>
      </c>
      <c r="B4449" s="0" t="s">
        <v>7497</v>
      </c>
      <c r="C4449" s="0" t="s">
        <v>1455</v>
      </c>
      <c r="D4449" s="0" t="s">
        <v>3671</v>
      </c>
    </row>
    <row r="4450" customFormat="false" ht="15" hidden="false" customHeight="false" outlineLevel="0" collapsed="false">
      <c r="A4450" s="0" t="n">
        <v>39752</v>
      </c>
      <c r="B4450" s="0" t="s">
        <v>7498</v>
      </c>
      <c r="C4450" s="0" t="s">
        <v>1455</v>
      </c>
      <c r="D4450" s="0" t="s">
        <v>3671</v>
      </c>
    </row>
    <row r="4451" customFormat="false" ht="15" hidden="false" customHeight="false" outlineLevel="0" collapsed="false">
      <c r="A4451" s="0" t="n">
        <v>39754</v>
      </c>
      <c r="B4451" s="0" t="s">
        <v>7499</v>
      </c>
      <c r="C4451" s="0" t="s">
        <v>1455</v>
      </c>
      <c r="D4451" s="0" t="s">
        <v>3671</v>
      </c>
    </row>
    <row r="4452" customFormat="false" ht="15" hidden="false" customHeight="false" outlineLevel="0" collapsed="false">
      <c r="A4452" s="0" t="n">
        <v>39748</v>
      </c>
      <c r="B4452" s="0" t="s">
        <v>7500</v>
      </c>
      <c r="C4452" s="0" t="s">
        <v>1455</v>
      </c>
      <c r="D4452" s="0" t="s">
        <v>3671</v>
      </c>
    </row>
    <row r="4453" customFormat="false" ht="15" hidden="false" customHeight="false" outlineLevel="0" collapsed="false">
      <c r="A4453" s="0" t="n">
        <v>39755</v>
      </c>
      <c r="B4453" s="0" t="s">
        <v>7501</v>
      </c>
      <c r="C4453" s="0" t="s">
        <v>1455</v>
      </c>
      <c r="D4453" s="0" t="s">
        <v>3671</v>
      </c>
    </row>
    <row r="4454" customFormat="false" ht="15" hidden="false" customHeight="false" outlineLevel="0" collapsed="false">
      <c r="A4454" s="0" t="n">
        <v>12742</v>
      </c>
      <c r="B4454" s="0" t="s">
        <v>7502</v>
      </c>
      <c r="C4454" s="0" t="s">
        <v>1455</v>
      </c>
      <c r="D4454" s="0" t="s">
        <v>3671</v>
      </c>
    </row>
    <row r="4455" customFormat="false" ht="15" hidden="false" customHeight="false" outlineLevel="0" collapsed="false">
      <c r="A4455" s="0" t="n">
        <v>12713</v>
      </c>
      <c r="B4455" s="0" t="s">
        <v>7503</v>
      </c>
      <c r="C4455" s="0" t="s">
        <v>1455</v>
      </c>
      <c r="D4455" s="0" t="s">
        <v>3676</v>
      </c>
    </row>
    <row r="4456" customFormat="false" ht="15" hidden="false" customHeight="false" outlineLevel="0" collapsed="false">
      <c r="A4456" s="0" t="n">
        <v>12743</v>
      </c>
      <c r="B4456" s="0" t="s">
        <v>7504</v>
      </c>
      <c r="C4456" s="0" t="s">
        <v>1455</v>
      </c>
      <c r="D4456" s="0" t="s">
        <v>3671</v>
      </c>
    </row>
    <row r="4457" customFormat="false" ht="15" hidden="false" customHeight="false" outlineLevel="0" collapsed="false">
      <c r="A4457" s="0" t="n">
        <v>12744</v>
      </c>
      <c r="B4457" s="0" t="s">
        <v>7505</v>
      </c>
      <c r="C4457" s="0" t="s">
        <v>1455</v>
      </c>
      <c r="D4457" s="0" t="s">
        <v>3671</v>
      </c>
    </row>
    <row r="4458" customFormat="false" ht="15" hidden="false" customHeight="false" outlineLevel="0" collapsed="false">
      <c r="A4458" s="0" t="n">
        <v>12745</v>
      </c>
      <c r="B4458" s="0" t="s">
        <v>7506</v>
      </c>
      <c r="C4458" s="0" t="s">
        <v>1455</v>
      </c>
      <c r="D4458" s="0" t="s">
        <v>3671</v>
      </c>
    </row>
    <row r="4459" customFormat="false" ht="15" hidden="false" customHeight="false" outlineLevel="0" collapsed="false">
      <c r="A4459" s="0" t="n">
        <v>12746</v>
      </c>
      <c r="B4459" s="0" t="s">
        <v>7507</v>
      </c>
      <c r="C4459" s="0" t="s">
        <v>1455</v>
      </c>
      <c r="D4459" s="0" t="s">
        <v>3671</v>
      </c>
    </row>
    <row r="4460" customFormat="false" ht="15" hidden="false" customHeight="false" outlineLevel="0" collapsed="false">
      <c r="A4460" s="0" t="n">
        <v>12747</v>
      </c>
      <c r="B4460" s="0" t="s">
        <v>7508</v>
      </c>
      <c r="C4460" s="0" t="s">
        <v>1455</v>
      </c>
      <c r="D4460" s="0" t="s">
        <v>3671</v>
      </c>
    </row>
    <row r="4461" customFormat="false" ht="15" hidden="false" customHeight="false" outlineLevel="0" collapsed="false">
      <c r="A4461" s="0" t="n">
        <v>12748</v>
      </c>
      <c r="B4461" s="0" t="s">
        <v>7509</v>
      </c>
      <c r="C4461" s="0" t="s">
        <v>1455</v>
      </c>
      <c r="D4461" s="0" t="s">
        <v>3671</v>
      </c>
    </row>
    <row r="4462" customFormat="false" ht="15" hidden="false" customHeight="false" outlineLevel="0" collapsed="false">
      <c r="A4462" s="0" t="n">
        <v>12749</v>
      </c>
      <c r="B4462" s="0" t="s">
        <v>7510</v>
      </c>
      <c r="C4462" s="0" t="s">
        <v>1455</v>
      </c>
      <c r="D4462" s="0" t="s">
        <v>3671</v>
      </c>
    </row>
    <row r="4463" customFormat="false" ht="15" hidden="false" customHeight="false" outlineLevel="0" collapsed="false">
      <c r="A4463" s="0" t="n">
        <v>39660</v>
      </c>
      <c r="B4463" s="0" t="s">
        <v>2813</v>
      </c>
      <c r="C4463" s="0" t="s">
        <v>1455</v>
      </c>
      <c r="D4463" s="0" t="s">
        <v>3671</v>
      </c>
    </row>
    <row r="4464" customFormat="false" ht="15" hidden="false" customHeight="false" outlineLevel="0" collapsed="false">
      <c r="A4464" s="0" t="n">
        <v>39662</v>
      </c>
      <c r="B4464" s="0" t="s">
        <v>2816</v>
      </c>
      <c r="C4464" s="0" t="s">
        <v>1455</v>
      </c>
      <c r="D4464" s="0" t="s">
        <v>3671</v>
      </c>
    </row>
    <row r="4465" customFormat="false" ht="15" hidden="false" customHeight="false" outlineLevel="0" collapsed="false">
      <c r="A4465" s="0" t="n">
        <v>39661</v>
      </c>
      <c r="B4465" s="0" t="s">
        <v>7511</v>
      </c>
      <c r="C4465" s="0" t="s">
        <v>1455</v>
      </c>
      <c r="D4465" s="0" t="s">
        <v>3671</v>
      </c>
    </row>
    <row r="4466" customFormat="false" ht="15" hidden="false" customHeight="false" outlineLevel="0" collapsed="false">
      <c r="A4466" s="0" t="n">
        <v>39666</v>
      </c>
      <c r="B4466" s="0" t="s">
        <v>7512</v>
      </c>
      <c r="C4466" s="0" t="s">
        <v>1455</v>
      </c>
      <c r="D4466" s="0" t="s">
        <v>3671</v>
      </c>
    </row>
    <row r="4467" customFormat="false" ht="15" hidden="false" customHeight="false" outlineLevel="0" collapsed="false">
      <c r="A4467" s="0" t="n">
        <v>39664</v>
      </c>
      <c r="B4467" s="0" t="s">
        <v>2819</v>
      </c>
      <c r="C4467" s="0" t="s">
        <v>1455</v>
      </c>
      <c r="D4467" s="0" t="s">
        <v>3671</v>
      </c>
    </row>
    <row r="4468" customFormat="false" ht="15" hidden="false" customHeight="false" outlineLevel="0" collapsed="false">
      <c r="A4468" s="0" t="n">
        <v>39663</v>
      </c>
      <c r="B4468" s="0" t="s">
        <v>7513</v>
      </c>
      <c r="C4468" s="0" t="s">
        <v>1455</v>
      </c>
      <c r="D4468" s="0" t="s">
        <v>3671</v>
      </c>
    </row>
    <row r="4469" customFormat="false" ht="15" hidden="false" customHeight="false" outlineLevel="0" collapsed="false">
      <c r="A4469" s="0" t="n">
        <v>39665</v>
      </c>
      <c r="B4469" s="0" t="s">
        <v>2822</v>
      </c>
      <c r="C4469" s="0" t="s">
        <v>1455</v>
      </c>
      <c r="D4469" s="0" t="s">
        <v>3671</v>
      </c>
    </row>
    <row r="4470" customFormat="false" ht="15" hidden="false" customHeight="false" outlineLevel="0" collapsed="false">
      <c r="A4470" s="0" t="n">
        <v>7753</v>
      </c>
      <c r="B4470" s="0" t="s">
        <v>7514</v>
      </c>
      <c r="C4470" s="0" t="s">
        <v>1455</v>
      </c>
      <c r="D4470" s="0" t="s">
        <v>3671</v>
      </c>
    </row>
    <row r="4471" customFormat="false" ht="15" hidden="false" customHeight="false" outlineLevel="0" collapsed="false">
      <c r="A4471" s="0" t="n">
        <v>13256</v>
      </c>
      <c r="B4471" s="0" t="s">
        <v>7515</v>
      </c>
      <c r="C4471" s="0" t="s">
        <v>1455</v>
      </c>
      <c r="D4471" s="0" t="s">
        <v>3671</v>
      </c>
    </row>
    <row r="4472" customFormat="false" ht="15" hidden="false" customHeight="false" outlineLevel="0" collapsed="false">
      <c r="A4472" s="0" t="n">
        <v>7757</v>
      </c>
      <c r="B4472" s="0" t="s">
        <v>7516</v>
      </c>
      <c r="C4472" s="0" t="s">
        <v>1455</v>
      </c>
      <c r="D4472" s="0" t="s">
        <v>3671</v>
      </c>
    </row>
    <row r="4473" customFormat="false" ht="15" hidden="false" customHeight="false" outlineLevel="0" collapsed="false">
      <c r="A4473" s="0" t="n">
        <v>7758</v>
      </c>
      <c r="B4473" s="0" t="s">
        <v>7517</v>
      </c>
      <c r="C4473" s="0" t="s">
        <v>1455</v>
      </c>
      <c r="D4473" s="0" t="s">
        <v>3671</v>
      </c>
    </row>
    <row r="4474" customFormat="false" ht="15" hidden="false" customHeight="false" outlineLevel="0" collapsed="false">
      <c r="A4474" s="0" t="n">
        <v>7759</v>
      </c>
      <c r="B4474" s="0" t="s">
        <v>7518</v>
      </c>
      <c r="C4474" s="0" t="s">
        <v>1455</v>
      </c>
      <c r="D4474" s="0" t="s">
        <v>3671</v>
      </c>
    </row>
    <row r="4475" customFormat="false" ht="15" hidden="false" customHeight="false" outlineLevel="0" collapsed="false">
      <c r="A4475" s="0" t="n">
        <v>40334</v>
      </c>
      <c r="B4475" s="0" t="s">
        <v>7519</v>
      </c>
      <c r="C4475" s="0" t="s">
        <v>1455</v>
      </c>
      <c r="D4475" s="0" t="s">
        <v>3671</v>
      </c>
    </row>
    <row r="4476" customFormat="false" ht="15" hidden="false" customHeight="false" outlineLevel="0" collapsed="false">
      <c r="A4476" s="0" t="n">
        <v>7745</v>
      </c>
      <c r="B4476" s="0" t="s">
        <v>7520</v>
      </c>
      <c r="C4476" s="0" t="s">
        <v>1455</v>
      </c>
      <c r="D4476" s="0" t="s">
        <v>3671</v>
      </c>
    </row>
    <row r="4477" customFormat="false" ht="15" hidden="false" customHeight="false" outlineLevel="0" collapsed="false">
      <c r="A4477" s="0" t="n">
        <v>7742</v>
      </c>
      <c r="B4477" s="0" t="s">
        <v>7521</v>
      </c>
      <c r="C4477" s="0" t="s">
        <v>1455</v>
      </c>
      <c r="D4477" s="0" t="s">
        <v>3671</v>
      </c>
    </row>
    <row r="4478" customFormat="false" ht="15" hidden="false" customHeight="false" outlineLevel="0" collapsed="false">
      <c r="A4478" s="0" t="n">
        <v>7750</v>
      </c>
      <c r="B4478" s="0" t="s">
        <v>7522</v>
      </c>
      <c r="C4478" s="0" t="s">
        <v>1455</v>
      </c>
      <c r="D4478" s="0" t="s">
        <v>3671</v>
      </c>
    </row>
    <row r="4479" customFormat="false" ht="15" hidden="false" customHeight="false" outlineLevel="0" collapsed="false">
      <c r="A4479" s="0" t="n">
        <v>7756</v>
      </c>
      <c r="B4479" s="0" t="s">
        <v>7523</v>
      </c>
      <c r="C4479" s="0" t="s">
        <v>1455</v>
      </c>
      <c r="D4479" s="0" t="s">
        <v>3671</v>
      </c>
    </row>
    <row r="4480" customFormat="false" ht="15" hidden="false" customHeight="false" outlineLevel="0" collapsed="false">
      <c r="A4480" s="0" t="n">
        <v>7725</v>
      </c>
      <c r="B4480" s="0" t="s">
        <v>2113</v>
      </c>
      <c r="C4480" s="0" t="s">
        <v>1455</v>
      </c>
      <c r="D4480" s="0" t="s">
        <v>3676</v>
      </c>
    </row>
    <row r="4481" customFormat="false" ht="15" hidden="false" customHeight="false" outlineLevel="0" collapsed="false">
      <c r="A4481" s="0" t="n">
        <v>7765</v>
      </c>
      <c r="B4481" s="0" t="s">
        <v>7524</v>
      </c>
      <c r="C4481" s="0" t="s">
        <v>1455</v>
      </c>
      <c r="D4481" s="0" t="s">
        <v>3671</v>
      </c>
    </row>
    <row r="4482" customFormat="false" ht="15" hidden="false" customHeight="false" outlineLevel="0" collapsed="false">
      <c r="A4482" s="0" t="n">
        <v>12569</v>
      </c>
      <c r="B4482" s="0" t="s">
        <v>7525</v>
      </c>
      <c r="C4482" s="0" t="s">
        <v>1455</v>
      </c>
      <c r="D4482" s="0" t="s">
        <v>3671</v>
      </c>
    </row>
    <row r="4483" customFormat="false" ht="15" hidden="false" customHeight="false" outlineLevel="0" collapsed="false">
      <c r="A4483" s="0" t="n">
        <v>7766</v>
      </c>
      <c r="B4483" s="0" t="s">
        <v>7526</v>
      </c>
      <c r="C4483" s="0" t="s">
        <v>1455</v>
      </c>
      <c r="D4483" s="0" t="s">
        <v>3671</v>
      </c>
    </row>
    <row r="4484" customFormat="false" ht="15" hidden="false" customHeight="false" outlineLevel="0" collapsed="false">
      <c r="A4484" s="0" t="n">
        <v>7767</v>
      </c>
      <c r="B4484" s="0" t="s">
        <v>7527</v>
      </c>
      <c r="C4484" s="0" t="s">
        <v>1455</v>
      </c>
      <c r="D4484" s="0" t="s">
        <v>3671</v>
      </c>
    </row>
    <row r="4485" customFormat="false" ht="15" hidden="false" customHeight="false" outlineLevel="0" collapsed="false">
      <c r="A4485" s="0" t="n">
        <v>7727</v>
      </c>
      <c r="B4485" s="0" t="s">
        <v>7528</v>
      </c>
      <c r="C4485" s="0" t="s">
        <v>1455</v>
      </c>
      <c r="D4485" s="0" t="s">
        <v>3671</v>
      </c>
    </row>
    <row r="4486" customFormat="false" ht="15" hidden="false" customHeight="false" outlineLevel="0" collapsed="false">
      <c r="A4486" s="0" t="n">
        <v>7760</v>
      </c>
      <c r="B4486" s="0" t="s">
        <v>7529</v>
      </c>
      <c r="C4486" s="0" t="s">
        <v>1455</v>
      </c>
      <c r="D4486" s="0" t="s">
        <v>3671</v>
      </c>
    </row>
    <row r="4487" customFormat="false" ht="15" hidden="false" customHeight="false" outlineLevel="0" collapsed="false">
      <c r="A4487" s="0" t="n">
        <v>7761</v>
      </c>
      <c r="B4487" s="0" t="s">
        <v>7530</v>
      </c>
      <c r="C4487" s="0" t="s">
        <v>1455</v>
      </c>
      <c r="D4487" s="0" t="s">
        <v>3671</v>
      </c>
    </row>
    <row r="4488" customFormat="false" ht="15" hidden="false" customHeight="false" outlineLevel="0" collapsed="false">
      <c r="A4488" s="0" t="n">
        <v>7752</v>
      </c>
      <c r="B4488" s="0" t="s">
        <v>7531</v>
      </c>
      <c r="C4488" s="0" t="s">
        <v>1455</v>
      </c>
      <c r="D4488" s="0" t="s">
        <v>3671</v>
      </c>
    </row>
    <row r="4489" customFormat="false" ht="15" hidden="false" customHeight="false" outlineLevel="0" collapsed="false">
      <c r="A4489" s="0" t="n">
        <v>7762</v>
      </c>
      <c r="B4489" s="0" t="s">
        <v>7532</v>
      </c>
      <c r="C4489" s="0" t="s">
        <v>1455</v>
      </c>
      <c r="D4489" s="0" t="s">
        <v>3671</v>
      </c>
    </row>
    <row r="4490" customFormat="false" ht="15" hidden="false" customHeight="false" outlineLevel="0" collapsed="false">
      <c r="A4490" s="0" t="n">
        <v>7722</v>
      </c>
      <c r="B4490" s="0" t="s">
        <v>7533</v>
      </c>
      <c r="C4490" s="0" t="s">
        <v>1455</v>
      </c>
      <c r="D4490" s="0" t="s">
        <v>3671</v>
      </c>
    </row>
    <row r="4491" customFormat="false" ht="15" hidden="false" customHeight="false" outlineLevel="0" collapsed="false">
      <c r="A4491" s="0" t="n">
        <v>7763</v>
      </c>
      <c r="B4491" s="0" t="s">
        <v>7534</v>
      </c>
      <c r="C4491" s="0" t="s">
        <v>1455</v>
      </c>
      <c r="D4491" s="0" t="s">
        <v>3671</v>
      </c>
    </row>
    <row r="4492" customFormat="false" ht="15" hidden="false" customHeight="false" outlineLevel="0" collapsed="false">
      <c r="A4492" s="0" t="n">
        <v>7764</v>
      </c>
      <c r="B4492" s="0" t="s">
        <v>7535</v>
      </c>
      <c r="C4492" s="0" t="s">
        <v>1455</v>
      </c>
      <c r="D4492" s="0" t="s">
        <v>3671</v>
      </c>
    </row>
    <row r="4493" customFormat="false" ht="15" hidden="false" customHeight="false" outlineLevel="0" collapsed="false">
      <c r="A4493" s="0" t="n">
        <v>12572</v>
      </c>
      <c r="B4493" s="0" t="s">
        <v>7536</v>
      </c>
      <c r="C4493" s="0" t="s">
        <v>1455</v>
      </c>
      <c r="D4493" s="0" t="s">
        <v>3671</v>
      </c>
    </row>
    <row r="4494" customFormat="false" ht="15" hidden="false" customHeight="false" outlineLevel="0" collapsed="false">
      <c r="A4494" s="0" t="n">
        <v>12573</v>
      </c>
      <c r="B4494" s="0" t="s">
        <v>7537</v>
      </c>
      <c r="C4494" s="0" t="s">
        <v>1455</v>
      </c>
      <c r="D4494" s="0" t="s">
        <v>3671</v>
      </c>
    </row>
    <row r="4495" customFormat="false" ht="15" hidden="false" customHeight="false" outlineLevel="0" collapsed="false">
      <c r="A4495" s="0" t="n">
        <v>12574</v>
      </c>
      <c r="B4495" s="0" t="s">
        <v>7538</v>
      </c>
      <c r="C4495" s="0" t="s">
        <v>1455</v>
      </c>
      <c r="D4495" s="0" t="s">
        <v>3671</v>
      </c>
    </row>
    <row r="4496" customFormat="false" ht="15" hidden="false" customHeight="false" outlineLevel="0" collapsed="false">
      <c r="A4496" s="0" t="n">
        <v>12575</v>
      </c>
      <c r="B4496" s="0" t="s">
        <v>7539</v>
      </c>
      <c r="C4496" s="0" t="s">
        <v>1455</v>
      </c>
      <c r="D4496" s="0" t="s">
        <v>3671</v>
      </c>
    </row>
    <row r="4497" customFormat="false" ht="15" hidden="false" customHeight="false" outlineLevel="0" collapsed="false">
      <c r="A4497" s="0" t="n">
        <v>12576</v>
      </c>
      <c r="B4497" s="0" t="s">
        <v>7540</v>
      </c>
      <c r="C4497" s="0" t="s">
        <v>1455</v>
      </c>
      <c r="D4497" s="0" t="s">
        <v>3671</v>
      </c>
    </row>
    <row r="4498" customFormat="false" ht="15" hidden="false" customHeight="false" outlineLevel="0" collapsed="false">
      <c r="A4498" s="0" t="n">
        <v>12577</v>
      </c>
      <c r="B4498" s="0" t="s">
        <v>7541</v>
      </c>
      <c r="C4498" s="0" t="s">
        <v>1455</v>
      </c>
      <c r="D4498" s="0" t="s">
        <v>3671</v>
      </c>
    </row>
    <row r="4499" customFormat="false" ht="15" hidden="false" customHeight="false" outlineLevel="0" collapsed="false">
      <c r="A4499" s="0" t="n">
        <v>12578</v>
      </c>
      <c r="B4499" s="0" t="s">
        <v>7542</v>
      </c>
      <c r="C4499" s="0" t="s">
        <v>1455</v>
      </c>
      <c r="D4499" s="0" t="s">
        <v>3671</v>
      </c>
    </row>
    <row r="4500" customFormat="false" ht="15" hidden="false" customHeight="false" outlineLevel="0" collapsed="false">
      <c r="A4500" s="0" t="n">
        <v>12579</v>
      </c>
      <c r="B4500" s="0" t="s">
        <v>7543</v>
      </c>
      <c r="C4500" s="0" t="s">
        <v>1455</v>
      </c>
      <c r="D4500" s="0" t="s">
        <v>3671</v>
      </c>
    </row>
    <row r="4501" customFormat="false" ht="15" hidden="false" customHeight="false" outlineLevel="0" collapsed="false">
      <c r="A4501" s="0" t="n">
        <v>12580</v>
      </c>
      <c r="B4501" s="0" t="s">
        <v>7544</v>
      </c>
      <c r="C4501" s="0" t="s">
        <v>1455</v>
      </c>
      <c r="D4501" s="0" t="s">
        <v>3671</v>
      </c>
    </row>
    <row r="4502" customFormat="false" ht="15" hidden="false" customHeight="false" outlineLevel="0" collapsed="false">
      <c r="A4502" s="0" t="n">
        <v>12581</v>
      </c>
      <c r="B4502" s="0" t="s">
        <v>7545</v>
      </c>
      <c r="C4502" s="0" t="s">
        <v>1455</v>
      </c>
      <c r="D4502" s="0" t="s">
        <v>3671</v>
      </c>
    </row>
    <row r="4503" customFormat="false" ht="15" hidden="false" customHeight="false" outlineLevel="0" collapsed="false">
      <c r="A4503" s="0" t="n">
        <v>7720</v>
      </c>
      <c r="B4503" s="0" t="s">
        <v>7546</v>
      </c>
      <c r="C4503" s="0" t="s">
        <v>1455</v>
      </c>
      <c r="D4503" s="0" t="s">
        <v>3671</v>
      </c>
    </row>
    <row r="4504" customFormat="false" ht="15" hidden="false" customHeight="false" outlineLevel="0" collapsed="false">
      <c r="A4504" s="0" t="n">
        <v>40335</v>
      </c>
      <c r="B4504" s="0" t="s">
        <v>7547</v>
      </c>
      <c r="C4504" s="0" t="s">
        <v>1455</v>
      </c>
      <c r="D4504" s="0" t="s">
        <v>3671</v>
      </c>
    </row>
    <row r="4505" customFormat="false" ht="15" hidden="false" customHeight="false" outlineLevel="0" collapsed="false">
      <c r="A4505" s="0" t="n">
        <v>7740</v>
      </c>
      <c r="B4505" s="0" t="s">
        <v>7548</v>
      </c>
      <c r="C4505" s="0" t="s">
        <v>1455</v>
      </c>
      <c r="D4505" s="0" t="s">
        <v>3671</v>
      </c>
    </row>
    <row r="4506" customFormat="false" ht="15" hidden="false" customHeight="false" outlineLevel="0" collapsed="false">
      <c r="A4506" s="0" t="n">
        <v>7741</v>
      </c>
      <c r="B4506" s="0" t="s">
        <v>7549</v>
      </c>
      <c r="C4506" s="0" t="s">
        <v>1455</v>
      </c>
      <c r="D4506" s="0" t="s">
        <v>3671</v>
      </c>
    </row>
    <row r="4507" customFormat="false" ht="15" hidden="false" customHeight="false" outlineLevel="0" collapsed="false">
      <c r="A4507" s="0" t="n">
        <v>7774</v>
      </c>
      <c r="B4507" s="0" t="s">
        <v>7550</v>
      </c>
      <c r="C4507" s="0" t="s">
        <v>1455</v>
      </c>
      <c r="D4507" s="0" t="s">
        <v>3671</v>
      </c>
    </row>
    <row r="4508" customFormat="false" ht="15" hidden="false" customHeight="false" outlineLevel="0" collapsed="false">
      <c r="A4508" s="0" t="n">
        <v>7744</v>
      </c>
      <c r="B4508" s="0" t="s">
        <v>7551</v>
      </c>
      <c r="C4508" s="0" t="s">
        <v>1455</v>
      </c>
      <c r="D4508" s="0" t="s">
        <v>3671</v>
      </c>
    </row>
    <row r="4509" customFormat="false" ht="15" hidden="false" customHeight="false" outlineLevel="0" collapsed="false">
      <c r="A4509" s="0" t="n">
        <v>7773</v>
      </c>
      <c r="B4509" s="0" t="s">
        <v>7552</v>
      </c>
      <c r="C4509" s="0" t="s">
        <v>1455</v>
      </c>
      <c r="D4509" s="0" t="s">
        <v>3671</v>
      </c>
    </row>
    <row r="4510" customFormat="false" ht="15" hidden="false" customHeight="false" outlineLevel="0" collapsed="false">
      <c r="A4510" s="0" t="n">
        <v>7754</v>
      </c>
      <c r="B4510" s="0" t="s">
        <v>7553</v>
      </c>
      <c r="C4510" s="0" t="s">
        <v>1455</v>
      </c>
      <c r="D4510" s="0" t="s">
        <v>3671</v>
      </c>
    </row>
    <row r="4511" customFormat="false" ht="15" hidden="false" customHeight="false" outlineLevel="0" collapsed="false">
      <c r="A4511" s="0" t="n">
        <v>7735</v>
      </c>
      <c r="B4511" s="0" t="s">
        <v>7554</v>
      </c>
      <c r="C4511" s="0" t="s">
        <v>1455</v>
      </c>
      <c r="D4511" s="0" t="s">
        <v>3671</v>
      </c>
    </row>
    <row r="4512" customFormat="false" ht="15" hidden="false" customHeight="false" outlineLevel="0" collapsed="false">
      <c r="A4512" s="0" t="n">
        <v>7755</v>
      </c>
      <c r="B4512" s="0" t="s">
        <v>7555</v>
      </c>
      <c r="C4512" s="0" t="s">
        <v>1455</v>
      </c>
      <c r="D4512" s="0" t="s">
        <v>3671</v>
      </c>
    </row>
    <row r="4513" customFormat="false" ht="15" hidden="false" customHeight="false" outlineLevel="0" collapsed="false">
      <c r="A4513" s="0" t="n">
        <v>7776</v>
      </c>
      <c r="B4513" s="0" t="s">
        <v>7556</v>
      </c>
      <c r="C4513" s="0" t="s">
        <v>1455</v>
      </c>
      <c r="D4513" s="0" t="s">
        <v>3671</v>
      </c>
    </row>
    <row r="4514" customFormat="false" ht="15" hidden="false" customHeight="false" outlineLevel="0" collapsed="false">
      <c r="A4514" s="0" t="n">
        <v>7743</v>
      </c>
      <c r="B4514" s="0" t="s">
        <v>7557</v>
      </c>
      <c r="C4514" s="0" t="s">
        <v>1455</v>
      </c>
      <c r="D4514" s="0" t="s">
        <v>3671</v>
      </c>
    </row>
    <row r="4515" customFormat="false" ht="15" hidden="false" customHeight="false" outlineLevel="0" collapsed="false">
      <c r="A4515" s="0" t="n">
        <v>7733</v>
      </c>
      <c r="B4515" s="0" t="s">
        <v>7558</v>
      </c>
      <c r="C4515" s="0" t="s">
        <v>1455</v>
      </c>
      <c r="D4515" s="0" t="s">
        <v>3671</v>
      </c>
    </row>
    <row r="4516" customFormat="false" ht="15" hidden="false" customHeight="false" outlineLevel="0" collapsed="false">
      <c r="A4516" s="0" t="n">
        <v>7775</v>
      </c>
      <c r="B4516" s="0" t="s">
        <v>7559</v>
      </c>
      <c r="C4516" s="0" t="s">
        <v>1455</v>
      </c>
      <c r="D4516" s="0" t="s">
        <v>3671</v>
      </c>
    </row>
    <row r="4517" customFormat="false" ht="15" hidden="false" customHeight="false" outlineLevel="0" collapsed="false">
      <c r="A4517" s="0" t="n">
        <v>7734</v>
      </c>
      <c r="B4517" s="0" t="s">
        <v>7560</v>
      </c>
      <c r="C4517" s="0" t="s">
        <v>1455</v>
      </c>
      <c r="D4517" s="0" t="s">
        <v>3671</v>
      </c>
    </row>
    <row r="4518" customFormat="false" ht="15" hidden="false" customHeight="false" outlineLevel="0" collapsed="false">
      <c r="A4518" s="0" t="n">
        <v>7714</v>
      </c>
      <c r="B4518" s="0" t="s">
        <v>7561</v>
      </c>
      <c r="C4518" s="0" t="s">
        <v>1455</v>
      </c>
      <c r="D4518" s="0" t="s">
        <v>3671</v>
      </c>
    </row>
    <row r="4519" customFormat="false" ht="15" hidden="false" customHeight="false" outlineLevel="0" collapsed="false">
      <c r="A4519" s="0" t="n">
        <v>37449</v>
      </c>
      <c r="B4519" s="0" t="s">
        <v>2217</v>
      </c>
      <c r="C4519" s="0" t="s">
        <v>1455</v>
      </c>
      <c r="D4519" s="0" t="s">
        <v>3671</v>
      </c>
    </row>
    <row r="4520" customFormat="false" ht="15" hidden="false" customHeight="false" outlineLevel="0" collapsed="false">
      <c r="A4520" s="0" t="n">
        <v>37450</v>
      </c>
      <c r="B4520" s="0" t="s">
        <v>7562</v>
      </c>
      <c r="C4520" s="0" t="s">
        <v>1455</v>
      </c>
      <c r="D4520" s="0" t="s">
        <v>3671</v>
      </c>
    </row>
    <row r="4521" customFormat="false" ht="15" hidden="false" customHeight="false" outlineLevel="0" collapsed="false">
      <c r="A4521" s="0" t="n">
        <v>37451</v>
      </c>
      <c r="B4521" s="0" t="s">
        <v>7563</v>
      </c>
      <c r="C4521" s="0" t="s">
        <v>1455</v>
      </c>
      <c r="D4521" s="0" t="s">
        <v>3671</v>
      </c>
    </row>
    <row r="4522" customFormat="false" ht="15" hidden="false" customHeight="false" outlineLevel="0" collapsed="false">
      <c r="A4522" s="0" t="n">
        <v>37452</v>
      </c>
      <c r="B4522" s="0" t="s">
        <v>7564</v>
      </c>
      <c r="C4522" s="0" t="s">
        <v>1455</v>
      </c>
      <c r="D4522" s="0" t="s">
        <v>3671</v>
      </c>
    </row>
    <row r="4523" customFormat="false" ht="15" hidden="false" customHeight="false" outlineLevel="0" collapsed="false">
      <c r="A4523" s="0" t="n">
        <v>37453</v>
      </c>
      <c r="B4523" s="0" t="s">
        <v>7565</v>
      </c>
      <c r="C4523" s="0" t="s">
        <v>1455</v>
      </c>
      <c r="D4523" s="0" t="s">
        <v>3671</v>
      </c>
    </row>
    <row r="4524" customFormat="false" ht="15" hidden="false" customHeight="false" outlineLevel="0" collapsed="false">
      <c r="A4524" s="0" t="n">
        <v>7778</v>
      </c>
      <c r="B4524" s="0" t="s">
        <v>7566</v>
      </c>
      <c r="C4524" s="0" t="s">
        <v>1455</v>
      </c>
      <c r="D4524" s="0" t="s">
        <v>3671</v>
      </c>
    </row>
    <row r="4525" customFormat="false" ht="15" hidden="false" customHeight="false" outlineLevel="0" collapsed="false">
      <c r="A4525" s="0" t="n">
        <v>7796</v>
      </c>
      <c r="B4525" s="0" t="s">
        <v>2220</v>
      </c>
      <c r="C4525" s="0" t="s">
        <v>1455</v>
      </c>
      <c r="D4525" s="0" t="s">
        <v>3676</v>
      </c>
    </row>
    <row r="4526" customFormat="false" ht="15" hidden="false" customHeight="false" outlineLevel="0" collapsed="false">
      <c r="A4526" s="0" t="n">
        <v>7781</v>
      </c>
      <c r="B4526" s="0" t="s">
        <v>7567</v>
      </c>
      <c r="C4526" s="0" t="s">
        <v>1455</v>
      </c>
      <c r="D4526" s="0" t="s">
        <v>3671</v>
      </c>
    </row>
    <row r="4527" customFormat="false" ht="15" hidden="false" customHeight="false" outlineLevel="0" collapsed="false">
      <c r="A4527" s="0" t="n">
        <v>7795</v>
      </c>
      <c r="B4527" s="0" t="s">
        <v>7568</v>
      </c>
      <c r="C4527" s="0" t="s">
        <v>1455</v>
      </c>
      <c r="D4527" s="0" t="s">
        <v>3671</v>
      </c>
    </row>
    <row r="4528" customFormat="false" ht="15" hidden="false" customHeight="false" outlineLevel="0" collapsed="false">
      <c r="A4528" s="0" t="n">
        <v>7791</v>
      </c>
      <c r="B4528" s="0" t="s">
        <v>7569</v>
      </c>
      <c r="C4528" s="0" t="s">
        <v>1455</v>
      </c>
      <c r="D4528" s="0" t="s">
        <v>3671</v>
      </c>
    </row>
    <row r="4529" customFormat="false" ht="15" hidden="false" customHeight="false" outlineLevel="0" collapsed="false">
      <c r="A4529" s="0" t="n">
        <v>7783</v>
      </c>
      <c r="B4529" s="0" t="s">
        <v>7570</v>
      </c>
      <c r="C4529" s="0" t="s">
        <v>1455</v>
      </c>
      <c r="D4529" s="0" t="s">
        <v>3671</v>
      </c>
    </row>
    <row r="4530" customFormat="false" ht="15" hidden="false" customHeight="false" outlineLevel="0" collapsed="false">
      <c r="A4530" s="0" t="n">
        <v>7790</v>
      </c>
      <c r="B4530" s="0" t="s">
        <v>7571</v>
      </c>
      <c r="C4530" s="0" t="s">
        <v>1455</v>
      </c>
      <c r="D4530" s="0" t="s">
        <v>3671</v>
      </c>
    </row>
    <row r="4531" customFormat="false" ht="15" hidden="false" customHeight="false" outlineLevel="0" collapsed="false">
      <c r="A4531" s="0" t="n">
        <v>7785</v>
      </c>
      <c r="B4531" s="0" t="s">
        <v>7572</v>
      </c>
      <c r="C4531" s="0" t="s">
        <v>1455</v>
      </c>
      <c r="D4531" s="0" t="s">
        <v>3671</v>
      </c>
    </row>
    <row r="4532" customFormat="false" ht="15" hidden="false" customHeight="false" outlineLevel="0" collapsed="false">
      <c r="A4532" s="0" t="n">
        <v>7792</v>
      </c>
      <c r="B4532" s="0" t="s">
        <v>7573</v>
      </c>
      <c r="C4532" s="0" t="s">
        <v>1455</v>
      </c>
      <c r="D4532" s="0" t="s">
        <v>3671</v>
      </c>
    </row>
    <row r="4533" customFormat="false" ht="15" hidden="false" customHeight="false" outlineLevel="0" collapsed="false">
      <c r="A4533" s="0" t="n">
        <v>7793</v>
      </c>
      <c r="B4533" s="0" t="s">
        <v>7574</v>
      </c>
      <c r="C4533" s="0" t="s">
        <v>1455</v>
      </c>
      <c r="D4533" s="0" t="s">
        <v>3671</v>
      </c>
    </row>
    <row r="4534" customFormat="false" ht="15" hidden="false" customHeight="false" outlineLevel="0" collapsed="false">
      <c r="A4534" s="0" t="n">
        <v>13159</v>
      </c>
      <c r="B4534" s="0" t="s">
        <v>7575</v>
      </c>
      <c r="C4534" s="0" t="s">
        <v>1455</v>
      </c>
      <c r="D4534" s="0" t="s">
        <v>3671</v>
      </c>
    </row>
    <row r="4535" customFormat="false" ht="15" hidden="false" customHeight="false" outlineLevel="0" collapsed="false">
      <c r="A4535" s="0" t="n">
        <v>13168</v>
      </c>
      <c r="B4535" s="0" t="s">
        <v>7576</v>
      </c>
      <c r="C4535" s="0" t="s">
        <v>1455</v>
      </c>
      <c r="D4535" s="0" t="s">
        <v>3671</v>
      </c>
    </row>
    <row r="4536" customFormat="false" ht="15" hidden="false" customHeight="false" outlineLevel="0" collapsed="false">
      <c r="A4536" s="0" t="n">
        <v>13173</v>
      </c>
      <c r="B4536" s="0" t="s">
        <v>7577</v>
      </c>
      <c r="C4536" s="0" t="s">
        <v>1455</v>
      </c>
      <c r="D4536" s="0" t="s">
        <v>3671</v>
      </c>
    </row>
    <row r="4537" customFormat="false" ht="15" hidden="false" customHeight="false" outlineLevel="0" collapsed="false">
      <c r="A4537" s="0" t="n">
        <v>12583</v>
      </c>
      <c r="B4537" s="0" t="s">
        <v>7578</v>
      </c>
      <c r="C4537" s="0" t="s">
        <v>1455</v>
      </c>
      <c r="D4537" s="0" t="s">
        <v>3671</v>
      </c>
    </row>
    <row r="4538" customFormat="false" ht="15" hidden="false" customHeight="false" outlineLevel="0" collapsed="false">
      <c r="A4538" s="0" t="n">
        <v>12584</v>
      </c>
      <c r="B4538" s="0" t="s">
        <v>7579</v>
      </c>
      <c r="C4538" s="0" t="s">
        <v>1455</v>
      </c>
      <c r="D4538" s="0" t="s">
        <v>3671</v>
      </c>
    </row>
    <row r="4539" customFormat="false" ht="15" hidden="false" customHeight="false" outlineLevel="0" collapsed="false">
      <c r="A4539" s="0" t="n">
        <v>12613</v>
      </c>
      <c r="B4539" s="0" t="s">
        <v>7580</v>
      </c>
      <c r="C4539" s="0" t="s">
        <v>31</v>
      </c>
      <c r="D4539" s="0" t="s">
        <v>3671</v>
      </c>
      <c r="E4539" s="0" t="n">
        <v>21.42</v>
      </c>
    </row>
    <row r="4540" customFormat="false" ht="15" hidden="false" customHeight="false" outlineLevel="0" collapsed="false">
      <c r="A4540" s="0" t="n">
        <v>1031</v>
      </c>
      <c r="B4540" s="0" t="s">
        <v>7581</v>
      </c>
      <c r="C4540" s="0" t="s">
        <v>31</v>
      </c>
      <c r="D4540" s="0" t="s">
        <v>3671</v>
      </c>
      <c r="E4540" s="0" t="n">
        <v>15.12</v>
      </c>
    </row>
    <row r="4541" customFormat="false" ht="15" hidden="false" customHeight="false" outlineLevel="0" collapsed="false">
      <c r="A4541" s="0" t="n">
        <v>39707</v>
      </c>
      <c r="B4541" s="0" t="s">
        <v>7582</v>
      </c>
      <c r="C4541" s="0" t="s">
        <v>1455</v>
      </c>
      <c r="D4541" s="0" t="s">
        <v>3671</v>
      </c>
    </row>
    <row r="4542" customFormat="false" ht="15" hidden="false" customHeight="false" outlineLevel="0" collapsed="false">
      <c r="A4542" s="0" t="n">
        <v>39708</v>
      </c>
      <c r="B4542" s="0" t="s">
        <v>7583</v>
      </c>
      <c r="C4542" s="0" t="s">
        <v>1455</v>
      </c>
      <c r="D4542" s="0" t="s">
        <v>3671</v>
      </c>
    </row>
    <row r="4543" customFormat="false" ht="15" hidden="false" customHeight="false" outlineLevel="0" collapsed="false">
      <c r="A4543" s="0" t="n">
        <v>39710</v>
      </c>
      <c r="B4543" s="0" t="s">
        <v>7584</v>
      </c>
      <c r="C4543" s="0" t="s">
        <v>1455</v>
      </c>
      <c r="D4543" s="0" t="s">
        <v>3671</v>
      </c>
    </row>
    <row r="4544" customFormat="false" ht="15" hidden="false" customHeight="false" outlineLevel="0" collapsed="false">
      <c r="A4544" s="0" t="n">
        <v>39709</v>
      </c>
      <c r="B4544" s="0" t="s">
        <v>7585</v>
      </c>
      <c r="C4544" s="0" t="s">
        <v>1455</v>
      </c>
      <c r="D4544" s="0" t="s">
        <v>3671</v>
      </c>
    </row>
    <row r="4545" customFormat="false" ht="15" hidden="false" customHeight="false" outlineLevel="0" collapsed="false">
      <c r="A4545" s="0" t="n">
        <v>39711</v>
      </c>
      <c r="B4545" s="0" t="s">
        <v>7586</v>
      </c>
      <c r="C4545" s="0" t="s">
        <v>1455</v>
      </c>
      <c r="D4545" s="0" t="s">
        <v>3671</v>
      </c>
    </row>
    <row r="4546" customFormat="false" ht="15" hidden="false" customHeight="false" outlineLevel="0" collapsed="false">
      <c r="A4546" s="0" t="n">
        <v>39714</v>
      </c>
      <c r="B4546" s="0" t="s">
        <v>7587</v>
      </c>
      <c r="C4546" s="0" t="s">
        <v>1455</v>
      </c>
      <c r="D4546" s="0" t="s">
        <v>3671</v>
      </c>
    </row>
    <row r="4547" customFormat="false" ht="15" hidden="false" customHeight="false" outlineLevel="0" collapsed="false">
      <c r="A4547" s="0" t="n">
        <v>39712</v>
      </c>
      <c r="B4547" s="0" t="s">
        <v>7588</v>
      </c>
      <c r="C4547" s="0" t="s">
        <v>1455</v>
      </c>
      <c r="D4547" s="0" t="s">
        <v>3676</v>
      </c>
    </row>
    <row r="4548" customFormat="false" ht="15" hidden="false" customHeight="false" outlineLevel="0" collapsed="false">
      <c r="A4548" s="0" t="n">
        <v>39713</v>
      </c>
      <c r="B4548" s="0" t="s">
        <v>7589</v>
      </c>
      <c r="C4548" s="0" t="s">
        <v>1455</v>
      </c>
      <c r="D4548" s="0" t="s">
        <v>3671</v>
      </c>
    </row>
    <row r="4549" customFormat="false" ht="15" hidden="false" customHeight="false" outlineLevel="0" collapsed="false">
      <c r="A4549" s="0" t="n">
        <v>39715</v>
      </c>
      <c r="B4549" s="0" t="s">
        <v>7590</v>
      </c>
      <c r="C4549" s="0" t="s">
        <v>1455</v>
      </c>
      <c r="D4549" s="0" t="s">
        <v>3671</v>
      </c>
    </row>
    <row r="4550" customFormat="false" ht="15" hidden="false" customHeight="false" outlineLevel="0" collapsed="false">
      <c r="A4550" s="0" t="n">
        <v>39716</v>
      </c>
      <c r="B4550" s="0" t="s">
        <v>7591</v>
      </c>
      <c r="C4550" s="0" t="s">
        <v>1455</v>
      </c>
      <c r="D4550" s="0" t="s">
        <v>3671</v>
      </c>
    </row>
    <row r="4551" customFormat="false" ht="15" hidden="false" customHeight="false" outlineLevel="0" collapsed="false">
      <c r="A4551" s="0" t="n">
        <v>39718</v>
      </c>
      <c r="B4551" s="0" t="s">
        <v>7592</v>
      </c>
      <c r="C4551" s="0" t="s">
        <v>1455</v>
      </c>
      <c r="D4551" s="0" t="s">
        <v>3671</v>
      </c>
    </row>
    <row r="4552" customFormat="false" ht="15" hidden="false" customHeight="false" outlineLevel="0" collapsed="false">
      <c r="A4552" s="0" t="n">
        <v>9813</v>
      </c>
      <c r="B4552" s="0" t="s">
        <v>7593</v>
      </c>
      <c r="C4552" s="0" t="s">
        <v>1455</v>
      </c>
      <c r="D4552" s="0" t="s">
        <v>3676</v>
      </c>
    </row>
    <row r="4553" customFormat="false" ht="15" hidden="false" customHeight="false" outlineLevel="0" collapsed="false">
      <c r="A4553" s="0" t="n">
        <v>9815</v>
      </c>
      <c r="B4553" s="0" t="s">
        <v>7594</v>
      </c>
      <c r="C4553" s="0" t="s">
        <v>1455</v>
      </c>
      <c r="D4553" s="0" t="s">
        <v>3671</v>
      </c>
    </row>
    <row r="4554" customFormat="false" ht="15" hidden="false" customHeight="false" outlineLevel="0" collapsed="false">
      <c r="A4554" s="0" t="n">
        <v>44543</v>
      </c>
      <c r="B4554" s="0" t="s">
        <v>7595</v>
      </c>
      <c r="C4554" s="0" t="s">
        <v>1455</v>
      </c>
      <c r="D4554" s="0" t="s">
        <v>3671</v>
      </c>
    </row>
    <row r="4555" customFormat="false" ht="15" hidden="false" customHeight="false" outlineLevel="0" collapsed="false">
      <c r="A4555" s="0" t="n">
        <v>44526</v>
      </c>
      <c r="B4555" s="0" t="s">
        <v>7596</v>
      </c>
      <c r="C4555" s="0" t="s">
        <v>1455</v>
      </c>
      <c r="D4555" s="0" t="s">
        <v>3671</v>
      </c>
    </row>
    <row r="4556" customFormat="false" ht="15" hidden="false" customHeight="false" outlineLevel="0" collapsed="false">
      <c r="A4556" s="0" t="n">
        <v>44545</v>
      </c>
      <c r="B4556" s="0" t="s">
        <v>7597</v>
      </c>
      <c r="C4556" s="0" t="s">
        <v>1455</v>
      </c>
      <c r="D4556" s="0" t="s">
        <v>3671</v>
      </c>
    </row>
    <row r="4557" customFormat="false" ht="15" hidden="false" customHeight="false" outlineLevel="0" collapsed="false">
      <c r="A4557" s="0" t="n">
        <v>44525</v>
      </c>
      <c r="B4557" s="0" t="s">
        <v>7598</v>
      </c>
      <c r="C4557" s="0" t="s">
        <v>1455</v>
      </c>
      <c r="D4557" s="0" t="s">
        <v>3671</v>
      </c>
    </row>
    <row r="4558" customFormat="false" ht="15" hidden="false" customHeight="false" outlineLevel="0" collapsed="false">
      <c r="A4558" s="0" t="n">
        <v>44547</v>
      </c>
      <c r="B4558" s="0" t="s">
        <v>7599</v>
      </c>
      <c r="C4558" s="0" t="s">
        <v>1455</v>
      </c>
      <c r="D4558" s="0" t="s">
        <v>3671</v>
      </c>
    </row>
    <row r="4559" customFormat="false" ht="15" hidden="false" customHeight="false" outlineLevel="0" collapsed="false">
      <c r="A4559" s="0" t="n">
        <v>44519</v>
      </c>
      <c r="B4559" s="0" t="s">
        <v>7600</v>
      </c>
      <c r="C4559" s="0" t="s">
        <v>1455</v>
      </c>
      <c r="D4559" s="0" t="s">
        <v>3671</v>
      </c>
    </row>
    <row r="4560" customFormat="false" ht="15" hidden="false" customHeight="false" outlineLevel="0" collapsed="false">
      <c r="A4560" s="0" t="n">
        <v>44520</v>
      </c>
      <c r="B4560" s="0" t="s">
        <v>7601</v>
      </c>
      <c r="C4560" s="0" t="s">
        <v>1455</v>
      </c>
      <c r="D4560" s="0" t="s">
        <v>3671</v>
      </c>
    </row>
    <row r="4561" customFormat="false" ht="15" hidden="false" customHeight="false" outlineLevel="0" collapsed="false">
      <c r="A4561" s="0" t="n">
        <v>44521</v>
      </c>
      <c r="B4561" s="0" t="s">
        <v>7602</v>
      </c>
      <c r="C4561" s="0" t="s">
        <v>1455</v>
      </c>
      <c r="D4561" s="0" t="s">
        <v>3671</v>
      </c>
    </row>
    <row r="4562" customFormat="false" ht="15" hidden="false" customHeight="false" outlineLevel="0" collapsed="false">
      <c r="A4562" s="0" t="n">
        <v>44522</v>
      </c>
      <c r="B4562" s="0" t="s">
        <v>7603</v>
      </c>
      <c r="C4562" s="0" t="s">
        <v>1455</v>
      </c>
      <c r="D4562" s="0" t="s">
        <v>3671</v>
      </c>
    </row>
    <row r="4563" customFormat="false" ht="15" hidden="false" customHeight="false" outlineLevel="0" collapsed="false">
      <c r="A4563" s="0" t="n">
        <v>44523</v>
      </c>
      <c r="B4563" s="0" t="s">
        <v>7604</v>
      </c>
      <c r="C4563" s="0" t="s">
        <v>1455</v>
      </c>
      <c r="D4563" s="0" t="s">
        <v>3671</v>
      </c>
    </row>
    <row r="4564" customFormat="false" ht="15" hidden="false" customHeight="false" outlineLevel="0" collapsed="false">
      <c r="A4564" s="0" t="n">
        <v>44527</v>
      </c>
      <c r="B4564" s="0" t="s">
        <v>7605</v>
      </c>
      <c r="C4564" s="0" t="s">
        <v>1455</v>
      </c>
      <c r="D4564" s="0" t="s">
        <v>3671</v>
      </c>
    </row>
    <row r="4565" customFormat="false" ht="15" hidden="false" customHeight="false" outlineLevel="0" collapsed="false">
      <c r="A4565" s="0" t="n">
        <v>44524</v>
      </c>
      <c r="B4565" s="0" t="s">
        <v>7606</v>
      </c>
      <c r="C4565" s="0" t="s">
        <v>1455</v>
      </c>
      <c r="D4565" s="0" t="s">
        <v>3671</v>
      </c>
    </row>
    <row r="4566" customFormat="false" ht="15" hidden="false" customHeight="false" outlineLevel="0" collapsed="false">
      <c r="A4566" s="0" t="n">
        <v>44542</v>
      </c>
      <c r="B4566" s="0" t="s">
        <v>7607</v>
      </c>
      <c r="C4566" s="0" t="s">
        <v>1455</v>
      </c>
      <c r="D4566" s="0" t="s">
        <v>3671</v>
      </c>
    </row>
    <row r="4567" customFormat="false" ht="15" hidden="false" customHeight="false" outlineLevel="0" collapsed="false">
      <c r="A4567" s="0" t="n">
        <v>9877</v>
      </c>
      <c r="B4567" s="0" t="s">
        <v>7608</v>
      </c>
      <c r="C4567" s="0" t="s">
        <v>1455</v>
      </c>
      <c r="D4567" s="0" t="s">
        <v>3671</v>
      </c>
      <c r="E4567" s="0" t="n">
        <v>131.43</v>
      </c>
    </row>
    <row r="4568" customFormat="false" ht="15" hidden="false" customHeight="false" outlineLevel="0" collapsed="false">
      <c r="A4568" s="0" t="n">
        <v>9878</v>
      </c>
      <c r="B4568" s="0" t="s">
        <v>7609</v>
      </c>
      <c r="C4568" s="0" t="s">
        <v>1455</v>
      </c>
      <c r="D4568" s="0" t="s">
        <v>3671</v>
      </c>
      <c r="E4568" s="0" t="n">
        <v>161.8</v>
      </c>
    </row>
    <row r="4569" customFormat="false" ht="15" hidden="false" customHeight="false" outlineLevel="0" collapsed="false">
      <c r="A4569" s="0" t="n">
        <v>41986</v>
      </c>
      <c r="B4569" s="0" t="s">
        <v>7610</v>
      </c>
      <c r="C4569" s="0" t="s">
        <v>1455</v>
      </c>
      <c r="D4569" s="0" t="s">
        <v>3671</v>
      </c>
    </row>
    <row r="4570" customFormat="false" ht="15" hidden="false" customHeight="false" outlineLevel="0" collapsed="false">
      <c r="A4570" s="0" t="n">
        <v>43422</v>
      </c>
      <c r="B4570" s="0" t="s">
        <v>7611</v>
      </c>
      <c r="C4570" s="0" t="s">
        <v>1455</v>
      </c>
      <c r="D4570" s="0" t="s">
        <v>3671</v>
      </c>
    </row>
    <row r="4571" customFormat="false" ht="15" hidden="false" customHeight="false" outlineLevel="0" collapsed="false">
      <c r="A4571" s="0" t="n">
        <v>41987</v>
      </c>
      <c r="B4571" s="0" t="s">
        <v>7612</v>
      </c>
      <c r="C4571" s="0" t="s">
        <v>1455</v>
      </c>
      <c r="D4571" s="0" t="s">
        <v>3671</v>
      </c>
    </row>
    <row r="4572" customFormat="false" ht="15" hidden="false" customHeight="false" outlineLevel="0" collapsed="false">
      <c r="A4572" s="0" t="n">
        <v>41988</v>
      </c>
      <c r="B4572" s="0" t="s">
        <v>7613</v>
      </c>
      <c r="C4572" s="0" t="s">
        <v>1455</v>
      </c>
      <c r="D4572" s="0" t="s">
        <v>3671</v>
      </c>
    </row>
    <row r="4573" customFormat="false" ht="15" hidden="false" customHeight="false" outlineLevel="0" collapsed="false">
      <c r="A4573" s="0" t="n">
        <v>41697</v>
      </c>
      <c r="B4573" s="0" t="s">
        <v>7614</v>
      </c>
      <c r="C4573" s="0" t="s">
        <v>1455</v>
      </c>
      <c r="D4573" s="0" t="s">
        <v>3671</v>
      </c>
    </row>
    <row r="4574" customFormat="false" ht="15" hidden="false" customHeight="false" outlineLevel="0" collapsed="false">
      <c r="A4574" s="0" t="n">
        <v>41985</v>
      </c>
      <c r="B4574" s="0" t="s">
        <v>7615</v>
      </c>
      <c r="C4574" s="0" t="s">
        <v>1455</v>
      </c>
      <c r="D4574" s="0" t="s">
        <v>3671</v>
      </c>
    </row>
    <row r="4575" customFormat="false" ht="15" hidden="false" customHeight="false" outlineLevel="0" collapsed="false">
      <c r="A4575" s="0" t="n">
        <v>41699</v>
      </c>
      <c r="B4575" s="0" t="s">
        <v>7616</v>
      </c>
      <c r="C4575" s="0" t="s">
        <v>1455</v>
      </c>
      <c r="D4575" s="0" t="s">
        <v>3671</v>
      </c>
    </row>
    <row r="4576" customFormat="false" ht="15" hidden="false" customHeight="false" outlineLevel="0" collapsed="false">
      <c r="A4576" s="0" t="n">
        <v>38053</v>
      </c>
      <c r="B4576" s="0" t="s">
        <v>7617</v>
      </c>
      <c r="C4576" s="0" t="s">
        <v>1455</v>
      </c>
      <c r="D4576" s="0" t="s">
        <v>3671</v>
      </c>
    </row>
    <row r="4577" customFormat="false" ht="15" hidden="false" customHeight="false" outlineLevel="0" collapsed="false">
      <c r="A4577" s="0" t="n">
        <v>38054</v>
      </c>
      <c r="B4577" s="0" t="s">
        <v>7618</v>
      </c>
      <c r="C4577" s="0" t="s">
        <v>1455</v>
      </c>
      <c r="D4577" s="0" t="s">
        <v>3671</v>
      </c>
    </row>
    <row r="4578" customFormat="false" ht="15" hidden="false" customHeight="false" outlineLevel="0" collapsed="false">
      <c r="A4578" s="0" t="n">
        <v>38052</v>
      </c>
      <c r="B4578" s="0" t="s">
        <v>7619</v>
      </c>
      <c r="C4578" s="0" t="s">
        <v>1455</v>
      </c>
      <c r="D4578" s="0" t="s">
        <v>3676</v>
      </c>
    </row>
    <row r="4579" customFormat="false" ht="15" hidden="false" customHeight="false" outlineLevel="0" collapsed="false">
      <c r="A4579" s="0" t="n">
        <v>38051</v>
      </c>
      <c r="B4579" s="0" t="s">
        <v>7620</v>
      </c>
      <c r="C4579" s="0" t="s">
        <v>1455</v>
      </c>
      <c r="D4579" s="0" t="s">
        <v>3671</v>
      </c>
    </row>
    <row r="4580" customFormat="false" ht="15" hidden="false" customHeight="false" outlineLevel="0" collapsed="false">
      <c r="A4580" s="0" t="n">
        <v>38787</v>
      </c>
      <c r="B4580" s="0" t="s">
        <v>7621</v>
      </c>
      <c r="C4580" s="0" t="s">
        <v>1455</v>
      </c>
      <c r="D4580" s="0" t="s">
        <v>3676</v>
      </c>
    </row>
    <row r="4581" customFormat="false" ht="15" hidden="false" customHeight="false" outlineLevel="0" collapsed="false">
      <c r="A4581" s="0" t="n">
        <v>38825</v>
      </c>
      <c r="B4581" s="0" t="s">
        <v>7622</v>
      </c>
      <c r="C4581" s="0" t="s">
        <v>1455</v>
      </c>
      <c r="D4581" s="0" t="s">
        <v>3671</v>
      </c>
    </row>
    <row r="4582" customFormat="false" ht="15" hidden="false" customHeight="false" outlineLevel="0" collapsed="false">
      <c r="A4582" s="0" t="n">
        <v>38826</v>
      </c>
      <c r="B4582" s="0" t="s">
        <v>7623</v>
      </c>
      <c r="C4582" s="0" t="s">
        <v>1455</v>
      </c>
      <c r="D4582" s="0" t="s">
        <v>3671</v>
      </c>
    </row>
    <row r="4583" customFormat="false" ht="15" hidden="false" customHeight="false" outlineLevel="0" collapsed="false">
      <c r="A4583" s="0" t="n">
        <v>38827</v>
      </c>
      <c r="B4583" s="0" t="s">
        <v>7624</v>
      </c>
      <c r="C4583" s="0" t="s">
        <v>1455</v>
      </c>
      <c r="D4583" s="0" t="s">
        <v>3671</v>
      </c>
    </row>
    <row r="4584" customFormat="false" ht="15" hidden="false" customHeight="false" outlineLevel="0" collapsed="false">
      <c r="A4584" s="0" t="n">
        <v>38828</v>
      </c>
      <c r="B4584" s="0" t="s">
        <v>7625</v>
      </c>
      <c r="C4584" s="0" t="s">
        <v>1455</v>
      </c>
      <c r="D4584" s="0" t="s">
        <v>3671</v>
      </c>
    </row>
    <row r="4585" customFormat="false" ht="15" hidden="false" customHeight="false" outlineLevel="0" collapsed="false">
      <c r="A4585" s="0" t="n">
        <v>38829</v>
      </c>
      <c r="B4585" s="0" t="s">
        <v>2755</v>
      </c>
      <c r="C4585" s="0" t="s">
        <v>1455</v>
      </c>
      <c r="D4585" s="0" t="s">
        <v>3671</v>
      </c>
    </row>
    <row r="4586" customFormat="false" ht="15" hidden="false" customHeight="false" outlineLevel="0" collapsed="false">
      <c r="A4586" s="0" t="n">
        <v>38830</v>
      </c>
      <c r="B4586" s="0" t="s">
        <v>7626</v>
      </c>
      <c r="C4586" s="0" t="s">
        <v>1455</v>
      </c>
      <c r="D4586" s="0" t="s">
        <v>3671</v>
      </c>
    </row>
    <row r="4587" customFormat="false" ht="15" hidden="false" customHeight="false" outlineLevel="0" collapsed="false">
      <c r="A4587" s="0" t="n">
        <v>38831</v>
      </c>
      <c r="B4587" s="0" t="s">
        <v>7627</v>
      </c>
      <c r="C4587" s="0" t="s">
        <v>1455</v>
      </c>
      <c r="D4587" s="0" t="s">
        <v>3671</v>
      </c>
    </row>
    <row r="4588" customFormat="false" ht="15" hidden="false" customHeight="false" outlineLevel="0" collapsed="false">
      <c r="A4588" s="0" t="n">
        <v>36274</v>
      </c>
      <c r="B4588" s="0" t="s">
        <v>7628</v>
      </c>
      <c r="C4588" s="0" t="s">
        <v>1455</v>
      </c>
      <c r="D4588" s="0" t="s">
        <v>3676</v>
      </c>
    </row>
    <row r="4589" customFormat="false" ht="15" hidden="false" customHeight="false" outlineLevel="0" collapsed="false">
      <c r="A4589" s="0" t="n">
        <v>36278</v>
      </c>
      <c r="B4589" s="0" t="s">
        <v>7629</v>
      </c>
      <c r="C4589" s="0" t="s">
        <v>1455</v>
      </c>
      <c r="D4589" s="0" t="s">
        <v>3671</v>
      </c>
    </row>
    <row r="4590" customFormat="false" ht="15" hidden="false" customHeight="false" outlineLevel="0" collapsed="false">
      <c r="A4590" s="0" t="n">
        <v>38977</v>
      </c>
      <c r="B4590" s="0" t="s">
        <v>7630</v>
      </c>
      <c r="C4590" s="0" t="s">
        <v>1455</v>
      </c>
      <c r="D4590" s="0" t="s">
        <v>3671</v>
      </c>
    </row>
    <row r="4591" customFormat="false" ht="15" hidden="false" customHeight="false" outlineLevel="0" collapsed="false">
      <c r="A4591" s="0" t="n">
        <v>38971</v>
      </c>
      <c r="B4591" s="0" t="s">
        <v>7631</v>
      </c>
      <c r="C4591" s="0" t="s">
        <v>1455</v>
      </c>
      <c r="D4591" s="0" t="s">
        <v>3671</v>
      </c>
    </row>
    <row r="4592" customFormat="false" ht="15" hidden="false" customHeight="false" outlineLevel="0" collapsed="false">
      <c r="A4592" s="0" t="n">
        <v>38972</v>
      </c>
      <c r="B4592" s="0" t="s">
        <v>7632</v>
      </c>
      <c r="C4592" s="0" t="s">
        <v>1455</v>
      </c>
      <c r="D4592" s="0" t="s">
        <v>3671</v>
      </c>
    </row>
    <row r="4593" customFormat="false" ht="15" hidden="false" customHeight="false" outlineLevel="0" collapsed="false">
      <c r="A4593" s="0" t="n">
        <v>38973</v>
      </c>
      <c r="B4593" s="0" t="s">
        <v>7633</v>
      </c>
      <c r="C4593" s="0" t="s">
        <v>1455</v>
      </c>
      <c r="D4593" s="0" t="s">
        <v>3671</v>
      </c>
    </row>
    <row r="4594" customFormat="false" ht="15" hidden="false" customHeight="false" outlineLevel="0" collapsed="false">
      <c r="A4594" s="0" t="n">
        <v>38974</v>
      </c>
      <c r="B4594" s="0" t="s">
        <v>7634</v>
      </c>
      <c r="C4594" s="0" t="s">
        <v>1455</v>
      </c>
      <c r="D4594" s="0" t="s">
        <v>3671</v>
      </c>
    </row>
    <row r="4595" customFormat="false" ht="15" hidden="false" customHeight="false" outlineLevel="0" collapsed="false">
      <c r="A4595" s="0" t="n">
        <v>38975</v>
      </c>
      <c r="B4595" s="0" t="s">
        <v>7635</v>
      </c>
      <c r="C4595" s="0" t="s">
        <v>1455</v>
      </c>
      <c r="D4595" s="0" t="s">
        <v>3671</v>
      </c>
    </row>
    <row r="4596" customFormat="false" ht="15" hidden="false" customHeight="false" outlineLevel="0" collapsed="false">
      <c r="A4596" s="0" t="n">
        <v>38976</v>
      </c>
      <c r="B4596" s="0" t="s">
        <v>7636</v>
      </c>
      <c r="C4596" s="0" t="s">
        <v>1455</v>
      </c>
      <c r="D4596" s="0" t="s">
        <v>3671</v>
      </c>
    </row>
    <row r="4597" customFormat="false" ht="15" hidden="false" customHeight="false" outlineLevel="0" collapsed="false">
      <c r="A4597" s="0" t="n">
        <v>44176</v>
      </c>
      <c r="B4597" s="0" t="s">
        <v>7637</v>
      </c>
      <c r="C4597" s="0" t="s">
        <v>1455</v>
      </c>
      <c r="D4597" s="0" t="s">
        <v>3671</v>
      </c>
    </row>
    <row r="4598" customFormat="false" ht="15" hidden="false" customHeight="false" outlineLevel="0" collapsed="false">
      <c r="A4598" s="0" t="n">
        <v>38986</v>
      </c>
      <c r="B4598" s="0" t="s">
        <v>7638</v>
      </c>
      <c r="C4598" s="0" t="s">
        <v>1455</v>
      </c>
      <c r="D4598" s="0" t="s">
        <v>3671</v>
      </c>
    </row>
    <row r="4599" customFormat="false" ht="15" hidden="false" customHeight="false" outlineLevel="0" collapsed="false">
      <c r="A4599" s="0" t="n">
        <v>38978</v>
      </c>
      <c r="B4599" s="0" t="s">
        <v>7639</v>
      </c>
      <c r="C4599" s="0" t="s">
        <v>1455</v>
      </c>
      <c r="D4599" s="0" t="s">
        <v>3671</v>
      </c>
    </row>
    <row r="4600" customFormat="false" ht="15" hidden="false" customHeight="false" outlineLevel="0" collapsed="false">
      <c r="A4600" s="0" t="n">
        <v>38979</v>
      </c>
      <c r="B4600" s="0" t="s">
        <v>7640</v>
      </c>
      <c r="C4600" s="0" t="s">
        <v>1455</v>
      </c>
      <c r="D4600" s="0" t="s">
        <v>3671</v>
      </c>
    </row>
    <row r="4601" customFormat="false" ht="15" hidden="false" customHeight="false" outlineLevel="0" collapsed="false">
      <c r="A4601" s="0" t="n">
        <v>38980</v>
      </c>
      <c r="B4601" s="0" t="s">
        <v>7641</v>
      </c>
      <c r="C4601" s="0" t="s">
        <v>1455</v>
      </c>
      <c r="D4601" s="0" t="s">
        <v>3671</v>
      </c>
    </row>
    <row r="4602" customFormat="false" ht="15" hidden="false" customHeight="false" outlineLevel="0" collapsed="false">
      <c r="A4602" s="0" t="n">
        <v>38981</v>
      </c>
      <c r="B4602" s="0" t="s">
        <v>7642</v>
      </c>
      <c r="C4602" s="0" t="s">
        <v>1455</v>
      </c>
      <c r="D4602" s="0" t="s">
        <v>3671</v>
      </c>
    </row>
    <row r="4603" customFormat="false" ht="15" hidden="false" customHeight="false" outlineLevel="0" collapsed="false">
      <c r="A4603" s="0" t="n">
        <v>38982</v>
      </c>
      <c r="B4603" s="0" t="s">
        <v>7643</v>
      </c>
      <c r="C4603" s="0" t="s">
        <v>1455</v>
      </c>
      <c r="D4603" s="0" t="s">
        <v>3671</v>
      </c>
    </row>
    <row r="4604" customFormat="false" ht="15" hidden="false" customHeight="false" outlineLevel="0" collapsed="false">
      <c r="A4604" s="0" t="n">
        <v>38983</v>
      </c>
      <c r="B4604" s="0" t="s">
        <v>7644</v>
      </c>
      <c r="C4604" s="0" t="s">
        <v>1455</v>
      </c>
      <c r="D4604" s="0" t="s">
        <v>3671</v>
      </c>
    </row>
    <row r="4605" customFormat="false" ht="15" hidden="false" customHeight="false" outlineLevel="0" collapsed="false">
      <c r="A4605" s="0" t="n">
        <v>38984</v>
      </c>
      <c r="B4605" s="0" t="s">
        <v>7645</v>
      </c>
      <c r="C4605" s="0" t="s">
        <v>1455</v>
      </c>
      <c r="D4605" s="0" t="s">
        <v>3671</v>
      </c>
    </row>
    <row r="4606" customFormat="false" ht="15" hidden="false" customHeight="false" outlineLevel="0" collapsed="false">
      <c r="A4606" s="0" t="n">
        <v>38985</v>
      </c>
      <c r="B4606" s="0" t="s">
        <v>7646</v>
      </c>
      <c r="C4606" s="0" t="s">
        <v>1455</v>
      </c>
      <c r="D4606" s="0" t="s">
        <v>3671</v>
      </c>
    </row>
    <row r="4607" customFormat="false" ht="15" hidden="false" customHeight="false" outlineLevel="0" collapsed="false">
      <c r="A4607" s="0" t="n">
        <v>38032</v>
      </c>
      <c r="B4607" s="0" t="s">
        <v>7647</v>
      </c>
      <c r="C4607" s="0" t="s">
        <v>1455</v>
      </c>
      <c r="D4607" s="0" t="s">
        <v>3671</v>
      </c>
      <c r="E4607" s="0" t="n">
        <v>62.59</v>
      </c>
    </row>
    <row r="4608" customFormat="false" ht="15" hidden="false" customHeight="false" outlineLevel="0" collapsed="false">
      <c r="A4608" s="0" t="n">
        <v>38033</v>
      </c>
      <c r="B4608" s="0" t="s">
        <v>7648</v>
      </c>
      <c r="C4608" s="0" t="s">
        <v>1455</v>
      </c>
      <c r="D4608" s="0" t="s">
        <v>3671</v>
      </c>
      <c r="E4608" s="0" t="n">
        <v>106.39</v>
      </c>
    </row>
    <row r="4609" customFormat="false" ht="15" hidden="false" customHeight="false" outlineLevel="0" collapsed="false">
      <c r="A4609" s="0" t="n">
        <v>38034</v>
      </c>
      <c r="B4609" s="0" t="s">
        <v>7649</v>
      </c>
      <c r="C4609" s="0" t="s">
        <v>1455</v>
      </c>
      <c r="D4609" s="0" t="s">
        <v>3671</v>
      </c>
      <c r="E4609" s="0" t="n">
        <v>166.67</v>
      </c>
    </row>
    <row r="4610" customFormat="false" ht="15" hidden="false" customHeight="false" outlineLevel="0" collapsed="false">
      <c r="A4610" s="0" t="n">
        <v>38035</v>
      </c>
      <c r="B4610" s="0" t="s">
        <v>7650</v>
      </c>
      <c r="C4610" s="0" t="s">
        <v>1455</v>
      </c>
      <c r="D4610" s="0" t="s">
        <v>3671</v>
      </c>
      <c r="E4610" s="0" t="n">
        <v>245.19</v>
      </c>
    </row>
    <row r="4611" customFormat="false" ht="15" hidden="false" customHeight="false" outlineLevel="0" collapsed="false">
      <c r="A4611" s="0" t="n">
        <v>38036</v>
      </c>
      <c r="B4611" s="0" t="s">
        <v>7651</v>
      </c>
      <c r="C4611" s="0" t="s">
        <v>1455</v>
      </c>
      <c r="D4611" s="0" t="s">
        <v>3671</v>
      </c>
      <c r="E4611" s="0" t="n">
        <v>330.3</v>
      </c>
    </row>
    <row r="4612" customFormat="false" ht="15" hidden="false" customHeight="false" outlineLevel="0" collapsed="false">
      <c r="A4612" s="0" t="n">
        <v>38037</v>
      </c>
      <c r="B4612" s="0" t="s">
        <v>7652</v>
      </c>
      <c r="C4612" s="0" t="s">
        <v>1455</v>
      </c>
      <c r="D4612" s="0" t="s">
        <v>3671</v>
      </c>
      <c r="E4612" s="0" t="n">
        <v>436.29</v>
      </c>
    </row>
    <row r="4613" customFormat="false" ht="15" hidden="false" customHeight="false" outlineLevel="0" collapsed="false">
      <c r="A4613" s="0" t="n">
        <v>9850</v>
      </c>
      <c r="B4613" s="0" t="s">
        <v>7653</v>
      </c>
      <c r="C4613" s="0" t="s">
        <v>1455</v>
      </c>
      <c r="D4613" s="0" t="s">
        <v>3676</v>
      </c>
    </row>
    <row r="4614" customFormat="false" ht="15" hidden="false" customHeight="false" outlineLevel="0" collapsed="false">
      <c r="A4614" s="0" t="n">
        <v>9853</v>
      </c>
      <c r="B4614" s="0" t="s">
        <v>7654</v>
      </c>
      <c r="C4614" s="0" t="s">
        <v>1455</v>
      </c>
      <c r="D4614" s="0" t="s">
        <v>3671</v>
      </c>
    </row>
    <row r="4615" customFormat="false" ht="15" hidden="false" customHeight="false" outlineLevel="0" collapsed="false">
      <c r="A4615" s="0" t="n">
        <v>9854</v>
      </c>
      <c r="B4615" s="0" t="s">
        <v>7655</v>
      </c>
      <c r="C4615" s="0" t="s">
        <v>1455</v>
      </c>
      <c r="D4615" s="0" t="s">
        <v>3671</v>
      </c>
    </row>
    <row r="4616" customFormat="false" ht="15" hidden="false" customHeight="false" outlineLevel="0" collapsed="false">
      <c r="A4616" s="0" t="n">
        <v>9851</v>
      </c>
      <c r="B4616" s="0" t="s">
        <v>7656</v>
      </c>
      <c r="C4616" s="0" t="s">
        <v>1455</v>
      </c>
      <c r="D4616" s="0" t="s">
        <v>3671</v>
      </c>
    </row>
    <row r="4617" customFormat="false" ht="15" hidden="false" customHeight="false" outlineLevel="0" collapsed="false">
      <c r="A4617" s="0" t="n">
        <v>9825</v>
      </c>
      <c r="B4617" s="0" t="s">
        <v>7657</v>
      </c>
      <c r="C4617" s="0" t="s">
        <v>1455</v>
      </c>
      <c r="D4617" s="0" t="s">
        <v>3671</v>
      </c>
    </row>
    <row r="4618" customFormat="false" ht="15" hidden="false" customHeight="false" outlineLevel="0" collapsed="false">
      <c r="A4618" s="0" t="n">
        <v>9828</v>
      </c>
      <c r="B4618" s="0" t="s">
        <v>7658</v>
      </c>
      <c r="C4618" s="0" t="s">
        <v>1455</v>
      </c>
      <c r="D4618" s="0" t="s">
        <v>3671</v>
      </c>
    </row>
    <row r="4619" customFormat="false" ht="15" hidden="false" customHeight="false" outlineLevel="0" collapsed="false">
      <c r="A4619" s="0" t="n">
        <v>9829</v>
      </c>
      <c r="B4619" s="0" t="s">
        <v>7659</v>
      </c>
      <c r="C4619" s="0" t="s">
        <v>1455</v>
      </c>
      <c r="D4619" s="0" t="s">
        <v>3671</v>
      </c>
    </row>
    <row r="4620" customFormat="false" ht="15" hidden="false" customHeight="false" outlineLevel="0" collapsed="false">
      <c r="A4620" s="0" t="n">
        <v>9826</v>
      </c>
      <c r="B4620" s="0" t="s">
        <v>7660</v>
      </c>
      <c r="C4620" s="0" t="s">
        <v>1455</v>
      </c>
      <c r="D4620" s="0" t="s">
        <v>3671</v>
      </c>
    </row>
    <row r="4621" customFormat="false" ht="15" hidden="false" customHeight="false" outlineLevel="0" collapsed="false">
      <c r="A4621" s="0" t="n">
        <v>9827</v>
      </c>
      <c r="B4621" s="0" t="s">
        <v>7661</v>
      </c>
      <c r="C4621" s="0" t="s">
        <v>1455</v>
      </c>
      <c r="D4621" s="0" t="s">
        <v>3671</v>
      </c>
    </row>
    <row r="4622" customFormat="false" ht="15" hidden="false" customHeight="false" outlineLevel="0" collapsed="false">
      <c r="A4622" s="0" t="n">
        <v>36374</v>
      </c>
      <c r="B4622" s="0" t="s">
        <v>7662</v>
      </c>
      <c r="C4622" s="0" t="s">
        <v>1455</v>
      </c>
      <c r="D4622" s="0" t="s">
        <v>3671</v>
      </c>
    </row>
    <row r="4623" customFormat="false" ht="15" hidden="false" customHeight="false" outlineLevel="0" collapsed="false">
      <c r="A4623" s="0" t="n">
        <v>36084</v>
      </c>
      <c r="B4623" s="0" t="s">
        <v>7663</v>
      </c>
      <c r="C4623" s="0" t="s">
        <v>1455</v>
      </c>
      <c r="D4623" s="0" t="s">
        <v>3676</v>
      </c>
    </row>
    <row r="4624" customFormat="false" ht="15" hidden="false" customHeight="false" outlineLevel="0" collapsed="false">
      <c r="A4624" s="0" t="n">
        <v>36373</v>
      </c>
      <c r="B4624" s="0" t="s">
        <v>7664</v>
      </c>
      <c r="C4624" s="0" t="s">
        <v>1455</v>
      </c>
      <c r="D4624" s="0" t="s">
        <v>3671</v>
      </c>
    </row>
    <row r="4625" customFormat="false" ht="15" hidden="false" customHeight="false" outlineLevel="0" collapsed="false">
      <c r="A4625" s="0" t="n">
        <v>36377</v>
      </c>
      <c r="B4625" s="0" t="s">
        <v>7665</v>
      </c>
      <c r="C4625" s="0" t="s">
        <v>1455</v>
      </c>
      <c r="D4625" s="0" t="s">
        <v>3671</v>
      </c>
    </row>
    <row r="4626" customFormat="false" ht="15" hidden="false" customHeight="false" outlineLevel="0" collapsed="false">
      <c r="A4626" s="0" t="n">
        <v>36375</v>
      </c>
      <c r="B4626" s="0" t="s">
        <v>7666</v>
      </c>
      <c r="C4626" s="0" t="s">
        <v>1455</v>
      </c>
      <c r="D4626" s="0" t="s">
        <v>3671</v>
      </c>
    </row>
    <row r="4627" customFormat="false" ht="15" hidden="false" customHeight="false" outlineLevel="0" collapsed="false">
      <c r="A4627" s="0" t="n">
        <v>36376</v>
      </c>
      <c r="B4627" s="0" t="s">
        <v>7667</v>
      </c>
      <c r="C4627" s="0" t="s">
        <v>1455</v>
      </c>
      <c r="D4627" s="0" t="s">
        <v>3671</v>
      </c>
    </row>
    <row r="4628" customFormat="false" ht="15" hidden="false" customHeight="false" outlineLevel="0" collapsed="false">
      <c r="A4628" s="0" t="n">
        <v>36380</v>
      </c>
      <c r="B4628" s="0" t="s">
        <v>7668</v>
      </c>
      <c r="C4628" s="0" t="s">
        <v>1455</v>
      </c>
      <c r="D4628" s="0" t="s">
        <v>3671</v>
      </c>
    </row>
    <row r="4629" customFormat="false" ht="15" hidden="false" customHeight="false" outlineLevel="0" collapsed="false">
      <c r="A4629" s="0" t="n">
        <v>36378</v>
      </c>
      <c r="B4629" s="0" t="s">
        <v>7669</v>
      </c>
      <c r="C4629" s="0" t="s">
        <v>1455</v>
      </c>
      <c r="D4629" s="0" t="s">
        <v>3671</v>
      </c>
    </row>
    <row r="4630" customFormat="false" ht="15" hidden="false" customHeight="false" outlineLevel="0" collapsed="false">
      <c r="A4630" s="0" t="n">
        <v>36379</v>
      </c>
      <c r="B4630" s="0" t="s">
        <v>7670</v>
      </c>
      <c r="C4630" s="0" t="s">
        <v>1455</v>
      </c>
      <c r="D4630" s="0" t="s">
        <v>3671</v>
      </c>
    </row>
    <row r="4631" customFormat="false" ht="15" hidden="false" customHeight="false" outlineLevel="0" collapsed="false">
      <c r="A4631" s="0" t="n">
        <v>9859</v>
      </c>
      <c r="B4631" s="0" t="s">
        <v>7671</v>
      </c>
      <c r="C4631" s="0" t="s">
        <v>1455</v>
      </c>
      <c r="D4631" s="0" t="s">
        <v>3671</v>
      </c>
      <c r="E4631" s="0" t="n">
        <v>10.21</v>
      </c>
    </row>
    <row r="4632" customFormat="false" ht="15" hidden="false" customHeight="false" outlineLevel="0" collapsed="false">
      <c r="A4632" s="0" t="n">
        <v>9836</v>
      </c>
      <c r="B4632" s="0" t="s">
        <v>2175</v>
      </c>
      <c r="C4632" s="0" t="s">
        <v>1455</v>
      </c>
      <c r="D4632" s="0" t="s">
        <v>3676</v>
      </c>
      <c r="E4632" s="0" t="n">
        <v>15.84</v>
      </c>
    </row>
    <row r="4633" customFormat="false" ht="15" hidden="false" customHeight="false" outlineLevel="0" collapsed="false">
      <c r="A4633" s="0" t="n">
        <v>20065</v>
      </c>
      <c r="B4633" s="0" t="s">
        <v>2177</v>
      </c>
      <c r="C4633" s="0" t="s">
        <v>1455</v>
      </c>
      <c r="D4633" s="0" t="s">
        <v>3671</v>
      </c>
      <c r="E4633" s="0" t="n">
        <v>41.4</v>
      </c>
    </row>
    <row r="4634" customFormat="false" ht="15" hidden="false" customHeight="false" outlineLevel="0" collapsed="false">
      <c r="A4634" s="0" t="n">
        <v>9835</v>
      </c>
      <c r="B4634" s="0" t="s">
        <v>2179</v>
      </c>
      <c r="C4634" s="0" t="s">
        <v>1455</v>
      </c>
      <c r="D4634" s="0" t="s">
        <v>3671</v>
      </c>
      <c r="E4634" s="0" t="n">
        <v>6.92</v>
      </c>
    </row>
    <row r="4635" customFormat="false" ht="15" hidden="false" customHeight="false" outlineLevel="0" collapsed="false">
      <c r="A4635" s="0" t="n">
        <v>9838</v>
      </c>
      <c r="B4635" s="0" t="s">
        <v>2181</v>
      </c>
      <c r="C4635" s="0" t="s">
        <v>1455</v>
      </c>
      <c r="D4635" s="0" t="s">
        <v>3671</v>
      </c>
      <c r="E4635" s="0" t="n">
        <v>11.43</v>
      </c>
    </row>
    <row r="4636" customFormat="false" ht="15" hidden="false" customHeight="false" outlineLevel="0" collapsed="false">
      <c r="A4636" s="0" t="n">
        <v>9837</v>
      </c>
      <c r="B4636" s="0" t="s">
        <v>2183</v>
      </c>
      <c r="C4636" s="0" t="s">
        <v>1455</v>
      </c>
      <c r="D4636" s="0" t="s">
        <v>3671</v>
      </c>
      <c r="E4636" s="0" t="n">
        <v>15</v>
      </c>
    </row>
    <row r="4637" customFormat="false" ht="15" hidden="false" customHeight="false" outlineLevel="0" collapsed="false">
      <c r="A4637" s="0" t="n">
        <v>44315</v>
      </c>
      <c r="B4637" s="0" t="s">
        <v>7672</v>
      </c>
      <c r="C4637" s="0" t="s">
        <v>1455</v>
      </c>
      <c r="D4637" s="0" t="s">
        <v>3671</v>
      </c>
      <c r="E4637" s="0" t="n">
        <v>62.02</v>
      </c>
    </row>
    <row r="4638" customFormat="false" ht="15" hidden="false" customHeight="false" outlineLevel="0" collapsed="false">
      <c r="A4638" s="0" t="n">
        <v>9862</v>
      </c>
      <c r="B4638" s="0" t="s">
        <v>7673</v>
      </c>
      <c r="C4638" s="0" t="s">
        <v>1455</v>
      </c>
      <c r="D4638" s="0" t="s">
        <v>3671</v>
      </c>
      <c r="E4638" s="0" t="n">
        <v>31.46</v>
      </c>
    </row>
    <row r="4639" customFormat="false" ht="15" hidden="false" customHeight="false" outlineLevel="0" collapsed="false">
      <c r="A4639" s="0" t="n">
        <v>9861</v>
      </c>
      <c r="B4639" s="0" t="s">
        <v>7674</v>
      </c>
      <c r="C4639" s="0" t="s">
        <v>1455</v>
      </c>
      <c r="D4639" s="0" t="s">
        <v>3671</v>
      </c>
      <c r="E4639" s="0" t="n">
        <v>24.71</v>
      </c>
    </row>
    <row r="4640" customFormat="false" ht="15" hidden="false" customHeight="false" outlineLevel="0" collapsed="false">
      <c r="A4640" s="0" t="n">
        <v>9866</v>
      </c>
      <c r="B4640" s="0" t="s">
        <v>7675</v>
      </c>
      <c r="C4640" s="0" t="s">
        <v>1455</v>
      </c>
      <c r="D4640" s="0" t="s">
        <v>3671</v>
      </c>
      <c r="E4640" s="0" t="n">
        <v>21.32</v>
      </c>
    </row>
    <row r="4641" customFormat="false" ht="15" hidden="false" customHeight="false" outlineLevel="0" collapsed="false">
      <c r="A4641" s="0" t="n">
        <v>9856</v>
      </c>
      <c r="B4641" s="0" t="s">
        <v>7676</v>
      </c>
      <c r="C4641" s="0" t="s">
        <v>1455</v>
      </c>
      <c r="D4641" s="0" t="s">
        <v>3671</v>
      </c>
      <c r="E4641" s="0" t="n">
        <v>7.97</v>
      </c>
    </row>
    <row r="4642" customFormat="false" ht="15" hidden="false" customHeight="false" outlineLevel="0" collapsed="false">
      <c r="A4642" s="0" t="n">
        <v>9863</v>
      </c>
      <c r="B4642" s="0" t="s">
        <v>7677</v>
      </c>
      <c r="C4642" s="0" t="s">
        <v>1455</v>
      </c>
      <c r="D4642" s="0" t="s">
        <v>3671</v>
      </c>
      <c r="E4642" s="0" t="n">
        <v>61.68</v>
      </c>
    </row>
    <row r="4643" customFormat="false" ht="15" hidden="false" customHeight="false" outlineLevel="0" collapsed="false">
      <c r="A4643" s="0" t="n">
        <v>9860</v>
      </c>
      <c r="B4643" s="0" t="s">
        <v>7678</v>
      </c>
      <c r="C4643" s="0" t="s">
        <v>1455</v>
      </c>
      <c r="D4643" s="0" t="s">
        <v>3671</v>
      </c>
      <c r="E4643" s="0" t="n">
        <v>45.02</v>
      </c>
    </row>
    <row r="4644" customFormat="false" ht="15" hidden="false" customHeight="false" outlineLevel="0" collapsed="false">
      <c r="A4644" s="0" t="n">
        <v>9841</v>
      </c>
      <c r="B4644" s="0" t="s">
        <v>2253</v>
      </c>
      <c r="C4644" s="0" t="s">
        <v>1455</v>
      </c>
      <c r="D4644" s="0" t="s">
        <v>3671</v>
      </c>
      <c r="E4644" s="0" t="n">
        <v>29.83</v>
      </c>
    </row>
    <row r="4645" customFormat="false" ht="15" hidden="false" customHeight="false" outlineLevel="0" collapsed="false">
      <c r="A4645" s="0" t="n">
        <v>9840</v>
      </c>
      <c r="B4645" s="0" t="s">
        <v>2255</v>
      </c>
      <c r="C4645" s="0" t="s">
        <v>1455</v>
      </c>
      <c r="D4645" s="0" t="s">
        <v>3671</v>
      </c>
      <c r="E4645" s="0" t="n">
        <v>63.01</v>
      </c>
    </row>
    <row r="4646" customFormat="false" ht="15" hidden="false" customHeight="false" outlineLevel="0" collapsed="false">
      <c r="A4646" s="0" t="n">
        <v>20067</v>
      </c>
      <c r="B4646" s="0" t="s">
        <v>7679</v>
      </c>
      <c r="C4646" s="0" t="s">
        <v>1455</v>
      </c>
      <c r="D4646" s="0" t="s">
        <v>3671</v>
      </c>
      <c r="E4646" s="0" t="n">
        <v>9.67</v>
      </c>
    </row>
    <row r="4647" customFormat="false" ht="15" hidden="false" customHeight="false" outlineLevel="0" collapsed="false">
      <c r="A4647" s="0" t="n">
        <v>20068</v>
      </c>
      <c r="B4647" s="0" t="s">
        <v>2825</v>
      </c>
      <c r="C4647" s="0" t="s">
        <v>1455</v>
      </c>
      <c r="D4647" s="0" t="s">
        <v>3671</v>
      </c>
      <c r="E4647" s="0" t="n">
        <v>13.62</v>
      </c>
    </row>
    <row r="4648" customFormat="false" ht="15" hidden="false" customHeight="false" outlineLevel="0" collapsed="false">
      <c r="A4648" s="0" t="n">
        <v>9839</v>
      </c>
      <c r="B4648" s="0" t="s">
        <v>2257</v>
      </c>
      <c r="C4648" s="0" t="s">
        <v>1455</v>
      </c>
      <c r="D4648" s="0" t="s">
        <v>3671</v>
      </c>
      <c r="E4648" s="0" t="n">
        <v>24.71</v>
      </c>
    </row>
    <row r="4649" customFormat="false" ht="15" hidden="false" customHeight="false" outlineLevel="0" collapsed="false">
      <c r="A4649" s="0" t="n">
        <v>9870</v>
      </c>
      <c r="B4649" s="0" t="s">
        <v>7680</v>
      </c>
      <c r="C4649" s="0" t="s">
        <v>1455</v>
      </c>
      <c r="D4649" s="0" t="s">
        <v>3671</v>
      </c>
      <c r="E4649" s="0" t="n">
        <v>91.99</v>
      </c>
    </row>
    <row r="4650" customFormat="false" ht="15" hidden="false" customHeight="false" outlineLevel="0" collapsed="false">
      <c r="A4650" s="0" t="n">
        <v>9867</v>
      </c>
      <c r="B4650" s="0" t="s">
        <v>7681</v>
      </c>
      <c r="C4650" s="0" t="s">
        <v>1455</v>
      </c>
      <c r="D4650" s="0" t="s">
        <v>3671</v>
      </c>
      <c r="E4650" s="0" t="n">
        <v>3.69</v>
      </c>
    </row>
    <row r="4651" customFormat="false" ht="15" hidden="false" customHeight="false" outlineLevel="0" collapsed="false">
      <c r="A4651" s="0" t="n">
        <v>9868</v>
      </c>
      <c r="B4651" s="0" t="s">
        <v>2108</v>
      </c>
      <c r="C4651" s="0" t="s">
        <v>1455</v>
      </c>
      <c r="D4651" s="0" t="s">
        <v>3676</v>
      </c>
      <c r="E4651" s="0" t="n">
        <v>4.17</v>
      </c>
    </row>
    <row r="4652" customFormat="false" ht="15" hidden="false" customHeight="false" outlineLevel="0" collapsed="false">
      <c r="A4652" s="0" t="n">
        <v>9869</v>
      </c>
      <c r="B4652" s="0" t="s">
        <v>2324</v>
      </c>
      <c r="C4652" s="0" t="s">
        <v>1455</v>
      </c>
      <c r="D4652" s="0" t="s">
        <v>3671</v>
      </c>
      <c r="E4652" s="0" t="n">
        <v>9</v>
      </c>
    </row>
    <row r="4653" customFormat="false" ht="15" hidden="false" customHeight="false" outlineLevel="0" collapsed="false">
      <c r="A4653" s="0" t="n">
        <v>9874</v>
      </c>
      <c r="B4653" s="0" t="s">
        <v>2326</v>
      </c>
      <c r="C4653" s="0" t="s">
        <v>1455</v>
      </c>
      <c r="D4653" s="0" t="s">
        <v>3671</v>
      </c>
      <c r="E4653" s="0" t="n">
        <v>14.13</v>
      </c>
    </row>
    <row r="4654" customFormat="false" ht="15" hidden="false" customHeight="false" outlineLevel="0" collapsed="false">
      <c r="A4654" s="0" t="n">
        <v>9875</v>
      </c>
      <c r="B4654" s="0" t="s">
        <v>2328</v>
      </c>
      <c r="C4654" s="0" t="s">
        <v>1455</v>
      </c>
      <c r="D4654" s="0" t="s">
        <v>3671</v>
      </c>
      <c r="E4654" s="0" t="n">
        <v>15.5</v>
      </c>
    </row>
    <row r="4655" customFormat="false" ht="15" hidden="false" customHeight="false" outlineLevel="0" collapsed="false">
      <c r="A4655" s="0" t="n">
        <v>9873</v>
      </c>
      <c r="B4655" s="0" t="s">
        <v>7682</v>
      </c>
      <c r="C4655" s="0" t="s">
        <v>1455</v>
      </c>
      <c r="D4655" s="0" t="s">
        <v>3671</v>
      </c>
      <c r="E4655" s="0" t="n">
        <v>25.5</v>
      </c>
    </row>
    <row r="4656" customFormat="false" ht="15" hidden="false" customHeight="false" outlineLevel="0" collapsed="false">
      <c r="A4656" s="0" t="n">
        <v>9871</v>
      </c>
      <c r="B4656" s="0" t="s">
        <v>2330</v>
      </c>
      <c r="C4656" s="0" t="s">
        <v>1455</v>
      </c>
      <c r="D4656" s="0" t="s">
        <v>3671</v>
      </c>
      <c r="E4656" s="0" t="n">
        <v>42.25</v>
      </c>
    </row>
    <row r="4657" customFormat="false" ht="15" hidden="false" customHeight="false" outlineLevel="0" collapsed="false">
      <c r="A4657" s="0" t="n">
        <v>9872</v>
      </c>
      <c r="B4657" s="0" t="s">
        <v>7683</v>
      </c>
      <c r="C4657" s="0" t="s">
        <v>1455</v>
      </c>
      <c r="D4657" s="0" t="s">
        <v>3671</v>
      </c>
      <c r="E4657" s="0" t="n">
        <v>58.78</v>
      </c>
    </row>
    <row r="4658" customFormat="false" ht="15" hidden="false" customHeight="false" outlineLevel="0" collapsed="false">
      <c r="A4658" s="0" t="n">
        <v>12425</v>
      </c>
      <c r="B4658" s="0" t="s">
        <v>7684</v>
      </c>
      <c r="C4658" s="0" t="s">
        <v>31</v>
      </c>
      <c r="D4658" s="0" t="s">
        <v>3671</v>
      </c>
    </row>
    <row r="4659" customFormat="false" ht="15" hidden="false" customHeight="false" outlineLevel="0" collapsed="false">
      <c r="A4659" s="0" t="n">
        <v>12426</v>
      </c>
      <c r="B4659" s="0" t="s">
        <v>7685</v>
      </c>
      <c r="C4659" s="0" t="s">
        <v>31</v>
      </c>
      <c r="D4659" s="0" t="s">
        <v>3671</v>
      </c>
    </row>
    <row r="4660" customFormat="false" ht="15" hidden="false" customHeight="false" outlineLevel="0" collapsed="false">
      <c r="A4660" s="0" t="n">
        <v>12427</v>
      </c>
      <c r="B4660" s="0" t="s">
        <v>7686</v>
      </c>
      <c r="C4660" s="0" t="s">
        <v>31</v>
      </c>
      <c r="D4660" s="0" t="s">
        <v>3671</v>
      </c>
    </row>
    <row r="4661" customFormat="false" ht="15" hidden="false" customHeight="false" outlineLevel="0" collapsed="false">
      <c r="A4661" s="0" t="n">
        <v>12428</v>
      </c>
      <c r="B4661" s="0" t="s">
        <v>7687</v>
      </c>
      <c r="C4661" s="0" t="s">
        <v>31</v>
      </c>
      <c r="D4661" s="0" t="s">
        <v>3671</v>
      </c>
    </row>
    <row r="4662" customFormat="false" ht="15" hidden="false" customHeight="false" outlineLevel="0" collapsed="false">
      <c r="A4662" s="0" t="n">
        <v>12429</v>
      </c>
      <c r="B4662" s="0" t="s">
        <v>7688</v>
      </c>
      <c r="C4662" s="0" t="s">
        <v>31</v>
      </c>
      <c r="D4662" s="0" t="s">
        <v>3671</v>
      </c>
    </row>
    <row r="4663" customFormat="false" ht="15" hidden="false" customHeight="false" outlineLevel="0" collapsed="false">
      <c r="A4663" s="0" t="n">
        <v>12430</v>
      </c>
      <c r="B4663" s="0" t="s">
        <v>7689</v>
      </c>
      <c r="C4663" s="0" t="s">
        <v>31</v>
      </c>
      <c r="D4663" s="0" t="s">
        <v>3671</v>
      </c>
    </row>
    <row r="4664" customFormat="false" ht="15" hidden="false" customHeight="false" outlineLevel="0" collapsed="false">
      <c r="A4664" s="0" t="n">
        <v>12431</v>
      </c>
      <c r="B4664" s="0" t="s">
        <v>7690</v>
      </c>
      <c r="C4664" s="0" t="s">
        <v>31</v>
      </c>
      <c r="D4664" s="0" t="s">
        <v>3671</v>
      </c>
    </row>
    <row r="4665" customFormat="false" ht="15" hidden="false" customHeight="false" outlineLevel="0" collapsed="false">
      <c r="A4665" s="0" t="n">
        <v>12432</v>
      </c>
      <c r="B4665" s="0" t="s">
        <v>7691</v>
      </c>
      <c r="C4665" s="0" t="s">
        <v>31</v>
      </c>
      <c r="D4665" s="0" t="s">
        <v>3671</v>
      </c>
    </row>
    <row r="4666" customFormat="false" ht="15" hidden="false" customHeight="false" outlineLevel="0" collapsed="false">
      <c r="A4666" s="0" t="n">
        <v>12433</v>
      </c>
      <c r="B4666" s="0" t="s">
        <v>7692</v>
      </c>
      <c r="C4666" s="0" t="s">
        <v>31</v>
      </c>
      <c r="D4666" s="0" t="s">
        <v>3671</v>
      </c>
    </row>
    <row r="4667" customFormat="false" ht="15" hidden="false" customHeight="false" outlineLevel="0" collapsed="false">
      <c r="A4667" s="0" t="n">
        <v>12434</v>
      </c>
      <c r="B4667" s="0" t="s">
        <v>7693</v>
      </c>
      <c r="C4667" s="0" t="s">
        <v>31</v>
      </c>
      <c r="D4667" s="0" t="s">
        <v>3671</v>
      </c>
    </row>
    <row r="4668" customFormat="false" ht="15" hidden="false" customHeight="false" outlineLevel="0" collapsed="false">
      <c r="A4668" s="0" t="n">
        <v>12435</v>
      </c>
      <c r="B4668" s="0" t="s">
        <v>7694</v>
      </c>
      <c r="C4668" s="0" t="s">
        <v>31</v>
      </c>
      <c r="D4668" s="0" t="s">
        <v>3671</v>
      </c>
    </row>
    <row r="4669" customFormat="false" ht="15" hidden="false" customHeight="false" outlineLevel="0" collapsed="false">
      <c r="A4669" s="0" t="n">
        <v>12437</v>
      </c>
      <c r="B4669" s="0" t="s">
        <v>7695</v>
      </c>
      <c r="C4669" s="0" t="s">
        <v>31</v>
      </c>
      <c r="D4669" s="0" t="s">
        <v>3671</v>
      </c>
    </row>
    <row r="4670" customFormat="false" ht="15" hidden="false" customHeight="false" outlineLevel="0" collapsed="false">
      <c r="A4670" s="0" t="n">
        <v>12438</v>
      </c>
      <c r="B4670" s="0" t="s">
        <v>7696</v>
      </c>
      <c r="C4670" s="0" t="s">
        <v>31</v>
      </c>
      <c r="D4670" s="0" t="s">
        <v>3671</v>
      </c>
    </row>
    <row r="4671" customFormat="false" ht="15" hidden="false" customHeight="false" outlineLevel="0" collapsed="false">
      <c r="A4671" s="0" t="n">
        <v>12439</v>
      </c>
      <c r="B4671" s="0" t="s">
        <v>7697</v>
      </c>
      <c r="C4671" s="0" t="s">
        <v>31</v>
      </c>
      <c r="D4671" s="0" t="s">
        <v>3671</v>
      </c>
    </row>
    <row r="4672" customFormat="false" ht="15" hidden="false" customHeight="false" outlineLevel="0" collapsed="false">
      <c r="A4672" s="0" t="n">
        <v>12436</v>
      </c>
      <c r="B4672" s="0" t="s">
        <v>7698</v>
      </c>
      <c r="C4672" s="0" t="s">
        <v>31</v>
      </c>
      <c r="D4672" s="0" t="s">
        <v>3671</v>
      </c>
    </row>
    <row r="4673" customFormat="false" ht="15" hidden="false" customHeight="false" outlineLevel="0" collapsed="false">
      <c r="A4673" s="0" t="n">
        <v>36357</v>
      </c>
      <c r="B4673" s="0" t="s">
        <v>7699</v>
      </c>
      <c r="C4673" s="0" t="s">
        <v>31</v>
      </c>
      <c r="D4673" s="0" t="s">
        <v>3671</v>
      </c>
    </row>
    <row r="4674" customFormat="false" ht="15" hidden="false" customHeight="false" outlineLevel="0" collapsed="false">
      <c r="A4674" s="0" t="n">
        <v>12424</v>
      </c>
      <c r="B4674" s="0" t="s">
        <v>7700</v>
      </c>
      <c r="C4674" s="0" t="s">
        <v>31</v>
      </c>
      <c r="D4674" s="0" t="s">
        <v>3671</v>
      </c>
    </row>
    <row r="4675" customFormat="false" ht="15" hidden="false" customHeight="false" outlineLevel="0" collapsed="false">
      <c r="A4675" s="0" t="n">
        <v>12440</v>
      </c>
      <c r="B4675" s="0" t="s">
        <v>7701</v>
      </c>
      <c r="C4675" s="0" t="s">
        <v>31</v>
      </c>
      <c r="D4675" s="0" t="s">
        <v>3671</v>
      </c>
    </row>
    <row r="4676" customFormat="false" ht="15" hidden="false" customHeight="false" outlineLevel="0" collapsed="false">
      <c r="A4676" s="0" t="n">
        <v>9884</v>
      </c>
      <c r="B4676" s="0" t="s">
        <v>7702</v>
      </c>
      <c r="C4676" s="0" t="s">
        <v>31</v>
      </c>
      <c r="D4676" s="0" t="s">
        <v>3671</v>
      </c>
    </row>
    <row r="4677" customFormat="false" ht="15" hidden="false" customHeight="false" outlineLevel="0" collapsed="false">
      <c r="A4677" s="0" t="n">
        <v>9888</v>
      </c>
      <c r="B4677" s="0" t="s">
        <v>7703</v>
      </c>
      <c r="C4677" s="0" t="s">
        <v>31</v>
      </c>
      <c r="D4677" s="0" t="s">
        <v>3671</v>
      </c>
    </row>
    <row r="4678" customFormat="false" ht="15" hidden="false" customHeight="false" outlineLevel="0" collapsed="false">
      <c r="A4678" s="0" t="n">
        <v>9886</v>
      </c>
      <c r="B4678" s="0" t="s">
        <v>7704</v>
      </c>
      <c r="C4678" s="0" t="s">
        <v>31</v>
      </c>
      <c r="D4678" s="0" t="s">
        <v>3671</v>
      </c>
    </row>
    <row r="4679" customFormat="false" ht="15" hidden="false" customHeight="false" outlineLevel="0" collapsed="false">
      <c r="A4679" s="0" t="n">
        <v>9883</v>
      </c>
      <c r="B4679" s="0" t="s">
        <v>7705</v>
      </c>
      <c r="C4679" s="0" t="s">
        <v>31</v>
      </c>
      <c r="D4679" s="0" t="s">
        <v>3671</v>
      </c>
    </row>
    <row r="4680" customFormat="false" ht="15" hidden="false" customHeight="false" outlineLevel="0" collapsed="false">
      <c r="A4680" s="0" t="n">
        <v>9889</v>
      </c>
      <c r="B4680" s="0" t="s">
        <v>2704</v>
      </c>
      <c r="C4680" s="0" t="s">
        <v>31</v>
      </c>
      <c r="D4680" s="0" t="s">
        <v>3671</v>
      </c>
    </row>
    <row r="4681" customFormat="false" ht="15" hidden="false" customHeight="false" outlineLevel="0" collapsed="false">
      <c r="A4681" s="0" t="n">
        <v>9887</v>
      </c>
      <c r="B4681" s="0" t="s">
        <v>7706</v>
      </c>
      <c r="C4681" s="0" t="s">
        <v>31</v>
      </c>
      <c r="D4681" s="0" t="s">
        <v>3671</v>
      </c>
    </row>
    <row r="4682" customFormat="false" ht="15" hidden="false" customHeight="false" outlineLevel="0" collapsed="false">
      <c r="A4682" s="0" t="n">
        <v>9890</v>
      </c>
      <c r="B4682" s="0" t="s">
        <v>7707</v>
      </c>
      <c r="C4682" s="0" t="s">
        <v>31</v>
      </c>
      <c r="D4682" s="0" t="s">
        <v>3671</v>
      </c>
    </row>
    <row r="4683" customFormat="false" ht="15" hidden="false" customHeight="false" outlineLevel="0" collapsed="false">
      <c r="A4683" s="0" t="n">
        <v>9885</v>
      </c>
      <c r="B4683" s="0" t="s">
        <v>7708</v>
      </c>
      <c r="C4683" s="0" t="s">
        <v>31</v>
      </c>
      <c r="D4683" s="0" t="s">
        <v>3671</v>
      </c>
    </row>
    <row r="4684" customFormat="false" ht="15" hidden="false" customHeight="false" outlineLevel="0" collapsed="false">
      <c r="A4684" s="0" t="n">
        <v>9891</v>
      </c>
      <c r="B4684" s="0" t="s">
        <v>7709</v>
      </c>
      <c r="C4684" s="0" t="s">
        <v>31</v>
      </c>
      <c r="D4684" s="0" t="s">
        <v>3671</v>
      </c>
    </row>
    <row r="4685" customFormat="false" ht="15" hidden="false" customHeight="false" outlineLevel="0" collapsed="false">
      <c r="A4685" s="0" t="n">
        <v>36316</v>
      </c>
      <c r="B4685" s="0" t="s">
        <v>7710</v>
      </c>
      <c r="C4685" s="0" t="s">
        <v>31</v>
      </c>
      <c r="D4685" s="0" t="s">
        <v>3671</v>
      </c>
    </row>
    <row r="4686" customFormat="false" ht="15" hidden="false" customHeight="false" outlineLevel="0" collapsed="false">
      <c r="A4686" s="0" t="n">
        <v>36313</v>
      </c>
      <c r="B4686" s="0" t="s">
        <v>7711</v>
      </c>
      <c r="C4686" s="0" t="s">
        <v>31</v>
      </c>
      <c r="D4686" s="0" t="s">
        <v>3671</v>
      </c>
    </row>
    <row r="4687" customFormat="false" ht="15" hidden="false" customHeight="false" outlineLevel="0" collapsed="false">
      <c r="A4687" s="0" t="n">
        <v>64</v>
      </c>
      <c r="B4687" s="0" t="s">
        <v>7712</v>
      </c>
      <c r="C4687" s="0" t="s">
        <v>31</v>
      </c>
      <c r="D4687" s="0" t="s">
        <v>3671</v>
      </c>
    </row>
    <row r="4688" customFormat="false" ht="15" hidden="false" customHeight="false" outlineLevel="0" collapsed="false">
      <c r="A4688" s="0" t="n">
        <v>37423</v>
      </c>
      <c r="B4688" s="0" t="s">
        <v>7713</v>
      </c>
      <c r="C4688" s="0" t="s">
        <v>31</v>
      </c>
      <c r="D4688" s="0" t="s">
        <v>3671</v>
      </c>
    </row>
    <row r="4689" customFormat="false" ht="15" hidden="false" customHeight="false" outlineLevel="0" collapsed="false">
      <c r="A4689" s="0" t="n">
        <v>9892</v>
      </c>
      <c r="B4689" s="0" t="s">
        <v>7714</v>
      </c>
      <c r="C4689" s="0" t="s">
        <v>31</v>
      </c>
      <c r="D4689" s="0" t="s">
        <v>3671</v>
      </c>
      <c r="E4689" s="0" t="n">
        <v>6.77</v>
      </c>
    </row>
    <row r="4690" customFormat="false" ht="15" hidden="false" customHeight="false" outlineLevel="0" collapsed="false">
      <c r="A4690" s="0" t="n">
        <v>9901</v>
      </c>
      <c r="B4690" s="0" t="s">
        <v>7715</v>
      </c>
      <c r="C4690" s="0" t="s">
        <v>31</v>
      </c>
      <c r="D4690" s="0" t="s">
        <v>3671</v>
      </c>
      <c r="E4690" s="0" t="n">
        <v>32.74</v>
      </c>
    </row>
    <row r="4691" customFormat="false" ht="15" hidden="false" customHeight="false" outlineLevel="0" collapsed="false">
      <c r="A4691" s="0" t="n">
        <v>9900</v>
      </c>
      <c r="B4691" s="0" t="s">
        <v>7716</v>
      </c>
      <c r="C4691" s="0" t="s">
        <v>31</v>
      </c>
      <c r="D4691" s="0" t="s">
        <v>3671</v>
      </c>
      <c r="E4691" s="0" t="n">
        <v>18.97</v>
      </c>
    </row>
    <row r="4692" customFormat="false" ht="15" hidden="false" customHeight="false" outlineLevel="0" collapsed="false">
      <c r="A4692" s="0" t="n">
        <v>9899</v>
      </c>
      <c r="B4692" s="0" t="s">
        <v>7717</v>
      </c>
      <c r="C4692" s="0" t="s">
        <v>31</v>
      </c>
      <c r="D4692" s="0" t="s">
        <v>3671</v>
      </c>
      <c r="E4692" s="0" t="n">
        <v>8.51</v>
      </c>
    </row>
    <row r="4693" customFormat="false" ht="15" hidden="false" customHeight="false" outlineLevel="0" collapsed="false">
      <c r="A4693" s="0" t="n">
        <v>9908</v>
      </c>
      <c r="B4693" s="0" t="s">
        <v>7718</v>
      </c>
      <c r="C4693" s="0" t="s">
        <v>31</v>
      </c>
      <c r="D4693" s="0" t="s">
        <v>3671</v>
      </c>
      <c r="E4693" s="0" t="n">
        <v>382.45</v>
      </c>
    </row>
    <row r="4694" customFormat="false" ht="15" hidden="false" customHeight="false" outlineLevel="0" collapsed="false">
      <c r="A4694" s="0" t="n">
        <v>9905</v>
      </c>
      <c r="B4694" s="0" t="s">
        <v>7719</v>
      </c>
      <c r="C4694" s="0" t="s">
        <v>31</v>
      </c>
      <c r="D4694" s="0" t="s">
        <v>3671</v>
      </c>
      <c r="E4694" s="0" t="n">
        <v>6.65</v>
      </c>
    </row>
    <row r="4695" customFormat="false" ht="15" hidden="false" customHeight="false" outlineLevel="0" collapsed="false">
      <c r="A4695" s="0" t="n">
        <v>9906</v>
      </c>
      <c r="B4695" s="0" t="s">
        <v>7720</v>
      </c>
      <c r="C4695" s="0" t="s">
        <v>31</v>
      </c>
      <c r="D4695" s="0" t="s">
        <v>3671</v>
      </c>
      <c r="E4695" s="0" t="n">
        <v>8.02</v>
      </c>
    </row>
    <row r="4696" customFormat="false" ht="15" hidden="false" customHeight="false" outlineLevel="0" collapsed="false">
      <c r="A4696" s="0" t="n">
        <v>9895</v>
      </c>
      <c r="B4696" s="0" t="s">
        <v>2343</v>
      </c>
      <c r="C4696" s="0" t="s">
        <v>31</v>
      </c>
      <c r="D4696" s="0" t="s">
        <v>3671</v>
      </c>
      <c r="E4696" s="0" t="n">
        <v>13.51</v>
      </c>
    </row>
    <row r="4697" customFormat="false" ht="15" hidden="false" customHeight="false" outlineLevel="0" collapsed="false">
      <c r="A4697" s="0" t="n">
        <v>9894</v>
      </c>
      <c r="B4697" s="0" t="s">
        <v>7721</v>
      </c>
      <c r="C4697" s="0" t="s">
        <v>31</v>
      </c>
      <c r="D4697" s="0" t="s">
        <v>3671</v>
      </c>
      <c r="E4697" s="0" t="n">
        <v>25.98</v>
      </c>
    </row>
    <row r="4698" customFormat="false" ht="15" hidden="false" customHeight="false" outlineLevel="0" collapsed="false">
      <c r="A4698" s="0" t="n">
        <v>9897</v>
      </c>
      <c r="B4698" s="0" t="s">
        <v>7722</v>
      </c>
      <c r="C4698" s="0" t="s">
        <v>31</v>
      </c>
      <c r="D4698" s="0" t="s">
        <v>3671</v>
      </c>
      <c r="E4698" s="0" t="n">
        <v>27.75</v>
      </c>
    </row>
    <row r="4699" customFormat="false" ht="15" hidden="false" customHeight="false" outlineLevel="0" collapsed="false">
      <c r="A4699" s="0" t="n">
        <v>9910</v>
      </c>
      <c r="B4699" s="0" t="s">
        <v>7723</v>
      </c>
      <c r="C4699" s="0" t="s">
        <v>31</v>
      </c>
      <c r="D4699" s="0" t="s">
        <v>3671</v>
      </c>
      <c r="E4699" s="0" t="n">
        <v>72.19</v>
      </c>
    </row>
    <row r="4700" customFormat="false" ht="15" hidden="false" customHeight="false" outlineLevel="0" collapsed="false">
      <c r="A4700" s="0" t="n">
        <v>9909</v>
      </c>
      <c r="B4700" s="0" t="s">
        <v>7724</v>
      </c>
      <c r="C4700" s="0" t="s">
        <v>31</v>
      </c>
      <c r="D4700" s="0" t="s">
        <v>3671</v>
      </c>
      <c r="E4700" s="0" t="n">
        <v>147.02</v>
      </c>
    </row>
    <row r="4701" customFormat="false" ht="15" hidden="false" customHeight="false" outlineLevel="0" collapsed="false">
      <c r="A4701" s="0" t="n">
        <v>9907</v>
      </c>
      <c r="B4701" s="0" t="s">
        <v>7725</v>
      </c>
      <c r="C4701" s="0" t="s">
        <v>31</v>
      </c>
      <c r="D4701" s="0" t="s">
        <v>3671</v>
      </c>
      <c r="E4701" s="0" t="n">
        <v>173.59</v>
      </c>
    </row>
    <row r="4702" customFormat="false" ht="15" hidden="false" customHeight="false" outlineLevel="0" collapsed="false">
      <c r="A4702" s="0" t="n">
        <v>20973</v>
      </c>
      <c r="B4702" s="0" t="s">
        <v>7726</v>
      </c>
      <c r="C4702" s="0" t="s">
        <v>31</v>
      </c>
      <c r="D4702" s="0" t="s">
        <v>3671</v>
      </c>
    </row>
    <row r="4703" customFormat="false" ht="15" hidden="false" customHeight="false" outlineLevel="0" collapsed="false">
      <c r="A4703" s="0" t="n">
        <v>20974</v>
      </c>
      <c r="B4703" s="0" t="s">
        <v>7727</v>
      </c>
      <c r="C4703" s="0" t="s">
        <v>31</v>
      </c>
      <c r="D4703" s="0" t="s">
        <v>3671</v>
      </c>
    </row>
    <row r="4704" customFormat="false" ht="15" hidden="false" customHeight="false" outlineLevel="0" collapsed="false">
      <c r="A4704" s="0" t="n">
        <v>37989</v>
      </c>
      <c r="B4704" s="0" t="s">
        <v>7728</v>
      </c>
      <c r="C4704" s="0" t="s">
        <v>31</v>
      </c>
      <c r="D4704" s="0" t="s">
        <v>3671</v>
      </c>
      <c r="E4704" s="0" t="n">
        <v>14.19</v>
      </c>
    </row>
    <row r="4705" customFormat="false" ht="15" hidden="false" customHeight="false" outlineLevel="0" collapsed="false">
      <c r="A4705" s="0" t="n">
        <v>37990</v>
      </c>
      <c r="B4705" s="0" t="s">
        <v>7729</v>
      </c>
      <c r="C4705" s="0" t="s">
        <v>31</v>
      </c>
      <c r="D4705" s="0" t="s">
        <v>3671</v>
      </c>
      <c r="E4705" s="0" t="n">
        <v>15.65</v>
      </c>
    </row>
    <row r="4706" customFormat="false" ht="15" hidden="false" customHeight="false" outlineLevel="0" collapsed="false">
      <c r="A4706" s="0" t="n">
        <v>37991</v>
      </c>
      <c r="B4706" s="0" t="s">
        <v>7730</v>
      </c>
      <c r="C4706" s="0" t="s">
        <v>31</v>
      </c>
      <c r="D4706" s="0" t="s">
        <v>3671</v>
      </c>
      <c r="E4706" s="0" t="n">
        <v>20.83</v>
      </c>
    </row>
    <row r="4707" customFormat="false" ht="15" hidden="false" customHeight="false" outlineLevel="0" collapsed="false">
      <c r="A4707" s="0" t="n">
        <v>37992</v>
      </c>
      <c r="B4707" s="0" t="s">
        <v>7731</v>
      </c>
      <c r="C4707" s="0" t="s">
        <v>31</v>
      </c>
      <c r="D4707" s="0" t="s">
        <v>3671</v>
      </c>
      <c r="E4707" s="0" t="n">
        <v>32.32</v>
      </c>
    </row>
    <row r="4708" customFormat="false" ht="15" hidden="false" customHeight="false" outlineLevel="0" collapsed="false">
      <c r="A4708" s="0" t="n">
        <v>37993</v>
      </c>
      <c r="B4708" s="0" t="s">
        <v>7732</v>
      </c>
      <c r="C4708" s="0" t="s">
        <v>31</v>
      </c>
      <c r="D4708" s="0" t="s">
        <v>3671</v>
      </c>
      <c r="E4708" s="0" t="n">
        <v>49.04</v>
      </c>
    </row>
    <row r="4709" customFormat="false" ht="15" hidden="false" customHeight="false" outlineLevel="0" collapsed="false">
      <c r="A4709" s="0" t="n">
        <v>37994</v>
      </c>
      <c r="B4709" s="0" t="s">
        <v>7733</v>
      </c>
      <c r="C4709" s="0" t="s">
        <v>31</v>
      </c>
      <c r="D4709" s="0" t="s">
        <v>3671</v>
      </c>
      <c r="E4709" s="0" t="n">
        <v>116.78</v>
      </c>
    </row>
    <row r="4710" customFormat="false" ht="15" hidden="false" customHeight="false" outlineLevel="0" collapsed="false">
      <c r="A4710" s="0" t="n">
        <v>37995</v>
      </c>
      <c r="B4710" s="0" t="s">
        <v>7734</v>
      </c>
      <c r="C4710" s="0" t="s">
        <v>31</v>
      </c>
      <c r="D4710" s="0" t="s">
        <v>3671</v>
      </c>
      <c r="E4710" s="0" t="n">
        <v>152.21</v>
      </c>
    </row>
    <row r="4711" customFormat="false" ht="15" hidden="false" customHeight="false" outlineLevel="0" collapsed="false">
      <c r="A4711" s="0" t="n">
        <v>37996</v>
      </c>
      <c r="B4711" s="0" t="s">
        <v>7735</v>
      </c>
      <c r="C4711" s="0" t="s">
        <v>31</v>
      </c>
      <c r="D4711" s="0" t="s">
        <v>3671</v>
      </c>
      <c r="E4711" s="0" t="n">
        <v>231.78</v>
      </c>
    </row>
    <row r="4712" customFormat="false" ht="15" hidden="false" customHeight="false" outlineLevel="0" collapsed="false">
      <c r="A4712" s="0" t="n">
        <v>13883</v>
      </c>
      <c r="B4712" s="0" t="s">
        <v>7736</v>
      </c>
      <c r="C4712" s="0" t="s">
        <v>31</v>
      </c>
      <c r="D4712" s="0" t="s">
        <v>3671</v>
      </c>
    </row>
    <row r="4713" customFormat="false" ht="15" hidden="false" customHeight="false" outlineLevel="0" collapsed="false">
      <c r="A4713" s="0" t="n">
        <v>38604</v>
      </c>
      <c r="B4713" s="0" t="s">
        <v>7737</v>
      </c>
      <c r="C4713" s="0" t="s">
        <v>31</v>
      </c>
      <c r="D4713" s="0" t="s">
        <v>3671</v>
      </c>
    </row>
    <row r="4714" customFormat="false" ht="15" hidden="false" customHeight="false" outlineLevel="0" collapsed="false">
      <c r="A4714" s="0" t="n">
        <v>10601</v>
      </c>
      <c r="B4714" s="0" t="s">
        <v>7738</v>
      </c>
      <c r="C4714" s="0" t="s">
        <v>31</v>
      </c>
      <c r="D4714" s="0" t="s">
        <v>3671</v>
      </c>
    </row>
    <row r="4715" customFormat="false" ht="15" hidden="false" customHeight="false" outlineLevel="0" collapsed="false">
      <c r="A4715" s="0" t="n">
        <v>44469</v>
      </c>
      <c r="B4715" s="0" t="s">
        <v>7739</v>
      </c>
      <c r="C4715" s="0" t="s">
        <v>31</v>
      </c>
      <c r="D4715" s="0" t="s">
        <v>3671</v>
      </c>
    </row>
    <row r="4716" customFormat="false" ht="15" hidden="false" customHeight="false" outlineLevel="0" collapsed="false">
      <c r="A4716" s="0" t="n">
        <v>13894</v>
      </c>
      <c r="B4716" s="0" t="s">
        <v>7740</v>
      </c>
      <c r="C4716" s="0" t="s">
        <v>31</v>
      </c>
      <c r="D4716" s="0" t="s">
        <v>3671</v>
      </c>
    </row>
    <row r="4717" customFormat="false" ht="15" hidden="false" customHeight="false" outlineLevel="0" collapsed="false">
      <c r="A4717" s="0" t="n">
        <v>13895</v>
      </c>
      <c r="B4717" s="0" t="s">
        <v>7741</v>
      </c>
      <c r="C4717" s="0" t="s">
        <v>31</v>
      </c>
      <c r="D4717" s="0" t="s">
        <v>3671</v>
      </c>
    </row>
    <row r="4718" customFormat="false" ht="15" hidden="false" customHeight="false" outlineLevel="0" collapsed="false">
      <c r="A4718" s="0" t="n">
        <v>13892</v>
      </c>
      <c r="B4718" s="0" t="s">
        <v>7742</v>
      </c>
      <c r="C4718" s="0" t="s">
        <v>31</v>
      </c>
      <c r="D4718" s="0" t="s">
        <v>3671</v>
      </c>
    </row>
    <row r="4719" customFormat="false" ht="15" hidden="false" customHeight="false" outlineLevel="0" collapsed="false">
      <c r="A4719" s="0" t="n">
        <v>9914</v>
      </c>
      <c r="B4719" s="0" t="s">
        <v>7743</v>
      </c>
      <c r="C4719" s="0" t="s">
        <v>31</v>
      </c>
      <c r="D4719" s="0" t="s">
        <v>3676</v>
      </c>
    </row>
    <row r="4720" customFormat="false" ht="15" hidden="false" customHeight="false" outlineLevel="0" collapsed="false">
      <c r="A4720" s="0" t="n">
        <v>36485</v>
      </c>
      <c r="B4720" s="0" t="s">
        <v>7744</v>
      </c>
      <c r="C4720" s="0" t="s">
        <v>31</v>
      </c>
      <c r="D4720" s="0" t="s">
        <v>3671</v>
      </c>
    </row>
    <row r="4721" customFormat="false" ht="15" hidden="false" customHeight="false" outlineLevel="0" collapsed="false">
      <c r="A4721" s="0" t="n">
        <v>9912</v>
      </c>
      <c r="B4721" s="0" t="s">
        <v>7745</v>
      </c>
      <c r="C4721" s="0" t="s">
        <v>31</v>
      </c>
      <c r="D4721" s="0" t="s">
        <v>3676</v>
      </c>
    </row>
    <row r="4722" customFormat="false" ht="15" hidden="false" customHeight="false" outlineLevel="0" collapsed="false">
      <c r="A4722" s="0" t="n">
        <v>9921</v>
      </c>
      <c r="B4722" s="0" t="s">
        <v>7746</v>
      </c>
      <c r="C4722" s="0" t="s">
        <v>31</v>
      </c>
      <c r="D4722" s="0" t="s">
        <v>3671</v>
      </c>
    </row>
    <row r="4723" customFormat="false" ht="15" hidden="false" customHeight="false" outlineLevel="0" collapsed="false">
      <c r="A4723" s="0" t="n">
        <v>21112</v>
      </c>
      <c r="B4723" s="0" t="s">
        <v>2027</v>
      </c>
      <c r="C4723" s="0" t="s">
        <v>31</v>
      </c>
      <c r="D4723" s="0" t="s">
        <v>3671</v>
      </c>
      <c r="E4723" s="0" t="n">
        <v>223.38</v>
      </c>
    </row>
    <row r="4724" customFormat="false" ht="15" hidden="false" customHeight="false" outlineLevel="0" collapsed="false">
      <c r="A4724" s="0" t="n">
        <v>10228</v>
      </c>
      <c r="B4724" s="0" t="s">
        <v>7747</v>
      </c>
      <c r="C4724" s="0" t="s">
        <v>31</v>
      </c>
      <c r="D4724" s="0" t="s">
        <v>3676</v>
      </c>
      <c r="E4724" s="0" t="n">
        <v>259.5</v>
      </c>
    </row>
    <row r="4725" customFormat="false" ht="15" hidden="false" customHeight="false" outlineLevel="0" collapsed="false">
      <c r="A4725" s="0" t="n">
        <v>11781</v>
      </c>
      <c r="B4725" s="0" t="s">
        <v>2284</v>
      </c>
      <c r="C4725" s="0" t="s">
        <v>31</v>
      </c>
      <c r="D4725" s="0" t="s">
        <v>3671</v>
      </c>
      <c r="E4725" s="0" t="n">
        <v>210.22</v>
      </c>
    </row>
    <row r="4726" customFormat="false" ht="15" hidden="false" customHeight="false" outlineLevel="0" collapsed="false">
      <c r="A4726" s="0" t="n">
        <v>37588</v>
      </c>
      <c r="B4726" s="0" t="s">
        <v>2037</v>
      </c>
      <c r="C4726" s="0" t="s">
        <v>31</v>
      </c>
      <c r="D4726" s="0" t="s">
        <v>3671</v>
      </c>
      <c r="E4726" s="0" t="n">
        <v>65.26</v>
      </c>
    </row>
    <row r="4727" customFormat="false" ht="15" hidden="false" customHeight="false" outlineLevel="0" collapsed="false">
      <c r="A4727" s="0" t="n">
        <v>11751</v>
      </c>
      <c r="B4727" s="0" t="s">
        <v>7748</v>
      </c>
      <c r="C4727" s="0" t="s">
        <v>31</v>
      </c>
      <c r="D4727" s="0" t="s">
        <v>3671</v>
      </c>
      <c r="E4727" s="0" t="n">
        <v>130.27</v>
      </c>
    </row>
    <row r="4728" customFormat="false" ht="15" hidden="false" customHeight="false" outlineLevel="0" collapsed="false">
      <c r="A4728" s="0" t="n">
        <v>11750</v>
      </c>
      <c r="B4728" s="0" t="s">
        <v>7749</v>
      </c>
      <c r="C4728" s="0" t="s">
        <v>31</v>
      </c>
      <c r="D4728" s="0" t="s">
        <v>3671</v>
      </c>
      <c r="E4728" s="0" t="n">
        <v>108.1</v>
      </c>
    </row>
    <row r="4729" customFormat="false" ht="15" hidden="false" customHeight="false" outlineLevel="0" collapsed="false">
      <c r="A4729" s="0" t="n">
        <v>11746</v>
      </c>
      <c r="B4729" s="0" t="s">
        <v>7750</v>
      </c>
      <c r="C4729" s="0" t="s">
        <v>31</v>
      </c>
      <c r="D4729" s="0" t="s">
        <v>3671</v>
      </c>
      <c r="E4729" s="0" t="n">
        <v>72.53</v>
      </c>
    </row>
    <row r="4730" customFormat="false" ht="15" hidden="false" customHeight="false" outlineLevel="0" collapsed="false">
      <c r="A4730" s="0" t="n">
        <v>11748</v>
      </c>
      <c r="B4730" s="0" t="s">
        <v>2753</v>
      </c>
      <c r="C4730" s="0" t="s">
        <v>31</v>
      </c>
      <c r="D4730" s="0" t="s">
        <v>3671</v>
      </c>
      <c r="E4730" s="0" t="n">
        <v>46.54</v>
      </c>
    </row>
    <row r="4731" customFormat="false" ht="15" hidden="false" customHeight="false" outlineLevel="0" collapsed="false">
      <c r="A4731" s="0" t="n">
        <v>11747</v>
      </c>
      <c r="B4731" s="0" t="s">
        <v>2280</v>
      </c>
      <c r="C4731" s="0" t="s">
        <v>31</v>
      </c>
      <c r="D4731" s="0" t="s">
        <v>3671</v>
      </c>
      <c r="E4731" s="0" t="n">
        <v>200.87</v>
      </c>
    </row>
    <row r="4732" customFormat="false" ht="15" hidden="false" customHeight="false" outlineLevel="0" collapsed="false">
      <c r="A4732" s="0" t="n">
        <v>11749</v>
      </c>
      <c r="B4732" s="0" t="s">
        <v>7751</v>
      </c>
      <c r="C4732" s="0" t="s">
        <v>31</v>
      </c>
      <c r="D4732" s="0" t="s">
        <v>3671</v>
      </c>
      <c r="E4732" s="0" t="n">
        <v>53.72</v>
      </c>
    </row>
    <row r="4733" customFormat="false" ht="15" hidden="false" customHeight="false" outlineLevel="0" collapsed="false">
      <c r="A4733" s="0" t="n">
        <v>10236</v>
      </c>
      <c r="B4733" s="0" t="s">
        <v>7752</v>
      </c>
      <c r="C4733" s="0" t="s">
        <v>31</v>
      </c>
      <c r="D4733" s="0" t="s">
        <v>3671</v>
      </c>
      <c r="E4733" s="0" t="n">
        <v>117.05</v>
      </c>
    </row>
    <row r="4734" customFormat="false" ht="15" hidden="false" customHeight="false" outlineLevel="0" collapsed="false">
      <c r="A4734" s="0" t="n">
        <v>10233</v>
      </c>
      <c r="B4734" s="0" t="s">
        <v>7753</v>
      </c>
      <c r="C4734" s="0" t="s">
        <v>31</v>
      </c>
      <c r="D4734" s="0" t="s">
        <v>3671</v>
      </c>
      <c r="E4734" s="0" t="n">
        <v>109.69</v>
      </c>
    </row>
    <row r="4735" customFormat="false" ht="15" hidden="false" customHeight="false" outlineLevel="0" collapsed="false">
      <c r="A4735" s="0" t="n">
        <v>10234</v>
      </c>
      <c r="B4735" s="0" t="s">
        <v>7754</v>
      </c>
      <c r="C4735" s="0" t="s">
        <v>31</v>
      </c>
      <c r="D4735" s="0" t="s">
        <v>3671</v>
      </c>
      <c r="E4735" s="0" t="n">
        <v>69.1</v>
      </c>
    </row>
    <row r="4736" customFormat="false" ht="15" hidden="false" customHeight="false" outlineLevel="0" collapsed="false">
      <c r="A4736" s="0" t="n">
        <v>10231</v>
      </c>
      <c r="B4736" s="0" t="s">
        <v>7755</v>
      </c>
      <c r="C4736" s="0" t="s">
        <v>31</v>
      </c>
      <c r="D4736" s="0" t="s">
        <v>3671</v>
      </c>
      <c r="E4736" s="0" t="n">
        <v>316.86</v>
      </c>
    </row>
    <row r="4737" customFormat="false" ht="15" hidden="false" customHeight="false" outlineLevel="0" collapsed="false">
      <c r="A4737" s="0" t="n">
        <v>10232</v>
      </c>
      <c r="B4737" s="0" t="s">
        <v>7756</v>
      </c>
      <c r="C4737" s="0" t="s">
        <v>31</v>
      </c>
      <c r="D4737" s="0" t="s">
        <v>3671</v>
      </c>
      <c r="E4737" s="0" t="n">
        <v>177.31</v>
      </c>
    </row>
    <row r="4738" customFormat="false" ht="15" hidden="false" customHeight="false" outlineLevel="0" collapsed="false">
      <c r="A4738" s="0" t="n">
        <v>10235</v>
      </c>
      <c r="B4738" s="0" t="s">
        <v>7757</v>
      </c>
      <c r="C4738" s="0" t="s">
        <v>31</v>
      </c>
      <c r="D4738" s="0" t="s">
        <v>3671</v>
      </c>
      <c r="E4738" s="0" t="n">
        <v>434.38</v>
      </c>
    </row>
    <row r="4739" customFormat="false" ht="15" hidden="false" customHeight="false" outlineLevel="0" collapsed="false">
      <c r="A4739" s="0" t="n">
        <v>10229</v>
      </c>
      <c r="B4739" s="0" t="s">
        <v>7758</v>
      </c>
      <c r="C4739" s="0" t="s">
        <v>31</v>
      </c>
      <c r="D4739" s="0" t="s">
        <v>3676</v>
      </c>
      <c r="E4739" s="0" t="n">
        <v>62.49</v>
      </c>
    </row>
    <row r="4740" customFormat="false" ht="15" hidden="false" customHeight="false" outlineLevel="0" collapsed="false">
      <c r="A4740" s="0" t="n">
        <v>10230</v>
      </c>
      <c r="B4740" s="0" t="s">
        <v>7759</v>
      </c>
      <c r="C4740" s="0" t="s">
        <v>31</v>
      </c>
      <c r="D4740" s="0" t="s">
        <v>3671</v>
      </c>
      <c r="E4740" s="0" t="n">
        <v>764.47</v>
      </c>
    </row>
    <row r="4741" customFormat="false" ht="15" hidden="false" customHeight="false" outlineLevel="0" collapsed="false">
      <c r="A4741" s="0" t="n">
        <v>10409</v>
      </c>
      <c r="B4741" s="0" t="s">
        <v>7760</v>
      </c>
      <c r="C4741" s="0" t="s">
        <v>31</v>
      </c>
      <c r="D4741" s="0" t="s">
        <v>3671</v>
      </c>
      <c r="E4741" s="0" t="n">
        <v>227.11</v>
      </c>
    </row>
    <row r="4742" customFormat="false" ht="15" hidden="false" customHeight="false" outlineLevel="0" collapsed="false">
      <c r="A4742" s="0" t="n">
        <v>10411</v>
      </c>
      <c r="B4742" s="0" t="s">
        <v>7761</v>
      </c>
      <c r="C4742" s="0" t="s">
        <v>31</v>
      </c>
      <c r="D4742" s="0" t="s">
        <v>3671</v>
      </c>
      <c r="E4742" s="0" t="n">
        <v>203.22</v>
      </c>
    </row>
    <row r="4743" customFormat="false" ht="15" hidden="false" customHeight="false" outlineLevel="0" collapsed="false">
      <c r="A4743" s="0" t="n">
        <v>10410</v>
      </c>
      <c r="B4743" s="0" t="s">
        <v>2286</v>
      </c>
      <c r="C4743" s="0" t="s">
        <v>31</v>
      </c>
      <c r="D4743" s="0" t="s">
        <v>3671</v>
      </c>
      <c r="E4743" s="0" t="n">
        <v>135.75</v>
      </c>
    </row>
    <row r="4744" customFormat="false" ht="15" hidden="false" customHeight="false" outlineLevel="0" collapsed="false">
      <c r="A4744" s="0" t="n">
        <v>10404</v>
      </c>
      <c r="B4744" s="0" t="s">
        <v>7762</v>
      </c>
      <c r="C4744" s="0" t="s">
        <v>31</v>
      </c>
      <c r="D4744" s="0" t="s">
        <v>3671</v>
      </c>
      <c r="E4744" s="0" t="n">
        <v>82.42</v>
      </c>
    </row>
    <row r="4745" customFormat="false" ht="15" hidden="false" customHeight="false" outlineLevel="0" collapsed="false">
      <c r="A4745" s="0" t="n">
        <v>10405</v>
      </c>
      <c r="B4745" s="0" t="s">
        <v>2702</v>
      </c>
      <c r="C4745" s="0" t="s">
        <v>31</v>
      </c>
      <c r="D4745" s="0" t="s">
        <v>3671</v>
      </c>
      <c r="E4745" s="0" t="n">
        <v>455.02</v>
      </c>
    </row>
    <row r="4746" customFormat="false" ht="15" hidden="false" customHeight="false" outlineLevel="0" collapsed="false">
      <c r="A4746" s="0" t="n">
        <v>10408</v>
      </c>
      <c r="B4746" s="0" t="s">
        <v>7763</v>
      </c>
      <c r="C4746" s="0" t="s">
        <v>31</v>
      </c>
      <c r="D4746" s="0" t="s">
        <v>3671</v>
      </c>
      <c r="E4746" s="0" t="n">
        <v>318.19</v>
      </c>
    </row>
    <row r="4747" customFormat="false" ht="15" hidden="false" customHeight="false" outlineLevel="0" collapsed="false">
      <c r="A4747" s="0" t="n">
        <v>10406</v>
      </c>
      <c r="B4747" s="0" t="s">
        <v>7764</v>
      </c>
      <c r="C4747" s="0" t="s">
        <v>31</v>
      </c>
      <c r="D4747" s="0" t="s">
        <v>3671</v>
      </c>
      <c r="E4747" s="0" t="n">
        <v>628.48</v>
      </c>
    </row>
    <row r="4748" customFormat="false" ht="15" hidden="false" customHeight="false" outlineLevel="0" collapsed="false">
      <c r="A4748" s="0" t="n">
        <v>10412</v>
      </c>
      <c r="B4748" s="0" t="s">
        <v>7765</v>
      </c>
      <c r="C4748" s="0" t="s">
        <v>31</v>
      </c>
      <c r="D4748" s="0" t="s">
        <v>3671</v>
      </c>
      <c r="E4748" s="0" t="n">
        <v>99.88</v>
      </c>
    </row>
    <row r="4749" customFormat="false" ht="15" hidden="false" customHeight="false" outlineLevel="0" collapsed="false">
      <c r="A4749" s="0" t="n">
        <v>10407</v>
      </c>
      <c r="B4749" s="0" t="s">
        <v>7766</v>
      </c>
      <c r="C4749" s="0" t="s">
        <v>31</v>
      </c>
      <c r="D4749" s="0" t="s">
        <v>3671</v>
      </c>
      <c r="E4749" s="0" t="n">
        <v>974.78</v>
      </c>
    </row>
    <row r="4750" customFormat="false" ht="15" hidden="false" customHeight="false" outlineLevel="0" collapsed="false">
      <c r="A4750" s="0" t="n">
        <v>10416</v>
      </c>
      <c r="B4750" s="0" t="s">
        <v>7767</v>
      </c>
      <c r="C4750" s="0" t="s">
        <v>31</v>
      </c>
      <c r="D4750" s="0" t="s">
        <v>3671</v>
      </c>
      <c r="E4750" s="0" t="n">
        <v>120.91</v>
      </c>
    </row>
    <row r="4751" customFormat="false" ht="15" hidden="false" customHeight="false" outlineLevel="0" collapsed="false">
      <c r="A4751" s="0" t="n">
        <v>10419</v>
      </c>
      <c r="B4751" s="0" t="s">
        <v>7768</v>
      </c>
      <c r="C4751" s="0" t="s">
        <v>31</v>
      </c>
      <c r="D4751" s="0" t="s">
        <v>3671</v>
      </c>
      <c r="E4751" s="0" t="n">
        <v>104.95</v>
      </c>
    </row>
    <row r="4752" customFormat="false" ht="15" hidden="false" customHeight="false" outlineLevel="0" collapsed="false">
      <c r="A4752" s="0" t="n">
        <v>10418</v>
      </c>
      <c r="B4752" s="0" t="s">
        <v>7769</v>
      </c>
      <c r="C4752" s="0" t="s">
        <v>31</v>
      </c>
      <c r="D4752" s="0" t="s">
        <v>3671</v>
      </c>
      <c r="E4752" s="0" t="n">
        <v>69.95</v>
      </c>
    </row>
    <row r="4753" customFormat="false" ht="15" hidden="false" customHeight="false" outlineLevel="0" collapsed="false">
      <c r="A4753" s="0" t="n">
        <v>21092</v>
      </c>
      <c r="B4753" s="0" t="s">
        <v>7770</v>
      </c>
      <c r="C4753" s="0" t="s">
        <v>31</v>
      </c>
      <c r="D4753" s="0" t="s">
        <v>3671</v>
      </c>
      <c r="E4753" s="0" t="n">
        <v>60</v>
      </c>
    </row>
    <row r="4754" customFormat="false" ht="15" hidden="false" customHeight="false" outlineLevel="0" collapsed="false">
      <c r="A4754" s="0" t="n">
        <v>12657</v>
      </c>
      <c r="B4754" s="0" t="s">
        <v>7771</v>
      </c>
      <c r="C4754" s="0" t="s">
        <v>31</v>
      </c>
      <c r="D4754" s="0" t="s">
        <v>3671</v>
      </c>
      <c r="E4754" s="0" t="n">
        <v>282.3</v>
      </c>
    </row>
    <row r="4755" customFormat="false" ht="15" hidden="false" customHeight="false" outlineLevel="0" collapsed="false">
      <c r="A4755" s="0" t="n">
        <v>10417</v>
      </c>
      <c r="B4755" s="0" t="s">
        <v>7772</v>
      </c>
      <c r="C4755" s="0" t="s">
        <v>31</v>
      </c>
      <c r="D4755" s="0" t="s">
        <v>3671</v>
      </c>
      <c r="E4755" s="0" t="n">
        <v>176.17</v>
      </c>
    </row>
    <row r="4756" customFormat="false" ht="15" hidden="false" customHeight="false" outlineLevel="0" collapsed="false">
      <c r="A4756" s="0" t="n">
        <v>10414</v>
      </c>
      <c r="B4756" s="0" t="s">
        <v>7773</v>
      </c>
      <c r="C4756" s="0" t="s">
        <v>31</v>
      </c>
      <c r="D4756" s="0" t="s">
        <v>3671</v>
      </c>
      <c r="E4756" s="0" t="n">
        <v>385.5</v>
      </c>
    </row>
    <row r="4757" customFormat="false" ht="15" hidden="false" customHeight="false" outlineLevel="0" collapsed="false">
      <c r="A4757" s="0" t="n">
        <v>10413</v>
      </c>
      <c r="B4757" s="0" t="s">
        <v>7774</v>
      </c>
      <c r="C4757" s="0" t="s">
        <v>31</v>
      </c>
      <c r="D4757" s="0" t="s">
        <v>3671</v>
      </c>
      <c r="E4757" s="0" t="n">
        <v>64.03</v>
      </c>
    </row>
    <row r="4758" customFormat="false" ht="15" hidden="false" customHeight="false" outlineLevel="0" collapsed="false">
      <c r="A4758" s="0" t="n">
        <v>10415</v>
      </c>
      <c r="B4758" s="0" t="s">
        <v>7775</v>
      </c>
      <c r="C4758" s="0" t="s">
        <v>31</v>
      </c>
      <c r="D4758" s="0" t="s">
        <v>3671</v>
      </c>
      <c r="E4758" s="0" t="n">
        <v>669.05</v>
      </c>
    </row>
    <row r="4759" customFormat="false" ht="15" hidden="false" customHeight="false" outlineLevel="0" collapsed="false">
      <c r="A4759" s="0" t="n">
        <v>38643</v>
      </c>
      <c r="B4759" s="0" t="s">
        <v>7776</v>
      </c>
      <c r="C4759" s="0" t="s">
        <v>31</v>
      </c>
      <c r="D4759" s="0" t="s">
        <v>3671</v>
      </c>
      <c r="E4759" s="0" t="n">
        <v>51.86</v>
      </c>
    </row>
    <row r="4760" customFormat="false" ht="15" hidden="false" customHeight="false" outlineLevel="0" collapsed="false">
      <c r="A4760" s="0" t="n">
        <v>6157</v>
      </c>
      <c r="B4760" s="0" t="s">
        <v>2076</v>
      </c>
      <c r="C4760" s="0" t="s">
        <v>31</v>
      </c>
      <c r="D4760" s="0" t="s">
        <v>3671</v>
      </c>
      <c r="E4760" s="0" t="n">
        <v>70.85</v>
      </c>
    </row>
    <row r="4761" customFormat="false" ht="15" hidden="false" customHeight="false" outlineLevel="0" collapsed="false">
      <c r="A4761" s="0" t="n">
        <v>6158</v>
      </c>
      <c r="B4761" s="0" t="s">
        <v>7777</v>
      </c>
      <c r="C4761" s="0" t="s">
        <v>31</v>
      </c>
      <c r="D4761" s="0" t="s">
        <v>3671</v>
      </c>
      <c r="E4761" s="0" t="n">
        <v>6.83</v>
      </c>
    </row>
    <row r="4762" customFormat="false" ht="15" hidden="false" customHeight="false" outlineLevel="0" collapsed="false">
      <c r="A4762" s="0" t="n">
        <v>6156</v>
      </c>
      <c r="B4762" s="0" t="s">
        <v>7778</v>
      </c>
      <c r="C4762" s="0" t="s">
        <v>31</v>
      </c>
      <c r="D4762" s="0" t="s">
        <v>3671</v>
      </c>
      <c r="E4762" s="0" t="n">
        <v>5.86</v>
      </c>
    </row>
    <row r="4763" customFormat="false" ht="15" hidden="false" customHeight="false" outlineLevel="0" collapsed="false">
      <c r="A4763" s="0" t="n">
        <v>6153</v>
      </c>
      <c r="B4763" s="0" t="s">
        <v>2059</v>
      </c>
      <c r="C4763" s="0" t="s">
        <v>31</v>
      </c>
      <c r="D4763" s="0" t="s">
        <v>3671</v>
      </c>
      <c r="E4763" s="0" t="n">
        <v>4.7</v>
      </c>
    </row>
    <row r="4764" customFormat="false" ht="15" hidden="false" customHeight="false" outlineLevel="0" collapsed="false">
      <c r="A4764" s="0" t="n">
        <v>6154</v>
      </c>
      <c r="B4764" s="0" t="s">
        <v>7779</v>
      </c>
      <c r="C4764" s="0" t="s">
        <v>31</v>
      </c>
      <c r="D4764" s="0" t="s">
        <v>3671</v>
      </c>
      <c r="E4764" s="0" t="n">
        <v>8.36</v>
      </c>
    </row>
    <row r="4765" customFormat="false" ht="15" hidden="false" customHeight="false" outlineLevel="0" collapsed="false">
      <c r="A4765" s="0" t="n">
        <v>6155</v>
      </c>
      <c r="B4765" s="0" t="s">
        <v>7780</v>
      </c>
      <c r="C4765" s="0" t="s">
        <v>31</v>
      </c>
      <c r="D4765" s="0" t="s">
        <v>3671</v>
      </c>
      <c r="E4765" s="0" t="n">
        <v>19.24</v>
      </c>
    </row>
    <row r="4766" customFormat="false" ht="15" hidden="false" customHeight="false" outlineLevel="0" collapsed="false">
      <c r="A4766" s="0" t="n">
        <v>43595</v>
      </c>
      <c r="B4766" s="0" t="s">
        <v>7781</v>
      </c>
      <c r="C4766" s="0" t="s">
        <v>31</v>
      </c>
      <c r="D4766" s="0" t="s">
        <v>3671</v>
      </c>
      <c r="E4766" s="0" t="n">
        <v>21.45</v>
      </c>
    </row>
    <row r="4767" customFormat="false" ht="15" hidden="false" customHeight="false" outlineLevel="0" collapsed="false">
      <c r="A4767" s="0" t="n">
        <v>43596</v>
      </c>
      <c r="B4767" s="0" t="s">
        <v>7782</v>
      </c>
      <c r="C4767" s="0" t="s">
        <v>31</v>
      </c>
      <c r="D4767" s="0" t="s">
        <v>3671</v>
      </c>
      <c r="E4767" s="0" t="n">
        <v>24.79</v>
      </c>
    </row>
    <row r="4768" customFormat="false" ht="15" hidden="false" customHeight="false" outlineLevel="0" collapsed="false">
      <c r="A4768" s="0" t="n">
        <v>38108</v>
      </c>
      <c r="B4768" s="0" t="s">
        <v>7783</v>
      </c>
      <c r="C4768" s="0" t="s">
        <v>31</v>
      </c>
      <c r="D4768" s="0" t="s">
        <v>3671</v>
      </c>
      <c r="E4768" s="0" t="n">
        <v>43.02</v>
      </c>
    </row>
    <row r="4769" customFormat="false" ht="15" hidden="false" customHeight="false" outlineLevel="0" collapsed="false">
      <c r="A4769" s="0" t="n">
        <v>38087</v>
      </c>
      <c r="B4769" s="0" t="s">
        <v>7784</v>
      </c>
      <c r="C4769" s="0" t="s">
        <v>31</v>
      </c>
      <c r="D4769" s="0" t="s">
        <v>3671</v>
      </c>
      <c r="E4769" s="0" t="n">
        <v>55.33</v>
      </c>
    </row>
    <row r="4770" customFormat="false" ht="15" hidden="false" customHeight="false" outlineLevel="0" collapsed="false">
      <c r="A4770" s="0" t="n">
        <v>38109</v>
      </c>
      <c r="B4770" s="0" t="s">
        <v>7785</v>
      </c>
      <c r="C4770" s="0" t="s">
        <v>31</v>
      </c>
      <c r="D4770" s="0" t="s">
        <v>3671</v>
      </c>
      <c r="E4770" s="0" t="n">
        <v>68.75</v>
      </c>
    </row>
    <row r="4771" customFormat="false" ht="15" hidden="false" customHeight="false" outlineLevel="0" collapsed="false">
      <c r="A4771" s="0" t="n">
        <v>38088</v>
      </c>
      <c r="B4771" s="0" t="s">
        <v>7786</v>
      </c>
      <c r="C4771" s="0" t="s">
        <v>31</v>
      </c>
      <c r="D4771" s="0" t="s">
        <v>3671</v>
      </c>
      <c r="E4771" s="0" t="n">
        <v>72.29</v>
      </c>
    </row>
    <row r="4772" customFormat="false" ht="15" hidden="false" customHeight="false" outlineLevel="0" collapsed="false">
      <c r="A4772" s="0" t="n">
        <v>38110</v>
      </c>
      <c r="B4772" s="0" t="s">
        <v>7787</v>
      </c>
      <c r="C4772" s="0" t="s">
        <v>31</v>
      </c>
      <c r="D4772" s="0" t="s">
        <v>3671</v>
      </c>
      <c r="E4772" s="0" t="n">
        <v>26.44</v>
      </c>
    </row>
    <row r="4773" customFormat="false" ht="15" hidden="false" customHeight="false" outlineLevel="0" collapsed="false">
      <c r="A4773" s="0" t="n">
        <v>38089</v>
      </c>
      <c r="B4773" s="0" t="s">
        <v>7788</v>
      </c>
      <c r="C4773" s="0" t="s">
        <v>31</v>
      </c>
      <c r="D4773" s="0" t="s">
        <v>3671</v>
      </c>
      <c r="E4773" s="0" t="n">
        <v>46.08</v>
      </c>
    </row>
    <row r="4774" customFormat="false" ht="15" hidden="false" customHeight="false" outlineLevel="0" collapsed="false">
      <c r="A4774" s="0" t="n">
        <v>38111</v>
      </c>
      <c r="B4774" s="0" t="s">
        <v>7789</v>
      </c>
      <c r="C4774" s="0" t="s">
        <v>31</v>
      </c>
      <c r="D4774" s="0" t="s">
        <v>3671</v>
      </c>
      <c r="E4774" s="0" t="n">
        <v>29.57</v>
      </c>
    </row>
    <row r="4775" customFormat="false" ht="15" hidden="false" customHeight="false" outlineLevel="0" collapsed="false">
      <c r="A4775" s="0" t="n">
        <v>38090</v>
      </c>
      <c r="B4775" s="0" t="s">
        <v>7790</v>
      </c>
      <c r="C4775" s="0" t="s">
        <v>31</v>
      </c>
      <c r="D4775" s="0" t="s">
        <v>3671</v>
      </c>
      <c r="E4775" s="0" t="n">
        <v>47.63</v>
      </c>
    </row>
    <row r="4776" customFormat="false" ht="15" hidden="false" customHeight="false" outlineLevel="0" collapsed="false">
      <c r="A4776" s="0" t="n">
        <v>38400</v>
      </c>
      <c r="B4776" s="0" t="s">
        <v>7791</v>
      </c>
      <c r="C4776" s="0" t="s">
        <v>31</v>
      </c>
      <c r="D4776" s="0" t="s">
        <v>3671</v>
      </c>
      <c r="E4776" s="0" t="n">
        <v>24.18</v>
      </c>
    </row>
    <row r="4777" customFormat="false" ht="15" hidden="false" customHeight="false" outlineLevel="0" collapsed="false">
      <c r="A4777" s="0" t="n">
        <v>13726</v>
      </c>
      <c r="B4777" s="0" t="s">
        <v>7792</v>
      </c>
      <c r="C4777" s="0" t="s">
        <v>31</v>
      </c>
      <c r="D4777" s="0" t="s">
        <v>3671</v>
      </c>
    </row>
    <row r="4778" customFormat="false" ht="15" hidden="false" customHeight="false" outlineLevel="0" collapsed="false">
      <c r="A4778" s="0" t="n">
        <v>12627</v>
      </c>
      <c r="B4778" s="0" t="s">
        <v>7793</v>
      </c>
      <c r="C4778" s="0" t="s">
        <v>31</v>
      </c>
      <c r="D4778" s="0" t="s">
        <v>3671</v>
      </c>
      <c r="E4778" s="0" t="n">
        <v>1.36</v>
      </c>
    </row>
    <row r="4779" customFormat="false" ht="15" hidden="false" customHeight="false" outlineLevel="0" collapsed="false">
      <c r="A4779" s="0" t="n">
        <v>39996</v>
      </c>
      <c r="B4779" s="0" t="s">
        <v>2441</v>
      </c>
      <c r="C4779" s="0" t="s">
        <v>1455</v>
      </c>
      <c r="D4779" s="0" t="s">
        <v>3671</v>
      </c>
      <c r="E4779" s="0" t="n">
        <v>3.05</v>
      </c>
    </row>
    <row r="4780" customFormat="false" ht="15" hidden="false" customHeight="false" outlineLevel="0" collapsed="false">
      <c r="A4780" s="0" t="n">
        <v>10478</v>
      </c>
      <c r="B4780" s="0" t="s">
        <v>7794</v>
      </c>
      <c r="C4780" s="0" t="s">
        <v>1452</v>
      </c>
      <c r="D4780" s="0" t="s">
        <v>3676</v>
      </c>
      <c r="E4780" s="0" t="n">
        <v>36.96</v>
      </c>
    </row>
    <row r="4781" customFormat="false" ht="15" hidden="false" customHeight="false" outlineLevel="0" collapsed="false">
      <c r="A4781" s="0" t="n">
        <v>10481</v>
      </c>
      <c r="B4781" s="0" t="s">
        <v>7795</v>
      </c>
      <c r="C4781" s="0" t="s">
        <v>1452</v>
      </c>
      <c r="D4781" s="0" t="s">
        <v>3671</v>
      </c>
      <c r="E4781" s="0" t="n">
        <v>32.87</v>
      </c>
    </row>
    <row r="4782" customFormat="false" ht="15" hidden="false" customHeight="false" outlineLevel="0" collapsed="false">
      <c r="A4782" s="0" t="n">
        <v>10475</v>
      </c>
      <c r="B4782" s="0" t="s">
        <v>7796</v>
      </c>
      <c r="C4782" s="0" t="s">
        <v>1452</v>
      </c>
      <c r="D4782" s="0" t="s">
        <v>3671</v>
      </c>
      <c r="E4782" s="0" t="n">
        <v>31.8</v>
      </c>
    </row>
    <row r="4783" customFormat="false" ht="15" hidden="false" customHeight="false" outlineLevel="0" collapsed="false">
      <c r="A4783" s="0" t="n">
        <v>4030</v>
      </c>
      <c r="B4783" s="0" t="s">
        <v>7797</v>
      </c>
      <c r="C4783" s="0" t="s">
        <v>1477</v>
      </c>
      <c r="D4783" s="0" t="s">
        <v>3671</v>
      </c>
      <c r="E4783" s="0" t="n">
        <v>5.94</v>
      </c>
    </row>
    <row r="4784" customFormat="false" ht="15" hidden="false" customHeight="false" outlineLevel="0" collapsed="false">
      <c r="A4784" s="0" t="n">
        <v>4031</v>
      </c>
      <c r="B4784" s="0" t="s">
        <v>7798</v>
      </c>
      <c r="C4784" s="0" t="s">
        <v>1477</v>
      </c>
      <c r="D4784" s="0" t="s">
        <v>3671</v>
      </c>
      <c r="E4784" s="0" t="n">
        <v>27.93</v>
      </c>
    </row>
    <row r="4785" customFormat="false" ht="15" hidden="false" customHeight="false" outlineLevel="0" collapsed="false">
      <c r="A4785" s="0" t="n">
        <v>39399</v>
      </c>
      <c r="B4785" s="0" t="s">
        <v>7799</v>
      </c>
      <c r="C4785" s="0" t="s">
        <v>31</v>
      </c>
      <c r="D4785" s="0" t="s">
        <v>3671</v>
      </c>
    </row>
    <row r="4786" customFormat="false" ht="15" hidden="false" customHeight="false" outlineLevel="0" collapsed="false">
      <c r="A4786" s="0" t="n">
        <v>39400</v>
      </c>
      <c r="B4786" s="0" t="s">
        <v>7800</v>
      </c>
      <c r="C4786" s="0" t="s">
        <v>31</v>
      </c>
      <c r="D4786" s="0" t="s">
        <v>3671</v>
      </c>
    </row>
    <row r="4787" customFormat="false" ht="15" hidden="false" customHeight="false" outlineLevel="0" collapsed="false">
      <c r="A4787" s="0" t="n">
        <v>39401</v>
      </c>
      <c r="B4787" s="0" t="s">
        <v>7801</v>
      </c>
      <c r="C4787" s="0" t="s">
        <v>31</v>
      </c>
      <c r="D4787" s="0" t="s">
        <v>3671</v>
      </c>
    </row>
    <row r="4788" customFormat="false" ht="15" hidden="false" customHeight="false" outlineLevel="0" collapsed="false">
      <c r="A4788" s="0" t="n">
        <v>11652</v>
      </c>
      <c r="B4788" s="0" t="s">
        <v>7802</v>
      </c>
      <c r="C4788" s="0" t="s">
        <v>31</v>
      </c>
      <c r="D4788" s="0" t="s">
        <v>3676</v>
      </c>
    </row>
    <row r="4789" customFormat="false" ht="15" hidden="false" customHeight="false" outlineLevel="0" collapsed="false">
      <c r="A4789" s="0" t="n">
        <v>13475</v>
      </c>
      <c r="B4789" s="0" t="s">
        <v>7803</v>
      </c>
      <c r="C4789" s="0" t="s">
        <v>31</v>
      </c>
      <c r="D4789" s="0" t="s">
        <v>3671</v>
      </c>
    </row>
    <row r="4790" customFormat="false" ht="15" hidden="false" customHeight="false" outlineLevel="0" collapsed="false">
      <c r="A4790" s="0" t="n">
        <v>13896</v>
      </c>
      <c r="B4790" s="0" t="s">
        <v>1564</v>
      </c>
      <c r="C4790" s="0" t="s">
        <v>31</v>
      </c>
      <c r="D4790" s="0" t="s">
        <v>3671</v>
      </c>
    </row>
    <row r="4791" customFormat="false" ht="15" hidden="false" customHeight="false" outlineLevel="0" collapsed="false">
      <c r="A4791" s="0" t="n">
        <v>44470</v>
      </c>
      <c r="B4791" s="0" t="s">
        <v>7804</v>
      </c>
      <c r="C4791" s="0" t="s">
        <v>31</v>
      </c>
      <c r="D4791" s="0" t="s">
        <v>3671</v>
      </c>
    </row>
    <row r="4792" customFormat="false" ht="15" hidden="false" customHeight="false" outlineLevel="0" collapsed="false">
      <c r="A4792" s="0" t="n">
        <v>13476</v>
      </c>
      <c r="B4792" s="0" t="s">
        <v>7805</v>
      </c>
      <c r="C4792" s="0" t="s">
        <v>31</v>
      </c>
      <c r="D4792" s="0" t="s">
        <v>3671</v>
      </c>
    </row>
    <row r="4793" customFormat="false" ht="15" hidden="false" customHeight="false" outlineLevel="0" collapsed="false">
      <c r="A4793" s="0" t="n">
        <v>44491</v>
      </c>
      <c r="B4793" s="0" t="s">
        <v>7806</v>
      </c>
      <c r="C4793" s="0" t="s">
        <v>31</v>
      </c>
      <c r="D4793" s="0" t="s">
        <v>3671</v>
      </c>
    </row>
    <row r="4794" customFormat="false" ht="15" hidden="false" customHeight="false" outlineLevel="0" collapsed="false">
      <c r="A4794" s="0" t="n">
        <v>10488</v>
      </c>
      <c r="B4794" s="0" t="s">
        <v>7807</v>
      </c>
      <c r="C4794" s="0" t="s">
        <v>31</v>
      </c>
      <c r="D4794" s="0" t="s">
        <v>3676</v>
      </c>
    </row>
    <row r="4795" customFormat="false" ht="15" hidden="false" customHeight="false" outlineLevel="0" collapsed="false">
      <c r="A4795" s="0" t="n">
        <v>13606</v>
      </c>
      <c r="B4795" s="0" t="s">
        <v>7808</v>
      </c>
      <c r="C4795" s="0" t="s">
        <v>31</v>
      </c>
      <c r="D4795" s="0" t="s">
        <v>3671</v>
      </c>
    </row>
    <row r="4796" customFormat="false" ht="15" hidden="false" customHeight="false" outlineLevel="0" collapsed="false">
      <c r="A4796" s="0" t="n">
        <v>10489</v>
      </c>
      <c r="B4796" s="0" t="s">
        <v>1779</v>
      </c>
      <c r="C4796" s="0" t="s">
        <v>1444</v>
      </c>
      <c r="D4796" s="0" t="s">
        <v>3671</v>
      </c>
      <c r="E4796" s="0" t="n">
        <v>17.42</v>
      </c>
    </row>
    <row r="4797" customFormat="false" ht="15" hidden="false" customHeight="false" outlineLevel="0" collapsed="false">
      <c r="A4797" s="0" t="n">
        <v>41073</v>
      </c>
      <c r="B4797" s="0" t="s">
        <v>7809</v>
      </c>
      <c r="C4797" s="0" t="s">
        <v>1416</v>
      </c>
      <c r="D4797" s="0" t="s">
        <v>3671</v>
      </c>
      <c r="E4797" s="0" t="n">
        <v>3071.15</v>
      </c>
    </row>
    <row r="4798" customFormat="false" ht="15" hidden="false" customHeight="false" outlineLevel="0" collapsed="false">
      <c r="A4798" s="0" t="n">
        <v>34391</v>
      </c>
      <c r="B4798" s="0" t="s">
        <v>1788</v>
      </c>
      <c r="C4798" s="0" t="s">
        <v>1477</v>
      </c>
      <c r="D4798" s="0" t="s">
        <v>3671</v>
      </c>
      <c r="E4798" s="0" t="n">
        <v>593.65</v>
      </c>
    </row>
    <row r="4799" customFormat="false" ht="15" hidden="false" customHeight="false" outlineLevel="0" collapsed="false">
      <c r="A4799" s="0" t="n">
        <v>10496</v>
      </c>
      <c r="B4799" s="0" t="s">
        <v>7810</v>
      </c>
      <c r="C4799" s="0" t="s">
        <v>1477</v>
      </c>
      <c r="D4799" s="0" t="s">
        <v>3671</v>
      </c>
      <c r="E4799" s="0" t="n">
        <v>516.66</v>
      </c>
    </row>
    <row r="4800" customFormat="false" ht="15" hidden="false" customHeight="false" outlineLevel="0" collapsed="false">
      <c r="A4800" s="0" t="n">
        <v>10497</v>
      </c>
      <c r="B4800" s="0" t="s">
        <v>7811</v>
      </c>
      <c r="C4800" s="0" t="s">
        <v>1477</v>
      </c>
      <c r="D4800" s="0" t="s">
        <v>3671</v>
      </c>
      <c r="E4800" s="0" t="n">
        <v>1343.33</v>
      </c>
    </row>
    <row r="4801" customFormat="false" ht="15" hidden="false" customHeight="false" outlineLevel="0" collapsed="false">
      <c r="A4801" s="0" t="n">
        <v>10504</v>
      </c>
      <c r="B4801" s="0" t="s">
        <v>7812</v>
      </c>
      <c r="C4801" s="0" t="s">
        <v>1477</v>
      </c>
      <c r="D4801" s="0" t="s">
        <v>3671</v>
      </c>
      <c r="E4801" s="0" t="n">
        <v>1570.66</v>
      </c>
    </row>
    <row r="4802" customFormat="false" ht="15" hidden="false" customHeight="false" outlineLevel="0" collapsed="false">
      <c r="A4802" s="0" t="n">
        <v>34390</v>
      </c>
      <c r="B4802" s="0" t="s">
        <v>7813</v>
      </c>
      <c r="C4802" s="0" t="s">
        <v>1477</v>
      </c>
      <c r="D4802" s="0" t="s">
        <v>3671</v>
      </c>
      <c r="E4802" s="0" t="n">
        <v>462.93</v>
      </c>
    </row>
    <row r="4803" customFormat="false" ht="15" hidden="false" customHeight="false" outlineLevel="0" collapsed="false">
      <c r="A4803" s="0" t="n">
        <v>34389</v>
      </c>
      <c r="B4803" s="0" t="s">
        <v>7814</v>
      </c>
      <c r="C4803" s="0" t="s">
        <v>1477</v>
      </c>
      <c r="D4803" s="0" t="s">
        <v>3671</v>
      </c>
      <c r="E4803" s="0" t="n">
        <v>144.66</v>
      </c>
    </row>
    <row r="4804" customFormat="false" ht="15" hidden="false" customHeight="false" outlineLevel="0" collapsed="false">
      <c r="A4804" s="0" t="n">
        <v>34388</v>
      </c>
      <c r="B4804" s="0" t="s">
        <v>7815</v>
      </c>
      <c r="C4804" s="0" t="s">
        <v>1477</v>
      </c>
      <c r="D4804" s="0" t="s">
        <v>3671</v>
      </c>
      <c r="E4804" s="0" t="n">
        <v>205.61</v>
      </c>
    </row>
    <row r="4805" customFormat="false" ht="15" hidden="false" customHeight="false" outlineLevel="0" collapsed="false">
      <c r="A4805" s="0" t="n">
        <v>34387</v>
      </c>
      <c r="B4805" s="0" t="s">
        <v>7816</v>
      </c>
      <c r="C4805" s="0" t="s">
        <v>1477</v>
      </c>
      <c r="D4805" s="0" t="s">
        <v>3671</v>
      </c>
      <c r="E4805" s="0" t="n">
        <v>333.76</v>
      </c>
    </row>
    <row r="4806" customFormat="false" ht="15" hidden="false" customHeight="false" outlineLevel="0" collapsed="false">
      <c r="A4806" s="0" t="n">
        <v>11188</v>
      </c>
      <c r="B4806" s="0" t="s">
        <v>7817</v>
      </c>
      <c r="C4806" s="0" t="s">
        <v>1477</v>
      </c>
      <c r="D4806" s="0" t="s">
        <v>3671</v>
      </c>
      <c r="E4806" s="0" t="n">
        <v>165.33</v>
      </c>
    </row>
    <row r="4807" customFormat="false" ht="15" hidden="false" customHeight="false" outlineLevel="0" collapsed="false">
      <c r="A4807" s="0" t="n">
        <v>11189</v>
      </c>
      <c r="B4807" s="0" t="s">
        <v>7818</v>
      </c>
      <c r="C4807" s="0" t="s">
        <v>1477</v>
      </c>
      <c r="D4807" s="0" t="s">
        <v>3671</v>
      </c>
      <c r="E4807" s="0" t="n">
        <v>248</v>
      </c>
    </row>
    <row r="4808" customFormat="false" ht="15" hidden="false" customHeight="false" outlineLevel="0" collapsed="false">
      <c r="A4808" s="0" t="n">
        <v>21107</v>
      </c>
      <c r="B4808" s="0" t="s">
        <v>7819</v>
      </c>
      <c r="C4808" s="0" t="s">
        <v>1477</v>
      </c>
      <c r="D4808" s="0" t="s">
        <v>3671</v>
      </c>
      <c r="E4808" s="0" t="n">
        <v>178.47</v>
      </c>
    </row>
    <row r="4809" customFormat="false" ht="15" hidden="false" customHeight="false" outlineLevel="0" collapsed="false">
      <c r="A4809" s="0" t="n">
        <v>34386</v>
      </c>
      <c r="B4809" s="0" t="s">
        <v>7820</v>
      </c>
      <c r="C4809" s="0" t="s">
        <v>1477</v>
      </c>
      <c r="D4809" s="0" t="s">
        <v>3671</v>
      </c>
      <c r="E4809" s="0" t="n">
        <v>310</v>
      </c>
    </row>
    <row r="4810" customFormat="false" ht="15" hidden="false" customHeight="false" outlineLevel="0" collapsed="false">
      <c r="A4810" s="0" t="n">
        <v>10490</v>
      </c>
      <c r="B4810" s="0" t="s">
        <v>7821</v>
      </c>
      <c r="C4810" s="0" t="s">
        <v>1477</v>
      </c>
      <c r="D4810" s="0" t="s">
        <v>3671</v>
      </c>
      <c r="E4810" s="0" t="n">
        <v>108.5</v>
      </c>
    </row>
    <row r="4811" customFormat="false" ht="15" hidden="false" customHeight="false" outlineLevel="0" collapsed="false">
      <c r="A4811" s="0" t="n">
        <v>10492</v>
      </c>
      <c r="B4811" s="0" t="s">
        <v>7822</v>
      </c>
      <c r="C4811" s="0" t="s">
        <v>1477</v>
      </c>
      <c r="D4811" s="0" t="s">
        <v>3676</v>
      </c>
      <c r="E4811" s="0" t="n">
        <v>124</v>
      </c>
    </row>
    <row r="4812" customFormat="false" ht="15" hidden="false" customHeight="false" outlineLevel="0" collapsed="false">
      <c r="A4812" s="0" t="n">
        <v>10493</v>
      </c>
      <c r="B4812" s="0" t="s">
        <v>7823</v>
      </c>
      <c r="C4812" s="0" t="s">
        <v>1477</v>
      </c>
      <c r="D4812" s="0" t="s">
        <v>3671</v>
      </c>
      <c r="E4812" s="0" t="n">
        <v>144.66</v>
      </c>
    </row>
    <row r="4813" customFormat="false" ht="15" hidden="false" customHeight="false" outlineLevel="0" collapsed="false">
      <c r="A4813" s="0" t="n">
        <v>10491</v>
      </c>
      <c r="B4813" s="0" t="s">
        <v>7824</v>
      </c>
      <c r="C4813" s="0" t="s">
        <v>1477</v>
      </c>
      <c r="D4813" s="0" t="s">
        <v>3671</v>
      </c>
      <c r="E4813" s="0" t="n">
        <v>175.66</v>
      </c>
    </row>
    <row r="4814" customFormat="false" ht="15" hidden="false" customHeight="false" outlineLevel="0" collapsed="false">
      <c r="A4814" s="0" t="n">
        <v>34385</v>
      </c>
      <c r="B4814" s="0" t="s">
        <v>7825</v>
      </c>
      <c r="C4814" s="0" t="s">
        <v>1477</v>
      </c>
      <c r="D4814" s="0" t="s">
        <v>3671</v>
      </c>
      <c r="E4814" s="0" t="n">
        <v>256.26</v>
      </c>
    </row>
    <row r="4815" customFormat="false" ht="15" hidden="false" customHeight="false" outlineLevel="0" collapsed="false">
      <c r="A4815" s="0" t="n">
        <v>10499</v>
      </c>
      <c r="B4815" s="0" t="s">
        <v>7826</v>
      </c>
      <c r="C4815" s="0" t="s">
        <v>1477</v>
      </c>
      <c r="D4815" s="0" t="s">
        <v>3671</v>
      </c>
      <c r="E4815" s="0" t="n">
        <v>103.33</v>
      </c>
    </row>
    <row r="4816" customFormat="false" ht="15" hidden="false" customHeight="false" outlineLevel="0" collapsed="false">
      <c r="A4816" s="0" t="n">
        <v>34384</v>
      </c>
      <c r="B4816" s="0" t="s">
        <v>7827</v>
      </c>
      <c r="C4816" s="0" t="s">
        <v>1477</v>
      </c>
      <c r="D4816" s="0" t="s">
        <v>3671</v>
      </c>
      <c r="E4816" s="0" t="n">
        <v>310</v>
      </c>
    </row>
    <row r="4817" customFormat="false" ht="15" hidden="false" customHeight="false" outlineLevel="0" collapsed="false">
      <c r="A4817" s="0" t="n">
        <v>11185</v>
      </c>
      <c r="B4817" s="0" t="s">
        <v>7828</v>
      </c>
      <c r="C4817" s="0" t="s">
        <v>1477</v>
      </c>
      <c r="D4817" s="0" t="s">
        <v>3671</v>
      </c>
      <c r="E4817" s="0" t="n">
        <v>320.33</v>
      </c>
    </row>
    <row r="4818" customFormat="false" ht="15" hidden="false" customHeight="false" outlineLevel="0" collapsed="false">
      <c r="A4818" s="0" t="n">
        <v>10507</v>
      </c>
      <c r="B4818" s="0" t="s">
        <v>1778</v>
      </c>
      <c r="C4818" s="0" t="s">
        <v>1477</v>
      </c>
      <c r="D4818" s="0" t="s">
        <v>3671</v>
      </c>
      <c r="E4818" s="0" t="n">
        <v>276.44</v>
      </c>
    </row>
    <row r="4819" customFormat="false" ht="15" hidden="false" customHeight="false" outlineLevel="0" collapsed="false">
      <c r="A4819" s="0" t="n">
        <v>10505</v>
      </c>
      <c r="B4819" s="0" t="s">
        <v>7829</v>
      </c>
      <c r="C4819" s="0" t="s">
        <v>1477</v>
      </c>
      <c r="D4819" s="0" t="s">
        <v>3671</v>
      </c>
      <c r="E4819" s="0" t="n">
        <v>163.12</v>
      </c>
    </row>
    <row r="4820" customFormat="false" ht="15" hidden="false" customHeight="false" outlineLevel="0" collapsed="false">
      <c r="A4820" s="0" t="n">
        <v>10506</v>
      </c>
      <c r="B4820" s="0" t="s">
        <v>7830</v>
      </c>
      <c r="C4820" s="0" t="s">
        <v>1477</v>
      </c>
      <c r="D4820" s="0" t="s">
        <v>3671</v>
      </c>
      <c r="E4820" s="0" t="n">
        <v>212.94</v>
      </c>
    </row>
    <row r="4821" customFormat="false" ht="15" hidden="false" customHeight="false" outlineLevel="0" collapsed="false">
      <c r="A4821" s="0" t="n">
        <v>5031</v>
      </c>
      <c r="B4821" s="0" t="s">
        <v>1860</v>
      </c>
      <c r="C4821" s="0" t="s">
        <v>1477</v>
      </c>
      <c r="D4821" s="0" t="s">
        <v>3676</v>
      </c>
      <c r="E4821" s="0" t="n">
        <v>299</v>
      </c>
    </row>
    <row r="4822" customFormat="false" ht="15" hidden="false" customHeight="false" outlineLevel="0" collapsed="false">
      <c r="A4822" s="0" t="n">
        <v>10502</v>
      </c>
      <c r="B4822" s="0" t="s">
        <v>7831</v>
      </c>
      <c r="C4822" s="0" t="s">
        <v>1477</v>
      </c>
      <c r="D4822" s="0" t="s">
        <v>3671</v>
      </c>
      <c r="E4822" s="0" t="n">
        <v>348.4</v>
      </c>
    </row>
    <row r="4823" customFormat="false" ht="15" hidden="false" customHeight="false" outlineLevel="0" collapsed="false">
      <c r="A4823" s="0" t="n">
        <v>10501</v>
      </c>
      <c r="B4823" s="0" t="s">
        <v>7832</v>
      </c>
      <c r="C4823" s="0" t="s">
        <v>1477</v>
      </c>
      <c r="D4823" s="0" t="s">
        <v>3671</v>
      </c>
      <c r="E4823" s="0" t="n">
        <v>196.84</v>
      </c>
    </row>
    <row r="4824" customFormat="false" ht="15" hidden="false" customHeight="false" outlineLevel="0" collapsed="false">
      <c r="A4824" s="0" t="n">
        <v>10503</v>
      </c>
      <c r="B4824" s="0" t="s">
        <v>7833</v>
      </c>
      <c r="C4824" s="0" t="s">
        <v>1477</v>
      </c>
      <c r="D4824" s="0" t="s">
        <v>3671</v>
      </c>
      <c r="E4824" s="0" t="n">
        <v>265.93</v>
      </c>
    </row>
    <row r="4825" customFormat="false" ht="15" hidden="false" customHeight="false" outlineLevel="0" collapsed="false">
      <c r="A4825" s="0" t="n">
        <v>4500</v>
      </c>
      <c r="B4825" s="0" t="s">
        <v>7834</v>
      </c>
      <c r="C4825" s="0" t="s">
        <v>1455</v>
      </c>
      <c r="D4825" s="0" t="s">
        <v>3671</v>
      </c>
      <c r="E4825" s="0" t="n">
        <v>19.76</v>
      </c>
    </row>
    <row r="4826" customFormat="false" ht="15" hidden="false" customHeight="false" outlineLevel="0" collapsed="false">
      <c r="A4826" s="0" t="n">
        <v>4448</v>
      </c>
      <c r="B4826" s="0" t="s">
        <v>7835</v>
      </c>
      <c r="C4826" s="0" t="s">
        <v>1455</v>
      </c>
      <c r="D4826" s="0" t="s">
        <v>3671</v>
      </c>
      <c r="E4826" s="0" t="n">
        <v>27.15</v>
      </c>
    </row>
    <row r="4827" customFormat="false" ht="15" hidden="false" customHeight="false" outlineLevel="0" collapsed="false">
      <c r="A4827" s="0" t="n">
        <v>20213</v>
      </c>
      <c r="B4827" s="0" t="s">
        <v>7836</v>
      </c>
      <c r="C4827" s="0" t="s">
        <v>1455</v>
      </c>
      <c r="D4827" s="0" t="s">
        <v>3671</v>
      </c>
      <c r="E4827" s="0" t="n">
        <v>21.26</v>
      </c>
    </row>
    <row r="4828" customFormat="false" ht="15" hidden="false" customHeight="false" outlineLevel="0" collapsed="false">
      <c r="A4828" s="0" t="n">
        <v>20211</v>
      </c>
      <c r="B4828" s="0" t="s">
        <v>7837</v>
      </c>
      <c r="C4828" s="0" t="s">
        <v>1455</v>
      </c>
      <c r="D4828" s="0" t="s">
        <v>3671</v>
      </c>
      <c r="E4828" s="0" t="n">
        <v>28.15</v>
      </c>
    </row>
    <row r="4829" customFormat="false" ht="15" hidden="false" customHeight="false" outlineLevel="0" collapsed="false">
      <c r="A4829" s="0" t="n">
        <v>40270</v>
      </c>
      <c r="B4829" s="0" t="s">
        <v>1686</v>
      </c>
      <c r="C4829" s="0" t="s">
        <v>1455</v>
      </c>
      <c r="D4829" s="0" t="s">
        <v>3676</v>
      </c>
    </row>
    <row r="4830" customFormat="false" ht="15" hidden="false" customHeight="false" outlineLevel="0" collapsed="false">
      <c r="A4830" s="0" t="n">
        <v>4425</v>
      </c>
      <c r="B4830" s="0" t="s">
        <v>1553</v>
      </c>
      <c r="C4830" s="0" t="s">
        <v>1455</v>
      </c>
      <c r="D4830" s="0" t="s">
        <v>3671</v>
      </c>
      <c r="E4830" s="0" t="n">
        <v>23.26</v>
      </c>
    </row>
    <row r="4831" customFormat="false" ht="15" hidden="false" customHeight="false" outlineLevel="0" collapsed="false">
      <c r="A4831" s="0" t="n">
        <v>4472</v>
      </c>
      <c r="B4831" s="0" t="s">
        <v>1587</v>
      </c>
      <c r="C4831" s="0" t="s">
        <v>1455</v>
      </c>
      <c r="D4831" s="0" t="s">
        <v>3671</v>
      </c>
      <c r="E4831" s="0" t="n">
        <v>29.06</v>
      </c>
    </row>
    <row r="4832" customFormat="false" ht="15" hidden="false" customHeight="false" outlineLevel="0" collapsed="false">
      <c r="A4832" s="0" t="n">
        <v>35272</v>
      </c>
      <c r="B4832" s="0" t="s">
        <v>7838</v>
      </c>
      <c r="C4832" s="0" t="s">
        <v>1455</v>
      </c>
      <c r="D4832" s="0" t="s">
        <v>3671</v>
      </c>
      <c r="E4832" s="0" t="n">
        <v>42.01</v>
      </c>
    </row>
    <row r="4833" customFormat="false" ht="15" hidden="false" customHeight="false" outlineLevel="0" collapsed="false">
      <c r="A4833" s="0" t="n">
        <v>4481</v>
      </c>
      <c r="B4833" s="0" t="s">
        <v>7839</v>
      </c>
      <c r="C4833" s="0" t="s">
        <v>1455</v>
      </c>
      <c r="D4833" s="0" t="s">
        <v>3671</v>
      </c>
      <c r="E4833" s="0" t="n">
        <v>44.97</v>
      </c>
    </row>
    <row r="4834" customFormat="false" ht="15" hidden="false" customHeight="false" outlineLevel="0" collapsed="false">
      <c r="A4834" s="0" t="n">
        <v>34345</v>
      </c>
      <c r="B4834" s="0" t="s">
        <v>7840</v>
      </c>
      <c r="C4834" s="0" t="s">
        <v>1444</v>
      </c>
      <c r="D4834" s="0" t="s">
        <v>3671</v>
      </c>
      <c r="E4834" s="0" t="n">
        <v>14.03</v>
      </c>
    </row>
    <row r="4835" customFormat="false" ht="15" hidden="false" customHeight="false" outlineLevel="0" collapsed="false">
      <c r="A4835" s="0" t="n">
        <v>41096</v>
      </c>
      <c r="B4835" s="0" t="s">
        <v>1440</v>
      </c>
      <c r="C4835" s="0" t="s">
        <v>1416</v>
      </c>
      <c r="D4835" s="0" t="s">
        <v>3671</v>
      </c>
      <c r="E4835" s="0" t="n">
        <v>2473.48</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558ED5"/>
    <pageSetUpPr fitToPage="true"/>
  </sheetPr>
  <dimension ref="A1:S961"/>
  <sheetViews>
    <sheetView showFormulas="false" showGridLines="true" showRowColHeaders="true" showZeros="true" rightToLeft="false" tabSelected="false" showOutlineSymbols="true" defaultGridColor="true" view="pageBreakPreview" topLeftCell="A1" colorId="64" zoomScale="100" zoomScaleNormal="70" zoomScalePageLayoutView="100" workbookViewId="0">
      <pane xSplit="0" ySplit="6" topLeftCell="A416" activePane="bottomLeft" state="frozen"/>
      <selection pane="topLeft" activeCell="A1" activeCellId="0" sqref="A1"/>
      <selection pane="bottomLeft" activeCell="E17" activeCellId="0" sqref="E17"/>
    </sheetView>
  </sheetViews>
  <sheetFormatPr defaultRowHeight="15" zeroHeight="false" outlineLevelRow="4" outlineLevelCol="0"/>
  <cols>
    <col collapsed="false" customWidth="true" hidden="false" outlineLevel="0" max="1" min="1" style="18" width="10.85"/>
    <col collapsed="false" customWidth="true" hidden="false" outlineLevel="0" max="2" min="2" style="19" width="24.86"/>
    <col collapsed="false" customWidth="true" hidden="false" outlineLevel="0" max="3" min="3" style="18" width="65.86"/>
    <col collapsed="false" customWidth="true" hidden="false" outlineLevel="0" max="5" min="4" style="20" width="8.71"/>
    <col collapsed="false" customWidth="true" hidden="false" outlineLevel="0" max="6" min="6" style="21" width="8.71"/>
    <col collapsed="false" customWidth="true" hidden="false" outlineLevel="0" max="7" min="7" style="20" width="14.28"/>
    <col collapsed="false" customWidth="true" hidden="false" outlineLevel="0" max="8" min="8" style="20" width="14.86"/>
    <col collapsed="false" customWidth="true" hidden="false" outlineLevel="0" max="9" min="9" style="20" width="15.71"/>
    <col collapsed="false" customWidth="true" hidden="false" outlineLevel="0" max="10" min="10" style="20" width="19.14"/>
    <col collapsed="false" customWidth="true" hidden="false" outlineLevel="0" max="12" min="11" style="20" width="14.7"/>
    <col collapsed="false" customWidth="true" hidden="false" outlineLevel="0" max="13" min="13" style="20" width="18.85"/>
    <col collapsed="false" customWidth="true" hidden="true" outlineLevel="0" max="14" min="14" style="22" width="9.14"/>
    <col collapsed="false" customWidth="true" hidden="false" outlineLevel="0" max="15" min="15" style="22" width="9.14"/>
    <col collapsed="false" customWidth="true" hidden="true" outlineLevel="0" max="16" min="16" style="22" width="15.86"/>
    <col collapsed="false" customWidth="true" hidden="true" outlineLevel="0" max="17" min="17" style="22" width="15.42"/>
    <col collapsed="false" customWidth="true" hidden="true" outlineLevel="0" max="18" min="18" style="22" width="12.29"/>
    <col collapsed="false" customWidth="true" hidden="true" outlineLevel="0" max="19" min="19" style="22" width="15.29"/>
    <col collapsed="false" customWidth="true" hidden="true" outlineLevel="0" max="21" min="20" style="0" width="8.71"/>
    <col collapsed="false" customWidth="true" hidden="false" outlineLevel="0" max="1025" min="22" style="0" width="8.71"/>
  </cols>
  <sheetData>
    <row r="1" s="26" customFormat="true" ht="18" hidden="false" customHeight="true" outlineLevel="0" collapsed="false">
      <c r="A1" s="23" t="s">
        <v>25</v>
      </c>
      <c r="B1" s="23"/>
      <c r="C1" s="23"/>
      <c r="D1" s="24" t="s">
        <v>26</v>
      </c>
      <c r="E1" s="24"/>
      <c r="F1" s="24"/>
      <c r="G1" s="24"/>
      <c r="H1" s="24"/>
      <c r="I1" s="24"/>
      <c r="J1" s="24"/>
      <c r="K1" s="25"/>
      <c r="L1" s="25"/>
      <c r="M1" s="25"/>
    </row>
    <row r="2" s="26" customFormat="true" ht="18" hidden="false" customHeight="false" outlineLevel="0" collapsed="false">
      <c r="A2" s="23"/>
      <c r="B2" s="23"/>
      <c r="C2" s="23"/>
      <c r="D2" s="27" t="str">
        <f aca="false">"OBRA: "&amp;'CAPA-DADOS'!D10</f>
        <v>OBRA: FORUM TRABALHISTA DA 18 REGIAO</v>
      </c>
      <c r="E2" s="27"/>
      <c r="F2" s="27"/>
      <c r="G2" s="27"/>
      <c r="H2" s="27"/>
      <c r="I2" s="27"/>
      <c r="J2" s="28" t="n">
        <f aca="false">'CAPA-DADOS'!E13</f>
        <v>45750</v>
      </c>
      <c r="K2" s="25"/>
      <c r="L2" s="25"/>
      <c r="M2" s="25"/>
    </row>
    <row r="3" s="26" customFormat="true" ht="18" hidden="false" customHeight="false" outlineLevel="0" collapsed="false">
      <c r="A3" s="23"/>
      <c r="B3" s="23"/>
      <c r="C3" s="23"/>
      <c r="D3" s="27"/>
      <c r="E3" s="27"/>
      <c r="F3" s="27"/>
      <c r="G3" s="27"/>
      <c r="H3" s="27"/>
      <c r="I3" s="27"/>
      <c r="J3" s="29" t="str">
        <f aca="false">'CAPA-DADOS'!E16</f>
        <v>SINAPI-FEV/2025</v>
      </c>
      <c r="K3" s="25"/>
      <c r="L3" s="25"/>
      <c r="M3" s="25"/>
      <c r="S3" s="30" t="e">
        <f aca="false">SUM(S7:S937)</f>
        <v>#VALUE!</v>
      </c>
    </row>
    <row r="4" s="35" customFormat="true" ht="15" hidden="false" customHeight="true" outlineLevel="0" collapsed="false">
      <c r="A4" s="31" t="s">
        <v>27</v>
      </c>
      <c r="B4" s="32" t="s">
        <v>28</v>
      </c>
      <c r="C4" s="32" t="s">
        <v>29</v>
      </c>
      <c r="D4" s="31" t="s">
        <v>30</v>
      </c>
      <c r="E4" s="31" t="s">
        <v>31</v>
      </c>
      <c r="F4" s="33" t="s">
        <v>32</v>
      </c>
      <c r="G4" s="34" t="s">
        <v>33</v>
      </c>
      <c r="H4" s="34"/>
      <c r="I4" s="34" t="s">
        <v>34</v>
      </c>
      <c r="J4" s="34"/>
      <c r="K4" s="34" t="s">
        <v>35</v>
      </c>
      <c r="L4" s="34"/>
      <c r="M4" s="34" t="s">
        <v>36</v>
      </c>
    </row>
    <row r="5" s="35" customFormat="true" ht="15" hidden="false" customHeight="false" outlineLevel="0" collapsed="false">
      <c r="A5" s="31"/>
      <c r="B5" s="32"/>
      <c r="C5" s="32"/>
      <c r="D5" s="31"/>
      <c r="E5" s="31"/>
      <c r="F5" s="33"/>
      <c r="G5" s="34" t="s">
        <v>37</v>
      </c>
      <c r="H5" s="34" t="s">
        <v>38</v>
      </c>
      <c r="I5" s="34" t="s">
        <v>37</v>
      </c>
      <c r="J5" s="34" t="s">
        <v>38</v>
      </c>
      <c r="K5" s="34" t="s">
        <v>37</v>
      </c>
      <c r="L5" s="34" t="s">
        <v>38</v>
      </c>
      <c r="M5" s="34"/>
      <c r="P5" s="36" t="s">
        <v>39</v>
      </c>
      <c r="Q5" s="36"/>
      <c r="R5" s="36"/>
      <c r="S5" s="36"/>
    </row>
    <row r="6" s="20" customFormat="true" ht="15" hidden="false" customHeight="false" outlineLevel="0" collapsed="false">
      <c r="A6" s="37" t="s">
        <v>40</v>
      </c>
      <c r="B6" s="38" t="s">
        <v>41</v>
      </c>
      <c r="C6" s="38" t="s">
        <v>42</v>
      </c>
      <c r="D6" s="37" t="s">
        <v>43</v>
      </c>
      <c r="E6" s="37" t="s">
        <v>44</v>
      </c>
      <c r="F6" s="39" t="s">
        <v>45</v>
      </c>
      <c r="G6" s="40" t="s">
        <v>46</v>
      </c>
      <c r="H6" s="40" t="s">
        <v>47</v>
      </c>
      <c r="I6" s="40" t="s">
        <v>48</v>
      </c>
      <c r="J6" s="40" t="s">
        <v>49</v>
      </c>
      <c r="K6" s="40" t="s">
        <v>50</v>
      </c>
      <c r="L6" s="40" t="s">
        <v>51</v>
      </c>
      <c r="M6" s="40" t="s">
        <v>52</v>
      </c>
      <c r="P6" s="36" t="s">
        <v>53</v>
      </c>
      <c r="Q6" s="36" t="s">
        <v>54</v>
      </c>
      <c r="R6" s="36" t="s">
        <v>55</v>
      </c>
      <c r="S6" s="41" t="s">
        <v>56</v>
      </c>
    </row>
    <row r="7" customFormat="false" ht="15" hidden="false" customHeight="false" outlineLevel="0" collapsed="false">
      <c r="A7" s="42" t="n">
        <v>1</v>
      </c>
      <c r="B7" s="43"/>
      <c r="C7" s="44" t="s">
        <v>57</v>
      </c>
      <c r="D7" s="45"/>
      <c r="E7" s="45"/>
      <c r="F7" s="46"/>
      <c r="G7" s="47"/>
      <c r="H7" s="47"/>
      <c r="I7" s="47" t="n">
        <f aca="false">SUBTOTAL(9,I8:I12)</f>
        <v>42209.88</v>
      </c>
      <c r="J7" s="47" t="n">
        <f aca="false">SUBTOTAL(9,J8:J12)</f>
        <v>404149.1704344</v>
      </c>
      <c r="K7" s="47" t="n">
        <f aca="false">SUBTOTAL(9,K8:K12)</f>
        <v>50913.557256</v>
      </c>
      <c r="L7" s="47" t="n">
        <f aca="false">SUBTOTAL(9,L8:L12)</f>
        <v>515249.777386817</v>
      </c>
      <c r="M7" s="47" t="n">
        <f aca="false">SUBTOTAL(9,M8:M12)</f>
        <v>566163.334642817</v>
      </c>
      <c r="N7" s="20" t="n">
        <f aca="false">A7</f>
        <v>1</v>
      </c>
      <c r="P7" s="48"/>
      <c r="Q7" s="49"/>
      <c r="R7" s="48"/>
      <c r="S7" s="48"/>
    </row>
    <row r="8" customFormat="false" ht="15" hidden="false" customHeight="false" outlineLevel="1" collapsed="false">
      <c r="A8" s="42" t="s">
        <v>58</v>
      </c>
      <c r="B8" s="43" t="n">
        <v>94296</v>
      </c>
      <c r="C8" s="50" t="str">
        <f aca="false">VLOOKUP($B8,03_COMPOSIÇÕES!$A:$G,2,0)</f>
        <v>TOPOGRAFO COM ENCARGOS COMPLEMENTARES</v>
      </c>
      <c r="D8" s="45" t="s">
        <v>59</v>
      </c>
      <c r="E8" s="51" t="str">
        <f aca="false">VLOOKUP($B8,03_COMPOSIÇÕES!$A:$G,4,0)</f>
        <v>MES</v>
      </c>
      <c r="F8" s="46" t="n">
        <v>1</v>
      </c>
      <c r="G8" s="51" t="n">
        <f aca="false">VLOOKUP($B8,03_COMPOSIÇÕES!$A:$G,6,0)</f>
        <v>434.84</v>
      </c>
      <c r="H8" s="52" t="n">
        <f aca="false">VLOOKUP($B8,03_COMPOSIÇÕES!$A:$G,7,0)</f>
        <v>3583.9761168</v>
      </c>
      <c r="I8" s="47" t="n">
        <f aca="false">$F8*$G8</f>
        <v>434.84</v>
      </c>
      <c r="J8" s="47" t="n">
        <f aca="false">$F8*$H8</f>
        <v>3583.9761168</v>
      </c>
      <c r="K8" s="47" t="n">
        <f aca="false">$I8*(1+BDI_MAT)</f>
        <v>524.504008</v>
      </c>
      <c r="L8" s="47" t="n">
        <f aca="false">$J8*(1+BDI_MDO)</f>
        <v>4569.21115130832</v>
      </c>
      <c r="M8" s="47" t="n">
        <f aca="false">SUM(K8:L8)</f>
        <v>5093.71515930832</v>
      </c>
      <c r="N8" s="20" t="str">
        <f aca="false">A8</f>
        <v>1.01</v>
      </c>
      <c r="P8" s="48" t="n">
        <f aca="false">G8+H8</f>
        <v>4018.8161168</v>
      </c>
      <c r="Q8" s="49" t="e">
        <f aca="false">VLOOKUP(B8,#REF!,5,0)</f>
        <v>#VALUE!</v>
      </c>
      <c r="R8" s="48" t="e">
        <f aca="false">P8-Q8</f>
        <v>#VALUE!</v>
      </c>
      <c r="S8" s="48" t="e">
        <f aca="false">F8*R8</f>
        <v>#VALUE!</v>
      </c>
    </row>
    <row r="9" customFormat="false" ht="30" hidden="false" customHeight="false" outlineLevel="1" collapsed="false">
      <c r="A9" s="42" t="s">
        <v>60</v>
      </c>
      <c r="B9" s="43" t="n">
        <v>100321</v>
      </c>
      <c r="C9" s="50" t="str">
        <f aca="false">VLOOKUP($B9,03_COMPOSIÇÕES!$A:$G,2,0)</f>
        <v>TÉCNICO EM SEGURANÇA DO TRABALHO COM ENCARGOS COMPLEMENTARES</v>
      </c>
      <c r="D9" s="45" t="s">
        <v>59</v>
      </c>
      <c r="E9" s="51" t="str">
        <f aca="false">VLOOKUP($B9,03_COMPOSIÇÕES!$A:$G,4,0)</f>
        <v>MES</v>
      </c>
      <c r="F9" s="46" t="n">
        <v>16</v>
      </c>
      <c r="G9" s="51" t="n">
        <f aca="false">VLOOKUP($B9,03_COMPOSIÇÕES!$A:$G,6,0)</f>
        <v>450.65</v>
      </c>
      <c r="H9" s="52" t="n">
        <f aca="false">VLOOKUP($B9,03_COMPOSIÇÕES!$A:$G,7,0)</f>
        <v>4825.3929922</v>
      </c>
      <c r="I9" s="47" t="n">
        <f aca="false">$F9*$G9</f>
        <v>7210.4</v>
      </c>
      <c r="J9" s="47" t="n">
        <f aca="false">$F9*$H9</f>
        <v>77206.2878752</v>
      </c>
      <c r="K9" s="47" t="n">
        <f aca="false">$I9*(1+BDI_MAT)</f>
        <v>8697.18448</v>
      </c>
      <c r="L9" s="47" t="n">
        <f aca="false">$J9*(1+BDI_MDO)</f>
        <v>98430.2964120925</v>
      </c>
      <c r="M9" s="47" t="n">
        <f aca="false">SUM(K9:L9)</f>
        <v>107127.480892093</v>
      </c>
      <c r="N9" s="20" t="str">
        <f aca="false">A9</f>
        <v>1.02</v>
      </c>
      <c r="P9" s="48" t="n">
        <f aca="false">G9+H9</f>
        <v>5276.0429922</v>
      </c>
      <c r="Q9" s="49" t="e">
        <f aca="false">VLOOKUP(B9,#REF!,5,0)</f>
        <v>#VALUE!</v>
      </c>
      <c r="R9" s="48" t="e">
        <f aca="false">P9-Q9</f>
        <v>#VALUE!</v>
      </c>
      <c r="S9" s="48" t="e">
        <f aca="false">F9*R9</f>
        <v>#VALUE!</v>
      </c>
    </row>
    <row r="10" customFormat="false" ht="30" hidden="false" customHeight="false" outlineLevel="1" collapsed="false">
      <c r="A10" s="42" t="s">
        <v>61</v>
      </c>
      <c r="B10" s="43" t="n">
        <v>93565</v>
      </c>
      <c r="C10" s="50" t="str">
        <f aca="false">VLOOKUP($B10,03_COMPOSIÇÕES!$A:$G,2,0)</f>
        <v>ENGENHEIRO CIVIL DE OBRA JUNIOR COM ENCARGOS COMPLEMENTARES</v>
      </c>
      <c r="D10" s="45" t="s">
        <v>59</v>
      </c>
      <c r="E10" s="51" t="str">
        <f aca="false">VLOOKUP($B10,03_COMPOSIÇÕES!$A:$G,4,0)</f>
        <v>MES</v>
      </c>
      <c r="F10" s="46" t="n">
        <v>8</v>
      </c>
      <c r="G10" s="51" t="n">
        <f aca="false">VLOOKUP($B10,03_COMPOSIÇÕES!$A:$G,6,0)</f>
        <v>434.32</v>
      </c>
      <c r="H10" s="52" t="n">
        <f aca="false">VLOOKUP($B10,03_COMPOSIÇÕES!$A:$G,7,0)</f>
        <v>19611.4610736</v>
      </c>
      <c r="I10" s="47" t="n">
        <f aca="false">$F10*$G10</f>
        <v>3474.56</v>
      </c>
      <c r="J10" s="47" t="n">
        <f aca="false">$F10*$H10</f>
        <v>156891.6885888</v>
      </c>
      <c r="K10" s="47" t="n">
        <f aca="false">$I10*(1+BDI_MAT)</f>
        <v>4191.014272</v>
      </c>
      <c r="L10" s="47" t="n">
        <f aca="false">$J10*(1+BDI_MDO)</f>
        <v>200021.213781861</v>
      </c>
      <c r="M10" s="47" t="n">
        <f aca="false">SUM(K10:L10)</f>
        <v>204212.228053861</v>
      </c>
      <c r="N10" s="20" t="str">
        <f aca="false">A10</f>
        <v>1.03</v>
      </c>
      <c r="P10" s="48"/>
      <c r="Q10" s="49"/>
      <c r="R10" s="48"/>
      <c r="S10" s="48"/>
    </row>
    <row r="11" customFormat="false" ht="15" hidden="false" customHeight="false" outlineLevel="1" collapsed="false">
      <c r="A11" s="42" t="s">
        <v>62</v>
      </c>
      <c r="B11" s="43" t="n">
        <v>94295</v>
      </c>
      <c r="C11" s="50" t="str">
        <f aca="false">VLOOKUP($B11,03_COMPOSIÇÕES!$A:$G,2,0)</f>
        <v>MESTRE DE OBRAS COM ENCARGOS COMPLEMENTARES</v>
      </c>
      <c r="D11" s="45" t="s">
        <v>59</v>
      </c>
      <c r="E11" s="51" t="str">
        <f aca="false">VLOOKUP($B11,03_COMPOSIÇÕES!$A:$G,4,0)</f>
        <v>MES</v>
      </c>
      <c r="F11" s="46" t="n">
        <v>16</v>
      </c>
      <c r="G11" s="51" t="n">
        <f aca="false">VLOOKUP($B11,03_COMPOSIÇÕES!$A:$G,6,0)</f>
        <v>543.42</v>
      </c>
      <c r="H11" s="52" t="n">
        <f aca="false">VLOOKUP($B11,03_COMPOSIÇÕES!$A:$G,7,0)</f>
        <v>6998.5499838</v>
      </c>
      <c r="I11" s="47" t="n">
        <f aca="false">$F11*$G11</f>
        <v>8694.72</v>
      </c>
      <c r="J11" s="47" t="n">
        <f aca="false">$F11*$H11</f>
        <v>111976.7997408</v>
      </c>
      <c r="K11" s="47" t="n">
        <f aca="false">$I11*(1+BDI_MAT)</f>
        <v>10487.571264</v>
      </c>
      <c r="L11" s="47" t="n">
        <f aca="false">$J11*(1+BDI_MDO)</f>
        <v>142759.221989546</v>
      </c>
      <c r="M11" s="47" t="n">
        <f aca="false">SUM(K11:L11)</f>
        <v>153246.793253546</v>
      </c>
      <c r="N11" s="20" t="str">
        <f aca="false">A11</f>
        <v>1.04</v>
      </c>
      <c r="P11" s="48"/>
      <c r="Q11" s="49"/>
      <c r="R11" s="48"/>
      <c r="S11" s="48"/>
    </row>
    <row r="12" customFormat="false" ht="15" hidden="false" customHeight="false" outlineLevel="1" collapsed="false">
      <c r="A12" s="42" t="s">
        <v>63</v>
      </c>
      <c r="B12" s="43" t="s">
        <v>64</v>
      </c>
      <c r="C12" s="50" t="str">
        <f aca="false">VLOOKUP($B12,03_COMPOSIÇÕES!$A:$G,2,0)</f>
        <v>VIGIA NOTURNO COM ENCARGOS COMPLEMENTARES</v>
      </c>
      <c r="D12" s="45" t="s">
        <v>59</v>
      </c>
      <c r="E12" s="51" t="str">
        <f aca="false">VLOOKUP($B12,03_COMPOSIÇÕES!$A:$G,4,0)</f>
        <v>MÊS</v>
      </c>
      <c r="F12" s="46" t="n">
        <v>16</v>
      </c>
      <c r="G12" s="51" t="n">
        <f aca="false">VLOOKUP($B12,03_COMPOSIÇÕES!$A:$G,6,0)</f>
        <v>1399.71</v>
      </c>
      <c r="H12" s="52" t="n">
        <f aca="false">VLOOKUP($B12,03_COMPOSIÇÕES!$A:$G,7,0)</f>
        <v>3405.65113205</v>
      </c>
      <c r="I12" s="47" t="n">
        <f aca="false">$F12*$G12</f>
        <v>22395.36</v>
      </c>
      <c r="J12" s="47" t="n">
        <f aca="false">$F12*$H12</f>
        <v>54490.4181128</v>
      </c>
      <c r="K12" s="47" t="n">
        <f aca="false">$I12*(1+BDI_MAT)</f>
        <v>27013.283232</v>
      </c>
      <c r="L12" s="47" t="n">
        <f aca="false">$J12*(1+BDI_MDO)</f>
        <v>69469.8340520087</v>
      </c>
      <c r="M12" s="47" t="n">
        <f aca="false">SUM(K12:L12)</f>
        <v>96483.1172840087</v>
      </c>
      <c r="N12" s="20" t="str">
        <f aca="false">A12</f>
        <v>1.05</v>
      </c>
      <c r="P12" s="48"/>
      <c r="Q12" s="49"/>
      <c r="R12" s="48"/>
      <c r="S12" s="48"/>
    </row>
    <row r="13" customFormat="false" ht="15" hidden="false" customHeight="false" outlineLevel="0" collapsed="false">
      <c r="A13" s="42" t="n">
        <v>2</v>
      </c>
      <c r="B13" s="43"/>
      <c r="C13" s="50" t="s">
        <v>65</v>
      </c>
      <c r="D13" s="45"/>
      <c r="E13" s="45"/>
      <c r="F13" s="46"/>
      <c r="G13" s="47"/>
      <c r="H13" s="52"/>
      <c r="I13" s="47" t="n">
        <f aca="false">SUM(I14,I29,I35)</f>
        <v>132040.027764962</v>
      </c>
      <c r="J13" s="47" t="n">
        <f aca="false">SUM(J14,J29,J35)</f>
        <v>53821.4544068673</v>
      </c>
      <c r="K13" s="47" t="n">
        <f aca="false">SUM(K14,K29,K35)</f>
        <v>159266.681490098</v>
      </c>
      <c r="L13" s="47" t="n">
        <f aca="false">SUM(L14,L29,L35)</f>
        <v>68616.9722233151</v>
      </c>
      <c r="M13" s="47" t="n">
        <f aca="false">SUM(M14,M29,M35)</f>
        <v>227883.653713413</v>
      </c>
      <c r="N13" s="20" t="n">
        <f aca="false">A13</f>
        <v>2</v>
      </c>
      <c r="P13" s="48"/>
      <c r="Q13" s="49"/>
      <c r="R13" s="48"/>
      <c r="S13" s="48"/>
    </row>
    <row r="14" customFormat="false" ht="15" hidden="false" customHeight="false" outlineLevel="1" collapsed="false">
      <c r="A14" s="42" t="s">
        <v>66</v>
      </c>
      <c r="B14" s="43"/>
      <c r="C14" s="50" t="s">
        <v>67</v>
      </c>
      <c r="D14" s="45"/>
      <c r="E14" s="45"/>
      <c r="F14" s="46"/>
      <c r="G14" s="47"/>
      <c r="H14" s="52"/>
      <c r="I14" s="47" t="n">
        <f aca="false">SUM(I15,I21)</f>
        <v>39246.1596157479</v>
      </c>
      <c r="J14" s="47" t="n">
        <f aca="false">SUM(J15,J21)</f>
        <v>37609.1009417081</v>
      </c>
      <c r="K14" s="47" t="n">
        <f aca="false">SUM(K15,K21)</f>
        <v>47338.7177285151</v>
      </c>
      <c r="L14" s="47" t="n">
        <f aca="false">SUM(L15,L21)</f>
        <v>47947.8427905837</v>
      </c>
      <c r="M14" s="47" t="n">
        <f aca="false">SUM(M15,M21)</f>
        <v>95286.5605190988</v>
      </c>
      <c r="N14" s="20" t="str">
        <f aca="false">A14</f>
        <v>2.1</v>
      </c>
      <c r="P14" s="48"/>
      <c r="Q14" s="49"/>
      <c r="R14" s="48"/>
      <c r="S14" s="48"/>
    </row>
    <row r="15" customFormat="false" ht="15" hidden="false" customHeight="false" outlineLevel="2" collapsed="false">
      <c r="A15" s="42" t="s">
        <v>68</v>
      </c>
      <c r="B15" s="43"/>
      <c r="C15" s="50" t="s">
        <v>69</v>
      </c>
      <c r="D15" s="45"/>
      <c r="E15" s="45"/>
      <c r="F15" s="46"/>
      <c r="G15" s="47"/>
      <c r="H15" s="52"/>
      <c r="I15" s="47" t="n">
        <f aca="false">SUBTOTAL(9,I16:I20)</f>
        <v>31188.0911680522</v>
      </c>
      <c r="J15" s="47" t="n">
        <f aca="false">SUBTOTAL(9,J16:J20)</f>
        <v>22716.3189622194</v>
      </c>
      <c r="K15" s="47" t="n">
        <f aca="false">SUBTOTAL(9,K16:K20)</f>
        <v>37619.0755669045</v>
      </c>
      <c r="L15" s="47" t="n">
        <f aca="false">SUBTOTAL(9,L16:L20)</f>
        <v>28961.0350449336</v>
      </c>
      <c r="M15" s="47" t="n">
        <f aca="false">SUBTOTAL(9,M16:M20)</f>
        <v>66580.1106118381</v>
      </c>
      <c r="N15" s="20" t="str">
        <f aca="false">A15</f>
        <v>2.1.1</v>
      </c>
      <c r="P15" s="48"/>
      <c r="Q15" s="49"/>
      <c r="R15" s="48"/>
      <c r="S15" s="48"/>
    </row>
    <row r="16" customFormat="false" ht="30" hidden="false" customHeight="false" outlineLevel="3" collapsed="false">
      <c r="A16" s="42" t="s">
        <v>70</v>
      </c>
      <c r="B16" s="43" t="n">
        <v>97625</v>
      </c>
      <c r="C16" s="50" t="str">
        <f aca="false">VLOOKUP($B16,03_COMPOSIÇÕES!$A:$G,2,0)</f>
        <v>DEMOLIÇÃO DE ALVENARIA PARA QUALQUER TIPO DE BLOCO, DE FORMA MECANIZADA, SEM REAPROVEITAMENTO. AF_09/2023</v>
      </c>
      <c r="D16" s="45" t="s">
        <v>59</v>
      </c>
      <c r="E16" s="51" t="str">
        <f aca="false">VLOOKUP($B16,03_COMPOSIÇÕES!$A:$G,4,0)</f>
        <v>M3</v>
      </c>
      <c r="F16" s="46" t="n">
        <v>340.48</v>
      </c>
      <c r="G16" s="51" t="n">
        <f aca="false">VLOOKUP($B16,03_COMPOSIÇÕES!$A:$G,6,0)</f>
        <v>31.4327188</v>
      </c>
      <c r="H16" s="52" t="n">
        <f aca="false">VLOOKUP($B16,03_COMPOSIÇÕES!$A:$G,7,0)</f>
        <v>4.95023341316</v>
      </c>
      <c r="I16" s="47" t="n">
        <f aca="false">$F16*$G16</f>
        <v>10702.212097024</v>
      </c>
      <c r="J16" s="47" t="n">
        <f aca="false">$F16*$H16</f>
        <v>1685.45547251272</v>
      </c>
      <c r="K16" s="47" t="n">
        <f aca="false">$I16*(1+BDI_MAT)</f>
        <v>12909.0082314304</v>
      </c>
      <c r="L16" s="47" t="n">
        <f aca="false">$J16*(1+BDI_MDO)</f>
        <v>2148.78718190646</v>
      </c>
      <c r="M16" s="47" t="n">
        <f aca="false">SUM(K16:L16)</f>
        <v>15057.7954133368</v>
      </c>
      <c r="N16" s="20" t="str">
        <f aca="false">A16</f>
        <v>2.1.1.1</v>
      </c>
      <c r="P16" s="48"/>
      <c r="Q16" s="49"/>
      <c r="R16" s="48"/>
      <c r="S16" s="48"/>
    </row>
    <row r="17" customFormat="false" ht="30" hidden="false" customHeight="false" outlineLevel="3" collapsed="false">
      <c r="A17" s="42" t="s">
        <v>71</v>
      </c>
      <c r="B17" s="43" t="n">
        <v>104796</v>
      </c>
      <c r="C17" s="50" t="str">
        <f aca="false">VLOOKUP($B17,03_COMPOSIÇÕES!$A:$G,2,0)</f>
        <v>DEMOLIÇÃO DE GUIAS, SARJETAS OU SARJETÕES, DE FORMA MECANIZADA, SEM REAPROVEITAMENTO. AF_09/2023</v>
      </c>
      <c r="D17" s="45" t="s">
        <v>59</v>
      </c>
      <c r="E17" s="51" t="str">
        <f aca="false">VLOOKUP($B17,03_COMPOSIÇÕES!$A:$G,4,0)</f>
        <v>M</v>
      </c>
      <c r="F17" s="46" t="n">
        <v>16.78</v>
      </c>
      <c r="G17" s="51" t="n">
        <f aca="false">VLOOKUP($B17,03_COMPOSIÇÕES!$A:$G,6,0)</f>
        <v>6.82935310486</v>
      </c>
      <c r="H17" s="52" t="n">
        <f aca="false">VLOOKUP($B17,03_COMPOSIÇÕES!$A:$G,7,0)</f>
        <v>7.0145469211</v>
      </c>
      <c r="I17" s="47" t="n">
        <f aca="false">$F17*$G17</f>
        <v>114.596545099551</v>
      </c>
      <c r="J17" s="47" t="n">
        <f aca="false">$F17*$H17</f>
        <v>117.704097336058</v>
      </c>
      <c r="K17" s="47" t="n">
        <f aca="false">$I17*(1+BDI_MAT)</f>
        <v>138.226352699078</v>
      </c>
      <c r="L17" s="47" t="n">
        <f aca="false">$J17*(1+BDI_MDO)</f>
        <v>150.06095369374</v>
      </c>
      <c r="M17" s="47" t="n">
        <f aca="false">SUM(K17:L17)</f>
        <v>288.287306392818</v>
      </c>
      <c r="N17" s="20" t="str">
        <f aca="false">A17</f>
        <v>2.1.1.2</v>
      </c>
      <c r="P17" s="48"/>
      <c r="Q17" s="49"/>
      <c r="R17" s="48"/>
      <c r="S17" s="48"/>
    </row>
    <row r="18" customFormat="false" ht="30" hidden="false" customHeight="false" outlineLevel="3" collapsed="false">
      <c r="A18" s="42" t="s">
        <v>72</v>
      </c>
      <c r="B18" s="43" t="n">
        <v>97629</v>
      </c>
      <c r="C18" s="50" t="str">
        <f aca="false">VLOOKUP($B18,03_COMPOSIÇÕES!$A:$G,2,0)</f>
        <v>DEMOLIÇÃO DE LAJES, EM CONCRETO ARMADO, DE FORMA MECANIZADA COM MARTELETE, SEM REAPROVEITAMENTO. AF_09/2023</v>
      </c>
      <c r="D18" s="45" t="s">
        <v>59</v>
      </c>
      <c r="E18" s="51" t="str">
        <f aca="false">VLOOKUP($B18,03_COMPOSIÇÕES!$A:$G,4,0)</f>
        <v>M3</v>
      </c>
      <c r="F18" s="46" t="n">
        <v>316.22</v>
      </c>
      <c r="G18" s="51" t="n">
        <f aca="false">VLOOKUP($B18,03_COMPOSIÇÕES!$A:$G,6,0)</f>
        <v>27.59206742432</v>
      </c>
      <c r="H18" s="52" t="n">
        <f aca="false">VLOOKUP($B18,03_COMPOSIÇÕES!$A:$G,7,0)</f>
        <v>50.52913570824</v>
      </c>
      <c r="I18" s="47" t="n">
        <f aca="false">$F18*$G18</f>
        <v>8725.16356091847</v>
      </c>
      <c r="J18" s="47" t="n">
        <f aca="false">$F18*$H18</f>
        <v>15978.3232936597</v>
      </c>
      <c r="K18" s="47" t="n">
        <f aca="false">$I18*(1+BDI_MAT)</f>
        <v>10524.2922871799</v>
      </c>
      <c r="L18" s="47" t="n">
        <f aca="false">$J18*(1+BDI_MDO)</f>
        <v>20370.7643670867</v>
      </c>
      <c r="M18" s="47" t="n">
        <f aca="false">SUM(K18:L18)</f>
        <v>30895.0566542665</v>
      </c>
      <c r="N18" s="20" t="str">
        <f aca="false">A18</f>
        <v>2.1.1.3</v>
      </c>
      <c r="P18" s="48"/>
      <c r="Q18" s="49"/>
      <c r="R18" s="48"/>
      <c r="S18" s="48"/>
    </row>
    <row r="19" customFormat="false" ht="30" hidden="false" customHeight="false" outlineLevel="3" collapsed="false">
      <c r="A19" s="42" t="s">
        <v>73</v>
      </c>
      <c r="B19" s="43" t="n">
        <v>104790</v>
      </c>
      <c r="C19" s="50" t="str">
        <f aca="false">VLOOKUP($B19,03_COMPOSIÇÕES!$A:$G,2,0)</f>
        <v>DEMOLIÇÃO DE PISO DE CONCRETO SIMPLES, DE FORMA MECANIZADA COM MARTELETE, SEM REAPROVEITAMENTO. AF_09/2023</v>
      </c>
      <c r="D19" s="45" t="s">
        <v>59</v>
      </c>
      <c r="E19" s="51" t="str">
        <f aca="false">VLOOKUP($B19,03_COMPOSIÇÕES!$A:$G,4,0)</f>
        <v>M3</v>
      </c>
      <c r="F19" s="46" t="n">
        <v>105.8</v>
      </c>
      <c r="G19" s="51" t="n">
        <f aca="false">VLOOKUP($B19,03_COMPOSIÇÕES!$A:$G,6,0)</f>
        <v>68.104111972564</v>
      </c>
      <c r="H19" s="52" t="n">
        <f aca="false">VLOOKUP($B19,03_COMPOSIÇÕES!$A:$G,7,0)</f>
        <v>37.98426437345</v>
      </c>
      <c r="I19" s="47" t="n">
        <f aca="false">$F19*$G19</f>
        <v>7205.41504669727</v>
      </c>
      <c r="J19" s="47" t="n">
        <f aca="false">$F19*$H19</f>
        <v>4018.73517071101</v>
      </c>
      <c r="K19" s="47" t="n">
        <f aca="false">$I19*(1+BDI_MAT)</f>
        <v>8691.17162932625</v>
      </c>
      <c r="L19" s="47" t="n">
        <f aca="false">$J19*(1+BDI_MDO)</f>
        <v>5123.48546913947</v>
      </c>
      <c r="M19" s="47" t="n">
        <f aca="false">SUM(K19:L19)</f>
        <v>13814.6570984657</v>
      </c>
      <c r="N19" s="20" t="str">
        <f aca="false">A19</f>
        <v>2.1.1.4</v>
      </c>
      <c r="P19" s="48"/>
      <c r="Q19" s="49"/>
      <c r="R19" s="48"/>
      <c r="S19" s="48"/>
    </row>
    <row r="20" customFormat="false" ht="60" hidden="false" customHeight="false" outlineLevel="3" collapsed="false">
      <c r="A20" s="42" t="s">
        <v>74</v>
      </c>
      <c r="B20" s="43" t="n">
        <v>100982</v>
      </c>
      <c r="C20" s="50" t="str">
        <f aca="false">VLOOKUP($B20,03_COMPOSIÇÕES!$A:$G,2,0)</f>
        <v>CARGA, MANOBRA E DESCARGA DE ENTULHO EM CAMINHÃO BASCULANTE 10 M³ - CARGA COM ESCAVADEIRA HIDRÁULICA (CAÇAMBA DE 0,80 M³ / 111 HP) E DESCARGA LIVRE (UNIDADE: M3). AF_07/2020</v>
      </c>
      <c r="D20" s="45" t="s">
        <v>59</v>
      </c>
      <c r="E20" s="51" t="str">
        <f aca="false">VLOOKUP($B20,03_COMPOSIÇÕES!$A:$G,4,0)</f>
        <v>M3</v>
      </c>
      <c r="F20" s="46" t="n">
        <v>762.5</v>
      </c>
      <c r="G20" s="51" t="n">
        <f aca="false">VLOOKUP($B20,03_COMPOSIÇÕES!$A:$G,6,0)</f>
        <v>5.82387399123</v>
      </c>
      <c r="H20" s="52" t="n">
        <f aca="false">VLOOKUP($B20,03_COMPOSIÇÕES!$A:$G,7,0)</f>
        <v>1.20144384</v>
      </c>
      <c r="I20" s="47" t="n">
        <f aca="false">$F20*$G20</f>
        <v>4440.70391831288</v>
      </c>
      <c r="J20" s="47" t="n">
        <f aca="false">$F20*$H20</f>
        <v>916.100928</v>
      </c>
      <c r="K20" s="47" t="n">
        <f aca="false">$I20*(1+BDI_MAT)</f>
        <v>5356.37706626899</v>
      </c>
      <c r="L20" s="47" t="n">
        <f aca="false">$J20*(1+BDI_MDO)</f>
        <v>1167.9370731072</v>
      </c>
      <c r="M20" s="47" t="n">
        <f aca="false">SUM(K20:L20)</f>
        <v>6524.31413937619</v>
      </c>
      <c r="N20" s="20" t="str">
        <f aca="false">A20</f>
        <v>2.1.1.5</v>
      </c>
      <c r="P20" s="48"/>
      <c r="Q20" s="49"/>
      <c r="R20" s="48"/>
      <c r="S20" s="48"/>
    </row>
    <row r="21" customFormat="false" ht="15" hidden="false" customHeight="false" outlineLevel="2" collapsed="false">
      <c r="A21" s="42" t="s">
        <v>75</v>
      </c>
      <c r="B21" s="43"/>
      <c r="C21" s="50" t="s">
        <v>76</v>
      </c>
      <c r="D21" s="45"/>
      <c r="E21" s="45"/>
      <c r="F21" s="46"/>
      <c r="G21" s="51"/>
      <c r="H21" s="52"/>
      <c r="I21" s="47" t="n">
        <f aca="false">SUBTOTAL(9,I22:I28)</f>
        <v>8058.06844769574</v>
      </c>
      <c r="J21" s="47" t="n">
        <f aca="false">SUBTOTAL(9,J22:J28)</f>
        <v>14892.7819794887</v>
      </c>
      <c r="K21" s="47" t="n">
        <f aca="false">SUBTOTAL(9,K22:K28)</f>
        <v>9719.6421616106</v>
      </c>
      <c r="L21" s="47" t="n">
        <f aca="false">SUBTOTAL(9,L22:L28)</f>
        <v>18986.8077456501</v>
      </c>
      <c r="M21" s="47" t="n">
        <f aca="false">SUBTOTAL(9,M22:M28)</f>
        <v>28706.4499072607</v>
      </c>
      <c r="N21" s="20" t="str">
        <f aca="false">A21</f>
        <v>2.1.2</v>
      </c>
      <c r="P21" s="48"/>
      <c r="Q21" s="49"/>
      <c r="R21" s="48"/>
      <c r="S21" s="48"/>
    </row>
    <row r="22" customFormat="false" ht="30" hidden="false" customHeight="false" outlineLevel="2" collapsed="false">
      <c r="A22" s="42" t="s">
        <v>77</v>
      </c>
      <c r="B22" s="43" t="n">
        <v>97641</v>
      </c>
      <c r="C22" s="50" t="str">
        <f aca="false">VLOOKUP($B22,03_COMPOSIÇÕES!$A:$G,2,0)</f>
        <v>REMOÇÃO DE FORRO DE GESSO, DE FORMA MANUAL, SEM REAPROVEITAMENTO. AF_09/2023</v>
      </c>
      <c r="D22" s="45" t="s">
        <v>59</v>
      </c>
      <c r="E22" s="51" t="str">
        <f aca="false">VLOOKUP($B22,03_COMPOSIÇÕES!$A:$G,4,0)</f>
        <v>M2</v>
      </c>
      <c r="F22" s="46" t="n">
        <v>1127.56</v>
      </c>
      <c r="G22" s="51" t="n">
        <f aca="false">VLOOKUP($B22,03_COMPOSIÇÕES!$A:$G,6,0)</f>
        <v>0.882045</v>
      </c>
      <c r="H22" s="52" t="n">
        <f aca="false">VLOOKUP($B22,03_COMPOSIÇÕES!$A:$G,7,0)</f>
        <v>1.87996934664</v>
      </c>
      <c r="I22" s="47" t="n">
        <f aca="false">$F22*$G22</f>
        <v>994.5586602</v>
      </c>
      <c r="J22" s="47" t="n">
        <f aca="false">$F22*$H22</f>
        <v>2119.7782364974</v>
      </c>
      <c r="K22" s="47" t="n">
        <f aca="false">$I22*(1+BDI_MAT)</f>
        <v>1199.63665593324</v>
      </c>
      <c r="L22" s="47" t="n">
        <f aca="false">$J22*(1+BDI_MDO)</f>
        <v>2702.50527371053</v>
      </c>
      <c r="M22" s="47" t="n">
        <f aca="false">SUM(K22:L22)</f>
        <v>3902.14192964377</v>
      </c>
      <c r="N22" s="20" t="str">
        <f aca="false">A22</f>
        <v>2.1.2.1</v>
      </c>
      <c r="P22" s="48" t="n">
        <f aca="false">G22+H22</f>
        <v>2.76201434664</v>
      </c>
      <c r="Q22" s="49" t="e">
        <f aca="false">VLOOKUP(B22,#REF!,5,0)</f>
        <v>#VALUE!</v>
      </c>
      <c r="R22" s="48" t="e">
        <f aca="false">P22-Q22</f>
        <v>#VALUE!</v>
      </c>
      <c r="S22" s="48" t="e">
        <f aca="false">F22*R22</f>
        <v>#VALUE!</v>
      </c>
    </row>
    <row r="23" customFormat="false" ht="30" hidden="false" customHeight="false" outlineLevel="2" collapsed="false">
      <c r="A23" s="42" t="s">
        <v>78</v>
      </c>
      <c r="B23" s="43" t="n">
        <v>97645</v>
      </c>
      <c r="C23" s="50" t="str">
        <f aca="false">VLOOKUP($B23,03_COMPOSIÇÕES!$A:$G,2,0)</f>
        <v>REMOÇÃO DE JANELAS, DE FORMA MANUAL, SEM REAPROVEITAMENTO. AF_09/2023</v>
      </c>
      <c r="D23" s="45" t="s">
        <v>59</v>
      </c>
      <c r="E23" s="51" t="str">
        <f aca="false">VLOOKUP($B23,03_COMPOSIÇÕES!$A:$G,4,0)</f>
        <v>M2</v>
      </c>
      <c r="F23" s="46" t="n">
        <v>104.12</v>
      </c>
      <c r="G23" s="51" t="n">
        <f aca="false">VLOOKUP($B23,03_COMPOSIÇÕES!$A:$G,6,0)</f>
        <v>7.362732</v>
      </c>
      <c r="H23" s="52" t="n">
        <f aca="false">VLOOKUP($B23,03_COMPOSIÇÕES!$A:$G,7,0)</f>
        <v>16.2910749288</v>
      </c>
      <c r="I23" s="47" t="n">
        <f aca="false">$F23*$G23</f>
        <v>766.60765584</v>
      </c>
      <c r="J23" s="47" t="n">
        <f aca="false">$F23*$H23</f>
        <v>1696.22672158666</v>
      </c>
      <c r="K23" s="47" t="n">
        <f aca="false">$I23*(1+BDI_MAT)</f>
        <v>924.682154474208</v>
      </c>
      <c r="L23" s="47" t="n">
        <f aca="false">$J23*(1+BDI_MDO)</f>
        <v>2162.51944735083</v>
      </c>
      <c r="M23" s="47" t="n">
        <f aca="false">SUM(K23:L23)</f>
        <v>3087.20160182504</v>
      </c>
      <c r="N23" s="20" t="str">
        <f aca="false">A23</f>
        <v>2.1.2.2</v>
      </c>
      <c r="P23" s="48" t="n">
        <f aca="false">G23+H23</f>
        <v>23.6538069288</v>
      </c>
      <c r="Q23" s="49" t="e">
        <f aca="false">VLOOKUP(B23,#REF!,5,0)</f>
        <v>#VALUE!</v>
      </c>
      <c r="R23" s="48" t="e">
        <f aca="false">P23-Q23</f>
        <v>#VALUE!</v>
      </c>
      <c r="S23" s="48" t="e">
        <f aca="false">F23*R23</f>
        <v>#VALUE!</v>
      </c>
    </row>
    <row r="24" customFormat="false" ht="30" hidden="false" customHeight="false" outlineLevel="2" collapsed="false">
      <c r="A24" s="42" t="s">
        <v>79</v>
      </c>
      <c r="B24" s="43" t="n">
        <v>97663</v>
      </c>
      <c r="C24" s="50" t="str">
        <f aca="false">VLOOKUP($B24,03_COMPOSIÇÕES!$A:$G,2,0)</f>
        <v>REMOÇÃO DE LOUÇAS, DE FORMA MANUAL, SEM REAPROVEITAMENTO. AF_09/2023</v>
      </c>
      <c r="D24" s="45" t="s">
        <v>59</v>
      </c>
      <c r="E24" s="51" t="str">
        <f aca="false">VLOOKUP($B24,03_COMPOSIÇÕES!$A:$G,4,0)</f>
        <v>UN</v>
      </c>
      <c r="F24" s="46" t="n">
        <v>32</v>
      </c>
      <c r="G24" s="51" t="n">
        <f aca="false">VLOOKUP($B24,03_COMPOSIÇÕES!$A:$G,6,0)</f>
        <v>3.705464</v>
      </c>
      <c r="H24" s="52" t="n">
        <f aca="false">VLOOKUP($B24,03_COMPOSIÇÕES!$A:$G,7,0)</f>
        <v>8.39727043488</v>
      </c>
      <c r="I24" s="47" t="n">
        <f aca="false">$F24*$G24</f>
        <v>118.574848</v>
      </c>
      <c r="J24" s="47" t="n">
        <f aca="false">$F24*$H24</f>
        <v>268.71265391616</v>
      </c>
      <c r="K24" s="47" t="n">
        <f aca="false">$I24*(1+BDI_MAT)</f>
        <v>143.0249816576</v>
      </c>
      <c r="L24" s="47" t="n">
        <f aca="false">$J24*(1+BDI_MDO)</f>
        <v>342.581762477712</v>
      </c>
      <c r="M24" s="47" t="n">
        <f aca="false">SUM(K24:L24)</f>
        <v>485.606744135312</v>
      </c>
      <c r="N24" s="20" t="str">
        <f aca="false">A24</f>
        <v>2.1.2.3</v>
      </c>
      <c r="P24" s="48" t="n">
        <f aca="false">G24+H24</f>
        <v>12.10273443488</v>
      </c>
      <c r="Q24" s="49" t="e">
        <f aca="false">VLOOKUP(B24,#REF!,5,0)</f>
        <v>#VALUE!</v>
      </c>
      <c r="R24" s="48" t="e">
        <f aca="false">P24-Q24</f>
        <v>#VALUE!</v>
      </c>
      <c r="S24" s="48" t="e">
        <f aca="false">F24*R24</f>
        <v>#VALUE!</v>
      </c>
    </row>
    <row r="25" customFormat="false" ht="30" hidden="false" customHeight="false" outlineLevel="2" collapsed="false">
      <c r="A25" s="42" t="s">
        <v>80</v>
      </c>
      <c r="B25" s="43" t="n">
        <v>97644</v>
      </c>
      <c r="C25" s="50" t="str">
        <f aca="false">VLOOKUP($B25,03_COMPOSIÇÕES!$A:$G,2,0)</f>
        <v>REMOÇÃO DE PORTAS, DE FORMA MANUAL, SEM REAPROVEITAMENTO. AF_09/2023</v>
      </c>
      <c r="D25" s="45" t="s">
        <v>59</v>
      </c>
      <c r="E25" s="51" t="str">
        <f aca="false">VLOOKUP($B25,03_COMPOSIÇÕES!$A:$G,4,0)</f>
        <v>M2</v>
      </c>
      <c r="F25" s="46" t="n">
        <v>117.05</v>
      </c>
      <c r="G25" s="51" t="n">
        <f aca="false">VLOOKUP($B25,03_COMPOSIÇÕES!$A:$G,6,0)</f>
        <v>2.852429</v>
      </c>
      <c r="H25" s="52" t="n">
        <f aca="false">VLOOKUP($B25,03_COMPOSIÇÕES!$A:$G,7,0)</f>
        <v>6.3110558268</v>
      </c>
      <c r="I25" s="47" t="n">
        <f aca="false">$F25*$G25</f>
        <v>333.87681445</v>
      </c>
      <c r="J25" s="47" t="n">
        <f aca="false">$F25*$H25</f>
        <v>738.70908452694</v>
      </c>
      <c r="K25" s="47" t="n">
        <f aca="false">$I25*(1+BDI_MAT)</f>
        <v>402.72221358959</v>
      </c>
      <c r="L25" s="47" t="n">
        <f aca="false">$J25*(1+BDI_MDO)</f>
        <v>941.780211863396</v>
      </c>
      <c r="M25" s="47" t="n">
        <f aca="false">SUM(K25:L25)</f>
        <v>1344.50242545299</v>
      </c>
      <c r="N25" s="20" t="str">
        <f aca="false">A25</f>
        <v>2.1.2.4</v>
      </c>
      <c r="P25" s="48" t="n">
        <f aca="false">G25+H25</f>
        <v>9.1634848268</v>
      </c>
      <c r="Q25" s="49" t="e">
        <f aca="false">VLOOKUP(B25,#REF!,5,0)</f>
        <v>#VALUE!</v>
      </c>
      <c r="R25" s="48" t="e">
        <f aca="false">P25-Q25</f>
        <v>#VALUE!</v>
      </c>
      <c r="S25" s="48" t="e">
        <f aca="false">F25*R25</f>
        <v>#VALUE!</v>
      </c>
    </row>
    <row r="26" customFormat="false" ht="30" hidden="false" customHeight="false" outlineLevel="2" collapsed="false">
      <c r="A26" s="42" t="s">
        <v>81</v>
      </c>
      <c r="B26" s="43" t="n">
        <v>97647</v>
      </c>
      <c r="C26" s="50" t="str">
        <f aca="false">VLOOKUP($B26,03_COMPOSIÇÕES!$A:$G,2,0)</f>
        <v>REMOÇÃO DE TELHAS DE FIBROCIMENTO METÁLICA E CERÂMICA, DE FORMA MANUAL, SEM REAPROVEITAMENTO. AF_09/2023</v>
      </c>
      <c r="D26" s="45" t="s">
        <v>59</v>
      </c>
      <c r="E26" s="51" t="str">
        <f aca="false">VLOOKUP($B26,03_COMPOSIÇÕES!$A:$G,4,0)</f>
        <v>M2</v>
      </c>
      <c r="F26" s="46" t="n">
        <v>1318.2</v>
      </c>
      <c r="G26" s="51" t="n">
        <f aca="false">VLOOKUP($B26,03_COMPOSIÇÕES!$A:$G,6,0)</f>
        <v>1.060859</v>
      </c>
      <c r="H26" s="52" t="n">
        <f aca="false">VLOOKUP($B26,03_COMPOSIÇÕES!$A:$G,7,0)</f>
        <v>2.34938068536</v>
      </c>
      <c r="I26" s="47" t="n">
        <f aca="false">$F26*$G26</f>
        <v>1398.4243338</v>
      </c>
      <c r="J26" s="47" t="n">
        <f aca="false">$F26*$H26</f>
        <v>3096.95361944155</v>
      </c>
      <c r="K26" s="47" t="n">
        <f aca="false">$I26*(1+BDI_MAT)</f>
        <v>1686.77943142956</v>
      </c>
      <c r="L26" s="47" t="n">
        <f aca="false">$J26*(1+BDI_MDO)</f>
        <v>3948.30616942603</v>
      </c>
      <c r="M26" s="47" t="n">
        <f aca="false">SUM(K26:L26)</f>
        <v>5635.0856008556</v>
      </c>
      <c r="N26" s="20" t="str">
        <f aca="false">A26</f>
        <v>2.1.2.5</v>
      </c>
      <c r="P26" s="48"/>
      <c r="Q26" s="49"/>
      <c r="R26" s="48"/>
      <c r="S26" s="48"/>
    </row>
    <row r="27" customFormat="false" ht="30" hidden="false" customHeight="false" outlineLevel="2" collapsed="false">
      <c r="A27" s="42" t="s">
        <v>82</v>
      </c>
      <c r="B27" s="43" t="n">
        <v>97650</v>
      </c>
      <c r="C27" s="50" t="str">
        <f aca="false">VLOOKUP($B27,03_COMPOSIÇÕES!$A:$G,2,0)</f>
        <v>REMOÇÃO DE TRAMA DE MADEIRA PARA COBERTURA, DE FORMA MANUAL, SEM REAPROVEITAMENTO. AF_09/2023</v>
      </c>
      <c r="D27" s="45" t="s">
        <v>59</v>
      </c>
      <c r="E27" s="51" t="str">
        <f aca="false">VLOOKUP($B27,03_COMPOSIÇÕES!$A:$G,4,0)</f>
        <v>M2</v>
      </c>
      <c r="F27" s="46" t="n">
        <v>1318.2</v>
      </c>
      <c r="G27" s="51" t="n">
        <f aca="false">VLOOKUP($B27,03_COMPOSIÇÕES!$A:$G,6,0)</f>
        <v>2.287551</v>
      </c>
      <c r="H27" s="52" t="n">
        <f aca="false">VLOOKUP($B27,03_COMPOSIÇÕES!$A:$G,7,0)</f>
        <v>5.06545213068</v>
      </c>
      <c r="I27" s="47" t="n">
        <f aca="false">$F27*$G27</f>
        <v>3015.4497282</v>
      </c>
      <c r="J27" s="47" t="n">
        <f aca="false">$F27*$H27</f>
        <v>6677.27899866238</v>
      </c>
      <c r="K27" s="47" t="n">
        <f aca="false">$I27*(1+BDI_MAT)</f>
        <v>3637.23546215484</v>
      </c>
      <c r="L27" s="47" t="n">
        <f aca="false">$J27*(1+BDI_MDO)</f>
        <v>8512.86299539467</v>
      </c>
      <c r="M27" s="47" t="n">
        <f aca="false">SUM(K27:L27)</f>
        <v>12150.0984575495</v>
      </c>
      <c r="N27" s="20" t="str">
        <f aca="false">A27</f>
        <v>2.1.2.6</v>
      </c>
      <c r="P27" s="48"/>
      <c r="Q27" s="49"/>
      <c r="R27" s="48"/>
      <c r="S27" s="48"/>
    </row>
    <row r="28" customFormat="false" ht="60" hidden="false" customHeight="false" outlineLevel="2" collapsed="false">
      <c r="A28" s="42" t="s">
        <v>83</v>
      </c>
      <c r="B28" s="43" t="n">
        <v>100982</v>
      </c>
      <c r="C28" s="50" t="str">
        <f aca="false">VLOOKUP($B28,03_COMPOSIÇÕES!$A:$G,2,0)</f>
        <v>CARGA, MANOBRA E DESCARGA DE ENTULHO EM CAMINHÃO BASCULANTE 10 M³ - CARGA COM ESCAVADEIRA HIDRÁULICA (CAÇAMBA DE 0,80 M³ / 111 HP) E DESCARGA LIVRE (UNIDADE: M3). AF_07/2020</v>
      </c>
      <c r="D28" s="45" t="s">
        <v>59</v>
      </c>
      <c r="E28" s="51" t="str">
        <f aca="false">VLOOKUP($B28,03_COMPOSIÇÕES!$A:$G,4,0)</f>
        <v>M3</v>
      </c>
      <c r="F28" s="46" t="n">
        <v>245.64</v>
      </c>
      <c r="G28" s="51" t="n">
        <f aca="false">VLOOKUP($B28,03_COMPOSIÇÕES!$A:$G,6,0)</f>
        <v>5.82387399123</v>
      </c>
      <c r="H28" s="52" t="n">
        <f aca="false">VLOOKUP($B28,03_COMPOSIÇÕES!$A:$G,7,0)</f>
        <v>1.20144384</v>
      </c>
      <c r="I28" s="47" t="n">
        <f aca="false">$F28*$G28</f>
        <v>1430.57640720574</v>
      </c>
      <c r="J28" s="47" t="n">
        <f aca="false">$F28*$H28</f>
        <v>295.1226648576</v>
      </c>
      <c r="K28" s="47" t="n">
        <f aca="false">$I28*(1+BDI_MAT)</f>
        <v>1725.56126237156</v>
      </c>
      <c r="L28" s="47" t="n">
        <f aca="false">$J28*(1+BDI_MDO)</f>
        <v>376.251885426954</v>
      </c>
      <c r="M28" s="47" t="n">
        <f aca="false">SUM(K28:L28)</f>
        <v>2101.81314779851</v>
      </c>
      <c r="N28" s="20" t="str">
        <f aca="false">A28</f>
        <v>2.1.2.7</v>
      </c>
      <c r="P28" s="48"/>
      <c r="Q28" s="49"/>
      <c r="R28" s="48"/>
      <c r="S28" s="48"/>
    </row>
    <row r="29" customFormat="false" ht="15" hidden="false" customHeight="false" outlineLevel="1" collapsed="false">
      <c r="A29" s="42" t="s">
        <v>84</v>
      </c>
      <c r="B29" s="43"/>
      <c r="C29" s="50" t="s">
        <v>85</v>
      </c>
      <c r="D29" s="45"/>
      <c r="E29" s="45"/>
      <c r="F29" s="46"/>
      <c r="G29" s="51"/>
      <c r="H29" s="52"/>
      <c r="I29" s="47" t="n">
        <f aca="false">SUBTOTAL(9,I30:I34)</f>
        <v>22625.7283320047</v>
      </c>
      <c r="J29" s="47" t="n">
        <f aca="false">SUBTOTAL(9,J30:J34)</f>
        <v>5179.67350972639</v>
      </c>
      <c r="K29" s="47" t="n">
        <f aca="false">SUBTOTAL(9,K30:K34)</f>
        <v>27291.1535140641</v>
      </c>
      <c r="L29" s="47" t="n">
        <f aca="false">SUBTOTAL(9,L30:L34)</f>
        <v>6603.56575755018</v>
      </c>
      <c r="M29" s="47" t="n">
        <f aca="false">SUBTOTAL(9,M30:M34)</f>
        <v>33894.7192716143</v>
      </c>
      <c r="N29" s="20" t="str">
        <f aca="false">A29</f>
        <v>2.2</v>
      </c>
      <c r="P29" s="48"/>
      <c r="Q29" s="49"/>
      <c r="R29" s="48"/>
      <c r="S29" s="48"/>
    </row>
    <row r="30" customFormat="false" ht="30" hidden="false" customHeight="false" outlineLevel="2" collapsed="false">
      <c r="A30" s="42" t="s">
        <v>86</v>
      </c>
      <c r="B30" s="43" t="n">
        <v>98530</v>
      </c>
      <c r="C30" s="50" t="str">
        <f aca="false">VLOOKUP($B30,03_COMPOSIÇÕES!$A:$G,2,0)</f>
        <v>CORTE RASO E RECORTE DE ÁRVORE COM DIÂMETRO DE TRONCO MAIOR OU IGUAL A 0,40 M E MENOR QUE 0,60 M. AF_03/2024</v>
      </c>
      <c r="D30" s="45" t="s">
        <v>59</v>
      </c>
      <c r="E30" s="51" t="str">
        <f aca="false">VLOOKUP($B30,03_COMPOSIÇÕES!$A:$G,4,0)</f>
        <v>UN</v>
      </c>
      <c r="F30" s="46" t="n">
        <v>7</v>
      </c>
      <c r="G30" s="51" t="n">
        <f aca="false">VLOOKUP($B30,03_COMPOSIÇÕES!$A:$G,6,0)</f>
        <v>44.736034</v>
      </c>
      <c r="H30" s="52" t="n">
        <f aca="false">VLOOKUP($B30,03_COMPOSIÇÕES!$A:$G,7,0)</f>
        <v>98.67742231413</v>
      </c>
      <c r="I30" s="47" t="n">
        <f aca="false">$F30*$G30</f>
        <v>313.152238</v>
      </c>
      <c r="J30" s="47" t="n">
        <f aca="false">$F30*$H30</f>
        <v>690.74195619891</v>
      </c>
      <c r="K30" s="47" t="n">
        <f aca="false">$I30*(1+BDI_MAT)</f>
        <v>377.7242294756</v>
      </c>
      <c r="L30" s="47" t="n">
        <f aca="false">$J30*(1+BDI_MDO)</f>
        <v>880.62691995799</v>
      </c>
      <c r="M30" s="47" t="n">
        <f aca="false">SUM(K30:L30)</f>
        <v>1258.35114943359</v>
      </c>
      <c r="N30" s="20" t="str">
        <f aca="false">A30</f>
        <v>2.2.1</v>
      </c>
      <c r="P30" s="48"/>
      <c r="Q30" s="49"/>
      <c r="R30" s="48"/>
      <c r="S30" s="48"/>
    </row>
    <row r="31" customFormat="false" ht="30" hidden="false" customHeight="false" outlineLevel="2" collapsed="false">
      <c r="A31" s="42" t="s">
        <v>87</v>
      </c>
      <c r="B31" s="43" t="n">
        <v>98527</v>
      </c>
      <c r="C31" s="50" t="str">
        <f aca="false">VLOOKUP($B31,03_COMPOSIÇÕES!$A:$G,2,0)</f>
        <v>REMOÇÃO DE RAÍZES REMANESCENTES DE TRONCO DE ÁRVORE COM DIÂMETRO MAIOR OU IGUAL A 0,40 M E MENOR QUE 0,60 M. AF_03/2024</v>
      </c>
      <c r="D31" s="45" t="s">
        <v>59</v>
      </c>
      <c r="E31" s="51" t="str">
        <f aca="false">VLOOKUP($B31,03_COMPOSIÇÕES!$A:$G,4,0)</f>
        <v>UN</v>
      </c>
      <c r="F31" s="46" t="n">
        <v>7</v>
      </c>
      <c r="G31" s="51" t="n">
        <f aca="false">VLOOKUP($B31,03_COMPOSIÇÕES!$A:$G,6,0)</f>
        <v>117.776926880899</v>
      </c>
      <c r="H31" s="52" t="n">
        <f aca="false">VLOOKUP($B31,03_COMPOSIÇÕES!$A:$G,7,0)</f>
        <v>92.34928790265</v>
      </c>
      <c r="I31" s="47" t="n">
        <f aca="false">$F31*$G31</f>
        <v>824.438488166294</v>
      </c>
      <c r="J31" s="47" t="n">
        <f aca="false">$F31*$H31</f>
        <v>646.44501531855</v>
      </c>
      <c r="K31" s="47" t="n">
        <f aca="false">$I31*(1+BDI_MAT)</f>
        <v>994.437704426184</v>
      </c>
      <c r="L31" s="47" t="n">
        <f aca="false">$J31*(1+BDI_MDO)</f>
        <v>824.152750029619</v>
      </c>
      <c r="M31" s="47" t="n">
        <f aca="false">SUM(K31:L31)</f>
        <v>1818.5904544558</v>
      </c>
      <c r="N31" s="20" t="str">
        <f aca="false">A31</f>
        <v>2.2.2</v>
      </c>
      <c r="P31" s="48"/>
      <c r="Q31" s="49"/>
      <c r="R31" s="48"/>
      <c r="S31" s="48"/>
    </row>
    <row r="32" customFormat="false" ht="75" hidden="false" customHeight="false" outlineLevel="2" collapsed="false">
      <c r="A32" s="42" t="s">
        <v>88</v>
      </c>
      <c r="B32" s="43" t="n">
        <v>101209</v>
      </c>
      <c r="C32" s="50" t="str">
        <f aca="false">VLOOKUP($B32,03_COMPOSIÇÕES!$A:$G,2,0)</f>
        <v>ESCAVAÇÃO VERTICAL PARA EDIFICAÇÃO, COM CARGA, DESCARGA E TRANSPORTE DE SOLO DE 1ª CATEGORIA, COM ESCAVADEIRA HIDRÁULICA (CAÇAMBA: 1,2 M³ / 155 HP), FROTA DE 3 CAMINHÕES BASCULANTES DE 18 M³, DMT ATÉ 1 KM E VELOCIDADE MÉDIA 14 KM/H. AF_05/2020</v>
      </c>
      <c r="D32" s="45" t="s">
        <v>59</v>
      </c>
      <c r="E32" s="51" t="str">
        <f aca="false">VLOOKUP($B32,03_COMPOSIÇÕES!$A:$G,4,0)</f>
        <v>M3</v>
      </c>
      <c r="F32" s="46" t="n">
        <v>1478.34</v>
      </c>
      <c r="G32" s="51" t="n">
        <f aca="false">VLOOKUP($B32,03_COMPOSIÇÕES!$A:$G,6,0)</f>
        <v>9.2396938066568</v>
      </c>
      <c r="H32" s="52" t="n">
        <f aca="false">VLOOKUP($B32,03_COMPOSIÇÕES!$A:$G,7,0)</f>
        <v>1.03866406956</v>
      </c>
      <c r="I32" s="47" t="n">
        <f aca="false">$F32*$G32</f>
        <v>13659.408942133</v>
      </c>
      <c r="J32" s="47" t="n">
        <f aca="false">$F32*$H32</f>
        <v>1535.49864059333</v>
      </c>
      <c r="K32" s="47" t="n">
        <f aca="false">$I32*(1+BDI_MAT)</f>
        <v>16475.9790660008</v>
      </c>
      <c r="L32" s="47" t="n">
        <f aca="false">$J32*(1+BDI_MDO)</f>
        <v>1957.60721689244</v>
      </c>
      <c r="M32" s="47" t="n">
        <f aca="false">SUM(K32:L32)</f>
        <v>18433.5862828933</v>
      </c>
      <c r="N32" s="20" t="str">
        <f aca="false">A32</f>
        <v>2.2.3</v>
      </c>
      <c r="P32" s="48"/>
      <c r="Q32" s="49"/>
      <c r="R32" s="48"/>
      <c r="S32" s="48"/>
    </row>
    <row r="33" customFormat="false" ht="60" hidden="false" customHeight="false" outlineLevel="2" collapsed="false">
      <c r="A33" s="42" t="s">
        <v>89</v>
      </c>
      <c r="B33" s="43" t="n">
        <v>96385</v>
      </c>
      <c r="C33" s="50" t="str">
        <f aca="false">VLOOKUP($B33,03_COMPOSIÇÕES!$A:$G,2,0)</f>
        <v>EXECUÇÃO E COMPACTAÇÃO DE CORPO DE ATERRO DE ATERRO (95% DE ENERGIA DO PROCTOR NORMAL) COM SOLO PREDOMINANTEMENTE ARGILOSO ESPESSURA 15 CM - EXCLUSIVE MATERIAL, ESCAVAÇÃO, CARGA E TRANSPORTE. AF_09/2024</v>
      </c>
      <c r="D33" s="45" t="s">
        <v>59</v>
      </c>
      <c r="E33" s="51" t="str">
        <f aca="false">VLOOKUP($B33,03_COMPOSIÇÕES!$A:$G,4,0)</f>
        <v>M3</v>
      </c>
      <c r="F33" s="46" t="n">
        <v>473.77</v>
      </c>
      <c r="G33" s="51" t="n">
        <f aca="false">VLOOKUP($B33,03_COMPOSIÇÕES!$A:$G,6,0)</f>
        <v>9.20308409372347</v>
      </c>
      <c r="H33" s="52" t="n">
        <f aca="false">VLOOKUP($B33,03_COMPOSIÇÕES!$A:$G,7,0)</f>
        <v>2.67658304091901</v>
      </c>
      <c r="I33" s="47" t="n">
        <f aca="false">$F33*$G33</f>
        <v>4360.14515108337</v>
      </c>
      <c r="J33" s="47" t="n">
        <f aca="false">$F33*$H33</f>
        <v>1268.0847472962</v>
      </c>
      <c r="K33" s="47" t="n">
        <f aca="false">$I33*(1+BDI_MAT)</f>
        <v>5259.20708123676</v>
      </c>
      <c r="L33" s="47" t="n">
        <f aca="false">$J33*(1+BDI_MDO)</f>
        <v>1616.68124432792</v>
      </c>
      <c r="M33" s="47" t="n">
        <f aca="false">SUM(K33:L33)</f>
        <v>6875.88832556468</v>
      </c>
      <c r="N33" s="20" t="str">
        <f aca="false">A33</f>
        <v>2.2.4</v>
      </c>
    </row>
    <row r="34" customFormat="false" ht="45" hidden="false" customHeight="false" outlineLevel="2" collapsed="false">
      <c r="A34" s="42" t="s">
        <v>90</v>
      </c>
      <c r="B34" s="43" t="n">
        <v>100576</v>
      </c>
      <c r="C34" s="50" t="str">
        <f aca="false">VLOOKUP($B34,03_COMPOSIÇÕES!$A:$G,2,0)</f>
        <v>REGULARIZAÇÃO E COMPACTAÇÃO DE SUBLEITO DE SOLO PREDOMINANTEMENTE ARGILOSO, PARA OBRAS DE CONSTRUÇÃO DE PAVIMENTOS. AF_09/2024</v>
      </c>
      <c r="D34" s="45" t="s">
        <v>59</v>
      </c>
      <c r="E34" s="51" t="str">
        <f aca="false">VLOOKUP($B34,03_COMPOSIÇÕES!$A:$G,4,0)</f>
        <v>M2</v>
      </c>
      <c r="F34" s="46" t="n">
        <v>2254</v>
      </c>
      <c r="G34" s="51" t="n">
        <f aca="false">VLOOKUP($B34,03_COMPOSIÇÕES!$A:$G,6,0)</f>
        <v>1.53885692662912</v>
      </c>
      <c r="H34" s="52" t="n">
        <f aca="false">VLOOKUP($B34,03_COMPOSIÇÕES!$A:$G,7,0)</f>
        <v>0.46091532844694</v>
      </c>
      <c r="I34" s="47" t="n">
        <f aca="false">$F34*$G34</f>
        <v>3468.58351262203</v>
      </c>
      <c r="J34" s="47" t="n">
        <f aca="false">$F34*$H34</f>
        <v>1038.9031503194</v>
      </c>
      <c r="K34" s="47" t="n">
        <f aca="false">$I34*(1+BDI_MAT)</f>
        <v>4183.80543292469</v>
      </c>
      <c r="L34" s="47" t="n">
        <f aca="false">$J34*(1+BDI_MDO)</f>
        <v>1324.49762634221</v>
      </c>
      <c r="M34" s="47" t="n">
        <f aca="false">SUM(K34:L34)</f>
        <v>5508.3030592669</v>
      </c>
      <c r="N34" s="20" t="str">
        <f aca="false">A34</f>
        <v>2.2.5</v>
      </c>
    </row>
    <row r="35" customFormat="false" ht="15" hidden="false" customHeight="false" outlineLevel="1" collapsed="false">
      <c r="A35" s="42" t="s">
        <v>91</v>
      </c>
      <c r="B35" s="43"/>
      <c r="C35" s="50" t="s">
        <v>92</v>
      </c>
      <c r="D35" s="45"/>
      <c r="E35" s="45"/>
      <c r="F35" s="46"/>
      <c r="G35" s="51"/>
      <c r="H35" s="52"/>
      <c r="I35" s="47" t="n">
        <f aca="false">SUBTOTAL(9,I36:I41)</f>
        <v>70168.1398172097</v>
      </c>
      <c r="J35" s="47" t="n">
        <f aca="false">SUBTOTAL(9,J36:J41)</f>
        <v>11032.6799554328</v>
      </c>
      <c r="K35" s="47" t="n">
        <f aca="false">SUBTOTAL(9,K36:K41)</f>
        <v>84636.8102475184</v>
      </c>
      <c r="L35" s="47" t="n">
        <f aca="false">SUBTOTAL(9,L36:L41)</f>
        <v>14065.5636751812</v>
      </c>
      <c r="M35" s="47" t="n">
        <f aca="false">SUBTOTAL(9,M36:M41)</f>
        <v>98702.3739226996</v>
      </c>
      <c r="N35" s="20" t="str">
        <f aca="false">A35</f>
        <v>2.3</v>
      </c>
    </row>
    <row r="36" customFormat="false" ht="30" hidden="false" customHeight="false" outlineLevel="1" collapsed="false">
      <c r="A36" s="42" t="s">
        <v>93</v>
      </c>
      <c r="B36" s="43" t="n">
        <v>103689</v>
      </c>
      <c r="C36" s="50" t="str">
        <f aca="false">VLOOKUP($B36,03_COMPOSIÇÕES!$A:$G,2,0)</f>
        <v>FORNECIMENTO E INSTALAÇÃO DE PLACA DE OBRA COM CHAPA GALVANIZADA E ESTRUTURA DE MADEIRA. AF_03/2022_PS</v>
      </c>
      <c r="D36" s="45" t="s">
        <v>59</v>
      </c>
      <c r="E36" s="51" t="str">
        <f aca="false">VLOOKUP($B36,03_COMPOSIÇÕES!$A:$G,4,0)</f>
        <v>M2</v>
      </c>
      <c r="F36" s="46" t="n">
        <v>18</v>
      </c>
      <c r="G36" s="51" t="n">
        <f aca="false">VLOOKUP($B36,03_COMPOSIÇÕES!$A:$G,6,0)</f>
        <v>433.944679</v>
      </c>
      <c r="H36" s="52" t="n">
        <f aca="false">VLOOKUP($B36,03_COMPOSIÇÕES!$A:$G,7,0)</f>
        <v>27.06642285096</v>
      </c>
      <c r="I36" s="47" t="n">
        <f aca="false">$F36*$G36</f>
        <v>7811.004222</v>
      </c>
      <c r="J36" s="47" t="n">
        <f aca="false">$F36*$H36</f>
        <v>487.19561131728</v>
      </c>
      <c r="K36" s="47" t="n">
        <f aca="false">$I36*(1+BDI_MAT)</f>
        <v>9421.6332925764</v>
      </c>
      <c r="L36" s="47" t="n">
        <f aca="false">$J36*(1+BDI_MDO)</f>
        <v>621.1256848684</v>
      </c>
      <c r="M36" s="47" t="n">
        <f aca="false">SUM(K36:L36)</f>
        <v>10042.7589774448</v>
      </c>
      <c r="N36" s="20" t="str">
        <f aca="false">A36</f>
        <v>2.3.1</v>
      </c>
    </row>
    <row r="37" s="57" customFormat="true" ht="30" hidden="false" customHeight="false" outlineLevel="1" collapsed="false">
      <c r="A37" s="53" t="s">
        <v>94</v>
      </c>
      <c r="B37" s="54" t="s">
        <v>95</v>
      </c>
      <c r="C37" s="50" t="str">
        <f aca="false">VLOOKUP($B37,03_COMPOSIÇÕES!$A:$G,2,0)</f>
        <v>LOCACAO DE CONTAINER 2,30 X 6,00 M, ALT. 2,50 M, COM 1 SANITARIO, PARA ESCRITORIO, COMPLETO, SEM DIVISORIAS INTERNAS.</v>
      </c>
      <c r="D37" s="55" t="s">
        <v>59</v>
      </c>
      <c r="E37" s="51" t="str">
        <f aca="false">VLOOKUP($B37,03_COMPOSIÇÕES!$A:$G,4,0)</f>
        <v>MÊS</v>
      </c>
      <c r="F37" s="46" t="n">
        <v>16</v>
      </c>
      <c r="G37" s="51" t="n">
        <f aca="false">VLOOKUP($B37,03_COMPOSIÇÕES!$A:$G,6,0)</f>
        <v>855.2175</v>
      </c>
      <c r="H37" s="52" t="n">
        <f aca="false">VLOOKUP($B37,03_COMPOSIÇÕES!$A:$G,7,0)</f>
        <v>17.661654</v>
      </c>
      <c r="I37" s="56" t="n">
        <f aca="false">$F37*$G37</f>
        <v>13683.48</v>
      </c>
      <c r="J37" s="56" t="n">
        <f aca="false">$F37*$H37</f>
        <v>282.586464</v>
      </c>
      <c r="K37" s="47" t="n">
        <f aca="false">$I37*(1+BDI_MAT)</f>
        <v>16505.013576</v>
      </c>
      <c r="L37" s="47" t="n">
        <f aca="false">$J37*(1+BDI_MDO)</f>
        <v>360.2694829536</v>
      </c>
      <c r="M37" s="56" t="n">
        <f aca="false">SUM(K37:L37)</f>
        <v>16865.2830589536</v>
      </c>
      <c r="N37" s="20" t="str">
        <f aca="false">A37</f>
        <v>2.3.2</v>
      </c>
    </row>
    <row r="38" s="57" customFormat="true" ht="30" hidden="false" customHeight="false" outlineLevel="1" collapsed="false">
      <c r="A38" s="53" t="s">
        <v>96</v>
      </c>
      <c r="B38" s="54" t="s">
        <v>97</v>
      </c>
      <c r="C38" s="50" t="str">
        <f aca="false">VLOOKUP($B38,03_COMPOSIÇÕES!$A:$G,2,0)</f>
        <v>LOCACAO DE CONTAINER 2,30 X 4,30 M, ALT. 2,50 M, PARA SANITARIO, COM 3 BACIAS, 4 CHUVEIROS, 1 LAVATORIO E 1 MICTORIO</v>
      </c>
      <c r="D38" s="55" t="s">
        <v>59</v>
      </c>
      <c r="E38" s="51" t="str">
        <f aca="false">VLOOKUP($B38,03_COMPOSIÇÕES!$A:$G,4,0)</f>
        <v>MÊS</v>
      </c>
      <c r="F38" s="46" t="n">
        <v>16</v>
      </c>
      <c r="G38" s="51" t="n">
        <f aca="false">VLOOKUP($B38,03_COMPOSIÇÕES!$A:$G,6,0)</f>
        <v>969.9775</v>
      </c>
      <c r="H38" s="52" t="n">
        <f aca="false">VLOOKUP($B38,03_COMPOSIÇÕES!$A:$G,7,0)</f>
        <v>17.661654</v>
      </c>
      <c r="I38" s="56" t="n">
        <f aca="false">$F38*$G38</f>
        <v>15519.64</v>
      </c>
      <c r="J38" s="56" t="n">
        <f aca="false">$F38*$H38</f>
        <v>282.586464</v>
      </c>
      <c r="K38" s="47" t="n">
        <f aca="false">$I38*(1+BDI_MAT)</f>
        <v>18719.789768</v>
      </c>
      <c r="L38" s="47" t="n">
        <f aca="false">$J38*(1+BDI_MDO)</f>
        <v>360.2694829536</v>
      </c>
      <c r="M38" s="56" t="n">
        <f aca="false">SUM(K38:L38)</f>
        <v>19080.0592509536</v>
      </c>
      <c r="N38" s="20" t="str">
        <f aca="false">A38</f>
        <v>2.3.3</v>
      </c>
    </row>
    <row r="39" customFormat="false" ht="15" hidden="false" customHeight="false" outlineLevel="1" collapsed="false">
      <c r="A39" s="42" t="s">
        <v>98</v>
      </c>
      <c r="B39" s="43" t="s">
        <v>99</v>
      </c>
      <c r="C39" s="50" t="str">
        <f aca="false">VLOOKUP($B39,03_COMPOSIÇÕES!$A:$G,2,0)</f>
        <v>BARRACÃO FECHADO PARA ALMOXARIFADO, ÁREA DE 38,72 M2.</v>
      </c>
      <c r="D39" s="45" t="s">
        <v>59</v>
      </c>
      <c r="E39" s="51" t="str">
        <f aca="false">VLOOKUP($B39,03_COMPOSIÇÕES!$A:$G,4,0)</f>
        <v>UN</v>
      </c>
      <c r="F39" s="46" t="n">
        <v>1</v>
      </c>
      <c r="G39" s="51" t="n">
        <f aca="false">VLOOKUP($B39,03_COMPOSIÇÕES!$A:$G,6,0)</f>
        <v>14224.020329766</v>
      </c>
      <c r="H39" s="52" t="n">
        <f aca="false">VLOOKUP($B39,03_COMPOSIÇÕES!$A:$G,7,0)</f>
        <v>1912.38920772887</v>
      </c>
      <c r="I39" s="47" t="n">
        <f aca="false">$F39*$G39</f>
        <v>14224.020329766</v>
      </c>
      <c r="J39" s="47" t="n">
        <f aca="false">$F39*$H39</f>
        <v>1912.38920772887</v>
      </c>
      <c r="K39" s="47" t="n">
        <f aca="false">$I39*(1+BDI_MAT)</f>
        <v>17157.0133217638</v>
      </c>
      <c r="L39" s="47" t="n">
        <f aca="false">$J39*(1+BDI_MDO)</f>
        <v>2438.10500093353</v>
      </c>
      <c r="M39" s="47" t="n">
        <f aca="false">SUM(K39:L39)</f>
        <v>19595.1183226973</v>
      </c>
      <c r="N39" s="20" t="str">
        <f aca="false">A39</f>
        <v>2.3.4</v>
      </c>
    </row>
    <row r="40" customFormat="false" ht="60" hidden="false" customHeight="false" outlineLevel="1" collapsed="false">
      <c r="A40" s="42" t="s">
        <v>100</v>
      </c>
      <c r="B40" s="43" t="s">
        <v>101</v>
      </c>
      <c r="C40" s="50" t="str">
        <f aca="false">VLOOKUP($B40,03_COMPOSIÇÕES!$A:$G,2,0)</f>
        <v>BARRACÃO DE OBRA PARA ARMAÇÃO, FABRICAÇÃO DE FÔRMAS, PRODUÇÃO DE ARGAMASSA OU CONCRETO EM OBRA. COMPOSTO POR MADEIRAMENTO EM MASSARANDUBA, TELHA DE FIBROCIMENTO 6MM E PISO EM CONCRETO.</v>
      </c>
      <c r="D40" s="45" t="s">
        <v>59</v>
      </c>
      <c r="E40" s="51" t="str">
        <f aca="false">VLOOKUP($B40,03_COMPOSIÇÕES!$A:$G,4,0)</f>
        <v>M2</v>
      </c>
      <c r="F40" s="46" t="n">
        <v>36</v>
      </c>
      <c r="G40" s="51" t="n">
        <f aca="false">VLOOKUP($B40,03_COMPOSIÇÕES!$A:$G,6,0)</f>
        <v>281.727486793992</v>
      </c>
      <c r="H40" s="52" t="n">
        <f aca="false">VLOOKUP($B40,03_COMPOSIÇÕES!$A:$G,7,0)</f>
        <v>47.5754843009613</v>
      </c>
      <c r="I40" s="47" t="n">
        <f aca="false">$F40*$G40</f>
        <v>10142.1895245837</v>
      </c>
      <c r="J40" s="47" t="n">
        <f aca="false">$F40*$H40</f>
        <v>1712.71743483461</v>
      </c>
      <c r="K40" s="47" t="n">
        <f aca="false">$I40*(1+BDI_MAT)</f>
        <v>12233.5090045529</v>
      </c>
      <c r="L40" s="47" t="n">
        <f aca="false">$J40*(1+BDI_MDO)</f>
        <v>2183.54345767064</v>
      </c>
      <c r="M40" s="47" t="n">
        <f aca="false">SUM(K40:L40)</f>
        <v>14417.0524622235</v>
      </c>
      <c r="N40" s="20" t="str">
        <f aca="false">A40</f>
        <v>2.3.5</v>
      </c>
    </row>
    <row r="41" customFormat="false" ht="45" hidden="false" customHeight="false" outlineLevel="1" collapsed="false">
      <c r="A41" s="42" t="s">
        <v>102</v>
      </c>
      <c r="B41" s="43" t="n">
        <v>99059</v>
      </c>
      <c r="C41" s="50" t="str">
        <f aca="false">VLOOKUP($B41,03_COMPOSIÇÕES!$A:$G,2,0)</f>
        <v>LOCAÇÃO CONVENCIONAL DE OBRA, UTILIZANDO GABARITO DE TÁBUAS CORRIDAS PONTALETADAS A CADA 2,00M - 2 UTILIZAÇÕES. AF_03/2024</v>
      </c>
      <c r="D41" s="45" t="s">
        <v>59</v>
      </c>
      <c r="E41" s="51" t="str">
        <f aca="false">VLOOKUP($B41,03_COMPOSIÇÕES!$A:$G,4,0)</f>
        <v>M</v>
      </c>
      <c r="F41" s="46" t="n">
        <v>250</v>
      </c>
      <c r="G41" s="51" t="n">
        <f aca="false">VLOOKUP($B41,03_COMPOSIÇÕES!$A:$G,6,0)</f>
        <v>35.15122296344</v>
      </c>
      <c r="H41" s="52" t="n">
        <f aca="false">VLOOKUP($B41,03_COMPOSIÇÕES!$A:$G,7,0)</f>
        <v>25.420819094208</v>
      </c>
      <c r="I41" s="47" t="n">
        <f aca="false">$F41*$G41</f>
        <v>8787.80574086</v>
      </c>
      <c r="J41" s="47" t="n">
        <f aca="false">$F41*$H41</f>
        <v>6355.204773552</v>
      </c>
      <c r="K41" s="47" t="n">
        <f aca="false">$I41*(1+BDI_MAT)</f>
        <v>10599.8512846253</v>
      </c>
      <c r="L41" s="47" t="n">
        <f aca="false">$J41*(1+BDI_MDO)</f>
        <v>8102.25056580144</v>
      </c>
      <c r="M41" s="47" t="n">
        <f aca="false">SUM(K41:L41)</f>
        <v>18702.1018504268</v>
      </c>
      <c r="N41" s="20" t="str">
        <f aca="false">A41</f>
        <v>2.3.6</v>
      </c>
    </row>
    <row r="42" customFormat="false" ht="15" hidden="false" customHeight="false" outlineLevel="0" collapsed="false">
      <c r="A42" s="42" t="n">
        <v>3</v>
      </c>
      <c r="B42" s="43"/>
      <c r="C42" s="50" t="s">
        <v>103</v>
      </c>
      <c r="D42" s="45"/>
      <c r="E42" s="45"/>
      <c r="F42" s="46"/>
      <c r="G42" s="51"/>
      <c r="H42" s="52"/>
      <c r="I42" s="47" t="n">
        <f aca="false">SUM(I43,I46)</f>
        <v>1922399.69831076</v>
      </c>
      <c r="J42" s="47" t="n">
        <f aca="false">SUM(J43,J46)</f>
        <v>363901.295196557</v>
      </c>
      <c r="K42" s="47" t="n">
        <f aca="false">SUM(K43,K46)</f>
        <v>2318798.51610244</v>
      </c>
      <c r="L42" s="47" t="n">
        <f aca="false">SUM(L43,L46)</f>
        <v>463937.761246091</v>
      </c>
      <c r="M42" s="47" t="n">
        <f aca="false">SUM(M43,M46)</f>
        <v>2782736.27734853</v>
      </c>
      <c r="N42" s="20" t="n">
        <f aca="false">A42</f>
        <v>3</v>
      </c>
    </row>
    <row r="43" customFormat="false" ht="15" hidden="false" customHeight="false" outlineLevel="1" collapsed="false">
      <c r="A43" s="42" t="s">
        <v>104</v>
      </c>
      <c r="B43" s="43"/>
      <c r="C43" s="58" t="s">
        <v>105</v>
      </c>
      <c r="D43" s="45"/>
      <c r="E43" s="45"/>
      <c r="F43" s="46"/>
      <c r="G43" s="51"/>
      <c r="H43" s="52"/>
      <c r="I43" s="47" t="n">
        <f aca="false">SUM(I44:I45)</f>
        <v>23771.7685111183</v>
      </c>
      <c r="J43" s="47" t="n">
        <f aca="false">SUM(J44:J45)</f>
        <v>1740.27162309587</v>
      </c>
      <c r="K43" s="47" t="n">
        <f aca="false">SUM(K44:K45)</f>
        <v>28673.5071781109</v>
      </c>
      <c r="L43" s="47" t="n">
        <f aca="false">SUM(L44:L45)</f>
        <v>2218.67229228492</v>
      </c>
      <c r="M43" s="47" t="n">
        <f aca="false">SUM(M44:M45)</f>
        <v>30892.1794703959</v>
      </c>
      <c r="N43" s="20" t="str">
        <f aca="false">A43</f>
        <v>3.1</v>
      </c>
    </row>
    <row r="44" customFormat="false" ht="30" hidden="false" customHeight="false" outlineLevel="3" collapsed="false">
      <c r="A44" s="42" t="s">
        <v>106</v>
      </c>
      <c r="B44" s="43" t="s">
        <v>107</v>
      </c>
      <c r="C44" s="50" t="str">
        <f aca="false">VLOOKUP($B44,03_COMPOSIÇÕES!$A:$G,2,0)</f>
        <v>PORTAO DE ABRIR/CORRER EM GRADIL DE METALON QUADRADO DE 3/4'' VERTICAL, COM REQUADRO, ACABAMENTO NATURAL - COMPLETO</v>
      </c>
      <c r="D44" s="45" t="s">
        <v>59</v>
      </c>
      <c r="E44" s="51" t="str">
        <f aca="false">VLOOKUP($B44,03_COMPOSIÇÕES!$A:$G,4,0)</f>
        <v>M2</v>
      </c>
      <c r="F44" s="46" t="n">
        <v>12.5</v>
      </c>
      <c r="G44" s="51" t="n">
        <f aca="false">VLOOKUP($B44,03_COMPOSIÇÕES!$A:$G,6,0)</f>
        <v>354.3999962</v>
      </c>
      <c r="H44" s="52" t="n">
        <f aca="false">VLOOKUP($B44,03_COMPOSIÇÕES!$A:$G,7,0)</f>
        <v>31.034055494628</v>
      </c>
      <c r="I44" s="47" t="n">
        <f aca="false">$F44*$G44</f>
        <v>4429.9999525</v>
      </c>
      <c r="J44" s="47" t="n">
        <f aca="false">$F44*$H44</f>
        <v>387.92569368285</v>
      </c>
      <c r="K44" s="47" t="n">
        <f aca="false">$I44*(1+BDI_MAT)</f>
        <v>5343.4659427055</v>
      </c>
      <c r="L44" s="47" t="n">
        <f aca="false">$J44*(1+BDI_MDO)</f>
        <v>494.566466876266</v>
      </c>
      <c r="M44" s="47" t="n">
        <f aca="false">SUM(K44:L44)</f>
        <v>5838.03240958177</v>
      </c>
      <c r="N44" s="20" t="str">
        <f aca="false">A44</f>
        <v>3.1.1</v>
      </c>
    </row>
    <row r="45" customFormat="false" ht="60" hidden="false" customHeight="false" outlineLevel="3" collapsed="false">
      <c r="A45" s="42" t="s">
        <v>108</v>
      </c>
      <c r="B45" s="43" t="s">
        <v>109</v>
      </c>
      <c r="C45" s="50" t="str">
        <f aca="false">VLOOKUP($B45,03_COMPOSIÇÕES!$A:$G,2,0)</f>
        <v>GRADIL METÁLICO H=2,03M COM FIO DE AÇO GALVANIZADO ø4.3MMM, COM PINTURA ELETROSTÁTICA, ABERTURA DA MALHA: 200MM(A) X 50MM(L), COM POSTES METÁLICOSA CADA 2,50M. INCLUSO FIXADORES METÁLICOS (6UN POR POSTE) E TAMPA DE PVC PARA POSTE.</v>
      </c>
      <c r="D45" s="45" t="s">
        <v>59</v>
      </c>
      <c r="E45" s="51" t="str">
        <f aca="false">VLOOKUP($B45,03_COMPOSIÇÕES!$A:$G,4,0)</f>
        <v>M2</v>
      </c>
      <c r="F45" s="46" t="n">
        <v>102.88</v>
      </c>
      <c r="G45" s="51" t="n">
        <f aca="false">VLOOKUP($B45,03_COMPOSIÇÕES!$A:$G,6,0)</f>
        <v>188.003193610209</v>
      </c>
      <c r="H45" s="52" t="n">
        <f aca="false">VLOOKUP($B45,03_COMPOSIÇÕES!$A:$G,7,0)</f>
        <v>13.1448865611685</v>
      </c>
      <c r="I45" s="47" t="n">
        <f aca="false">$F45*$G45</f>
        <v>19341.7685586183</v>
      </c>
      <c r="J45" s="47" t="n">
        <f aca="false">$F45*$H45</f>
        <v>1352.34592941302</v>
      </c>
      <c r="K45" s="47" t="n">
        <f aca="false">$I45*(1+BDI_MAT)</f>
        <v>23330.0412354054</v>
      </c>
      <c r="L45" s="47" t="n">
        <f aca="false">$J45*(1+BDI_MDO)</f>
        <v>1724.10582540866</v>
      </c>
      <c r="M45" s="47" t="n">
        <f aca="false">SUM(K45:L45)</f>
        <v>25054.1470608141</v>
      </c>
      <c r="N45" s="20" t="str">
        <f aca="false">A45</f>
        <v>3.1.2</v>
      </c>
    </row>
    <row r="46" customFormat="false" ht="15" hidden="false" customHeight="false" outlineLevel="1" collapsed="false">
      <c r="A46" s="42" t="s">
        <v>110</v>
      </c>
      <c r="B46" s="43"/>
      <c r="C46" s="50" t="s">
        <v>111</v>
      </c>
      <c r="D46" s="45"/>
      <c r="E46" s="45"/>
      <c r="F46" s="46"/>
      <c r="G46" s="51"/>
      <c r="H46" s="52"/>
      <c r="I46" s="47" t="n">
        <f aca="false">SUM(I47,I85,I158)</f>
        <v>1898627.92979964</v>
      </c>
      <c r="J46" s="47" t="n">
        <f aca="false">SUM(J47,J85,J158)</f>
        <v>362161.023573462</v>
      </c>
      <c r="K46" s="47" t="n">
        <f aca="false">SUM(K47,K85,K158)</f>
        <v>2290125.00892433</v>
      </c>
      <c r="L46" s="47" t="n">
        <f aca="false">SUM(L47,L85,L158)</f>
        <v>461719.088953806</v>
      </c>
      <c r="M46" s="47" t="n">
        <f aca="false">SUM(M47,M85,M158)</f>
        <v>2751844.09787813</v>
      </c>
      <c r="N46" s="20" t="str">
        <f aca="false">A46</f>
        <v>3.2</v>
      </c>
    </row>
    <row r="47" customFormat="false" ht="15" hidden="false" customHeight="false" outlineLevel="1" collapsed="false">
      <c r="A47" s="42" t="s">
        <v>112</v>
      </c>
      <c r="B47" s="43"/>
      <c r="C47" s="50" t="s">
        <v>113</v>
      </c>
      <c r="D47" s="45"/>
      <c r="E47" s="45"/>
      <c r="F47" s="46"/>
      <c r="G47" s="51"/>
      <c r="H47" s="52"/>
      <c r="I47" s="47" t="n">
        <f aca="false">SUM(I48,I52,I61,I68,I79)</f>
        <v>536014.48438766</v>
      </c>
      <c r="J47" s="47" t="n">
        <f aca="false">SUM(J48,J52,J61,J68,J79)</f>
        <v>86708.0979414295</v>
      </c>
      <c r="K47" s="47" t="n">
        <f aca="false">SUM(K48,K52,K61,K68,K79)</f>
        <v>646540.671068396</v>
      </c>
      <c r="L47" s="47" t="n">
        <f aca="false">SUM(L48,L52,L61,L68,L79)</f>
        <v>110544.154065529</v>
      </c>
      <c r="M47" s="47" t="n">
        <f aca="false">SUM(M48,M52,M61,M68,M79)</f>
        <v>757084.825133925</v>
      </c>
      <c r="N47" s="20" t="str">
        <f aca="false">A47</f>
        <v>3.2.1</v>
      </c>
    </row>
    <row r="48" customFormat="false" ht="15" hidden="false" customHeight="false" outlineLevel="2" collapsed="false">
      <c r="A48" s="42" t="s">
        <v>114</v>
      </c>
      <c r="B48" s="43"/>
      <c r="C48" s="50" t="s">
        <v>115</v>
      </c>
      <c r="D48" s="45"/>
      <c r="E48" s="45"/>
      <c r="F48" s="46"/>
      <c r="G48" s="51"/>
      <c r="H48" s="52"/>
      <c r="I48" s="47" t="n">
        <f aca="false">SUBTOTAL(9,I49:I51)</f>
        <v>306993.899183154</v>
      </c>
      <c r="J48" s="47" t="n">
        <f aca="false">SUBTOTAL(9,J49:J51)</f>
        <v>24103.2380470988</v>
      </c>
      <c r="K48" s="47" t="n">
        <f aca="false">SUBTOTAL(9,K49:K51)</f>
        <v>370296.041194721</v>
      </c>
      <c r="L48" s="47" t="n">
        <f aca="false">SUBTOTAL(9,L49:L51)</f>
        <v>30729.2181862462</v>
      </c>
      <c r="M48" s="47" t="n">
        <f aca="false">SUBTOTAL(9,M49:M51)</f>
        <v>401025.259380967</v>
      </c>
      <c r="N48" s="20" t="str">
        <f aca="false">A48</f>
        <v>3.2.1.1</v>
      </c>
    </row>
    <row r="49" customFormat="false" ht="15" hidden="false" customHeight="false" outlineLevel="3" collapsed="false">
      <c r="A49" s="42" t="s">
        <v>116</v>
      </c>
      <c r="B49" s="43" t="s">
        <v>117</v>
      </c>
      <c r="C49" s="50" t="str">
        <f aca="false">VLOOKUP($B49,03_COMPOSIÇÕES!$A:$G,2,0)</f>
        <v>MOBILIZAÇÃO E DESMOBILIZAÇÃO DE EQUIPAMENTO PARA ESTACAS</v>
      </c>
      <c r="D49" s="45" t="s">
        <v>59</v>
      </c>
      <c r="E49" s="51" t="str">
        <f aca="false">VLOOKUP($B49,03_COMPOSIÇÕES!$A:$G,4,0)</f>
        <v>UN</v>
      </c>
      <c r="F49" s="46" t="n">
        <v>1</v>
      </c>
      <c r="G49" s="51" t="n">
        <f aca="false">VLOOKUP($B49,03_COMPOSIÇÕES!$A:$G,6,0)</f>
        <v>6162.185</v>
      </c>
      <c r="H49" s="52" t="n">
        <f aca="false">VLOOKUP($B49,03_COMPOSIÇÕES!$A:$G,7,0)</f>
        <v>10.324332</v>
      </c>
      <c r="I49" s="47" t="n">
        <f aca="false">$F49*$G49</f>
        <v>6162.185</v>
      </c>
      <c r="J49" s="47" t="n">
        <f aca="false">$F49*$H49</f>
        <v>10.324332</v>
      </c>
      <c r="K49" s="47" t="n">
        <f aca="false">$I49*(1+BDI_MAT)</f>
        <v>7432.827547</v>
      </c>
      <c r="L49" s="47" t="n">
        <f aca="false">$J49*(1+BDI_MDO)</f>
        <v>13.1624908668</v>
      </c>
      <c r="M49" s="47" t="n">
        <f aca="false">SUM(K49:L49)</f>
        <v>7445.9900378668</v>
      </c>
      <c r="N49" s="20" t="str">
        <f aca="false">A49</f>
        <v>3.2.1.1.1</v>
      </c>
    </row>
    <row r="50" customFormat="false" ht="30" hidden="false" customHeight="false" outlineLevel="3" collapsed="false">
      <c r="A50" s="42" t="s">
        <v>118</v>
      </c>
      <c r="B50" s="43" t="n">
        <v>95601</v>
      </c>
      <c r="C50" s="50" t="str">
        <f aca="false">VLOOKUP($B50,03_COMPOSIÇÕES!$A:$G,2,0)</f>
        <v>ARRASAMENTO MECANICO DE ESTACA DE CONCRETO ARMADO, DIAMETROS DE ATÉ 40 CM. AF_05/2021</v>
      </c>
      <c r="D50" s="45" t="s">
        <v>59</v>
      </c>
      <c r="E50" s="51" t="str">
        <f aca="false">VLOOKUP($B50,03_COMPOSIÇÕES!$A:$G,4,0)</f>
        <v>UN</v>
      </c>
      <c r="F50" s="46" t="n">
        <v>167</v>
      </c>
      <c r="G50" s="51" t="n">
        <f aca="false">VLOOKUP($B50,03_COMPOSIÇÕES!$A:$G,6,0)</f>
        <v>5.4374740934</v>
      </c>
      <c r="H50" s="52" t="n">
        <f aca="false">VLOOKUP($B50,03_COMPOSIÇÕES!$A:$G,7,0)</f>
        <v>10.3310177883</v>
      </c>
      <c r="I50" s="47" t="n">
        <f aca="false">$F50*$G50</f>
        <v>908.0581735978</v>
      </c>
      <c r="J50" s="47" t="n">
        <f aca="false">$F50*$H50</f>
        <v>1725.2799706461</v>
      </c>
      <c r="K50" s="47" t="n">
        <f aca="false">$I50*(1+BDI_MAT)</f>
        <v>1095.29976899367</v>
      </c>
      <c r="L50" s="47" t="n">
        <f aca="false">$J50*(1+BDI_MDO)</f>
        <v>2199.55943457671</v>
      </c>
      <c r="M50" s="47" t="n">
        <f aca="false">SUM(K50:L50)</f>
        <v>3294.85920357038</v>
      </c>
      <c r="N50" s="20" t="str">
        <f aca="false">A50</f>
        <v>3.2.1.1.2</v>
      </c>
    </row>
    <row r="51" customFormat="false" ht="45" hidden="false" customHeight="false" outlineLevel="3" collapsed="false">
      <c r="A51" s="42" t="s">
        <v>119</v>
      </c>
      <c r="B51" s="43" t="s">
        <v>120</v>
      </c>
      <c r="C51" s="50" t="str">
        <f aca="false">VLOOKUP($B51,03_COMPOSIÇÕES!$A:$G,2,0)</f>
        <v>ESTACA HÉLICE CONTÍNUA, DIÂMETRO DE 30 CM, INCLUSO CONCRETO FCK=35MPA, ARMADURA LONGITUDIONAL Ø16 MM E TRANSVERSAL Ø6,3 MM.</v>
      </c>
      <c r="D51" s="45" t="s">
        <v>59</v>
      </c>
      <c r="E51" s="51" t="str">
        <f aca="false">VLOOKUP($B51,03_COMPOSIÇÕES!$A:$G,4,0)</f>
        <v>M</v>
      </c>
      <c r="F51" s="46" t="n">
        <v>2171</v>
      </c>
      <c r="G51" s="51" t="n">
        <f aca="false">VLOOKUP($B51,03_COMPOSIÇÕES!$A:$G,6,0)</f>
        <v>138.150002768105</v>
      </c>
      <c r="H51" s="52" t="n">
        <f aca="false">VLOOKUP($B51,03_COMPOSIÇÕES!$A:$G,7,0)</f>
        <v>10.3029174318069</v>
      </c>
      <c r="I51" s="47" t="n">
        <f aca="false">$F51*$G51</f>
        <v>299923.656009557</v>
      </c>
      <c r="J51" s="47" t="n">
        <f aca="false">$F51*$H51</f>
        <v>22367.6337444527</v>
      </c>
      <c r="K51" s="47" t="n">
        <f aca="false">$I51*(1+BDI_MAT)</f>
        <v>361767.913878727</v>
      </c>
      <c r="L51" s="47" t="n">
        <f aca="false">$J51*(1+BDI_MDO)</f>
        <v>28516.4962608027</v>
      </c>
      <c r="M51" s="47" t="n">
        <f aca="false">SUM(K51:L51)</f>
        <v>390284.41013953</v>
      </c>
      <c r="N51" s="20" t="str">
        <f aca="false">A51</f>
        <v>3.2.1.1.3</v>
      </c>
    </row>
    <row r="52" customFormat="false" ht="15" hidden="false" customHeight="false" outlineLevel="2" collapsed="false">
      <c r="A52" s="42" t="s">
        <v>121</v>
      </c>
      <c r="B52" s="43"/>
      <c r="C52" s="50" t="s">
        <v>122</v>
      </c>
      <c r="D52" s="45"/>
      <c r="E52" s="45"/>
      <c r="F52" s="46"/>
      <c r="G52" s="51"/>
      <c r="H52" s="52"/>
      <c r="I52" s="47" t="n">
        <f aca="false">SUBTOTAL(9,I53:I60)</f>
        <v>48402.9141798881</v>
      </c>
      <c r="J52" s="47" t="n">
        <f aca="false">SUBTOTAL(9,J53:J60)</f>
        <v>11932.9418421178</v>
      </c>
      <c r="K52" s="47" t="n">
        <f aca="false">SUBTOTAL(9,K53:K60)</f>
        <v>58383.595083781</v>
      </c>
      <c r="L52" s="47" t="n">
        <f aca="false">SUBTOTAL(9,L53:L60)</f>
        <v>15213.307554516</v>
      </c>
      <c r="M52" s="47" t="n">
        <f aca="false">SUBTOTAL(9,M53:M60)</f>
        <v>73596.902638297</v>
      </c>
      <c r="N52" s="20" t="str">
        <f aca="false">A52</f>
        <v>3.2.1.2</v>
      </c>
    </row>
    <row r="53" customFormat="false" ht="45" hidden="false" customHeight="false" outlineLevel="3" collapsed="false">
      <c r="A53" s="42" t="s">
        <v>123</v>
      </c>
      <c r="B53" s="43" t="n">
        <v>96521</v>
      </c>
      <c r="C53" s="50" t="str">
        <f aca="false">VLOOKUP($B53,03_COMPOSIÇÕES!$A:$G,2,0)</f>
        <v>ESCAVAÇÃO MECANIZADA PARA BLOCO DE COROAMENTO OU SAPATA COM RETROESCAVADEIRA (INCLUINDO ESCAVAÇÃO PARA COLOCAÇÃO DE FÔRMAS). AF_01/2024</v>
      </c>
      <c r="D53" s="45" t="s">
        <v>59</v>
      </c>
      <c r="E53" s="51" t="str">
        <f aca="false">VLOOKUP($B53,03_COMPOSIÇÕES!$A:$G,4,0)</f>
        <v>M3</v>
      </c>
      <c r="F53" s="46" t="n">
        <v>32.49</v>
      </c>
      <c r="G53" s="51" t="n">
        <f aca="false">VLOOKUP($B53,03_COMPOSIÇÕES!$A:$G,6,0)</f>
        <v>29.675465530752</v>
      </c>
      <c r="H53" s="52" t="n">
        <f aca="false">VLOOKUP($B53,03_COMPOSIÇÕES!$A:$G,7,0)</f>
        <v>8.0586712944</v>
      </c>
      <c r="I53" s="47" t="n">
        <f aca="false">$F53*$G53</f>
        <v>964.155875094133</v>
      </c>
      <c r="J53" s="47" t="n">
        <f aca="false">$F53*$H53</f>
        <v>261.826230355056</v>
      </c>
      <c r="K53" s="47" t="n">
        <f aca="false">$I53*(1+BDI_MAT)</f>
        <v>1162.96481653854</v>
      </c>
      <c r="L53" s="47" t="n">
        <f aca="false">$J53*(1+BDI_MDO)</f>
        <v>333.802261079661</v>
      </c>
      <c r="M53" s="47" t="n">
        <f aca="false">SUM(K53:L53)</f>
        <v>1496.7670776182</v>
      </c>
      <c r="N53" s="20" t="str">
        <f aca="false">A53</f>
        <v>3.2.1.2.1</v>
      </c>
    </row>
    <row r="54" customFormat="false" ht="45" hidden="false" customHeight="false" outlineLevel="3" collapsed="false">
      <c r="A54" s="42" t="s">
        <v>124</v>
      </c>
      <c r="B54" s="43" t="n">
        <v>96531</v>
      </c>
      <c r="C54" s="50" t="str">
        <f aca="false">VLOOKUP($B54,03_COMPOSIÇÕES!$A:$G,2,0)</f>
        <v>FABRICAÇÃO, MONTAGEM E DESMONTAGEM DE FÔRMA PARA BLOCO DE COROAMENTO, EM MADEIRA SERRADA, E=25 MM, 2 UTILIZAÇÕES. AF_01/2024</v>
      </c>
      <c r="D54" s="45" t="s">
        <v>59</v>
      </c>
      <c r="E54" s="51" t="str">
        <f aca="false">VLOOKUP($B54,03_COMPOSIÇÕES!$A:$G,4,0)</f>
        <v>M2</v>
      </c>
      <c r="F54" s="46" t="n">
        <v>170.13</v>
      </c>
      <c r="G54" s="51" t="n">
        <f aca="false">VLOOKUP($B54,03_COMPOSIÇÕES!$A:$G,6,0)</f>
        <v>74.432604871704</v>
      </c>
      <c r="H54" s="52" t="n">
        <f aca="false">VLOOKUP($B54,03_COMPOSIÇÕES!$A:$G,7,0)</f>
        <v>37.3469979048</v>
      </c>
      <c r="I54" s="47" t="n">
        <f aca="false">$F54*$G54</f>
        <v>12663.219066823</v>
      </c>
      <c r="J54" s="47" t="n">
        <f aca="false">$F54*$H54</f>
        <v>6353.84475354362</v>
      </c>
      <c r="K54" s="47" t="n">
        <f aca="false">$I54*(1+BDI_MAT)</f>
        <v>15274.3748384019</v>
      </c>
      <c r="L54" s="47" t="n">
        <f aca="false">$J54*(1+BDI_MDO)</f>
        <v>8100.51667629277</v>
      </c>
      <c r="M54" s="47" t="n">
        <f aca="false">SUM(K54:L54)</f>
        <v>23374.8915146947</v>
      </c>
      <c r="N54" s="20" t="str">
        <f aca="false">A54</f>
        <v>3.2.1.2.2</v>
      </c>
    </row>
    <row r="55" customFormat="false" ht="30" hidden="false" customHeight="false" outlineLevel="3" collapsed="false">
      <c r="A55" s="42" t="s">
        <v>125</v>
      </c>
      <c r="B55" s="43" t="n">
        <v>96621</v>
      </c>
      <c r="C55" s="50" t="str">
        <f aca="false">VLOOKUP($B55,03_COMPOSIÇÕES!$A:$G,2,0)</f>
        <v>LASTRO COM MATERIAL GRANULAR, APLICAÇÃO EM BLOCOS DE COROAMENTO, ESPESSURA DE *5 CM*. AF_01/2024</v>
      </c>
      <c r="D55" s="45" t="s">
        <v>59</v>
      </c>
      <c r="E55" s="51" t="str">
        <f aca="false">VLOOKUP($B55,03_COMPOSIÇÕES!$A:$G,4,0)</f>
        <v>M3</v>
      </c>
      <c r="F55" s="46" t="n">
        <v>6.5</v>
      </c>
      <c r="G55" s="51" t="n">
        <f aca="false">VLOOKUP($B55,03_COMPOSIÇÕES!$A:$G,6,0)</f>
        <v>25.203982020572</v>
      </c>
      <c r="H55" s="52" t="n">
        <f aca="false">VLOOKUP($B55,03_COMPOSIÇÕES!$A:$G,7,0)</f>
        <v>60.114868068</v>
      </c>
      <c r="I55" s="47" t="n">
        <f aca="false">$F55*$G55</f>
        <v>163.825883133718</v>
      </c>
      <c r="J55" s="47" t="n">
        <f aca="false">$F55*$H55</f>
        <v>390.746642442</v>
      </c>
      <c r="K55" s="47" t="n">
        <f aca="false">$I55*(1+BDI_MAT)</f>
        <v>197.606780235891</v>
      </c>
      <c r="L55" s="47" t="n">
        <f aca="false">$J55*(1+BDI_MDO)</f>
        <v>498.162894449306</v>
      </c>
      <c r="M55" s="47" t="n">
        <f aca="false">SUM(K55:L55)</f>
        <v>695.769674685196</v>
      </c>
      <c r="N55" s="20" t="str">
        <f aca="false">A55</f>
        <v>3.2.1.2.3</v>
      </c>
    </row>
    <row r="56" customFormat="false" ht="30" hidden="false" customHeight="false" outlineLevel="3" collapsed="false">
      <c r="A56" s="42" t="s">
        <v>126</v>
      </c>
      <c r="B56" s="43" t="n">
        <v>96543</v>
      </c>
      <c r="C56" s="50" t="str">
        <f aca="false">VLOOKUP($B56,03_COMPOSIÇÕES!$A:$G,2,0)</f>
        <v>ARMAÇÃO DE BLOCO UTILIZANDO AÇO CA-60 DE 5 MM - MONTAGEM. AF_01/2024</v>
      </c>
      <c r="D56" s="45" t="s">
        <v>59</v>
      </c>
      <c r="E56" s="51" t="str">
        <f aca="false">VLOOKUP($B56,03_COMPOSIÇÕES!$A:$G,4,0)</f>
        <v>KG</v>
      </c>
      <c r="F56" s="46" t="n">
        <v>270.64</v>
      </c>
      <c r="G56" s="51" t="n">
        <f aca="false">VLOOKUP($B56,03_COMPOSIÇÕES!$A:$G,6,0)</f>
        <v>11.596866</v>
      </c>
      <c r="H56" s="52" t="n">
        <f aca="false">VLOOKUP($B56,03_COMPOSIÇÕES!$A:$G,7,0)</f>
        <v>7.77106703448</v>
      </c>
      <c r="I56" s="47" t="n">
        <f aca="false">$F56*$G56</f>
        <v>3138.57581424</v>
      </c>
      <c r="J56" s="47" t="n">
        <f aca="false">$F56*$H56</f>
        <v>2103.16158221167</v>
      </c>
      <c r="K56" s="47" t="n">
        <f aca="false">$I56*(1+BDI_MAT)</f>
        <v>3785.75014713629</v>
      </c>
      <c r="L56" s="47" t="n">
        <f aca="false">$J56*(1+BDI_MDO)</f>
        <v>2681.32070116165</v>
      </c>
      <c r="M56" s="47" t="n">
        <f aca="false">SUM(K56:L56)</f>
        <v>6467.07084829794</v>
      </c>
      <c r="N56" s="20" t="str">
        <f aca="false">A56</f>
        <v>3.2.1.2.4</v>
      </c>
    </row>
    <row r="57" customFormat="false" ht="30" hidden="false" customHeight="false" outlineLevel="3" collapsed="false">
      <c r="A57" s="42" t="s">
        <v>127</v>
      </c>
      <c r="B57" s="43" t="n">
        <v>96544</v>
      </c>
      <c r="C57" s="50" t="str">
        <f aca="false">VLOOKUP($B57,03_COMPOSIÇÕES!$A:$G,2,0)</f>
        <v>ARMAÇÃO DE BLOCO UTILIZANDO AÇO CA-50 DE 6,3 MM - MONTAGEM. AF_01/2024</v>
      </c>
      <c r="D57" s="45" t="s">
        <v>59</v>
      </c>
      <c r="E57" s="51" t="str">
        <f aca="false">VLOOKUP($B57,03_COMPOSIÇÕES!$A:$G,4,0)</f>
        <v>KG</v>
      </c>
      <c r="F57" s="46" t="n">
        <v>229.73</v>
      </c>
      <c r="G57" s="51" t="n">
        <f aca="false">VLOOKUP($B57,03_COMPOSIÇÕES!$A:$G,6,0)</f>
        <v>11.861641</v>
      </c>
      <c r="H57" s="52" t="n">
        <f aca="false">VLOOKUP($B57,03_COMPOSIÇÕES!$A:$G,7,0)</f>
        <v>5.71729084164</v>
      </c>
      <c r="I57" s="47" t="n">
        <f aca="false">$F57*$G57</f>
        <v>2724.97478693</v>
      </c>
      <c r="J57" s="47" t="n">
        <f aca="false">$F57*$H57</f>
        <v>1313.43322504996</v>
      </c>
      <c r="K57" s="47" t="n">
        <f aca="false">$I57*(1+BDI_MAT)</f>
        <v>3286.86458799496</v>
      </c>
      <c r="L57" s="47" t="n">
        <f aca="false">$J57*(1+BDI_MDO)</f>
        <v>1674.49601861619</v>
      </c>
      <c r="M57" s="47" t="n">
        <f aca="false">SUM(K57:L57)</f>
        <v>4961.36060661116</v>
      </c>
      <c r="N57" s="20" t="str">
        <f aca="false">A57</f>
        <v>3.2.1.2.5</v>
      </c>
    </row>
    <row r="58" customFormat="false" ht="30" hidden="false" customHeight="false" outlineLevel="3" collapsed="false">
      <c r="A58" s="42" t="s">
        <v>128</v>
      </c>
      <c r="B58" s="43" t="n">
        <v>96545</v>
      </c>
      <c r="C58" s="50" t="str">
        <f aca="false">VLOOKUP($B58,03_COMPOSIÇÕES!$A:$G,2,0)</f>
        <v>ARMAÇÃO DE BLOCO UTILIZANDO AÇO CA-50 DE 8 MM - MONTAGEM. AF_01/2024</v>
      </c>
      <c r="D58" s="45" t="s">
        <v>59</v>
      </c>
      <c r="E58" s="51" t="str">
        <f aca="false">VLOOKUP($B58,03_COMPOSIÇÕES!$A:$G,4,0)</f>
        <v>KG</v>
      </c>
      <c r="F58" s="46" t="n">
        <v>157.55</v>
      </c>
      <c r="G58" s="51" t="n">
        <f aca="false">VLOOKUP($B58,03_COMPOSIÇÕES!$A:$G,6,0)</f>
        <v>11.394734</v>
      </c>
      <c r="H58" s="52" t="n">
        <f aca="false">VLOOKUP($B58,03_COMPOSIÇÕES!$A:$G,7,0)</f>
        <v>4.1987609244</v>
      </c>
      <c r="I58" s="47" t="n">
        <f aca="false">$F58*$G58</f>
        <v>1795.2403417</v>
      </c>
      <c r="J58" s="47" t="n">
        <f aca="false">$F58*$H58</f>
        <v>661.51478363922</v>
      </c>
      <c r="K58" s="47" t="n">
        <f aca="false">$I58*(1+BDI_MAT)</f>
        <v>2165.41890015854</v>
      </c>
      <c r="L58" s="47" t="n">
        <f aca="false">$J58*(1+BDI_MDO)</f>
        <v>843.365197661642</v>
      </c>
      <c r="M58" s="47" t="n">
        <f aca="false">SUM(K58:L58)</f>
        <v>3008.78409782018</v>
      </c>
      <c r="N58" s="20" t="str">
        <f aca="false">A58</f>
        <v>3.2.1.2.6</v>
      </c>
    </row>
    <row r="59" customFormat="false" ht="30" hidden="false" customHeight="false" outlineLevel="3" collapsed="false">
      <c r="A59" s="42" t="s">
        <v>129</v>
      </c>
      <c r="B59" s="43" t="n">
        <v>104921</v>
      </c>
      <c r="C59" s="50" t="str">
        <f aca="false">VLOOKUP($B59,03_COMPOSIÇÕES!$A:$G,2,0)</f>
        <v>ARMAÇÃO DE BLOCO, SAPATA ISOLADA, VIGA BALDRAME E SAPATA CORRIDA UTILIZANDO AÇO CA-50 DE 16 MM - MONTAGEM. AF_01/2024</v>
      </c>
      <c r="D59" s="45" t="s">
        <v>59</v>
      </c>
      <c r="E59" s="51" t="str">
        <f aca="false">VLOOKUP($B59,03_COMPOSIÇÕES!$A:$G,4,0)</f>
        <v>KG</v>
      </c>
      <c r="F59" s="46" t="n">
        <v>358.91</v>
      </c>
      <c r="G59" s="51" t="n">
        <f aca="false">VLOOKUP($B59,03_COMPOSIÇÕES!$A:$G,6,0)</f>
        <v>8.609865</v>
      </c>
      <c r="H59" s="52" t="n">
        <f aca="false">VLOOKUP($B59,03_COMPOSIÇÕES!$A:$G,7,0)</f>
        <v>1.3081943358</v>
      </c>
      <c r="I59" s="47" t="n">
        <f aca="false">$F59*$G59</f>
        <v>3090.16664715</v>
      </c>
      <c r="J59" s="47" t="n">
        <f aca="false">$F59*$H59</f>
        <v>469.524029061978</v>
      </c>
      <c r="K59" s="47" t="n">
        <f aca="false">$I59*(1+BDI_MAT)</f>
        <v>3727.35900979233</v>
      </c>
      <c r="L59" s="47" t="n">
        <f aca="false">$J59*(1+BDI_MDO)</f>
        <v>598.596184651116</v>
      </c>
      <c r="M59" s="47" t="n">
        <f aca="false">SUM(K59:L59)</f>
        <v>4325.95519444345</v>
      </c>
      <c r="N59" s="20" t="str">
        <f aca="false">A59</f>
        <v>3.2.1.2.7</v>
      </c>
    </row>
    <row r="60" customFormat="false" ht="45" hidden="false" customHeight="false" outlineLevel="3" collapsed="false">
      <c r="A60" s="42" t="s">
        <v>130</v>
      </c>
      <c r="B60" s="43" t="s">
        <v>131</v>
      </c>
      <c r="C60" s="50" t="str">
        <f aca="false">VLOOKUP($B60,03_COMPOSIÇÕES!$A:$G,2,0)</f>
        <v>CONCRETAGEM DE BLOCO DE COROAMENTO OU VIGA BALDRAME, FCK 35 MPA, COM USO DE BOMBA - LANÇAMENTO, ADENSAMENTO E ACABAMENTO.</v>
      </c>
      <c r="D60" s="45" t="s">
        <v>59</v>
      </c>
      <c r="E60" s="51" t="str">
        <f aca="false">VLOOKUP($B60,03_COMPOSIÇÕES!$A:$G,4,0)</f>
        <v>M3</v>
      </c>
      <c r="F60" s="46" t="n">
        <v>28.02</v>
      </c>
      <c r="G60" s="51" t="n">
        <f aca="false">VLOOKUP($B60,03_COMPOSIÇÕES!$A:$G,6,0)</f>
        <v>851.632968052008</v>
      </c>
      <c r="H60" s="52" t="n">
        <f aca="false">VLOOKUP($B60,03_COMPOSIÇÕES!$A:$G,7,0)</f>
        <v>13.522148316</v>
      </c>
      <c r="I60" s="47" t="n">
        <f aca="false">$F60*$G60</f>
        <v>23862.7557648173</v>
      </c>
      <c r="J60" s="47" t="n">
        <f aca="false">$F60*$H60</f>
        <v>378.89059581432</v>
      </c>
      <c r="K60" s="47" t="n">
        <f aca="false">$I60*(1+BDI_MAT)</f>
        <v>28783.2560035226</v>
      </c>
      <c r="L60" s="47" t="n">
        <f aca="false">$J60*(1+BDI_MDO)</f>
        <v>483.047620603677</v>
      </c>
      <c r="M60" s="47" t="n">
        <f aca="false">SUM(K60:L60)</f>
        <v>29266.3036241263</v>
      </c>
      <c r="N60" s="20" t="str">
        <f aca="false">A60</f>
        <v>3.2.1.2.8</v>
      </c>
    </row>
    <row r="61" customFormat="false" ht="15" hidden="false" customHeight="false" outlineLevel="2" collapsed="false">
      <c r="A61" s="42" t="s">
        <v>132</v>
      </c>
      <c r="B61" s="43"/>
      <c r="C61" s="50" t="s">
        <v>133</v>
      </c>
      <c r="D61" s="45"/>
      <c r="E61" s="45"/>
      <c r="F61" s="46"/>
      <c r="G61" s="51"/>
      <c r="H61" s="52"/>
      <c r="I61" s="47" t="n">
        <f aca="false">SUBTOTAL(9,I62:I67)</f>
        <v>39646.32512279</v>
      </c>
      <c r="J61" s="47" t="n">
        <f aca="false">SUBTOTAL(9,J62:J67)</f>
        <v>12325.9219877881</v>
      </c>
      <c r="K61" s="47" t="n">
        <f aca="false">SUBTOTAL(9,K62:K67)</f>
        <v>47821.3973631093</v>
      </c>
      <c r="L61" s="47" t="n">
        <f aca="false">SUBTOTAL(9,L62:L67)</f>
        <v>15714.317942231</v>
      </c>
      <c r="M61" s="47" t="n">
        <f aca="false">SUBTOTAL(9,M62:M67)</f>
        <v>63535.7153053403</v>
      </c>
      <c r="N61" s="20" t="str">
        <f aca="false">A61</f>
        <v>3.2.1.3</v>
      </c>
    </row>
    <row r="62" customFormat="false" ht="45" hidden="false" customHeight="false" outlineLevel="3" collapsed="false">
      <c r="A62" s="42" t="s">
        <v>134</v>
      </c>
      <c r="B62" s="43" t="n">
        <v>92415</v>
      </c>
      <c r="C62" s="50" t="str">
        <f aca="false">VLOOKUP($B62,03_COMPOSIÇÕES!$A:$G,2,0)</f>
        <v>MONTAGEM E DESMONTAGEM DE FÔRMA DE PILARES RETANGULARES E ESTRUTURAS SIMILARES, PÉ-DIREITO SIMPLES, EM CHAPA DE MADEIRA COMPENSADA RESINADA, 2 UTILIZAÇÕES. AF_09/2020</v>
      </c>
      <c r="D62" s="45" t="s">
        <v>59</v>
      </c>
      <c r="E62" s="51" t="str">
        <f aca="false">VLOOKUP($B62,03_COMPOSIÇÕES!$A:$G,4,0)</f>
        <v>M2</v>
      </c>
      <c r="F62" s="46" t="n">
        <v>222.47</v>
      </c>
      <c r="G62" s="51" t="n">
        <f aca="false">VLOOKUP($B62,03_COMPOSIÇÕES!$A:$G,6,0)</f>
        <v>110.006927622934</v>
      </c>
      <c r="H62" s="52" t="n">
        <f aca="false">VLOOKUP($B62,03_COMPOSIÇÕES!$A:$G,7,0)</f>
        <v>42.67256733879</v>
      </c>
      <c r="I62" s="47" t="n">
        <f aca="false">$F62*$G62</f>
        <v>24473.2411882741</v>
      </c>
      <c r="J62" s="47" t="n">
        <f aca="false">$F62*$H62</f>
        <v>9493.36605586061</v>
      </c>
      <c r="K62" s="47" t="n">
        <f aca="false">$I62*(1+BDI_MAT)</f>
        <v>29519.6235212962</v>
      </c>
      <c r="L62" s="47" t="n">
        <f aca="false">$J62*(1+BDI_MDO)</f>
        <v>12103.0923846167</v>
      </c>
      <c r="M62" s="47" t="n">
        <f aca="false">SUM(K62:L62)</f>
        <v>41622.7159059129</v>
      </c>
      <c r="N62" s="20" t="str">
        <f aca="false">A62</f>
        <v>3.2.1.3.1</v>
      </c>
    </row>
    <row r="63" customFormat="false" ht="30" hidden="false" customHeight="false" outlineLevel="3" collapsed="false">
      <c r="A63" s="42" t="s">
        <v>135</v>
      </c>
      <c r="B63" s="43" t="s">
        <v>136</v>
      </c>
      <c r="C63" s="50" t="str">
        <f aca="false">VLOOKUP($B63,03_COMPOSIÇÕES!$A:$G,2,0)</f>
        <v>CONCRETAGEM DE PILARES, FCK = 35 MPA, COM USO DE BOMBA - LANÇAMENTO, ADENSAMENTO E ACABAMENTO.</v>
      </c>
      <c r="D63" s="45" t="s">
        <v>59</v>
      </c>
      <c r="E63" s="51" t="str">
        <f aca="false">VLOOKUP($B63,03_COMPOSIÇÕES!$A:$G,4,0)</f>
        <v>M3</v>
      </c>
      <c r="F63" s="46" t="n">
        <v>13.23</v>
      </c>
      <c r="G63" s="51" t="n">
        <f aca="false">VLOOKUP($B63,03_COMPOSIÇÕES!$A:$G,6,0)</f>
        <v>7.538894991376</v>
      </c>
      <c r="H63" s="52" t="n">
        <f aca="false">VLOOKUP($B63,03_COMPOSIÇÕES!$A:$G,7,0)</f>
        <v>26.9938549272</v>
      </c>
      <c r="I63" s="47" t="n">
        <f aca="false">$F63*$G63</f>
        <v>99.7395807359045</v>
      </c>
      <c r="J63" s="47" t="n">
        <f aca="false">$F63*$H63</f>
        <v>357.128700686856</v>
      </c>
      <c r="K63" s="47" t="n">
        <f aca="false">$I63*(1+BDI_MAT)</f>
        <v>120.305882283648</v>
      </c>
      <c r="L63" s="47" t="n">
        <f aca="false">$J63*(1+BDI_MDO)</f>
        <v>455.303380505673</v>
      </c>
      <c r="M63" s="47" t="n">
        <f aca="false">SUM(K63:L63)</f>
        <v>575.609262789321</v>
      </c>
      <c r="N63" s="20" t="str">
        <f aca="false">A63</f>
        <v>3.2.1.3.2</v>
      </c>
    </row>
    <row r="64" customFormat="false" ht="45" hidden="false" customHeight="false" outlineLevel="3" collapsed="false">
      <c r="A64" s="42" t="s">
        <v>137</v>
      </c>
      <c r="B64" s="43" t="n">
        <v>92759</v>
      </c>
      <c r="C64" s="50" t="str">
        <f aca="false">VLOOKUP($B64,03_COMPOSIÇÕES!$A:$G,2,0)</f>
        <v>ARMAÇÃO DE PILAR OU VIGA DE ESTRUTURA CONVENCIONAL DE CONCRETO ARMADO UTILIZANDO AÇO CA-60 DE 5,0 MM - MONTAGEM. AF_06/2022</v>
      </c>
      <c r="D64" s="45" t="s">
        <v>59</v>
      </c>
      <c r="E64" s="51" t="str">
        <f aca="false">VLOOKUP($B64,03_COMPOSIÇÕES!$A:$G,4,0)</f>
        <v>KG</v>
      </c>
      <c r="F64" s="46" t="n">
        <v>355.37</v>
      </c>
      <c r="G64" s="51" t="n">
        <f aca="false">VLOOKUP($B64,03_COMPOSIÇÕES!$A:$G,6,0)</f>
        <v>10.17192</v>
      </c>
      <c r="H64" s="52" t="n">
        <f aca="false">VLOOKUP($B64,03_COMPOSIÇÕES!$A:$G,7,0)</f>
        <v>3.7369524528</v>
      </c>
      <c r="I64" s="47" t="n">
        <f aca="false">$F64*$G64</f>
        <v>3614.7952104</v>
      </c>
      <c r="J64" s="47" t="n">
        <f aca="false">$F64*$H64</f>
        <v>1328.00079315154</v>
      </c>
      <c r="K64" s="47" t="n">
        <f aca="false">$I64*(1+BDI_MAT)</f>
        <v>4360.16598278448</v>
      </c>
      <c r="L64" s="47" t="n">
        <f aca="false">$J64*(1+BDI_MDO)</f>
        <v>1693.06821118889</v>
      </c>
      <c r="M64" s="47" t="n">
        <f aca="false">SUM(K64:L64)</f>
        <v>6053.23419397337</v>
      </c>
      <c r="N64" s="20" t="str">
        <f aca="false">A64</f>
        <v>3.2.1.3.3</v>
      </c>
    </row>
    <row r="65" customFormat="false" ht="45" hidden="false" customHeight="false" outlineLevel="3" collapsed="false">
      <c r="A65" s="42" t="s">
        <v>138</v>
      </c>
      <c r="B65" s="43" t="n">
        <v>92762</v>
      </c>
      <c r="C65" s="50" t="str">
        <f aca="false">VLOOKUP($B65,03_COMPOSIÇÕES!$A:$G,2,0)</f>
        <v>ARMAÇÃO DE PILAR OU VIGA DE ESTRUTURA CONVENCIONAL DE CONCRETO ARMADO UTILIZANDO AÇO CA-50 DE 10,0 MM - MONTAGEM. AF_06/2022</v>
      </c>
      <c r="D65" s="45" t="s">
        <v>59</v>
      </c>
      <c r="E65" s="51" t="str">
        <f aca="false">VLOOKUP($B65,03_COMPOSIÇÕES!$A:$G,4,0)</f>
        <v>KG</v>
      </c>
      <c r="F65" s="46" t="n">
        <v>781.82</v>
      </c>
      <c r="G65" s="51" t="n">
        <f aca="false">VLOOKUP($B65,03_COMPOSIÇÕES!$A:$G,6,0)</f>
        <v>9.763318</v>
      </c>
      <c r="H65" s="52" t="n">
        <f aca="false">VLOOKUP($B65,03_COMPOSIÇÕES!$A:$G,7,0)</f>
        <v>1.08638182152</v>
      </c>
      <c r="I65" s="47" t="n">
        <f aca="false">$F65*$G65</f>
        <v>7633.15727876</v>
      </c>
      <c r="J65" s="47" t="n">
        <f aca="false">$F65*$H65</f>
        <v>849.355035700766</v>
      </c>
      <c r="K65" s="47" t="n">
        <f aca="false">$I65*(1+BDI_MAT)</f>
        <v>9207.11430964031</v>
      </c>
      <c r="L65" s="47" t="n">
        <f aca="false">$J65*(1+BDI_MDO)</f>
        <v>1082.84273501491</v>
      </c>
      <c r="M65" s="47" t="n">
        <f aca="false">SUM(K65:L65)</f>
        <v>10289.9570446552</v>
      </c>
      <c r="N65" s="20" t="str">
        <f aca="false">A65</f>
        <v>3.2.1.3.4</v>
      </c>
    </row>
    <row r="66" customFormat="false" ht="45" hidden="false" customHeight="false" outlineLevel="3" collapsed="false">
      <c r="A66" s="42" t="s">
        <v>139</v>
      </c>
      <c r="B66" s="43" t="n">
        <v>92763</v>
      </c>
      <c r="C66" s="50" t="str">
        <f aca="false">VLOOKUP($B66,03_COMPOSIÇÕES!$A:$G,2,0)</f>
        <v>ARMAÇÃO DE PILAR OU VIGA DE ESTRUTURA CONVENCIONAL DE CONCRETO ARMADO UTILIZANDO AÇO CA-50 DE 12,5 MM - MONTAGEM. AF_06/2022</v>
      </c>
      <c r="D66" s="45" t="s">
        <v>59</v>
      </c>
      <c r="E66" s="51" t="str">
        <f aca="false">VLOOKUP($B66,03_COMPOSIÇÕES!$A:$G,4,0)</f>
        <v>KG</v>
      </c>
      <c r="F66" s="46" t="n">
        <v>372.27</v>
      </c>
      <c r="G66" s="51" t="n">
        <f aca="false">VLOOKUP($B66,03_COMPOSIÇÕES!$A:$G,6,0)</f>
        <v>8.426005</v>
      </c>
      <c r="H66" s="52" t="n">
        <f aca="false">VLOOKUP($B66,03_COMPOSIÇÕES!$A:$G,7,0)</f>
        <v>0.6908919354</v>
      </c>
      <c r="I66" s="47" t="n">
        <f aca="false">$F66*$G66</f>
        <v>3136.74888135</v>
      </c>
      <c r="J66" s="47" t="n">
        <f aca="false">$F66*$H66</f>
        <v>257.198340791358</v>
      </c>
      <c r="K66" s="47" t="n">
        <f aca="false">$I66*(1+BDI_MAT)</f>
        <v>3783.54650068437</v>
      </c>
      <c r="L66" s="47" t="n">
        <f aca="false">$J66*(1+BDI_MDO)</f>
        <v>327.902164674902</v>
      </c>
      <c r="M66" s="47" t="n">
        <f aca="false">SUM(K66:L66)</f>
        <v>4111.44866535927</v>
      </c>
      <c r="N66" s="20" t="str">
        <f aca="false">A66</f>
        <v>3.2.1.3.5</v>
      </c>
    </row>
    <row r="67" customFormat="false" ht="45" hidden="false" customHeight="false" outlineLevel="3" collapsed="false">
      <c r="A67" s="42" t="s">
        <v>140</v>
      </c>
      <c r="B67" s="43" t="n">
        <v>92764</v>
      </c>
      <c r="C67" s="50" t="str">
        <f aca="false">VLOOKUP($B67,03_COMPOSIÇÕES!$A:$G,2,0)</f>
        <v>ARMAÇÃO DE PILAR OU VIGA DE ESTRUTURA CONVENCIONAL DE CONCRETO ARMADO UTILIZANDO AÇO CA-50 DE 16,0 MM - MONTAGEM. AF_06/2022</v>
      </c>
      <c r="D67" s="45" t="s">
        <v>59</v>
      </c>
      <c r="E67" s="51" t="str">
        <f aca="false">VLOOKUP($B67,03_COMPOSIÇÕES!$A:$G,4,0)</f>
        <v>KG</v>
      </c>
      <c r="F67" s="46" t="n">
        <v>83.27</v>
      </c>
      <c r="G67" s="51" t="n">
        <f aca="false">VLOOKUP($B67,03_COMPOSIÇÕES!$A:$G,6,0)</f>
        <v>8.270001</v>
      </c>
      <c r="H67" s="52" t="n">
        <f aca="false">VLOOKUP($B67,03_COMPOSIÇÕES!$A:$G,7,0)</f>
        <v>0.490849785</v>
      </c>
      <c r="I67" s="47" t="n">
        <f aca="false">$F67*$G67</f>
        <v>688.64298327</v>
      </c>
      <c r="J67" s="47" t="n">
        <f aca="false">$F67*$H67</f>
        <v>40.87306159695</v>
      </c>
      <c r="K67" s="47" t="n">
        <f aca="false">$I67*(1+BDI_MAT)</f>
        <v>830.641166420274</v>
      </c>
      <c r="L67" s="47" t="n">
        <f aca="false">$J67*(1+BDI_MDO)</f>
        <v>52.1090662299516</v>
      </c>
      <c r="M67" s="47" t="n">
        <f aca="false">SUM(K67:L67)</f>
        <v>882.750232650226</v>
      </c>
      <c r="N67" s="20" t="str">
        <f aca="false">A67</f>
        <v>3.2.1.3.6</v>
      </c>
    </row>
    <row r="68" customFormat="false" ht="15" hidden="false" customHeight="false" outlineLevel="2" collapsed="false">
      <c r="A68" s="42" t="s">
        <v>141</v>
      </c>
      <c r="B68" s="43"/>
      <c r="C68" s="50" t="s">
        <v>142</v>
      </c>
      <c r="D68" s="45"/>
      <c r="E68" s="45"/>
      <c r="F68" s="46"/>
      <c r="G68" s="51"/>
      <c r="H68" s="52"/>
      <c r="I68" s="47" t="n">
        <f aca="false">SUBTOTAL(9,I69:I78)</f>
        <v>99481.7482207888</v>
      </c>
      <c r="J68" s="47" t="n">
        <f aca="false">SUBTOTAL(9,J69:J78)</f>
        <v>28902.2569760943</v>
      </c>
      <c r="K68" s="47" t="n">
        <f aca="false">SUBTOTAL(9,K69:K78)</f>
        <v>119994.884703915</v>
      </c>
      <c r="L68" s="47" t="n">
        <f aca="false">SUBTOTAL(9,L69:L78)</f>
        <v>36847.4874188227</v>
      </c>
      <c r="M68" s="47" t="n">
        <f aca="false">SUBTOTAL(9,M69:M78)</f>
        <v>156842.372122738</v>
      </c>
      <c r="N68" s="20" t="str">
        <f aca="false">A68</f>
        <v>3.2.1.4</v>
      </c>
    </row>
    <row r="69" customFormat="false" ht="45" hidden="false" customHeight="false" outlineLevel="3" collapsed="false">
      <c r="A69" s="42" t="s">
        <v>143</v>
      </c>
      <c r="B69" s="43" t="n">
        <v>96525</v>
      </c>
      <c r="C69" s="50" t="str">
        <f aca="false">VLOOKUP($B69,03_COMPOSIÇÕES!$A:$G,2,0)</f>
        <v>ESCAVAÇÃO MECANIZADA PARA VIGA BALDRAME OU SAPATA CORRIDA COM MINI-ESCAVADEIRA (INCLUINDO ESCAVAÇÃO PARA COLOCAÇÃO DE FÔRMAS). AF_01/2024</v>
      </c>
      <c r="D69" s="45" t="s">
        <v>59</v>
      </c>
      <c r="E69" s="51" t="str">
        <f aca="false">VLOOKUP($B69,03_COMPOSIÇÕES!$A:$G,4,0)</f>
        <v>M3</v>
      </c>
      <c r="F69" s="46" t="n">
        <v>39.86</v>
      </c>
      <c r="G69" s="51" t="n">
        <f aca="false">VLOOKUP($B69,03_COMPOSIÇÕES!$A:$G,6,0)</f>
        <v>39.928881683888</v>
      </c>
      <c r="H69" s="52" t="n">
        <f aca="false">VLOOKUP($B69,03_COMPOSIÇÕES!$A:$G,7,0)</f>
        <v>13.6373652336</v>
      </c>
      <c r="I69" s="47" t="n">
        <f aca="false">$F69*$G69</f>
        <v>1591.56522391978</v>
      </c>
      <c r="J69" s="47" t="n">
        <f aca="false">$F69*$H69</f>
        <v>543.585378211296</v>
      </c>
      <c r="K69" s="47" t="n">
        <f aca="false">$I69*(1+BDI_MAT)</f>
        <v>1919.74597309203</v>
      </c>
      <c r="L69" s="47" t="n">
        <f aca="false">$J69*(1+BDI_MDO)</f>
        <v>693.016998681581</v>
      </c>
      <c r="M69" s="47" t="n">
        <f aca="false">SUM(K69:L69)</f>
        <v>2612.76297177361</v>
      </c>
      <c r="N69" s="20" t="str">
        <f aca="false">A69</f>
        <v>3.2.1.4.1</v>
      </c>
    </row>
    <row r="70" customFormat="false" ht="45" hidden="false" customHeight="false" outlineLevel="3" collapsed="false">
      <c r="A70" s="42" t="s">
        <v>144</v>
      </c>
      <c r="B70" s="43" t="n">
        <v>96533</v>
      </c>
      <c r="C70" s="50" t="str">
        <f aca="false">VLOOKUP($B70,03_COMPOSIÇÕES!$A:$G,2,0)</f>
        <v>FABRICAÇÃO, MONTAGEM E DESMONTAGEM DE FÔRMA PARA VIGA BALDRAME, EM MADEIRA SERRADA, E=25 MM, 2 UTILIZAÇÕES. AF_01/2024</v>
      </c>
      <c r="D70" s="45" t="s">
        <v>59</v>
      </c>
      <c r="E70" s="51" t="str">
        <f aca="false">VLOOKUP($B70,03_COMPOSIÇÕES!$A:$G,4,0)</f>
        <v>M2</v>
      </c>
      <c r="F70" s="46" t="n">
        <v>596.78</v>
      </c>
      <c r="G70" s="51" t="n">
        <f aca="false">VLOOKUP($B70,03_COMPOSIÇÕES!$A:$G,6,0)</f>
        <v>61.436063856536</v>
      </c>
      <c r="H70" s="52" t="n">
        <f aca="false">VLOOKUP($B70,03_COMPOSIÇÕES!$A:$G,7,0)</f>
        <v>32.7787126278</v>
      </c>
      <c r="I70" s="47" t="n">
        <f aca="false">$F70*$G70</f>
        <v>36663.8141883036</v>
      </c>
      <c r="J70" s="47" t="n">
        <f aca="false">$F70*$H70</f>
        <v>19561.6801220185</v>
      </c>
      <c r="K70" s="47" t="n">
        <f aca="false">$I70*(1+BDI_MAT)</f>
        <v>44223.8926739317</v>
      </c>
      <c r="L70" s="47" t="n">
        <f aca="false">$J70*(1+BDI_MDO)</f>
        <v>24939.1859875614</v>
      </c>
      <c r="M70" s="47" t="n">
        <f aca="false">SUM(K70:L70)</f>
        <v>69163.0786614931</v>
      </c>
      <c r="N70" s="20" t="str">
        <f aca="false">A70</f>
        <v>3.2.1.4.2</v>
      </c>
    </row>
    <row r="71" customFormat="false" ht="30" hidden="false" customHeight="false" outlineLevel="3" collapsed="false">
      <c r="A71" s="42" t="s">
        <v>145</v>
      </c>
      <c r="B71" s="43" t="n">
        <v>96622</v>
      </c>
      <c r="C71" s="50" t="str">
        <f aca="false">VLOOKUP($B71,03_COMPOSIÇÕES!$A:$G,2,0)</f>
        <v>LASTRO COM MATERIAL GRANULAR, APLICADO EM PISOS OU LAJES SOBRE SOLO, ESPESSURA DE *5 CM*. AF_01/2024</v>
      </c>
      <c r="D71" s="45" t="s">
        <v>59</v>
      </c>
      <c r="E71" s="51" t="str">
        <f aca="false">VLOOKUP($B71,03_COMPOSIÇÕES!$A:$G,4,0)</f>
        <v>M3</v>
      </c>
      <c r="F71" s="46" t="n">
        <v>7.53</v>
      </c>
      <c r="G71" s="51" t="n">
        <f aca="false">VLOOKUP($B71,03_COMPOSIÇÕES!$A:$G,6,0)</f>
        <v>179.616553215464</v>
      </c>
      <c r="H71" s="52" t="n">
        <f aca="false">VLOOKUP($B71,03_COMPOSIÇÕES!$A:$G,7,0)</f>
        <v>50.216478588</v>
      </c>
      <c r="I71" s="47" t="n">
        <f aca="false">$F71*$G71</f>
        <v>1352.51264571244</v>
      </c>
      <c r="J71" s="47" t="n">
        <f aca="false">$F71*$H71</f>
        <v>378.13008376764</v>
      </c>
      <c r="K71" s="47" t="n">
        <f aca="false">$I71*(1+BDI_MAT)</f>
        <v>1631.40075325835</v>
      </c>
      <c r="L71" s="47" t="n">
        <f aca="false">$J71*(1+BDI_MDO)</f>
        <v>482.078043795364</v>
      </c>
      <c r="M71" s="47" t="n">
        <f aca="false">SUM(K71:L71)</f>
        <v>2113.47879705371</v>
      </c>
      <c r="N71" s="20" t="str">
        <f aca="false">A71</f>
        <v>3.2.1.4.3</v>
      </c>
    </row>
    <row r="72" customFormat="false" ht="45" hidden="false" customHeight="false" outlineLevel="3" collapsed="false">
      <c r="A72" s="42" t="s">
        <v>146</v>
      </c>
      <c r="B72" s="43" t="s">
        <v>131</v>
      </c>
      <c r="C72" s="50" t="str">
        <f aca="false">VLOOKUP($B72,03_COMPOSIÇÕES!$A:$G,2,0)</f>
        <v>CONCRETAGEM DE BLOCO DE COROAMENTO OU VIGA BALDRAME, FCK 35 MPA, COM USO DE BOMBA - LANÇAMENTO, ADENSAMENTO E ACABAMENTO.</v>
      </c>
      <c r="D72" s="45" t="s">
        <v>59</v>
      </c>
      <c r="E72" s="51" t="str">
        <f aca="false">VLOOKUP($B72,03_COMPOSIÇÕES!$A:$G,4,0)</f>
        <v>M3</v>
      </c>
      <c r="F72" s="46" t="n">
        <v>39.86</v>
      </c>
      <c r="G72" s="51" t="n">
        <f aca="false">VLOOKUP($B72,03_COMPOSIÇÕES!$A:$G,6,0)</f>
        <v>851.632968052008</v>
      </c>
      <c r="H72" s="52" t="n">
        <f aca="false">VLOOKUP($B72,03_COMPOSIÇÕES!$A:$G,7,0)</f>
        <v>13.522148316</v>
      </c>
      <c r="I72" s="47" t="n">
        <f aca="false">$F72*$G72</f>
        <v>33946.090106553</v>
      </c>
      <c r="J72" s="47" t="n">
        <f aca="false">$F72*$H72</f>
        <v>538.99283187576</v>
      </c>
      <c r="K72" s="47" t="n">
        <f aca="false">$I72*(1+BDI_MAT)</f>
        <v>40945.7738865243</v>
      </c>
      <c r="L72" s="47" t="n">
        <f aca="false">$J72*(1+BDI_MDO)</f>
        <v>687.161961358406</v>
      </c>
      <c r="M72" s="47" t="n">
        <f aca="false">SUM(K72:L72)</f>
        <v>41632.9358478827</v>
      </c>
      <c r="N72" s="20" t="str">
        <f aca="false">A72</f>
        <v>3.2.1.4.4</v>
      </c>
    </row>
    <row r="73" customFormat="false" ht="30" hidden="false" customHeight="false" outlineLevel="3" collapsed="false">
      <c r="A73" s="42" t="s">
        <v>147</v>
      </c>
      <c r="B73" s="43" t="n">
        <v>104916</v>
      </c>
      <c r="C73" s="50" t="str">
        <f aca="false">VLOOKUP($B73,03_COMPOSIÇÕES!$A:$G,2,0)</f>
        <v>ARMAÇÃO DE SAPATA ISOLADA, VIGA BALDRAME E SAPATA CORRIDA UTILIZANDO AÇO CA-60 DE 5 MM - MONTAGEM. AF_01/2024</v>
      </c>
      <c r="D73" s="45" t="s">
        <v>59</v>
      </c>
      <c r="E73" s="51" t="str">
        <f aca="false">VLOOKUP($B73,03_COMPOSIÇÕES!$A:$G,4,0)</f>
        <v>KG</v>
      </c>
      <c r="F73" s="46" t="n">
        <v>519.27</v>
      </c>
      <c r="G73" s="51" t="n">
        <f aca="false">VLOOKUP($B73,03_COMPOSIÇÕES!$A:$G,6,0)</f>
        <v>10.457788</v>
      </c>
      <c r="H73" s="52" t="n">
        <f aca="false">VLOOKUP($B73,03_COMPOSIÇÕES!$A:$G,7,0)</f>
        <v>5.56945022448</v>
      </c>
      <c r="I73" s="47" t="n">
        <f aca="false">$F73*$G73</f>
        <v>5430.41557476</v>
      </c>
      <c r="J73" s="47" t="n">
        <f aca="false">$F73*$H73</f>
        <v>2892.04841806573</v>
      </c>
      <c r="K73" s="47" t="n">
        <f aca="false">$I73*(1+BDI_MAT)</f>
        <v>6550.16726627551</v>
      </c>
      <c r="L73" s="47" t="n">
        <f aca="false">$J73*(1+BDI_MDO)</f>
        <v>3687.072528192</v>
      </c>
      <c r="M73" s="47" t="n">
        <f aca="false">SUM(K73:L73)</f>
        <v>10237.2397944675</v>
      </c>
      <c r="N73" s="20" t="str">
        <f aca="false">A73</f>
        <v>3.2.1.4.5</v>
      </c>
    </row>
    <row r="74" customFormat="false" ht="30" hidden="false" customHeight="false" outlineLevel="3" collapsed="false">
      <c r="A74" s="42" t="s">
        <v>148</v>
      </c>
      <c r="B74" s="43" t="n">
        <v>104917</v>
      </c>
      <c r="C74" s="50" t="str">
        <f aca="false">VLOOKUP($B74,03_COMPOSIÇÕES!$A:$G,2,0)</f>
        <v>ARMAÇÃO DE SAPATA ISOLADA, VIGA BALDRAME E SAPATA CORRIDA UTILIZANDO AÇO CA-50 DE 6,3 MM - MONTAGEM. AF_01/2024</v>
      </c>
      <c r="D74" s="45" t="s">
        <v>59</v>
      </c>
      <c r="E74" s="51" t="str">
        <f aca="false">VLOOKUP($B74,03_COMPOSIÇÕES!$A:$G,4,0)</f>
        <v>KG</v>
      </c>
      <c r="F74" s="46" t="n">
        <v>93.46</v>
      </c>
      <c r="G74" s="51" t="n">
        <f aca="false">VLOOKUP($B74,03_COMPOSIÇÕES!$A:$G,6,0)</f>
        <v>10.828648</v>
      </c>
      <c r="H74" s="52" t="n">
        <f aca="false">VLOOKUP($B74,03_COMPOSIÇÕES!$A:$G,7,0)</f>
        <v>4.05249830964</v>
      </c>
      <c r="I74" s="47" t="n">
        <f aca="false">$F74*$G74</f>
        <v>1012.04544208</v>
      </c>
      <c r="J74" s="47" t="n">
        <f aca="false">$F74*$H74</f>
        <v>378.746492018954</v>
      </c>
      <c r="K74" s="47" t="n">
        <f aca="false">$I74*(1+BDI_MAT)</f>
        <v>1220.7292122369</v>
      </c>
      <c r="L74" s="47" t="n">
        <f aca="false">$J74*(1+BDI_MDO)</f>
        <v>482.863902674965</v>
      </c>
      <c r="M74" s="47" t="n">
        <f aca="false">SUM(K74:L74)</f>
        <v>1703.59311491186</v>
      </c>
      <c r="N74" s="20" t="str">
        <f aca="false">A74</f>
        <v>3.2.1.4.6</v>
      </c>
    </row>
    <row r="75" customFormat="false" ht="30" hidden="false" customHeight="false" outlineLevel="3" collapsed="false">
      <c r="A75" s="42" t="s">
        <v>149</v>
      </c>
      <c r="B75" s="43" t="n">
        <v>104918</v>
      </c>
      <c r="C75" s="50" t="str">
        <f aca="false">VLOOKUP($B75,03_COMPOSIÇÕES!$A:$G,2,0)</f>
        <v>ARMAÇÃO DE SAPATA ISOLADA, VIGA BALDRAME E SAPATA CORRIDA UTILIZANDO AÇO CA-50 DE 8 MM - MONTAGEM. AF_01/2024</v>
      </c>
      <c r="D75" s="45" t="s">
        <v>59</v>
      </c>
      <c r="E75" s="51" t="str">
        <f aca="false">VLOOKUP($B75,03_COMPOSIÇÕES!$A:$G,4,0)</f>
        <v>KG</v>
      </c>
      <c r="F75" s="46" t="n">
        <v>18.73</v>
      </c>
      <c r="G75" s="51" t="n">
        <f aca="false">VLOOKUP($B75,03_COMPOSIÇÕES!$A:$G,6,0)</f>
        <v>10.817644</v>
      </c>
      <c r="H75" s="52" t="n">
        <f aca="false">VLOOKUP($B75,03_COMPOSIÇÕES!$A:$G,7,0)</f>
        <v>2.9755662948</v>
      </c>
      <c r="I75" s="47" t="n">
        <f aca="false">$F75*$G75</f>
        <v>202.61447212</v>
      </c>
      <c r="J75" s="47" t="n">
        <f aca="false">$F75*$H75</f>
        <v>55.732356701604</v>
      </c>
      <c r="K75" s="47" t="n">
        <f aca="false">$I75*(1+BDI_MAT)</f>
        <v>244.393576271144</v>
      </c>
      <c r="L75" s="47" t="n">
        <f aca="false">$J75*(1+BDI_MDO)</f>
        <v>71.053181558875</v>
      </c>
      <c r="M75" s="47" t="n">
        <f aca="false">SUM(K75:L75)</f>
        <v>315.446757830019</v>
      </c>
      <c r="N75" s="20" t="str">
        <f aca="false">A75</f>
        <v>3.2.1.4.7</v>
      </c>
    </row>
    <row r="76" customFormat="false" ht="30" hidden="false" customHeight="false" outlineLevel="3" collapsed="false">
      <c r="A76" s="42" t="s">
        <v>150</v>
      </c>
      <c r="B76" s="43" t="n">
        <v>104919</v>
      </c>
      <c r="C76" s="50" t="str">
        <f aca="false">VLOOKUP($B76,03_COMPOSIÇÕES!$A:$G,2,0)</f>
        <v>ARMAÇÃO DE SAPATA ISOLADA, VIGA BALDRAME E SAPATA CORRIDA UTILIZANDO AÇO CA-50 DE 10 MM - MONTAGEM. AF_01/2024</v>
      </c>
      <c r="D76" s="45" t="s">
        <v>59</v>
      </c>
      <c r="E76" s="51" t="str">
        <f aca="false">VLOOKUP($B76,03_COMPOSIÇÕES!$A:$G,4,0)</f>
        <v>KG</v>
      </c>
      <c r="F76" s="46" t="n">
        <v>1575.46</v>
      </c>
      <c r="G76" s="51" t="n">
        <f aca="false">VLOOKUP($B76,03_COMPOSIÇÕES!$A:$G,6,0)</f>
        <v>10.230302</v>
      </c>
      <c r="H76" s="52" t="n">
        <f aca="false">VLOOKUP($B76,03_COMPOSIÇÕES!$A:$G,7,0)</f>
        <v>2.2712916852</v>
      </c>
      <c r="I76" s="47" t="n">
        <f aca="false">$F76*$G76</f>
        <v>16117.43158892</v>
      </c>
      <c r="J76" s="47" t="n">
        <f aca="false">$F76*$H76</f>
        <v>3578.32919836519</v>
      </c>
      <c r="K76" s="47" t="n">
        <f aca="false">$I76*(1+BDI_MAT)</f>
        <v>19440.8459825553</v>
      </c>
      <c r="L76" s="47" t="n">
        <f aca="false">$J76*(1+BDI_MDO)</f>
        <v>4562.01189499578</v>
      </c>
      <c r="M76" s="47" t="n">
        <f aca="false">SUM(K76:L76)</f>
        <v>24002.8578775511</v>
      </c>
      <c r="N76" s="20" t="str">
        <f aca="false">A76</f>
        <v>3.2.1.4.8</v>
      </c>
    </row>
    <row r="77" customFormat="false" ht="45" hidden="false" customHeight="false" outlineLevel="3" collapsed="false">
      <c r="A77" s="42" t="s">
        <v>151</v>
      </c>
      <c r="B77" s="43" t="n">
        <v>104920</v>
      </c>
      <c r="C77" s="50" t="str">
        <f aca="false">VLOOKUP($B77,03_COMPOSIÇÕES!$A:$G,2,0)</f>
        <v>ARMAÇÃO DE BLOCO, SAPATA ISOLADA, VIGA BALDRAME E SAPATA CORRIDA UTILIZANDO AÇO CA-50 DE 12,5 MM - MONTAGEM. AF_01/2024</v>
      </c>
      <c r="D77" s="45" t="s">
        <v>59</v>
      </c>
      <c r="E77" s="51" t="str">
        <f aca="false">VLOOKUP($B77,03_COMPOSIÇÕES!$A:$G,4,0)</f>
        <v>KG</v>
      </c>
      <c r="F77" s="46" t="n">
        <v>117.63</v>
      </c>
      <c r="G77" s="51" t="n">
        <f aca="false">VLOOKUP($B77,03_COMPOSIÇÕES!$A:$G,6,0)</f>
        <v>8.73776</v>
      </c>
      <c r="H77" s="52" t="n">
        <f aca="false">VLOOKUP($B77,03_COMPOSIÇÕES!$A:$G,7,0)</f>
        <v>1.75324563576</v>
      </c>
      <c r="I77" s="47" t="n">
        <f aca="false">$F77*$G77</f>
        <v>1027.8227088</v>
      </c>
      <c r="J77" s="47" t="n">
        <f aca="false">$F77*$H77</f>
        <v>206.234284134449</v>
      </c>
      <c r="K77" s="47" t="n">
        <f aca="false">$I77*(1+BDI_MAT)</f>
        <v>1239.75975135456</v>
      </c>
      <c r="L77" s="47" t="n">
        <f aca="false">$J77*(1+BDI_MDO)</f>
        <v>262.928088843009</v>
      </c>
      <c r="M77" s="47" t="n">
        <f aca="false">SUM(K77:L77)</f>
        <v>1502.68784019757</v>
      </c>
      <c r="N77" s="20" t="str">
        <f aca="false">A77</f>
        <v>3.2.1.4.9</v>
      </c>
    </row>
    <row r="78" customFormat="false" ht="30" hidden="false" customHeight="false" outlineLevel="3" collapsed="false">
      <c r="A78" s="42" t="s">
        <v>152</v>
      </c>
      <c r="B78" s="43" t="n">
        <v>98557</v>
      </c>
      <c r="C78" s="50" t="str">
        <f aca="false">VLOOKUP($B78,03_COMPOSIÇÕES!$A:$G,2,0)</f>
        <v>IMPERMEABILIZAÇÃO DE SUPERFÍCIE COM EMULSÃO ASFÁLTICA, 2 DEMÃOS. AF_09/2023</v>
      </c>
      <c r="D78" s="45" t="s">
        <v>59</v>
      </c>
      <c r="E78" s="51" t="str">
        <f aca="false">VLOOKUP($B78,03_COMPOSIÇÕES!$A:$G,4,0)</f>
        <v>M2</v>
      </c>
      <c r="F78" s="46" t="n">
        <v>75.29</v>
      </c>
      <c r="G78" s="51" t="n">
        <f aca="false">VLOOKUP($B78,03_COMPOSIÇÕES!$A:$G,6,0)</f>
        <v>28.389378</v>
      </c>
      <c r="H78" s="52" t="n">
        <f aca="false">VLOOKUP($B78,03_COMPOSIÇÕES!$A:$G,7,0)</f>
        <v>10.21088870946</v>
      </c>
      <c r="I78" s="47" t="n">
        <f aca="false">$F78*$G78</f>
        <v>2137.43626962</v>
      </c>
      <c r="J78" s="47" t="n">
        <f aca="false">$F78*$H78</f>
        <v>768.777810935243</v>
      </c>
      <c r="K78" s="47" t="n">
        <f aca="false">$I78*(1+BDI_MAT)</f>
        <v>2578.17562841564</v>
      </c>
      <c r="L78" s="47" t="n">
        <f aca="false">$J78*(1+BDI_MDO)</f>
        <v>980.114831161342</v>
      </c>
      <c r="M78" s="47" t="n">
        <f aca="false">SUM(K78:L78)</f>
        <v>3558.29045957699</v>
      </c>
      <c r="N78" s="20" t="str">
        <f aca="false">A78</f>
        <v>3.2.1.4.10</v>
      </c>
    </row>
    <row r="79" customFormat="false" ht="15" hidden="false" customHeight="false" outlineLevel="2" collapsed="false">
      <c r="A79" s="42" t="s">
        <v>153</v>
      </c>
      <c r="B79" s="43"/>
      <c r="C79" s="50" t="s">
        <v>154</v>
      </c>
      <c r="D79" s="45"/>
      <c r="E79" s="45"/>
      <c r="F79" s="46"/>
      <c r="G79" s="51"/>
      <c r="H79" s="52"/>
      <c r="I79" s="47" t="n">
        <f aca="false">SUBTOTAL(9,I80:I84)</f>
        <v>41489.597681039</v>
      </c>
      <c r="J79" s="47" t="n">
        <f aca="false">SUBTOTAL(9,J80:J84)</f>
        <v>9443.73908833049</v>
      </c>
      <c r="K79" s="47" t="n">
        <f aca="false">SUBTOTAL(9,K80:K84)</f>
        <v>50044.7527228692</v>
      </c>
      <c r="L79" s="47" t="n">
        <f aca="false">SUBTOTAL(9,L80:L84)</f>
        <v>12039.8229637125</v>
      </c>
      <c r="M79" s="47" t="n">
        <f aca="false">SUBTOTAL(9,M80:M84)</f>
        <v>62084.5756865818</v>
      </c>
      <c r="N79" s="20" t="str">
        <f aca="false">A79</f>
        <v>3.2.1.5</v>
      </c>
    </row>
    <row r="80" customFormat="false" ht="30" hidden="false" customHeight="false" outlineLevel="3" collapsed="false">
      <c r="A80" s="42" t="s">
        <v>155</v>
      </c>
      <c r="B80" s="43" t="s">
        <v>156</v>
      </c>
      <c r="C80" s="50" t="str">
        <f aca="false">VLOOKUP($B80,03_COMPOSIÇÕES!$A:$G,2,0)</f>
        <v>ARMAÇÃO DE CORTINA DE CONTENÇÃO EM CONCRETO ARMADO, COM AÇO CA-60 DE 5,0 MM - MONTAGEM.</v>
      </c>
      <c r="D80" s="45" t="s">
        <v>59</v>
      </c>
      <c r="E80" s="51" t="str">
        <f aca="false">VLOOKUP($B80,03_COMPOSIÇÕES!$A:$G,4,0)</f>
        <v>KG</v>
      </c>
      <c r="F80" s="46" t="n">
        <v>120.37</v>
      </c>
      <c r="G80" s="51" t="n">
        <f aca="false">VLOOKUP($B80,03_COMPOSIÇÕES!$A:$G,6,0)</f>
        <v>9.8534</v>
      </c>
      <c r="H80" s="52" t="n">
        <f aca="false">VLOOKUP($B80,03_COMPOSIÇÕES!$A:$G,7,0)</f>
        <v>3.7987978062</v>
      </c>
      <c r="I80" s="47" t="n">
        <f aca="false">$F80*$G80</f>
        <v>1186.053758</v>
      </c>
      <c r="J80" s="47" t="n">
        <f aca="false">$F80*$H80</f>
        <v>457.261291932294</v>
      </c>
      <c r="K80" s="47" t="n">
        <f aca="false">$I80*(1+BDI_MAT)</f>
        <v>1430.6180428996</v>
      </c>
      <c r="L80" s="47" t="n">
        <f aca="false">$J80*(1+BDI_MDO)</f>
        <v>582.962421084482</v>
      </c>
      <c r="M80" s="47" t="n">
        <f aca="false">SUM(K80:L80)</f>
        <v>2013.58046398408</v>
      </c>
      <c r="N80" s="20" t="str">
        <f aca="false">A80</f>
        <v>3.2.1.5.1</v>
      </c>
    </row>
    <row r="81" customFormat="false" ht="30" hidden="false" customHeight="false" outlineLevel="3" collapsed="false">
      <c r="A81" s="42" t="s">
        <v>157</v>
      </c>
      <c r="B81" s="43" t="n">
        <v>100342</v>
      </c>
      <c r="C81" s="50" t="str">
        <f aca="false">VLOOKUP($B81,03_COMPOSIÇÕES!$A:$G,2,0)</f>
        <v>ARMAÇÃO DE CORTINA DE CONTENÇÃO EM CONCRETO ARMADO, COM AÇO CA-50 DE 6,3 MM - MONTAGEM. AF_11/2024</v>
      </c>
      <c r="D81" s="45" t="s">
        <v>59</v>
      </c>
      <c r="E81" s="51" t="str">
        <f aca="false">VLOOKUP($B81,03_COMPOSIÇÕES!$A:$G,4,0)</f>
        <v>KG</v>
      </c>
      <c r="F81" s="46" t="n">
        <v>523.64</v>
      </c>
      <c r="G81" s="51" t="n">
        <f aca="false">VLOOKUP($B81,03_COMPOSIÇÕES!$A:$G,6,0)</f>
        <v>11.36753844</v>
      </c>
      <c r="H81" s="52" t="n">
        <f aca="false">VLOOKUP($B81,03_COMPOSIÇÕES!$A:$G,7,0)</f>
        <v>5.2463122946316</v>
      </c>
      <c r="I81" s="47" t="n">
        <f aca="false">$F81*$G81</f>
        <v>5952.4978287216</v>
      </c>
      <c r="J81" s="47" t="n">
        <f aca="false">$F81*$H81</f>
        <v>2747.17896996089</v>
      </c>
      <c r="K81" s="47" t="n">
        <f aca="false">$I81*(1+BDI_MAT)</f>
        <v>7179.90288100399</v>
      </c>
      <c r="L81" s="47" t="n">
        <f aca="false">$J81*(1+BDI_MDO)</f>
        <v>3502.37846880314</v>
      </c>
      <c r="M81" s="47" t="n">
        <f aca="false">SUM(K81:L81)</f>
        <v>10682.2813498071</v>
      </c>
      <c r="N81" s="20" t="str">
        <f aca="false">A81</f>
        <v>3.2.1.5.2</v>
      </c>
    </row>
    <row r="82" customFormat="false" ht="30" hidden="false" customHeight="false" outlineLevel="3" collapsed="false">
      <c r="A82" s="42" t="s">
        <v>158</v>
      </c>
      <c r="B82" s="43" t="n">
        <v>100344</v>
      </c>
      <c r="C82" s="50" t="str">
        <f aca="false">VLOOKUP($B82,03_COMPOSIÇÕES!$A:$G,2,0)</f>
        <v>ARMAÇÃO DE CORTINA DE CONTENÇÃO EM CONCRETO ARMADO, COM AÇO CA-50 DE 10 MM - MONTAGEM. AF_11/2024</v>
      </c>
      <c r="D82" s="45" t="s">
        <v>59</v>
      </c>
      <c r="E82" s="51" t="str">
        <f aca="false">VLOOKUP($B82,03_COMPOSIÇÕES!$A:$G,4,0)</f>
        <v>KG</v>
      </c>
      <c r="F82" s="46" t="n">
        <v>581.73</v>
      </c>
      <c r="G82" s="51" t="n">
        <f aca="false">VLOOKUP($B82,03_COMPOSIÇÕES!$A:$G,6,0)</f>
        <v>10.119062945</v>
      </c>
      <c r="H82" s="52" t="n">
        <f aca="false">VLOOKUP($B82,03_COMPOSIÇÕES!$A:$G,7,0)</f>
        <v>2.1003042915666</v>
      </c>
      <c r="I82" s="47" t="n">
        <f aca="false">$F82*$G82</f>
        <v>5886.56248699485</v>
      </c>
      <c r="J82" s="47" t="n">
        <f aca="false">$F82*$H82</f>
        <v>1221.81001553304</v>
      </c>
      <c r="K82" s="47" t="n">
        <f aca="false">$I82*(1+BDI_MAT)</f>
        <v>7100.37167181319</v>
      </c>
      <c r="L82" s="47" t="n">
        <f aca="false">$J82*(1+BDI_MDO)</f>
        <v>1557.68558880307</v>
      </c>
      <c r="M82" s="47" t="n">
        <f aca="false">SUM(K82:L82)</f>
        <v>8658.05726061626</v>
      </c>
      <c r="N82" s="20" t="str">
        <f aca="false">A82</f>
        <v>3.2.1.5.3</v>
      </c>
    </row>
    <row r="83" customFormat="false" ht="45" hidden="false" customHeight="false" outlineLevel="3" collapsed="false">
      <c r="A83" s="42" t="s">
        <v>159</v>
      </c>
      <c r="B83" s="43" t="n">
        <v>100341</v>
      </c>
      <c r="C83" s="50" t="str">
        <f aca="false">VLOOKUP($B83,03_COMPOSIÇÕES!$A:$G,2,0)</f>
        <v>FABRICAÇÃO, MONTAGEM E DESMONTAGEM DE FÔRMA PARA CORTINA DE CONTENÇÃO, EM CHAPA DE MADEIRA COMPENSADA PLASTIFICADA, E = 18 MM, 10 UTILIZAÇÕES. AF_11/2024</v>
      </c>
      <c r="D83" s="45" t="s">
        <v>59</v>
      </c>
      <c r="E83" s="51" t="str">
        <f aca="false">VLOOKUP($B83,03_COMPOSIÇÕES!$A:$G,4,0)</f>
        <v>M2</v>
      </c>
      <c r="F83" s="46" t="n">
        <v>295.39</v>
      </c>
      <c r="G83" s="51" t="n">
        <f aca="false">VLOOKUP($B83,03_COMPOSIÇÕES!$A:$G,6,0)</f>
        <v>23.6354931477794</v>
      </c>
      <c r="H83" s="52" t="n">
        <f aca="false">VLOOKUP($B83,03_COMPOSIÇÕES!$A:$G,7,0)</f>
        <v>14.8635001054181</v>
      </c>
      <c r="I83" s="47" t="n">
        <f aca="false">$F83*$G83</f>
        <v>6981.68832092255</v>
      </c>
      <c r="J83" s="47" t="n">
        <f aca="false">$F83*$H83</f>
        <v>4390.52929613946</v>
      </c>
      <c r="K83" s="47" t="n">
        <f aca="false">$I83*(1+BDI_MAT)</f>
        <v>8421.31245269678</v>
      </c>
      <c r="L83" s="47" t="n">
        <f aca="false">$J83*(1+BDI_MDO)</f>
        <v>5597.4857996482</v>
      </c>
      <c r="M83" s="47" t="n">
        <f aca="false">SUM(K83:L83)</f>
        <v>14018.798252345</v>
      </c>
      <c r="N83" s="20" t="str">
        <f aca="false">A83</f>
        <v>3.2.1.5.4</v>
      </c>
    </row>
    <row r="84" customFormat="false" ht="30" hidden="false" customHeight="false" outlineLevel="3" collapsed="false">
      <c r="A84" s="42" t="s">
        <v>160</v>
      </c>
      <c r="B84" s="43" t="s">
        <v>161</v>
      </c>
      <c r="C84" s="50" t="str">
        <f aca="false">VLOOKUP($B84,03_COMPOSIÇÕES!$A:$G,2,0)</f>
        <v>CONCRETAGEM DE CORTINA DE CONTENÇÃO, ATRAVÉS DE BOMBA, FCK=35 MPA - LANÇAMENTO, ADENSAMENTO E ACABAMENTO.</v>
      </c>
      <c r="D84" s="45" t="s">
        <v>59</v>
      </c>
      <c r="E84" s="51" t="str">
        <f aca="false">VLOOKUP($B84,03_COMPOSIÇÕES!$A:$G,4,0)</f>
        <v>M3</v>
      </c>
      <c r="F84" s="46" t="n">
        <v>28</v>
      </c>
      <c r="G84" s="51" t="n">
        <f aca="false">VLOOKUP($B84,03_COMPOSIÇÕES!$A:$G,6,0)</f>
        <v>767.2426888</v>
      </c>
      <c r="H84" s="52" t="n">
        <f aca="false">VLOOKUP($B84,03_COMPOSIÇÕES!$A:$G,7,0)</f>
        <v>22.3914112416</v>
      </c>
      <c r="I84" s="47" t="n">
        <f aca="false">$F84*$G84</f>
        <v>21482.7952864</v>
      </c>
      <c r="J84" s="47" t="n">
        <f aca="false">$F84*$H84</f>
        <v>626.9595147648</v>
      </c>
      <c r="K84" s="47" t="n">
        <f aca="false">$I84*(1+BDI_MAT)</f>
        <v>25912.5476744557</v>
      </c>
      <c r="L84" s="47" t="n">
        <f aca="false">$J84*(1+BDI_MDO)</f>
        <v>799.310685373644</v>
      </c>
      <c r="M84" s="47" t="n">
        <f aca="false">SUM(K84:L84)</f>
        <v>26711.8583598293</v>
      </c>
      <c r="N84" s="20" t="str">
        <f aca="false">A84</f>
        <v>3.2.1.5.5</v>
      </c>
    </row>
    <row r="85" customFormat="false" ht="15" hidden="false" customHeight="false" outlineLevel="1" collapsed="false">
      <c r="A85" s="42" t="s">
        <v>162</v>
      </c>
      <c r="B85" s="43"/>
      <c r="C85" s="50" t="s">
        <v>163</v>
      </c>
      <c r="D85" s="45"/>
      <c r="E85" s="45"/>
      <c r="F85" s="46"/>
      <c r="G85" s="51"/>
      <c r="H85" s="52"/>
      <c r="I85" s="47" t="n">
        <f aca="false">SUM(I86,I93,I104,I121,I130)</f>
        <v>1306863.60202954</v>
      </c>
      <c r="J85" s="47" t="n">
        <f aca="false">SUM(J86,J93,J104,J121,J130)</f>
        <v>263361.279716494</v>
      </c>
      <c r="K85" s="47" t="n">
        <f aca="false">SUM(K86,K93,K104,K121,K130)</f>
        <v>1576338.87676803</v>
      </c>
      <c r="L85" s="47" t="n">
        <f aca="false">SUM(L86,L93,L104,L121,L130)</f>
        <v>335759.295510558</v>
      </c>
      <c r="M85" s="47" t="n">
        <f aca="false">SUM(M86,M93,M104,M121,M130)</f>
        <v>1912098.17227859</v>
      </c>
      <c r="N85" s="20" t="str">
        <f aca="false">A85</f>
        <v>3.2.2</v>
      </c>
    </row>
    <row r="86" customFormat="false" ht="15" hidden="false" customHeight="false" outlineLevel="2" collapsed="false">
      <c r="A86" s="42" t="s">
        <v>164</v>
      </c>
      <c r="B86" s="43"/>
      <c r="C86" s="50" t="s">
        <v>165</v>
      </c>
      <c r="D86" s="45"/>
      <c r="E86" s="45"/>
      <c r="F86" s="46"/>
      <c r="G86" s="51"/>
      <c r="H86" s="52"/>
      <c r="I86" s="47" t="n">
        <f aca="false">SUBTOTAL(9,I87:I92)</f>
        <v>138046.821040879</v>
      </c>
      <c r="J86" s="47" t="n">
        <f aca="false">SUBTOTAL(9,J87:J92)</f>
        <v>44595.3188920957</v>
      </c>
      <c r="K86" s="47" t="n">
        <f aca="false">SUBTOTAL(9,K87:K92)</f>
        <v>166512.075539508</v>
      </c>
      <c r="L86" s="47" t="n">
        <f aca="false">SUBTOTAL(9,L87:L92)</f>
        <v>56854.5720555328</v>
      </c>
      <c r="M86" s="47" t="n">
        <f aca="false">SUBTOTAL(9,M87:M92)</f>
        <v>223366.647595041</v>
      </c>
      <c r="N86" s="20" t="str">
        <f aca="false">A86</f>
        <v>3.2.2.1</v>
      </c>
    </row>
    <row r="87" customFormat="false" ht="45" hidden="false" customHeight="false" outlineLevel="3" collapsed="false">
      <c r="A87" s="42" t="s">
        <v>166</v>
      </c>
      <c r="B87" s="43" t="n">
        <v>92759</v>
      </c>
      <c r="C87" s="50" t="str">
        <f aca="false">VLOOKUP($B87,03_COMPOSIÇÕES!$A:$G,2,0)</f>
        <v>ARMAÇÃO DE PILAR OU VIGA DE ESTRUTURA CONVENCIONAL DE CONCRETO ARMADO UTILIZANDO AÇO CA-60 DE 5,0 MM - MONTAGEM. AF_06/2022</v>
      </c>
      <c r="D87" s="45" t="s">
        <v>59</v>
      </c>
      <c r="E87" s="51" t="str">
        <f aca="false">VLOOKUP($B87,03_COMPOSIÇÕES!$A:$G,4,0)</f>
        <v>KG</v>
      </c>
      <c r="F87" s="46" t="n">
        <v>1191.9</v>
      </c>
      <c r="G87" s="51" t="n">
        <f aca="false">VLOOKUP($B87,03_COMPOSIÇÕES!$A:$G,6,0)</f>
        <v>10.17192</v>
      </c>
      <c r="H87" s="52" t="n">
        <f aca="false">VLOOKUP($B87,03_COMPOSIÇÕES!$A:$G,7,0)</f>
        <v>3.7369524528</v>
      </c>
      <c r="I87" s="47" t="n">
        <f aca="false">$F87*$G87</f>
        <v>12123.911448</v>
      </c>
      <c r="J87" s="47" t="n">
        <f aca="false">$F87*$H87</f>
        <v>4454.07362849232</v>
      </c>
      <c r="K87" s="47" t="n">
        <f aca="false">$I87*(1+BDI_MAT)</f>
        <v>14623.8619885776</v>
      </c>
      <c r="L87" s="47" t="n">
        <f aca="false">$J87*(1+BDI_MDO)</f>
        <v>5678.49846896486</v>
      </c>
      <c r="M87" s="47" t="n">
        <f aca="false">SUM(K87:L87)</f>
        <v>20302.3604575425</v>
      </c>
      <c r="N87" s="20" t="str">
        <f aca="false">A87</f>
        <v>3.2.2.1.1</v>
      </c>
    </row>
    <row r="88" customFormat="false" ht="45" hidden="false" customHeight="false" outlineLevel="3" collapsed="false">
      <c r="A88" s="42" t="s">
        <v>167</v>
      </c>
      <c r="B88" s="43" t="n">
        <v>92762</v>
      </c>
      <c r="C88" s="50" t="str">
        <f aca="false">VLOOKUP($B88,03_COMPOSIÇÕES!$A:$G,2,0)</f>
        <v>ARMAÇÃO DE PILAR OU VIGA DE ESTRUTURA CONVENCIONAL DE CONCRETO ARMADO UTILIZANDO AÇO CA-50 DE 10,0 MM - MONTAGEM. AF_06/2022</v>
      </c>
      <c r="D88" s="45" t="s">
        <v>59</v>
      </c>
      <c r="E88" s="51" t="str">
        <f aca="false">VLOOKUP($B88,03_COMPOSIÇÕES!$A:$G,4,0)</f>
        <v>KG</v>
      </c>
      <c r="F88" s="46" t="n">
        <v>2279.45</v>
      </c>
      <c r="G88" s="51" t="n">
        <f aca="false">VLOOKUP($B88,03_COMPOSIÇÕES!$A:$G,6,0)</f>
        <v>9.763318</v>
      </c>
      <c r="H88" s="52" t="n">
        <f aca="false">VLOOKUP($B88,03_COMPOSIÇÕES!$A:$G,7,0)</f>
        <v>1.08638182152</v>
      </c>
      <c r="I88" s="47" t="n">
        <f aca="false">$F88*$G88</f>
        <v>22254.9952151</v>
      </c>
      <c r="J88" s="47" t="n">
        <f aca="false">$F88*$H88</f>
        <v>2476.35304306376</v>
      </c>
      <c r="K88" s="47" t="n">
        <f aca="false">$I88*(1+BDI_MAT)</f>
        <v>26843.9752284536</v>
      </c>
      <c r="L88" s="47" t="n">
        <f aca="false">$J88*(1+BDI_MDO)</f>
        <v>3157.10249460199</v>
      </c>
      <c r="M88" s="47" t="n">
        <f aca="false">SUM(K88:L88)</f>
        <v>30001.0777230556</v>
      </c>
      <c r="N88" s="20" t="str">
        <f aca="false">A88</f>
        <v>3.2.2.1.2</v>
      </c>
    </row>
    <row r="89" customFormat="false" ht="45" hidden="false" customHeight="false" outlineLevel="3" collapsed="false">
      <c r="A89" s="42" t="s">
        <v>168</v>
      </c>
      <c r="B89" s="43" t="n">
        <v>92763</v>
      </c>
      <c r="C89" s="50" t="str">
        <f aca="false">VLOOKUP($B89,03_COMPOSIÇÕES!$A:$G,2,0)</f>
        <v>ARMAÇÃO DE PILAR OU VIGA DE ESTRUTURA CONVENCIONAL DE CONCRETO ARMADO UTILIZANDO AÇO CA-50 DE 12,5 MM - MONTAGEM. AF_06/2022</v>
      </c>
      <c r="D89" s="45" t="s">
        <v>59</v>
      </c>
      <c r="E89" s="51" t="str">
        <f aca="false">VLOOKUP($B89,03_COMPOSIÇÕES!$A:$G,4,0)</f>
        <v>KG</v>
      </c>
      <c r="F89" s="46" t="n">
        <v>1149.45</v>
      </c>
      <c r="G89" s="51" t="n">
        <f aca="false">VLOOKUP($B89,03_COMPOSIÇÕES!$A:$G,6,0)</f>
        <v>8.426005</v>
      </c>
      <c r="H89" s="52" t="n">
        <f aca="false">VLOOKUP($B89,03_COMPOSIÇÕES!$A:$G,7,0)</f>
        <v>0.6908919354</v>
      </c>
      <c r="I89" s="47" t="n">
        <f aca="false">$F89*$G89</f>
        <v>9685.27144725</v>
      </c>
      <c r="J89" s="47" t="n">
        <f aca="false">$F89*$H89</f>
        <v>794.14573514553</v>
      </c>
      <c r="K89" s="47" t="n">
        <f aca="false">$I89*(1+BDI_MAT)</f>
        <v>11682.374419673</v>
      </c>
      <c r="L89" s="47" t="n">
        <f aca="false">$J89*(1+BDI_MDO)</f>
        <v>1012.45639773704</v>
      </c>
      <c r="M89" s="47" t="n">
        <f aca="false">SUM(K89:L89)</f>
        <v>12694.83081741</v>
      </c>
      <c r="N89" s="20" t="str">
        <f aca="false">A89</f>
        <v>3.2.2.1.3</v>
      </c>
    </row>
    <row r="90" customFormat="false" ht="45" hidden="false" customHeight="false" outlineLevel="3" collapsed="false">
      <c r="A90" s="42" t="s">
        <v>169</v>
      </c>
      <c r="B90" s="43" t="n">
        <v>92764</v>
      </c>
      <c r="C90" s="50" t="str">
        <f aca="false">VLOOKUP($B90,03_COMPOSIÇÕES!$A:$G,2,0)</f>
        <v>ARMAÇÃO DE PILAR OU VIGA DE ESTRUTURA CONVENCIONAL DE CONCRETO ARMADO UTILIZANDO AÇO CA-50 DE 16,0 MM - MONTAGEM. AF_06/2022</v>
      </c>
      <c r="D90" s="45" t="s">
        <v>59</v>
      </c>
      <c r="E90" s="51" t="str">
        <f aca="false">VLOOKUP($B90,03_COMPOSIÇÕES!$A:$G,4,0)</f>
        <v>KG</v>
      </c>
      <c r="F90" s="46" t="n">
        <v>264.55</v>
      </c>
      <c r="G90" s="51" t="n">
        <f aca="false">VLOOKUP($B90,03_COMPOSIÇÕES!$A:$G,6,0)</f>
        <v>8.270001</v>
      </c>
      <c r="H90" s="52" t="n">
        <f aca="false">VLOOKUP($B90,03_COMPOSIÇÕES!$A:$G,7,0)</f>
        <v>0.490849785</v>
      </c>
      <c r="I90" s="47" t="n">
        <f aca="false">$F90*$G90</f>
        <v>2187.82876455</v>
      </c>
      <c r="J90" s="47" t="n">
        <f aca="false">$F90*$H90</f>
        <v>129.85431062175</v>
      </c>
      <c r="K90" s="47" t="n">
        <f aca="false">$I90*(1+BDI_MAT)</f>
        <v>2638.95905580021</v>
      </c>
      <c r="L90" s="47" t="n">
        <f aca="false">$J90*(1+BDI_MDO)</f>
        <v>165.551260611669</v>
      </c>
      <c r="M90" s="47" t="n">
        <f aca="false">SUM(K90:L90)</f>
        <v>2804.51031641188</v>
      </c>
      <c r="N90" s="20" t="str">
        <f aca="false">A90</f>
        <v>3.2.2.1.4</v>
      </c>
    </row>
    <row r="91" customFormat="false" ht="30" hidden="false" customHeight="false" outlineLevel="3" collapsed="false">
      <c r="A91" s="42" t="s">
        <v>170</v>
      </c>
      <c r="B91" s="43" t="s">
        <v>136</v>
      </c>
      <c r="C91" s="50" t="str">
        <f aca="false">VLOOKUP($B91,03_COMPOSIÇÕES!$A:$G,2,0)</f>
        <v>CONCRETAGEM DE PILARES, FCK = 35 MPA, COM USO DE BOMBA - LANÇAMENTO, ADENSAMENTO E ACABAMENTO.</v>
      </c>
      <c r="D91" s="45" t="s">
        <v>59</v>
      </c>
      <c r="E91" s="51" t="str">
        <f aca="false">VLOOKUP($B91,03_COMPOSIÇÕES!$A:$G,4,0)</f>
        <v>M3</v>
      </c>
      <c r="F91" s="46" t="n">
        <v>47.07</v>
      </c>
      <c r="G91" s="51" t="n">
        <f aca="false">VLOOKUP($B91,03_COMPOSIÇÕES!$A:$G,6,0)</f>
        <v>7.538894991376</v>
      </c>
      <c r="H91" s="52" t="n">
        <f aca="false">VLOOKUP($B91,03_COMPOSIÇÕES!$A:$G,7,0)</f>
        <v>26.9938549272</v>
      </c>
      <c r="I91" s="47" t="n">
        <f aca="false">$F91*$G91</f>
        <v>354.855787244068</v>
      </c>
      <c r="J91" s="47" t="n">
        <f aca="false">$F91*$H91</f>
        <v>1270.6007514233</v>
      </c>
      <c r="K91" s="47" t="n">
        <f aca="false">$I91*(1+BDI_MAT)</f>
        <v>428.027050573795</v>
      </c>
      <c r="L91" s="47" t="n">
        <f aca="false">$J91*(1+BDI_MDO)</f>
        <v>1619.88889798957</v>
      </c>
      <c r="M91" s="47" t="n">
        <f aca="false">SUM(K91:L91)</f>
        <v>2047.91594856337</v>
      </c>
      <c r="N91" s="20" t="str">
        <f aca="false">A91</f>
        <v>3.2.2.1.5</v>
      </c>
    </row>
    <row r="92" customFormat="false" ht="45" hidden="false" customHeight="false" outlineLevel="3" collapsed="false">
      <c r="A92" s="42" t="s">
        <v>171</v>
      </c>
      <c r="B92" s="43" t="n">
        <v>92415</v>
      </c>
      <c r="C92" s="50" t="str">
        <f aca="false">VLOOKUP($B92,03_COMPOSIÇÕES!$A:$G,2,0)</f>
        <v>MONTAGEM E DESMONTAGEM DE FÔRMA DE PILARES RETANGULARES E ESTRUTURAS SIMILARES, PÉ-DIREITO SIMPLES, EM CHAPA DE MADEIRA COMPENSADA RESINADA, 2 UTILIZAÇÕES. AF_09/2020</v>
      </c>
      <c r="D92" s="45" t="s">
        <v>59</v>
      </c>
      <c r="E92" s="51" t="str">
        <f aca="false">VLOOKUP($B92,03_COMPOSIÇÕES!$A:$G,4,0)</f>
        <v>M2</v>
      </c>
      <c r="F92" s="46" t="n">
        <v>831.22</v>
      </c>
      <c r="G92" s="51" t="n">
        <f aca="false">VLOOKUP($B92,03_COMPOSIÇÕES!$A:$G,6,0)</f>
        <v>110.006927622934</v>
      </c>
      <c r="H92" s="52" t="n">
        <f aca="false">VLOOKUP($B92,03_COMPOSIÇÕES!$A:$G,7,0)</f>
        <v>42.67256733879</v>
      </c>
      <c r="I92" s="47" t="n">
        <f aca="false">$F92*$G92</f>
        <v>91439.958378735</v>
      </c>
      <c r="J92" s="47" t="n">
        <f aca="false">$F92*$H92</f>
        <v>35470.291423349</v>
      </c>
      <c r="K92" s="47" t="n">
        <f aca="false">$I92*(1+BDI_MAT)</f>
        <v>110294.87779643</v>
      </c>
      <c r="L92" s="47" t="n">
        <f aca="false">$J92*(1+BDI_MDO)</f>
        <v>45221.0745356277</v>
      </c>
      <c r="M92" s="47" t="n">
        <f aca="false">SUM(K92:L92)</f>
        <v>155515.952332058</v>
      </c>
      <c r="N92" s="20" t="str">
        <f aca="false">A92</f>
        <v>3.2.2.1.6</v>
      </c>
    </row>
    <row r="93" customFormat="false" ht="15" hidden="false" customHeight="false" outlineLevel="2" collapsed="false">
      <c r="A93" s="42" t="s">
        <v>172</v>
      </c>
      <c r="B93" s="43"/>
      <c r="C93" s="50" t="s">
        <v>173</v>
      </c>
      <c r="D93" s="45"/>
      <c r="E93" s="45"/>
      <c r="F93" s="46"/>
      <c r="G93" s="51"/>
      <c r="H93" s="52"/>
      <c r="I93" s="47" t="n">
        <f aca="false">SUBTOTAL(9,I94:I103)</f>
        <v>382038.070914524</v>
      </c>
      <c r="J93" s="47" t="n">
        <f aca="false">SUBTOTAL(9,J94:J103)</f>
        <v>93512.5149193092</v>
      </c>
      <c r="K93" s="47" t="n">
        <f aca="false">SUBTOTAL(9,K94:K103)</f>
        <v>460814.321137099</v>
      </c>
      <c r="L93" s="47" t="n">
        <f aca="false">SUBTOTAL(9,L94:L103)</f>
        <v>119219.105270627</v>
      </c>
      <c r="M93" s="47" t="n">
        <f aca="false">SUBTOTAL(9,M94:M103)</f>
        <v>580033.426407727</v>
      </c>
      <c r="N93" s="20" t="str">
        <f aca="false">A93</f>
        <v>3.2.2.2</v>
      </c>
    </row>
    <row r="94" customFormat="false" ht="45" hidden="false" customHeight="false" outlineLevel="3" collapsed="false">
      <c r="A94" s="42" t="s">
        <v>174</v>
      </c>
      <c r="B94" s="43" t="n">
        <v>92759</v>
      </c>
      <c r="C94" s="50" t="str">
        <f aca="false">VLOOKUP($B94,03_COMPOSIÇÕES!$A:$G,2,0)</f>
        <v>ARMAÇÃO DE PILAR OU VIGA DE ESTRUTURA CONVENCIONAL DE CONCRETO ARMADO UTILIZANDO AÇO CA-60 DE 5,0 MM - MONTAGEM. AF_06/2022</v>
      </c>
      <c r="D94" s="45" t="s">
        <v>59</v>
      </c>
      <c r="E94" s="51" t="str">
        <f aca="false">VLOOKUP($B94,03_COMPOSIÇÕES!$A:$G,4,0)</f>
        <v>KG</v>
      </c>
      <c r="F94" s="46" t="n">
        <v>1946.28</v>
      </c>
      <c r="G94" s="51" t="n">
        <f aca="false">VLOOKUP($B94,03_COMPOSIÇÕES!$A:$G,6,0)</f>
        <v>10.17192</v>
      </c>
      <c r="H94" s="52" t="n">
        <f aca="false">VLOOKUP($B94,03_COMPOSIÇÕES!$A:$G,7,0)</f>
        <v>3.7369524528</v>
      </c>
      <c r="I94" s="47" t="n">
        <f aca="false">$F94*$G94</f>
        <v>19797.4044576</v>
      </c>
      <c r="J94" s="47" t="n">
        <f aca="false">$F94*$H94</f>
        <v>7273.15581983558</v>
      </c>
      <c r="K94" s="47" t="n">
        <f aca="false">$I94*(1+BDI_MAT)</f>
        <v>23879.6292567571</v>
      </c>
      <c r="L94" s="47" t="n">
        <f aca="false">$J94*(1+BDI_MDO)</f>
        <v>9272.54635470839</v>
      </c>
      <c r="M94" s="47" t="n">
        <f aca="false">SUM(K94:L94)</f>
        <v>33152.1756114655</v>
      </c>
      <c r="N94" s="20" t="str">
        <f aca="false">A94</f>
        <v>3.2.2.2.1</v>
      </c>
    </row>
    <row r="95" customFormat="false" ht="45" hidden="false" customHeight="false" outlineLevel="3" collapsed="false">
      <c r="A95" s="42" t="s">
        <v>175</v>
      </c>
      <c r="B95" s="43" t="n">
        <v>92760</v>
      </c>
      <c r="C95" s="50" t="str">
        <f aca="false">VLOOKUP($B95,03_COMPOSIÇÕES!$A:$G,2,0)</f>
        <v>ARMAÇÃO DE PILAR OU VIGA DE ESTRUTURA CONVENCIONAL DE CONCRETO ARMADO UTILIZANDO AÇO CA-50 DE 6,3 MM - MONTAGEM. AF_06/2022</v>
      </c>
      <c r="D95" s="45" t="s">
        <v>59</v>
      </c>
      <c r="E95" s="51" t="str">
        <f aca="false">VLOOKUP($B95,03_COMPOSIÇÕES!$A:$G,4,0)</f>
        <v>KG</v>
      </c>
      <c r="F95" s="46" t="n">
        <v>353.74</v>
      </c>
      <c r="G95" s="51" t="n">
        <f aca="false">VLOOKUP($B95,03_COMPOSIÇÕES!$A:$G,6,0)</f>
        <v>9.84168</v>
      </c>
      <c r="H95" s="52" t="n">
        <f aca="false">VLOOKUP($B95,03_COMPOSIÇÕES!$A:$G,7,0)</f>
        <v>2.4913016352</v>
      </c>
      <c r="I95" s="47" t="n">
        <f aca="false">$F95*$G95</f>
        <v>3481.3958832</v>
      </c>
      <c r="J95" s="47" t="n">
        <f aca="false">$F95*$H95</f>
        <v>881.273040435648</v>
      </c>
      <c r="K95" s="47" t="n">
        <f aca="false">$I95*(1+BDI_MAT)</f>
        <v>4199.25971431584</v>
      </c>
      <c r="L95" s="47" t="n">
        <f aca="false">$J95*(1+BDI_MDO)</f>
        <v>1123.53499925141</v>
      </c>
      <c r="M95" s="47" t="n">
        <f aca="false">SUM(K95:L95)</f>
        <v>5322.79471356725</v>
      </c>
      <c r="N95" s="20" t="str">
        <f aca="false">A95</f>
        <v>3.2.2.2.2</v>
      </c>
    </row>
    <row r="96" customFormat="false" ht="45" hidden="false" customHeight="false" outlineLevel="3" collapsed="false">
      <c r="A96" s="42" t="s">
        <v>176</v>
      </c>
      <c r="B96" s="43" t="n">
        <v>92761</v>
      </c>
      <c r="C96" s="50" t="str">
        <f aca="false">VLOOKUP($B96,03_COMPOSIÇÕES!$A:$G,2,0)</f>
        <v>ARMAÇÃO DE PILAR OU VIGA DE ESTRUTURA CONVENCIONAL DE CONCRETO ARMADO UTILIZANDO AÇO CA-50 DE 8,0 MM - MONTAGEM. AF_06/2022</v>
      </c>
      <c r="D96" s="45" t="s">
        <v>59</v>
      </c>
      <c r="E96" s="51" t="str">
        <f aca="false">VLOOKUP($B96,03_COMPOSIÇÕES!$A:$G,4,0)</f>
        <v>KG</v>
      </c>
      <c r="F96" s="46" t="n">
        <v>103.09</v>
      </c>
      <c r="G96" s="51" t="n">
        <f aca="false">VLOOKUP($B96,03_COMPOSIÇÕES!$A:$G,6,0)</f>
        <v>9.830451</v>
      </c>
      <c r="H96" s="52" t="n">
        <f aca="false">VLOOKUP($B96,03_COMPOSIÇÕES!$A:$G,7,0)</f>
        <v>1.63705003596</v>
      </c>
      <c r="I96" s="47" t="n">
        <f aca="false">$F96*$G96</f>
        <v>1013.42119359</v>
      </c>
      <c r="J96" s="47" t="n">
        <f aca="false">$F96*$H96</f>
        <v>168.763488207116</v>
      </c>
      <c r="K96" s="47" t="n">
        <f aca="false">$I96*(1+BDI_MAT)</f>
        <v>1222.38864370826</v>
      </c>
      <c r="L96" s="47" t="n">
        <f aca="false">$J96*(1+BDI_MDO)</f>
        <v>215.156571115253</v>
      </c>
      <c r="M96" s="47" t="n">
        <f aca="false">SUM(K96:L96)</f>
        <v>1437.54521482351</v>
      </c>
      <c r="N96" s="20" t="str">
        <f aca="false">A96</f>
        <v>3.2.2.2.3</v>
      </c>
    </row>
    <row r="97" customFormat="false" ht="45" hidden="false" customHeight="false" outlineLevel="3" collapsed="false">
      <c r="A97" s="42" t="s">
        <v>177</v>
      </c>
      <c r="B97" s="43" t="n">
        <v>92762</v>
      </c>
      <c r="C97" s="50" t="str">
        <f aca="false">VLOOKUP($B97,03_COMPOSIÇÕES!$A:$G,2,0)</f>
        <v>ARMAÇÃO DE PILAR OU VIGA DE ESTRUTURA CONVENCIONAL DE CONCRETO ARMADO UTILIZANDO AÇO CA-50 DE 10,0 MM - MONTAGEM. AF_06/2022</v>
      </c>
      <c r="D97" s="45" t="s">
        <v>59</v>
      </c>
      <c r="E97" s="51" t="str">
        <f aca="false">VLOOKUP($B97,03_COMPOSIÇÕES!$A:$G,4,0)</f>
        <v>KG</v>
      </c>
      <c r="F97" s="46" t="n">
        <v>4280.18</v>
      </c>
      <c r="G97" s="51" t="n">
        <f aca="false">VLOOKUP($B97,03_COMPOSIÇÕES!$A:$G,6,0)</f>
        <v>9.763318</v>
      </c>
      <c r="H97" s="52" t="n">
        <f aca="false">VLOOKUP($B97,03_COMPOSIÇÕES!$A:$G,7,0)</f>
        <v>1.08638182152</v>
      </c>
      <c r="I97" s="47" t="n">
        <f aca="false">$F97*$G97</f>
        <v>41788.75843724</v>
      </c>
      <c r="J97" s="47" t="n">
        <f aca="false">$F97*$H97</f>
        <v>4649.90974483347</v>
      </c>
      <c r="K97" s="47" t="n">
        <f aca="false">$I97*(1+BDI_MAT)</f>
        <v>50405.6004269989</v>
      </c>
      <c r="L97" s="47" t="n">
        <f aca="false">$J97*(1+BDI_MDO)</f>
        <v>5928.1699336882</v>
      </c>
      <c r="M97" s="47" t="n">
        <f aca="false">SUM(K97:L97)</f>
        <v>56333.7703606871</v>
      </c>
      <c r="N97" s="20" t="str">
        <f aca="false">A97</f>
        <v>3.2.2.2.4</v>
      </c>
    </row>
    <row r="98" customFormat="false" ht="45" hidden="false" customHeight="false" outlineLevel="3" collapsed="false">
      <c r="A98" s="42" t="s">
        <v>178</v>
      </c>
      <c r="B98" s="43" t="n">
        <v>92763</v>
      </c>
      <c r="C98" s="50" t="str">
        <f aca="false">VLOOKUP($B98,03_COMPOSIÇÕES!$A:$G,2,0)</f>
        <v>ARMAÇÃO DE PILAR OU VIGA DE ESTRUTURA CONVENCIONAL DE CONCRETO ARMADO UTILIZANDO AÇO CA-50 DE 12,5 MM - MONTAGEM. AF_06/2022</v>
      </c>
      <c r="D98" s="45" t="s">
        <v>59</v>
      </c>
      <c r="E98" s="51" t="str">
        <f aca="false">VLOOKUP($B98,03_COMPOSIÇÕES!$A:$G,4,0)</f>
        <v>KG</v>
      </c>
      <c r="F98" s="46" t="n">
        <v>1215.28</v>
      </c>
      <c r="G98" s="51" t="n">
        <f aca="false">VLOOKUP($B98,03_COMPOSIÇÕES!$A:$G,6,0)</f>
        <v>8.426005</v>
      </c>
      <c r="H98" s="52" t="n">
        <f aca="false">VLOOKUP($B98,03_COMPOSIÇÕES!$A:$G,7,0)</f>
        <v>0.6908919354</v>
      </c>
      <c r="I98" s="47" t="n">
        <f aca="false">$F98*$G98</f>
        <v>10239.9553564</v>
      </c>
      <c r="J98" s="47" t="n">
        <f aca="false">$F98*$H98</f>
        <v>839.627151252912</v>
      </c>
      <c r="K98" s="47" t="n">
        <f aca="false">$I98*(1+BDI_MAT)</f>
        <v>12351.4341508897</v>
      </c>
      <c r="L98" s="47" t="n">
        <f aca="false">$J98*(1+BDI_MDO)</f>
        <v>1070.44065513234</v>
      </c>
      <c r="M98" s="47" t="n">
        <f aca="false">SUM(K98:L98)</f>
        <v>13421.874806022</v>
      </c>
      <c r="N98" s="20" t="str">
        <f aca="false">A98</f>
        <v>3.2.2.2.5</v>
      </c>
    </row>
    <row r="99" customFormat="false" ht="45" hidden="false" customHeight="false" outlineLevel="3" collapsed="false">
      <c r="A99" s="42" t="s">
        <v>179</v>
      </c>
      <c r="B99" s="43" t="n">
        <v>92764</v>
      </c>
      <c r="C99" s="50" t="str">
        <f aca="false">VLOOKUP($B99,03_COMPOSIÇÕES!$A:$G,2,0)</f>
        <v>ARMAÇÃO DE PILAR OU VIGA DE ESTRUTURA CONVENCIONAL DE CONCRETO ARMADO UTILIZANDO AÇO CA-50 DE 16,0 MM - MONTAGEM. AF_06/2022</v>
      </c>
      <c r="D99" s="45" t="s">
        <v>59</v>
      </c>
      <c r="E99" s="51" t="str">
        <f aca="false">VLOOKUP($B99,03_COMPOSIÇÕES!$A:$G,4,0)</f>
        <v>KG</v>
      </c>
      <c r="F99" s="46" t="n">
        <v>1986.54</v>
      </c>
      <c r="G99" s="51" t="n">
        <f aca="false">VLOOKUP($B99,03_COMPOSIÇÕES!$A:$G,6,0)</f>
        <v>8.270001</v>
      </c>
      <c r="H99" s="52" t="n">
        <f aca="false">VLOOKUP($B99,03_COMPOSIÇÕES!$A:$G,7,0)</f>
        <v>0.490849785</v>
      </c>
      <c r="I99" s="47" t="n">
        <f aca="false">$F99*$G99</f>
        <v>16428.68778654</v>
      </c>
      <c r="J99" s="47" t="n">
        <f aca="false">$F99*$H99</f>
        <v>975.0927318939</v>
      </c>
      <c r="K99" s="47" t="n">
        <f aca="false">$I99*(1+BDI_MAT)</f>
        <v>19816.2832081246</v>
      </c>
      <c r="L99" s="47" t="n">
        <f aca="false">$J99*(1+BDI_MDO)</f>
        <v>1243.14572389153</v>
      </c>
      <c r="M99" s="47" t="n">
        <f aca="false">SUM(K99:L99)</f>
        <v>21059.4289320161</v>
      </c>
      <c r="N99" s="20" t="str">
        <f aca="false">A99</f>
        <v>3.2.2.2.6</v>
      </c>
    </row>
    <row r="100" customFormat="false" ht="45" hidden="false" customHeight="false" outlineLevel="3" collapsed="false">
      <c r="A100" s="42" t="s">
        <v>180</v>
      </c>
      <c r="B100" s="43" t="n">
        <v>92765</v>
      </c>
      <c r="C100" s="50" t="str">
        <f aca="false">VLOOKUP($B100,03_COMPOSIÇÕES!$A:$G,2,0)</f>
        <v>ARMAÇÃO DE PILAR OU VIGA DE ESTRUTURA CONVENCIONAL DE CONCRETO ARMADO UTILIZANDO AÇO CA-50 DE 20,0 MM - MONTAGEM. AF_06/2022</v>
      </c>
      <c r="D100" s="45" t="s">
        <v>59</v>
      </c>
      <c r="E100" s="51" t="str">
        <f aca="false">VLOOKUP($B100,03_COMPOSIÇÕES!$A:$G,4,0)</f>
        <v>KG</v>
      </c>
      <c r="F100" s="46" t="n">
        <v>542.73</v>
      </c>
      <c r="G100" s="51" t="n">
        <f aca="false">VLOOKUP($B100,03_COMPOSIÇÕES!$A:$G,6,0)</f>
        <v>8.91135</v>
      </c>
      <c r="H100" s="52" t="n">
        <f aca="false">VLOOKUP($B100,03_COMPOSIÇÕES!$A:$G,7,0)</f>
        <v>0.3710126412</v>
      </c>
      <c r="I100" s="47" t="n">
        <f aca="false">$F100*$G100</f>
        <v>4836.4569855</v>
      </c>
      <c r="J100" s="47" t="n">
        <f aca="false">$F100*$H100</f>
        <v>201.359690758476</v>
      </c>
      <c r="K100" s="47" t="n">
        <f aca="false">$I100*(1+BDI_MAT)</f>
        <v>5833.7344159101</v>
      </c>
      <c r="L100" s="47" t="n">
        <f aca="false">$J100*(1+BDI_MDO)</f>
        <v>256.713469747981</v>
      </c>
      <c r="M100" s="47" t="n">
        <f aca="false">SUM(K100:L100)</f>
        <v>6090.44788565808</v>
      </c>
      <c r="N100" s="20" t="str">
        <f aca="false">A100</f>
        <v>3.2.2.2.7</v>
      </c>
    </row>
    <row r="101" customFormat="false" ht="45" hidden="false" customHeight="false" outlineLevel="3" collapsed="false">
      <c r="A101" s="42" t="s">
        <v>181</v>
      </c>
      <c r="B101" s="43" t="n">
        <v>92766</v>
      </c>
      <c r="C101" s="50" t="str">
        <f aca="false">VLOOKUP($B101,03_COMPOSIÇÕES!$A:$G,2,0)</f>
        <v>ARMAÇÃO DE PILAR OU VIGA DE ESTRUTURA CONVENCIONAL DE CONCRETO ARMADO UTILIZANDO AÇO CA-50 DE 25,0 MM - MONTAGEM. AF_06/2022</v>
      </c>
      <c r="D101" s="45" t="s">
        <v>59</v>
      </c>
      <c r="E101" s="51" t="str">
        <f aca="false">VLOOKUP($B101,03_COMPOSIÇÕES!$A:$G,4,0)</f>
        <v>KG</v>
      </c>
      <c r="F101" s="46" t="n">
        <v>257.37</v>
      </c>
      <c r="G101" s="51" t="n">
        <f aca="false">VLOOKUP($B101,03_COMPOSIÇÕES!$A:$G,6,0)</f>
        <v>8.868641</v>
      </c>
      <c r="H101" s="52" t="n">
        <f aca="false">VLOOKUP($B101,03_COMPOSIÇÕES!$A:$G,7,0)</f>
        <v>0.29476477908</v>
      </c>
      <c r="I101" s="47" t="n">
        <f aca="false">$F101*$G101</f>
        <v>2282.52213417</v>
      </c>
      <c r="J101" s="47" t="n">
        <f aca="false">$F101*$H101</f>
        <v>75.8636111918196</v>
      </c>
      <c r="K101" s="47" t="n">
        <f aca="false">$I101*(1+BDI_MAT)</f>
        <v>2753.17819823585</v>
      </c>
      <c r="L101" s="47" t="n">
        <f aca="false">$J101*(1+BDI_MDO)</f>
        <v>96.7185179084508</v>
      </c>
      <c r="M101" s="47" t="n">
        <f aca="false">SUM(K101:L101)</f>
        <v>2849.8967161443</v>
      </c>
      <c r="N101" s="20" t="str">
        <f aca="false">A101</f>
        <v>3.2.2.2.8</v>
      </c>
    </row>
    <row r="102" customFormat="false" ht="45" hidden="false" customHeight="false" outlineLevel="3" collapsed="false">
      <c r="A102" s="42" t="s">
        <v>182</v>
      </c>
      <c r="B102" s="43" t="s">
        <v>183</v>
      </c>
      <c r="C102" s="50" t="str">
        <f aca="false">VLOOKUP($B102,03_COMPOSIÇÕES!$A:$G,2,0)</f>
        <v>CONCRETAGEM DE VIGAS E LAJES, FCK=35 MPA, PARA LAJES MACIÇAS OU NERVURADAS COM USO DE BOMBA - LANÇAMENTO, ADENSAMENTO E ACABAMENTO.</v>
      </c>
      <c r="D102" s="45" t="s">
        <v>59</v>
      </c>
      <c r="E102" s="51" t="str">
        <f aca="false">VLOOKUP($B102,03_COMPOSIÇÕES!$A:$G,4,0)</f>
        <v>M3</v>
      </c>
      <c r="F102" s="46" t="n">
        <v>122.17</v>
      </c>
      <c r="G102" s="51" t="n">
        <f aca="false">VLOOKUP($B102,03_COMPOSIÇÕES!$A:$G,6,0)</f>
        <v>771.464059306024</v>
      </c>
      <c r="H102" s="52" t="n">
        <f aca="false">VLOOKUP($B102,03_COMPOSIÇÕES!$A:$G,7,0)</f>
        <v>29.028581382</v>
      </c>
      <c r="I102" s="47" t="n">
        <f aca="false">$F102*$G102</f>
        <v>94249.7641254169</v>
      </c>
      <c r="J102" s="47" t="n">
        <f aca="false">$F102*$H102</f>
        <v>3546.42178743894</v>
      </c>
      <c r="K102" s="47" t="n">
        <f aca="false">$I102*(1+BDI_MAT)</f>
        <v>113684.065488078</v>
      </c>
      <c r="L102" s="47" t="n">
        <f aca="false">$J102*(1+BDI_MDO)</f>
        <v>4521.33313680591</v>
      </c>
      <c r="M102" s="47" t="n">
        <f aca="false">SUM(K102:L102)</f>
        <v>118205.398624884</v>
      </c>
      <c r="N102" s="20" t="str">
        <f aca="false">A102</f>
        <v>3.2.2.2.9</v>
      </c>
    </row>
    <row r="103" customFormat="false" ht="45" hidden="false" customHeight="false" outlineLevel="3" collapsed="false">
      <c r="A103" s="42" t="s">
        <v>184</v>
      </c>
      <c r="B103" s="43" t="n">
        <v>92452</v>
      </c>
      <c r="C103" s="50" t="str">
        <f aca="false">VLOOKUP($B103,03_COMPOSIÇÕES!$A:$G,2,0)</f>
        <v>MONTAGEM E DESMONTAGEM DE FÔRMA DE VIGA, ESCORAMENTO METÁLICO, PÉ-DIREITO SIMPLES, EM CHAPA DE MADEIRA RESINADA, 2 UTILIZAÇÕES. AF_09/2020</v>
      </c>
      <c r="D103" s="45" t="s">
        <v>59</v>
      </c>
      <c r="E103" s="51" t="str">
        <f aca="false">VLOOKUP($B103,03_COMPOSIÇÕES!$A:$G,4,0)</f>
        <v>M2</v>
      </c>
      <c r="F103" s="46" t="n">
        <v>1389.44</v>
      </c>
      <c r="G103" s="51" t="n">
        <f aca="false">VLOOKUP($B103,03_COMPOSIÇÕES!$A:$G,6,0)</f>
        <v>135.248520666504</v>
      </c>
      <c r="H103" s="52" t="n">
        <f aca="false">VLOOKUP($B103,03_COMPOSIÇÕES!$A:$G,7,0)</f>
        <v>53.907364012452</v>
      </c>
      <c r="I103" s="47" t="n">
        <f aca="false">$F103*$G103</f>
        <v>187919.704554868</v>
      </c>
      <c r="J103" s="47" t="n">
        <f aca="false">$F103*$H103</f>
        <v>74901.0478534613</v>
      </c>
      <c r="K103" s="47" t="n">
        <f aca="false">$I103*(1+BDI_MAT)</f>
        <v>226668.747634081</v>
      </c>
      <c r="L103" s="47" t="n">
        <f aca="false">$J103*(1+BDI_MDO)</f>
        <v>95491.3459083778</v>
      </c>
      <c r="M103" s="47" t="n">
        <f aca="false">SUM(K103:L103)</f>
        <v>322160.093542459</v>
      </c>
      <c r="N103" s="20" t="str">
        <f aca="false">A103</f>
        <v>3.2.2.2.10</v>
      </c>
    </row>
    <row r="104" customFormat="false" ht="15" hidden="false" customHeight="false" outlineLevel="2" collapsed="false">
      <c r="A104" s="42" t="s">
        <v>185</v>
      </c>
      <c r="B104" s="43"/>
      <c r="C104" s="50" t="s">
        <v>186</v>
      </c>
      <c r="D104" s="45"/>
      <c r="E104" s="45"/>
      <c r="F104" s="46"/>
      <c r="G104" s="51"/>
      <c r="H104" s="52"/>
      <c r="I104" s="47" t="n">
        <f aca="false">SUM(I105,I111)</f>
        <v>667787.047903602</v>
      </c>
      <c r="J104" s="47" t="n">
        <f aca="false">SUM(J105,J111)</f>
        <v>105423.549888929</v>
      </c>
      <c r="K104" s="47" t="n">
        <f aca="false">SUM(K105,K111)</f>
        <v>805484.737181325</v>
      </c>
      <c r="L104" s="47" t="n">
        <f aca="false">SUM(L105,L111)</f>
        <v>134404.483753396</v>
      </c>
      <c r="M104" s="47" t="n">
        <f aca="false">SUM(M105,M111)</f>
        <v>939889.220934721</v>
      </c>
      <c r="N104" s="20" t="str">
        <f aca="false">A104</f>
        <v>3.2.2.3</v>
      </c>
    </row>
    <row r="105" customFormat="false" ht="15" hidden="false" customHeight="false" outlineLevel="3" collapsed="false">
      <c r="A105" s="42" t="s">
        <v>187</v>
      </c>
      <c r="B105" s="43"/>
      <c r="C105" s="50" t="s">
        <v>188</v>
      </c>
      <c r="D105" s="45"/>
      <c r="E105" s="45"/>
      <c r="F105" s="46"/>
      <c r="G105" s="51"/>
      <c r="H105" s="52"/>
      <c r="I105" s="47" t="n">
        <f aca="false">SUBTOTAL(9,I106:I110)</f>
        <v>513532.655041903</v>
      </c>
      <c r="J105" s="47" t="n">
        <f aca="false">SUBTOTAL(9,J106:J110)</f>
        <v>85082.2369952807</v>
      </c>
      <c r="K105" s="47" t="n">
        <f aca="false">SUBTOTAL(9,K106:K110)</f>
        <v>619423.088511544</v>
      </c>
      <c r="L105" s="47" t="n">
        <f aca="false">SUBTOTAL(9,L106:L110)</f>
        <v>108471.343945283</v>
      </c>
      <c r="M105" s="47" t="n">
        <f aca="false">SUBTOTAL(9,M106:M110)</f>
        <v>727894.432456827</v>
      </c>
      <c r="N105" s="20" t="str">
        <f aca="false">A105</f>
        <v>3.2.2.3.1</v>
      </c>
    </row>
    <row r="106" customFormat="false" ht="45" hidden="false" customHeight="false" outlineLevel="4" collapsed="false">
      <c r="A106" s="42" t="s">
        <v>189</v>
      </c>
      <c r="B106" s="43" t="s">
        <v>190</v>
      </c>
      <c r="C106" s="50" t="str">
        <f aca="false">VLOOKUP($B106,03_COMPOSIÇÕES!$A:$G,2,0)</f>
        <v>LAJE PRÉ-MOLDADA UNIDIRECIONAL, BIAPOIADA, PARA PISO, ENCHIMENTO EM EPS, VIGOTA CONVENCIONAL, ALTURA TOTAL DA LAJE (ENCHIMENTO+CAPA) = (8+5).</v>
      </c>
      <c r="D106" s="45" t="s">
        <v>59</v>
      </c>
      <c r="E106" s="51" t="str">
        <f aca="false">VLOOKUP($B106,03_COMPOSIÇÕES!$A:$G,4,0)</f>
        <v>M2</v>
      </c>
      <c r="F106" s="46" t="n">
        <v>187.21</v>
      </c>
      <c r="G106" s="51" t="n">
        <f aca="false">VLOOKUP($B106,03_COMPOSIÇÕES!$A:$G,6,0)</f>
        <v>156.180203598088</v>
      </c>
      <c r="H106" s="52" t="n">
        <f aca="false">VLOOKUP($B106,03_COMPOSIÇÕES!$A:$G,7,0)</f>
        <v>19.8727710761031</v>
      </c>
      <c r="I106" s="47" t="n">
        <f aca="false">$F106*$G106</f>
        <v>29238.4959155981</v>
      </c>
      <c r="J106" s="47" t="n">
        <f aca="false">$F106*$H106</f>
        <v>3720.38147315727</v>
      </c>
      <c r="K106" s="47" t="n">
        <f aca="false">$I106*(1+BDI_MAT)</f>
        <v>35267.4737733944</v>
      </c>
      <c r="L106" s="47" t="n">
        <f aca="false">$J106*(1+BDI_MDO)</f>
        <v>4743.1143401282</v>
      </c>
      <c r="M106" s="47" t="n">
        <f aca="false">SUM(K106:L106)</f>
        <v>40010.5881135226</v>
      </c>
      <c r="N106" s="20" t="str">
        <f aca="false">A106</f>
        <v>3.2.2.3.1.1</v>
      </c>
    </row>
    <row r="107" customFormat="false" ht="45" hidden="false" customHeight="false" outlineLevel="4" collapsed="false">
      <c r="A107" s="42" t="s">
        <v>191</v>
      </c>
      <c r="B107" s="43" t="s">
        <v>192</v>
      </c>
      <c r="C107" s="50" t="str">
        <f aca="false">VLOOKUP($B107,03_COMPOSIÇÕES!$A:$G,2,0)</f>
        <v>LAJE PRÉ-MOLDADA UNIDIRECIONAL, BIAPOIADA, PARA PISO, ENCHIMENTO EM EPS, VIGOTA CONVENCIONAL, ALTURA TOTAL DA LAJE (ENCHIMENTO+CAPA) = (12+5).</v>
      </c>
      <c r="D107" s="45" t="s">
        <v>59</v>
      </c>
      <c r="E107" s="51" t="str">
        <f aca="false">VLOOKUP($B107,03_COMPOSIÇÕES!$A:$G,4,0)</f>
        <v>M2</v>
      </c>
      <c r="F107" s="46" t="n">
        <v>935.53</v>
      </c>
      <c r="G107" s="51" t="n">
        <f aca="false">VLOOKUP($B107,03_COMPOSIÇÕES!$A:$G,6,0)</f>
        <v>221.99686537184</v>
      </c>
      <c r="H107" s="52" t="n">
        <f aca="false">VLOOKUP($B107,03_COMPOSIÇÕES!$A:$G,7,0)</f>
        <v>28.7823254384863</v>
      </c>
      <c r="I107" s="47" t="n">
        <f aca="false">$F107*$G107</f>
        <v>207684.727461317</v>
      </c>
      <c r="J107" s="47" t="n">
        <f aca="false">$F107*$H107</f>
        <v>26926.7289174671</v>
      </c>
      <c r="K107" s="47" t="n">
        <f aca="false">$I107*(1+BDI_MAT)</f>
        <v>250509.318263841</v>
      </c>
      <c r="L107" s="47" t="n">
        <f aca="false">$J107*(1+BDI_MDO)</f>
        <v>34328.8866968788</v>
      </c>
      <c r="M107" s="47" t="n">
        <f aca="false">SUM(K107:L107)</f>
        <v>284838.20496072</v>
      </c>
      <c r="N107" s="20" t="str">
        <f aca="false">A107</f>
        <v>3.2.2.3.1.2</v>
      </c>
    </row>
    <row r="108" customFormat="false" ht="45" hidden="false" customHeight="false" outlineLevel="4" collapsed="false">
      <c r="A108" s="42" t="s">
        <v>193</v>
      </c>
      <c r="B108" s="43" t="s">
        <v>194</v>
      </c>
      <c r="C108" s="50" t="str">
        <f aca="false">VLOOKUP($B108,03_COMPOSIÇÕES!$A:$G,2,0)</f>
        <v>LAJE PRÉ-MOLDADA UNIDIRECIONAL, BIAPOIADA, PARA PISO, ENCHIMENTO EM EPS, VIGOTA CONVENCIONAL, ALTURA TOTAL DA LAJE (ENCHIMENTO+CAPA) = (16+5).</v>
      </c>
      <c r="D108" s="45" t="s">
        <v>59</v>
      </c>
      <c r="E108" s="51" t="str">
        <f aca="false">VLOOKUP($B108,03_COMPOSIÇÕES!$A:$G,4,0)</f>
        <v>M2</v>
      </c>
      <c r="F108" s="46" t="n">
        <v>219.31</v>
      </c>
      <c r="G108" s="51" t="n">
        <f aca="false">VLOOKUP($B108,03_COMPOSIÇÕES!$A:$G,6,0)</f>
        <v>252.430469937757</v>
      </c>
      <c r="H108" s="52" t="n">
        <f aca="false">VLOOKUP($B108,03_COMPOSIÇÕES!$A:$G,7,0)</f>
        <v>35.1500460423615</v>
      </c>
      <c r="I108" s="47" t="n">
        <f aca="false">$F108*$G108</f>
        <v>55360.5263620496</v>
      </c>
      <c r="J108" s="47" t="n">
        <f aca="false">$F108*$H108</f>
        <v>7708.7565975503</v>
      </c>
      <c r="K108" s="47" t="n">
        <f aca="false">$I108*(1+BDI_MAT)</f>
        <v>66775.8668979042</v>
      </c>
      <c r="L108" s="47" t="n">
        <f aca="false">$J108*(1+BDI_MDO)</f>
        <v>9827.89378621688</v>
      </c>
      <c r="M108" s="47" t="n">
        <f aca="false">SUM(K108:L108)</f>
        <v>76603.7606841211</v>
      </c>
      <c r="N108" s="20" t="str">
        <f aca="false">A108</f>
        <v>3.2.2.3.1.3</v>
      </c>
    </row>
    <row r="109" customFormat="false" ht="45" hidden="false" customHeight="false" outlineLevel="4" collapsed="false">
      <c r="A109" s="42" t="s">
        <v>195</v>
      </c>
      <c r="B109" s="43" t="s">
        <v>196</v>
      </c>
      <c r="C109" s="50" t="str">
        <f aca="false">VLOOKUP($B109,03_COMPOSIÇÕES!$A:$G,2,0)</f>
        <v>LAJE PRÉ-MOLDADA UNIDIRECIONAL, BIAPOIADA, PARA PISO, ENCHIMENTO EM EPS, VIGOTA CONVENCIONAL, ALTURA TOTAL DA LAJE (ENCHIMENTO+CAPA) = (20+5).</v>
      </c>
      <c r="D109" s="45" t="s">
        <v>59</v>
      </c>
      <c r="E109" s="51" t="str">
        <f aca="false">VLOOKUP($B109,03_COMPOSIÇÕES!$A:$G,4,0)</f>
        <v>M2</v>
      </c>
      <c r="F109" s="46" t="n">
        <v>723.34</v>
      </c>
      <c r="G109" s="51" t="n">
        <f aca="false">VLOOKUP($B109,03_COMPOSIÇÕES!$A:$G,6,0)</f>
        <v>283.186611798267</v>
      </c>
      <c r="H109" s="52" t="n">
        <f aca="false">VLOOKUP($B109,03_COMPOSIÇÕES!$A:$G,7,0)</f>
        <v>41.5177669696729</v>
      </c>
      <c r="I109" s="47" t="n">
        <f aca="false">$F109*$G109</f>
        <v>204840.203778158</v>
      </c>
      <c r="J109" s="47" t="n">
        <f aca="false">$F109*$H109</f>
        <v>30031.4615598432</v>
      </c>
      <c r="K109" s="47" t="n">
        <f aca="false">$I109*(1+BDI_MAT)</f>
        <v>247078.253797214</v>
      </c>
      <c r="L109" s="47" t="n">
        <f aca="false">$J109*(1+BDI_MDO)</f>
        <v>38287.1103426441</v>
      </c>
      <c r="M109" s="47" t="n">
        <f aca="false">SUM(K109:L109)</f>
        <v>285365.364139858</v>
      </c>
      <c r="N109" s="20" t="str">
        <f aca="false">A109</f>
        <v>3.2.2.3.1.4</v>
      </c>
    </row>
    <row r="110" customFormat="false" ht="15" hidden="false" customHeight="false" outlineLevel="4" collapsed="false">
      <c r="A110" s="42" t="s">
        <v>197</v>
      </c>
      <c r="B110" s="43" t="s">
        <v>198</v>
      </c>
      <c r="C110" s="50" t="str">
        <f aca="false">VLOOKUP($B110,03_COMPOSIÇÕES!$A:$G,2,0)</f>
        <v>CURA ÚMIDA POR ASPERSÃO DE ÁGUA DURANTE 7 DIAS.</v>
      </c>
      <c r="D110" s="45" t="s">
        <v>59</v>
      </c>
      <c r="E110" s="51" t="str">
        <f aca="false">VLOOKUP($B110,03_COMPOSIÇÕES!$A:$G,4,0)</f>
        <v>M2</v>
      </c>
      <c r="F110" s="46" t="n">
        <v>2065.39</v>
      </c>
      <c r="G110" s="51" t="n">
        <f aca="false">VLOOKUP($B110,03_COMPOSIÇÕES!$A:$G,6,0)</f>
        <v>7.944602</v>
      </c>
      <c r="H110" s="52" t="n">
        <f aca="false">VLOOKUP($B110,03_COMPOSIÇÕES!$A:$G,7,0)</f>
        <v>8.0831748228</v>
      </c>
      <c r="I110" s="47" t="n">
        <f aca="false">$F110*$G110</f>
        <v>16408.70152478</v>
      </c>
      <c r="J110" s="47" t="n">
        <f aca="false">$F110*$H110</f>
        <v>16694.9084472629</v>
      </c>
      <c r="K110" s="47" t="n">
        <f aca="false">$I110*(1+BDI_MAT)</f>
        <v>19792.1757791896</v>
      </c>
      <c r="L110" s="47" t="n">
        <f aca="false">$J110*(1+BDI_MDO)</f>
        <v>21284.3387794155</v>
      </c>
      <c r="M110" s="47" t="n">
        <f aca="false">SUM(K110:L110)</f>
        <v>41076.5145586051</v>
      </c>
      <c r="N110" s="20" t="str">
        <f aca="false">A110</f>
        <v>3.2.2.3.1.5</v>
      </c>
    </row>
    <row r="111" customFormat="false" ht="15" hidden="false" customHeight="false" outlineLevel="3" collapsed="false">
      <c r="A111" s="42" t="s">
        <v>199</v>
      </c>
      <c r="B111" s="43"/>
      <c r="C111" s="50" t="s">
        <v>200</v>
      </c>
      <c r="D111" s="45"/>
      <c r="E111" s="45"/>
      <c r="F111" s="46"/>
      <c r="G111" s="51"/>
      <c r="H111" s="52"/>
      <c r="I111" s="47" t="n">
        <f aca="false">SUBTOTAL(9,I112:I120)</f>
        <v>154254.392861699</v>
      </c>
      <c r="J111" s="47" t="n">
        <f aca="false">SUBTOTAL(9,J112:J120)</f>
        <v>20341.3128936487</v>
      </c>
      <c r="K111" s="47" t="n">
        <f aca="false">SUBTOTAL(9,K112:K120)</f>
        <v>186061.648669781</v>
      </c>
      <c r="L111" s="47" t="n">
        <f aca="false">SUBTOTAL(9,L112:L120)</f>
        <v>25933.1398081127</v>
      </c>
      <c r="M111" s="47" t="n">
        <f aca="false">SUBTOTAL(9,M112:M120)</f>
        <v>211994.788477894</v>
      </c>
      <c r="N111" s="20" t="str">
        <f aca="false">A111</f>
        <v>3.2.2.3.2</v>
      </c>
    </row>
    <row r="112" customFormat="false" ht="45" hidden="false" customHeight="false" outlineLevel="3" collapsed="false">
      <c r="A112" s="42" t="s">
        <v>201</v>
      </c>
      <c r="B112" s="43" t="n">
        <v>92510</v>
      </c>
      <c r="C112" s="50" t="str">
        <f aca="false">VLOOKUP($B112,03_COMPOSIÇÕES!$A:$G,2,0)</f>
        <v>MONTAGEM E DESMONTAGEM DE FÔRMA DE LAJE MACIÇA, PÉ-DIREITO SIMPLES, EM CHAPA DE MADEIRA COMPENSADA RESINADA, 2 UTILIZAÇÕES. AF_09/2020</v>
      </c>
      <c r="D112" s="45" t="s">
        <v>59</v>
      </c>
      <c r="E112" s="51" t="str">
        <f aca="false">VLOOKUP($B112,03_COMPOSIÇÕES!$A:$G,4,0)</f>
        <v>M2</v>
      </c>
      <c r="F112" s="46" t="n">
        <v>408.79</v>
      </c>
      <c r="G112" s="51" t="n">
        <f aca="false">VLOOKUP($B112,03_COMPOSIÇÕES!$A:$G,6,0)</f>
        <v>56.4596663794103</v>
      </c>
      <c r="H112" s="52" t="n">
        <f aca="false">VLOOKUP($B112,03_COMPOSIÇÕES!$A:$G,7,0)</f>
        <v>16.0736668984338</v>
      </c>
      <c r="I112" s="47" t="n">
        <f aca="false">$F112*$G112</f>
        <v>23080.1470192391</v>
      </c>
      <c r="J112" s="47" t="n">
        <f aca="false">$F112*$H112</f>
        <v>6570.75429141075</v>
      </c>
      <c r="K112" s="47" t="n">
        <f aca="false">$I112*(1+BDI_MAT)</f>
        <v>27839.2733346063</v>
      </c>
      <c r="L112" s="47" t="n">
        <f aca="false">$J112*(1+BDI_MDO)</f>
        <v>8377.05464611957</v>
      </c>
      <c r="M112" s="47" t="n">
        <f aca="false">SUM(K112:L112)</f>
        <v>36216.3279807258</v>
      </c>
      <c r="N112" s="20" t="str">
        <f aca="false">A112</f>
        <v>3.2.2.3.2.1</v>
      </c>
    </row>
    <row r="113" customFormat="false" ht="30" hidden="false" customHeight="false" outlineLevel="3" collapsed="false">
      <c r="A113" s="42" t="s">
        <v>202</v>
      </c>
      <c r="B113" s="43" t="n">
        <v>92768</v>
      </c>
      <c r="C113" s="50" t="str">
        <f aca="false">VLOOKUP($B113,03_COMPOSIÇÕES!$A:$G,2,0)</f>
        <v>ARMAÇÃO DE LAJE DE ESTRUTURA CONVENCIONAL DE CONCRETO ARMADO UTILIZANDO AÇO CA-60 DE 5,0 MM - MONTAGEM. AF_06/2022</v>
      </c>
      <c r="D113" s="45" t="s">
        <v>59</v>
      </c>
      <c r="E113" s="51" t="str">
        <f aca="false">VLOOKUP($B113,03_COMPOSIÇÕES!$A:$G,4,0)</f>
        <v>KG</v>
      </c>
      <c r="F113" s="46" t="n">
        <v>470.99</v>
      </c>
      <c r="G113" s="51" t="n">
        <f aca="false">VLOOKUP($B113,03_COMPOSIÇÕES!$A:$G,6,0)</f>
        <v>9.705848</v>
      </c>
      <c r="H113" s="52" t="n">
        <f aca="false">VLOOKUP($B113,03_COMPOSIÇÕES!$A:$G,7,0)</f>
        <v>3.2080788792</v>
      </c>
      <c r="I113" s="47" t="n">
        <f aca="false">$F113*$G113</f>
        <v>4571.35734952</v>
      </c>
      <c r="J113" s="47" t="n">
        <f aca="false">$F113*$H113</f>
        <v>1510.97307131441</v>
      </c>
      <c r="K113" s="47" t="n">
        <f aca="false">$I113*(1+BDI_MAT)</f>
        <v>5513.97123499102</v>
      </c>
      <c r="L113" s="47" t="n">
        <f aca="false">$J113*(1+BDI_MDO)</f>
        <v>1926.33956861874</v>
      </c>
      <c r="M113" s="47" t="n">
        <f aca="false">SUM(K113:L113)</f>
        <v>7440.31080360976</v>
      </c>
      <c r="N113" s="20" t="str">
        <f aca="false">A113</f>
        <v>3.2.2.3.2.2</v>
      </c>
    </row>
    <row r="114" customFormat="false" ht="30" hidden="false" customHeight="false" outlineLevel="3" collapsed="false">
      <c r="A114" s="42" t="s">
        <v>203</v>
      </c>
      <c r="B114" s="43" t="n">
        <v>92769</v>
      </c>
      <c r="C114" s="50" t="str">
        <f aca="false">VLOOKUP($B114,03_COMPOSIÇÕES!$A:$G,2,0)</f>
        <v>ARMAÇÃO DE LAJE DE ESTRUTURA CONVENCIONAL DE CONCRETO ARMADO UTILIZANDO AÇO CA-50 DE 6,3 MM - MONTAGEM. AF_06/2022</v>
      </c>
      <c r="D114" s="45" t="s">
        <v>59</v>
      </c>
      <c r="E114" s="51" t="str">
        <f aca="false">VLOOKUP($B114,03_COMPOSIÇÕES!$A:$G,4,0)</f>
        <v>KG</v>
      </c>
      <c r="F114" s="46" t="n">
        <v>805.64</v>
      </c>
      <c r="G114" s="51" t="n">
        <f aca="false">VLOOKUP($B114,03_COMPOSIÇÕES!$A:$G,6,0)</f>
        <v>10.453316</v>
      </c>
      <c r="H114" s="52" t="n">
        <f aca="false">VLOOKUP($B114,03_COMPOSIÇÕES!$A:$G,7,0)</f>
        <v>2.05497183312</v>
      </c>
      <c r="I114" s="47" t="n">
        <f aca="false">$F114*$G114</f>
        <v>8421.60950224</v>
      </c>
      <c r="J114" s="47" t="n">
        <f aca="false">$F114*$H114</f>
        <v>1655.5675076348</v>
      </c>
      <c r="K114" s="47" t="n">
        <f aca="false">$I114*(1+BDI_MAT)</f>
        <v>10158.1453816019</v>
      </c>
      <c r="L114" s="47" t="n">
        <f aca="false">$J114*(1+BDI_MDO)</f>
        <v>2110.6830154836</v>
      </c>
      <c r="M114" s="47" t="n">
        <f aca="false">SUM(K114:L114)</f>
        <v>12268.8283970855</v>
      </c>
      <c r="N114" s="20" t="str">
        <f aca="false">A114</f>
        <v>3.2.2.3.2.3</v>
      </c>
    </row>
    <row r="115" customFormat="false" ht="30" hidden="false" customHeight="false" outlineLevel="3" collapsed="false">
      <c r="A115" s="42" t="s">
        <v>204</v>
      </c>
      <c r="B115" s="43" t="n">
        <v>92770</v>
      </c>
      <c r="C115" s="50" t="str">
        <f aca="false">VLOOKUP($B115,03_COMPOSIÇÕES!$A:$G,2,0)</f>
        <v>ARMAÇÃO DE LAJE DE ESTRUTURA CONVENCIONAL DE CONCRETO ARMADO UTILIZANDO AÇO CA-50 DE 8,0 MM - MONTAGEM. AF_06/2022</v>
      </c>
      <c r="D115" s="45" t="s">
        <v>59</v>
      </c>
      <c r="E115" s="51" t="str">
        <f aca="false">VLOOKUP($B115,03_COMPOSIÇÕES!$A:$G,4,0)</f>
        <v>KG</v>
      </c>
      <c r="F115" s="46" t="n">
        <v>1922.1</v>
      </c>
      <c r="G115" s="51" t="n">
        <f aca="false">VLOOKUP($B115,03_COMPOSIÇÕES!$A:$G,6,0)</f>
        <v>10.388967</v>
      </c>
      <c r="H115" s="52" t="n">
        <f aca="false">VLOOKUP($B115,03_COMPOSIÇÕES!$A:$G,7,0)</f>
        <v>1.27901342988</v>
      </c>
      <c r="I115" s="47" t="n">
        <f aca="false">$F115*$G115</f>
        <v>19968.6334707</v>
      </c>
      <c r="J115" s="47" t="n">
        <f aca="false">$F115*$H115</f>
        <v>2458.39171357235</v>
      </c>
      <c r="K115" s="47" t="n">
        <f aca="false">$I115*(1+BDI_MAT)</f>
        <v>24086.1656923583</v>
      </c>
      <c r="L115" s="47" t="n">
        <f aca="false">$J115*(1+BDI_MDO)</f>
        <v>3134.20359563339</v>
      </c>
      <c r="M115" s="47" t="n">
        <f aca="false">SUM(K115:L115)</f>
        <v>27220.3692879917</v>
      </c>
      <c r="N115" s="20" t="str">
        <f aca="false">A115</f>
        <v>3.2.2.3.2.4</v>
      </c>
    </row>
    <row r="116" customFormat="false" ht="45" hidden="false" customHeight="false" outlineLevel="3" collapsed="false">
      <c r="A116" s="42" t="s">
        <v>205</v>
      </c>
      <c r="B116" s="43" t="n">
        <v>92771</v>
      </c>
      <c r="C116" s="50" t="str">
        <f aca="false">VLOOKUP($B116,03_COMPOSIÇÕES!$A:$G,2,0)</f>
        <v>ARMAÇÃO DE LAJE DE ESTRUTURA CONVENCIONAL DE CONCRETO ARMADO UTILIZANDO AÇO CA-50 DE 10,0 MM - MONTAGEM. AF_06/2022</v>
      </c>
      <c r="D116" s="45" t="s">
        <v>59</v>
      </c>
      <c r="E116" s="51" t="str">
        <f aca="false">VLOOKUP($B116,03_COMPOSIÇÕES!$A:$G,4,0)</f>
        <v>KG</v>
      </c>
      <c r="F116" s="46" t="n">
        <v>3380.45</v>
      </c>
      <c r="G116" s="51" t="n">
        <f aca="false">VLOOKUP($B116,03_COMPOSIÇÕES!$A:$G,6,0)</f>
        <v>9.602769</v>
      </c>
      <c r="H116" s="52" t="n">
        <f aca="false">VLOOKUP($B116,03_COMPOSIÇÕES!$A:$G,7,0)</f>
        <v>0.7848437706</v>
      </c>
      <c r="I116" s="47" t="n">
        <f aca="false">$F116*$G116</f>
        <v>32461.68046605</v>
      </c>
      <c r="J116" s="47" t="n">
        <f aca="false">$F116*$H116</f>
        <v>2653.12512432477</v>
      </c>
      <c r="K116" s="47" t="n">
        <f aca="false">$I116*(1+BDI_MAT)</f>
        <v>39155.2789781495</v>
      </c>
      <c r="L116" s="47" t="n">
        <f aca="false">$J116*(1+BDI_MDO)</f>
        <v>3382.46922100165</v>
      </c>
      <c r="M116" s="47" t="n">
        <f aca="false">SUM(K116:L116)</f>
        <v>42537.7481991512</v>
      </c>
      <c r="N116" s="20" t="str">
        <f aca="false">A116</f>
        <v>3.2.2.3.2.5</v>
      </c>
    </row>
    <row r="117" customFormat="false" ht="45" hidden="false" customHeight="false" outlineLevel="3" collapsed="false">
      <c r="A117" s="42" t="s">
        <v>206</v>
      </c>
      <c r="B117" s="43" t="n">
        <v>92772</v>
      </c>
      <c r="C117" s="50" t="str">
        <f aca="false">VLOOKUP($B117,03_COMPOSIÇÕES!$A:$G,2,0)</f>
        <v>ARMAÇÃO DE LAJE DE ESTRUTURA CONVENCIONAL DE CONCRETO ARMADO UTILIZANDO AÇO CA-50 DE 12,5 MM - MONTAGEM. AF_06/2022</v>
      </c>
      <c r="D117" s="45" t="s">
        <v>59</v>
      </c>
      <c r="E117" s="51" t="str">
        <f aca="false">VLOOKUP($B117,03_COMPOSIÇÕES!$A:$G,4,0)</f>
        <v>KG</v>
      </c>
      <c r="F117" s="46" t="n">
        <v>1169.18</v>
      </c>
      <c r="G117" s="51" t="n">
        <f aca="false">VLOOKUP($B117,03_COMPOSIÇÕES!$A:$G,6,0)</f>
        <v>8.278786</v>
      </c>
      <c r="H117" s="52" t="n">
        <f aca="false">VLOOKUP($B117,03_COMPOSIÇÕES!$A:$G,7,0)</f>
        <v>0.43223913432</v>
      </c>
      <c r="I117" s="47" t="n">
        <f aca="false">$F117*$G117</f>
        <v>9679.39101548</v>
      </c>
      <c r="J117" s="47" t="n">
        <f aca="false">$F117*$H117</f>
        <v>505.365351064258</v>
      </c>
      <c r="K117" s="47" t="n">
        <f aca="false">$I117*(1+BDI_MAT)</f>
        <v>11675.281442872</v>
      </c>
      <c r="L117" s="47" t="n">
        <f aca="false">$J117*(1+BDI_MDO)</f>
        <v>644.290286071822</v>
      </c>
      <c r="M117" s="47" t="n">
        <f aca="false">SUM(K117:L117)</f>
        <v>12319.5717289438</v>
      </c>
      <c r="N117" s="20" t="str">
        <f aca="false">A117</f>
        <v>3.2.2.3.2.6</v>
      </c>
    </row>
    <row r="118" customFormat="false" ht="45" hidden="false" customHeight="false" outlineLevel="3" collapsed="false">
      <c r="A118" s="42" t="s">
        <v>207</v>
      </c>
      <c r="B118" s="43" t="s">
        <v>183</v>
      </c>
      <c r="C118" s="50" t="str">
        <f aca="false">VLOOKUP($B118,03_COMPOSIÇÕES!$A:$G,2,0)</f>
        <v>CONCRETAGEM DE VIGAS E LAJES, FCK=35 MPA, PARA LAJES MACIÇAS OU NERVURADAS COM USO DE BOMBA - LANÇAMENTO, ADENSAMENTO E ACABAMENTO.</v>
      </c>
      <c r="D118" s="45" t="s">
        <v>59</v>
      </c>
      <c r="E118" s="51" t="str">
        <f aca="false">VLOOKUP($B118,03_COMPOSIÇÕES!$A:$G,4,0)</f>
        <v>M3</v>
      </c>
      <c r="F118" s="46" t="n">
        <v>60.42</v>
      </c>
      <c r="G118" s="51" t="n">
        <f aca="false">VLOOKUP($B118,03_COMPOSIÇÕES!$A:$G,6,0)</f>
        <v>771.464059306024</v>
      </c>
      <c r="H118" s="52" t="n">
        <f aca="false">VLOOKUP($B118,03_COMPOSIÇÕES!$A:$G,7,0)</f>
        <v>29.028581382</v>
      </c>
      <c r="I118" s="47" t="n">
        <f aca="false">$F118*$G118</f>
        <v>46611.85846327</v>
      </c>
      <c r="J118" s="47" t="n">
        <f aca="false">$F118*$H118</f>
        <v>1753.90688710044</v>
      </c>
      <c r="K118" s="47" t="n">
        <f aca="false">$I118*(1+BDI_MAT)</f>
        <v>56223.2236783962</v>
      </c>
      <c r="L118" s="47" t="n">
        <f aca="false">$J118*(1+BDI_MDO)</f>
        <v>2236.05589036435</v>
      </c>
      <c r="M118" s="47" t="n">
        <f aca="false">SUM(K118:L118)</f>
        <v>58459.2795687606</v>
      </c>
      <c r="N118" s="20" t="str">
        <f aca="false">A118</f>
        <v>3.2.2.3.2.7</v>
      </c>
    </row>
    <row r="119" customFormat="false" ht="15" hidden="false" customHeight="false" outlineLevel="3" collapsed="false">
      <c r="A119" s="42" t="s">
        <v>208</v>
      </c>
      <c r="B119" s="43" t="s">
        <v>198</v>
      </c>
      <c r="C119" s="50" t="str">
        <f aca="false">VLOOKUP($B119,03_COMPOSIÇÕES!$A:$G,2,0)</f>
        <v>CURA ÚMIDA POR ASPERSÃO DE ÁGUA DURANTE 7 DIAS.</v>
      </c>
      <c r="D119" s="45" t="s">
        <v>59</v>
      </c>
      <c r="E119" s="51" t="str">
        <f aca="false">VLOOKUP($B119,03_COMPOSIÇÕES!$A:$G,4,0)</f>
        <v>M2</v>
      </c>
      <c r="F119" s="46" t="n">
        <v>388.6</v>
      </c>
      <c r="G119" s="51" t="n">
        <f aca="false">VLOOKUP($B119,03_COMPOSIÇÕES!$A:$G,6,0)</f>
        <v>7.944602</v>
      </c>
      <c r="H119" s="52" t="n">
        <f aca="false">VLOOKUP($B119,03_COMPOSIÇÕES!$A:$G,7,0)</f>
        <v>8.0831748228</v>
      </c>
      <c r="I119" s="47" t="n">
        <f aca="false">$F119*$G119</f>
        <v>3087.2723372</v>
      </c>
      <c r="J119" s="47" t="n">
        <f aca="false">$F119*$H119</f>
        <v>3141.12173614008</v>
      </c>
      <c r="K119" s="47" t="n">
        <f aca="false">$I119*(1+BDI_MAT)</f>
        <v>3723.86789313064</v>
      </c>
      <c r="L119" s="47" t="n">
        <f aca="false">$J119*(1+BDI_MDO)</f>
        <v>4004.61610140499</v>
      </c>
      <c r="M119" s="47" t="n">
        <f aca="false">SUM(K119:L119)</f>
        <v>7728.48399453563</v>
      </c>
      <c r="N119" s="20" t="str">
        <f aca="false">A119</f>
        <v>3.2.2.3.2.8</v>
      </c>
    </row>
    <row r="120" customFormat="false" ht="30" hidden="false" customHeight="false" outlineLevel="3" collapsed="false">
      <c r="A120" s="42" t="s">
        <v>209</v>
      </c>
      <c r="B120" s="43" t="n">
        <v>97088</v>
      </c>
      <c r="C120" s="50" t="str">
        <f aca="false">VLOOKUP($B120,03_COMPOSIÇÕES!$A:$G,2,0)</f>
        <v>ARMAÇÃO PARA EXECUÇÃO DE RADIER, PISO DE CONCRETO OU LAJE SOBRE SOLO, COM USO DE TELA Q-92. AF_09/2021</v>
      </c>
      <c r="D120" s="45" t="s">
        <v>59</v>
      </c>
      <c r="E120" s="51" t="str">
        <f aca="false">VLOOKUP($B120,03_COMPOSIÇÕES!$A:$G,4,0)</f>
        <v>KG</v>
      </c>
      <c r="F120" s="46" t="n">
        <v>457.8</v>
      </c>
      <c r="G120" s="51" t="n">
        <f aca="false">VLOOKUP($B120,03_COMPOSIÇÕES!$A:$G,6,0)</f>
        <v>13.91971</v>
      </c>
      <c r="H120" s="52" t="n">
        <f aca="false">VLOOKUP($B120,03_COMPOSIÇÕES!$A:$G,7,0)</f>
        <v>0.201195306</v>
      </c>
      <c r="I120" s="47" t="n">
        <f aca="false">$F120*$G120</f>
        <v>6372.443238</v>
      </c>
      <c r="J120" s="47" t="n">
        <f aca="false">$F120*$H120</f>
        <v>92.1072110868</v>
      </c>
      <c r="K120" s="47" t="n">
        <f aca="false">$I120*(1+BDI_MAT)</f>
        <v>7686.4410336756</v>
      </c>
      <c r="L120" s="47" t="n">
        <f aca="false">$J120*(1+BDI_MDO)</f>
        <v>117.427483414561</v>
      </c>
      <c r="M120" s="47" t="n">
        <f aca="false">SUM(K120:L120)</f>
        <v>7803.86851709016</v>
      </c>
      <c r="N120" s="20" t="str">
        <f aca="false">A120</f>
        <v>3.2.2.3.2.9</v>
      </c>
    </row>
    <row r="121" customFormat="false" ht="15" hidden="false" customHeight="false" outlineLevel="2" collapsed="false">
      <c r="A121" s="42" t="s">
        <v>210</v>
      </c>
      <c r="B121" s="43"/>
      <c r="C121" s="50" t="s">
        <v>211</v>
      </c>
      <c r="D121" s="45"/>
      <c r="E121" s="45"/>
      <c r="F121" s="46"/>
      <c r="G121" s="51"/>
      <c r="H121" s="52"/>
      <c r="I121" s="47" t="n">
        <f aca="false">SUBTOTAL(9,I122:I129)</f>
        <v>31934.0313381139</v>
      </c>
      <c r="J121" s="47" t="n">
        <f aca="false">SUBTOTAL(9,J122:J129)</f>
        <v>6392.1463504163</v>
      </c>
      <c r="K121" s="47" t="n">
        <f aca="false">SUBTOTAL(9,K122:K129)</f>
        <v>38518.828600033</v>
      </c>
      <c r="L121" s="47" t="n">
        <f aca="false">SUBTOTAL(9,L122:L129)</f>
        <v>8149.34738214574</v>
      </c>
      <c r="M121" s="47" t="n">
        <f aca="false">SUBTOTAL(9,M122:M129)</f>
        <v>46668.1759821787</v>
      </c>
      <c r="N121" s="20" t="str">
        <f aca="false">A121</f>
        <v>3.2.2.4</v>
      </c>
    </row>
    <row r="122" customFormat="false" ht="45" hidden="false" customHeight="false" outlineLevel="3" collapsed="false">
      <c r="A122" s="42" t="s">
        <v>212</v>
      </c>
      <c r="B122" s="43" t="n">
        <v>101995</v>
      </c>
      <c r="C122" s="50" t="str">
        <f aca="false">VLOOKUP($B122,03_COMPOSIÇÕES!$A:$G,2,0)</f>
        <v>FABRICAÇÃO DE FÔRMA PARA ESCADAS, COM 1 LANCE E LAJE PLANA, EM CHAPA DE MADEIRA COMPENSADA RESINADA, E= 17 MM. AF_11/2020</v>
      </c>
      <c r="D122" s="45" t="s">
        <v>59</v>
      </c>
      <c r="E122" s="51" t="str">
        <f aca="false">VLOOKUP($B122,03_COMPOSIÇÕES!$A:$G,4,0)</f>
        <v>M2</v>
      </c>
      <c r="F122" s="46" t="n">
        <v>151.38</v>
      </c>
      <c r="G122" s="51" t="n">
        <f aca="false">VLOOKUP($B122,03_COMPOSIÇÕES!$A:$G,6,0)</f>
        <v>89.262076022816</v>
      </c>
      <c r="H122" s="52" t="n">
        <f aca="false">VLOOKUP($B122,03_COMPOSIÇÕES!$A:$G,7,0)</f>
        <v>22.7340019548</v>
      </c>
      <c r="I122" s="47" t="n">
        <f aca="false">$F122*$G122</f>
        <v>13512.4930683339</v>
      </c>
      <c r="J122" s="47" t="n">
        <f aca="false">$F122*$H122</f>
        <v>3441.47321591762</v>
      </c>
      <c r="K122" s="47" t="n">
        <f aca="false">$I122*(1+BDI_MAT)</f>
        <v>16298.7691390243</v>
      </c>
      <c r="L122" s="47" t="n">
        <f aca="false">$J122*(1+BDI_MDO)</f>
        <v>4387.53420297338</v>
      </c>
      <c r="M122" s="47" t="n">
        <f aca="false">SUM(K122:L122)</f>
        <v>20686.3033419977</v>
      </c>
      <c r="N122" s="20" t="str">
        <f aca="false">A122</f>
        <v>3.2.2.4.1</v>
      </c>
    </row>
    <row r="123" customFormat="false" ht="45" hidden="false" customHeight="false" outlineLevel="3" collapsed="false">
      <c r="A123" s="42" t="s">
        <v>213</v>
      </c>
      <c r="B123" s="43" t="n">
        <v>95943</v>
      </c>
      <c r="C123" s="50" t="str">
        <f aca="false">VLOOKUP($B123,03_COMPOSIÇÕES!$A:$G,2,0)</f>
        <v>ARMAÇÃO DE ESCADA, DE UMA ESTRUTURA CONVENCIONAL DE CONCRETO ARMADO UTILIZANDO AÇO CA-60 DE 5,0 MM - MONTAGEM. AF_11/2020</v>
      </c>
      <c r="D123" s="45" t="s">
        <v>59</v>
      </c>
      <c r="E123" s="51" t="str">
        <f aca="false">VLOOKUP($B123,03_COMPOSIÇÕES!$A:$G,4,0)</f>
        <v>KG</v>
      </c>
      <c r="F123" s="46" t="n">
        <v>34.27</v>
      </c>
      <c r="G123" s="51" t="n">
        <f aca="false">VLOOKUP($B123,03_COMPOSIÇÕES!$A:$G,6,0)</f>
        <v>12.005468</v>
      </c>
      <c r="H123" s="52" t="n">
        <f aca="false">VLOOKUP($B123,03_COMPOSIÇÕES!$A:$G,7,0)</f>
        <v>9.57963986208</v>
      </c>
      <c r="I123" s="47" t="n">
        <f aca="false">$F123*$G123</f>
        <v>411.42738836</v>
      </c>
      <c r="J123" s="47" t="n">
        <f aca="false">$F123*$H123</f>
        <v>328.294258073482</v>
      </c>
      <c r="K123" s="47" t="n">
        <f aca="false">$I123*(1+BDI_MAT)</f>
        <v>496.263715839832</v>
      </c>
      <c r="L123" s="47" t="n">
        <f aca="false">$J123*(1+BDI_MDO)</f>
        <v>418.542349617882</v>
      </c>
      <c r="M123" s="47" t="n">
        <f aca="false">SUM(K123:L123)</f>
        <v>914.806065457714</v>
      </c>
      <c r="N123" s="20" t="str">
        <f aca="false">A123</f>
        <v>3.2.2.4.2</v>
      </c>
    </row>
    <row r="124" customFormat="false" ht="45" hidden="false" customHeight="false" outlineLevel="3" collapsed="false">
      <c r="A124" s="42" t="s">
        <v>214</v>
      </c>
      <c r="B124" s="43" t="n">
        <v>95944</v>
      </c>
      <c r="C124" s="50" t="str">
        <f aca="false">VLOOKUP($B124,03_COMPOSIÇÕES!$A:$G,2,0)</f>
        <v>ARMAÇÃO DE ESCADA, DE UMA ESTRUTURA CONVENCIONAL DE CONCRETO ARMADO UTILIZANDO AÇO CA-50 DE 6,3 MM - MONTAGEM. AF_11/2020</v>
      </c>
      <c r="D124" s="45" t="s">
        <v>59</v>
      </c>
      <c r="E124" s="51" t="str">
        <f aca="false">VLOOKUP($B124,03_COMPOSIÇÕES!$A:$G,4,0)</f>
        <v>KG</v>
      </c>
      <c r="F124" s="46" t="n">
        <v>32.64</v>
      </c>
      <c r="G124" s="51" t="n">
        <f aca="false">VLOOKUP($B124,03_COMPOSIÇÕES!$A:$G,6,0)</f>
        <v>12.107013</v>
      </c>
      <c r="H124" s="52" t="n">
        <f aca="false">VLOOKUP($B124,03_COMPOSIÇÕES!$A:$G,7,0)</f>
        <v>7.40751348924</v>
      </c>
      <c r="I124" s="47" t="n">
        <f aca="false">$F124*$G124</f>
        <v>395.17290432</v>
      </c>
      <c r="J124" s="47" t="n">
        <f aca="false">$F124*$H124</f>
        <v>241.781240288794</v>
      </c>
      <c r="K124" s="47" t="n">
        <f aca="false">$I124*(1+BDI_MAT)</f>
        <v>476.657557190784</v>
      </c>
      <c r="L124" s="47" t="n">
        <f aca="false">$J124*(1+BDI_MDO)</f>
        <v>308.246903244183</v>
      </c>
      <c r="M124" s="47" t="n">
        <f aca="false">SUM(K124:L124)</f>
        <v>784.904460434967</v>
      </c>
      <c r="N124" s="20" t="str">
        <f aca="false">A124</f>
        <v>3.2.2.4.3</v>
      </c>
    </row>
    <row r="125" customFormat="false" ht="45" hidden="false" customHeight="false" outlineLevel="3" collapsed="false">
      <c r="A125" s="42" t="s">
        <v>215</v>
      </c>
      <c r="B125" s="43" t="n">
        <v>95945</v>
      </c>
      <c r="C125" s="50" t="str">
        <f aca="false">VLOOKUP($B125,03_COMPOSIÇÕES!$A:$G,2,0)</f>
        <v>ARMAÇÃO DE ESCADA, DE UMA ESTRUTURA CONVENCIONAL DE CONCRETO ARMADO UTILIZANDO AÇO CA-50 DE 8,0 MM - MONTAGEM. AF_11/2020</v>
      </c>
      <c r="D125" s="45" t="s">
        <v>59</v>
      </c>
      <c r="E125" s="51" t="str">
        <f aca="false">VLOOKUP($B125,03_COMPOSIÇÕES!$A:$G,4,0)</f>
        <v>KG</v>
      </c>
      <c r="F125" s="46" t="n">
        <v>80.63</v>
      </c>
      <c r="G125" s="51" t="n">
        <f aca="false">VLOOKUP($B125,03_COMPOSIÇÕES!$A:$G,6,0)</f>
        <v>11.362974</v>
      </c>
      <c r="H125" s="52" t="n">
        <f aca="false">VLOOKUP($B125,03_COMPOSIÇÕES!$A:$G,7,0)</f>
        <v>4.3211168028</v>
      </c>
      <c r="I125" s="47" t="n">
        <f aca="false">$F125*$G125</f>
        <v>916.19659362</v>
      </c>
      <c r="J125" s="47" t="n">
        <f aca="false">$F125*$H125</f>
        <v>348.411647809764</v>
      </c>
      <c r="K125" s="47" t="n">
        <f aca="false">$I125*(1+BDI_MAT)</f>
        <v>1105.11633122444</v>
      </c>
      <c r="L125" s="47" t="n">
        <f aca="false">$J125*(1+BDI_MDO)</f>
        <v>444.190009792668</v>
      </c>
      <c r="M125" s="47" t="n">
        <f aca="false">SUM(K125:L125)</f>
        <v>1549.30634101711</v>
      </c>
      <c r="N125" s="20" t="str">
        <f aca="false">A125</f>
        <v>3.2.2.4.4</v>
      </c>
    </row>
    <row r="126" customFormat="false" ht="45" hidden="false" customHeight="false" outlineLevel="3" collapsed="false">
      <c r="A126" s="42" t="s">
        <v>216</v>
      </c>
      <c r="B126" s="43" t="n">
        <v>95946</v>
      </c>
      <c r="C126" s="50" t="str">
        <f aca="false">VLOOKUP($B126,03_COMPOSIÇÕES!$A:$G,2,0)</f>
        <v>ARMAÇÃO DE ESCADA, DE UMA ESTRUTURA CONVENCIONAL DE CONCRETO ARMADO UTILIZANDO AÇO CA-50 DE 10,0 MM - MONTAGEM. AF_11/2020</v>
      </c>
      <c r="D126" s="45" t="s">
        <v>59</v>
      </c>
      <c r="E126" s="51" t="str">
        <f aca="false">VLOOKUP($B126,03_COMPOSIÇÕES!$A:$G,4,0)</f>
        <v>KG</v>
      </c>
      <c r="F126" s="46" t="n">
        <v>61.18</v>
      </c>
      <c r="G126" s="51" t="n">
        <f aca="false">VLOOKUP($B126,03_COMPOSIÇÕES!$A:$G,6,0)</f>
        <v>10.121836</v>
      </c>
      <c r="H126" s="52" t="n">
        <f aca="false">VLOOKUP($B126,03_COMPOSIÇÕES!$A:$G,7,0)</f>
        <v>2.3225767632</v>
      </c>
      <c r="I126" s="47" t="n">
        <f aca="false">$F126*$G126</f>
        <v>619.25392648</v>
      </c>
      <c r="J126" s="47" t="n">
        <f aca="false">$F126*$H126</f>
        <v>142.095246372576</v>
      </c>
      <c r="K126" s="47" t="n">
        <f aca="false">$I126*(1+BDI_MAT)</f>
        <v>746.944086120176</v>
      </c>
      <c r="L126" s="47" t="n">
        <f aca="false">$J126*(1+BDI_MDO)</f>
        <v>181.157229600397</v>
      </c>
      <c r="M126" s="47" t="n">
        <f aca="false">SUM(K126:L126)</f>
        <v>928.101315720573</v>
      </c>
      <c r="N126" s="20" t="str">
        <f aca="false">A126</f>
        <v>3.2.2.4.5</v>
      </c>
    </row>
    <row r="127" customFormat="false" ht="45" hidden="false" customHeight="false" outlineLevel="3" collapsed="false">
      <c r="A127" s="42" t="s">
        <v>217</v>
      </c>
      <c r="B127" s="43" t="n">
        <v>95947</v>
      </c>
      <c r="C127" s="50" t="str">
        <f aca="false">VLOOKUP($B127,03_COMPOSIÇÕES!$A:$G,2,0)</f>
        <v>ARMAÇÃO DE ESCADA, DE UMA ESTRUTURA CONVENCIONAL DE CONCRETO ARMADO UTILIZANDO AÇO CA-50 DE 12,5 MM - MONTAGEM. AF_11/2020</v>
      </c>
      <c r="D127" s="45" t="s">
        <v>59</v>
      </c>
      <c r="E127" s="51" t="str">
        <f aca="false">VLOOKUP($B127,03_COMPOSIÇÕES!$A:$G,4,0)</f>
        <v>KG</v>
      </c>
      <c r="F127" s="46" t="n">
        <v>183.09</v>
      </c>
      <c r="G127" s="51" t="n">
        <f aca="false">VLOOKUP($B127,03_COMPOSIÇÕES!$A:$G,6,0)</f>
        <v>8.510118</v>
      </c>
      <c r="H127" s="52" t="n">
        <f aca="false">VLOOKUP($B127,03_COMPOSIÇÕES!$A:$G,7,0)</f>
        <v>1.06183781496</v>
      </c>
      <c r="I127" s="47" t="n">
        <f aca="false">$F127*$G127</f>
        <v>1558.11750462</v>
      </c>
      <c r="J127" s="47" t="n">
        <f aca="false">$F127*$H127</f>
        <v>194.411885541026</v>
      </c>
      <c r="K127" s="47" t="n">
        <f aca="false">$I127*(1+BDI_MAT)</f>
        <v>1879.40133407264</v>
      </c>
      <c r="L127" s="47" t="n">
        <f aca="false">$J127*(1+BDI_MDO)</f>
        <v>247.855712876255</v>
      </c>
      <c r="M127" s="47" t="n">
        <f aca="false">SUM(K127:L127)</f>
        <v>2127.2570469489</v>
      </c>
      <c r="N127" s="20" t="str">
        <f aca="false">A127</f>
        <v>3.2.2.4.6</v>
      </c>
    </row>
    <row r="128" customFormat="false" ht="30" hidden="false" customHeight="false" outlineLevel="3" collapsed="false">
      <c r="A128" s="42" t="s">
        <v>218</v>
      </c>
      <c r="B128" s="43" t="s">
        <v>219</v>
      </c>
      <c r="C128" s="50" t="str">
        <f aca="false">VLOOKUP($B128,03_COMPOSIÇÕES!$A:$G,2,0)</f>
        <v>CONCRETAGEM DE ESCADAS, FCK=35 MPA, COM USO DE BOMBA - LANÇAMENTO, ADENSAMENTO E ACABAMENTO.</v>
      </c>
      <c r="D128" s="45" t="s">
        <v>59</v>
      </c>
      <c r="E128" s="51" t="str">
        <f aca="false">VLOOKUP($B128,03_COMPOSIÇÕES!$A:$G,4,0)</f>
        <v>M3</v>
      </c>
      <c r="F128" s="46" t="n">
        <v>18.04</v>
      </c>
      <c r="G128" s="51" t="n">
        <f aca="false">VLOOKUP($B128,03_COMPOSIÇÕES!$A:$G,6,0)</f>
        <v>789.157266</v>
      </c>
      <c r="H128" s="52" t="n">
        <f aca="false">VLOOKUP($B128,03_COMPOSIÇÕES!$A:$G,7,0)</f>
        <v>77.92324698</v>
      </c>
      <c r="I128" s="47" t="n">
        <f aca="false">$F128*$G128</f>
        <v>14236.39707864</v>
      </c>
      <c r="J128" s="47" t="n">
        <f aca="false">$F128*$H128</f>
        <v>1405.7353755192</v>
      </c>
      <c r="K128" s="47" t="n">
        <f aca="false">$I128*(1+BDI_MAT)</f>
        <v>17171.9421562556</v>
      </c>
      <c r="L128" s="47" t="n">
        <f aca="false">$J128*(1+BDI_MDO)</f>
        <v>1792.17203024943</v>
      </c>
      <c r="M128" s="47" t="n">
        <f aca="false">SUM(K128:L128)</f>
        <v>18964.114186505</v>
      </c>
      <c r="N128" s="20" t="str">
        <f aca="false">A128</f>
        <v>3.2.2.4.7</v>
      </c>
    </row>
    <row r="129" customFormat="false" ht="15" hidden="false" customHeight="false" outlineLevel="3" collapsed="false">
      <c r="A129" s="42" t="s">
        <v>220</v>
      </c>
      <c r="B129" s="43" t="s">
        <v>198</v>
      </c>
      <c r="C129" s="50" t="str">
        <f aca="false">VLOOKUP($B129,03_COMPOSIÇÕES!$A:$G,2,0)</f>
        <v>CURA ÚMIDA POR ASPERSÃO DE ÁGUA DURANTE 7 DIAS.</v>
      </c>
      <c r="D129" s="45" t="s">
        <v>59</v>
      </c>
      <c r="E129" s="51" t="str">
        <f aca="false">VLOOKUP($B129,03_COMPOSIÇÕES!$A:$G,4,0)</f>
        <v>M2</v>
      </c>
      <c r="F129" s="46" t="n">
        <v>35.87</v>
      </c>
      <c r="G129" s="51" t="n">
        <f aca="false">VLOOKUP($B129,03_COMPOSIÇÕES!$A:$G,6,0)</f>
        <v>7.944602</v>
      </c>
      <c r="H129" s="52" t="n">
        <f aca="false">VLOOKUP($B129,03_COMPOSIÇÕES!$A:$G,7,0)</f>
        <v>8.0831748228</v>
      </c>
      <c r="I129" s="47" t="n">
        <f aca="false">$F129*$G129</f>
        <v>284.97287374</v>
      </c>
      <c r="J129" s="47" t="n">
        <f aca="false">$F129*$H129</f>
        <v>289.943480893836</v>
      </c>
      <c r="K129" s="47" t="n">
        <f aca="false">$I129*(1+BDI_MAT)</f>
        <v>343.734280305188</v>
      </c>
      <c r="L129" s="47" t="n">
        <f aca="false">$J129*(1+BDI_MDO)</f>
        <v>369.648943791552</v>
      </c>
      <c r="M129" s="47" t="n">
        <f aca="false">SUM(K129:L129)</f>
        <v>713.383224096739</v>
      </c>
      <c r="N129" s="20" t="str">
        <f aca="false">A129</f>
        <v>3.2.2.4.8</v>
      </c>
    </row>
    <row r="130" customFormat="false" ht="15" hidden="false" customHeight="false" outlineLevel="2" collapsed="false">
      <c r="A130" s="42" t="s">
        <v>221</v>
      </c>
      <c r="B130" s="43"/>
      <c r="C130" s="50" t="s">
        <v>222</v>
      </c>
      <c r="D130" s="45"/>
      <c r="E130" s="45"/>
      <c r="F130" s="46"/>
      <c r="G130" s="51"/>
      <c r="H130" s="52"/>
      <c r="I130" s="47" t="n">
        <f aca="false">SUM(I131,I142,I151)</f>
        <v>87057.6308324228</v>
      </c>
      <c r="J130" s="47" t="n">
        <f aca="false">SUM(J131,J142,J151)</f>
        <v>13437.7496657433</v>
      </c>
      <c r="K130" s="47" t="n">
        <f aca="false">SUM(K131,K142,K151)</f>
        <v>105008.914310068</v>
      </c>
      <c r="L130" s="47" t="n">
        <f aca="false">SUM(L131,L142,L151)</f>
        <v>17131.7870488562</v>
      </c>
      <c r="M130" s="47" t="n">
        <f aca="false">SUM(M131,M142,M151)</f>
        <v>122140.701358925</v>
      </c>
      <c r="N130" s="20" t="str">
        <f aca="false">A130</f>
        <v>3.2.2.5</v>
      </c>
    </row>
    <row r="131" customFormat="false" ht="15" hidden="false" customHeight="false" outlineLevel="2" collapsed="false">
      <c r="A131" s="42" t="s">
        <v>223</v>
      </c>
      <c r="B131" s="43"/>
      <c r="C131" s="50" t="s">
        <v>224</v>
      </c>
      <c r="D131" s="45"/>
      <c r="E131" s="45"/>
      <c r="F131" s="46"/>
      <c r="G131" s="51"/>
      <c r="H131" s="52"/>
      <c r="I131" s="47" t="n">
        <f aca="false">SUBTOTAL(9,I132:I141)</f>
        <v>19141.5034958761</v>
      </c>
      <c r="J131" s="47" t="n">
        <f aca="false">SUBTOTAL(9,J132:J141)</f>
        <v>4173.83485203668</v>
      </c>
      <c r="K131" s="47" t="n">
        <f aca="false">SUBTOTAL(9,K132:K141)</f>
        <v>23088.4815167257</v>
      </c>
      <c r="L131" s="47" t="n">
        <f aca="false">SUBTOTAL(9,L132:L141)</f>
        <v>5321.22205286156</v>
      </c>
      <c r="M131" s="47" t="n">
        <f aca="false">SUBTOTAL(9,M132:M141)</f>
        <v>28409.7035695873</v>
      </c>
      <c r="N131" s="20" t="str">
        <f aca="false">A131</f>
        <v>3.2.2.5.1</v>
      </c>
    </row>
    <row r="132" customFormat="false" ht="45" hidden="false" customHeight="false" outlineLevel="3" collapsed="false">
      <c r="A132" s="42" t="s">
        <v>225</v>
      </c>
      <c r="B132" s="43" t="n">
        <v>97084</v>
      </c>
      <c r="C132" s="50" t="str">
        <f aca="false">VLOOKUP($B132,03_COMPOSIÇÕES!$A:$G,2,0)</f>
        <v>COMPACTAÇÃO MECÂNICA DE SOLO PARA EXECUÇÃO DE RADIER, PISO DE CONCRETO OU LAJE SOBRE SOLO, COM COMPACTADOR DE SOLOS TIPO PLACA VIBRATÓRIA. AF_09/2021</v>
      </c>
      <c r="D132" s="45" t="s">
        <v>59</v>
      </c>
      <c r="E132" s="51" t="str">
        <f aca="false">VLOOKUP($B132,03_COMPOSIÇÕES!$A:$G,4,0)</f>
        <v>M2</v>
      </c>
      <c r="F132" s="46" t="n">
        <v>107.97</v>
      </c>
      <c r="G132" s="51" t="n">
        <f aca="false">VLOOKUP($B132,03_COMPOSIÇÕES!$A:$G,6,0)</f>
        <v>0.250265994085</v>
      </c>
      <c r="H132" s="52" t="n">
        <f aca="false">VLOOKUP($B132,03_COMPOSIÇÕES!$A:$G,7,0)</f>
        <v>0.437104236</v>
      </c>
      <c r="I132" s="47" t="n">
        <f aca="false">$F132*$G132</f>
        <v>27.0212193813574</v>
      </c>
      <c r="J132" s="47" t="n">
        <f aca="false">$F132*$H132</f>
        <v>47.19414436092</v>
      </c>
      <c r="K132" s="47" t="n">
        <f aca="false">$I132*(1+BDI_MAT)</f>
        <v>32.5929948177934</v>
      </c>
      <c r="L132" s="47" t="n">
        <f aca="false">$J132*(1+BDI_MDO)</f>
        <v>60.1678146457369</v>
      </c>
      <c r="M132" s="47" t="n">
        <f aca="false">SUM(K132:L132)</f>
        <v>92.7608094635303</v>
      </c>
      <c r="N132" s="20" t="str">
        <f aca="false">A132</f>
        <v>3.2.2.5.1.1</v>
      </c>
    </row>
    <row r="133" customFormat="false" ht="30" hidden="false" customHeight="false" outlineLevel="3" collapsed="false">
      <c r="A133" s="42" t="s">
        <v>226</v>
      </c>
      <c r="B133" s="43" t="n">
        <v>96622</v>
      </c>
      <c r="C133" s="50" t="str">
        <f aca="false">VLOOKUP($B133,03_COMPOSIÇÕES!$A:$G,2,0)</f>
        <v>LASTRO COM MATERIAL GRANULAR, APLICADO EM PISOS OU LAJES SOBRE SOLO, ESPESSURA DE *5 CM*. AF_01/2024</v>
      </c>
      <c r="D133" s="45" t="s">
        <v>59</v>
      </c>
      <c r="E133" s="51" t="str">
        <f aca="false">VLOOKUP($B133,03_COMPOSIÇÕES!$A:$G,4,0)</f>
        <v>M3</v>
      </c>
      <c r="F133" s="46" t="n">
        <v>5.4</v>
      </c>
      <c r="G133" s="51" t="n">
        <f aca="false">VLOOKUP($B133,03_COMPOSIÇÕES!$A:$G,6,0)</f>
        <v>179.616553215464</v>
      </c>
      <c r="H133" s="52" t="n">
        <f aca="false">VLOOKUP($B133,03_COMPOSIÇÕES!$A:$G,7,0)</f>
        <v>50.216478588</v>
      </c>
      <c r="I133" s="47" t="n">
        <f aca="false">$F133*$G133</f>
        <v>969.929387363506</v>
      </c>
      <c r="J133" s="47" t="n">
        <f aca="false">$F133*$H133</f>
        <v>271.1689843752</v>
      </c>
      <c r="K133" s="47" t="n">
        <f aca="false">$I133*(1+BDI_MAT)</f>
        <v>1169.92882703786</v>
      </c>
      <c r="L133" s="47" t="n">
        <f aca="false">$J133*(1+BDI_MDO)</f>
        <v>345.713338179943</v>
      </c>
      <c r="M133" s="47" t="n">
        <f aca="false">SUM(K133:L133)</f>
        <v>1515.6421652178</v>
      </c>
      <c r="N133" s="20" t="str">
        <f aca="false">A133</f>
        <v>3.2.2.5.1.2</v>
      </c>
    </row>
    <row r="134" customFormat="false" ht="30" hidden="false" customHeight="false" outlineLevel="3" collapsed="false">
      <c r="A134" s="42" t="s">
        <v>227</v>
      </c>
      <c r="B134" s="43" t="n">
        <v>97087</v>
      </c>
      <c r="C134" s="50" t="str">
        <f aca="false">VLOOKUP($B134,03_COMPOSIÇÕES!$A:$G,2,0)</f>
        <v>CAMADA SEPARADORA PARA EXECUÇÃO DE RADIER, PISO DE CONCRETO OU LAJE SOBRE SOLO, EM LONA PLÁSTICA. AF_09/2021</v>
      </c>
      <c r="D134" s="45" t="s">
        <v>59</v>
      </c>
      <c r="E134" s="51" t="str">
        <f aca="false">VLOOKUP($B134,03_COMPOSIÇÕES!$A:$G,4,0)</f>
        <v>M2</v>
      </c>
      <c r="F134" s="46" t="n">
        <v>107.97</v>
      </c>
      <c r="G134" s="51" t="n">
        <f aca="false">VLOOKUP($B134,03_COMPOSIÇÕES!$A:$G,6,0)</f>
        <v>1.84732</v>
      </c>
      <c r="H134" s="52" t="n">
        <f aca="false">VLOOKUP($B134,03_COMPOSIÇÕES!$A:$G,7,0)</f>
        <v>0.355203996</v>
      </c>
      <c r="I134" s="47" t="n">
        <f aca="false">$F134*$G134</f>
        <v>199.4551404</v>
      </c>
      <c r="J134" s="47" t="n">
        <f aca="false">$F134*$H134</f>
        <v>38.35137544812</v>
      </c>
      <c r="K134" s="47" t="n">
        <f aca="false">$I134*(1+BDI_MAT)</f>
        <v>240.58279035048</v>
      </c>
      <c r="L134" s="47" t="n">
        <f aca="false">$J134*(1+BDI_MDO)</f>
        <v>48.8941685588082</v>
      </c>
      <c r="M134" s="47" t="n">
        <f aca="false">SUM(K134:L134)</f>
        <v>289.476958909288</v>
      </c>
      <c r="N134" s="20" t="str">
        <f aca="false">A134</f>
        <v>3.2.2.5.1.3</v>
      </c>
    </row>
    <row r="135" customFormat="false" ht="30" hidden="false" customHeight="false" outlineLevel="3" collapsed="false">
      <c r="A135" s="42" t="s">
        <v>228</v>
      </c>
      <c r="B135" s="43" t="n">
        <v>97090</v>
      </c>
      <c r="C135" s="50" t="str">
        <f aca="false">VLOOKUP($B135,03_COMPOSIÇÕES!$A:$G,2,0)</f>
        <v>ARMAÇÃO PARA EXECUÇÃO DE RADIER, PISO DE CONCRETO OU LAJE SOBRE SOLO, COM USO DE TELA Q-138. AF_09/2021</v>
      </c>
      <c r="D135" s="45" t="s">
        <v>59</v>
      </c>
      <c r="E135" s="51" t="str">
        <f aca="false">VLOOKUP($B135,03_COMPOSIÇÕES!$A:$G,4,0)</f>
        <v>KG</v>
      </c>
      <c r="F135" s="46" t="n">
        <v>646.8</v>
      </c>
      <c r="G135" s="51" t="n">
        <f aca="false">VLOOKUP($B135,03_COMPOSIÇÕES!$A:$G,6,0)</f>
        <v>12.60606</v>
      </c>
      <c r="H135" s="52" t="n">
        <f aca="false">VLOOKUP($B135,03_COMPOSIÇÕES!$A:$G,7,0)</f>
        <v>0.7815967272</v>
      </c>
      <c r="I135" s="47" t="n">
        <f aca="false">$F135*$G135</f>
        <v>8153.599608</v>
      </c>
      <c r="J135" s="47" t="n">
        <f aca="false">$F135*$H135</f>
        <v>505.53676315296</v>
      </c>
      <c r="K135" s="47" t="n">
        <f aca="false">$I135*(1+BDI_MAT)</f>
        <v>9834.8718471696</v>
      </c>
      <c r="L135" s="47" t="n">
        <f aca="false">$J135*(1+BDI_MDO)</f>
        <v>644.508819343709</v>
      </c>
      <c r="M135" s="47" t="n">
        <f aca="false">SUM(K135:L135)</f>
        <v>10479.3806665133</v>
      </c>
      <c r="N135" s="20" t="str">
        <f aca="false">A135</f>
        <v>3.2.2.5.1.4</v>
      </c>
    </row>
    <row r="136" customFormat="false" ht="45" hidden="false" customHeight="false" outlineLevel="3" collapsed="false">
      <c r="A136" s="42" t="s">
        <v>229</v>
      </c>
      <c r="B136" s="43" t="n">
        <v>97116</v>
      </c>
      <c r="C136" s="50" t="str">
        <f aca="false">VLOOKUP($B136,03_COMPOSIÇÕES!$A:$G,2,0)</f>
        <v>BARRAS DE TRANSFERÊNCIA, AÇO CA-25 DE 16,0 MM, PARA EXECUÇÃO DE PAVIMENTO DE CONCRETO - FORNECIMENTO E INSTALAÇÃO. AF_04/2022</v>
      </c>
      <c r="D136" s="45" t="s">
        <v>59</v>
      </c>
      <c r="E136" s="51" t="str">
        <f aca="false">VLOOKUP($B136,03_COMPOSIÇÕES!$A:$G,4,0)</f>
        <v>KG</v>
      </c>
      <c r="F136" s="46" t="n">
        <v>17.05</v>
      </c>
      <c r="G136" s="51" t="n">
        <f aca="false">VLOOKUP($B136,03_COMPOSIÇÕES!$A:$G,6,0)</f>
        <v>14.5092843</v>
      </c>
      <c r="H136" s="52" t="n">
        <f aca="false">VLOOKUP($B136,03_COMPOSIÇÕES!$A:$G,7,0)</f>
        <v>7.124170562508</v>
      </c>
      <c r="I136" s="47" t="n">
        <f aca="false">$F136*$G136</f>
        <v>247.383297315</v>
      </c>
      <c r="J136" s="47" t="n">
        <f aca="false">$F136*$H136</f>
        <v>121.467108090761</v>
      </c>
      <c r="K136" s="47" t="n">
        <f aca="false">$I136*(1+BDI_MAT)</f>
        <v>298.393733221353</v>
      </c>
      <c r="L136" s="47" t="n">
        <f aca="false">$J136*(1+BDI_MDO)</f>
        <v>154.858416104912</v>
      </c>
      <c r="M136" s="47" t="n">
        <f aca="false">SUM(K136:L136)</f>
        <v>453.252149326265</v>
      </c>
      <c r="N136" s="20" t="str">
        <f aca="false">A136</f>
        <v>3.2.2.5.1.5</v>
      </c>
    </row>
    <row r="137" customFormat="false" ht="30" hidden="false" customHeight="false" outlineLevel="3" collapsed="false">
      <c r="A137" s="42" t="s">
        <v>230</v>
      </c>
      <c r="B137" s="43" t="s">
        <v>231</v>
      </c>
      <c r="C137" s="50" t="str">
        <f aca="false">VLOOKUP($B137,03_COMPOSIÇÕES!$A:$G,2,0)</f>
        <v>CONCRETAGEM DE RADIER, PISO DE CONCRETO OU LAJE SOBRE SOLO, FCK 25 MPA - LANÇAMENTO, ADENSAMENTO E ACABAMENTO.</v>
      </c>
      <c r="D137" s="45" t="s">
        <v>59</v>
      </c>
      <c r="E137" s="51" t="str">
        <f aca="false">VLOOKUP($B137,03_COMPOSIÇÕES!$A:$G,4,0)</f>
        <v>M3</v>
      </c>
      <c r="F137" s="46" t="n">
        <v>10.8</v>
      </c>
      <c r="G137" s="51" t="n">
        <f aca="false">VLOOKUP($B137,03_COMPOSIÇÕES!$A:$G,6,0)</f>
        <v>663.774408289448</v>
      </c>
      <c r="H137" s="52" t="n">
        <f aca="false">VLOOKUP($B137,03_COMPOSIÇÕES!$A:$G,7,0)</f>
        <v>13.921886844</v>
      </c>
      <c r="I137" s="47" t="n">
        <f aca="false">$F137*$G137</f>
        <v>7168.76360952604</v>
      </c>
      <c r="J137" s="47" t="n">
        <f aca="false">$F137*$H137</f>
        <v>150.3563779152</v>
      </c>
      <c r="K137" s="47" t="n">
        <f aca="false">$I137*(1+BDI_MAT)</f>
        <v>8646.96266581031</v>
      </c>
      <c r="L137" s="47" t="n">
        <f aca="false">$J137*(1+BDI_MDO)</f>
        <v>191.689346204089</v>
      </c>
      <c r="M137" s="47" t="n">
        <f aca="false">SUM(K137:L137)</f>
        <v>8838.65201201439</v>
      </c>
      <c r="N137" s="20" t="str">
        <f aca="false">A137</f>
        <v>3.2.2.5.1.6</v>
      </c>
    </row>
    <row r="138" customFormat="false" ht="15" hidden="false" customHeight="false" outlineLevel="3" collapsed="false">
      <c r="A138" s="42" t="s">
        <v>232</v>
      </c>
      <c r="B138" s="43" t="s">
        <v>198</v>
      </c>
      <c r="C138" s="50" t="str">
        <f aca="false">VLOOKUP($B138,03_COMPOSIÇÕES!$A:$G,2,0)</f>
        <v>CURA ÚMIDA POR ASPERSÃO DE ÁGUA DURANTE 7 DIAS.</v>
      </c>
      <c r="D138" s="45" t="s">
        <v>59</v>
      </c>
      <c r="E138" s="51" t="str">
        <f aca="false">VLOOKUP($B138,03_COMPOSIÇÕES!$A:$G,4,0)</f>
        <v>M2</v>
      </c>
      <c r="F138" s="46" t="n">
        <v>107.97</v>
      </c>
      <c r="G138" s="51" t="n">
        <f aca="false">VLOOKUP($B138,03_COMPOSIÇÕES!$A:$G,6,0)</f>
        <v>7.944602</v>
      </c>
      <c r="H138" s="52" t="n">
        <f aca="false">VLOOKUP($B138,03_COMPOSIÇÕES!$A:$G,7,0)</f>
        <v>8.0831748228</v>
      </c>
      <c r="I138" s="47" t="n">
        <f aca="false">$F138*$G138</f>
        <v>857.77867794</v>
      </c>
      <c r="J138" s="47" t="n">
        <f aca="false">$F138*$H138</f>
        <v>872.740385617716</v>
      </c>
      <c r="K138" s="47" t="n">
        <f aca="false">$I138*(1+BDI_MAT)</f>
        <v>1034.65264133123</v>
      </c>
      <c r="L138" s="47" t="n">
        <f aca="false">$J138*(1+BDI_MDO)</f>
        <v>1112.65671762403</v>
      </c>
      <c r="M138" s="47" t="n">
        <f aca="false">SUM(K138:L138)</f>
        <v>2147.30935895525</v>
      </c>
      <c r="N138" s="20" t="str">
        <f aca="false">A138</f>
        <v>3.2.2.5.1.7</v>
      </c>
    </row>
    <row r="139" customFormat="false" ht="30" hidden="false" customHeight="false" outlineLevel="3" collapsed="false">
      <c r="A139" s="42" t="s">
        <v>233</v>
      </c>
      <c r="B139" s="43" t="n">
        <v>97114</v>
      </c>
      <c r="C139" s="50" t="str">
        <f aca="false">VLOOKUP($B139,03_COMPOSIÇÕES!$A:$G,2,0)</f>
        <v>EXECUÇÃO DE JUNTAS DE CONTRAÇÃO PARA PAVIMENTOS DE CONCRETO. AF_04/2022</v>
      </c>
      <c r="D139" s="45" t="s">
        <v>59</v>
      </c>
      <c r="E139" s="51" t="str">
        <f aca="false">VLOOKUP($B139,03_COMPOSIÇÕES!$A:$G,4,0)</f>
        <v>M</v>
      </c>
      <c r="F139" s="46" t="n">
        <v>41.6</v>
      </c>
      <c r="G139" s="51" t="n">
        <f aca="false">VLOOKUP($B139,03_COMPOSIÇÕES!$A:$G,6,0)</f>
        <v>0.13739036418672</v>
      </c>
      <c r="H139" s="52" t="n">
        <f aca="false">VLOOKUP($B139,03_COMPOSIÇÕES!$A:$G,7,0)</f>
        <v>0.251582832</v>
      </c>
      <c r="I139" s="47" t="n">
        <f aca="false">$F139*$G139</f>
        <v>5.71543915016755</v>
      </c>
      <c r="J139" s="47" t="n">
        <f aca="false">$F139*$H139</f>
        <v>10.4658458112</v>
      </c>
      <c r="K139" s="47" t="n">
        <f aca="false">$I139*(1+BDI_MAT)</f>
        <v>6.8939627029321</v>
      </c>
      <c r="L139" s="47" t="n">
        <f aca="false">$J139*(1+BDI_MDO)</f>
        <v>13.3429068246989</v>
      </c>
      <c r="M139" s="47" t="n">
        <f aca="false">SUM(K139:L139)</f>
        <v>20.236869527631</v>
      </c>
      <c r="N139" s="20" t="str">
        <f aca="false">A139</f>
        <v>3.2.2.5.1.8</v>
      </c>
    </row>
    <row r="140" customFormat="false" ht="30" hidden="false" customHeight="false" outlineLevel="3" collapsed="false">
      <c r="A140" s="42" t="s">
        <v>234</v>
      </c>
      <c r="B140" s="43" t="n">
        <v>98577</v>
      </c>
      <c r="C140" s="50" t="str">
        <f aca="false">VLOOKUP($B140,03_COMPOSIÇÕES!$A:$G,2,0)</f>
        <v>TRATAMENTO DE JUNTA SERRADA, COM TARUGO DE POLIETILENO E SELANTE À BASE DE SILICONE. AF_09/2023</v>
      </c>
      <c r="D140" s="45" t="s">
        <v>59</v>
      </c>
      <c r="E140" s="51" t="str">
        <f aca="false">VLOOKUP($B140,03_COMPOSIÇÕES!$A:$G,4,0)</f>
        <v>M</v>
      </c>
      <c r="F140" s="46" t="n">
        <v>75.7</v>
      </c>
      <c r="G140" s="51" t="n">
        <f aca="false">VLOOKUP($B140,03_COMPOSIÇÕES!$A:$G,6,0)</f>
        <v>19.066524</v>
      </c>
      <c r="H140" s="52" t="n">
        <f aca="false">VLOOKUP($B140,03_COMPOSIÇÕES!$A:$G,7,0)</f>
        <v>27.185686878</v>
      </c>
      <c r="I140" s="47" t="n">
        <f aca="false">$F140*$G140</f>
        <v>1443.3358668</v>
      </c>
      <c r="J140" s="47" t="n">
        <f aca="false">$F140*$H140</f>
        <v>2057.9564966646</v>
      </c>
      <c r="K140" s="47" t="n">
        <f aca="false">$I140*(1+BDI_MAT)</f>
        <v>1740.95172253416</v>
      </c>
      <c r="L140" s="47" t="n">
        <f aca="false">$J140*(1+BDI_MDO)</f>
        <v>2623.6887375977</v>
      </c>
      <c r="M140" s="47" t="n">
        <f aca="false">SUM(K140:L140)</f>
        <v>4364.64046013186</v>
      </c>
      <c r="N140" s="20" t="str">
        <f aca="false">A140</f>
        <v>3.2.2.5.1.9</v>
      </c>
    </row>
    <row r="141" customFormat="false" ht="15" hidden="false" customHeight="false" outlineLevel="3" collapsed="false">
      <c r="A141" s="42" t="s">
        <v>235</v>
      </c>
      <c r="B141" s="43" t="s">
        <v>236</v>
      </c>
      <c r="C141" s="50" t="str">
        <f aca="false">VLOOKUP($B141,03_COMPOSIÇÕES!$A:$G,2,0)</f>
        <v>JUNTA DE ENCONTRO, PREENCHIMENTO COM EPS E PU.</v>
      </c>
      <c r="D141" s="45" t="s">
        <v>59</v>
      </c>
      <c r="E141" s="51" t="str">
        <f aca="false">VLOOKUP($B141,03_COMPOSIÇÕES!$A:$G,4,0)</f>
        <v>M</v>
      </c>
      <c r="F141" s="46" t="n">
        <v>19.1</v>
      </c>
      <c r="G141" s="51" t="n">
        <f aca="false">VLOOKUP($B141,03_COMPOSIÇÕES!$A:$G,6,0)</f>
        <v>3.5875</v>
      </c>
      <c r="H141" s="52" t="n">
        <f aca="false">VLOOKUP($B141,03_COMPOSIÇÕES!$A:$G,7,0)</f>
        <v>5.162166</v>
      </c>
      <c r="I141" s="47" t="n">
        <f aca="false">$F141*$G141</f>
        <v>68.52125</v>
      </c>
      <c r="J141" s="47" t="n">
        <f aca="false">$F141*$H141</f>
        <v>98.5973706</v>
      </c>
      <c r="K141" s="47" t="n">
        <f aca="false">$I141*(1+BDI_MAT)</f>
        <v>82.65033175</v>
      </c>
      <c r="L141" s="47" t="n">
        <f aca="false">$J141*(1+BDI_MDO)</f>
        <v>125.70178777794</v>
      </c>
      <c r="M141" s="47" t="n">
        <f aca="false">SUM(K141:L141)</f>
        <v>208.35211952794</v>
      </c>
      <c r="N141" s="20" t="str">
        <f aca="false">A141</f>
        <v>3.2.2.5.1.10</v>
      </c>
    </row>
    <row r="142" customFormat="false" ht="15" hidden="false" customHeight="false" outlineLevel="2" collapsed="false">
      <c r="A142" s="42" t="s">
        <v>237</v>
      </c>
      <c r="B142" s="43"/>
      <c r="C142" s="50" t="s">
        <v>238</v>
      </c>
      <c r="D142" s="45"/>
      <c r="E142" s="45"/>
      <c r="F142" s="46"/>
      <c r="G142" s="51"/>
      <c r="H142" s="52"/>
      <c r="I142" s="47" t="n">
        <f aca="false">SUBTOTAL(9,I143:I150)</f>
        <v>64694.7559715544</v>
      </c>
      <c r="J142" s="47" t="n">
        <f aca="false">SUBTOTAL(9,J143:J150)</f>
        <v>9056.38936445927</v>
      </c>
      <c r="K142" s="47" t="n">
        <f aca="false">SUBTOTAL(9,K143:K150)</f>
        <v>78034.814652889</v>
      </c>
      <c r="L142" s="47" t="n">
        <f aca="false">SUBTOTAL(9,L143:L150)</f>
        <v>11545.9908007491</v>
      </c>
      <c r="M142" s="47" t="n">
        <f aca="false">SUBTOTAL(9,M143:M150)</f>
        <v>89580.8054536381</v>
      </c>
      <c r="N142" s="20" t="str">
        <f aca="false">A142</f>
        <v>3.2.2.5.2</v>
      </c>
    </row>
    <row r="143" customFormat="false" ht="45" hidden="false" customHeight="false" outlineLevel="3" collapsed="false">
      <c r="A143" s="42" t="s">
        <v>239</v>
      </c>
      <c r="B143" s="43" t="n">
        <v>97084</v>
      </c>
      <c r="C143" s="50" t="str">
        <f aca="false">VLOOKUP($B143,03_COMPOSIÇÕES!$A:$G,2,0)</f>
        <v>COMPACTAÇÃO MECÂNICA DE SOLO PARA EXECUÇÃO DE RADIER, PISO DE CONCRETO OU LAJE SOBRE SOLO, COM COMPACTADOR DE SOLOS TIPO PLACA VIBRATÓRIA. AF_09/2021</v>
      </c>
      <c r="D143" s="45" t="s">
        <v>59</v>
      </c>
      <c r="E143" s="51" t="str">
        <f aca="false">VLOOKUP($B143,03_COMPOSIÇÕES!$A:$G,4,0)</f>
        <v>M2</v>
      </c>
      <c r="F143" s="46" t="n">
        <v>635.41</v>
      </c>
      <c r="G143" s="51" t="n">
        <f aca="false">VLOOKUP($B143,03_COMPOSIÇÕES!$A:$G,6,0)</f>
        <v>0.250265994085</v>
      </c>
      <c r="H143" s="52" t="n">
        <f aca="false">VLOOKUP($B143,03_COMPOSIÇÕES!$A:$G,7,0)</f>
        <v>0.437104236</v>
      </c>
      <c r="I143" s="47" t="n">
        <f aca="false">$F143*$G143</f>
        <v>159.02151530155</v>
      </c>
      <c r="J143" s="47" t="n">
        <f aca="false">$F143*$H143</f>
        <v>277.74040259676</v>
      </c>
      <c r="K143" s="47" t="n">
        <f aca="false">$I143*(1+BDI_MAT)</f>
        <v>191.811751756729</v>
      </c>
      <c r="L143" s="47" t="n">
        <f aca="false">$J143*(1+BDI_MDO)</f>
        <v>354.091239270609</v>
      </c>
      <c r="M143" s="47" t="n">
        <f aca="false">SUM(K143:L143)</f>
        <v>545.902991027339</v>
      </c>
      <c r="N143" s="20" t="str">
        <f aca="false">A143</f>
        <v>3.2.2.5.2.1</v>
      </c>
    </row>
    <row r="144" customFormat="false" ht="30" hidden="false" customHeight="false" outlineLevel="3" collapsed="false">
      <c r="A144" s="42" t="s">
        <v>240</v>
      </c>
      <c r="B144" s="43" t="n">
        <v>96622</v>
      </c>
      <c r="C144" s="50" t="str">
        <f aca="false">VLOOKUP($B144,03_COMPOSIÇÕES!$A:$G,2,0)</f>
        <v>LASTRO COM MATERIAL GRANULAR, APLICADO EM PISOS OU LAJES SOBRE SOLO, ESPESSURA DE *5 CM*. AF_01/2024</v>
      </c>
      <c r="D144" s="45" t="s">
        <v>59</v>
      </c>
      <c r="E144" s="51" t="str">
        <f aca="false">VLOOKUP($B144,03_COMPOSIÇÕES!$A:$G,4,0)</f>
        <v>M3</v>
      </c>
      <c r="F144" s="46" t="n">
        <v>31.77</v>
      </c>
      <c r="G144" s="51" t="n">
        <f aca="false">VLOOKUP($B144,03_COMPOSIÇÕES!$A:$G,6,0)</f>
        <v>179.616553215464</v>
      </c>
      <c r="H144" s="52" t="n">
        <f aca="false">VLOOKUP($B144,03_COMPOSIÇÕES!$A:$G,7,0)</f>
        <v>50.216478588</v>
      </c>
      <c r="I144" s="47" t="n">
        <f aca="false">$F144*$G144</f>
        <v>5706.41789565529</v>
      </c>
      <c r="J144" s="47" t="n">
        <f aca="false">$F144*$H144</f>
        <v>1595.37752474076</v>
      </c>
      <c r="K144" s="47" t="n">
        <f aca="false">$I144*(1+BDI_MAT)</f>
        <v>6883.08126573941</v>
      </c>
      <c r="L144" s="47" t="n">
        <f aca="false">$J144*(1+BDI_MDO)</f>
        <v>2033.946806292</v>
      </c>
      <c r="M144" s="47" t="n">
        <f aca="false">SUM(K144:L144)</f>
        <v>8917.02807203141</v>
      </c>
      <c r="N144" s="20" t="str">
        <f aca="false">A144</f>
        <v>3.2.2.5.2.2</v>
      </c>
    </row>
    <row r="145" customFormat="false" ht="30" hidden="false" customHeight="false" outlineLevel="3" collapsed="false">
      <c r="A145" s="42" t="s">
        <v>241</v>
      </c>
      <c r="B145" s="43" t="n">
        <v>97087</v>
      </c>
      <c r="C145" s="50" t="str">
        <f aca="false">VLOOKUP($B145,03_COMPOSIÇÕES!$A:$G,2,0)</f>
        <v>CAMADA SEPARADORA PARA EXECUÇÃO DE RADIER, PISO DE CONCRETO OU LAJE SOBRE SOLO, EM LONA PLÁSTICA. AF_09/2021</v>
      </c>
      <c r="D145" s="45" t="s">
        <v>59</v>
      </c>
      <c r="E145" s="51" t="str">
        <f aca="false">VLOOKUP($B145,03_COMPOSIÇÕES!$A:$G,4,0)</f>
        <v>M2</v>
      </c>
      <c r="F145" s="46" t="n">
        <v>635.41</v>
      </c>
      <c r="G145" s="51" t="n">
        <f aca="false">VLOOKUP($B145,03_COMPOSIÇÕES!$A:$G,6,0)</f>
        <v>1.84732</v>
      </c>
      <c r="H145" s="52" t="n">
        <f aca="false">VLOOKUP($B145,03_COMPOSIÇÕES!$A:$G,7,0)</f>
        <v>0.355203996</v>
      </c>
      <c r="I145" s="47" t="n">
        <f aca="false">$F145*$G145</f>
        <v>1173.8056012</v>
      </c>
      <c r="J145" s="47" t="n">
        <f aca="false">$F145*$H145</f>
        <v>225.70017109836</v>
      </c>
      <c r="K145" s="47" t="n">
        <f aca="false">$I145*(1+BDI_MAT)</f>
        <v>1415.84431616744</v>
      </c>
      <c r="L145" s="47" t="n">
        <f aca="false">$J145*(1+BDI_MDO)</f>
        <v>287.745148133299</v>
      </c>
      <c r="M145" s="47" t="n">
        <f aca="false">SUM(K145:L145)</f>
        <v>1703.58946430074</v>
      </c>
      <c r="N145" s="20" t="str">
        <f aca="false">A145</f>
        <v>3.2.2.5.2.3</v>
      </c>
    </row>
    <row r="146" customFormat="false" ht="30" hidden="false" customHeight="false" outlineLevel="3" collapsed="false">
      <c r="A146" s="42" t="s">
        <v>242</v>
      </c>
      <c r="B146" s="43" t="n">
        <v>97090</v>
      </c>
      <c r="C146" s="50" t="str">
        <f aca="false">VLOOKUP($B146,03_COMPOSIÇÕES!$A:$G,2,0)</f>
        <v>ARMAÇÃO PARA EXECUÇÃO DE RADIER, PISO DE CONCRETO OU LAJE SOBRE SOLO, COM USO DE TELA Q-138. AF_09/2021</v>
      </c>
      <c r="D146" s="45" t="s">
        <v>59</v>
      </c>
      <c r="E146" s="51" t="str">
        <f aca="false">VLOOKUP($B146,03_COMPOSIÇÕES!$A:$G,4,0)</f>
        <v>KG</v>
      </c>
      <c r="F146" s="46" t="n">
        <v>1356.13</v>
      </c>
      <c r="G146" s="51" t="n">
        <f aca="false">VLOOKUP($B146,03_COMPOSIÇÕES!$A:$G,6,0)</f>
        <v>12.60606</v>
      </c>
      <c r="H146" s="52" t="n">
        <f aca="false">VLOOKUP($B146,03_COMPOSIÇÕES!$A:$G,7,0)</f>
        <v>0.7815967272</v>
      </c>
      <c r="I146" s="47" t="n">
        <f aca="false">$F146*$G146</f>
        <v>17095.4561478</v>
      </c>
      <c r="J146" s="47" t="n">
        <f aca="false">$F146*$H146</f>
        <v>1059.94676965774</v>
      </c>
      <c r="K146" s="47" t="n">
        <f aca="false">$I146*(1+BDI_MAT)</f>
        <v>20620.5392054764</v>
      </c>
      <c r="L146" s="47" t="n">
        <f aca="false">$J146*(1+BDI_MDO)</f>
        <v>1351.32613663665</v>
      </c>
      <c r="M146" s="47" t="n">
        <f aca="false">SUM(K146:L146)</f>
        <v>21971.865342113</v>
      </c>
      <c r="N146" s="20" t="str">
        <f aca="false">A146</f>
        <v>3.2.2.5.2.4</v>
      </c>
    </row>
    <row r="147" customFormat="false" ht="30" hidden="false" customHeight="false" outlineLevel="3" collapsed="false">
      <c r="A147" s="42" t="s">
        <v>243</v>
      </c>
      <c r="B147" s="43" t="n">
        <v>97092</v>
      </c>
      <c r="C147" s="50" t="str">
        <f aca="false">VLOOKUP($B147,03_COMPOSIÇÕES!$A:$G,2,0)</f>
        <v>ARMAÇÃO PARA EXECUÇÃO DE RADIER, PISO DE CONCRETO OU LAJE SOBRE SOLO, COM USO DE TELA Q-196. AF_09/2021</v>
      </c>
      <c r="D147" s="45" t="s">
        <v>59</v>
      </c>
      <c r="E147" s="51" t="str">
        <f aca="false">VLOOKUP($B147,03_COMPOSIÇÕES!$A:$G,4,0)</f>
        <v>KG</v>
      </c>
      <c r="F147" s="46" t="n">
        <v>59.06</v>
      </c>
      <c r="G147" s="51" t="n">
        <f aca="false">VLOOKUP($B147,03_COMPOSIÇÕES!$A:$G,6,0)</f>
        <v>11.61434</v>
      </c>
      <c r="H147" s="52" t="n">
        <f aca="false">VLOOKUP($B147,03_COMPOSIÇÕES!$A:$G,7,0)</f>
        <v>0.5981842944</v>
      </c>
      <c r="I147" s="47" t="n">
        <f aca="false">$F147*$G147</f>
        <v>685.9429204</v>
      </c>
      <c r="J147" s="47" t="n">
        <f aca="false">$F147*$H147</f>
        <v>35.328764427264</v>
      </c>
      <c r="K147" s="47" t="n">
        <f aca="false">$I147*(1+BDI_MAT)</f>
        <v>827.38435058648</v>
      </c>
      <c r="L147" s="47" t="n">
        <f aca="false">$J147*(1+BDI_MDO)</f>
        <v>45.0406417683189</v>
      </c>
      <c r="M147" s="47" t="n">
        <f aca="false">SUM(K147:L147)</f>
        <v>872.424992354799</v>
      </c>
      <c r="N147" s="20" t="str">
        <f aca="false">A147</f>
        <v>3.2.2.5.2.5</v>
      </c>
    </row>
    <row r="148" customFormat="false" ht="30" hidden="false" customHeight="false" outlineLevel="3" collapsed="false">
      <c r="A148" s="42" t="s">
        <v>244</v>
      </c>
      <c r="B148" s="43" t="s">
        <v>231</v>
      </c>
      <c r="C148" s="50" t="str">
        <f aca="false">VLOOKUP($B148,03_COMPOSIÇÕES!$A:$G,2,0)</f>
        <v>CONCRETAGEM DE RADIER, PISO DE CONCRETO OU LAJE SOBRE SOLO, FCK 25 MPA - LANÇAMENTO, ADENSAMENTO E ACABAMENTO.</v>
      </c>
      <c r="D148" s="45" t="s">
        <v>59</v>
      </c>
      <c r="E148" s="51" t="str">
        <f aca="false">VLOOKUP($B148,03_COMPOSIÇÕES!$A:$G,4,0)</f>
        <v>M3</v>
      </c>
      <c r="F148" s="46" t="n">
        <v>49.31</v>
      </c>
      <c r="G148" s="51" t="n">
        <f aca="false">VLOOKUP($B148,03_COMPOSIÇÕES!$A:$G,6,0)</f>
        <v>663.774408289448</v>
      </c>
      <c r="H148" s="52" t="n">
        <f aca="false">VLOOKUP($B148,03_COMPOSIÇÕES!$A:$G,7,0)</f>
        <v>13.921886844</v>
      </c>
      <c r="I148" s="47" t="n">
        <f aca="false">$F148*$G148</f>
        <v>32730.7160727527</v>
      </c>
      <c r="J148" s="47" t="n">
        <f aca="false">$F148*$H148</f>
        <v>686.48824027764</v>
      </c>
      <c r="K148" s="47" t="n">
        <f aca="false">$I148*(1+BDI_MAT)</f>
        <v>39479.7897269543</v>
      </c>
      <c r="L148" s="47" t="n">
        <f aca="false">$J148*(1+BDI_MDO)</f>
        <v>875.203857529963</v>
      </c>
      <c r="M148" s="47" t="n">
        <f aca="false">SUM(K148:L148)</f>
        <v>40354.9935844842</v>
      </c>
      <c r="N148" s="20" t="str">
        <f aca="false">A148</f>
        <v>3.2.2.5.2.6</v>
      </c>
    </row>
    <row r="149" customFormat="false" ht="30" hidden="false" customHeight="false" outlineLevel="3" collapsed="false">
      <c r="A149" s="42" t="s">
        <v>245</v>
      </c>
      <c r="B149" s="43" t="s">
        <v>246</v>
      </c>
      <c r="C149" s="50" t="str">
        <f aca="false">VLOOKUP($B149,03_COMPOSIÇÕES!$A:$G,2,0)</f>
        <v>CONCRETAGEM DE RADIER, PISO DE CONCRETO OU LAJE SOBRE SOLO, FCK 35 MPA - LANÇAMENTO, ADENSAMENTO E ACABAMENTO.</v>
      </c>
      <c r="D149" s="45" t="s">
        <v>59</v>
      </c>
      <c r="E149" s="51" t="str">
        <f aca="false">VLOOKUP($B149,03_COMPOSIÇÕES!$A:$G,4,0)</f>
        <v>M3</v>
      </c>
      <c r="F149" s="46" t="n">
        <v>2.85</v>
      </c>
      <c r="G149" s="51" t="n">
        <f aca="false">VLOOKUP($B149,03_COMPOSIÇÕES!$A:$G,6,0)</f>
        <v>735.198688289448</v>
      </c>
      <c r="H149" s="52" t="n">
        <f aca="false">VLOOKUP($B149,03_COMPOSIÇÕES!$A:$G,7,0)</f>
        <v>13.921886844</v>
      </c>
      <c r="I149" s="47" t="n">
        <f aca="false">$F149*$G149</f>
        <v>2095.31626162493</v>
      </c>
      <c r="J149" s="47" t="n">
        <f aca="false">$F149*$H149</f>
        <v>39.6773775054</v>
      </c>
      <c r="K149" s="47" t="n">
        <f aca="false">$I149*(1+BDI_MAT)</f>
        <v>2527.37047477199</v>
      </c>
      <c r="L149" s="47" t="n">
        <f aca="false">$J149*(1+BDI_MDO)</f>
        <v>50.5846885816345</v>
      </c>
      <c r="M149" s="47" t="n">
        <f aca="false">SUM(K149:L149)</f>
        <v>2577.95516335362</v>
      </c>
      <c r="N149" s="20" t="str">
        <f aca="false">A149</f>
        <v>3.2.2.5.2.7</v>
      </c>
    </row>
    <row r="150" customFormat="false" ht="15" hidden="false" customHeight="false" outlineLevel="3" collapsed="false">
      <c r="A150" s="42" t="s">
        <v>247</v>
      </c>
      <c r="B150" s="43" t="s">
        <v>198</v>
      </c>
      <c r="C150" s="50" t="str">
        <f aca="false">VLOOKUP($B150,03_COMPOSIÇÕES!$A:$G,2,0)</f>
        <v>CURA ÚMIDA POR ASPERSÃO DE ÁGUA DURANTE 7 DIAS.</v>
      </c>
      <c r="D150" s="45" t="s">
        <v>59</v>
      </c>
      <c r="E150" s="51" t="str">
        <f aca="false">VLOOKUP($B150,03_COMPOSIÇÕES!$A:$G,4,0)</f>
        <v>M2</v>
      </c>
      <c r="F150" s="46" t="n">
        <v>635.41</v>
      </c>
      <c r="G150" s="51" t="n">
        <f aca="false">VLOOKUP($B150,03_COMPOSIÇÕES!$A:$G,6,0)</f>
        <v>7.944602</v>
      </c>
      <c r="H150" s="52" t="n">
        <f aca="false">VLOOKUP($B150,03_COMPOSIÇÕES!$A:$G,7,0)</f>
        <v>8.0831748228</v>
      </c>
      <c r="I150" s="47" t="n">
        <f aca="false">$F150*$G150</f>
        <v>5048.07955682</v>
      </c>
      <c r="J150" s="47" t="n">
        <f aca="false">$F150*$H150</f>
        <v>5136.13011415535</v>
      </c>
      <c r="K150" s="47" t="n">
        <f aca="false">$I150*(1+BDI_MAT)</f>
        <v>6088.99356143628</v>
      </c>
      <c r="L150" s="47" t="n">
        <f aca="false">$J150*(1+BDI_MDO)</f>
        <v>6548.05228253665</v>
      </c>
      <c r="M150" s="47" t="n">
        <f aca="false">SUM(K150:L150)</f>
        <v>12637.0458439729</v>
      </c>
      <c r="N150" s="20" t="str">
        <f aca="false">A150</f>
        <v>3.2.2.5.2.8</v>
      </c>
    </row>
    <row r="151" customFormat="false" ht="15" hidden="false" customHeight="false" outlineLevel="2" collapsed="false">
      <c r="A151" s="42" t="s">
        <v>248</v>
      </c>
      <c r="B151" s="43"/>
      <c r="C151" s="50" t="s">
        <v>249</v>
      </c>
      <c r="D151" s="45"/>
      <c r="E151" s="45"/>
      <c r="F151" s="46"/>
      <c r="G151" s="51"/>
      <c r="H151" s="52"/>
      <c r="I151" s="47" t="n">
        <f aca="false">SUBTOTAL(9,I152:I157)</f>
        <v>3221.37136499232</v>
      </c>
      <c r="J151" s="47" t="n">
        <f aca="false">SUBTOTAL(9,J152:J157)</f>
        <v>207.525449247396</v>
      </c>
      <c r="K151" s="47" t="n">
        <f aca="false">SUBTOTAL(9,K152:K157)</f>
        <v>3885.61814045374</v>
      </c>
      <c r="L151" s="47" t="n">
        <f aca="false">SUBTOTAL(9,L152:L157)</f>
        <v>264.574195245505</v>
      </c>
      <c r="M151" s="47" t="n">
        <f aca="false">SUBTOTAL(9,M152:M157)</f>
        <v>4150.19233569924</v>
      </c>
      <c r="N151" s="20" t="str">
        <f aca="false">A151</f>
        <v>3.2.2.5.3</v>
      </c>
    </row>
    <row r="152" customFormat="false" ht="45" hidden="false" customHeight="false" outlineLevel="2" collapsed="false">
      <c r="A152" s="42" t="s">
        <v>250</v>
      </c>
      <c r="B152" s="43" t="n">
        <v>97084</v>
      </c>
      <c r="C152" s="50" t="str">
        <f aca="false">VLOOKUP($B152,03_COMPOSIÇÕES!$A:$G,2,0)</f>
        <v>COMPACTAÇÃO MECÂNICA DE SOLO PARA EXECUÇÃO DE RADIER, PISO DE CONCRETO OU LAJE SOBRE SOLO, COM COMPACTADOR DE SOLOS TIPO PLACA VIBRATÓRIA. AF_09/2021</v>
      </c>
      <c r="D152" s="45" t="s">
        <v>59</v>
      </c>
      <c r="E152" s="51" t="str">
        <f aca="false">VLOOKUP($B152,03_COMPOSIÇÕES!$A:$G,4,0)</f>
        <v>M2</v>
      </c>
      <c r="F152" s="46" t="n">
        <v>7.09</v>
      </c>
      <c r="G152" s="51" t="n">
        <f aca="false">VLOOKUP($B152,03_COMPOSIÇÕES!$A:$G,6,0)</f>
        <v>0.250265994085</v>
      </c>
      <c r="H152" s="52" t="n">
        <f aca="false">VLOOKUP($B152,03_COMPOSIÇÕES!$A:$G,7,0)</f>
        <v>0.437104236</v>
      </c>
      <c r="I152" s="47" t="n">
        <f aca="false">$F152*$G152</f>
        <v>1.77438589806265</v>
      </c>
      <c r="J152" s="47" t="n">
        <f aca="false">$F152*$H152</f>
        <v>3.09906903324</v>
      </c>
      <c r="K152" s="47" t="n">
        <f aca="false">$I152*(1+BDI_MAT)</f>
        <v>2.14026427024317</v>
      </c>
      <c r="L152" s="47" t="n">
        <f aca="false">$J152*(1+BDI_MDO)</f>
        <v>3.95100311047768</v>
      </c>
      <c r="M152" s="47" t="n">
        <f aca="false">SUM(K152:L152)</f>
        <v>6.09126738072085</v>
      </c>
      <c r="N152" s="20" t="str">
        <f aca="false">A152</f>
        <v>3.2.2.5.3.1</v>
      </c>
    </row>
    <row r="153" customFormat="false" ht="30" hidden="false" customHeight="false" outlineLevel="2" collapsed="false">
      <c r="A153" s="42" t="s">
        <v>251</v>
      </c>
      <c r="B153" s="43" t="n">
        <v>96622</v>
      </c>
      <c r="C153" s="50" t="str">
        <f aca="false">VLOOKUP($B153,03_COMPOSIÇÕES!$A:$G,2,0)</f>
        <v>LASTRO COM MATERIAL GRANULAR, APLICADO EM PISOS OU LAJES SOBRE SOLO, ESPESSURA DE *5 CM*. AF_01/2024</v>
      </c>
      <c r="D153" s="45" t="s">
        <v>59</v>
      </c>
      <c r="E153" s="51" t="str">
        <f aca="false">VLOOKUP($B153,03_COMPOSIÇÕES!$A:$G,4,0)</f>
        <v>M3</v>
      </c>
      <c r="F153" s="46" t="n">
        <v>0.35</v>
      </c>
      <c r="G153" s="51" t="n">
        <f aca="false">VLOOKUP($B153,03_COMPOSIÇÕES!$A:$G,6,0)</f>
        <v>179.616553215464</v>
      </c>
      <c r="H153" s="52" t="n">
        <f aca="false">VLOOKUP($B153,03_COMPOSIÇÕES!$A:$G,7,0)</f>
        <v>50.216478588</v>
      </c>
      <c r="I153" s="47" t="n">
        <f aca="false">$F153*$G153</f>
        <v>62.8657936254124</v>
      </c>
      <c r="J153" s="47" t="n">
        <f aca="false">$F153*$H153</f>
        <v>17.5757675058</v>
      </c>
      <c r="K153" s="47" t="n">
        <f aca="false">$I153*(1+BDI_MAT)</f>
        <v>75.8287202709724</v>
      </c>
      <c r="L153" s="47" t="n">
        <f aca="false">$J153*(1+BDI_MDO)</f>
        <v>22.4073459931444</v>
      </c>
      <c r="M153" s="47" t="n">
        <f aca="false">SUM(K153:L153)</f>
        <v>98.2360662641169</v>
      </c>
      <c r="N153" s="20" t="str">
        <f aca="false">A153</f>
        <v>3.2.2.5.3.2</v>
      </c>
    </row>
    <row r="154" customFormat="false" ht="30" hidden="false" customHeight="false" outlineLevel="2" collapsed="false">
      <c r="A154" s="42" t="s">
        <v>252</v>
      </c>
      <c r="B154" s="43" t="n">
        <v>97087</v>
      </c>
      <c r="C154" s="50" t="str">
        <f aca="false">VLOOKUP($B154,03_COMPOSIÇÕES!$A:$G,2,0)</f>
        <v>CAMADA SEPARADORA PARA EXECUÇÃO DE RADIER, PISO DE CONCRETO OU LAJE SOBRE SOLO, EM LONA PLÁSTICA. AF_09/2021</v>
      </c>
      <c r="D154" s="45" t="s">
        <v>59</v>
      </c>
      <c r="E154" s="51" t="str">
        <f aca="false">VLOOKUP($B154,03_COMPOSIÇÕES!$A:$G,4,0)</f>
        <v>M2</v>
      </c>
      <c r="F154" s="46" t="n">
        <v>7.09</v>
      </c>
      <c r="G154" s="51" t="n">
        <f aca="false">VLOOKUP($B154,03_COMPOSIÇÕES!$A:$G,6,0)</f>
        <v>1.84732</v>
      </c>
      <c r="H154" s="52" t="n">
        <f aca="false">VLOOKUP($B154,03_COMPOSIÇÕES!$A:$G,7,0)</f>
        <v>0.355203996</v>
      </c>
      <c r="I154" s="47" t="n">
        <f aca="false">$F154*$G154</f>
        <v>13.0974988</v>
      </c>
      <c r="J154" s="47" t="n">
        <f aca="false">$F154*$H154</f>
        <v>2.51839633164</v>
      </c>
      <c r="K154" s="47" t="n">
        <f aca="false">$I154*(1+BDI_MAT)</f>
        <v>15.79820305256</v>
      </c>
      <c r="L154" s="47" t="n">
        <f aca="false">$J154*(1+BDI_MDO)</f>
        <v>3.21070348320784</v>
      </c>
      <c r="M154" s="47" t="n">
        <f aca="false">SUM(K154:L154)</f>
        <v>19.0089065357678</v>
      </c>
      <c r="N154" s="20" t="str">
        <f aca="false">A154</f>
        <v>3.2.2.5.3.3</v>
      </c>
    </row>
    <row r="155" customFormat="false" ht="30" hidden="false" customHeight="false" outlineLevel="2" collapsed="false">
      <c r="A155" s="42" t="s">
        <v>253</v>
      </c>
      <c r="B155" s="43" t="n">
        <v>92768</v>
      </c>
      <c r="C155" s="50" t="str">
        <f aca="false">VLOOKUP($B155,03_COMPOSIÇÕES!$A:$G,2,0)</f>
        <v>ARMAÇÃO DE LAJE DE ESTRUTURA CONVENCIONAL DE CONCRETO ARMADO UTILIZANDO AÇO CA-60 DE 5,0 MM - MONTAGEM. AF_06/2022</v>
      </c>
      <c r="D155" s="45" t="s">
        <v>59</v>
      </c>
      <c r="E155" s="51" t="str">
        <f aca="false">VLOOKUP($B155,03_COMPOSIÇÕES!$A:$G,4,0)</f>
        <v>KG</v>
      </c>
      <c r="F155" s="46" t="n">
        <v>22.67</v>
      </c>
      <c r="G155" s="51" t="n">
        <f aca="false">VLOOKUP($B155,03_COMPOSIÇÕES!$A:$G,6,0)</f>
        <v>9.705848</v>
      </c>
      <c r="H155" s="52" t="n">
        <f aca="false">VLOOKUP($B155,03_COMPOSIÇÕES!$A:$G,7,0)</f>
        <v>3.2080788792</v>
      </c>
      <c r="I155" s="47" t="n">
        <f aca="false">$F155*$G155</f>
        <v>220.03157416</v>
      </c>
      <c r="J155" s="47" t="n">
        <f aca="false">$F155*$H155</f>
        <v>72.727148191464</v>
      </c>
      <c r="K155" s="47" t="n">
        <f aca="false">$I155*(1+BDI_MAT)</f>
        <v>265.402084751792</v>
      </c>
      <c r="L155" s="47" t="n">
        <f aca="false">$J155*(1+BDI_MDO)</f>
        <v>92.7198412292975</v>
      </c>
      <c r="M155" s="47" t="n">
        <f aca="false">SUM(K155:L155)</f>
        <v>358.121925981089</v>
      </c>
      <c r="N155" s="20" t="str">
        <f aca="false">A155</f>
        <v>3.2.2.5.3.4</v>
      </c>
    </row>
    <row r="156" customFormat="false" ht="30" hidden="false" customHeight="false" outlineLevel="2" collapsed="false">
      <c r="A156" s="42" t="s">
        <v>254</v>
      </c>
      <c r="B156" s="43" t="s">
        <v>246</v>
      </c>
      <c r="C156" s="50" t="str">
        <f aca="false">VLOOKUP($B156,03_COMPOSIÇÕES!$A:$G,2,0)</f>
        <v>CONCRETAGEM DE RADIER, PISO DE CONCRETO OU LAJE SOBRE SOLO, FCK 35 MPA - LANÇAMENTO, ADENSAMENTO E ACABAMENTO.</v>
      </c>
      <c r="D156" s="45" t="s">
        <v>59</v>
      </c>
      <c r="E156" s="51" t="str">
        <f aca="false">VLOOKUP($B156,03_COMPOSIÇÕES!$A:$G,4,0)</f>
        <v>M3</v>
      </c>
      <c r="F156" s="46" t="n">
        <v>3.9</v>
      </c>
      <c r="G156" s="51" t="n">
        <f aca="false">VLOOKUP($B156,03_COMPOSIÇÕES!$A:$G,6,0)</f>
        <v>735.198688289448</v>
      </c>
      <c r="H156" s="52" t="n">
        <f aca="false">VLOOKUP($B156,03_COMPOSIÇÕES!$A:$G,7,0)</f>
        <v>13.921886844</v>
      </c>
      <c r="I156" s="47" t="n">
        <f aca="false">$F156*$G156</f>
        <v>2867.27488432885</v>
      </c>
      <c r="J156" s="47" t="n">
        <f aca="false">$F156*$H156</f>
        <v>54.2953586916</v>
      </c>
      <c r="K156" s="47" t="n">
        <f aca="false">$I156*(1+BDI_MAT)</f>
        <v>3458.50696547746</v>
      </c>
      <c r="L156" s="47" t="n">
        <f aca="false">$J156*(1+BDI_MDO)</f>
        <v>69.2211527959208</v>
      </c>
      <c r="M156" s="47" t="n">
        <f aca="false">SUM(K156:L156)</f>
        <v>3527.72811827338</v>
      </c>
      <c r="N156" s="20" t="str">
        <f aca="false">A156</f>
        <v>3.2.2.5.3.5</v>
      </c>
    </row>
    <row r="157" customFormat="false" ht="15" hidden="false" customHeight="false" outlineLevel="2" collapsed="false">
      <c r="A157" s="42" t="s">
        <v>255</v>
      </c>
      <c r="B157" s="43" t="s">
        <v>198</v>
      </c>
      <c r="C157" s="50" t="str">
        <f aca="false">VLOOKUP($B157,03_COMPOSIÇÕES!$A:$G,2,0)</f>
        <v>CURA ÚMIDA POR ASPERSÃO DE ÁGUA DURANTE 7 DIAS.</v>
      </c>
      <c r="D157" s="45" t="s">
        <v>59</v>
      </c>
      <c r="E157" s="51" t="str">
        <f aca="false">VLOOKUP($B157,03_COMPOSIÇÕES!$A:$G,4,0)</f>
        <v>M2</v>
      </c>
      <c r="F157" s="46" t="n">
        <v>7.09</v>
      </c>
      <c r="G157" s="51" t="n">
        <f aca="false">VLOOKUP($B157,03_COMPOSIÇÕES!$A:$G,6,0)</f>
        <v>7.944602</v>
      </c>
      <c r="H157" s="52" t="n">
        <f aca="false">VLOOKUP($B157,03_COMPOSIÇÕES!$A:$G,7,0)</f>
        <v>8.0831748228</v>
      </c>
      <c r="I157" s="47" t="n">
        <f aca="false">$F157*$G157</f>
        <v>56.32722818</v>
      </c>
      <c r="J157" s="47" t="n">
        <f aca="false">$F157*$H157</f>
        <v>57.309709493652</v>
      </c>
      <c r="K157" s="47" t="n">
        <f aca="false">$I157*(1+BDI_MAT)</f>
        <v>67.941902630716</v>
      </c>
      <c r="L157" s="47" t="n">
        <f aca="false">$J157*(1+BDI_MDO)</f>
        <v>73.0641486334569</v>
      </c>
      <c r="M157" s="47" t="n">
        <f aca="false">SUM(K157:L157)</f>
        <v>141.006051264173</v>
      </c>
      <c r="N157" s="20" t="str">
        <f aca="false">A157</f>
        <v>3.2.2.5.3.6</v>
      </c>
    </row>
    <row r="158" customFormat="false" ht="15" hidden="false" customHeight="false" outlineLevel="1" collapsed="false">
      <c r="A158" s="42" t="s">
        <v>256</v>
      </c>
      <c r="B158" s="43"/>
      <c r="C158" s="50" t="s">
        <v>257</v>
      </c>
      <c r="D158" s="45"/>
      <c r="E158" s="45"/>
      <c r="F158" s="46"/>
      <c r="G158" s="51"/>
      <c r="H158" s="52"/>
      <c r="I158" s="47" t="n">
        <f aca="false">SUM(I159,I174,I184,I196,I213,I216)</f>
        <v>55749.8433824369</v>
      </c>
      <c r="J158" s="47" t="n">
        <f aca="false">SUM(J159,J174,J184,J196,J213,J216)</f>
        <v>12091.6459155382</v>
      </c>
      <c r="K158" s="47" t="n">
        <f aca="false">SUM(K159,K174,K184,K196,K213,K216)</f>
        <v>67245.4610878954</v>
      </c>
      <c r="L158" s="47" t="n">
        <f aca="false">SUM(L159,L174,L184,L196,L213,L216)</f>
        <v>15415.6393777196</v>
      </c>
      <c r="M158" s="47" t="n">
        <f aca="false">SUM(M159,M174,M184,M196,M213,M216)</f>
        <v>82661.100465615</v>
      </c>
      <c r="N158" s="20" t="str">
        <f aca="false">A158</f>
        <v>3.2.3</v>
      </c>
    </row>
    <row r="159" customFormat="false" ht="15" hidden="false" customHeight="false" outlineLevel="1" collapsed="false">
      <c r="A159" s="42" t="s">
        <v>258</v>
      </c>
      <c r="B159" s="43"/>
      <c r="C159" s="50" t="s">
        <v>259</v>
      </c>
      <c r="D159" s="45"/>
      <c r="E159" s="45"/>
      <c r="F159" s="46"/>
      <c r="G159" s="51"/>
      <c r="H159" s="52"/>
      <c r="I159" s="47" t="n">
        <f aca="false">SUBTOTAL(9,I160:I173)</f>
        <v>21006.5160864655</v>
      </c>
      <c r="J159" s="47" t="n">
        <f aca="false">SUBTOTAL(9,J160:J173)</f>
        <v>5987.2948928126</v>
      </c>
      <c r="K159" s="47" t="n">
        <f aca="false">SUBTOTAL(9,K160:K173)</f>
        <v>25338.0597034946</v>
      </c>
      <c r="L159" s="47" t="n">
        <f aca="false">SUBTOTAL(9,L160:L173)</f>
        <v>7633.20225884679</v>
      </c>
      <c r="M159" s="47" t="n">
        <f aca="false">SUBTOTAL(9,M160:M173)</f>
        <v>32971.2619623414</v>
      </c>
      <c r="N159" s="20" t="str">
        <f aca="false">A159</f>
        <v>3.2.3.1</v>
      </c>
    </row>
    <row r="160" customFormat="false" ht="45" hidden="false" customHeight="false" outlineLevel="2" collapsed="false">
      <c r="A160" s="42" t="s">
        <v>260</v>
      </c>
      <c r="B160" s="43" t="s">
        <v>261</v>
      </c>
      <c r="C160" s="50" t="str">
        <f aca="false">VLOOKUP($B160,03_COMPOSIÇÕES!$A:$G,2,0)</f>
        <v>ESTACA BROCA DE CONCRETO, DIÂMETRO DE 25CM, ESCAVAÇÃO MANUAL COM TRADO CONCHA, COM ARMADURA LOGITUDIONAL DE Ø8,0MM E TRANSVERSAL DE Ø6,3MM, CONCRETO FCK 35 MPA.</v>
      </c>
      <c r="D160" s="45" t="s">
        <v>59</v>
      </c>
      <c r="E160" s="51" t="str">
        <f aca="false">VLOOKUP($B160,03_COMPOSIÇÕES!$A:$G,4,0)</f>
        <v>M</v>
      </c>
      <c r="F160" s="46" t="n">
        <v>44</v>
      </c>
      <c r="G160" s="51" t="n">
        <f aca="false">VLOOKUP($B160,03_COMPOSIÇÕES!$A:$G,6,0)</f>
        <v>83.0189549368</v>
      </c>
      <c r="H160" s="52" t="n">
        <f aca="false">VLOOKUP($B160,03_COMPOSIÇÕES!$A:$G,7,0)</f>
        <v>35.4777158833496</v>
      </c>
      <c r="I160" s="47" t="n">
        <f aca="false">$F160*$G160</f>
        <v>3652.8340172192</v>
      </c>
      <c r="J160" s="47" t="n">
        <f aca="false">$F160*$H160</f>
        <v>1561.01949886738</v>
      </c>
      <c r="K160" s="47" t="n">
        <f aca="false">$I160*(1+BDI_MAT)</f>
        <v>4406.0483915698</v>
      </c>
      <c r="L160" s="47" t="n">
        <f aca="false">$J160*(1+BDI_MDO)</f>
        <v>1990.14375910603</v>
      </c>
      <c r="M160" s="47" t="n">
        <f aca="false">SUM(K160:L160)</f>
        <v>6396.19215067583</v>
      </c>
      <c r="N160" s="20" t="str">
        <f aca="false">A160</f>
        <v>3.2.3.1.1</v>
      </c>
    </row>
    <row r="161" customFormat="false" ht="30" hidden="false" customHeight="false" outlineLevel="2" collapsed="false">
      <c r="A161" s="42" t="s">
        <v>262</v>
      </c>
      <c r="B161" s="43" t="n">
        <v>95601</v>
      </c>
      <c r="C161" s="50" t="str">
        <f aca="false">VLOOKUP($B161,03_COMPOSIÇÕES!$A:$G,2,0)</f>
        <v>ARRASAMENTO MECANICO DE ESTACA DE CONCRETO ARMADO, DIAMETROS DE ATÉ 40 CM. AF_05/2021</v>
      </c>
      <c r="D161" s="45" t="s">
        <v>59</v>
      </c>
      <c r="E161" s="51" t="str">
        <f aca="false">VLOOKUP($B161,03_COMPOSIÇÕES!$A:$G,4,0)</f>
        <v>UN</v>
      </c>
      <c r="F161" s="46" t="n">
        <v>22</v>
      </c>
      <c r="G161" s="51" t="n">
        <f aca="false">VLOOKUP($B161,03_COMPOSIÇÕES!$A:$G,6,0)</f>
        <v>5.4374740934</v>
      </c>
      <c r="H161" s="52" t="n">
        <f aca="false">VLOOKUP($B161,03_COMPOSIÇÕES!$A:$G,7,0)</f>
        <v>10.3310177883</v>
      </c>
      <c r="I161" s="47" t="n">
        <f aca="false">$F161*$G161</f>
        <v>119.6244300548</v>
      </c>
      <c r="J161" s="47" t="n">
        <f aca="false">$F161*$H161</f>
        <v>227.2823913426</v>
      </c>
      <c r="K161" s="47" t="n">
        <f aca="false">$I161*(1+BDI_MAT)</f>
        <v>144.2909875321</v>
      </c>
      <c r="L161" s="47" t="n">
        <f aca="false">$J161*(1+BDI_MDO)</f>
        <v>289.762320722681</v>
      </c>
      <c r="M161" s="47" t="n">
        <f aca="false">SUM(K161:L161)</f>
        <v>434.053308254781</v>
      </c>
      <c r="N161" s="20" t="str">
        <f aca="false">A161</f>
        <v>3.2.3.1.2</v>
      </c>
    </row>
    <row r="162" customFormat="false" ht="45" hidden="false" customHeight="false" outlineLevel="2" collapsed="false">
      <c r="A162" s="42" t="s">
        <v>263</v>
      </c>
      <c r="B162" s="43" t="n">
        <v>96539</v>
      </c>
      <c r="C162" s="50" t="str">
        <f aca="false">VLOOKUP($B162,03_COMPOSIÇÕES!$A:$G,2,0)</f>
        <v>FABRICAÇÃO, MONTAGEM E DESMONTAGEM DE FÔRMA PARA VIGA BALDRAME, EM CHAPA DE MADEIRA COMPENSADA RESINADA, E=17 MM, 2 UTILIZAÇÕES. AF_01/2024</v>
      </c>
      <c r="D162" s="45" t="s">
        <v>59</v>
      </c>
      <c r="E162" s="51" t="str">
        <f aca="false">VLOOKUP($B162,03_COMPOSIÇÕES!$A:$G,4,0)</f>
        <v>M2</v>
      </c>
      <c r="F162" s="46" t="n">
        <v>54.65</v>
      </c>
      <c r="G162" s="51" t="n">
        <f aca="false">VLOOKUP($B162,03_COMPOSIÇÕES!$A:$G,6,0)</f>
        <v>75.279460048688</v>
      </c>
      <c r="H162" s="52" t="n">
        <f aca="false">VLOOKUP($B162,03_COMPOSIÇÕES!$A:$G,7,0)</f>
        <v>51.3867867324</v>
      </c>
      <c r="I162" s="47" t="n">
        <f aca="false">$F162*$G162</f>
        <v>4114.0224916608</v>
      </c>
      <c r="J162" s="47" t="n">
        <f aca="false">$F162*$H162</f>
        <v>2808.28789492566</v>
      </c>
      <c r="K162" s="47" t="n">
        <f aca="false">$I162*(1+BDI_MAT)</f>
        <v>4962.33392944126</v>
      </c>
      <c r="L162" s="47" t="n">
        <f aca="false">$J162*(1+BDI_MDO)</f>
        <v>3580.28623724072</v>
      </c>
      <c r="M162" s="47" t="n">
        <f aca="false">SUM(K162:L162)</f>
        <v>8542.62016668198</v>
      </c>
      <c r="N162" s="20" t="str">
        <f aca="false">A162</f>
        <v>3.2.3.1.3</v>
      </c>
    </row>
    <row r="163" customFormat="false" ht="30" hidden="false" customHeight="false" outlineLevel="2" collapsed="false">
      <c r="A163" s="42" t="s">
        <v>264</v>
      </c>
      <c r="B163" s="43" t="n">
        <v>104916</v>
      </c>
      <c r="C163" s="50" t="str">
        <f aca="false">VLOOKUP($B163,03_COMPOSIÇÕES!$A:$G,2,0)</f>
        <v>ARMAÇÃO DE SAPATA ISOLADA, VIGA BALDRAME E SAPATA CORRIDA UTILIZANDO AÇO CA-60 DE 5 MM - MONTAGEM. AF_01/2024</v>
      </c>
      <c r="D163" s="45" t="s">
        <v>59</v>
      </c>
      <c r="E163" s="51" t="str">
        <f aca="false">VLOOKUP($B163,03_COMPOSIÇÕES!$A:$G,4,0)</f>
        <v>KG</v>
      </c>
      <c r="F163" s="46" t="n">
        <v>117.37</v>
      </c>
      <c r="G163" s="51" t="n">
        <f aca="false">VLOOKUP($B163,03_COMPOSIÇÕES!$A:$G,6,0)</f>
        <v>10.457788</v>
      </c>
      <c r="H163" s="52" t="n">
        <f aca="false">VLOOKUP($B163,03_COMPOSIÇÕES!$A:$G,7,0)</f>
        <v>5.56945022448</v>
      </c>
      <c r="I163" s="47" t="n">
        <f aca="false">$F163*$G163</f>
        <v>1227.43057756</v>
      </c>
      <c r="J163" s="47" t="n">
        <f aca="false">$F163*$H163</f>
        <v>653.686372847218</v>
      </c>
      <c r="K163" s="47" t="n">
        <f aca="false">$I163*(1+BDI_MAT)</f>
        <v>1480.52676265287</v>
      </c>
      <c r="L163" s="47" t="n">
        <f aca="false">$J163*(1+BDI_MDO)</f>
        <v>833.384756742918</v>
      </c>
      <c r="M163" s="47" t="n">
        <f aca="false">SUM(K163:L163)</f>
        <v>2313.91151939579</v>
      </c>
      <c r="N163" s="20" t="str">
        <f aca="false">A163</f>
        <v>3.2.3.1.4</v>
      </c>
    </row>
    <row r="164" customFormat="false" ht="30" hidden="false" customHeight="false" outlineLevel="2" collapsed="false">
      <c r="A164" s="42" t="s">
        <v>265</v>
      </c>
      <c r="B164" s="43" t="n">
        <v>104919</v>
      </c>
      <c r="C164" s="50" t="str">
        <f aca="false">VLOOKUP($B164,03_COMPOSIÇÕES!$A:$G,2,0)</f>
        <v>ARMAÇÃO DE SAPATA ISOLADA, VIGA BALDRAME E SAPATA CORRIDA UTILIZANDO AÇO CA-50 DE 10 MM - MONTAGEM. AF_01/2024</v>
      </c>
      <c r="D164" s="45" t="s">
        <v>59</v>
      </c>
      <c r="E164" s="51" t="str">
        <f aca="false">VLOOKUP($B164,03_COMPOSIÇÕES!$A:$G,4,0)</f>
        <v>KG</v>
      </c>
      <c r="F164" s="46" t="n">
        <v>103.86</v>
      </c>
      <c r="G164" s="51" t="n">
        <f aca="false">VLOOKUP($B164,03_COMPOSIÇÕES!$A:$G,6,0)</f>
        <v>10.230302</v>
      </c>
      <c r="H164" s="52" t="n">
        <f aca="false">VLOOKUP($B164,03_COMPOSIÇÕES!$A:$G,7,0)</f>
        <v>2.2712916852</v>
      </c>
      <c r="I164" s="47" t="n">
        <f aca="false">$F164*$G164</f>
        <v>1062.51916572</v>
      </c>
      <c r="J164" s="47" t="n">
        <f aca="false">$F164*$H164</f>
        <v>235.896354424872</v>
      </c>
      <c r="K164" s="47" t="n">
        <f aca="false">$I164*(1+BDI_MAT)</f>
        <v>1281.61061769146</v>
      </c>
      <c r="L164" s="47" t="n">
        <f aca="false">$J164*(1+BDI_MDO)</f>
        <v>300.744262256269</v>
      </c>
      <c r="M164" s="47" t="n">
        <f aca="false">SUM(K164:L164)</f>
        <v>1582.35487994773</v>
      </c>
      <c r="N164" s="20" t="str">
        <f aca="false">A164</f>
        <v>3.2.3.1.5</v>
      </c>
    </row>
    <row r="165" customFormat="false" ht="30" hidden="false" customHeight="false" outlineLevel="2" collapsed="false">
      <c r="A165" s="42" t="s">
        <v>266</v>
      </c>
      <c r="B165" s="43" t="n">
        <v>97090</v>
      </c>
      <c r="C165" s="50" t="str">
        <f aca="false">VLOOKUP($B165,03_COMPOSIÇÕES!$A:$G,2,0)</f>
        <v>ARMAÇÃO PARA EXECUÇÃO DE RADIER, PISO DE CONCRETO OU LAJE SOBRE SOLO, COM USO DE TELA Q-138. AF_09/2021</v>
      </c>
      <c r="D165" s="45" t="s">
        <v>59</v>
      </c>
      <c r="E165" s="51" t="str">
        <f aca="false">VLOOKUP($B165,03_COMPOSIÇÕES!$A:$G,4,0)</f>
        <v>KG</v>
      </c>
      <c r="F165" s="46" t="n">
        <v>63.03</v>
      </c>
      <c r="G165" s="51" t="n">
        <f aca="false">VLOOKUP($B165,03_COMPOSIÇÕES!$A:$G,6,0)</f>
        <v>12.60606</v>
      </c>
      <c r="H165" s="52" t="n">
        <f aca="false">VLOOKUP($B165,03_COMPOSIÇÕES!$A:$G,7,0)</f>
        <v>0.7815967272</v>
      </c>
      <c r="I165" s="47" t="n">
        <f aca="false">$F165*$G165</f>
        <v>794.5599618</v>
      </c>
      <c r="J165" s="47" t="n">
        <f aca="false">$F165*$H165</f>
        <v>49.264041715416</v>
      </c>
      <c r="K165" s="47" t="n">
        <f aca="false">$I165*(1+BDI_MAT)</f>
        <v>958.39822592316</v>
      </c>
      <c r="L165" s="47" t="n">
        <f aca="false">$J165*(1+BDI_MDO)</f>
        <v>62.8067267829839</v>
      </c>
      <c r="M165" s="47" t="n">
        <f aca="false">SUM(K165:L165)</f>
        <v>1021.20495270614</v>
      </c>
      <c r="N165" s="20" t="str">
        <f aca="false">A165</f>
        <v>3.2.3.1.6</v>
      </c>
    </row>
    <row r="166" customFormat="false" ht="30" hidden="false" customHeight="false" outlineLevel="2" collapsed="false">
      <c r="A166" s="42" t="s">
        <v>267</v>
      </c>
      <c r="B166" s="43" t="n">
        <v>97092</v>
      </c>
      <c r="C166" s="50" t="str">
        <f aca="false">VLOOKUP($B166,03_COMPOSIÇÕES!$A:$G,2,0)</f>
        <v>ARMAÇÃO PARA EXECUÇÃO DE RADIER, PISO DE CONCRETO OU LAJE SOBRE SOLO, COM USO DE TELA Q-196. AF_09/2021</v>
      </c>
      <c r="D166" s="45" t="s">
        <v>59</v>
      </c>
      <c r="E166" s="51" t="str">
        <f aca="false">VLOOKUP($B166,03_COMPOSIÇÕES!$A:$G,4,0)</f>
        <v>KG</v>
      </c>
      <c r="F166" s="46" t="n">
        <v>32.78</v>
      </c>
      <c r="G166" s="51" t="n">
        <f aca="false">VLOOKUP($B166,03_COMPOSIÇÕES!$A:$G,6,0)</f>
        <v>11.61434</v>
      </c>
      <c r="H166" s="52" t="n">
        <f aca="false">VLOOKUP($B166,03_COMPOSIÇÕES!$A:$G,7,0)</f>
        <v>0.5981842944</v>
      </c>
      <c r="I166" s="47" t="n">
        <f aca="false">$F166*$G166</f>
        <v>380.7180652</v>
      </c>
      <c r="J166" s="47" t="n">
        <f aca="false">$F166*$H166</f>
        <v>19.608481170432</v>
      </c>
      <c r="K166" s="47" t="n">
        <f aca="false">$I166*(1+BDI_MAT)</f>
        <v>459.22213024424</v>
      </c>
      <c r="L166" s="47" t="n">
        <f aca="false">$J166*(1+BDI_MDO)</f>
        <v>24.9988526441838</v>
      </c>
      <c r="M166" s="47" t="n">
        <f aca="false">SUM(K166:L166)</f>
        <v>484.220982888424</v>
      </c>
      <c r="N166" s="20" t="str">
        <f aca="false">A166</f>
        <v>3.2.3.1.7</v>
      </c>
    </row>
    <row r="167" customFormat="false" ht="45" hidden="false" customHeight="false" outlineLevel="2" collapsed="false">
      <c r="A167" s="42" t="s">
        <v>268</v>
      </c>
      <c r="B167" s="43" t="s">
        <v>131</v>
      </c>
      <c r="C167" s="50" t="str">
        <f aca="false">VLOOKUP($B167,03_COMPOSIÇÕES!$A:$G,2,0)</f>
        <v>CONCRETAGEM DE BLOCO DE COROAMENTO OU VIGA BALDRAME, FCK 35 MPA, COM USO DE BOMBA - LANÇAMENTO, ADENSAMENTO E ACABAMENTO.</v>
      </c>
      <c r="D167" s="45" t="s">
        <v>59</v>
      </c>
      <c r="E167" s="51" t="str">
        <f aca="false">VLOOKUP($B167,03_COMPOSIÇÕES!$A:$G,4,0)</f>
        <v>M3</v>
      </c>
      <c r="F167" s="46" t="n">
        <v>5.9</v>
      </c>
      <c r="G167" s="51" t="n">
        <f aca="false">VLOOKUP($B167,03_COMPOSIÇÕES!$A:$G,6,0)</f>
        <v>851.632968052008</v>
      </c>
      <c r="H167" s="52" t="n">
        <f aca="false">VLOOKUP($B167,03_COMPOSIÇÕES!$A:$G,7,0)</f>
        <v>13.522148316</v>
      </c>
      <c r="I167" s="47" t="n">
        <f aca="false">$F167*$G167</f>
        <v>5024.63451150685</v>
      </c>
      <c r="J167" s="47" t="n">
        <f aca="false">$F167*$H167</f>
        <v>79.7806750644</v>
      </c>
      <c r="K167" s="47" t="n">
        <f aca="false">$I167*(1+BDI_MAT)</f>
        <v>6060.71414777956</v>
      </c>
      <c r="L167" s="47" t="n">
        <f aca="false">$J167*(1+BDI_MDO)</f>
        <v>101.712382639604</v>
      </c>
      <c r="M167" s="47" t="n">
        <f aca="false">SUM(K167:L167)</f>
        <v>6162.42653041916</v>
      </c>
      <c r="N167" s="20" t="str">
        <f aca="false">A167</f>
        <v>3.2.3.1.8</v>
      </c>
    </row>
    <row r="168" customFormat="false" ht="30" hidden="false" customHeight="false" outlineLevel="2" collapsed="false">
      <c r="A168" s="42" t="s">
        <v>269</v>
      </c>
      <c r="B168" s="43" t="s">
        <v>219</v>
      </c>
      <c r="C168" s="50" t="str">
        <f aca="false">VLOOKUP($B168,03_COMPOSIÇÕES!$A:$G,2,0)</f>
        <v>CONCRETAGEM DE ESCADAS, FCK=35 MPA, COM USO DE BOMBA - LANÇAMENTO, ADENSAMENTO E ACABAMENTO.</v>
      </c>
      <c r="D168" s="45" t="s">
        <v>59</v>
      </c>
      <c r="E168" s="51" t="str">
        <f aca="false">VLOOKUP($B168,03_COMPOSIÇÕES!$A:$G,4,0)</f>
        <v>M3</v>
      </c>
      <c r="F168" s="46" t="n">
        <v>1.61</v>
      </c>
      <c r="G168" s="51" t="n">
        <f aca="false">VLOOKUP($B168,03_COMPOSIÇÕES!$A:$G,6,0)</f>
        <v>789.157266</v>
      </c>
      <c r="H168" s="52" t="n">
        <f aca="false">VLOOKUP($B168,03_COMPOSIÇÕES!$A:$G,7,0)</f>
        <v>77.92324698</v>
      </c>
      <c r="I168" s="47" t="n">
        <f aca="false">$F168*$G168</f>
        <v>1270.54319826</v>
      </c>
      <c r="J168" s="47" t="n">
        <f aca="false">$F168*$H168</f>
        <v>125.4564276378</v>
      </c>
      <c r="K168" s="47" t="n">
        <f aca="false">$I168*(1+BDI_MAT)</f>
        <v>1532.52920574121</v>
      </c>
      <c r="L168" s="47" t="n">
        <f aca="false">$J168*(1+BDI_MDO)</f>
        <v>159.944399595431</v>
      </c>
      <c r="M168" s="47" t="n">
        <f aca="false">SUM(K168:L168)</f>
        <v>1692.47360533664</v>
      </c>
      <c r="N168" s="20" t="str">
        <f aca="false">A168</f>
        <v>3.2.3.1.9</v>
      </c>
    </row>
    <row r="169" customFormat="false" ht="30" hidden="false" customHeight="false" outlineLevel="2" collapsed="false">
      <c r="A169" s="42" t="s">
        <v>270</v>
      </c>
      <c r="B169" s="43" t="s">
        <v>246</v>
      </c>
      <c r="C169" s="50" t="str">
        <f aca="false">VLOOKUP($B169,03_COMPOSIÇÕES!$A:$G,2,0)</f>
        <v>CONCRETAGEM DE RADIER, PISO DE CONCRETO OU LAJE SOBRE SOLO, FCK 35 MPA - LANÇAMENTO, ADENSAMENTO E ACABAMENTO.</v>
      </c>
      <c r="D169" s="45" t="s">
        <v>59</v>
      </c>
      <c r="E169" s="51" t="str">
        <f aca="false">VLOOKUP($B169,03_COMPOSIÇÕES!$A:$G,4,0)</f>
        <v>M3</v>
      </c>
      <c r="F169" s="46" t="n">
        <v>2.29</v>
      </c>
      <c r="G169" s="51" t="n">
        <f aca="false">VLOOKUP($B169,03_COMPOSIÇÕES!$A:$G,6,0)</f>
        <v>735.198688289448</v>
      </c>
      <c r="H169" s="52" t="n">
        <f aca="false">VLOOKUP($B169,03_COMPOSIÇÕES!$A:$G,7,0)</f>
        <v>13.921886844</v>
      </c>
      <c r="I169" s="47" t="n">
        <f aca="false">$F169*$G169</f>
        <v>1683.60499618284</v>
      </c>
      <c r="J169" s="47" t="n">
        <f aca="false">$F169*$H169</f>
        <v>31.88112087276</v>
      </c>
      <c r="K169" s="47" t="n">
        <f aca="false">$I169*(1+BDI_MAT)</f>
        <v>2030.76434639574</v>
      </c>
      <c r="L169" s="47" t="n">
        <f aca="false">$J169*(1+BDI_MDO)</f>
        <v>40.6452410006817</v>
      </c>
      <c r="M169" s="47" t="n">
        <f aca="false">SUM(K169:L169)</f>
        <v>2071.40958739642</v>
      </c>
      <c r="N169" s="20" t="str">
        <f aca="false">A169</f>
        <v>3.2.3.1.10</v>
      </c>
    </row>
    <row r="170" customFormat="false" ht="30" hidden="false" customHeight="false" outlineLevel="2" collapsed="false">
      <c r="A170" s="42" t="s">
        <v>271</v>
      </c>
      <c r="B170" s="43" t="n">
        <v>104738</v>
      </c>
      <c r="C170" s="50" t="str">
        <f aca="false">VLOOKUP($B170,03_COMPOSIÇÕES!$A:$G,2,0)</f>
        <v>ATERRO MECANIZADO DE VALA COM MINICARREGADEIRA, COM SOLO ARGILO-ARENOSO. AF_08/2023</v>
      </c>
      <c r="D170" s="45" t="s">
        <v>59</v>
      </c>
      <c r="E170" s="51" t="str">
        <f aca="false">VLOOKUP($B170,03_COMPOSIÇÕES!$A:$G,4,0)</f>
        <v>M3</v>
      </c>
      <c r="F170" s="46" t="n">
        <v>18.55</v>
      </c>
      <c r="G170" s="51" t="n">
        <f aca="false">VLOOKUP($B170,03_COMPOSIÇÕES!$A:$G,6,0)</f>
        <v>69.6992623958104</v>
      </c>
      <c r="H170" s="52" t="n">
        <f aca="false">VLOOKUP($B170,03_COMPOSIÇÕES!$A:$G,7,0)</f>
        <v>4.36239848964</v>
      </c>
      <c r="I170" s="47" t="n">
        <f aca="false">$F170*$G170</f>
        <v>1292.92131744228</v>
      </c>
      <c r="J170" s="47" t="n">
        <f aca="false">$F170*$H170</f>
        <v>80.922491982822</v>
      </c>
      <c r="K170" s="47" t="n">
        <f aca="false">$I170*(1+BDI_MAT)</f>
        <v>1559.52169309888</v>
      </c>
      <c r="L170" s="47" t="n">
        <f aca="false">$J170*(1+BDI_MDO)</f>
        <v>103.1680850289</v>
      </c>
      <c r="M170" s="47" t="n">
        <f aca="false">SUM(K170:L170)</f>
        <v>1662.68977812778</v>
      </c>
      <c r="N170" s="20" t="str">
        <f aca="false">A170</f>
        <v>3.2.3.1.11</v>
      </c>
    </row>
    <row r="171" customFormat="false" ht="45" hidden="false" customHeight="false" outlineLevel="2" collapsed="false">
      <c r="A171" s="42" t="s">
        <v>272</v>
      </c>
      <c r="B171" s="43" t="n">
        <v>97084</v>
      </c>
      <c r="C171" s="50" t="str">
        <f aca="false">VLOOKUP($B171,03_COMPOSIÇÕES!$A:$G,2,0)</f>
        <v>COMPACTAÇÃO MECÂNICA DE SOLO PARA EXECUÇÃO DE RADIER, PISO DE CONCRETO OU LAJE SOBRE SOLO, COM COMPACTADOR DE SOLOS TIPO PLACA VIBRATÓRIA. AF_09/2021</v>
      </c>
      <c r="D171" s="45" t="s">
        <v>59</v>
      </c>
      <c r="E171" s="51" t="str">
        <f aca="false">VLOOKUP($B171,03_COMPOSIÇÕES!$A:$G,4,0)</f>
        <v>M2</v>
      </c>
      <c r="F171" s="46" t="n">
        <v>34.5</v>
      </c>
      <c r="G171" s="51" t="n">
        <f aca="false">VLOOKUP($B171,03_COMPOSIÇÕES!$A:$G,6,0)</f>
        <v>0.250265994085</v>
      </c>
      <c r="H171" s="52" t="n">
        <f aca="false">VLOOKUP($B171,03_COMPOSIÇÕES!$A:$G,7,0)</f>
        <v>0.437104236</v>
      </c>
      <c r="I171" s="47" t="n">
        <f aca="false">$F171*$G171</f>
        <v>8.6341767959325</v>
      </c>
      <c r="J171" s="47" t="n">
        <f aca="false">$F171*$H171</f>
        <v>15.080096142</v>
      </c>
      <c r="K171" s="47" t="n">
        <f aca="false">$I171*(1+BDI_MAT)</f>
        <v>10.4145440512538</v>
      </c>
      <c r="L171" s="47" t="n">
        <f aca="false">$J171*(1+BDI_MDO)</f>
        <v>19.2256145714358</v>
      </c>
      <c r="M171" s="47" t="n">
        <f aca="false">SUM(K171:L171)</f>
        <v>29.6401586226896</v>
      </c>
      <c r="N171" s="20" t="str">
        <f aca="false">A171</f>
        <v>3.2.3.1.12</v>
      </c>
    </row>
    <row r="172" customFormat="false" ht="30" hidden="false" customHeight="false" outlineLevel="2" collapsed="false">
      <c r="A172" s="42" t="s">
        <v>273</v>
      </c>
      <c r="B172" s="43" t="n">
        <v>96622</v>
      </c>
      <c r="C172" s="50" t="str">
        <f aca="false">VLOOKUP($B172,03_COMPOSIÇÕES!$A:$G,2,0)</f>
        <v>LASTRO COM MATERIAL GRANULAR, APLICADO EM PISOS OU LAJES SOBRE SOLO, ESPESSURA DE *5 CM*. AF_01/2024</v>
      </c>
      <c r="D172" s="45" t="s">
        <v>59</v>
      </c>
      <c r="E172" s="51" t="str">
        <f aca="false">VLOOKUP($B172,03_COMPOSIÇÕES!$A:$G,4,0)</f>
        <v>M3</v>
      </c>
      <c r="F172" s="46" t="n">
        <v>1.73</v>
      </c>
      <c r="G172" s="51" t="n">
        <f aca="false">VLOOKUP($B172,03_COMPOSIÇÕES!$A:$G,6,0)</f>
        <v>179.616553215464</v>
      </c>
      <c r="H172" s="52" t="n">
        <f aca="false">VLOOKUP($B172,03_COMPOSIÇÕES!$A:$G,7,0)</f>
        <v>50.216478588</v>
      </c>
      <c r="I172" s="47" t="n">
        <f aca="false">$F172*$G172</f>
        <v>310.736637062753</v>
      </c>
      <c r="J172" s="47" t="n">
        <f aca="false">$F172*$H172</f>
        <v>86.87450795724</v>
      </c>
      <c r="K172" s="47" t="n">
        <f aca="false">$I172*(1+BDI_MAT)</f>
        <v>374.810531625092</v>
      </c>
      <c r="L172" s="47" t="n">
        <f aca="false">$J172*(1+BDI_MDO)</f>
        <v>110.756310194685</v>
      </c>
      <c r="M172" s="47" t="n">
        <f aca="false">SUM(K172:L172)</f>
        <v>485.566841819778</v>
      </c>
      <c r="N172" s="20" t="str">
        <f aca="false">A172</f>
        <v>3.2.3.1.13</v>
      </c>
    </row>
    <row r="173" customFormat="false" ht="30" hidden="false" customHeight="false" outlineLevel="2" collapsed="false">
      <c r="A173" s="42" t="s">
        <v>274</v>
      </c>
      <c r="B173" s="43" t="n">
        <v>97087</v>
      </c>
      <c r="C173" s="50" t="str">
        <f aca="false">VLOOKUP($B173,03_COMPOSIÇÕES!$A:$G,2,0)</f>
        <v>CAMADA SEPARADORA PARA EXECUÇÃO DE RADIER, PISO DE CONCRETO OU LAJE SOBRE SOLO, EM LONA PLÁSTICA. AF_09/2021</v>
      </c>
      <c r="D173" s="45" t="s">
        <v>59</v>
      </c>
      <c r="E173" s="51" t="str">
        <f aca="false">VLOOKUP($B173,03_COMPOSIÇÕES!$A:$G,4,0)</f>
        <v>M2</v>
      </c>
      <c r="F173" s="46" t="n">
        <v>34.5</v>
      </c>
      <c r="G173" s="51" t="n">
        <f aca="false">VLOOKUP($B173,03_COMPOSIÇÕES!$A:$G,6,0)</f>
        <v>1.84732</v>
      </c>
      <c r="H173" s="52" t="n">
        <f aca="false">VLOOKUP($B173,03_COMPOSIÇÕES!$A:$G,7,0)</f>
        <v>0.355203996</v>
      </c>
      <c r="I173" s="47" t="n">
        <f aca="false">$F173*$G173</f>
        <v>63.73254</v>
      </c>
      <c r="J173" s="47" t="n">
        <f aca="false">$F173*$H173</f>
        <v>12.254537862</v>
      </c>
      <c r="K173" s="47" t="n">
        <f aca="false">$I173*(1+BDI_MAT)</f>
        <v>76.874189748</v>
      </c>
      <c r="L173" s="47" t="n">
        <f aca="false">$J173*(1+BDI_MDO)</f>
        <v>15.6233103202638</v>
      </c>
      <c r="M173" s="47" t="n">
        <f aca="false">SUM(K173:L173)</f>
        <v>92.4975000682638</v>
      </c>
      <c r="N173" s="20" t="str">
        <f aca="false">A173</f>
        <v>3.2.3.1.14</v>
      </c>
    </row>
    <row r="174" customFormat="false" ht="15" hidden="false" customHeight="false" outlineLevel="1" collapsed="false">
      <c r="A174" s="42" t="s">
        <v>275</v>
      </c>
      <c r="B174" s="43"/>
      <c r="C174" s="58" t="s">
        <v>276</v>
      </c>
      <c r="D174" s="45"/>
      <c r="E174" s="45"/>
      <c r="F174" s="46"/>
      <c r="G174" s="51"/>
      <c r="H174" s="52"/>
      <c r="I174" s="47" t="n">
        <f aca="false">SUBTOTAL(9,I175:I183)</f>
        <v>13579.5515011703</v>
      </c>
      <c r="J174" s="47" t="n">
        <f aca="false">SUBTOTAL(9,J175:J183)</f>
        <v>2595.20463865808</v>
      </c>
      <c r="K174" s="47" t="n">
        <f aca="false">SUBTOTAL(9,K175:K183)</f>
        <v>16379.6550207116</v>
      </c>
      <c r="L174" s="47" t="n">
        <f aca="false">SUBTOTAL(9,L175:L183)</f>
        <v>3308.62639382518</v>
      </c>
      <c r="M174" s="47" t="n">
        <f aca="false">SUBTOTAL(9,M175:M183)</f>
        <v>19688.2814145368</v>
      </c>
      <c r="N174" s="20" t="str">
        <f aca="false">A174</f>
        <v>3.2.3.2</v>
      </c>
    </row>
    <row r="175" customFormat="false" ht="45" hidden="false" customHeight="false" outlineLevel="2" collapsed="false">
      <c r="A175" s="42" t="s">
        <v>277</v>
      </c>
      <c r="B175" s="43" t="s">
        <v>261</v>
      </c>
      <c r="C175" s="50" t="str">
        <f aca="false">VLOOKUP($B175,03_COMPOSIÇÕES!$A:$G,2,0)</f>
        <v>ESTACA BROCA DE CONCRETO, DIÂMETRO DE 25CM, ESCAVAÇÃO MANUAL COM TRADO CONCHA, COM ARMADURA LOGITUDIONAL DE Ø8,0MM E TRANSVERSAL DE Ø6,3MM, CONCRETO FCK 35 MPA.</v>
      </c>
      <c r="D175" s="45" t="s">
        <v>59</v>
      </c>
      <c r="E175" s="51" t="str">
        <f aca="false">VLOOKUP($B175,03_COMPOSIÇÕES!$A:$G,4,0)</f>
        <v>M</v>
      </c>
      <c r="F175" s="46" t="n">
        <v>20</v>
      </c>
      <c r="G175" s="51" t="n">
        <f aca="false">VLOOKUP($B175,03_COMPOSIÇÕES!$A:$G,6,0)</f>
        <v>83.0189549368</v>
      </c>
      <c r="H175" s="52" t="n">
        <f aca="false">VLOOKUP($B175,03_COMPOSIÇÕES!$A:$G,7,0)</f>
        <v>35.4777158833496</v>
      </c>
      <c r="I175" s="47" t="n">
        <f aca="false">$F175*$G175</f>
        <v>1660.379098736</v>
      </c>
      <c r="J175" s="47" t="n">
        <f aca="false">$F175*$H175</f>
        <v>709.554317666992</v>
      </c>
      <c r="K175" s="47" t="n">
        <f aca="false">$I175*(1+BDI_MAT)</f>
        <v>2002.74926889536</v>
      </c>
      <c r="L175" s="47" t="n">
        <f aca="false">$J175*(1+BDI_MDO)</f>
        <v>904.610799593649</v>
      </c>
      <c r="M175" s="47" t="n">
        <f aca="false">SUM(K175:L175)</f>
        <v>2907.36006848901</v>
      </c>
      <c r="N175" s="20" t="str">
        <f aca="false">A175</f>
        <v>3.2.3.2.1</v>
      </c>
    </row>
    <row r="176" customFormat="false" ht="30" hidden="false" customHeight="false" outlineLevel="2" collapsed="false">
      <c r="A176" s="42" t="s">
        <v>278</v>
      </c>
      <c r="B176" s="43" t="n">
        <v>95601</v>
      </c>
      <c r="C176" s="50" t="str">
        <f aca="false">VLOOKUP($B176,03_COMPOSIÇÕES!$A:$G,2,0)</f>
        <v>ARRASAMENTO MECANICO DE ESTACA DE CONCRETO ARMADO, DIAMETROS DE ATÉ 40 CM. AF_05/2021</v>
      </c>
      <c r="D176" s="45" t="s">
        <v>59</v>
      </c>
      <c r="E176" s="51" t="str">
        <f aca="false">VLOOKUP($B176,03_COMPOSIÇÕES!$A:$G,4,0)</f>
        <v>UN</v>
      </c>
      <c r="F176" s="46" t="n">
        <v>10</v>
      </c>
      <c r="G176" s="51" t="n">
        <f aca="false">VLOOKUP($B176,03_COMPOSIÇÕES!$A:$G,6,0)</f>
        <v>5.4374740934</v>
      </c>
      <c r="H176" s="52" t="n">
        <f aca="false">VLOOKUP($B176,03_COMPOSIÇÕES!$A:$G,7,0)</f>
        <v>10.3310177883</v>
      </c>
      <c r="I176" s="47" t="n">
        <f aca="false">$F176*$G176</f>
        <v>54.374740934</v>
      </c>
      <c r="J176" s="47" t="n">
        <f aca="false">$F176*$H176</f>
        <v>103.310177883</v>
      </c>
      <c r="K176" s="47" t="n">
        <f aca="false">$I176*(1+BDI_MAT)</f>
        <v>65.5868125145908</v>
      </c>
      <c r="L176" s="47" t="n">
        <f aca="false">$J176*(1+BDI_MDO)</f>
        <v>131.710145783037</v>
      </c>
      <c r="M176" s="47" t="n">
        <f aca="false">SUM(K176:L176)</f>
        <v>197.296958297628</v>
      </c>
      <c r="N176" s="20" t="str">
        <f aca="false">A176</f>
        <v>3.2.3.2.2</v>
      </c>
    </row>
    <row r="177" customFormat="false" ht="30" hidden="false" customHeight="false" outlineLevel="2" collapsed="false">
      <c r="A177" s="42" t="s">
        <v>279</v>
      </c>
      <c r="B177" s="43" t="n">
        <v>96523</v>
      </c>
      <c r="C177" s="50" t="str">
        <f aca="false">VLOOKUP($B177,03_COMPOSIÇÕES!$A:$G,2,0)</f>
        <v>ESCAVAÇÃO MANUAL PARA BLOCO DE COROAMENTO OU SAPATA (INCLUINDO ESCAVAÇÃO PARA COLOCAÇÃO DE FÔRMAS). AF_01/2024</v>
      </c>
      <c r="D177" s="45" t="s">
        <v>59</v>
      </c>
      <c r="E177" s="51" t="str">
        <f aca="false">VLOOKUP($B177,03_COMPOSIÇÕES!$A:$G,4,0)</f>
        <v>M3</v>
      </c>
      <c r="F177" s="46" t="n">
        <v>4.22</v>
      </c>
      <c r="G177" s="51" t="n">
        <f aca="false">VLOOKUP($B177,03_COMPOSIÇÕES!$A:$G,6,0)</f>
        <v>30.44958</v>
      </c>
      <c r="H177" s="52" t="n">
        <f aca="false">VLOOKUP($B177,03_COMPOSIÇÕES!$A:$G,7,0)</f>
        <v>61.286521464</v>
      </c>
      <c r="I177" s="47" t="n">
        <f aca="false">$F177*$G177</f>
        <v>128.4972276</v>
      </c>
      <c r="J177" s="47" t="n">
        <f aca="false">$F177*$H177</f>
        <v>258.62912057808</v>
      </c>
      <c r="K177" s="47" t="n">
        <f aca="false">$I177*(1+BDI_MAT)</f>
        <v>154.99335593112</v>
      </c>
      <c r="L177" s="47" t="n">
        <f aca="false">$J177*(1+BDI_MDO)</f>
        <v>329.726265824994</v>
      </c>
      <c r="M177" s="47" t="n">
        <f aca="false">SUM(K177:L177)</f>
        <v>484.719621756114</v>
      </c>
      <c r="N177" s="20" t="str">
        <f aca="false">A177</f>
        <v>3.2.3.2.3</v>
      </c>
    </row>
    <row r="178" customFormat="false" ht="45" hidden="false" customHeight="false" outlineLevel="2" collapsed="false">
      <c r="A178" s="42" t="s">
        <v>280</v>
      </c>
      <c r="B178" s="43" t="n">
        <v>96531</v>
      </c>
      <c r="C178" s="50" t="str">
        <f aca="false">VLOOKUP($B178,03_COMPOSIÇÕES!$A:$G,2,0)</f>
        <v>FABRICAÇÃO, MONTAGEM E DESMONTAGEM DE FÔRMA PARA BLOCO DE COROAMENTO, EM MADEIRA SERRADA, E=25 MM, 2 UTILIZAÇÕES. AF_01/2024</v>
      </c>
      <c r="D178" s="45" t="s">
        <v>59</v>
      </c>
      <c r="E178" s="51" t="str">
        <f aca="false">VLOOKUP($B178,03_COMPOSIÇÕES!$A:$G,4,0)</f>
        <v>M2</v>
      </c>
      <c r="F178" s="46" t="n">
        <v>22.5</v>
      </c>
      <c r="G178" s="51" t="n">
        <f aca="false">VLOOKUP($B178,03_COMPOSIÇÕES!$A:$G,6,0)</f>
        <v>74.432604871704</v>
      </c>
      <c r="H178" s="52" t="n">
        <f aca="false">VLOOKUP($B178,03_COMPOSIÇÕES!$A:$G,7,0)</f>
        <v>37.3469979048</v>
      </c>
      <c r="I178" s="47" t="n">
        <f aca="false">$F178*$G178</f>
        <v>1674.73360961334</v>
      </c>
      <c r="J178" s="47" t="n">
        <f aca="false">$F178*$H178</f>
        <v>840.307452858</v>
      </c>
      <c r="K178" s="47" t="n">
        <f aca="false">$I178*(1+BDI_MAT)</f>
        <v>2020.06367991561</v>
      </c>
      <c r="L178" s="47" t="n">
        <f aca="false">$J178*(1+BDI_MDO)</f>
        <v>1071.30797164866</v>
      </c>
      <c r="M178" s="47" t="n">
        <f aca="false">SUM(K178:L178)</f>
        <v>3091.37165156427</v>
      </c>
      <c r="N178" s="20" t="str">
        <f aca="false">A178</f>
        <v>3.2.3.2.4</v>
      </c>
    </row>
    <row r="179" customFormat="false" ht="30" hidden="false" customHeight="false" outlineLevel="2" collapsed="false">
      <c r="A179" s="42" t="s">
        <v>281</v>
      </c>
      <c r="B179" s="43" t="n">
        <v>96621</v>
      </c>
      <c r="C179" s="50" t="str">
        <f aca="false">VLOOKUP($B179,03_COMPOSIÇÕES!$A:$G,2,0)</f>
        <v>LASTRO COM MATERIAL GRANULAR, APLICAÇÃO EM BLOCOS DE COROAMENTO, ESPESSURA DE *5 CM*. AF_01/2024</v>
      </c>
      <c r="D179" s="45" t="s">
        <v>59</v>
      </c>
      <c r="E179" s="51" t="str">
        <f aca="false">VLOOKUP($B179,03_COMPOSIÇÕES!$A:$G,4,0)</f>
        <v>M3</v>
      </c>
      <c r="F179" s="46" t="n">
        <v>0.28</v>
      </c>
      <c r="G179" s="51" t="n">
        <f aca="false">VLOOKUP($B179,03_COMPOSIÇÕES!$A:$G,6,0)</f>
        <v>25.203982020572</v>
      </c>
      <c r="H179" s="52" t="n">
        <f aca="false">VLOOKUP($B179,03_COMPOSIÇÕES!$A:$G,7,0)</f>
        <v>60.114868068</v>
      </c>
      <c r="I179" s="47" t="n">
        <f aca="false">$F179*$G179</f>
        <v>7.05711496576016</v>
      </c>
      <c r="J179" s="47" t="n">
        <f aca="false">$F179*$H179</f>
        <v>16.83216305904</v>
      </c>
      <c r="K179" s="47" t="n">
        <f aca="false">$I179*(1+BDI_MAT)</f>
        <v>8.51229207169991</v>
      </c>
      <c r="L179" s="47" t="n">
        <f aca="false">$J179*(1+BDI_MDO)</f>
        <v>21.4593246839701</v>
      </c>
      <c r="M179" s="47" t="n">
        <f aca="false">SUM(K179:L179)</f>
        <v>29.97161675567</v>
      </c>
      <c r="N179" s="20" t="str">
        <f aca="false">A179</f>
        <v>3.2.3.2.5</v>
      </c>
    </row>
    <row r="180" customFormat="false" ht="30" hidden="false" customHeight="false" outlineLevel="2" collapsed="false">
      <c r="A180" s="42" t="s">
        <v>282</v>
      </c>
      <c r="B180" s="43" t="n">
        <v>96543</v>
      </c>
      <c r="C180" s="50" t="str">
        <f aca="false">VLOOKUP($B180,03_COMPOSIÇÕES!$A:$G,2,0)</f>
        <v>ARMAÇÃO DE BLOCO UTILIZANDO AÇO CA-60 DE 5 MM - MONTAGEM. AF_01/2024</v>
      </c>
      <c r="D180" s="45" t="s">
        <v>59</v>
      </c>
      <c r="E180" s="51" t="str">
        <f aca="false">VLOOKUP($B180,03_COMPOSIÇÕES!$A:$G,4,0)</f>
        <v>KG</v>
      </c>
      <c r="F180" s="46" t="n">
        <v>30.46</v>
      </c>
      <c r="G180" s="51" t="n">
        <f aca="false">VLOOKUP($B180,03_COMPOSIÇÕES!$A:$G,6,0)</f>
        <v>11.596866</v>
      </c>
      <c r="H180" s="52" t="n">
        <f aca="false">VLOOKUP($B180,03_COMPOSIÇÕES!$A:$G,7,0)</f>
        <v>7.77106703448</v>
      </c>
      <c r="I180" s="47" t="n">
        <f aca="false">$F180*$G180</f>
        <v>353.24053836</v>
      </c>
      <c r="J180" s="47" t="n">
        <f aca="false">$F180*$H180</f>
        <v>236.706701870261</v>
      </c>
      <c r="K180" s="47" t="n">
        <f aca="false">$I180*(1+BDI_MAT)</f>
        <v>426.078737369832</v>
      </c>
      <c r="L180" s="47" t="n">
        <f aca="false">$J180*(1+BDI_MDO)</f>
        <v>301.777374214396</v>
      </c>
      <c r="M180" s="47" t="n">
        <f aca="false">SUM(K180:L180)</f>
        <v>727.856111584228</v>
      </c>
      <c r="N180" s="20" t="str">
        <f aca="false">A180</f>
        <v>3.2.3.2.6</v>
      </c>
    </row>
    <row r="181" customFormat="false" ht="30" hidden="false" customHeight="false" outlineLevel="2" collapsed="false">
      <c r="A181" s="42" t="s">
        <v>283</v>
      </c>
      <c r="B181" s="43" t="n">
        <v>96546</v>
      </c>
      <c r="C181" s="50" t="str">
        <f aca="false">VLOOKUP($B181,03_COMPOSIÇÕES!$A:$G,2,0)</f>
        <v>ARMAÇÃO DE BLOCO UTILIZANDO AÇO CA-50 DE 10 MM - MONTAGEM. AF_01/2024</v>
      </c>
      <c r="D181" s="45" t="s">
        <v>59</v>
      </c>
      <c r="E181" s="51" t="str">
        <f aca="false">VLOOKUP($B181,03_COMPOSIÇÕES!$A:$G,4,0)</f>
        <v>KG</v>
      </c>
      <c r="F181" s="46" t="n">
        <v>66.64</v>
      </c>
      <c r="G181" s="51" t="n">
        <f aca="false">VLOOKUP($B181,03_COMPOSIÇÕES!$A:$G,6,0)</f>
        <v>10.043538</v>
      </c>
      <c r="H181" s="52" t="n">
        <f aca="false">VLOOKUP($B181,03_COMPOSIÇÕES!$A:$G,7,0)</f>
        <v>3.1615278084</v>
      </c>
      <c r="I181" s="47" t="n">
        <f aca="false">$F181*$G181</f>
        <v>669.30137232</v>
      </c>
      <c r="J181" s="47" t="n">
        <f aca="false">$F181*$H181</f>
        <v>210.684213151776</v>
      </c>
      <c r="K181" s="47" t="n">
        <f aca="false">$I181*(1+BDI_MAT)</f>
        <v>807.311315292384</v>
      </c>
      <c r="L181" s="47" t="n">
        <f aca="false">$J181*(1+BDI_MDO)</f>
        <v>268.601303347199</v>
      </c>
      <c r="M181" s="47" t="n">
        <f aca="false">SUM(K181:L181)</f>
        <v>1075.91261863958</v>
      </c>
      <c r="N181" s="20" t="str">
        <f aca="false">A181</f>
        <v>3.2.3.2.7</v>
      </c>
    </row>
    <row r="182" customFormat="false" ht="45" hidden="false" customHeight="false" outlineLevel="2" collapsed="false">
      <c r="A182" s="42" t="s">
        <v>284</v>
      </c>
      <c r="B182" s="43" t="s">
        <v>131</v>
      </c>
      <c r="C182" s="50" t="str">
        <f aca="false">VLOOKUP($B182,03_COMPOSIÇÕES!$A:$G,2,0)</f>
        <v>CONCRETAGEM DE BLOCO DE COROAMENTO OU VIGA BALDRAME, FCK 35 MPA, COM USO DE BOMBA - LANÇAMENTO, ADENSAMENTO E ACABAMENTO.</v>
      </c>
      <c r="D182" s="45" t="s">
        <v>59</v>
      </c>
      <c r="E182" s="51" t="str">
        <f aca="false">VLOOKUP($B182,03_COMPOSIÇÕES!$A:$G,4,0)</f>
        <v>M3</v>
      </c>
      <c r="F182" s="46" t="n">
        <v>4.22</v>
      </c>
      <c r="G182" s="51" t="n">
        <f aca="false">VLOOKUP($B182,03_COMPOSIÇÕES!$A:$G,6,0)</f>
        <v>851.632968052008</v>
      </c>
      <c r="H182" s="52" t="n">
        <f aca="false">VLOOKUP($B182,03_COMPOSIÇÕES!$A:$G,7,0)</f>
        <v>13.522148316</v>
      </c>
      <c r="I182" s="47" t="n">
        <f aca="false">$F182*$G182</f>
        <v>3593.89112517947</v>
      </c>
      <c r="J182" s="47" t="n">
        <f aca="false">$F182*$H182</f>
        <v>57.06346589352</v>
      </c>
      <c r="K182" s="47" t="n">
        <f aca="false">$I182*(1+BDI_MAT)</f>
        <v>4334.95147519148</v>
      </c>
      <c r="L182" s="47" t="n">
        <f aca="false">$J182*(1+BDI_MDO)</f>
        <v>72.7502126676486</v>
      </c>
      <c r="M182" s="47" t="n">
        <f aca="false">SUM(K182:L182)</f>
        <v>4407.70168785913</v>
      </c>
      <c r="N182" s="20" t="str">
        <f aca="false">A182</f>
        <v>3.2.3.2.8</v>
      </c>
    </row>
    <row r="183" customFormat="false" ht="45" hidden="false" customHeight="false" outlineLevel="2" collapsed="false">
      <c r="A183" s="42" t="s">
        <v>285</v>
      </c>
      <c r="B183" s="43" t="s">
        <v>286</v>
      </c>
      <c r="C183" s="50" t="str">
        <f aca="false">VLOOKUP($B183,03_COMPOSIÇÕES!$A:$G,2,0)</f>
        <v>PILAR METÁLICO PERFIL LAMINADO/SOLDADO EM AÇO ESTRUTURAL, COM CONEXÕES PARAFUSADAS, INCLUSOS MÃO DE OBRA, TRANSPORTE E IÇAMENTO UTILIZANDO GUINDASTE - FORNECIMENTO E INSTALAÇÃO.</v>
      </c>
      <c r="D183" s="45" t="s">
        <v>59</v>
      </c>
      <c r="E183" s="51" t="str">
        <f aca="false">VLOOKUP($B183,03_COMPOSIÇÕES!$A:$G,4,0)</f>
        <v>KG</v>
      </c>
      <c r="F183" s="46" t="n">
        <v>407.55</v>
      </c>
      <c r="G183" s="51" t="n">
        <f aca="false">VLOOKUP($B183,03_COMPOSIÇÕES!$A:$G,6,0)</f>
        <v>13.3433362126408</v>
      </c>
      <c r="H183" s="52" t="n">
        <f aca="false">VLOOKUP($B183,03_COMPOSIÇÕES!$A:$G,7,0)</f>
        <v>0.3977843839956</v>
      </c>
      <c r="I183" s="47" t="n">
        <f aca="false">$F183*$G183</f>
        <v>5438.07667346175</v>
      </c>
      <c r="J183" s="47" t="n">
        <f aca="false">$F183*$H183</f>
        <v>162.117025697407</v>
      </c>
      <c r="K183" s="47" t="n">
        <f aca="false">$I183*(1+BDI_MAT)</f>
        <v>6559.40808352956</v>
      </c>
      <c r="L183" s="47" t="n">
        <f aca="false">$J183*(1+BDI_MDO)</f>
        <v>206.682996061624</v>
      </c>
      <c r="M183" s="47" t="n">
        <f aca="false">SUM(K183:L183)</f>
        <v>6766.09107959118</v>
      </c>
      <c r="N183" s="20" t="str">
        <f aca="false">A183</f>
        <v>3.2.3.2.9</v>
      </c>
    </row>
    <row r="184" customFormat="false" ht="15" hidden="false" customHeight="false" outlineLevel="1" collapsed="false">
      <c r="A184" s="42" t="s">
        <v>287</v>
      </c>
      <c r="B184" s="43"/>
      <c r="C184" s="50" t="s">
        <v>288</v>
      </c>
      <c r="D184" s="45"/>
      <c r="E184" s="45"/>
      <c r="F184" s="46"/>
      <c r="G184" s="51"/>
      <c r="H184" s="52"/>
      <c r="I184" s="47" t="n">
        <f aca="false">SUBTOTAL(9,I185:I195)</f>
        <v>9619.37071382553</v>
      </c>
      <c r="J184" s="47" t="n">
        <f aca="false">SUBTOTAL(9,J185:J195)</f>
        <v>1286.57005619761</v>
      </c>
      <c r="K184" s="47" t="n">
        <f aca="false">SUBTOTAL(9,K185:K195)</f>
        <v>11602.8849550164</v>
      </c>
      <c r="L184" s="47" t="n">
        <f aca="false">SUBTOTAL(9,L185:L195)</f>
        <v>1640.24816464633</v>
      </c>
      <c r="M184" s="47" t="n">
        <f aca="false">SUBTOTAL(9,M185:M195)</f>
        <v>13243.1331196627</v>
      </c>
      <c r="N184" s="20" t="str">
        <f aca="false">A184</f>
        <v>3.2.3.3</v>
      </c>
    </row>
    <row r="185" customFormat="false" ht="45" hidden="false" customHeight="false" outlineLevel="2" collapsed="false">
      <c r="A185" s="42" t="s">
        <v>289</v>
      </c>
      <c r="B185" s="43" t="n">
        <v>97084</v>
      </c>
      <c r="C185" s="50" t="str">
        <f aca="false">VLOOKUP($B185,03_COMPOSIÇÕES!$A:$G,2,0)</f>
        <v>COMPACTAÇÃO MECÂNICA DE SOLO PARA EXECUÇÃO DE RADIER, PISO DE CONCRETO OU LAJE SOBRE SOLO, COM COMPACTADOR DE SOLOS TIPO PLACA VIBRATÓRIA. AF_09/2021</v>
      </c>
      <c r="D185" s="45" t="s">
        <v>59</v>
      </c>
      <c r="E185" s="51" t="str">
        <f aca="false">VLOOKUP($B185,03_COMPOSIÇÕES!$A:$G,4,0)</f>
        <v>M2</v>
      </c>
      <c r="F185" s="46" t="n">
        <v>23.68</v>
      </c>
      <c r="G185" s="51" t="n">
        <f aca="false">VLOOKUP($B185,03_COMPOSIÇÕES!$A:$G,6,0)</f>
        <v>0.250265994085</v>
      </c>
      <c r="H185" s="52" t="n">
        <f aca="false">VLOOKUP($B185,03_COMPOSIÇÕES!$A:$G,7,0)</f>
        <v>0.437104236</v>
      </c>
      <c r="I185" s="47" t="n">
        <f aca="false">$F185*$G185</f>
        <v>5.9262987399328</v>
      </c>
      <c r="J185" s="47" t="n">
        <f aca="false">$F185*$H185</f>
        <v>10.35062830848</v>
      </c>
      <c r="K185" s="47" t="n">
        <f aca="false">$I185*(1+BDI_MAT)</f>
        <v>7.14830154010694</v>
      </c>
      <c r="L185" s="47" t="n">
        <f aca="false">$J185*(1+BDI_MDO)</f>
        <v>13.1960160304812</v>
      </c>
      <c r="M185" s="47" t="n">
        <f aca="false">SUM(K185:L185)</f>
        <v>20.3443175705881</v>
      </c>
      <c r="N185" s="20" t="str">
        <f aca="false">A185</f>
        <v>3.2.3.3.1</v>
      </c>
    </row>
    <row r="186" customFormat="false" ht="30" hidden="false" customHeight="false" outlineLevel="2" collapsed="false">
      <c r="A186" s="42" t="s">
        <v>290</v>
      </c>
      <c r="B186" s="43" t="n">
        <v>96622</v>
      </c>
      <c r="C186" s="50" t="str">
        <f aca="false">VLOOKUP($B186,03_COMPOSIÇÕES!$A:$G,2,0)</f>
        <v>LASTRO COM MATERIAL GRANULAR, APLICADO EM PISOS OU LAJES SOBRE SOLO, ESPESSURA DE *5 CM*. AF_01/2024</v>
      </c>
      <c r="D186" s="45" t="s">
        <v>59</v>
      </c>
      <c r="E186" s="51" t="str">
        <f aca="false">VLOOKUP($B186,03_COMPOSIÇÕES!$A:$G,4,0)</f>
        <v>M3</v>
      </c>
      <c r="F186" s="46" t="n">
        <v>2.37</v>
      </c>
      <c r="G186" s="51" t="n">
        <f aca="false">VLOOKUP($B186,03_COMPOSIÇÕES!$A:$G,6,0)</f>
        <v>179.616553215464</v>
      </c>
      <c r="H186" s="52" t="n">
        <f aca="false">VLOOKUP($B186,03_COMPOSIÇÕES!$A:$G,7,0)</f>
        <v>50.216478588</v>
      </c>
      <c r="I186" s="47" t="n">
        <f aca="false">$F186*$G186</f>
        <v>425.69123112065</v>
      </c>
      <c r="J186" s="47" t="n">
        <f aca="false">$F186*$H186</f>
        <v>119.01305425356</v>
      </c>
      <c r="K186" s="47" t="n">
        <f aca="false">$I186*(1+BDI_MAT)</f>
        <v>513.468762977728</v>
      </c>
      <c r="L186" s="47" t="n">
        <f aca="false">$J186*(1+BDI_MDO)</f>
        <v>151.729742867864</v>
      </c>
      <c r="M186" s="47" t="n">
        <f aca="false">SUM(K186:L186)</f>
        <v>665.198505845591</v>
      </c>
      <c r="N186" s="20" t="str">
        <f aca="false">A186</f>
        <v>3.2.3.3.2</v>
      </c>
    </row>
    <row r="187" customFormat="false" ht="30" hidden="false" customHeight="false" outlineLevel="2" collapsed="false">
      <c r="A187" s="42" t="s">
        <v>291</v>
      </c>
      <c r="B187" s="43" t="n">
        <v>97087</v>
      </c>
      <c r="C187" s="50" t="str">
        <f aca="false">VLOOKUP($B187,03_COMPOSIÇÕES!$A:$G,2,0)</f>
        <v>CAMADA SEPARADORA PARA EXECUÇÃO DE RADIER, PISO DE CONCRETO OU LAJE SOBRE SOLO, EM LONA PLÁSTICA. AF_09/2021</v>
      </c>
      <c r="D187" s="45" t="s">
        <v>59</v>
      </c>
      <c r="E187" s="51" t="str">
        <f aca="false">VLOOKUP($B187,03_COMPOSIÇÕES!$A:$G,4,0)</f>
        <v>M2</v>
      </c>
      <c r="F187" s="46" t="n">
        <v>23.68</v>
      </c>
      <c r="G187" s="51" t="n">
        <f aca="false">VLOOKUP($B187,03_COMPOSIÇÕES!$A:$G,6,0)</f>
        <v>1.84732</v>
      </c>
      <c r="H187" s="52" t="n">
        <f aca="false">VLOOKUP($B187,03_COMPOSIÇÕES!$A:$G,7,0)</f>
        <v>0.355203996</v>
      </c>
      <c r="I187" s="47" t="n">
        <f aca="false">$F187*$G187</f>
        <v>43.7445376</v>
      </c>
      <c r="J187" s="47" t="n">
        <f aca="false">$F187*$H187</f>
        <v>8.41123062528</v>
      </c>
      <c r="K187" s="47" t="n">
        <f aca="false">$I187*(1+BDI_MAT)</f>
        <v>52.76466125312</v>
      </c>
      <c r="L187" s="47" t="n">
        <f aca="false">$J187*(1+BDI_MDO)</f>
        <v>10.7234779241695</v>
      </c>
      <c r="M187" s="47" t="n">
        <f aca="false">SUM(K187:L187)</f>
        <v>63.4881391772895</v>
      </c>
      <c r="N187" s="20" t="str">
        <f aca="false">A187</f>
        <v>3.2.3.3.3</v>
      </c>
    </row>
    <row r="188" customFormat="false" ht="30" hidden="false" customHeight="false" outlineLevel="2" collapsed="false">
      <c r="A188" s="42" t="s">
        <v>292</v>
      </c>
      <c r="B188" s="43" t="n">
        <v>97092</v>
      </c>
      <c r="C188" s="50" t="str">
        <f aca="false">VLOOKUP($B188,03_COMPOSIÇÕES!$A:$G,2,0)</f>
        <v>ARMAÇÃO PARA EXECUÇÃO DE RADIER, PISO DE CONCRETO OU LAJE SOBRE SOLO, COM USO DE TELA Q-196. AF_09/2021</v>
      </c>
      <c r="D188" s="45" t="s">
        <v>59</v>
      </c>
      <c r="E188" s="51" t="str">
        <f aca="false">VLOOKUP($B188,03_COMPOSIÇÕES!$A:$G,4,0)</f>
        <v>KG</v>
      </c>
      <c r="F188" s="46" t="n">
        <v>228.59</v>
      </c>
      <c r="G188" s="51" t="n">
        <f aca="false">VLOOKUP($B188,03_COMPOSIÇÕES!$A:$G,6,0)</f>
        <v>11.61434</v>
      </c>
      <c r="H188" s="52" t="n">
        <f aca="false">VLOOKUP($B188,03_COMPOSIÇÕES!$A:$G,7,0)</f>
        <v>0.5981842944</v>
      </c>
      <c r="I188" s="47" t="n">
        <f aca="false">$F188*$G188</f>
        <v>2654.9219806</v>
      </c>
      <c r="J188" s="47" t="n">
        <f aca="false">$F188*$H188</f>
        <v>136.738947856896</v>
      </c>
      <c r="K188" s="47" t="n">
        <f aca="false">$I188*(1+BDI_MAT)</f>
        <v>3202.36689299972</v>
      </c>
      <c r="L188" s="47" t="n">
        <f aca="false">$J188*(1+BDI_MDO)</f>
        <v>174.328484622757</v>
      </c>
      <c r="M188" s="47" t="n">
        <f aca="false">SUM(K188:L188)</f>
        <v>3376.69537762248</v>
      </c>
      <c r="N188" s="20" t="str">
        <f aca="false">A188</f>
        <v>3.2.3.3.4</v>
      </c>
    </row>
    <row r="189" customFormat="false" ht="30" hidden="false" customHeight="false" outlineLevel="2" collapsed="false">
      <c r="A189" s="42" t="s">
        <v>293</v>
      </c>
      <c r="B189" s="43" t="s">
        <v>231</v>
      </c>
      <c r="C189" s="50" t="str">
        <f aca="false">VLOOKUP($B189,03_COMPOSIÇÕES!$A:$G,2,0)</f>
        <v>CONCRETAGEM DE RADIER, PISO DE CONCRETO OU LAJE SOBRE SOLO, FCK 25 MPA - LANÇAMENTO, ADENSAMENTO E ACABAMENTO.</v>
      </c>
      <c r="D189" s="45" t="s">
        <v>59</v>
      </c>
      <c r="E189" s="51" t="str">
        <f aca="false">VLOOKUP($B189,03_COMPOSIÇÕES!$A:$G,4,0)</f>
        <v>M3</v>
      </c>
      <c r="F189" s="46" t="n">
        <v>5.92</v>
      </c>
      <c r="G189" s="51" t="n">
        <f aca="false">VLOOKUP($B189,03_COMPOSIÇÕES!$A:$G,6,0)</f>
        <v>663.774408289448</v>
      </c>
      <c r="H189" s="52" t="n">
        <f aca="false">VLOOKUP($B189,03_COMPOSIÇÕES!$A:$G,7,0)</f>
        <v>13.921886844</v>
      </c>
      <c r="I189" s="47" t="n">
        <f aca="false">$F189*$G189</f>
        <v>3929.54449707353</v>
      </c>
      <c r="J189" s="47" t="n">
        <f aca="false">$F189*$H189</f>
        <v>82.41757011648</v>
      </c>
      <c r="K189" s="47" t="n">
        <f aca="false">$I189*(1+BDI_MAT)</f>
        <v>4739.81657237009</v>
      </c>
      <c r="L189" s="47" t="n">
        <f aca="false">$J189*(1+BDI_MDO)</f>
        <v>105.0741601415</v>
      </c>
      <c r="M189" s="47" t="n">
        <f aca="false">SUM(K189:L189)</f>
        <v>4844.89073251159</v>
      </c>
      <c r="N189" s="20" t="str">
        <f aca="false">A189</f>
        <v>3.2.3.3.5</v>
      </c>
    </row>
    <row r="190" customFormat="false" ht="15" hidden="false" customHeight="false" outlineLevel="2" collapsed="false">
      <c r="A190" s="42" t="s">
        <v>294</v>
      </c>
      <c r="B190" s="43" t="s">
        <v>198</v>
      </c>
      <c r="C190" s="50" t="str">
        <f aca="false">VLOOKUP($B190,03_COMPOSIÇÕES!$A:$G,2,0)</f>
        <v>CURA ÚMIDA POR ASPERSÃO DE ÁGUA DURANTE 7 DIAS.</v>
      </c>
      <c r="D190" s="45" t="s">
        <v>59</v>
      </c>
      <c r="E190" s="51" t="str">
        <f aca="false">VLOOKUP($B190,03_COMPOSIÇÕES!$A:$G,4,0)</f>
        <v>M2</v>
      </c>
      <c r="F190" s="46" t="n">
        <v>23.68</v>
      </c>
      <c r="G190" s="51" t="n">
        <f aca="false">VLOOKUP($B190,03_COMPOSIÇÕES!$A:$G,6,0)</f>
        <v>7.944602</v>
      </c>
      <c r="H190" s="52" t="n">
        <f aca="false">VLOOKUP($B190,03_COMPOSIÇÕES!$A:$G,7,0)</f>
        <v>8.0831748228</v>
      </c>
      <c r="I190" s="47" t="n">
        <f aca="false">$F190*$G190</f>
        <v>188.12817536</v>
      </c>
      <c r="J190" s="47" t="n">
        <f aca="false">$F190*$H190</f>
        <v>191.409579803904</v>
      </c>
      <c r="K190" s="47" t="n">
        <f aca="false">$I190*(1+BDI_MAT)</f>
        <v>226.920205119232</v>
      </c>
      <c r="L190" s="47" t="n">
        <f aca="false">$J190*(1+BDI_MDO)</f>
        <v>244.028073291997</v>
      </c>
      <c r="M190" s="47" t="n">
        <f aca="false">SUM(K190:L190)</f>
        <v>470.948278411229</v>
      </c>
      <c r="N190" s="20" t="str">
        <f aca="false">A190</f>
        <v>3.2.3.3.6</v>
      </c>
    </row>
    <row r="191" customFormat="false" ht="15" hidden="false" customHeight="false" outlineLevel="2" collapsed="false">
      <c r="A191" s="42" t="s">
        <v>295</v>
      </c>
      <c r="B191" s="43" t="n">
        <v>97082</v>
      </c>
      <c r="C191" s="50" t="str">
        <f aca="false">VLOOKUP($B191,03_COMPOSIÇÕES!$A:$G,2,0)</f>
        <v>ESCAVAÇÃO MANUAL DE VIGA DE BORDA PARA RADIER. AF_09/2021</v>
      </c>
      <c r="D191" s="45" t="s">
        <v>59</v>
      </c>
      <c r="E191" s="51" t="str">
        <f aca="false">VLOOKUP($B191,03_COMPOSIÇÕES!$A:$G,4,0)</f>
        <v>M3</v>
      </c>
      <c r="F191" s="46" t="n">
        <v>0.92</v>
      </c>
      <c r="G191" s="51" t="n">
        <f aca="false">VLOOKUP($B191,03_COMPOSIÇÕES!$A:$G,6,0)</f>
        <v>21.54768</v>
      </c>
      <c r="H191" s="52" t="n">
        <f aca="false">VLOOKUP($B191,03_COMPOSIÇÕES!$A:$G,7,0)</f>
        <v>38.40406416</v>
      </c>
      <c r="I191" s="47" t="n">
        <f aca="false">$F191*$G191</f>
        <v>19.8238656</v>
      </c>
      <c r="J191" s="47" t="n">
        <f aca="false">$F191*$H191</f>
        <v>35.3317390272</v>
      </c>
      <c r="K191" s="47" t="n">
        <f aca="false">$I191*(1+BDI_MAT)</f>
        <v>23.91154668672</v>
      </c>
      <c r="L191" s="47" t="n">
        <f aca="false">$J191*(1+BDI_MDO)</f>
        <v>45.0444340857773</v>
      </c>
      <c r="M191" s="47" t="n">
        <f aca="false">SUM(K191:L191)</f>
        <v>68.9559807724973</v>
      </c>
      <c r="N191" s="20" t="str">
        <f aca="false">A191</f>
        <v>3.2.3.3.7</v>
      </c>
    </row>
    <row r="192" customFormat="false" ht="45" hidden="false" customHeight="false" outlineLevel="2" collapsed="false">
      <c r="A192" s="42" t="s">
        <v>296</v>
      </c>
      <c r="B192" s="43" t="n">
        <v>96533</v>
      </c>
      <c r="C192" s="50" t="str">
        <f aca="false">VLOOKUP($B192,03_COMPOSIÇÕES!$A:$G,2,0)</f>
        <v>FABRICAÇÃO, MONTAGEM E DESMONTAGEM DE FÔRMA PARA VIGA BALDRAME, EM MADEIRA SERRADA, E=25 MM, 2 UTILIZAÇÕES. AF_01/2024</v>
      </c>
      <c r="D192" s="45" t="s">
        <v>59</v>
      </c>
      <c r="E192" s="51" t="str">
        <f aca="false">VLOOKUP($B192,03_COMPOSIÇÕES!$A:$G,4,0)</f>
        <v>M2</v>
      </c>
      <c r="F192" s="46" t="n">
        <v>15.31</v>
      </c>
      <c r="G192" s="51" t="n">
        <f aca="false">VLOOKUP($B192,03_COMPOSIÇÕES!$A:$G,6,0)</f>
        <v>61.436063856536</v>
      </c>
      <c r="H192" s="52" t="n">
        <f aca="false">VLOOKUP($B192,03_COMPOSIÇÕES!$A:$G,7,0)</f>
        <v>32.7787126278</v>
      </c>
      <c r="I192" s="47" t="n">
        <f aca="false">$F192*$G192</f>
        <v>940.586137643566</v>
      </c>
      <c r="J192" s="47" t="n">
        <f aca="false">$F192*$H192</f>
        <v>501.842090331618</v>
      </c>
      <c r="K192" s="47" t="n">
        <f aca="false">$I192*(1+BDI_MAT)</f>
        <v>1134.53499922567</v>
      </c>
      <c r="L192" s="47" t="n">
        <f aca="false">$J192*(1+BDI_MDO)</f>
        <v>639.79848096378</v>
      </c>
      <c r="M192" s="47" t="n">
        <f aca="false">SUM(K192:L192)</f>
        <v>1774.33348018945</v>
      </c>
      <c r="N192" s="20" t="str">
        <f aca="false">A192</f>
        <v>3.2.3.3.8</v>
      </c>
    </row>
    <row r="193" customFormat="false" ht="30" hidden="false" customHeight="false" outlineLevel="2" collapsed="false">
      <c r="A193" s="42" t="s">
        <v>297</v>
      </c>
      <c r="B193" s="43" t="n">
        <v>104916</v>
      </c>
      <c r="C193" s="50" t="str">
        <f aca="false">VLOOKUP($B193,03_COMPOSIÇÕES!$A:$G,2,0)</f>
        <v>ARMAÇÃO DE SAPATA ISOLADA, VIGA BALDRAME E SAPATA CORRIDA UTILIZANDO AÇO CA-60 DE 5 MM - MONTAGEM. AF_01/2024</v>
      </c>
      <c r="D193" s="45" t="s">
        <v>59</v>
      </c>
      <c r="E193" s="51" t="str">
        <f aca="false">VLOOKUP($B193,03_COMPOSIÇÕES!$A:$G,4,0)</f>
        <v>KG</v>
      </c>
      <c r="F193" s="46" t="n">
        <v>15.18</v>
      </c>
      <c r="G193" s="51" t="n">
        <f aca="false">VLOOKUP($B193,03_COMPOSIÇÕES!$A:$G,6,0)</f>
        <v>10.457788</v>
      </c>
      <c r="H193" s="52" t="n">
        <f aca="false">VLOOKUP($B193,03_COMPOSIÇÕES!$A:$G,7,0)</f>
        <v>5.56945022448</v>
      </c>
      <c r="I193" s="47" t="n">
        <f aca="false">$F193*$G193</f>
        <v>158.74922184</v>
      </c>
      <c r="J193" s="47" t="n">
        <f aca="false">$F193*$H193</f>
        <v>84.5442544076064</v>
      </c>
      <c r="K193" s="47" t="n">
        <f aca="false">$I193*(1+BDI_MAT)</f>
        <v>191.483311383408</v>
      </c>
      <c r="L193" s="47" t="n">
        <f aca="false">$J193*(1+BDI_MDO)</f>
        <v>107.785469944257</v>
      </c>
      <c r="M193" s="47" t="n">
        <f aca="false">SUM(K193:L193)</f>
        <v>299.268781327665</v>
      </c>
      <c r="N193" s="20" t="str">
        <f aca="false">A193</f>
        <v>3.2.3.3.9</v>
      </c>
    </row>
    <row r="194" customFormat="false" ht="30" hidden="false" customHeight="false" outlineLevel="2" collapsed="false">
      <c r="A194" s="42" t="s">
        <v>298</v>
      </c>
      <c r="B194" s="43" t="n">
        <v>104919</v>
      </c>
      <c r="C194" s="50" t="str">
        <f aca="false">VLOOKUP($B194,03_COMPOSIÇÕES!$A:$G,2,0)</f>
        <v>ARMAÇÃO DE SAPATA ISOLADA, VIGA BALDRAME E SAPATA CORRIDA UTILIZANDO AÇO CA-50 DE 10 MM - MONTAGEM. AF_01/2024</v>
      </c>
      <c r="D194" s="45" t="s">
        <v>59</v>
      </c>
      <c r="E194" s="51" t="str">
        <f aca="false">VLOOKUP($B194,03_COMPOSIÇÕES!$A:$G,4,0)</f>
        <v>KG</v>
      </c>
      <c r="F194" s="46" t="n">
        <v>45.82</v>
      </c>
      <c r="G194" s="51" t="n">
        <f aca="false">VLOOKUP($B194,03_COMPOSIÇÕES!$A:$G,6,0)</f>
        <v>10.230302</v>
      </c>
      <c r="H194" s="52" t="n">
        <f aca="false">VLOOKUP($B194,03_COMPOSIÇÕES!$A:$G,7,0)</f>
        <v>2.2712916852</v>
      </c>
      <c r="I194" s="47" t="n">
        <f aca="false">$F194*$G194</f>
        <v>468.75243764</v>
      </c>
      <c r="J194" s="47" t="n">
        <f aca="false">$F194*$H194</f>
        <v>104.070585015864</v>
      </c>
      <c r="K194" s="47" t="n">
        <f aca="false">$I194*(1+BDI_MAT)</f>
        <v>565.409190281368</v>
      </c>
      <c r="L194" s="47" t="n">
        <f aca="false">$J194*(1+BDI_MDO)</f>
        <v>132.679588836725</v>
      </c>
      <c r="M194" s="47" t="n">
        <f aca="false">SUM(K194:L194)</f>
        <v>698.088779118093</v>
      </c>
      <c r="N194" s="20" t="str">
        <f aca="false">A194</f>
        <v>3.2.3.3.10</v>
      </c>
    </row>
    <row r="195" customFormat="false" ht="45" hidden="false" customHeight="false" outlineLevel="2" collapsed="false">
      <c r="A195" s="42" t="s">
        <v>299</v>
      </c>
      <c r="B195" s="43" t="s">
        <v>131</v>
      </c>
      <c r="C195" s="50" t="str">
        <f aca="false">VLOOKUP($B195,03_COMPOSIÇÕES!$A:$G,2,0)</f>
        <v>CONCRETAGEM DE BLOCO DE COROAMENTO OU VIGA BALDRAME, FCK 35 MPA, COM USO DE BOMBA - LANÇAMENTO, ADENSAMENTO E ACABAMENTO.</v>
      </c>
      <c r="D195" s="45" t="s">
        <v>59</v>
      </c>
      <c r="E195" s="51" t="str">
        <f aca="false">VLOOKUP($B195,03_COMPOSIÇÕES!$A:$G,4,0)</f>
        <v>M3</v>
      </c>
      <c r="F195" s="46" t="n">
        <v>0.92</v>
      </c>
      <c r="G195" s="51" t="n">
        <f aca="false">VLOOKUP($B195,03_COMPOSIÇÕES!$A:$G,6,0)</f>
        <v>851.632968052008</v>
      </c>
      <c r="H195" s="52" t="n">
        <f aca="false">VLOOKUP($B195,03_COMPOSIÇÕES!$A:$G,7,0)</f>
        <v>13.522148316</v>
      </c>
      <c r="I195" s="47" t="n">
        <f aca="false">$F195*$G195</f>
        <v>783.502330607847</v>
      </c>
      <c r="J195" s="47" t="n">
        <f aca="false">$F195*$H195</f>
        <v>12.44037645072</v>
      </c>
      <c r="K195" s="47" t="n">
        <f aca="false">$I195*(1+BDI_MAT)</f>
        <v>945.060511179186</v>
      </c>
      <c r="L195" s="47" t="n">
        <f aca="false">$J195*(1+BDI_MDO)</f>
        <v>15.8602359370229</v>
      </c>
      <c r="M195" s="47" t="n">
        <f aca="false">SUM(K195:L195)</f>
        <v>960.920747116209</v>
      </c>
      <c r="N195" s="20" t="str">
        <f aca="false">A195</f>
        <v>3.2.3.3.11</v>
      </c>
    </row>
    <row r="196" customFormat="false" ht="15" hidden="false" customHeight="false" outlineLevel="1" collapsed="false">
      <c r="A196" s="42" t="s">
        <v>300</v>
      </c>
      <c r="B196" s="43"/>
      <c r="C196" s="50" t="s">
        <v>301</v>
      </c>
      <c r="D196" s="45"/>
      <c r="E196" s="45"/>
      <c r="F196" s="46"/>
      <c r="G196" s="51"/>
      <c r="H196" s="52"/>
      <c r="I196" s="47" t="n">
        <f aca="false">SUM(I197,I204,I208)</f>
        <v>2997.12474525237</v>
      </c>
      <c r="J196" s="47" t="n">
        <f aca="false">SUM(J197,J204,J208)</f>
        <v>602.288091022879</v>
      </c>
      <c r="K196" s="47" t="n">
        <f aca="false">SUM(K197,K204,K208)</f>
        <v>3615.13186772341</v>
      </c>
      <c r="L196" s="47" t="n">
        <f aca="false">SUM(L197,L204,L208)</f>
        <v>767.857087245069</v>
      </c>
      <c r="M196" s="47" t="n">
        <f aca="false">SUM(M197,M204,M208)</f>
        <v>4382.98895496848</v>
      </c>
      <c r="N196" s="20" t="str">
        <f aca="false">A196</f>
        <v>3.2.3.4</v>
      </c>
    </row>
    <row r="197" customFormat="false" ht="15" hidden="false" customHeight="false" outlineLevel="2" collapsed="false">
      <c r="A197" s="42" t="s">
        <v>302</v>
      </c>
      <c r="B197" s="43"/>
      <c r="C197" s="50" t="s">
        <v>222</v>
      </c>
      <c r="D197" s="45"/>
      <c r="E197" s="45"/>
      <c r="F197" s="46"/>
      <c r="G197" s="51"/>
      <c r="H197" s="52"/>
      <c r="I197" s="47" t="n">
        <f aca="false">SUBTOTAL(9,I198:I203)</f>
        <v>1074.3915273415</v>
      </c>
      <c r="J197" s="47" t="n">
        <f aca="false">SUBTOTAL(9,J198:J203)</f>
        <v>90.11672906316</v>
      </c>
      <c r="K197" s="47" t="n">
        <f aca="false">SUBTOTAL(9,K198:K203)</f>
        <v>1295.93106027932</v>
      </c>
      <c r="L197" s="47" t="n">
        <f aca="false">SUBTOTAL(9,L198:L203)</f>
        <v>114.889817882623</v>
      </c>
      <c r="M197" s="47" t="n">
        <f aca="false">SUBTOTAL(9,M198:M203)</f>
        <v>1410.82087816194</v>
      </c>
      <c r="N197" s="20" t="str">
        <f aca="false">A197</f>
        <v>3.2.3.4.1</v>
      </c>
    </row>
    <row r="198" customFormat="false" ht="45" hidden="false" customHeight="false" outlineLevel="3" collapsed="false">
      <c r="A198" s="42" t="s">
        <v>303</v>
      </c>
      <c r="B198" s="43" t="n">
        <v>97084</v>
      </c>
      <c r="C198" s="50" t="str">
        <f aca="false">VLOOKUP($B198,03_COMPOSIÇÕES!$A:$G,2,0)</f>
        <v>COMPACTAÇÃO MECÂNICA DE SOLO PARA EXECUÇÃO DE RADIER, PISO DE CONCRETO OU LAJE SOBRE SOLO, COM COMPACTADOR DE SOLOS TIPO PLACA VIBRATÓRIA. AF_09/2021</v>
      </c>
      <c r="D198" s="45" t="s">
        <v>59</v>
      </c>
      <c r="E198" s="51" t="str">
        <f aca="false">VLOOKUP($B198,03_COMPOSIÇÕES!$A:$G,4,0)</f>
        <v>M2</v>
      </c>
      <c r="F198" s="46" t="n">
        <v>3.94</v>
      </c>
      <c r="G198" s="51" t="n">
        <f aca="false">VLOOKUP($B198,03_COMPOSIÇÕES!$A:$G,6,0)</f>
        <v>0.250265994085</v>
      </c>
      <c r="H198" s="52" t="n">
        <f aca="false">VLOOKUP($B198,03_COMPOSIÇÕES!$A:$G,7,0)</f>
        <v>0.437104236</v>
      </c>
      <c r="I198" s="47" t="n">
        <f aca="false">$F198*$G198</f>
        <v>0.9860480166949</v>
      </c>
      <c r="J198" s="47" t="n">
        <f aca="false">$F198*$H198</f>
        <v>1.72219068984</v>
      </c>
      <c r="K198" s="47" t="n">
        <f aca="false">$I198*(1+BDI_MAT)</f>
        <v>1.18937111773739</v>
      </c>
      <c r="L198" s="47" t="n">
        <f aca="false">$J198*(1+BDI_MDO)</f>
        <v>2.19562091047702</v>
      </c>
      <c r="M198" s="47" t="n">
        <f aca="false">SUM(K198:L198)</f>
        <v>3.3849920282144</v>
      </c>
      <c r="N198" s="20" t="str">
        <f aca="false">A198</f>
        <v>3.2.3.4.1.1</v>
      </c>
    </row>
    <row r="199" customFormat="false" ht="30" hidden="false" customHeight="false" outlineLevel="3" collapsed="false">
      <c r="A199" s="42" t="s">
        <v>304</v>
      </c>
      <c r="B199" s="43" t="n">
        <v>96622</v>
      </c>
      <c r="C199" s="50" t="str">
        <f aca="false">VLOOKUP($B199,03_COMPOSIÇÕES!$A:$G,2,0)</f>
        <v>LASTRO COM MATERIAL GRANULAR, APLICADO EM PISOS OU LAJES SOBRE SOLO, ESPESSURA DE *5 CM*. AF_01/2024</v>
      </c>
      <c r="D199" s="45" t="s">
        <v>59</v>
      </c>
      <c r="E199" s="51" t="str">
        <f aca="false">VLOOKUP($B199,03_COMPOSIÇÕES!$A:$G,4,0)</f>
        <v>M3</v>
      </c>
      <c r="F199" s="46" t="n">
        <v>0.39</v>
      </c>
      <c r="G199" s="51" t="n">
        <f aca="false">VLOOKUP($B199,03_COMPOSIÇÕES!$A:$G,6,0)</f>
        <v>179.616553215464</v>
      </c>
      <c r="H199" s="52" t="n">
        <f aca="false">VLOOKUP($B199,03_COMPOSIÇÕES!$A:$G,7,0)</f>
        <v>50.216478588</v>
      </c>
      <c r="I199" s="47" t="n">
        <f aca="false">$F199*$G199</f>
        <v>70.050455754031</v>
      </c>
      <c r="J199" s="47" t="n">
        <f aca="false">$F199*$H199</f>
        <v>19.58442664932</v>
      </c>
      <c r="K199" s="47" t="n">
        <f aca="false">$I199*(1+BDI_MAT)</f>
        <v>84.4948597305121</v>
      </c>
      <c r="L199" s="47" t="n">
        <f aca="false">$J199*(1+BDI_MDO)</f>
        <v>24.9681855352181</v>
      </c>
      <c r="M199" s="47" t="n">
        <f aca="false">SUM(K199:L199)</f>
        <v>109.46304526573</v>
      </c>
      <c r="N199" s="20" t="str">
        <f aca="false">A199</f>
        <v>3.2.3.4.1.2</v>
      </c>
    </row>
    <row r="200" customFormat="false" ht="30" hidden="false" customHeight="false" outlineLevel="3" collapsed="false">
      <c r="A200" s="42" t="s">
        <v>305</v>
      </c>
      <c r="B200" s="43" t="n">
        <v>97087</v>
      </c>
      <c r="C200" s="50" t="str">
        <f aca="false">VLOOKUP($B200,03_COMPOSIÇÕES!$A:$G,2,0)</f>
        <v>CAMADA SEPARADORA PARA EXECUÇÃO DE RADIER, PISO DE CONCRETO OU LAJE SOBRE SOLO, EM LONA PLÁSTICA. AF_09/2021</v>
      </c>
      <c r="D200" s="45" t="s">
        <v>59</v>
      </c>
      <c r="E200" s="51" t="str">
        <f aca="false">VLOOKUP($B200,03_COMPOSIÇÕES!$A:$G,4,0)</f>
        <v>M2</v>
      </c>
      <c r="F200" s="46" t="n">
        <v>3.94</v>
      </c>
      <c r="G200" s="51" t="n">
        <f aca="false">VLOOKUP($B200,03_COMPOSIÇÕES!$A:$G,6,0)</f>
        <v>1.84732</v>
      </c>
      <c r="H200" s="52" t="n">
        <f aca="false">VLOOKUP($B200,03_COMPOSIÇÕES!$A:$G,7,0)</f>
        <v>0.355203996</v>
      </c>
      <c r="I200" s="47" t="n">
        <f aca="false">$F200*$G200</f>
        <v>7.2784408</v>
      </c>
      <c r="J200" s="47" t="n">
        <f aca="false">$F200*$H200</f>
        <v>1.39950374424</v>
      </c>
      <c r="K200" s="47" t="n">
        <f aca="false">$I200*(1+BDI_MAT)</f>
        <v>8.77925529296</v>
      </c>
      <c r="L200" s="47" t="n">
        <f aca="false">$J200*(1+BDI_MDO)</f>
        <v>1.78422732353158</v>
      </c>
      <c r="M200" s="47" t="n">
        <f aca="false">SUM(K200:L200)</f>
        <v>10.5634826164916</v>
      </c>
      <c r="N200" s="20" t="str">
        <f aca="false">A200</f>
        <v>3.2.3.4.1.3</v>
      </c>
    </row>
    <row r="201" customFormat="false" ht="30" hidden="false" customHeight="false" outlineLevel="3" collapsed="false">
      <c r="A201" s="42" t="s">
        <v>306</v>
      </c>
      <c r="B201" s="43" t="n">
        <v>97092</v>
      </c>
      <c r="C201" s="50" t="str">
        <f aca="false">VLOOKUP($B201,03_COMPOSIÇÕES!$A:$G,2,0)</f>
        <v>ARMAÇÃO PARA EXECUÇÃO DE RADIER, PISO DE CONCRETO OU LAJE SOBRE SOLO, COM USO DE TELA Q-196. AF_09/2021</v>
      </c>
      <c r="D201" s="45" t="s">
        <v>59</v>
      </c>
      <c r="E201" s="51" t="str">
        <f aca="false">VLOOKUP($B201,03_COMPOSIÇÕES!$A:$G,4,0)</f>
        <v>KG</v>
      </c>
      <c r="F201" s="46" t="n">
        <v>45.72</v>
      </c>
      <c r="G201" s="51" t="n">
        <f aca="false">VLOOKUP($B201,03_COMPOSIÇÕES!$A:$G,6,0)</f>
        <v>11.61434</v>
      </c>
      <c r="H201" s="52" t="n">
        <f aca="false">VLOOKUP($B201,03_COMPOSIÇÕES!$A:$G,7,0)</f>
        <v>0.5981842944</v>
      </c>
      <c r="I201" s="47" t="n">
        <f aca="false">$F201*$G201</f>
        <v>531.0076248</v>
      </c>
      <c r="J201" s="47" t="n">
        <f aca="false">$F201*$H201</f>
        <v>27.348985939968</v>
      </c>
      <c r="K201" s="47" t="n">
        <f aca="false">$I201*(1+BDI_MAT)</f>
        <v>640.50139703376</v>
      </c>
      <c r="L201" s="47" t="n">
        <f aca="false">$J201*(1+BDI_MDO)</f>
        <v>34.8672221748652</v>
      </c>
      <c r="M201" s="47" t="n">
        <f aca="false">SUM(K201:L201)</f>
        <v>675.368619208625</v>
      </c>
      <c r="N201" s="20" t="str">
        <f aca="false">A201</f>
        <v>3.2.3.4.1.4</v>
      </c>
    </row>
    <row r="202" customFormat="false" ht="30" hidden="false" customHeight="false" outlineLevel="3" collapsed="false">
      <c r="A202" s="42" t="s">
        <v>307</v>
      </c>
      <c r="B202" s="43" t="s">
        <v>246</v>
      </c>
      <c r="C202" s="50" t="str">
        <f aca="false">VLOOKUP($B202,03_COMPOSIÇÕES!$A:$G,2,0)</f>
        <v>CONCRETAGEM DE RADIER, PISO DE CONCRETO OU LAJE SOBRE SOLO, FCK 35 MPA - LANÇAMENTO, ADENSAMENTO E ACABAMENTO.</v>
      </c>
      <c r="D202" s="45" t="s">
        <v>59</v>
      </c>
      <c r="E202" s="51" t="str">
        <f aca="false">VLOOKUP($B202,03_COMPOSIÇÕES!$A:$G,4,0)</f>
        <v>M3</v>
      </c>
      <c r="F202" s="46" t="n">
        <v>0.59</v>
      </c>
      <c r="G202" s="51" t="n">
        <f aca="false">VLOOKUP($B202,03_COMPOSIÇÕES!$A:$G,6,0)</f>
        <v>735.198688289448</v>
      </c>
      <c r="H202" s="52" t="n">
        <f aca="false">VLOOKUP($B202,03_COMPOSIÇÕES!$A:$G,7,0)</f>
        <v>13.921886844</v>
      </c>
      <c r="I202" s="47" t="n">
        <f aca="false">$F202*$G202</f>
        <v>433.767226090774</v>
      </c>
      <c r="J202" s="47" t="n">
        <f aca="false">$F202*$H202</f>
        <v>8.21391323796</v>
      </c>
      <c r="K202" s="47" t="n">
        <f aca="false">$I202*(1+BDI_MAT)</f>
        <v>523.210028110692</v>
      </c>
      <c r="L202" s="47" t="n">
        <f aca="false">$J202*(1+BDI_MDO)</f>
        <v>10.4719179870752</v>
      </c>
      <c r="M202" s="47" t="n">
        <f aca="false">SUM(K202:L202)</f>
        <v>533.681946097767</v>
      </c>
      <c r="N202" s="20" t="str">
        <f aca="false">A202</f>
        <v>3.2.3.4.1.5</v>
      </c>
    </row>
    <row r="203" customFormat="false" ht="15" hidden="false" customHeight="false" outlineLevel="3" collapsed="false">
      <c r="A203" s="42" t="s">
        <v>308</v>
      </c>
      <c r="B203" s="43" t="s">
        <v>198</v>
      </c>
      <c r="C203" s="50" t="str">
        <f aca="false">VLOOKUP($B203,03_COMPOSIÇÕES!$A:$G,2,0)</f>
        <v>CURA ÚMIDA POR ASPERSÃO DE ÁGUA DURANTE 7 DIAS.</v>
      </c>
      <c r="D203" s="45" t="s">
        <v>59</v>
      </c>
      <c r="E203" s="51" t="str">
        <f aca="false">VLOOKUP($B203,03_COMPOSIÇÕES!$A:$G,4,0)</f>
        <v>M2</v>
      </c>
      <c r="F203" s="46" t="n">
        <v>3.94</v>
      </c>
      <c r="G203" s="51" t="n">
        <f aca="false">VLOOKUP($B203,03_COMPOSIÇÕES!$A:$G,6,0)</f>
        <v>7.944602</v>
      </c>
      <c r="H203" s="52" t="n">
        <f aca="false">VLOOKUP($B203,03_COMPOSIÇÕES!$A:$G,7,0)</f>
        <v>8.0831748228</v>
      </c>
      <c r="I203" s="47" t="n">
        <f aca="false">$F203*$G203</f>
        <v>31.30173188</v>
      </c>
      <c r="J203" s="47" t="n">
        <f aca="false">$F203*$H203</f>
        <v>31.847708801832</v>
      </c>
      <c r="K203" s="47" t="n">
        <f aca="false">$I203*(1+BDI_MAT)</f>
        <v>37.756148993656</v>
      </c>
      <c r="L203" s="47" t="n">
        <f aca="false">$J203*(1+BDI_MDO)</f>
        <v>40.6026439514556</v>
      </c>
      <c r="M203" s="47" t="n">
        <f aca="false">SUM(K203:L203)</f>
        <v>78.3587929451116</v>
      </c>
      <c r="N203" s="20" t="str">
        <f aca="false">A203</f>
        <v>3.2.3.4.1.6</v>
      </c>
    </row>
    <row r="204" customFormat="false" ht="15" hidden="false" customHeight="false" outlineLevel="2" collapsed="false">
      <c r="A204" s="42" t="s">
        <v>309</v>
      </c>
      <c r="B204" s="43"/>
      <c r="C204" s="50" t="s">
        <v>310</v>
      </c>
      <c r="D204" s="45"/>
      <c r="E204" s="45"/>
      <c r="F204" s="46"/>
      <c r="G204" s="51"/>
      <c r="H204" s="52"/>
      <c r="I204" s="47" t="n">
        <f aca="false">SUBTOTAL(9,I205:I207)</f>
        <v>1234.25888817189</v>
      </c>
      <c r="J204" s="47" t="n">
        <f aca="false">SUBTOTAL(9,J205:J207)</f>
        <v>302.424008120882</v>
      </c>
      <c r="K204" s="47" t="n">
        <f aca="false">SUBTOTAL(9,K205:K207)</f>
        <v>1488.76307091293</v>
      </c>
      <c r="L204" s="47" t="n">
        <f aca="false">SUBTOTAL(9,L205:L207)</f>
        <v>385.560367953312</v>
      </c>
      <c r="M204" s="47" t="n">
        <f aca="false">SUBTOTAL(9,M205:M207)</f>
        <v>1874.32343886624</v>
      </c>
      <c r="N204" s="20" t="str">
        <f aca="false">A204</f>
        <v>3.2.3.4.2</v>
      </c>
    </row>
    <row r="205" customFormat="false" ht="45" hidden="false" customHeight="false" outlineLevel="3" collapsed="false">
      <c r="A205" s="42" t="s">
        <v>311</v>
      </c>
      <c r="B205" s="43" t="n">
        <v>89470</v>
      </c>
      <c r="C205" s="50" t="str">
        <f aca="false">VLOOKUP($B205,03_COMPOSIÇÕES!$A:$G,2,0)</f>
        <v>ALVENARIA DE BLOCOS DE CONCRETO ESTRUTURAL 14X19X39 CM (ESPESSURA 14 CM), FBK = 4,5 MPA, UTILIZANDO COLHER DE PEDREIRO. AF_10/2022</v>
      </c>
      <c r="D205" s="45" t="s">
        <v>59</v>
      </c>
      <c r="E205" s="51" t="str">
        <f aca="false">VLOOKUP($B205,03_COMPOSIÇÕES!$A:$G,4,0)</f>
        <v>M2</v>
      </c>
      <c r="F205" s="46" t="n">
        <v>12.19</v>
      </c>
      <c r="G205" s="51" t="n">
        <f aca="false">VLOOKUP($B205,03_COMPOSIÇÕES!$A:$G,6,0)</f>
        <v>80.1313679286816</v>
      </c>
      <c r="H205" s="52" t="n">
        <f aca="false">VLOOKUP($B205,03_COMPOSIÇÕES!$A:$G,7,0)</f>
        <v>21.8579580860496</v>
      </c>
      <c r="I205" s="47" t="n">
        <f aca="false">$F205*$G205</f>
        <v>976.801375050629</v>
      </c>
      <c r="J205" s="47" t="n">
        <f aca="false">$F205*$H205</f>
        <v>266.448509068945</v>
      </c>
      <c r="K205" s="47" t="n">
        <f aca="false">$I205*(1+BDI_MAT)</f>
        <v>1178.21781858607</v>
      </c>
      <c r="L205" s="47" t="n">
        <f aca="false">$J205*(1+BDI_MDO)</f>
        <v>339.695204211997</v>
      </c>
      <c r="M205" s="47" t="n">
        <f aca="false">SUM(K205:L205)</f>
        <v>1517.91302279807</v>
      </c>
      <c r="N205" s="20" t="str">
        <f aca="false">A205</f>
        <v>3.2.3.4.2.1</v>
      </c>
    </row>
    <row r="206" customFormat="false" ht="30" hidden="false" customHeight="false" outlineLevel="3" collapsed="false">
      <c r="A206" s="42" t="s">
        <v>312</v>
      </c>
      <c r="B206" s="43" t="n">
        <v>91603</v>
      </c>
      <c r="C206" s="50" t="str">
        <f aca="false">VLOOKUP($B206,03_COMPOSIÇÕES!$A:$G,2,0)</f>
        <v>ARMAÇÃO DO SISTEMA DE PAREDES DE CONCRETO, EXECUTADA COMO REFORÇO, VERGALHÃO DE 10,0 MM DE DIÂMETRO. AF_12/2024</v>
      </c>
      <c r="D206" s="45" t="s">
        <v>59</v>
      </c>
      <c r="E206" s="51" t="str">
        <f aca="false">VLOOKUP($B206,03_COMPOSIÇÕES!$A:$G,4,0)</f>
        <v>KG</v>
      </c>
      <c r="F206" s="46" t="n">
        <v>27.33</v>
      </c>
      <c r="G206" s="51" t="n">
        <f aca="false">VLOOKUP($B206,03_COMPOSIÇÕES!$A:$G,6,0)</f>
        <v>9.103846686</v>
      </c>
      <c r="H206" s="52" t="n">
        <f aca="false">VLOOKUP($B206,03_COMPOSIÇÕES!$A:$G,7,0)</f>
        <v>0.70064961034824</v>
      </c>
      <c r="I206" s="47" t="n">
        <f aca="false">$F206*$G206</f>
        <v>248.80812992838</v>
      </c>
      <c r="J206" s="47" t="n">
        <f aca="false">$F206*$H206</f>
        <v>19.1487538508174</v>
      </c>
      <c r="K206" s="47" t="n">
        <f aca="false">$I206*(1+BDI_MAT)</f>
        <v>300.112366319612</v>
      </c>
      <c r="L206" s="47" t="n">
        <f aca="false">$J206*(1+BDI_MDO)</f>
        <v>24.4127462844071</v>
      </c>
      <c r="M206" s="47" t="n">
        <f aca="false">SUM(K206:L206)</f>
        <v>324.525112604019</v>
      </c>
      <c r="N206" s="20" t="str">
        <f aca="false">A206</f>
        <v>3.2.3.4.2.2</v>
      </c>
    </row>
    <row r="207" customFormat="false" ht="45" hidden="false" customHeight="false" outlineLevel="3" collapsed="false">
      <c r="A207" s="42" t="s">
        <v>313</v>
      </c>
      <c r="B207" s="43" t="s">
        <v>314</v>
      </c>
      <c r="C207" s="50" t="str">
        <f aca="false">VLOOKUP($B207,03_COMPOSIÇÕES!$A:$G,2,0)</f>
        <v>EXECUÇÃO DE FURO DE Ø12,5MM COM ROFUNDIDADE DE 10CM, E APLICAÇÃO DE ADESIVO ESTRUTURAL, PARA FIXAÇÃO DAS BARRAS DE AÇO Ø10,0MM.</v>
      </c>
      <c r="D207" s="45" t="s">
        <v>59</v>
      </c>
      <c r="E207" s="51" t="str">
        <f aca="false">VLOOKUP($B207,03_COMPOSIÇÕES!$A:$G,4,0)</f>
        <v>UN</v>
      </c>
      <c r="F207" s="46" t="n">
        <v>12</v>
      </c>
      <c r="G207" s="51" t="n">
        <f aca="false">VLOOKUP($B207,03_COMPOSIÇÕES!$A:$G,6,0)</f>
        <v>0.72078193274</v>
      </c>
      <c r="H207" s="52" t="n">
        <f aca="false">VLOOKUP($B207,03_COMPOSIÇÕES!$A:$G,7,0)</f>
        <v>1.40222876676</v>
      </c>
      <c r="I207" s="47" t="n">
        <f aca="false">$F207*$G207</f>
        <v>8.64938319288</v>
      </c>
      <c r="J207" s="47" t="n">
        <f aca="false">$F207*$H207</f>
        <v>16.82674520112</v>
      </c>
      <c r="K207" s="47" t="n">
        <f aca="false">$I207*(1+BDI_MAT)</f>
        <v>10.4328860072519</v>
      </c>
      <c r="L207" s="47" t="n">
        <f aca="false">$J207*(1+BDI_MDO)</f>
        <v>21.4524174569079</v>
      </c>
      <c r="M207" s="47" t="n">
        <f aca="false">SUM(K207:L207)</f>
        <v>31.8853034641597</v>
      </c>
      <c r="N207" s="20" t="str">
        <f aca="false">A207</f>
        <v>3.2.3.4.2.3</v>
      </c>
    </row>
    <row r="208" customFormat="false" ht="15" hidden="false" customHeight="false" outlineLevel="2" collapsed="false">
      <c r="A208" s="42" t="s">
        <v>315</v>
      </c>
      <c r="B208" s="43"/>
      <c r="C208" s="50" t="s">
        <v>316</v>
      </c>
      <c r="D208" s="45"/>
      <c r="E208" s="45"/>
      <c r="F208" s="46"/>
      <c r="G208" s="51"/>
      <c r="H208" s="52"/>
      <c r="I208" s="47" t="n">
        <f aca="false">SUBTOTAL(9,I209:I212)</f>
        <v>688.474329738984</v>
      </c>
      <c r="J208" s="47" t="n">
        <f aca="false">SUBTOTAL(9,J209:J212)</f>
        <v>209.747353838837</v>
      </c>
      <c r="K208" s="47" t="n">
        <f aca="false">SUBTOTAL(9,K209:K212)</f>
        <v>830.437736531162</v>
      </c>
      <c r="L208" s="47" t="n">
        <f aca="false">SUBTOTAL(9,L209:L212)</f>
        <v>267.406901409133</v>
      </c>
      <c r="M208" s="47" t="n">
        <f aca="false">SUBTOTAL(9,M209:M212)</f>
        <v>1097.8446379403</v>
      </c>
      <c r="N208" s="20" t="str">
        <f aca="false">A208</f>
        <v>3.2.3.4.3</v>
      </c>
    </row>
    <row r="209" customFormat="false" ht="45" hidden="false" customHeight="false" outlineLevel="2" collapsed="false">
      <c r="A209" s="42" t="s">
        <v>317</v>
      </c>
      <c r="B209" s="43" t="n">
        <v>92508</v>
      </c>
      <c r="C209" s="50" t="str">
        <f aca="false">VLOOKUP($B209,03_COMPOSIÇÕES!$A:$G,2,0)</f>
        <v>MONTAGEM E DESMONTAGEM DE FÔRMA DE LAJE MACIÇA, PÉ-DIREITO DUPLO, EM CHAPA DE MADEIRA COMPENSADA RESINADA, 2 UTILIZAÇÕES. AF_09/2020</v>
      </c>
      <c r="D209" s="45" t="s">
        <v>59</v>
      </c>
      <c r="E209" s="51" t="str">
        <f aca="false">VLOOKUP($B209,03_COMPOSIÇÕES!$A:$G,4,0)</f>
        <v>M2</v>
      </c>
      <c r="F209" s="46" t="n">
        <v>3.94</v>
      </c>
      <c r="G209" s="51" t="n">
        <f aca="false">VLOOKUP($B209,03_COMPOSIÇÕES!$A:$G,6,0)</f>
        <v>85.6956652794103</v>
      </c>
      <c r="H209" s="52" t="n">
        <f aca="false">VLOOKUP($B209,03_COMPOSIÇÕES!$A:$G,7,0)</f>
        <v>27.5587156564338</v>
      </c>
      <c r="I209" s="47" t="n">
        <f aca="false">$F209*$G209</f>
        <v>337.640921200877</v>
      </c>
      <c r="J209" s="47" t="n">
        <f aca="false">$F209*$H209</f>
        <v>108.581339686349</v>
      </c>
      <c r="K209" s="47" t="n">
        <f aca="false">$I209*(1+BDI_MAT)</f>
        <v>407.262479152498</v>
      </c>
      <c r="L209" s="47" t="n">
        <f aca="false">$J209*(1+BDI_MDO)</f>
        <v>138.430349966127</v>
      </c>
      <c r="M209" s="47" t="n">
        <f aca="false">SUM(K209:L209)</f>
        <v>545.692829118624</v>
      </c>
      <c r="N209" s="20" t="str">
        <f aca="false">A209</f>
        <v>3.2.3.4.3.1</v>
      </c>
    </row>
    <row r="210" customFormat="false" ht="30" hidden="false" customHeight="false" outlineLevel="2" collapsed="false">
      <c r="A210" s="42" t="s">
        <v>318</v>
      </c>
      <c r="B210" s="43" t="n">
        <v>97092</v>
      </c>
      <c r="C210" s="50" t="str">
        <f aca="false">VLOOKUP($B210,03_COMPOSIÇÕES!$A:$G,2,0)</f>
        <v>ARMAÇÃO PARA EXECUÇÃO DE RADIER, PISO DE CONCRETO OU LAJE SOBRE SOLO, COM USO DE TELA Q-196. AF_09/2021</v>
      </c>
      <c r="D210" s="45" t="s">
        <v>59</v>
      </c>
      <c r="E210" s="51" t="str">
        <f aca="false">VLOOKUP($B210,03_COMPOSIÇÕES!$A:$G,4,0)</f>
        <v>KG</v>
      </c>
      <c r="F210" s="46" t="n">
        <v>3.94</v>
      </c>
      <c r="G210" s="51" t="n">
        <f aca="false">VLOOKUP($B210,03_COMPOSIÇÕES!$A:$G,6,0)</f>
        <v>11.61434</v>
      </c>
      <c r="H210" s="52" t="n">
        <f aca="false">VLOOKUP($B210,03_COMPOSIÇÕES!$A:$G,7,0)</f>
        <v>0.5981842944</v>
      </c>
      <c r="I210" s="47" t="n">
        <f aca="false">$F210*$G210</f>
        <v>45.7604996</v>
      </c>
      <c r="J210" s="47" t="n">
        <f aca="false">$F210*$H210</f>
        <v>2.356846119936</v>
      </c>
      <c r="K210" s="47" t="n">
        <f aca="false">$I210*(1+BDI_MAT)</f>
        <v>55.19631461752</v>
      </c>
      <c r="L210" s="47" t="n">
        <f aca="false">$J210*(1+BDI_MDO)</f>
        <v>3.00474311830641</v>
      </c>
      <c r="M210" s="47" t="n">
        <f aca="false">SUM(K210:L210)</f>
        <v>58.2010577358264</v>
      </c>
      <c r="N210" s="20" t="str">
        <f aca="false">A210</f>
        <v>3.2.3.4.3.2</v>
      </c>
    </row>
    <row r="211" customFormat="false" ht="45" hidden="false" customHeight="false" outlineLevel="2" collapsed="false">
      <c r="A211" s="42" t="s">
        <v>319</v>
      </c>
      <c r="B211" s="43" t="s">
        <v>320</v>
      </c>
      <c r="C211" s="50" t="str">
        <f aca="false">VLOOKUP($B211,03_COMPOSIÇÕES!$A:$G,2,0)</f>
        <v>CONCRETAGEM DE VIGAS E LAJES, FCK=35 MPA, PARA QUALQUER TIPO DE LAJE COM BALDES EM EDIFICAÇÃO TÉRREA - LANÇAMENTO, ADENSAMENTO E ACABAMENTO.</v>
      </c>
      <c r="D211" s="45" t="s">
        <v>59</v>
      </c>
      <c r="E211" s="51" t="str">
        <f aca="false">VLOOKUP($B211,03_COMPOSIÇÕES!$A:$G,4,0)</f>
        <v>M3</v>
      </c>
      <c r="F211" s="46" t="n">
        <v>0.32</v>
      </c>
      <c r="G211" s="51" t="n">
        <f aca="false">VLOOKUP($B211,03_COMPOSIÇÕES!$A:$G,6,0)</f>
        <v>855.534928306584</v>
      </c>
      <c r="H211" s="52" t="n">
        <f aca="false">VLOOKUP($B211,03_COMPOSIÇÕES!$A:$G,7,0)</f>
        <v>209.254560096</v>
      </c>
      <c r="I211" s="47" t="n">
        <f aca="false">$F211*$G211</f>
        <v>273.771177058107</v>
      </c>
      <c r="J211" s="47" t="n">
        <f aca="false">$F211*$H211</f>
        <v>66.96145923072</v>
      </c>
      <c r="K211" s="47" t="n">
        <f aca="false">$I211*(1+BDI_MAT)</f>
        <v>330.222793767489</v>
      </c>
      <c r="L211" s="47" t="n">
        <f aca="false">$J211*(1+BDI_MDO)</f>
        <v>85.3691643732449</v>
      </c>
      <c r="M211" s="47" t="n">
        <f aca="false">SUM(K211:L211)</f>
        <v>415.591958140733</v>
      </c>
      <c r="N211" s="20" t="str">
        <f aca="false">A211</f>
        <v>3.2.3.4.3.3</v>
      </c>
    </row>
    <row r="212" customFormat="false" ht="15" hidden="false" customHeight="false" outlineLevel="2" collapsed="false">
      <c r="A212" s="42" t="s">
        <v>321</v>
      </c>
      <c r="B212" s="43" t="s">
        <v>198</v>
      </c>
      <c r="C212" s="50" t="str">
        <f aca="false">VLOOKUP($B212,03_COMPOSIÇÕES!$A:$G,2,0)</f>
        <v>CURA ÚMIDA POR ASPERSÃO DE ÁGUA DURANTE 7 DIAS.</v>
      </c>
      <c r="D212" s="45" t="s">
        <v>59</v>
      </c>
      <c r="E212" s="51" t="str">
        <f aca="false">VLOOKUP($B212,03_COMPOSIÇÕES!$A:$G,4,0)</f>
        <v>M2</v>
      </c>
      <c r="F212" s="46" t="n">
        <v>3.94</v>
      </c>
      <c r="G212" s="51" t="n">
        <f aca="false">VLOOKUP($B212,03_COMPOSIÇÕES!$A:$G,6,0)</f>
        <v>7.944602</v>
      </c>
      <c r="H212" s="52" t="n">
        <f aca="false">VLOOKUP($B212,03_COMPOSIÇÕES!$A:$G,7,0)</f>
        <v>8.0831748228</v>
      </c>
      <c r="I212" s="47" t="n">
        <f aca="false">$F212*$G212</f>
        <v>31.30173188</v>
      </c>
      <c r="J212" s="47" t="n">
        <f aca="false">$F212*$H212</f>
        <v>31.847708801832</v>
      </c>
      <c r="K212" s="47" t="n">
        <f aca="false">$I212*(1+BDI_MAT)</f>
        <v>37.756148993656</v>
      </c>
      <c r="L212" s="47" t="n">
        <f aca="false">$J212*(1+BDI_MDO)</f>
        <v>40.6026439514556</v>
      </c>
      <c r="M212" s="47" t="n">
        <f aca="false">SUM(K212:L212)</f>
        <v>78.3587929451116</v>
      </c>
      <c r="N212" s="20" t="str">
        <f aca="false">A212</f>
        <v>3.2.3.4.3.4</v>
      </c>
    </row>
    <row r="213" customFormat="false" ht="15" hidden="false" customHeight="false" outlineLevel="1" collapsed="false">
      <c r="A213" s="42" t="s">
        <v>322</v>
      </c>
      <c r="B213" s="43"/>
      <c r="C213" s="50" t="s">
        <v>323</v>
      </c>
      <c r="D213" s="45"/>
      <c r="E213" s="45"/>
      <c r="F213" s="46"/>
      <c r="G213" s="51"/>
      <c r="H213" s="52"/>
      <c r="I213" s="47" t="n">
        <f aca="false">SUBTOTAL(9,I214:I215)</f>
        <v>355.84750680392</v>
      </c>
      <c r="J213" s="47" t="n">
        <f aca="false">SUBTOTAL(9,J214:J215)</f>
        <v>46.761685423669</v>
      </c>
      <c r="K213" s="47" t="n">
        <f aca="false">SUBTOTAL(9,K214:K215)</f>
        <v>429.223262706888</v>
      </c>
      <c r="L213" s="47" t="n">
        <f aca="false">SUBTOTAL(9,L214:L215)</f>
        <v>59.6164727466357</v>
      </c>
      <c r="M213" s="47" t="n">
        <f aca="false">SUBTOTAL(9,M214:M215)</f>
        <v>488.839735453524</v>
      </c>
      <c r="N213" s="20" t="str">
        <f aca="false">A213</f>
        <v>3.2.3.5</v>
      </c>
    </row>
    <row r="214" customFormat="false" ht="30" hidden="false" customHeight="false" outlineLevel="1" collapsed="false">
      <c r="A214" s="42" t="s">
        <v>324</v>
      </c>
      <c r="B214" s="43" t="n">
        <v>103076</v>
      </c>
      <c r="C214" s="50" t="str">
        <f aca="false">VLOOKUP($B214,03_COMPOSIÇÕES!$A:$G,2,0)</f>
        <v>EXECUÇÃO DE LAJE SOBRE SOLO, ESPESSURA DE 10 CM, FCK = 30 MPA, COM USO DE FORMAS EM MADEIRA SERRADA. AF_09/2021</v>
      </c>
      <c r="D214" s="45" t="s">
        <v>59</v>
      </c>
      <c r="E214" s="51" t="str">
        <f aca="false">VLOOKUP($B214,03_COMPOSIÇÕES!$A:$G,4,0)</f>
        <v>M2</v>
      </c>
      <c r="F214" s="46" t="n">
        <v>1.2</v>
      </c>
      <c r="G214" s="51" t="n">
        <f aca="false">VLOOKUP($B214,03_COMPOSIÇÕES!$A:$G,6,0)</f>
        <v>137.426771747811</v>
      </c>
      <c r="H214" s="52" t="n">
        <f aca="false">VLOOKUP($B214,03_COMPOSIÇÕES!$A:$G,7,0)</f>
        <v>11.31463931448</v>
      </c>
      <c r="I214" s="47" t="n">
        <f aca="false">$F214*$G214</f>
        <v>164.912126097374</v>
      </c>
      <c r="J214" s="47" t="n">
        <f aca="false">$F214*$H214</f>
        <v>13.577567177376</v>
      </c>
      <c r="K214" s="47" t="n">
        <f aca="false">$I214*(1+BDI_MAT)</f>
        <v>198.917006498652</v>
      </c>
      <c r="L214" s="47" t="n">
        <f aca="false">$J214*(1+BDI_MDO)</f>
        <v>17.3100403944367</v>
      </c>
      <c r="M214" s="47" t="n">
        <f aca="false">SUM(K214:L214)</f>
        <v>216.227046893089</v>
      </c>
      <c r="N214" s="20" t="str">
        <f aca="false">A214</f>
        <v>3.2.3.5.1</v>
      </c>
    </row>
    <row r="215" customFormat="false" ht="45" hidden="false" customHeight="false" outlineLevel="1" collapsed="false">
      <c r="A215" s="42" t="s">
        <v>325</v>
      </c>
      <c r="B215" s="43" t="n">
        <v>101964</v>
      </c>
      <c r="C215" s="50" t="str">
        <f aca="false">VLOOKUP($B215,03_COMPOSIÇÕES!$A:$G,2,0)</f>
        <v>LAJE PRÉ-MOLDADA UNIDIRECIONAL, BIAPOIADA, PARA FORRO, ENCHIMENTO EM CERÂMICA, VIGOTA CONVENCIONAL, ALTURA TOTAL DA LAJE (ENCHIMENTO+CAPA) = (8+3). AF_11/2020</v>
      </c>
      <c r="D215" s="45" t="s">
        <v>59</v>
      </c>
      <c r="E215" s="51" t="str">
        <f aca="false">VLOOKUP($B215,03_COMPOSIÇÕES!$A:$G,4,0)</f>
        <v>M2</v>
      </c>
      <c r="F215" s="46" t="n">
        <v>1.39</v>
      </c>
      <c r="G215" s="51" t="n">
        <f aca="false">VLOOKUP($B215,03_COMPOSIÇÕES!$A:$G,6,0)</f>
        <v>137.36358324212</v>
      </c>
      <c r="H215" s="52" t="n">
        <f aca="false">VLOOKUP($B215,03_COMPOSIÇÕES!$A:$G,7,0)</f>
        <v>23.8734663642396</v>
      </c>
      <c r="I215" s="47" t="n">
        <f aca="false">$F215*$G215</f>
        <v>190.935380706546</v>
      </c>
      <c r="J215" s="47" t="n">
        <f aca="false">$F215*$H215</f>
        <v>33.184118246293</v>
      </c>
      <c r="K215" s="47" t="n">
        <f aca="false">$I215*(1+BDI_MAT)</f>
        <v>230.306256208236</v>
      </c>
      <c r="L215" s="47" t="n">
        <f aca="false">$J215*(1+BDI_MDO)</f>
        <v>42.306432352199</v>
      </c>
      <c r="M215" s="47" t="n">
        <f aca="false">SUM(K215:L215)</f>
        <v>272.612688560435</v>
      </c>
      <c r="N215" s="20" t="str">
        <f aca="false">A215</f>
        <v>3.2.3.5.2</v>
      </c>
    </row>
    <row r="216" customFormat="false" ht="15" hidden="false" customHeight="false" outlineLevel="1" collapsed="false">
      <c r="A216" s="42" t="s">
        <v>326</v>
      </c>
      <c r="B216" s="43"/>
      <c r="C216" s="58" t="s">
        <v>327</v>
      </c>
      <c r="D216" s="45"/>
      <c r="E216" s="45"/>
      <c r="F216" s="46"/>
      <c r="G216" s="51"/>
      <c r="H216" s="52"/>
      <c r="I216" s="47" t="n">
        <f aca="false">SUBTOTAL(9,I217:I222)</f>
        <v>8191.43282891934</v>
      </c>
      <c r="J216" s="47" t="n">
        <f aca="false">SUBTOTAL(9,J217:J222)</f>
        <v>1573.52655142336</v>
      </c>
      <c r="K216" s="47" t="n">
        <f aca="false">SUBTOTAL(9,K217:K222)</f>
        <v>9880.50627824251</v>
      </c>
      <c r="L216" s="47" t="n">
        <f aca="false">SUBTOTAL(9,L217:L222)</f>
        <v>2006.08900040964</v>
      </c>
      <c r="M216" s="47" t="n">
        <f aca="false">SUBTOTAL(9,M217:M222)</f>
        <v>11886.5952786521</v>
      </c>
      <c r="N216" s="20" t="str">
        <f aca="false">A216</f>
        <v>3.2.3.6</v>
      </c>
    </row>
    <row r="217" customFormat="false" ht="45" hidden="false" customHeight="false" outlineLevel="1" collapsed="false">
      <c r="A217" s="42" t="s">
        <v>328</v>
      </c>
      <c r="B217" s="43" t="n">
        <v>96521</v>
      </c>
      <c r="C217" s="50" t="str">
        <f aca="false">VLOOKUP($B217,03_COMPOSIÇÕES!$A:$G,2,0)</f>
        <v>ESCAVAÇÃO MECANIZADA PARA BLOCO DE COROAMENTO OU SAPATA COM RETROESCAVADEIRA (INCLUINDO ESCAVAÇÃO PARA COLOCAÇÃO DE FÔRMAS). AF_01/2024</v>
      </c>
      <c r="D217" s="45" t="s">
        <v>59</v>
      </c>
      <c r="E217" s="51" t="str">
        <f aca="false">VLOOKUP($B217,03_COMPOSIÇÕES!$A:$G,4,0)</f>
        <v>M3</v>
      </c>
      <c r="F217" s="46" t="n">
        <v>5.2</v>
      </c>
      <c r="G217" s="51" t="n">
        <f aca="false">VLOOKUP($B217,03_COMPOSIÇÕES!$A:$G,6,0)</f>
        <v>29.675465530752</v>
      </c>
      <c r="H217" s="52" t="n">
        <f aca="false">VLOOKUP($B217,03_COMPOSIÇÕES!$A:$G,7,0)</f>
        <v>8.0586712944</v>
      </c>
      <c r="I217" s="47" t="n">
        <f aca="false">$F217*$G217</f>
        <v>154.31242075991</v>
      </c>
      <c r="J217" s="47" t="n">
        <f aca="false">$F217*$H217</f>
        <v>41.90509073088</v>
      </c>
      <c r="K217" s="47" t="n">
        <f aca="false">$I217*(1+BDI_MAT)</f>
        <v>186.131641920604</v>
      </c>
      <c r="L217" s="47" t="n">
        <f aca="false">$J217*(1+BDI_MDO)</f>
        <v>53.4248001727989</v>
      </c>
      <c r="M217" s="47" t="n">
        <f aca="false">SUM(K217:L217)</f>
        <v>239.556442093403</v>
      </c>
      <c r="N217" s="20" t="str">
        <f aca="false">A217</f>
        <v>3.2.3.6.1</v>
      </c>
    </row>
    <row r="218" customFormat="false" ht="45" hidden="false" customHeight="false" outlineLevel="1" collapsed="false">
      <c r="A218" s="42" t="s">
        <v>329</v>
      </c>
      <c r="B218" s="43" t="n">
        <v>96528</v>
      </c>
      <c r="C218" s="50" t="str">
        <f aca="false">VLOOKUP($B218,03_COMPOSIÇÕES!$A:$G,2,0)</f>
        <v>FABRICAÇÃO, MONTAGEM E DESMONTAGEM DE FÔRMA PARA BLOCO DE COROAMENTO, EM MADEIRA SERRADA, E=25 MM, 1 UTILIZAÇÃO. AF_01/2024</v>
      </c>
      <c r="D218" s="45" t="s">
        <v>59</v>
      </c>
      <c r="E218" s="51" t="str">
        <f aca="false">VLOOKUP($B218,03_COMPOSIÇÕES!$A:$G,4,0)</f>
        <v>M2</v>
      </c>
      <c r="F218" s="46" t="n">
        <v>10.08</v>
      </c>
      <c r="G218" s="51" t="n">
        <f aca="false">VLOOKUP($B218,03_COMPOSIÇÕES!$A:$G,6,0)</f>
        <v>57.508349195336</v>
      </c>
      <c r="H218" s="52" t="n">
        <f aca="false">VLOOKUP($B218,03_COMPOSIÇÕES!$A:$G,7,0)</f>
        <v>44.4688054152</v>
      </c>
      <c r="I218" s="47" t="n">
        <f aca="false">$F218*$G218</f>
        <v>579.684159888987</v>
      </c>
      <c r="J218" s="47" t="n">
        <f aca="false">$F218*$H218</f>
        <v>448.245558585216</v>
      </c>
      <c r="K218" s="47" t="n">
        <f aca="false">$I218*(1+BDI_MAT)</f>
        <v>699.215033658096</v>
      </c>
      <c r="L218" s="47" t="n">
        <f aca="false">$J218*(1+BDI_MDO)</f>
        <v>571.468262640292</v>
      </c>
      <c r="M218" s="47" t="n">
        <f aca="false">SUM(K218:L218)</f>
        <v>1270.68329629839</v>
      </c>
      <c r="N218" s="20" t="str">
        <f aca="false">A218</f>
        <v>3.2.3.6.2</v>
      </c>
    </row>
    <row r="219" customFormat="false" ht="30" hidden="false" customHeight="false" outlineLevel="1" collapsed="false">
      <c r="A219" s="42" t="s">
        <v>330</v>
      </c>
      <c r="B219" s="43" t="n">
        <v>96545</v>
      </c>
      <c r="C219" s="50" t="str">
        <f aca="false">VLOOKUP($B219,03_COMPOSIÇÕES!$A:$G,2,0)</f>
        <v>ARMAÇÃO DE BLOCO UTILIZANDO AÇO CA-50 DE 8 MM - MONTAGEM. AF_01/2024</v>
      </c>
      <c r="D219" s="45" t="s">
        <v>59</v>
      </c>
      <c r="E219" s="51" t="str">
        <f aca="false">VLOOKUP($B219,03_COMPOSIÇÕES!$A:$G,4,0)</f>
        <v>KG</v>
      </c>
      <c r="F219" s="46" t="n">
        <v>121.1</v>
      </c>
      <c r="G219" s="51" t="n">
        <f aca="false">VLOOKUP($B219,03_COMPOSIÇÕES!$A:$G,6,0)</f>
        <v>11.394734</v>
      </c>
      <c r="H219" s="52" t="n">
        <f aca="false">VLOOKUP($B219,03_COMPOSIÇÕES!$A:$G,7,0)</f>
        <v>4.1987609244</v>
      </c>
      <c r="I219" s="47" t="n">
        <f aca="false">$F219*$G219</f>
        <v>1379.9022874</v>
      </c>
      <c r="J219" s="47" t="n">
        <f aca="false">$F219*$H219</f>
        <v>508.46994794484</v>
      </c>
      <c r="K219" s="47" t="n">
        <f aca="false">$I219*(1+BDI_MAT)</f>
        <v>1664.43813906188</v>
      </c>
      <c r="L219" s="47" t="n">
        <f aca="false">$J219*(1+BDI_MDO)</f>
        <v>648.248336634876</v>
      </c>
      <c r="M219" s="47" t="n">
        <f aca="false">SUM(K219:L219)</f>
        <v>2312.68647569676</v>
      </c>
      <c r="N219" s="20" t="str">
        <f aca="false">A219</f>
        <v>3.2.3.6.3</v>
      </c>
    </row>
    <row r="220" customFormat="false" ht="45" hidden="false" customHeight="false" outlineLevel="1" collapsed="false">
      <c r="A220" s="42" t="s">
        <v>331</v>
      </c>
      <c r="B220" s="43" t="s">
        <v>131</v>
      </c>
      <c r="C220" s="50" t="str">
        <f aca="false">VLOOKUP($B220,03_COMPOSIÇÕES!$A:$G,2,0)</f>
        <v>CONCRETAGEM DE BLOCO DE COROAMENTO OU VIGA BALDRAME, FCK 35 MPA, COM USO DE BOMBA - LANÇAMENTO, ADENSAMENTO E ACABAMENTO.</v>
      </c>
      <c r="D220" s="45" t="s">
        <v>59</v>
      </c>
      <c r="E220" s="51" t="str">
        <f aca="false">VLOOKUP($B220,03_COMPOSIÇÕES!$A:$G,4,0)</f>
        <v>M3</v>
      </c>
      <c r="F220" s="46" t="n">
        <v>5.2</v>
      </c>
      <c r="G220" s="51" t="n">
        <f aca="false">VLOOKUP($B220,03_COMPOSIÇÕES!$A:$G,6,0)</f>
        <v>851.632968052008</v>
      </c>
      <c r="H220" s="52" t="n">
        <f aca="false">VLOOKUP($B220,03_COMPOSIÇÕES!$A:$G,7,0)</f>
        <v>13.522148316</v>
      </c>
      <c r="I220" s="47" t="n">
        <f aca="false">$F220*$G220</f>
        <v>4428.49143387044</v>
      </c>
      <c r="J220" s="47" t="n">
        <f aca="false">$F220*$H220</f>
        <v>70.3151712432</v>
      </c>
      <c r="K220" s="47" t="n">
        <f aca="false">$I220*(1+BDI_MAT)</f>
        <v>5341.64636753453</v>
      </c>
      <c r="L220" s="47" t="n">
        <f aca="false">$J220*(1+BDI_MDO)</f>
        <v>89.6448118179557</v>
      </c>
      <c r="M220" s="47" t="n">
        <f aca="false">SUM(K220:L220)</f>
        <v>5431.29117935248</v>
      </c>
      <c r="N220" s="20" t="str">
        <f aca="false">A220</f>
        <v>3.2.3.6.4</v>
      </c>
    </row>
    <row r="221" customFormat="false" ht="30" hidden="false" customHeight="false" outlineLevel="1" collapsed="false">
      <c r="A221" s="42" t="s">
        <v>332</v>
      </c>
      <c r="B221" s="43" t="n">
        <v>98555</v>
      </c>
      <c r="C221" s="50" t="str">
        <f aca="false">VLOOKUP($B221,03_COMPOSIÇÕES!$A:$G,2,0)</f>
        <v>IMPERMEABILIZAÇÃO DE SUPERFÍCIE COM ARGAMASSA POLIMÉRICA / MEMBRANA ACRÍLICA, 3 DEMÃOS. AF_09/2023</v>
      </c>
      <c r="D221" s="45" t="s">
        <v>59</v>
      </c>
      <c r="E221" s="51" t="str">
        <f aca="false">VLOOKUP($B221,03_COMPOSIÇÕES!$A:$G,4,0)</f>
        <v>M2</v>
      </c>
      <c r="F221" s="46" t="n">
        <v>6.5</v>
      </c>
      <c r="G221" s="51" t="n">
        <f aca="false">VLOOKUP($B221,03_COMPOSIÇÕES!$A:$G,6,0)</f>
        <v>16.311158</v>
      </c>
      <c r="H221" s="52" t="n">
        <f aca="false">VLOOKUP($B221,03_COMPOSIÇÕES!$A:$G,7,0)</f>
        <v>14.34480167988</v>
      </c>
      <c r="I221" s="47" t="n">
        <f aca="false">$F221*$G221</f>
        <v>106.022527</v>
      </c>
      <c r="J221" s="47" t="n">
        <f aca="false">$F221*$H221</f>
        <v>93.24121091922</v>
      </c>
      <c r="K221" s="47" t="n">
        <f aca="false">$I221*(1+BDI_MAT)</f>
        <v>127.8843720674</v>
      </c>
      <c r="L221" s="47" t="n">
        <f aca="false">$J221*(1+BDI_MDO)</f>
        <v>118.873219800914</v>
      </c>
      <c r="M221" s="47" t="n">
        <f aca="false">SUM(K221:L221)</f>
        <v>246.757591868314</v>
      </c>
      <c r="N221" s="20" t="str">
        <f aca="false">A221</f>
        <v>3.2.3.6.5</v>
      </c>
    </row>
    <row r="222" customFormat="false" ht="15" hidden="false" customHeight="false" outlineLevel="1" collapsed="false">
      <c r="A222" s="42" t="s">
        <v>333</v>
      </c>
      <c r="B222" s="43" t="s">
        <v>334</v>
      </c>
      <c r="C222" s="50" t="str">
        <f aca="false">VLOOKUP($B222,03_COMPOSIÇÕES!$A:$G,2,0)</f>
        <v>MASTRO PARA BANDEIRA, 5M. FORNECIMENTO E INSTALAÇÃO.</v>
      </c>
      <c r="D222" s="45" t="s">
        <v>59</v>
      </c>
      <c r="E222" s="51" t="str">
        <f aca="false">VLOOKUP($B222,03_COMPOSIÇÕES!$A:$G,4,0)</f>
        <v>UN</v>
      </c>
      <c r="F222" s="46" t="n">
        <v>3</v>
      </c>
      <c r="G222" s="51" t="n">
        <f aca="false">VLOOKUP($B222,03_COMPOSIÇÕES!$A:$G,6,0)</f>
        <v>514.34</v>
      </c>
      <c r="H222" s="52" t="n">
        <f aca="false">VLOOKUP($B222,03_COMPOSIÇÕES!$A:$G,7,0)</f>
        <v>137.116524</v>
      </c>
      <c r="I222" s="47" t="n">
        <f aca="false">$F222*$G222</f>
        <v>1543.02</v>
      </c>
      <c r="J222" s="47" t="n">
        <f aca="false">$F222*$H222</f>
        <v>411.349572</v>
      </c>
      <c r="K222" s="47" t="n">
        <f aca="false">$I222*(1+BDI_MAT)</f>
        <v>1861.190724</v>
      </c>
      <c r="L222" s="47" t="n">
        <f aca="false">$J222*(1+BDI_MDO)</f>
        <v>524.4295693428</v>
      </c>
      <c r="M222" s="47" t="n">
        <f aca="false">SUM(K222:L222)</f>
        <v>2385.6202933428</v>
      </c>
      <c r="N222" s="20" t="str">
        <f aca="false">A222</f>
        <v>3.2.3.6.6</v>
      </c>
    </row>
    <row r="223" customFormat="false" ht="15" hidden="false" customHeight="false" outlineLevel="0" collapsed="false">
      <c r="A223" s="42" t="n">
        <v>4</v>
      </c>
      <c r="B223" s="43"/>
      <c r="C223" s="50" t="s">
        <v>335</v>
      </c>
      <c r="D223" s="45"/>
      <c r="E223" s="45"/>
      <c r="F223" s="46"/>
      <c r="G223" s="51"/>
      <c r="H223" s="52"/>
      <c r="I223" s="47" t="n">
        <f aca="false">SUM(I224,I235,I247,I250,I255,I264,I266)</f>
        <v>426375.620446805</v>
      </c>
      <c r="J223" s="47" t="n">
        <f aca="false">SUM(J224,J235,J247,J250,J255,J264,J266)</f>
        <v>190500.695570731</v>
      </c>
      <c r="K223" s="47" t="n">
        <f aca="false">SUM(K224,K235,K247,K250,K255,K264,K266)</f>
        <v>514294.273382936</v>
      </c>
      <c r="L223" s="47" t="n">
        <f aca="false">SUM(L224,L235,L247,L250,L255,L264,L266)</f>
        <v>242869.336783125</v>
      </c>
      <c r="M223" s="47" t="n">
        <f aca="false">SUM(M224,M235,M247,M250,M255,M264,M266)</f>
        <v>757163.610166061</v>
      </c>
      <c r="N223" s="20" t="n">
        <f aca="false">A223</f>
        <v>4</v>
      </c>
    </row>
    <row r="224" customFormat="false" ht="15" hidden="false" customHeight="false" outlineLevel="1" collapsed="false">
      <c r="A224" s="42" t="s">
        <v>336</v>
      </c>
      <c r="B224" s="43"/>
      <c r="C224" s="50" t="s">
        <v>337</v>
      </c>
      <c r="D224" s="45"/>
      <c r="E224" s="45"/>
      <c r="F224" s="46"/>
      <c r="G224" s="51"/>
      <c r="H224" s="52"/>
      <c r="I224" s="47" t="n">
        <f aca="false">SUM(I225,I228,I231,I233)</f>
        <v>168231.297241473</v>
      </c>
      <c r="J224" s="47" t="n">
        <f aca="false">SUM(J225,J228,J231,J233)</f>
        <v>141340.122724464</v>
      </c>
      <c r="K224" s="47" t="n">
        <f aca="false">SUM(K225,K228,K231,K233)</f>
        <v>202920.590732664</v>
      </c>
      <c r="L224" s="47" t="n">
        <f aca="false">SUM(L225,L228,L231,L233)</f>
        <v>180194.522461419</v>
      </c>
      <c r="M224" s="47" t="n">
        <f aca="false">SUM(M225,M228,M231,M233)</f>
        <v>383115.113194083</v>
      </c>
      <c r="N224" s="20" t="str">
        <f aca="false">A224</f>
        <v>4.1</v>
      </c>
    </row>
    <row r="225" customFormat="false" ht="15" hidden="false" customHeight="false" outlineLevel="2" collapsed="false">
      <c r="A225" s="42" t="s">
        <v>338</v>
      </c>
      <c r="B225" s="43"/>
      <c r="C225" s="50" t="s">
        <v>339</v>
      </c>
      <c r="D225" s="45"/>
      <c r="E225" s="45"/>
      <c r="F225" s="46"/>
      <c r="G225" s="51"/>
      <c r="H225" s="52"/>
      <c r="I225" s="47" t="n">
        <f aca="false">SUBTOTAL(9,I226:I227)</f>
        <v>39077.3286386963</v>
      </c>
      <c r="J225" s="47" t="n">
        <f aca="false">SUBTOTAL(9,J226:J227)</f>
        <v>32787.2188279583</v>
      </c>
      <c r="K225" s="47" t="n">
        <f aca="false">SUBTOTAL(9,K226:K227)</f>
        <v>47135.0738039955</v>
      </c>
      <c r="L225" s="47" t="n">
        <f aca="false">SUBTOTAL(9,L226:L227)</f>
        <v>41800.4252837641</v>
      </c>
      <c r="M225" s="47" t="n">
        <f aca="false">SUBTOTAL(9,M226:M227)</f>
        <v>88935.4990877595</v>
      </c>
      <c r="N225" s="20" t="str">
        <f aca="false">A225</f>
        <v>4.1.1</v>
      </c>
    </row>
    <row r="226" customFormat="false" ht="45" hidden="false" customHeight="false" outlineLevel="3" collapsed="false">
      <c r="A226" s="42" t="s">
        <v>340</v>
      </c>
      <c r="B226" s="43" t="n">
        <v>103328</v>
      </c>
      <c r="C226" s="50" t="str">
        <f aca="false">VLOOKUP($B226,03_COMPOSIÇÕES!$A:$G,2,0)</f>
        <v>ALVENARIA DE VEDAÇÃO DE BLOCOS CERÂMICOS FURADOS NA HORIZONTAL DE 9X19X19 CM (ESPESSURA 9 CM) E ARGAMASSA DE ASSENTAMENTO COM PREPARO EM BETONEIRA. AF_12/2021</v>
      </c>
      <c r="D226" s="45" t="s">
        <v>59</v>
      </c>
      <c r="E226" s="51" t="str">
        <f aca="false">VLOOKUP($B226,03_COMPOSIÇÕES!$A:$G,4,0)</f>
        <v>M2</v>
      </c>
      <c r="F226" s="46" t="n">
        <v>715.03</v>
      </c>
      <c r="G226" s="51" t="n">
        <f aca="false">VLOOKUP($B226,03_COMPOSIÇÕES!$A:$G,6,0)</f>
        <v>53.72531381129</v>
      </c>
      <c r="H226" s="52" t="n">
        <f aca="false">VLOOKUP($B226,03_COMPOSIÇÕES!$A:$G,7,0)</f>
        <v>44.380219535715</v>
      </c>
      <c r="I226" s="47" t="n">
        <f aca="false">$F226*$G226</f>
        <v>38415.2111344867</v>
      </c>
      <c r="J226" s="47" t="n">
        <f aca="false">$F226*$H226</f>
        <v>31733.1883746223</v>
      </c>
      <c r="K226" s="47" t="n">
        <f aca="false">$I226*(1+BDI_MAT)</f>
        <v>46336.4276704178</v>
      </c>
      <c r="L226" s="47" t="n">
        <f aca="false">$J226*(1+BDI_MDO)</f>
        <v>40456.641858806</v>
      </c>
      <c r="M226" s="47" t="n">
        <f aca="false">SUM(K226:L226)</f>
        <v>86793.0695292238</v>
      </c>
      <c r="N226" s="20" t="str">
        <f aca="false">A226</f>
        <v>4.1.1.1</v>
      </c>
    </row>
    <row r="227" customFormat="false" ht="60" hidden="false" customHeight="false" outlineLevel="3" collapsed="false">
      <c r="A227" s="42" t="s">
        <v>341</v>
      </c>
      <c r="B227" s="43" t="n">
        <v>103334</v>
      </c>
      <c r="C227" s="50" t="str">
        <f aca="false">VLOOKUP($B227,03_COMPOSIÇÕES!$A:$G,2,0)</f>
        <v>ALVENARIA DE VEDAÇÃO DE BLOCOS CERÂMICOS FURADOS NA HORIZONTAL DE 14X9X19 CM (ESPESSURA 14 CM, BLOCO DEITADO) E ARGAMASSA DE ASSENTAMENTO COM PREPARO EM BETONEIRA. AF_12/2021</v>
      </c>
      <c r="D227" s="45" t="s">
        <v>59</v>
      </c>
      <c r="E227" s="51" t="str">
        <f aca="false">VLOOKUP($B227,03_COMPOSIÇÕES!$A:$G,4,0)</f>
        <v>M2</v>
      </c>
      <c r="F227" s="46" t="n">
        <v>16.41</v>
      </c>
      <c r="G227" s="51" t="n">
        <f aca="false">VLOOKUP($B227,03_COMPOSIÇÕES!$A:$G,6,0)</f>
        <v>40.34841585677</v>
      </c>
      <c r="H227" s="52" t="n">
        <f aca="false">VLOOKUP($B227,03_COMPOSIÇÕES!$A:$G,7,0)</f>
        <v>64.230984359295</v>
      </c>
      <c r="I227" s="47" t="n">
        <f aca="false">$F227*$G227</f>
        <v>662.117504209596</v>
      </c>
      <c r="J227" s="47" t="n">
        <f aca="false">$F227*$H227</f>
        <v>1054.03045333603</v>
      </c>
      <c r="K227" s="47" t="n">
        <f aca="false">$I227*(1+BDI_MAT)</f>
        <v>798.646133577614</v>
      </c>
      <c r="L227" s="47" t="n">
        <f aca="false">$J227*(1+BDI_MDO)</f>
        <v>1343.78342495811</v>
      </c>
      <c r="M227" s="47" t="n">
        <f aca="false">SUM(K227:L227)</f>
        <v>2142.42955853572</v>
      </c>
      <c r="N227" s="20" t="str">
        <f aca="false">A227</f>
        <v>4.1.1.2</v>
      </c>
    </row>
    <row r="228" customFormat="false" ht="15" hidden="false" customHeight="false" outlineLevel="2" collapsed="false">
      <c r="A228" s="42" t="s">
        <v>342</v>
      </c>
      <c r="B228" s="43"/>
      <c r="C228" s="50" t="s">
        <v>343</v>
      </c>
      <c r="D228" s="45"/>
      <c r="E228" s="45"/>
      <c r="F228" s="46"/>
      <c r="G228" s="51"/>
      <c r="H228" s="52"/>
      <c r="I228" s="47" t="n">
        <f aca="false">SUBTOTAL(9,I229:I230)</f>
        <v>85209.9569303283</v>
      </c>
      <c r="J228" s="47" t="n">
        <f aca="false">SUBTOTAL(9,J229:J230)</f>
        <v>71454.4370624554</v>
      </c>
      <c r="K228" s="47" t="n">
        <f aca="false">SUBTOTAL(9,K229:K230)</f>
        <v>102780.250049362</v>
      </c>
      <c r="L228" s="47" t="n">
        <f aca="false">SUBTOTAL(9,L229:L230)</f>
        <v>91097.2618109243</v>
      </c>
      <c r="M228" s="47" t="n">
        <f aca="false">SUBTOTAL(9,M229:M230)</f>
        <v>193877.511860286</v>
      </c>
      <c r="N228" s="20" t="str">
        <f aca="false">A228</f>
        <v>4.1.2</v>
      </c>
    </row>
    <row r="229" customFormat="false" ht="45" hidden="false" customHeight="false" outlineLevel="3" collapsed="false">
      <c r="A229" s="42" t="s">
        <v>344</v>
      </c>
      <c r="B229" s="43" t="n">
        <v>103328</v>
      </c>
      <c r="C229" s="50" t="str">
        <f aca="false">VLOOKUP($B229,03_COMPOSIÇÕES!$A:$G,2,0)</f>
        <v>ALVENARIA DE VEDAÇÃO DE BLOCOS CERÂMICOS FURADOS NA HORIZONTAL DE 9X19X19 CM (ESPESSURA 9 CM) E ARGAMASSA DE ASSENTAMENTO COM PREPARO EM BETONEIRA. AF_12/2021</v>
      </c>
      <c r="D229" s="45" t="s">
        <v>59</v>
      </c>
      <c r="E229" s="51" t="str">
        <f aca="false">VLOOKUP($B229,03_COMPOSIÇÕES!$A:$G,4,0)</f>
        <v>M2</v>
      </c>
      <c r="F229" s="46" t="n">
        <v>1560.12</v>
      </c>
      <c r="G229" s="51" t="n">
        <f aca="false">VLOOKUP($B229,03_COMPOSIÇÕES!$A:$G,6,0)</f>
        <v>53.72531381129</v>
      </c>
      <c r="H229" s="52" t="n">
        <f aca="false">VLOOKUP($B229,03_COMPOSIÇÕES!$A:$G,7,0)</f>
        <v>44.380219535715</v>
      </c>
      <c r="I229" s="47" t="n">
        <f aca="false">$F229*$G229</f>
        <v>83817.9365832698</v>
      </c>
      <c r="J229" s="47" t="n">
        <f aca="false">$F229*$H229</f>
        <v>69238.4681020597</v>
      </c>
      <c r="K229" s="47" t="n">
        <f aca="false">$I229*(1+BDI_MAT)</f>
        <v>101101.19510674</v>
      </c>
      <c r="L229" s="47" t="n">
        <f aca="false">$J229*(1+BDI_MDO)</f>
        <v>88272.1229833159</v>
      </c>
      <c r="M229" s="47" t="n">
        <f aca="false">SUM(K229:L229)</f>
        <v>189373.318090056</v>
      </c>
      <c r="N229" s="20" t="str">
        <f aca="false">A229</f>
        <v>4.1.2.1</v>
      </c>
    </row>
    <row r="230" customFormat="false" ht="60" hidden="false" customHeight="false" outlineLevel="3" collapsed="false">
      <c r="A230" s="42" t="s">
        <v>345</v>
      </c>
      <c r="B230" s="43" t="n">
        <v>103334</v>
      </c>
      <c r="C230" s="50" t="str">
        <f aca="false">VLOOKUP($B230,03_COMPOSIÇÕES!$A:$G,2,0)</f>
        <v>ALVENARIA DE VEDAÇÃO DE BLOCOS CERÂMICOS FURADOS NA HORIZONTAL DE 14X9X19 CM (ESPESSURA 14 CM, BLOCO DEITADO) E ARGAMASSA DE ASSENTAMENTO COM PREPARO EM BETONEIRA. AF_12/2021</v>
      </c>
      <c r="D230" s="45" t="s">
        <v>59</v>
      </c>
      <c r="E230" s="51" t="str">
        <f aca="false">VLOOKUP($B230,03_COMPOSIÇÕES!$A:$G,4,0)</f>
        <v>M2</v>
      </c>
      <c r="F230" s="46" t="n">
        <v>34.5</v>
      </c>
      <c r="G230" s="51" t="n">
        <f aca="false">VLOOKUP($B230,03_COMPOSIÇÕES!$A:$G,6,0)</f>
        <v>40.34841585677</v>
      </c>
      <c r="H230" s="52" t="n">
        <f aca="false">VLOOKUP($B230,03_COMPOSIÇÕES!$A:$G,7,0)</f>
        <v>64.230984359295</v>
      </c>
      <c r="I230" s="47" t="n">
        <f aca="false">$F230*$G230</f>
        <v>1392.02034705856</v>
      </c>
      <c r="J230" s="47" t="n">
        <f aca="false">$F230*$H230</f>
        <v>2215.96896039568</v>
      </c>
      <c r="K230" s="47" t="n">
        <f aca="false">$I230*(1+BDI_MAT)</f>
        <v>1679.05494262204</v>
      </c>
      <c r="L230" s="47" t="n">
        <f aca="false">$J230*(1+BDI_MDO)</f>
        <v>2825.13882760845</v>
      </c>
      <c r="M230" s="47" t="n">
        <f aca="false">SUM(K230:L230)</f>
        <v>4504.19377023049</v>
      </c>
      <c r="N230" s="20" t="str">
        <f aca="false">A230</f>
        <v>4.1.2.2</v>
      </c>
    </row>
    <row r="231" customFormat="false" ht="15" hidden="false" customHeight="false" outlineLevel="2" collapsed="false">
      <c r="A231" s="42" t="s">
        <v>346</v>
      </c>
      <c r="B231" s="43"/>
      <c r="C231" s="50" t="s">
        <v>316</v>
      </c>
      <c r="D231" s="45"/>
      <c r="E231" s="45"/>
      <c r="F231" s="46"/>
      <c r="G231" s="51"/>
      <c r="H231" s="52"/>
      <c r="I231" s="47" t="n">
        <f aca="false">SUBTOTAL(9,I232)</f>
        <v>42901.8120908675</v>
      </c>
      <c r="J231" s="47" t="n">
        <f aca="false">SUBTOTAL(9,J232)</f>
        <v>35439.3805080498</v>
      </c>
      <c r="K231" s="47" t="n">
        <f aca="false">SUBTOTAL(9,K232)</f>
        <v>51748.1657440044</v>
      </c>
      <c r="L231" s="47" t="n">
        <f aca="false">SUBTOTAL(9,L232)</f>
        <v>45181.6662097128</v>
      </c>
      <c r="M231" s="47" t="n">
        <f aca="false">SUBTOTAL(9,M232)</f>
        <v>96929.8319537171</v>
      </c>
      <c r="N231" s="20" t="str">
        <f aca="false">A231</f>
        <v>4.1.3</v>
      </c>
    </row>
    <row r="232" customFormat="false" ht="45" hidden="false" customHeight="false" outlineLevel="3" collapsed="false">
      <c r="A232" s="42" t="s">
        <v>347</v>
      </c>
      <c r="B232" s="43" t="n">
        <v>103328</v>
      </c>
      <c r="C232" s="50" t="str">
        <f aca="false">VLOOKUP($B232,03_COMPOSIÇÕES!$A:$G,2,0)</f>
        <v>ALVENARIA DE VEDAÇÃO DE BLOCOS CERÂMICOS FURADOS NA HORIZONTAL DE 9X19X19 CM (ESPESSURA 9 CM) E ARGAMASSA DE ASSENTAMENTO COM PREPARO EM BETONEIRA. AF_12/2021</v>
      </c>
      <c r="D232" s="45" t="s">
        <v>59</v>
      </c>
      <c r="E232" s="51" t="str">
        <f aca="false">VLOOKUP($B232,03_COMPOSIÇÕES!$A:$G,4,0)</f>
        <v>M2</v>
      </c>
      <c r="F232" s="46" t="n">
        <v>798.54</v>
      </c>
      <c r="G232" s="51" t="n">
        <f aca="false">VLOOKUP($B232,03_COMPOSIÇÕES!$A:$G,6,0)</f>
        <v>53.72531381129</v>
      </c>
      <c r="H232" s="52" t="n">
        <f aca="false">VLOOKUP($B232,03_COMPOSIÇÕES!$A:$G,7,0)</f>
        <v>44.380219535715</v>
      </c>
      <c r="I232" s="47" t="n">
        <f aca="false">$F232*$G232</f>
        <v>42901.8120908675</v>
      </c>
      <c r="J232" s="47" t="n">
        <f aca="false">$F232*$H232</f>
        <v>35439.3805080498</v>
      </c>
      <c r="K232" s="47" t="n">
        <f aca="false">$I232*(1+BDI_MAT)</f>
        <v>51748.1657440044</v>
      </c>
      <c r="L232" s="47" t="n">
        <f aca="false">$J232*(1+BDI_MDO)</f>
        <v>45181.6662097128</v>
      </c>
      <c r="M232" s="47" t="n">
        <f aca="false">SUM(K232:L232)</f>
        <v>96929.8319537171</v>
      </c>
      <c r="N232" s="20" t="str">
        <f aca="false">A232</f>
        <v>4.1.3.1</v>
      </c>
    </row>
    <row r="233" customFormat="false" ht="15" hidden="false" customHeight="false" outlineLevel="2" collapsed="false">
      <c r="A233" s="42" t="s">
        <v>348</v>
      </c>
      <c r="B233" s="43"/>
      <c r="C233" s="50" t="s">
        <v>349</v>
      </c>
      <c r="D233" s="45"/>
      <c r="E233" s="45"/>
      <c r="F233" s="46"/>
      <c r="G233" s="51"/>
      <c r="H233" s="52"/>
      <c r="I233" s="47" t="n">
        <f aca="false">SUBTOTAL(9,I234)</f>
        <v>1042.19958158037</v>
      </c>
      <c r="J233" s="47" t="n">
        <f aca="false">SUBTOTAL(9,J234)</f>
        <v>1659.08632600059</v>
      </c>
      <c r="K233" s="47" t="n">
        <f aca="false">SUBTOTAL(9,K234)</f>
        <v>1257.10113530224</v>
      </c>
      <c r="L233" s="47" t="n">
        <f aca="false">SUBTOTAL(9,L234)</f>
        <v>2115.16915701815</v>
      </c>
      <c r="M233" s="47" t="n">
        <f aca="false">SUBTOTAL(9,M234)</f>
        <v>3372.27029232039</v>
      </c>
      <c r="N233" s="20" t="str">
        <f aca="false">A233</f>
        <v>4.1.4</v>
      </c>
    </row>
    <row r="234" customFormat="false" ht="60" hidden="false" customHeight="false" outlineLevel="2" collapsed="false">
      <c r="A234" s="42" t="s">
        <v>350</v>
      </c>
      <c r="B234" s="43" t="n">
        <v>103334</v>
      </c>
      <c r="C234" s="50" t="str">
        <f aca="false">VLOOKUP($B234,03_COMPOSIÇÕES!$A:$G,2,0)</f>
        <v>ALVENARIA DE VEDAÇÃO DE BLOCOS CERÂMICOS FURADOS NA HORIZONTAL DE 14X9X19 CM (ESPESSURA 14 CM, BLOCO DEITADO) E ARGAMASSA DE ASSENTAMENTO COM PREPARO EM BETONEIRA. AF_12/2021</v>
      </c>
      <c r="D234" s="45" t="s">
        <v>59</v>
      </c>
      <c r="E234" s="51" t="str">
        <f aca="false">VLOOKUP($B234,03_COMPOSIÇÕES!$A:$G,4,0)</f>
        <v>M2</v>
      </c>
      <c r="F234" s="46" t="n">
        <v>25.83</v>
      </c>
      <c r="G234" s="51" t="n">
        <f aca="false">VLOOKUP($B234,03_COMPOSIÇÕES!$A:$G,6,0)</f>
        <v>40.34841585677</v>
      </c>
      <c r="H234" s="52" t="n">
        <f aca="false">VLOOKUP($B234,03_COMPOSIÇÕES!$A:$G,7,0)</f>
        <v>64.230984359295</v>
      </c>
      <c r="I234" s="47" t="n">
        <f aca="false">$F234*$G234</f>
        <v>1042.19958158037</v>
      </c>
      <c r="J234" s="47" t="n">
        <f aca="false">$F234*$H234</f>
        <v>1659.08632600059</v>
      </c>
      <c r="K234" s="47" t="n">
        <f aca="false">$I234*(1+BDI_MAT)</f>
        <v>1257.10113530224</v>
      </c>
      <c r="L234" s="47" t="n">
        <f aca="false">$J234*(1+BDI_MDO)</f>
        <v>2115.16915701815</v>
      </c>
      <c r="M234" s="47" t="n">
        <f aca="false">SUM(K234:L234)</f>
        <v>3372.27029232039</v>
      </c>
      <c r="N234" s="20" t="str">
        <f aca="false">A234</f>
        <v>4.1.4.1</v>
      </c>
    </row>
    <row r="235" customFormat="false" ht="15" hidden="false" customHeight="false" outlineLevel="1" collapsed="false">
      <c r="A235" s="42" t="s">
        <v>351</v>
      </c>
      <c r="B235" s="43"/>
      <c r="C235" s="50" t="s">
        <v>352</v>
      </c>
      <c r="D235" s="45"/>
      <c r="E235" s="45"/>
      <c r="F235" s="46"/>
      <c r="G235" s="51"/>
      <c r="H235" s="52"/>
      <c r="I235" s="47" t="n">
        <f aca="false">SUM(I236,I239,I242)</f>
        <v>50161.9013030299</v>
      </c>
      <c r="J235" s="47" t="n">
        <f aca="false">SUM(J236,J239,J242)</f>
        <v>6123.52303537946</v>
      </c>
      <c r="K235" s="47" t="n">
        <f aca="false">SUM(K236,K239,K242)</f>
        <v>60505.2853517146</v>
      </c>
      <c r="L235" s="47" t="n">
        <f aca="false">SUM(L236,L239,L242)</f>
        <v>7806.87951780527</v>
      </c>
      <c r="M235" s="47" t="n">
        <f aca="false">SUM(M236,M239,M242)</f>
        <v>68312.1648695199</v>
      </c>
      <c r="N235" s="20" t="str">
        <f aca="false">A235</f>
        <v>4.2</v>
      </c>
    </row>
    <row r="236" customFormat="false" ht="15" hidden="false" customHeight="false" outlineLevel="2" collapsed="false">
      <c r="A236" s="42" t="s">
        <v>353</v>
      </c>
      <c r="B236" s="43"/>
      <c r="C236" s="50" t="s">
        <v>354</v>
      </c>
      <c r="D236" s="45"/>
      <c r="E236" s="45"/>
      <c r="F236" s="46"/>
      <c r="G236" s="51"/>
      <c r="H236" s="52"/>
      <c r="I236" s="47" t="n">
        <f aca="false">SUM(I237)</f>
        <v>27085.3913892787</v>
      </c>
      <c r="J236" s="47" t="n">
        <f aca="false">SUM(J237)</f>
        <v>3660.66711349376</v>
      </c>
      <c r="K236" s="47" t="n">
        <f aca="false">SUM(K237)</f>
        <v>32670.399093748</v>
      </c>
      <c r="L236" s="47" t="n">
        <f aca="false">SUM(L237)</f>
        <v>4666.9845029932</v>
      </c>
      <c r="M236" s="47" t="n">
        <f aca="false">SUM(M237)</f>
        <v>37337.3835967412</v>
      </c>
      <c r="N236" s="20" t="str">
        <f aca="false">A236</f>
        <v>4.2.1</v>
      </c>
    </row>
    <row r="237" customFormat="false" ht="15" hidden="false" customHeight="false" outlineLevel="3" collapsed="false">
      <c r="A237" s="42" t="s">
        <v>355</v>
      </c>
      <c r="B237" s="43"/>
      <c r="C237" s="50" t="s">
        <v>339</v>
      </c>
      <c r="D237" s="45"/>
      <c r="E237" s="45"/>
      <c r="F237" s="46"/>
      <c r="G237" s="51"/>
      <c r="H237" s="52"/>
      <c r="I237" s="47" t="n">
        <f aca="false">SUBTOTAL(9,I238)</f>
        <v>27085.3913892787</v>
      </c>
      <c r="J237" s="47" t="n">
        <f aca="false">SUBTOTAL(9,J238)</f>
        <v>3660.66711349376</v>
      </c>
      <c r="K237" s="47" t="n">
        <f aca="false">SUBTOTAL(9,K238)</f>
        <v>32670.399093748</v>
      </c>
      <c r="L237" s="47" t="n">
        <f aca="false">SUBTOTAL(9,L238)</f>
        <v>4666.9845029932</v>
      </c>
      <c r="M237" s="47" t="n">
        <f aca="false">SUBTOTAL(9,M238)</f>
        <v>37337.3835967412</v>
      </c>
      <c r="N237" s="20" t="str">
        <f aca="false">A237</f>
        <v>4.2.1.1</v>
      </c>
    </row>
    <row r="238" customFormat="false" ht="30" hidden="false" customHeight="false" outlineLevel="3" collapsed="false">
      <c r="A238" s="42" t="s">
        <v>356</v>
      </c>
      <c r="B238" s="43" t="n">
        <v>102235</v>
      </c>
      <c r="C238" s="50" t="str">
        <f aca="false">VLOOKUP($B238,03_COMPOSIÇÕES!$A:$G,2,0)</f>
        <v>DIVISÓRIA FIXA EM VIDRO TEMPERADO 10 MM, SEM ABERTURA. AF_01/2021_PS</v>
      </c>
      <c r="D238" s="45" t="s">
        <v>59</v>
      </c>
      <c r="E238" s="51" t="str">
        <f aca="false">VLOOKUP($B238,03_COMPOSIÇÕES!$A:$G,4,0)</f>
        <v>M2</v>
      </c>
      <c r="F238" s="46" t="n">
        <v>86.3</v>
      </c>
      <c r="G238" s="51" t="n">
        <f aca="false">VLOOKUP($B238,03_COMPOSIÇÕES!$A:$G,6,0)</f>
        <v>313.851580408792</v>
      </c>
      <c r="H238" s="52" t="n">
        <f aca="false">VLOOKUP($B238,03_COMPOSIÇÕES!$A:$G,7,0)</f>
        <v>42.4179271552</v>
      </c>
      <c r="I238" s="47" t="n">
        <f aca="false">$F238*$G238</f>
        <v>27085.3913892787</v>
      </c>
      <c r="J238" s="47" t="n">
        <f aca="false">$F238*$H238</f>
        <v>3660.66711349376</v>
      </c>
      <c r="K238" s="47" t="n">
        <f aca="false">$I238*(1+BDI_MAT)</f>
        <v>32670.399093748</v>
      </c>
      <c r="L238" s="47" t="n">
        <f aca="false">$J238*(1+BDI_MDO)</f>
        <v>4666.9845029932</v>
      </c>
      <c r="M238" s="47" t="n">
        <f aca="false">SUM(K238:L238)</f>
        <v>37337.3835967412</v>
      </c>
      <c r="N238" s="20" t="str">
        <f aca="false">A238</f>
        <v>4.2.1.1.1</v>
      </c>
    </row>
    <row r="239" customFormat="false" ht="15" hidden="false" customHeight="false" outlineLevel="2" collapsed="false">
      <c r="A239" s="42" t="s">
        <v>357</v>
      </c>
      <c r="B239" s="43"/>
      <c r="C239" s="50" t="s">
        <v>358</v>
      </c>
      <c r="D239" s="45"/>
      <c r="E239" s="45"/>
      <c r="F239" s="46"/>
      <c r="G239" s="51"/>
      <c r="H239" s="52"/>
      <c r="I239" s="47" t="n">
        <f aca="false">SUM(I240)</f>
        <v>20527.1964337511</v>
      </c>
      <c r="J239" s="47" t="n">
        <f aca="false">SUM(J240)</f>
        <v>1651.2200808417</v>
      </c>
      <c r="K239" s="47" t="n">
        <f aca="false">SUM(K240)</f>
        <v>24759.9043383906</v>
      </c>
      <c r="L239" s="47" t="n">
        <f aca="false">SUM(L240)</f>
        <v>2105.14048106508</v>
      </c>
      <c r="M239" s="47" t="n">
        <f aca="false">SUM(M240)</f>
        <v>26865.0448194557</v>
      </c>
      <c r="N239" s="20" t="str">
        <f aca="false">A239</f>
        <v>4.2.2</v>
      </c>
    </row>
    <row r="240" customFormat="false" ht="15" hidden="false" customHeight="false" outlineLevel="3" collapsed="false">
      <c r="A240" s="42" t="s">
        <v>359</v>
      </c>
      <c r="B240" s="43"/>
      <c r="C240" s="50" t="s">
        <v>343</v>
      </c>
      <c r="D240" s="45"/>
      <c r="E240" s="45"/>
      <c r="F240" s="46"/>
      <c r="G240" s="51"/>
      <c r="H240" s="52"/>
      <c r="I240" s="47" t="n">
        <f aca="false">SUBTOTAL(9,I241)</f>
        <v>20527.1964337511</v>
      </c>
      <c r="J240" s="47" t="n">
        <f aca="false">SUBTOTAL(9,J241)</f>
        <v>1651.2200808417</v>
      </c>
      <c r="K240" s="47" t="n">
        <f aca="false">SUBTOTAL(9,K241)</f>
        <v>24759.9043383906</v>
      </c>
      <c r="L240" s="47" t="n">
        <f aca="false">SUBTOTAL(9,L241)</f>
        <v>2105.14048106508</v>
      </c>
      <c r="M240" s="47" t="n">
        <f aca="false">SUBTOTAL(9,M241)</f>
        <v>26865.0448194557</v>
      </c>
      <c r="N240" s="20" t="str">
        <f aca="false">A240</f>
        <v>4.2.2.1</v>
      </c>
    </row>
    <row r="241" customFormat="false" ht="45" hidden="false" customHeight="false" outlineLevel="3" collapsed="false">
      <c r="A241" s="42" t="s">
        <v>360</v>
      </c>
      <c r="B241" s="43" t="n">
        <v>102253</v>
      </c>
      <c r="C241" s="50" t="str">
        <f aca="false">VLOOKUP($B241,03_COMPOSIÇÕES!$A:$G,2,0)</f>
        <v>DIVISORIA SANITÁRIA, TIPO CABINE, EM GRANITO CINZA POLIDO, ESP = 3CM, ASSENTADO COM ARGAMASSA COLANTE AC III-E, EXCLUSIVE FERRAGENS. AF_01/2021</v>
      </c>
      <c r="D241" s="45" t="s">
        <v>59</v>
      </c>
      <c r="E241" s="51" t="str">
        <f aca="false">VLOOKUP($B241,03_COMPOSIÇÕES!$A:$G,4,0)</f>
        <v>M2</v>
      </c>
      <c r="F241" s="46" t="n">
        <v>28.1</v>
      </c>
      <c r="G241" s="51" t="n">
        <f aca="false">VLOOKUP($B241,03_COMPOSIÇÕES!$A:$G,6,0)</f>
        <v>730.50521116552</v>
      </c>
      <c r="H241" s="52" t="n">
        <f aca="false">VLOOKUP($B241,03_COMPOSIÇÕES!$A:$G,7,0)</f>
        <v>58.762280457</v>
      </c>
      <c r="I241" s="47" t="n">
        <f aca="false">$F241*$G241</f>
        <v>20527.1964337511</v>
      </c>
      <c r="J241" s="47" t="n">
        <f aca="false">$F241*$H241</f>
        <v>1651.2200808417</v>
      </c>
      <c r="K241" s="47" t="n">
        <f aca="false">$I241*(1+BDI_MAT)</f>
        <v>24759.9043383906</v>
      </c>
      <c r="L241" s="47" t="n">
        <f aca="false">$J241*(1+BDI_MDO)</f>
        <v>2105.14048106508</v>
      </c>
      <c r="M241" s="47" t="n">
        <f aca="false">SUM(K241:L241)</f>
        <v>26865.0448194557</v>
      </c>
      <c r="N241" s="20" t="str">
        <f aca="false">A241</f>
        <v>4.2.2.1.1</v>
      </c>
    </row>
    <row r="242" customFormat="false" ht="15" hidden="false" customHeight="false" outlineLevel="2" collapsed="false">
      <c r="A242" s="42" t="s">
        <v>361</v>
      </c>
      <c r="B242" s="43"/>
      <c r="C242" s="50" t="s">
        <v>362</v>
      </c>
      <c r="D242" s="45"/>
      <c r="E242" s="45"/>
      <c r="F242" s="46"/>
      <c r="G242" s="51"/>
      <c r="H242" s="52"/>
      <c r="I242" s="47" t="n">
        <f aca="false">SUM(I243,I245)</f>
        <v>2549.31348</v>
      </c>
      <c r="J242" s="47" t="n">
        <f aca="false">SUM(J243,J245)</f>
        <v>811.635841044</v>
      </c>
      <c r="K242" s="47" t="n">
        <f aca="false">SUM(K243,K245)</f>
        <v>3074.981919576</v>
      </c>
      <c r="L242" s="47" t="n">
        <f aca="false">SUM(L243,L245)</f>
        <v>1034.754533747</v>
      </c>
      <c r="M242" s="47" t="n">
        <f aca="false">SUM(M243,M245)</f>
        <v>4109.736453323</v>
      </c>
      <c r="N242" s="20" t="str">
        <f aca="false">A242</f>
        <v>4.2.3</v>
      </c>
    </row>
    <row r="243" customFormat="false" ht="15" hidden="false" customHeight="false" outlineLevel="2" collapsed="false">
      <c r="A243" s="42" t="s">
        <v>363</v>
      </c>
      <c r="B243" s="43"/>
      <c r="C243" s="50" t="s">
        <v>339</v>
      </c>
      <c r="D243" s="45"/>
      <c r="E243" s="45"/>
      <c r="F243" s="46"/>
      <c r="G243" s="51"/>
      <c r="H243" s="52"/>
      <c r="I243" s="47" t="n">
        <f aca="false">SUBTOTAL(9,I244)</f>
        <v>1374.82696</v>
      </c>
      <c r="J243" s="47" t="n">
        <f aca="false">SUBTOTAL(9,J244)</f>
        <v>437.709542088</v>
      </c>
      <c r="K243" s="47" t="n">
        <f aca="false">SUBTOTAL(9,K244)</f>
        <v>1658.316279152</v>
      </c>
      <c r="L243" s="47" t="n">
        <f aca="false">SUBTOTAL(9,L244)</f>
        <v>558.035895207991</v>
      </c>
      <c r="M243" s="47" t="n">
        <f aca="false">SUBTOTAL(9,M244)</f>
        <v>2216.35217435999</v>
      </c>
      <c r="N243" s="20" t="str">
        <f aca="false">A243</f>
        <v>4.2.3.1</v>
      </c>
    </row>
    <row r="244" customFormat="false" ht="15" hidden="false" customHeight="false" outlineLevel="3" collapsed="false">
      <c r="A244" s="42" t="s">
        <v>364</v>
      </c>
      <c r="B244" s="43" t="s">
        <v>365</v>
      </c>
      <c r="C244" s="50" t="str">
        <f aca="false">VLOOKUP($B244,03_COMPOSIÇÕES!$A:$G,2,0)</f>
        <v>FECHAMENTO EM PLACA CIMENTÍCIA COM ESPESSURA DE 10MM</v>
      </c>
      <c r="D244" s="45" t="s">
        <v>59</v>
      </c>
      <c r="E244" s="51" t="str">
        <f aca="false">VLOOKUP($B244,03_COMPOSIÇÕES!$A:$G,4,0)</f>
        <v>M2</v>
      </c>
      <c r="F244" s="46" t="n">
        <v>18.46</v>
      </c>
      <c r="G244" s="51" t="n">
        <f aca="false">VLOOKUP($B244,03_COMPOSIÇÕES!$A:$G,6,0)</f>
        <v>74.476</v>
      </c>
      <c r="H244" s="52" t="n">
        <f aca="false">VLOOKUP($B244,03_COMPOSIÇÕES!$A:$G,7,0)</f>
        <v>23.7112428</v>
      </c>
      <c r="I244" s="47" t="n">
        <f aca="false">$F244*$G244</f>
        <v>1374.82696</v>
      </c>
      <c r="J244" s="47" t="n">
        <f aca="false">$F244*$H244</f>
        <v>437.709542088</v>
      </c>
      <c r="K244" s="47" t="n">
        <f aca="false">$I244*(1+BDI_MAT)</f>
        <v>1658.316279152</v>
      </c>
      <c r="L244" s="47" t="n">
        <f aca="false">$J244*(1+BDI_MDO)</f>
        <v>558.035895207991</v>
      </c>
      <c r="M244" s="47" t="n">
        <f aca="false">SUM(K244:L244)</f>
        <v>2216.35217435999</v>
      </c>
      <c r="N244" s="20" t="str">
        <f aca="false">A244</f>
        <v>4.2.3.1.1</v>
      </c>
    </row>
    <row r="245" customFormat="false" ht="15" hidden="false" customHeight="false" outlineLevel="2" collapsed="false">
      <c r="A245" s="42" t="s">
        <v>366</v>
      </c>
      <c r="B245" s="43"/>
      <c r="C245" s="50" t="s">
        <v>343</v>
      </c>
      <c r="D245" s="45"/>
      <c r="E245" s="44"/>
      <c r="F245" s="46"/>
      <c r="G245" s="51"/>
      <c r="H245" s="52"/>
      <c r="I245" s="47" t="n">
        <f aca="false">SUBTOTAL(9,I246)</f>
        <v>1174.48652</v>
      </c>
      <c r="J245" s="47" t="n">
        <f aca="false">SUBTOTAL(9,J246)</f>
        <v>373.926298956</v>
      </c>
      <c r="K245" s="47" t="n">
        <f aca="false">SUBTOTAL(9,K246)</f>
        <v>1416.665640424</v>
      </c>
      <c r="L245" s="47" t="n">
        <f aca="false">SUBTOTAL(9,L246)</f>
        <v>476.718638539004</v>
      </c>
      <c r="M245" s="47" t="n">
        <f aca="false">SUBTOTAL(9,M246)</f>
        <v>1893.384278963</v>
      </c>
      <c r="N245" s="20" t="str">
        <f aca="false">A245</f>
        <v>4.2.3.2</v>
      </c>
    </row>
    <row r="246" customFormat="false" ht="15" hidden="false" customHeight="false" outlineLevel="2" collapsed="false">
      <c r="A246" s="42" t="s">
        <v>367</v>
      </c>
      <c r="B246" s="43" t="s">
        <v>365</v>
      </c>
      <c r="C246" s="50" t="str">
        <f aca="false">VLOOKUP($B246,03_COMPOSIÇÕES!$A:$G,2,0)</f>
        <v>FECHAMENTO EM PLACA CIMENTÍCIA COM ESPESSURA DE 10MM</v>
      </c>
      <c r="D246" s="45" t="s">
        <v>59</v>
      </c>
      <c r="E246" s="51" t="str">
        <f aca="false">VLOOKUP($B246,03_COMPOSIÇÕES!$A:$G,4,0)</f>
        <v>M2</v>
      </c>
      <c r="F246" s="46" t="n">
        <v>15.77</v>
      </c>
      <c r="G246" s="51" t="n">
        <f aca="false">VLOOKUP($B246,03_COMPOSIÇÕES!$A:$G,6,0)</f>
        <v>74.476</v>
      </c>
      <c r="H246" s="52" t="n">
        <f aca="false">VLOOKUP($B246,03_COMPOSIÇÕES!$A:$G,7,0)</f>
        <v>23.7112428</v>
      </c>
      <c r="I246" s="47" t="n">
        <f aca="false">$F246*$G246</f>
        <v>1174.48652</v>
      </c>
      <c r="J246" s="47" t="n">
        <f aca="false">$F246*$H246</f>
        <v>373.926298956</v>
      </c>
      <c r="K246" s="47" t="n">
        <f aca="false">$I246*(1+BDI_MAT)</f>
        <v>1416.665640424</v>
      </c>
      <c r="L246" s="47" t="n">
        <f aca="false">$J246*(1+BDI_MDO)</f>
        <v>476.718638539004</v>
      </c>
      <c r="M246" s="47" t="n">
        <f aca="false">SUM(K246:L246)</f>
        <v>1893.384278963</v>
      </c>
      <c r="N246" s="20" t="str">
        <f aca="false">A246</f>
        <v>4.2.3.2.1</v>
      </c>
    </row>
    <row r="247" customFormat="false" ht="15" hidden="false" customHeight="false" outlineLevel="1" collapsed="false">
      <c r="A247" s="42" t="s">
        <v>368</v>
      </c>
      <c r="B247" s="43"/>
      <c r="C247" s="50" t="s">
        <v>369</v>
      </c>
      <c r="D247" s="45"/>
      <c r="E247" s="44"/>
      <c r="F247" s="46"/>
      <c r="G247" s="51"/>
      <c r="H247" s="52"/>
      <c r="I247" s="47" t="n">
        <f aca="false">SUBTOTAL(9,I248:I249)</f>
        <v>83635.5534957895</v>
      </c>
      <c r="J247" s="47" t="n">
        <f aca="false">SUBTOTAL(9,J248:J249)</f>
        <v>17145.161120458</v>
      </c>
      <c r="K247" s="47" t="n">
        <f aca="false">SUBTOTAL(9,K248:K249)</f>
        <v>100881.204626621</v>
      </c>
      <c r="L247" s="47" t="n">
        <f aca="false">SUBTOTAL(9,L248:L249)</f>
        <v>21858.3659124719</v>
      </c>
      <c r="M247" s="47" t="n">
        <f aca="false">SUBTOTAL(9,M248:M249)</f>
        <v>122739.570539093</v>
      </c>
      <c r="N247" s="20" t="str">
        <f aca="false">A247</f>
        <v>4.3</v>
      </c>
    </row>
    <row r="248" customFormat="false" ht="30" hidden="false" customHeight="false" outlineLevel="2" collapsed="false">
      <c r="A248" s="42" t="s">
        <v>370</v>
      </c>
      <c r="B248" s="43" t="s">
        <v>371</v>
      </c>
      <c r="C248" s="50" t="str">
        <f aca="false">VLOOKUP($B248,03_COMPOSIÇÕES!$A:$G,2,0)</f>
        <v>PAINEL EM PERFIS DE ALUMÍNIO, COM VIDRO LÂMINADO 8MM - FORNECIMENTO E INSTALAÇÃO.</v>
      </c>
      <c r="D248" s="45" t="s">
        <v>59</v>
      </c>
      <c r="E248" s="51" t="str">
        <f aca="false">VLOOKUP($B248,03_COMPOSIÇÕES!$A:$G,4,0)</f>
        <v>M2</v>
      </c>
      <c r="F248" s="46" t="n">
        <v>103.81</v>
      </c>
      <c r="G248" s="51" t="n">
        <f aca="false">VLOOKUP($B248,03_COMPOSIÇÕES!$A:$G,6,0)</f>
        <v>771.273</v>
      </c>
      <c r="H248" s="52" t="n">
        <f aca="false">VLOOKUP($B248,03_COMPOSIÇÕES!$A:$G,7,0)</f>
        <v>148.8288738</v>
      </c>
      <c r="I248" s="47" t="n">
        <f aca="false">$F248*$G248</f>
        <v>80065.85013</v>
      </c>
      <c r="J248" s="47" t="n">
        <f aca="false">$F248*$H248</f>
        <v>15449.925389178</v>
      </c>
      <c r="K248" s="47" t="n">
        <f aca="false">$I248*(1+BDI_MAT)</f>
        <v>96575.428426806</v>
      </c>
      <c r="L248" s="47" t="n">
        <f aca="false">$J248*(1+BDI_MDO)</f>
        <v>19697.109878663</v>
      </c>
      <c r="M248" s="47" t="n">
        <f aca="false">SUM(K248:L248)</f>
        <v>116272.538305469</v>
      </c>
      <c r="N248" s="20" t="str">
        <f aca="false">A248</f>
        <v>4.3.1</v>
      </c>
    </row>
    <row r="249" customFormat="false" ht="30" hidden="false" customHeight="false" outlineLevel="2" collapsed="false">
      <c r="A249" s="42" t="s">
        <v>372</v>
      </c>
      <c r="B249" s="43" t="s">
        <v>373</v>
      </c>
      <c r="C249" s="50" t="str">
        <f aca="false">VLOOKUP($B249,03_COMPOSIÇÕES!$A:$G,2,0)</f>
        <v>PELICULA ADESIVA DE CONTROLE SOLAR ANTI RISCO, PARA VIDRO - FORNECIMENTO E INSTALAÇÃO</v>
      </c>
      <c r="D249" s="45" t="s">
        <v>59</v>
      </c>
      <c r="E249" s="51" t="str">
        <f aca="false">VLOOKUP($B249,03_COMPOSIÇÕES!$A:$G,4,0)</f>
        <v>M2</v>
      </c>
      <c r="F249" s="46" t="n">
        <v>95.9</v>
      </c>
      <c r="G249" s="51" t="n">
        <f aca="false">VLOOKUP($B249,03_COMPOSIÇÕES!$A:$G,6,0)</f>
        <v>37.2231842105263</v>
      </c>
      <c r="H249" s="52" t="n">
        <f aca="false">VLOOKUP($B249,03_COMPOSIÇÕES!$A:$G,7,0)</f>
        <v>17.6771192</v>
      </c>
      <c r="I249" s="47" t="n">
        <f aca="false">$F249*$G249</f>
        <v>3569.70336578947</v>
      </c>
      <c r="J249" s="47" t="n">
        <f aca="false">$F249*$H249</f>
        <v>1695.23573128</v>
      </c>
      <c r="K249" s="47" t="n">
        <f aca="false">$I249*(1+BDI_MAT)</f>
        <v>4305.77619981526</v>
      </c>
      <c r="L249" s="47" t="n">
        <f aca="false">$J249*(1+BDI_MDO)</f>
        <v>2161.25603380887</v>
      </c>
      <c r="M249" s="47" t="n">
        <f aca="false">SUM(K249:L249)</f>
        <v>6467.03223362414</v>
      </c>
      <c r="N249" s="20" t="str">
        <f aca="false">A249</f>
        <v>4.3.2</v>
      </c>
    </row>
    <row r="250" customFormat="false" ht="15" hidden="false" customHeight="false" outlineLevel="1" collapsed="false">
      <c r="A250" s="42" t="s">
        <v>374</v>
      </c>
      <c r="B250" s="43"/>
      <c r="C250" s="50" t="s">
        <v>375</v>
      </c>
      <c r="D250" s="45"/>
      <c r="E250" s="44"/>
      <c r="F250" s="46"/>
      <c r="G250" s="51"/>
      <c r="H250" s="52"/>
      <c r="I250" s="47" t="n">
        <f aca="false">SUM(I251,I253)</f>
        <v>30218.35440673</v>
      </c>
      <c r="J250" s="47" t="n">
        <f aca="false">SUM(J251,J253)</f>
        <v>4048.84136602197</v>
      </c>
      <c r="K250" s="47" t="n">
        <f aca="false">SUM(K251,K253)</f>
        <v>36449.3790853977</v>
      </c>
      <c r="L250" s="47" t="n">
        <f aca="false">SUM(L251,L253)</f>
        <v>5161.86785754141</v>
      </c>
      <c r="M250" s="47" t="n">
        <f aca="false">SUM(M251,M253)</f>
        <v>41611.2469429391</v>
      </c>
      <c r="N250" s="20" t="str">
        <f aca="false">A250</f>
        <v>4.4</v>
      </c>
    </row>
    <row r="251" customFormat="false" ht="15" hidden="false" customHeight="false" outlineLevel="2" collapsed="false">
      <c r="A251" s="42" t="s">
        <v>376</v>
      </c>
      <c r="B251" s="43"/>
      <c r="C251" s="50" t="s">
        <v>339</v>
      </c>
      <c r="D251" s="45"/>
      <c r="E251" s="44"/>
      <c r="F251" s="46"/>
      <c r="G251" s="51"/>
      <c r="H251" s="52"/>
      <c r="I251" s="47" t="n">
        <f aca="false">SUBTOTAL(9,I252)</f>
        <v>9037.42250628</v>
      </c>
      <c r="J251" s="47" t="n">
        <f aca="false">SUBTOTAL(9,J252)</f>
        <v>1210.88956708692</v>
      </c>
      <c r="K251" s="47" t="n">
        <f aca="false">SUBTOTAL(9,K252)</f>
        <v>10900.9390270749</v>
      </c>
      <c r="L251" s="47" t="n">
        <f aca="false">SUBTOTAL(9,L252)</f>
        <v>1543.76310907911</v>
      </c>
      <c r="M251" s="47" t="n">
        <f aca="false">SUBTOTAL(9,M252)</f>
        <v>12444.7021361541</v>
      </c>
      <c r="N251" s="20" t="str">
        <f aca="false">A251</f>
        <v>4.4.1</v>
      </c>
    </row>
    <row r="252" customFormat="false" ht="60" hidden="false" customHeight="false" outlineLevel="3" collapsed="false">
      <c r="A252" s="42" t="s">
        <v>377</v>
      </c>
      <c r="B252" s="43" t="s">
        <v>378</v>
      </c>
      <c r="C252" s="50" t="str">
        <f aca="false">VLOOKUP($B252,03_COMPOSIÇÕES!$A:$G,2,0)</f>
        <v>PAREDE COM SISTEMA EM CHAPAS DE GESSO PARA DRYWALL, USO INTERNO, COM DUAS FACES SIMPLES E ESTRUTURA METÁLICA COM GUIAS SIMPLES, NUCLEO INTERNO EM FIBRA DE VIDRO PARA ISOLAMENTO ACÚSTICO, COM VÃOS.</v>
      </c>
      <c r="D252" s="45" t="s">
        <v>59</v>
      </c>
      <c r="E252" s="51" t="str">
        <f aca="false">VLOOKUP($B252,03_COMPOSIÇÕES!$A:$G,4,0)</f>
        <v>M2</v>
      </c>
      <c r="F252" s="46" t="n">
        <v>107.16</v>
      </c>
      <c r="G252" s="51" t="n">
        <f aca="false">VLOOKUP($B252,03_COMPOSIÇÕES!$A:$G,6,0)</f>
        <v>84.335783</v>
      </c>
      <c r="H252" s="52" t="n">
        <f aca="false">VLOOKUP($B252,03_COMPOSIÇÕES!$A:$G,7,0)</f>
        <v>11.299827987</v>
      </c>
      <c r="I252" s="47" t="n">
        <f aca="false">$F252*$G252</f>
        <v>9037.42250628</v>
      </c>
      <c r="J252" s="47" t="n">
        <f aca="false">$F252*$H252</f>
        <v>1210.88956708692</v>
      </c>
      <c r="K252" s="47" t="n">
        <f aca="false">$I252*(1+BDI_MAT)</f>
        <v>10900.9390270749</v>
      </c>
      <c r="L252" s="47" t="n">
        <f aca="false">$J252*(1+BDI_MDO)</f>
        <v>1543.76310907911</v>
      </c>
      <c r="M252" s="47" t="n">
        <f aca="false">SUM(K252:L252)</f>
        <v>12444.7021361541</v>
      </c>
      <c r="N252" s="20" t="str">
        <f aca="false">A252</f>
        <v>4.4.1.1</v>
      </c>
    </row>
    <row r="253" customFormat="false" ht="15" hidden="false" customHeight="false" outlineLevel="2" collapsed="false">
      <c r="A253" s="42" t="s">
        <v>379</v>
      </c>
      <c r="B253" s="43"/>
      <c r="C253" s="50" t="s">
        <v>343</v>
      </c>
      <c r="D253" s="45"/>
      <c r="E253" s="44"/>
      <c r="F253" s="46"/>
      <c r="G253" s="51"/>
      <c r="H253" s="52"/>
      <c r="I253" s="47" t="n">
        <f aca="false">SUBTOTAL(9,I254)</f>
        <v>21180.93190045</v>
      </c>
      <c r="J253" s="47" t="n">
        <f aca="false">SUBTOTAL(9,J254)</f>
        <v>2837.95179893505</v>
      </c>
      <c r="K253" s="47" t="n">
        <f aca="false">SUBTOTAL(9,K254)</f>
        <v>25548.4400583228</v>
      </c>
      <c r="L253" s="47" t="n">
        <f aca="false">SUBTOTAL(9,L254)</f>
        <v>3618.10474846229</v>
      </c>
      <c r="M253" s="47" t="n">
        <f aca="false">SUBTOTAL(9,M254)</f>
        <v>29166.5448067851</v>
      </c>
      <c r="N253" s="20" t="str">
        <f aca="false">A253</f>
        <v>4.4.2</v>
      </c>
    </row>
    <row r="254" customFormat="false" ht="60" hidden="false" customHeight="false" outlineLevel="2" collapsed="false">
      <c r="A254" s="42" t="s">
        <v>380</v>
      </c>
      <c r="B254" s="43" t="s">
        <v>378</v>
      </c>
      <c r="C254" s="50" t="str">
        <f aca="false">VLOOKUP($B254,03_COMPOSIÇÕES!$A:$G,2,0)</f>
        <v>PAREDE COM SISTEMA EM CHAPAS DE GESSO PARA DRYWALL, USO INTERNO, COM DUAS FACES SIMPLES E ESTRUTURA METÁLICA COM GUIAS SIMPLES, NUCLEO INTERNO EM FIBRA DE VIDRO PARA ISOLAMENTO ACÚSTICO, COM VÃOS.</v>
      </c>
      <c r="D254" s="45" t="s">
        <v>59</v>
      </c>
      <c r="E254" s="51" t="str">
        <f aca="false">VLOOKUP($B254,03_COMPOSIÇÕES!$A:$G,4,0)</f>
        <v>M2</v>
      </c>
      <c r="F254" s="46" t="n">
        <v>251.15</v>
      </c>
      <c r="G254" s="51" t="n">
        <f aca="false">VLOOKUP($B254,03_COMPOSIÇÕES!$A:$G,6,0)</f>
        <v>84.335783</v>
      </c>
      <c r="H254" s="52" t="n">
        <f aca="false">VLOOKUP($B254,03_COMPOSIÇÕES!$A:$G,7,0)</f>
        <v>11.299827987</v>
      </c>
      <c r="I254" s="47" t="n">
        <f aca="false">$F254*$G254</f>
        <v>21180.93190045</v>
      </c>
      <c r="J254" s="47" t="n">
        <f aca="false">$F254*$H254</f>
        <v>2837.95179893505</v>
      </c>
      <c r="K254" s="47" t="n">
        <f aca="false">$I254*(1+BDI_MAT)</f>
        <v>25548.4400583228</v>
      </c>
      <c r="L254" s="47" t="n">
        <f aca="false">$J254*(1+BDI_MDO)</f>
        <v>3618.10474846229</v>
      </c>
      <c r="M254" s="47" t="n">
        <f aca="false">SUM(K254:L254)</f>
        <v>29166.5448067851</v>
      </c>
      <c r="N254" s="20" t="str">
        <f aca="false">A254</f>
        <v>4.4.2.1</v>
      </c>
    </row>
    <row r="255" customFormat="false" ht="15" hidden="false" customHeight="false" outlineLevel="1" collapsed="false">
      <c r="A255" s="42" t="s">
        <v>381</v>
      </c>
      <c r="B255" s="43"/>
      <c r="C255" s="50" t="s">
        <v>382</v>
      </c>
      <c r="D255" s="45"/>
      <c r="E255" s="44"/>
      <c r="F255" s="46"/>
      <c r="G255" s="51"/>
      <c r="H255" s="52"/>
      <c r="I255" s="47" t="n">
        <f aca="false">SUM(I256,I259,I262)</f>
        <v>18091.6629897376</v>
      </c>
      <c r="J255" s="47" t="n">
        <f aca="false">SUM(J256,J259,J262)</f>
        <v>6950.37823066247</v>
      </c>
      <c r="K255" s="47" t="n">
        <f aca="false">SUM(K256,K259,K262)</f>
        <v>21822.1638982214</v>
      </c>
      <c r="L255" s="47" t="n">
        <f aca="false">SUM(L256,L259,L262)</f>
        <v>8861.03720627158</v>
      </c>
      <c r="M255" s="47" t="n">
        <f aca="false">SUM(M256,M259,M262)</f>
        <v>30683.201104493</v>
      </c>
      <c r="N255" s="20" t="str">
        <f aca="false">A255</f>
        <v>4.5</v>
      </c>
    </row>
    <row r="256" customFormat="false" ht="15" hidden="false" customHeight="false" outlineLevel="2" collapsed="false">
      <c r="A256" s="42" t="s">
        <v>383</v>
      </c>
      <c r="B256" s="43"/>
      <c r="C256" s="50" t="s">
        <v>339</v>
      </c>
      <c r="D256" s="45"/>
      <c r="E256" s="44"/>
      <c r="F256" s="46"/>
      <c r="G256" s="51"/>
      <c r="H256" s="52"/>
      <c r="I256" s="47" t="n">
        <f aca="false">SUBTOTAL(9,I257:I258)</f>
        <v>3766.31216029638</v>
      </c>
      <c r="J256" s="47" t="n">
        <f aca="false">SUBTOTAL(9,J257:J258)</f>
        <v>1440.2157734894</v>
      </c>
      <c r="K256" s="47" t="n">
        <f aca="false">SUBTOTAL(9,K257:K258)</f>
        <v>4542.92572774949</v>
      </c>
      <c r="L256" s="47" t="n">
        <f aca="false">SUBTOTAL(9,L257:L258)</f>
        <v>1836.13108962163</v>
      </c>
      <c r="M256" s="47" t="n">
        <f aca="false">SUBTOTAL(9,M257:M258)</f>
        <v>6379.05681737112</v>
      </c>
      <c r="N256" s="20" t="str">
        <f aca="false">A256</f>
        <v>4.5.1</v>
      </c>
    </row>
    <row r="257" customFormat="false" ht="30" hidden="false" customHeight="false" outlineLevel="3" collapsed="false">
      <c r="A257" s="42" t="s">
        <v>384</v>
      </c>
      <c r="B257" s="43" t="n">
        <v>105024</v>
      </c>
      <c r="C257" s="50" t="str">
        <f aca="false">VLOOKUP($B257,03_COMPOSIÇÕES!$A:$G,2,0)</f>
        <v>VERGA MOLDADA IN LOCO EM CONCRETO, ESPESSURA DE *10* CM. AF_03/2024</v>
      </c>
      <c r="D257" s="45" t="s">
        <v>59</v>
      </c>
      <c r="E257" s="51" t="str">
        <f aca="false">VLOOKUP($B257,03_COMPOSIÇÕES!$A:$G,4,0)</f>
        <v>M</v>
      </c>
      <c r="F257" s="46" t="n">
        <v>68.32</v>
      </c>
      <c r="G257" s="51" t="n">
        <f aca="false">VLOOKUP($B257,03_COMPOSIÇÕES!$A:$G,6,0)</f>
        <v>30.9930807310738</v>
      </c>
      <c r="H257" s="52" t="n">
        <f aca="false">VLOOKUP($B257,03_COMPOSIÇÕES!$A:$G,7,0)</f>
        <v>13.9021122481426</v>
      </c>
      <c r="I257" s="47" t="n">
        <f aca="false">$F257*$G257</f>
        <v>2117.44727554696</v>
      </c>
      <c r="J257" s="47" t="n">
        <f aca="false">$F257*$H257</f>
        <v>949.792308793104</v>
      </c>
      <c r="K257" s="47" t="n">
        <f aca="false">$I257*(1+BDI_MAT)</f>
        <v>2554.06490376475</v>
      </c>
      <c r="L257" s="47" t="n">
        <f aca="false">$J257*(1+BDI_MDO)</f>
        <v>1210.89021448033</v>
      </c>
      <c r="M257" s="47" t="n">
        <f aca="false">SUM(K257:L257)</f>
        <v>3764.95511824507</v>
      </c>
      <c r="N257" s="20" t="str">
        <f aca="false">A257</f>
        <v>4.5.1.1</v>
      </c>
    </row>
    <row r="258" customFormat="false" ht="30" hidden="false" customHeight="false" outlineLevel="3" collapsed="false">
      <c r="A258" s="42" t="s">
        <v>385</v>
      </c>
      <c r="B258" s="43" t="n">
        <v>105030</v>
      </c>
      <c r="C258" s="50" t="str">
        <f aca="false">VLOOKUP($B258,03_COMPOSIÇÕES!$A:$G,2,0)</f>
        <v>CONTRAVERGA MOLDADA IN LOCO EM CONCRETO, ESPESSURA DE *10* CM. AF_03/2024</v>
      </c>
      <c r="D258" s="45" t="s">
        <v>59</v>
      </c>
      <c r="E258" s="51" t="str">
        <f aca="false">VLOOKUP($B258,03_COMPOSIÇÕES!$A:$G,4,0)</f>
        <v>M</v>
      </c>
      <c r="F258" s="46" t="n">
        <v>54.88</v>
      </c>
      <c r="G258" s="51" t="n">
        <f aca="false">VLOOKUP($B258,03_COMPOSIÇÕES!$A:$G,6,0)</f>
        <v>30.0449140807109</v>
      </c>
      <c r="H258" s="52" t="n">
        <f aca="false">VLOOKUP($B258,03_COMPOSIÇÕES!$A:$G,7,0)</f>
        <v>8.93628762201702</v>
      </c>
      <c r="I258" s="47" t="n">
        <f aca="false">$F258*$G258</f>
        <v>1648.86488474942</v>
      </c>
      <c r="J258" s="47" t="n">
        <f aca="false">$F258*$H258</f>
        <v>490.423464696294</v>
      </c>
      <c r="K258" s="47" t="n">
        <f aca="false">$I258*(1+BDI_MAT)</f>
        <v>1988.86082398474</v>
      </c>
      <c r="L258" s="47" t="n">
        <f aca="false">$J258*(1+BDI_MDO)</f>
        <v>625.240875141305</v>
      </c>
      <c r="M258" s="47" t="n">
        <f aca="false">SUM(K258:L258)</f>
        <v>2614.10169912605</v>
      </c>
      <c r="N258" s="20" t="str">
        <f aca="false">A258</f>
        <v>4.5.1.2</v>
      </c>
    </row>
    <row r="259" customFormat="false" ht="15" hidden="false" customHeight="false" outlineLevel="2" collapsed="false">
      <c r="A259" s="42" t="s">
        <v>386</v>
      </c>
      <c r="B259" s="43"/>
      <c r="C259" s="50" t="s">
        <v>343</v>
      </c>
      <c r="D259" s="45"/>
      <c r="E259" s="44"/>
      <c r="F259" s="46"/>
      <c r="G259" s="51"/>
      <c r="H259" s="52"/>
      <c r="I259" s="47" t="n">
        <f aca="false">SUBTOTAL(9,I260:I261)</f>
        <v>14212.5360155801</v>
      </c>
      <c r="J259" s="47" t="n">
        <f aca="false">SUBTOTAL(9,J260:J261)</f>
        <v>5459.55876858984</v>
      </c>
      <c r="K259" s="47" t="n">
        <f aca="false">SUBTOTAL(9,K260:K261)</f>
        <v>17143.1609419927</v>
      </c>
      <c r="L259" s="47" t="n">
        <f aca="false">SUBTOTAL(9,L260:L261)</f>
        <v>6960.39147407518</v>
      </c>
      <c r="M259" s="47" t="n">
        <f aca="false">SUBTOTAL(9,M260:M261)</f>
        <v>24103.5524160679</v>
      </c>
      <c r="N259" s="20" t="str">
        <f aca="false">A259</f>
        <v>4.5.2</v>
      </c>
    </row>
    <row r="260" customFormat="false" ht="30" hidden="false" customHeight="false" outlineLevel="3" collapsed="false">
      <c r="A260" s="42" t="s">
        <v>387</v>
      </c>
      <c r="B260" s="43" t="n">
        <v>105024</v>
      </c>
      <c r="C260" s="50" t="str">
        <f aca="false">VLOOKUP($B260,03_COMPOSIÇÕES!$A:$G,2,0)</f>
        <v>VERGA MOLDADA IN LOCO EM CONCRETO, ESPESSURA DE *10* CM. AF_03/2024</v>
      </c>
      <c r="D260" s="45" t="s">
        <v>59</v>
      </c>
      <c r="E260" s="51" t="str">
        <f aca="false">VLOOKUP($B260,03_COMPOSIÇÕES!$A:$G,4,0)</f>
        <v>M</v>
      </c>
      <c r="F260" s="46" t="n">
        <v>263.1</v>
      </c>
      <c r="G260" s="51" t="n">
        <f aca="false">VLOOKUP($B260,03_COMPOSIÇÕES!$A:$G,6,0)</f>
        <v>30.9930807310738</v>
      </c>
      <c r="H260" s="52" t="n">
        <f aca="false">VLOOKUP($B260,03_COMPOSIÇÕES!$A:$G,7,0)</f>
        <v>13.9021122481426</v>
      </c>
      <c r="I260" s="47" t="n">
        <f aca="false">$F260*$G260</f>
        <v>8154.27954034552</v>
      </c>
      <c r="J260" s="47" t="n">
        <f aca="false">$F260*$H260</f>
        <v>3657.64573248632</v>
      </c>
      <c r="K260" s="47" t="n">
        <f aca="false">$I260*(1+BDI_MAT)</f>
        <v>9835.69198156476</v>
      </c>
      <c r="L260" s="47" t="n">
        <f aca="false">$J260*(1+BDI_MDO)</f>
        <v>4663.13254434681</v>
      </c>
      <c r="M260" s="47" t="n">
        <f aca="false">SUM(K260:L260)</f>
        <v>14498.8245259116</v>
      </c>
      <c r="N260" s="20" t="str">
        <f aca="false">A260</f>
        <v>4.5.2.1</v>
      </c>
    </row>
    <row r="261" customFormat="false" ht="30" hidden="false" customHeight="false" outlineLevel="3" collapsed="false">
      <c r="A261" s="42" t="s">
        <v>388</v>
      </c>
      <c r="B261" s="43" t="n">
        <v>105030</v>
      </c>
      <c r="C261" s="50" t="str">
        <f aca="false">VLOOKUP($B261,03_COMPOSIÇÕES!$A:$G,2,0)</f>
        <v>CONTRAVERGA MOLDADA IN LOCO EM CONCRETO, ESPESSURA DE *10* CM. AF_03/2024</v>
      </c>
      <c r="D261" s="45" t="s">
        <v>59</v>
      </c>
      <c r="E261" s="51" t="str">
        <f aca="false">VLOOKUP($B261,03_COMPOSIÇÕES!$A:$G,4,0)</f>
        <v>M</v>
      </c>
      <c r="F261" s="46" t="n">
        <v>201.64</v>
      </c>
      <c r="G261" s="51" t="n">
        <f aca="false">VLOOKUP($B261,03_COMPOSIÇÕES!$A:$G,6,0)</f>
        <v>30.0449140807109</v>
      </c>
      <c r="H261" s="52" t="n">
        <f aca="false">VLOOKUP($B261,03_COMPOSIÇÕES!$A:$G,7,0)</f>
        <v>8.93628762201702</v>
      </c>
      <c r="I261" s="47" t="n">
        <f aca="false">$F261*$G261</f>
        <v>6058.25647523455</v>
      </c>
      <c r="J261" s="47" t="n">
        <f aca="false">$F261*$H261</f>
        <v>1801.91303610351</v>
      </c>
      <c r="K261" s="47" t="n">
        <f aca="false">$I261*(1+BDI_MAT)</f>
        <v>7307.46896042791</v>
      </c>
      <c r="L261" s="47" t="n">
        <f aca="false">$J261*(1+BDI_MDO)</f>
        <v>2297.25892972837</v>
      </c>
      <c r="M261" s="47" t="n">
        <f aca="false">SUM(K261:L261)</f>
        <v>9604.72789015628</v>
      </c>
      <c r="N261" s="20" t="str">
        <f aca="false">A261</f>
        <v>4.5.2.2</v>
      </c>
    </row>
    <row r="262" customFormat="false" ht="15" hidden="false" customHeight="false" outlineLevel="2" collapsed="false">
      <c r="A262" s="42" t="s">
        <v>389</v>
      </c>
      <c r="B262" s="43"/>
      <c r="C262" s="50" t="s">
        <v>316</v>
      </c>
      <c r="D262" s="45"/>
      <c r="E262" s="44"/>
      <c r="F262" s="46"/>
      <c r="G262" s="51"/>
      <c r="H262" s="52"/>
      <c r="I262" s="47" t="n">
        <f aca="false">SUBTOTAL(9,I263)</f>
        <v>112.814813861109</v>
      </c>
      <c r="J262" s="47" t="n">
        <f aca="false">SUBTOTAL(9,J263)</f>
        <v>50.6036885832391</v>
      </c>
      <c r="K262" s="47" t="n">
        <f aca="false">SUBTOTAL(9,K263)</f>
        <v>136.077228479269</v>
      </c>
      <c r="L262" s="47" t="n">
        <f aca="false">SUBTOTAL(9,L263)</f>
        <v>64.5146425747716</v>
      </c>
      <c r="M262" s="47" t="n">
        <f aca="false">SUBTOTAL(9,M263)</f>
        <v>200.591871054041</v>
      </c>
      <c r="N262" s="20" t="str">
        <f aca="false">A262</f>
        <v>4.5.3</v>
      </c>
    </row>
    <row r="263" customFormat="false" ht="30" hidden="false" customHeight="false" outlineLevel="2" collapsed="false">
      <c r="A263" s="42" t="s">
        <v>390</v>
      </c>
      <c r="B263" s="43" t="n">
        <v>105024</v>
      </c>
      <c r="C263" s="50" t="str">
        <f aca="false">VLOOKUP($B263,03_COMPOSIÇÕES!$A:$G,2,0)</f>
        <v>VERGA MOLDADA IN LOCO EM CONCRETO, ESPESSURA DE *10* CM. AF_03/2024</v>
      </c>
      <c r="D263" s="45" t="s">
        <v>59</v>
      </c>
      <c r="E263" s="51" t="str">
        <f aca="false">VLOOKUP($B263,03_COMPOSIÇÕES!$A:$G,4,0)</f>
        <v>M</v>
      </c>
      <c r="F263" s="46" t="n">
        <v>3.64</v>
      </c>
      <c r="G263" s="51" t="n">
        <f aca="false">VLOOKUP($B263,03_COMPOSIÇÕES!$A:$G,6,0)</f>
        <v>30.9930807310738</v>
      </c>
      <c r="H263" s="52" t="n">
        <f aca="false">VLOOKUP($B263,03_COMPOSIÇÕES!$A:$G,7,0)</f>
        <v>13.9021122481426</v>
      </c>
      <c r="I263" s="47" t="n">
        <f aca="false">$F263*$G263</f>
        <v>112.814813861109</v>
      </c>
      <c r="J263" s="47" t="n">
        <f aca="false">$F263*$H263</f>
        <v>50.6036885832391</v>
      </c>
      <c r="K263" s="47" t="n">
        <f aca="false">$I263*(1+BDI_MAT)</f>
        <v>136.077228479269</v>
      </c>
      <c r="L263" s="47" t="n">
        <f aca="false">$J263*(1+BDI_MDO)</f>
        <v>64.5146425747716</v>
      </c>
      <c r="M263" s="47" t="n">
        <f aca="false">SUM(K263:L263)</f>
        <v>200.591871054041</v>
      </c>
      <c r="N263" s="20" t="str">
        <f aca="false">A263</f>
        <v>4.5.3.1</v>
      </c>
    </row>
    <row r="264" customFormat="false" ht="15" hidden="false" customHeight="false" outlineLevel="1" collapsed="false">
      <c r="A264" s="42" t="s">
        <v>391</v>
      </c>
      <c r="B264" s="43"/>
      <c r="C264" s="50" t="s">
        <v>392</v>
      </c>
      <c r="D264" s="45"/>
      <c r="E264" s="44"/>
      <c r="F264" s="46"/>
      <c r="G264" s="51"/>
      <c r="H264" s="52"/>
      <c r="I264" s="47" t="n">
        <f aca="false">SUBTOTAL(9,I265)</f>
        <v>1731.2374834128</v>
      </c>
      <c r="J264" s="47" t="n">
        <f aca="false">SUBTOTAL(9,J265)</f>
        <v>565.078457776522</v>
      </c>
      <c r="K264" s="47" t="n">
        <f aca="false">SUBTOTAL(9,K265)</f>
        <v>2088.21865249252</v>
      </c>
      <c r="L264" s="47" t="n">
        <f aca="false">SUBTOTAL(9,L265)</f>
        <v>720.418525819287</v>
      </c>
      <c r="M264" s="47" t="n">
        <f aca="false">SUBTOTAL(9,M265)</f>
        <v>2808.63717831181</v>
      </c>
      <c r="N264" s="20" t="str">
        <f aca="false">A264</f>
        <v>4.6</v>
      </c>
    </row>
    <row r="265" customFormat="false" ht="30" hidden="false" customHeight="false" outlineLevel="2" collapsed="false">
      <c r="A265" s="42" t="s">
        <v>393</v>
      </c>
      <c r="B265" s="43" t="n">
        <v>98522</v>
      </c>
      <c r="C265" s="50" t="str">
        <f aca="false">VLOOKUP($B265,03_COMPOSIÇÕES!$A:$G,2,0)</f>
        <v>ALAMBRADO EM MOURÕES DE CONCRETO, COM TELA DE ARAME GALVANIZADO (INCLUSIVE MURETA EM CONCRETO). AF_05/2018</v>
      </c>
      <c r="D265" s="45" t="s">
        <v>59</v>
      </c>
      <c r="E265" s="51" t="str">
        <f aca="false">VLOOKUP($B265,03_COMPOSIÇÕES!$A:$G,4,0)</f>
        <v>M</v>
      </c>
      <c r="F265" s="46" t="n">
        <v>14.4</v>
      </c>
      <c r="G265" s="51" t="n">
        <f aca="false">VLOOKUP($B265,03_COMPOSIÇÕES!$A:$G,6,0)</f>
        <v>120.224825237</v>
      </c>
      <c r="H265" s="52" t="n">
        <f aca="false">VLOOKUP($B265,03_COMPOSIÇÕES!$A:$G,7,0)</f>
        <v>39.241559567814</v>
      </c>
      <c r="I265" s="47" t="n">
        <f aca="false">$F265*$G265</f>
        <v>1731.2374834128</v>
      </c>
      <c r="J265" s="47" t="n">
        <f aca="false">$F265*$H265</f>
        <v>565.078457776522</v>
      </c>
      <c r="K265" s="47" t="n">
        <f aca="false">$I265*(1+BDI_MAT)</f>
        <v>2088.21865249252</v>
      </c>
      <c r="L265" s="47" t="n">
        <f aca="false">$J265*(1+BDI_MDO)</f>
        <v>720.418525819287</v>
      </c>
      <c r="M265" s="47" t="n">
        <f aca="false">SUM(K265:L265)</f>
        <v>2808.63717831181</v>
      </c>
      <c r="N265" s="20" t="str">
        <f aca="false">A265</f>
        <v>4.6.1</v>
      </c>
    </row>
    <row r="266" customFormat="false" ht="15" hidden="false" customHeight="false" outlineLevel="1" collapsed="false">
      <c r="A266" s="42" t="s">
        <v>394</v>
      </c>
      <c r="B266" s="43"/>
      <c r="C266" s="50" t="s">
        <v>395</v>
      </c>
      <c r="D266" s="45"/>
      <c r="E266" s="44"/>
      <c r="F266" s="46"/>
      <c r="G266" s="51"/>
      <c r="H266" s="52"/>
      <c r="I266" s="47" t="n">
        <f aca="false">SUBTOTAL(9,I267:I269)</f>
        <v>74305.6135266328</v>
      </c>
      <c r="J266" s="47" t="n">
        <f aca="false">SUBTOTAL(9,J267:J269)</f>
        <v>14327.5906359684</v>
      </c>
      <c r="K266" s="47" t="n">
        <f aca="false">SUBTOTAL(9,K267:K269)</f>
        <v>89627.4310358244</v>
      </c>
      <c r="L266" s="47" t="n">
        <f aca="false">SUBTOTAL(9,L267:L269)</f>
        <v>18266.2453017961</v>
      </c>
      <c r="M266" s="47" t="n">
        <f aca="false">SUBTOTAL(9,M267:M269)</f>
        <v>107893.676337621</v>
      </c>
      <c r="N266" s="20" t="str">
        <f aca="false">A266</f>
        <v>4.7</v>
      </c>
    </row>
    <row r="267" customFormat="false" ht="45" hidden="false" customHeight="false" outlineLevel="1" collapsed="false">
      <c r="A267" s="42" t="s">
        <v>396</v>
      </c>
      <c r="B267" s="43" t="n">
        <v>99841</v>
      </c>
      <c r="C267" s="50" t="str">
        <f aca="false">VLOOKUP($B267,03_COMPOSIÇÕES!$A:$G,2,0)</f>
        <v>GUARDA-CORPO PANORÂMICO COM PERFIS DE ALUMÍNIO E VIDRO LAMINADO 8 MM, FIXADO COM CHUMBADOR MECÂNICO. AF_04/2019_PS</v>
      </c>
      <c r="D267" s="45" t="s">
        <v>59</v>
      </c>
      <c r="E267" s="51" t="str">
        <f aca="false">VLOOKUP($B267,03_COMPOSIÇÕES!$A:$G,4,0)</f>
        <v>M</v>
      </c>
      <c r="F267" s="46" t="n">
        <v>69.73</v>
      </c>
      <c r="G267" s="51" t="n">
        <f aca="false">VLOOKUP($B267,03_COMPOSIÇÕES!$A:$G,6,0)</f>
        <v>876.55768</v>
      </c>
      <c r="H267" s="52" t="n">
        <f aca="false">VLOOKUP($B267,03_COMPOSIÇÕES!$A:$G,7,0)</f>
        <v>105.519503178</v>
      </c>
      <c r="I267" s="47" t="n">
        <f aca="false">$F267*$G267</f>
        <v>61122.3670264</v>
      </c>
      <c r="J267" s="47" t="n">
        <f aca="false">$F267*$H267</f>
        <v>7357.87495660194</v>
      </c>
      <c r="K267" s="47" t="n">
        <f aca="false">$I267*(1+BDI_MAT)</f>
        <v>73725.7991072437</v>
      </c>
      <c r="L267" s="47" t="n">
        <f aca="false">$J267*(1+BDI_MDO)</f>
        <v>9380.55478217181</v>
      </c>
      <c r="M267" s="47" t="n">
        <f aca="false">SUM(K267:L267)</f>
        <v>83106.3538894155</v>
      </c>
      <c r="N267" s="20" t="str">
        <f aca="false">A267</f>
        <v>4.7.1</v>
      </c>
    </row>
    <row r="268" customFormat="false" ht="30" hidden="false" customHeight="false" outlineLevel="1" collapsed="false">
      <c r="A268" s="42" t="s">
        <v>397</v>
      </c>
      <c r="B268" s="43" t="s">
        <v>398</v>
      </c>
      <c r="C268" s="50" t="str">
        <f aca="false">VLOOKUP($B268,03_COMPOSIÇÕES!$A:$G,2,0)</f>
        <v>CORRIMÃO DUPLO, DIÂMETRO EXTERNO = 1 1/2", EM AÇO GALVANIZADO.</v>
      </c>
      <c r="D268" s="45" t="s">
        <v>59</v>
      </c>
      <c r="E268" s="51" t="str">
        <f aca="false">VLOOKUP($B268,03_COMPOSIÇÕES!$A:$G,4,0)</f>
        <v>M</v>
      </c>
      <c r="F268" s="46" t="n">
        <v>80.34</v>
      </c>
      <c r="G268" s="51" t="n">
        <f aca="false">VLOOKUP($B268,03_COMPOSIÇÕES!$A:$G,6,0)</f>
        <v>125.430743717112</v>
      </c>
      <c r="H268" s="52" t="n">
        <f aca="false">VLOOKUP($B268,03_COMPOSIÇÕES!$A:$G,7,0)</f>
        <v>57.657858210522</v>
      </c>
      <c r="I268" s="47" t="n">
        <f aca="false">$F268*$G268</f>
        <v>10077.1059502328</v>
      </c>
      <c r="J268" s="47" t="n">
        <f aca="false">$F268*$H268</f>
        <v>4632.23232863334</v>
      </c>
      <c r="K268" s="47" t="n">
        <f aca="false">$I268*(1+BDI_MAT)</f>
        <v>12155.0051971708</v>
      </c>
      <c r="L268" s="47" t="n">
        <f aca="false">$J268*(1+BDI_MDO)</f>
        <v>5905.63299577464</v>
      </c>
      <c r="M268" s="47" t="n">
        <f aca="false">SUM(K268:L268)</f>
        <v>18060.6381929454</v>
      </c>
      <c r="N268" s="20" t="str">
        <f aca="false">A268</f>
        <v>4.7.2</v>
      </c>
    </row>
    <row r="269" customFormat="false" ht="60" hidden="false" customHeight="false" outlineLevel="1" collapsed="false">
      <c r="A269" s="42" t="s">
        <v>399</v>
      </c>
      <c r="B269" s="43" t="n">
        <v>99839</v>
      </c>
      <c r="C269" s="50" t="str">
        <f aca="false">VLOOKUP($B269,03_COMPOSIÇÕES!$A:$G,2,0)</f>
        <v>GUARDA-CORPO DE AÇO GALVANIZADO DE 1,10M DE ALTURA, MONTANTES TUBULARES DE 1.1/2 ESPAÇADOS DE 1,20M, TRAVESSA SUPERIOR DE 2 , GRADIL FORMADO POR BARRAS CHATAS EM FERRO DE 32X4,8MM, FIXADO COM CHUMBADOR MECÂNICO. AF_04/2019_PS</v>
      </c>
      <c r="D269" s="45" t="s">
        <v>59</v>
      </c>
      <c r="E269" s="51" t="str">
        <f aca="false">VLOOKUP($B269,03_COMPOSIÇÕES!$A:$G,4,0)</f>
        <v>M</v>
      </c>
      <c r="F269" s="46" t="n">
        <v>12.85</v>
      </c>
      <c r="G269" s="51" t="n">
        <f aca="false">VLOOKUP($B269,03_COMPOSIÇÕES!$A:$G,6,0)</f>
        <v>241.723</v>
      </c>
      <c r="H269" s="52" t="n">
        <f aca="false">VLOOKUP($B269,03_COMPOSIÇÕES!$A:$G,7,0)</f>
        <v>181.9053191232</v>
      </c>
      <c r="I269" s="47" t="n">
        <f aca="false">$F269*$G269</f>
        <v>3106.14055</v>
      </c>
      <c r="J269" s="47" t="n">
        <f aca="false">$F269*$H269</f>
        <v>2337.48335073312</v>
      </c>
      <c r="K269" s="47" t="n">
        <f aca="false">$I269*(1+BDI_MAT)</f>
        <v>3746.62673141</v>
      </c>
      <c r="L269" s="47" t="n">
        <f aca="false">$J269*(1+BDI_MDO)</f>
        <v>2980.05752384965</v>
      </c>
      <c r="M269" s="47" t="n">
        <f aca="false">SUM(K269:L269)</f>
        <v>6726.68425525965</v>
      </c>
      <c r="N269" s="20" t="str">
        <f aca="false">A269</f>
        <v>4.7.3</v>
      </c>
    </row>
    <row r="270" s="64" customFormat="true" ht="15" hidden="false" customHeight="false" outlineLevel="0" collapsed="false">
      <c r="A270" s="59" t="n">
        <v>5</v>
      </c>
      <c r="B270" s="60"/>
      <c r="C270" s="50" t="s">
        <v>400</v>
      </c>
      <c r="D270" s="61"/>
      <c r="E270" s="62"/>
      <c r="F270" s="46"/>
      <c r="G270" s="51"/>
      <c r="H270" s="52"/>
      <c r="I270" s="63" t="n">
        <f aca="false">SUM(I271,I278,I294,I316,I320,I324,I327)</f>
        <v>540153.446567031</v>
      </c>
      <c r="J270" s="63" t="n">
        <f aca="false">SUM(J271,J278,J294,J316,J320,J324,J327)</f>
        <v>55352.4060907815</v>
      </c>
      <c r="K270" s="63" t="n">
        <f aca="false">SUM(K271,K278,K294,K316,K320,K324,K327)</f>
        <v>651533.087249152</v>
      </c>
      <c r="L270" s="63" t="n">
        <f aca="false">SUM(L271,L278,L294,L316,L320,L324,L327)</f>
        <v>70568.7825251373</v>
      </c>
      <c r="M270" s="63" t="n">
        <f aca="false">SUM(M271,M278,M294,M316,M320,M324,M327)</f>
        <v>722101.869774289</v>
      </c>
      <c r="N270" s="20" t="n">
        <f aca="false">A270</f>
        <v>5</v>
      </c>
    </row>
    <row r="271" customFormat="false" ht="15" hidden="false" customHeight="false" outlineLevel="1" collapsed="false">
      <c r="A271" s="42" t="s">
        <v>401</v>
      </c>
      <c r="B271" s="43"/>
      <c r="C271" s="50" t="s">
        <v>402</v>
      </c>
      <c r="D271" s="45"/>
      <c r="E271" s="44" t="str">
        <f aca="false">IF($B271="","",IFERROR(VLOOKUP($B271,#REF!,3,0),IFERROR(VLOOKUP($B271,03_COMPOSIÇÕES!$A:$G,4,0),"")))</f>
        <v/>
      </c>
      <c r="F271" s="46"/>
      <c r="G271" s="51"/>
      <c r="H271" s="52"/>
      <c r="I271" s="47" t="n">
        <f aca="false">SUM(I272,I275)</f>
        <v>120308.385778687</v>
      </c>
      <c r="J271" s="47" t="n">
        <f aca="false">SUM(J272,J275)</f>
        <v>10399.9893542808</v>
      </c>
      <c r="K271" s="47" t="n">
        <f aca="false">SUM(K272,K275)</f>
        <v>145115.974926252</v>
      </c>
      <c r="L271" s="47" t="n">
        <f aca="false">SUM(L272,L275)</f>
        <v>13258.9464277726</v>
      </c>
      <c r="M271" s="47" t="n">
        <f aca="false">SUM(M272,M275)</f>
        <v>158374.921354025</v>
      </c>
      <c r="N271" s="20" t="str">
        <f aca="false">A271</f>
        <v>5.1</v>
      </c>
    </row>
    <row r="272" customFormat="false" ht="15" hidden="false" customHeight="false" outlineLevel="2" collapsed="false">
      <c r="A272" s="42" t="s">
        <v>403</v>
      </c>
      <c r="B272" s="43"/>
      <c r="C272" s="50" t="s">
        <v>339</v>
      </c>
      <c r="D272" s="45"/>
      <c r="E272" s="44" t="str">
        <f aca="false">IF($B272="","",IFERROR(VLOOKUP($B272,#REF!,3,0),IFERROR(VLOOKUP($B272,03_COMPOSIÇÕES!$A:$G,4,0),"")))</f>
        <v/>
      </c>
      <c r="F272" s="46"/>
      <c r="G272" s="51"/>
      <c r="H272" s="52"/>
      <c r="I272" s="47" t="n">
        <f aca="false">SUBTOTAL(9,I273:I274)</f>
        <v>8162.79375061331</v>
      </c>
      <c r="J272" s="47" t="n">
        <f aca="false">SUBTOTAL(9,J273:J274)</f>
        <v>858.358165888843</v>
      </c>
      <c r="K272" s="47" t="n">
        <f aca="false">SUBTOTAL(9,K273:K274)</f>
        <v>9845.96182198978</v>
      </c>
      <c r="L272" s="47" t="n">
        <f aca="false">SUBTOTAL(9,L273:L274)</f>
        <v>1094.32082569169</v>
      </c>
      <c r="M272" s="47" t="n">
        <f aca="false">SUBTOTAL(9,M273:M274)</f>
        <v>10940.2826476815</v>
      </c>
      <c r="N272" s="20" t="str">
        <f aca="false">A272</f>
        <v>5.1.1</v>
      </c>
    </row>
    <row r="273" customFormat="false" ht="15" hidden="false" customHeight="false" outlineLevel="3" collapsed="false">
      <c r="A273" s="42" t="s">
        <v>404</v>
      </c>
      <c r="B273" s="43" t="n">
        <v>98689</v>
      </c>
      <c r="C273" s="50" t="str">
        <f aca="false">VLOOKUP($B273,03_COMPOSIÇÕES!$A:$G,2,0)</f>
        <v>SOLEIRA EM GRANITO, LARGURA 15 CM, ESPESSURA 2,0 CM. AF_09/2020</v>
      </c>
      <c r="D273" s="45" t="s">
        <v>59</v>
      </c>
      <c r="E273" s="51" t="str">
        <f aca="false">VLOOKUP($B273,03_COMPOSIÇÕES!$A:$G,4,0)</f>
        <v>M</v>
      </c>
      <c r="F273" s="46" t="n">
        <v>27.02</v>
      </c>
      <c r="G273" s="51" t="n">
        <f aca="false">VLOOKUP($B273,03_COMPOSIÇÕES!$A:$G,6,0)</f>
        <v>91.46703</v>
      </c>
      <c r="H273" s="52" t="n">
        <f aca="false">VLOOKUP($B273,03_COMPOSIÇÕES!$A:$G,7,0)</f>
        <v>14.8338900384</v>
      </c>
      <c r="I273" s="47" t="n">
        <f aca="false">$F273*$G273</f>
        <v>2471.4391506</v>
      </c>
      <c r="J273" s="47" t="n">
        <f aca="false">$F273*$H273</f>
        <v>400.811708837568</v>
      </c>
      <c r="K273" s="47" t="n">
        <f aca="false">$I273*(1+BDI_MAT)</f>
        <v>2981.04990345372</v>
      </c>
      <c r="L273" s="47" t="n">
        <f aca="false">$J273*(1+BDI_MDO)</f>
        <v>510.994847597015</v>
      </c>
      <c r="M273" s="47" t="n">
        <f aca="false">SUM(K273:L273)</f>
        <v>3492.04475105074</v>
      </c>
      <c r="N273" s="20" t="str">
        <f aca="false">A273</f>
        <v>5.1.1.1</v>
      </c>
    </row>
    <row r="274" customFormat="false" ht="30" hidden="false" customHeight="false" outlineLevel="3" collapsed="false">
      <c r="A274" s="42" t="s">
        <v>405</v>
      </c>
      <c r="B274" s="43" t="n">
        <v>101965</v>
      </c>
      <c r="C274" s="50" t="str">
        <f aca="false">VLOOKUP($B274,03_COMPOSIÇÕES!$A:$G,2,0)</f>
        <v>PEITORIL LINEAR EM GRANITO OU MÁRMORE, L = 15CM, ASSENTADO COM ARGAMASSA 1:6 COM ADITIVO. AF_11/2020</v>
      </c>
      <c r="D274" s="45" t="s">
        <v>59</v>
      </c>
      <c r="E274" s="51" t="str">
        <f aca="false">VLOOKUP($B274,03_COMPOSIÇÕES!$A:$G,4,0)</f>
        <v>M</v>
      </c>
      <c r="F274" s="46" t="n">
        <v>39.2</v>
      </c>
      <c r="G274" s="51" t="n">
        <f aca="false">VLOOKUP($B274,03_COMPOSIÇÕES!$A:$G,6,0)</f>
        <v>145.187617347278</v>
      </c>
      <c r="H274" s="52" t="n">
        <f aca="false">VLOOKUP($B274,03_COMPOSIÇÕES!$A:$G,7,0)</f>
        <v>11.672103496206</v>
      </c>
      <c r="I274" s="47" t="n">
        <f aca="false">$F274*$G274</f>
        <v>5691.35460001331</v>
      </c>
      <c r="J274" s="47" t="n">
        <f aca="false">$F274*$H274</f>
        <v>457.546457051275</v>
      </c>
      <c r="K274" s="47" t="n">
        <f aca="false">$I274*(1+BDI_MAT)</f>
        <v>6864.91191853606</v>
      </c>
      <c r="L274" s="47" t="n">
        <f aca="false">$J274*(1+BDI_MDO)</f>
        <v>583.325978094671</v>
      </c>
      <c r="M274" s="47" t="n">
        <f aca="false">SUM(K274:L274)</f>
        <v>7448.23789663073</v>
      </c>
      <c r="N274" s="20" t="str">
        <f aca="false">A274</f>
        <v>5.1.1.2</v>
      </c>
    </row>
    <row r="275" customFormat="false" ht="15" hidden="false" customHeight="false" outlineLevel="2" collapsed="false">
      <c r="A275" s="42" t="s">
        <v>406</v>
      </c>
      <c r="B275" s="43"/>
      <c r="C275" s="50" t="s">
        <v>343</v>
      </c>
      <c r="D275" s="45"/>
      <c r="E275" s="44"/>
      <c r="F275" s="46"/>
      <c r="G275" s="51"/>
      <c r="H275" s="52"/>
      <c r="I275" s="47" t="n">
        <f aca="false">SUBTOTAL(9,I276:I277)</f>
        <v>112145.592028074</v>
      </c>
      <c r="J275" s="47" t="n">
        <f aca="false">SUBTOTAL(9,J276:J277)</f>
        <v>9541.63118839199</v>
      </c>
      <c r="K275" s="47" t="n">
        <f aca="false">SUBTOTAL(9,K276:K277)</f>
        <v>135270.013104263</v>
      </c>
      <c r="L275" s="47" t="n">
        <f aca="false">SUBTOTAL(9,L276:L277)</f>
        <v>12164.625602081</v>
      </c>
      <c r="M275" s="47" t="n">
        <f aca="false">SUBTOTAL(9,M276:M277)</f>
        <v>147434.638706344</v>
      </c>
      <c r="N275" s="20" t="str">
        <f aca="false">A275</f>
        <v>5.1.2</v>
      </c>
    </row>
    <row r="276" customFormat="false" ht="15" hidden="false" customHeight="false" outlineLevel="2" collapsed="false">
      <c r="A276" s="42" t="s">
        <v>407</v>
      </c>
      <c r="B276" s="43" t="n">
        <v>98689</v>
      </c>
      <c r="C276" s="50" t="str">
        <f aca="false">VLOOKUP($B276,03_COMPOSIÇÕES!$A:$G,2,0)</f>
        <v>SOLEIRA EM GRANITO, LARGURA 15 CM, ESPESSURA 2,0 CM. AF_09/2020</v>
      </c>
      <c r="D276" s="45" t="s">
        <v>59</v>
      </c>
      <c r="E276" s="51" t="str">
        <f aca="false">VLOOKUP($B276,03_COMPOSIÇÕES!$A:$G,4,0)</f>
        <v>M</v>
      </c>
      <c r="F276" s="46" t="n">
        <v>70.3</v>
      </c>
      <c r="G276" s="51" t="n">
        <f aca="false">VLOOKUP($B276,03_COMPOSIÇÕES!$A:$G,6,0)</f>
        <v>91.46703</v>
      </c>
      <c r="H276" s="52" t="n">
        <f aca="false">VLOOKUP($B276,03_COMPOSIÇÕES!$A:$G,7,0)</f>
        <v>14.8338900384</v>
      </c>
      <c r="I276" s="47" t="n">
        <f aca="false">$F276*$G276</f>
        <v>6430.132209</v>
      </c>
      <c r="J276" s="47" t="n">
        <f aca="false">$F276*$H276</f>
        <v>1042.82246969952</v>
      </c>
      <c r="K276" s="47" t="n">
        <f aca="false">$I276*(1+BDI_MAT)</f>
        <v>7756.0254704958</v>
      </c>
      <c r="L276" s="47" t="n">
        <f aca="false">$J276*(1+BDI_MDO)</f>
        <v>1329.49436661992</v>
      </c>
      <c r="M276" s="47" t="n">
        <f aca="false">SUM(K276:L276)</f>
        <v>9085.51983711572</v>
      </c>
      <c r="N276" s="20" t="str">
        <f aca="false">A276</f>
        <v>5.1.2.1</v>
      </c>
    </row>
    <row r="277" customFormat="false" ht="30" hidden="false" customHeight="false" outlineLevel="2" collapsed="false">
      <c r="A277" s="42" t="s">
        <v>408</v>
      </c>
      <c r="B277" s="43" t="n">
        <v>101965</v>
      </c>
      <c r="C277" s="50" t="str">
        <f aca="false">VLOOKUP($B277,03_COMPOSIÇÕES!$A:$G,2,0)</f>
        <v>PEITORIL LINEAR EM GRANITO OU MÁRMORE, L = 15CM, ASSENTADO COM ARGAMASSA 1:6 COM ADITIVO. AF_11/2020</v>
      </c>
      <c r="D277" s="45" t="s">
        <v>59</v>
      </c>
      <c r="E277" s="51" t="str">
        <f aca="false">VLOOKUP($B277,03_COMPOSIÇÕES!$A:$G,4,0)</f>
        <v>M</v>
      </c>
      <c r="F277" s="46" t="n">
        <v>728.13</v>
      </c>
      <c r="G277" s="51" t="n">
        <f aca="false">VLOOKUP($B277,03_COMPOSIÇÕES!$A:$G,6,0)</f>
        <v>145.187617347278</v>
      </c>
      <c r="H277" s="52" t="n">
        <f aca="false">VLOOKUP($B277,03_COMPOSIÇÕES!$A:$G,7,0)</f>
        <v>11.672103496206</v>
      </c>
      <c r="I277" s="47" t="n">
        <f aca="false">$F277*$G277</f>
        <v>105715.459819074</v>
      </c>
      <c r="J277" s="47" t="n">
        <f aca="false">$F277*$H277</f>
        <v>8498.80871869247</v>
      </c>
      <c r="K277" s="47" t="n">
        <f aca="false">$I277*(1+BDI_MAT)</f>
        <v>127513.987633767</v>
      </c>
      <c r="L277" s="47" t="n">
        <f aca="false">$J277*(1+BDI_MDO)</f>
        <v>10835.131235461</v>
      </c>
      <c r="M277" s="47" t="n">
        <f aca="false">SUM(K277:L277)</f>
        <v>138349.118869228</v>
      </c>
      <c r="N277" s="20" t="str">
        <f aca="false">A277</f>
        <v>5.1.2.2</v>
      </c>
    </row>
    <row r="278" customFormat="false" ht="15" hidden="false" customHeight="false" outlineLevel="1" collapsed="false">
      <c r="A278" s="42" t="s">
        <v>409</v>
      </c>
      <c r="B278" s="43"/>
      <c r="C278" s="50" t="s">
        <v>410</v>
      </c>
      <c r="D278" s="45"/>
      <c r="E278" s="44"/>
      <c r="F278" s="46"/>
      <c r="G278" s="51"/>
      <c r="H278" s="52"/>
      <c r="I278" s="47" t="n">
        <f aca="false">SUM(I279,I285)</f>
        <v>218395.759669311</v>
      </c>
      <c r="J278" s="47" t="n">
        <f aca="false">SUM(J279,J285)</f>
        <v>7289.47383519429</v>
      </c>
      <c r="K278" s="47" t="n">
        <f aca="false">SUM(K279,K285)</f>
        <v>263428.965313123</v>
      </c>
      <c r="L278" s="47" t="n">
        <f aca="false">SUM(L279,L285)</f>
        <v>9293.35019248919</v>
      </c>
      <c r="M278" s="47" t="n">
        <f aca="false">SUM(M279,M285)</f>
        <v>272722.315505612</v>
      </c>
      <c r="N278" s="20" t="str">
        <f aca="false">A278</f>
        <v>5.2</v>
      </c>
    </row>
    <row r="279" customFormat="false" ht="15" hidden="false" customHeight="false" outlineLevel="2" collapsed="false">
      <c r="A279" s="42" t="s">
        <v>411</v>
      </c>
      <c r="B279" s="43"/>
      <c r="C279" s="50" t="s">
        <v>339</v>
      </c>
      <c r="D279" s="45"/>
      <c r="E279" s="44"/>
      <c r="F279" s="46"/>
      <c r="G279" s="51"/>
      <c r="H279" s="52"/>
      <c r="I279" s="47" t="n">
        <f aca="false">SUM(I280)</f>
        <v>39038.8982912688</v>
      </c>
      <c r="J279" s="47" t="n">
        <f aca="false">SUM(J280)</f>
        <v>1464.86357656583</v>
      </c>
      <c r="K279" s="47" t="n">
        <f aca="false">SUM(K280)</f>
        <v>47088.7191189285</v>
      </c>
      <c r="L279" s="47" t="n">
        <f aca="false">SUM(L280)</f>
        <v>1867.55457376378</v>
      </c>
      <c r="M279" s="47" t="n">
        <f aca="false">SUM(M280)</f>
        <v>48956.2736926922</v>
      </c>
      <c r="N279" s="20" t="str">
        <f aca="false">A279</f>
        <v>5.2.1</v>
      </c>
    </row>
    <row r="280" customFormat="false" ht="15" hidden="false" customHeight="false" outlineLevel="3" collapsed="false">
      <c r="A280" s="42" t="s">
        <v>412</v>
      </c>
      <c r="B280" s="43"/>
      <c r="C280" s="50" t="s">
        <v>413</v>
      </c>
      <c r="D280" s="45"/>
      <c r="E280" s="44"/>
      <c r="F280" s="46"/>
      <c r="G280" s="51"/>
      <c r="H280" s="52"/>
      <c r="I280" s="47" t="n">
        <f aca="false">SUBTOTAL(9,I281:I284)</f>
        <v>39038.8982912688</v>
      </c>
      <c r="J280" s="47" t="n">
        <f aca="false">SUBTOTAL(9,J281:J284)</f>
        <v>1464.86357656583</v>
      </c>
      <c r="K280" s="47" t="n">
        <f aca="false">SUBTOTAL(9,K281:K284)</f>
        <v>47088.7191189285</v>
      </c>
      <c r="L280" s="47" t="n">
        <f aca="false">SUBTOTAL(9,L281:L284)</f>
        <v>1867.55457376378</v>
      </c>
      <c r="M280" s="47" t="n">
        <f aca="false">SUBTOTAL(9,M281:M284)</f>
        <v>48956.2736926922</v>
      </c>
      <c r="N280" s="20" t="str">
        <f aca="false">A280</f>
        <v>5.2.1.1</v>
      </c>
    </row>
    <row r="281" customFormat="false" ht="75" hidden="false" customHeight="false" outlineLevel="3" collapsed="false">
      <c r="A281" s="42" t="s">
        <v>414</v>
      </c>
      <c r="B281" s="43" t="n">
        <v>94569</v>
      </c>
      <c r="C281" s="50" t="str">
        <f aca="false">VLOOKUP($B281,03_COMPOSIÇÕES!$A:$G,2,0)</f>
        <v>JANELA DE ALUMÍNIO TIPO MAXIM-AR, BATENTE/ REQUADRO 3 A 14 CM, VIDRO INCLUSO, FIXAÇÃO COM PARAFUSO, SEM GUARNIÇÃO/ ALIZAR, DIMENSÕES 60X80 (A X L) CM, SEM ACABAMENTO, VEDAÇÃO COM SILICONE, EXCLUSIVE CONTRAMARCO - FORNECIMENTO E INSTALAÇÃO. AF_11/2024</v>
      </c>
      <c r="D281" s="45" t="s">
        <v>59</v>
      </c>
      <c r="E281" s="51" t="str">
        <f aca="false">VLOOKUP($B281,03_COMPOSIÇÕES!$A:$G,4,0)</f>
        <v>M2</v>
      </c>
      <c r="F281" s="46" t="n">
        <v>0.84</v>
      </c>
      <c r="G281" s="51" t="n">
        <f aca="false">VLOOKUP($B281,03_COMPOSIÇÕES!$A:$G,6,0)</f>
        <v>679.617277087</v>
      </c>
      <c r="H281" s="52" t="n">
        <f aca="false">VLOOKUP($B281,03_COMPOSIÇÕES!$A:$G,7,0)</f>
        <v>27.5448259793556</v>
      </c>
      <c r="I281" s="47" t="n">
        <f aca="false">$F281*$G281</f>
        <v>570.87851275308</v>
      </c>
      <c r="J281" s="47" t="n">
        <f aca="false">$F281*$H281</f>
        <v>23.1376538226587</v>
      </c>
      <c r="K281" s="47" t="n">
        <f aca="false">$I281*(1+BDI_MAT)</f>
        <v>688.593662082765</v>
      </c>
      <c r="L281" s="47" t="n">
        <f aca="false">$J281*(1+BDI_MDO)</f>
        <v>29.4981948585076</v>
      </c>
      <c r="M281" s="47" t="n">
        <f aca="false">SUM(K281:L281)</f>
        <v>718.091856941272</v>
      </c>
      <c r="N281" s="20" t="str">
        <f aca="false">A281</f>
        <v>5.2.1.1.1</v>
      </c>
    </row>
    <row r="282" customFormat="false" ht="60" hidden="false" customHeight="false" outlineLevel="3" collapsed="false">
      <c r="A282" s="42" t="s">
        <v>415</v>
      </c>
      <c r="B282" s="43" t="s">
        <v>416</v>
      </c>
      <c r="C282" s="50" t="str">
        <f aca="false">VLOOKUP($B282,03_COMPOSIÇÕES!$A:$G,2,0)</f>
        <v>JANELA DE ALUMÍNIO DE CORRER COM 3 FOLHAS PARA VIDROS, COM VIDROS, BATENTE, ACABAMENTO COM ACETATO OU BRILHANTE E FERRAGENS. EXCLUSIVE ALIZAR E CONTRAMARCO. FORNECIMENTO E INSTALAÇÃO.</v>
      </c>
      <c r="D282" s="45" t="s">
        <v>59</v>
      </c>
      <c r="E282" s="51" t="str">
        <f aca="false">VLOOKUP($B282,03_COMPOSIÇÕES!$A:$G,4,0)</f>
        <v>M2</v>
      </c>
      <c r="F282" s="46" t="n">
        <v>24.5</v>
      </c>
      <c r="G282" s="51" t="n">
        <f aca="false">VLOOKUP($B282,03_COMPOSIÇÕES!$A:$G,6,0)</f>
        <v>415.49508</v>
      </c>
      <c r="H282" s="52" t="n">
        <f aca="false">VLOOKUP($B282,03_COMPOSIÇÕES!$A:$G,7,0)</f>
        <v>26.17049664</v>
      </c>
      <c r="I282" s="47" t="n">
        <f aca="false">$F282*$G282</f>
        <v>10179.62946</v>
      </c>
      <c r="J282" s="47" t="n">
        <f aca="false">$F282*$H282</f>
        <v>641.17716768</v>
      </c>
      <c r="K282" s="47" t="n">
        <f aca="false">$I282*(1+BDI_MAT)</f>
        <v>12278.669054652</v>
      </c>
      <c r="L282" s="47" t="n">
        <f aca="false">$J282*(1+BDI_MDO)</f>
        <v>817.436771075232</v>
      </c>
      <c r="M282" s="47" t="n">
        <f aca="false">SUM(K282:L282)</f>
        <v>13096.1058257272</v>
      </c>
      <c r="N282" s="20" t="str">
        <f aca="false">A282</f>
        <v>5.2.1.1.2</v>
      </c>
    </row>
    <row r="283" customFormat="false" ht="60" hidden="false" customHeight="false" outlineLevel="3" collapsed="false">
      <c r="A283" s="42" t="s">
        <v>417</v>
      </c>
      <c r="B283" s="43" t="s">
        <v>418</v>
      </c>
      <c r="C283" s="50" t="str">
        <f aca="false">VLOOKUP($B283,03_COMPOSIÇÕES!$A:$G,2,0)</f>
        <v>JANELA DE ALUMÍNIO INTERCALANDO 2 FOLHA FIXAS E FOLHAS COM BASE FIXA + PARTE SUPERIOR BASCULANTE, TOTAL DE 10 FOLHAS, MEDIDAS DE 11,50 X 2,60 M, COM VIDRO, BATENTE E FERRAGENS. FORNECIMENTO E INSTALAÇÃO.</v>
      </c>
      <c r="D283" s="45" t="s">
        <v>59</v>
      </c>
      <c r="E283" s="51" t="str">
        <f aca="false">VLOOKUP($B283,03_COMPOSIÇÕES!$A:$G,4,0)</f>
        <v>UN</v>
      </c>
      <c r="F283" s="46" t="n">
        <v>1</v>
      </c>
      <c r="G283" s="51" t="n">
        <f aca="false">VLOOKUP($B283,03_COMPOSIÇÕES!$A:$G,6,0)</f>
        <v>19895.9445889727</v>
      </c>
      <c r="H283" s="52" t="n">
        <f aca="false">VLOOKUP($B283,03_COMPOSIÇÕES!$A:$G,7,0)</f>
        <v>586.873387152</v>
      </c>
      <c r="I283" s="47" t="n">
        <f aca="false">$F283*$G283</f>
        <v>19895.9445889727</v>
      </c>
      <c r="J283" s="47" t="n">
        <f aca="false">$F283*$H283</f>
        <v>586.873387152</v>
      </c>
      <c r="K283" s="47" t="n">
        <f aca="false">$I283*(1+BDI_MAT)</f>
        <v>23998.4883632189</v>
      </c>
      <c r="L283" s="47" t="n">
        <f aca="false">$J283*(1+BDI_MDO)</f>
        <v>748.204881280085</v>
      </c>
      <c r="M283" s="47" t="n">
        <f aca="false">SUM(K283:L283)</f>
        <v>24746.693244499</v>
      </c>
      <c r="N283" s="20" t="str">
        <f aca="false">A283</f>
        <v>5.2.1.1.3</v>
      </c>
    </row>
    <row r="284" customFormat="false" ht="60" hidden="false" customHeight="false" outlineLevel="3" collapsed="false">
      <c r="A284" s="42" t="s">
        <v>419</v>
      </c>
      <c r="B284" s="43" t="n">
        <v>100674</v>
      </c>
      <c r="C284" s="50" t="str">
        <f aca="false">VLOOKUP($B284,03_COMPOSIÇÕES!$A:$G,2,0)</f>
        <v>CAIXILHO FIXO DE ALUMÍNIO PARA VIDRO (VIDRO INCLUSO), BATENTE/ REQUADRO DE 4 A 14 CM, SEM GUARNIÇÃO/ ALIZAR, FIXAÇÃO COM PARAFUSOS, VEDAÇÃO COM SILICONE, EXCLUSIVE CONTRAMARCO - FORNECIMENTO E INSTALAÇÃO. AF_11/2024</v>
      </c>
      <c r="D284" s="45" t="s">
        <v>59</v>
      </c>
      <c r="E284" s="51" t="str">
        <f aca="false">VLOOKUP($B284,03_COMPOSIÇÕES!$A:$G,4,0)</f>
        <v>M2</v>
      </c>
      <c r="F284" s="46" t="n">
        <v>10.56</v>
      </c>
      <c r="G284" s="51" t="n">
        <f aca="false">VLOOKUP($B284,03_COMPOSIÇÕES!$A:$G,6,0)</f>
        <v>794.739178934</v>
      </c>
      <c r="H284" s="52" t="n">
        <f aca="false">VLOOKUP($B284,03_COMPOSIÇÕES!$A:$G,7,0)</f>
        <v>20.2344098400732</v>
      </c>
      <c r="I284" s="47" t="n">
        <f aca="false">$F284*$G284</f>
        <v>8392.44572954304</v>
      </c>
      <c r="J284" s="47" t="n">
        <f aca="false">$F284*$H284</f>
        <v>213.675367911173</v>
      </c>
      <c r="K284" s="47" t="n">
        <f aca="false">$I284*(1+BDI_MAT)</f>
        <v>10122.9680389748</v>
      </c>
      <c r="L284" s="47" t="n">
        <f aca="false">$J284*(1+BDI_MDO)</f>
        <v>272.414726549954</v>
      </c>
      <c r="M284" s="47" t="n">
        <f aca="false">SUM(K284:L284)</f>
        <v>10395.3827655248</v>
      </c>
      <c r="N284" s="20" t="str">
        <f aca="false">A284</f>
        <v>5.2.1.1.4</v>
      </c>
    </row>
    <row r="285" customFormat="false" ht="15" hidden="false" customHeight="false" outlineLevel="2" collapsed="false">
      <c r="A285" s="42" t="s">
        <v>420</v>
      </c>
      <c r="B285" s="43"/>
      <c r="C285" s="50" t="s">
        <v>343</v>
      </c>
      <c r="D285" s="45"/>
      <c r="E285" s="44"/>
      <c r="F285" s="46"/>
      <c r="G285" s="51"/>
      <c r="H285" s="52"/>
      <c r="I285" s="47" t="n">
        <f aca="false">SUM(I286)</f>
        <v>179356.861378042</v>
      </c>
      <c r="J285" s="47" t="n">
        <f aca="false">SUM(J286)</f>
        <v>5824.61025862846</v>
      </c>
      <c r="K285" s="47" t="n">
        <f aca="false">SUM(K286)</f>
        <v>216340.246194195</v>
      </c>
      <c r="L285" s="47" t="n">
        <f aca="false">SUM(L286)</f>
        <v>7425.79561872542</v>
      </c>
      <c r="M285" s="47" t="n">
        <f aca="false">SUM(M286)</f>
        <v>223766.04181292</v>
      </c>
      <c r="N285" s="20" t="str">
        <f aca="false">A285</f>
        <v>5.2.2</v>
      </c>
    </row>
    <row r="286" customFormat="false" ht="15" hidden="false" customHeight="false" outlineLevel="2" collapsed="false">
      <c r="A286" s="42" t="s">
        <v>421</v>
      </c>
      <c r="B286" s="43"/>
      <c r="C286" s="50" t="s">
        <v>413</v>
      </c>
      <c r="D286" s="45"/>
      <c r="E286" s="44"/>
      <c r="F286" s="46"/>
      <c r="G286" s="51"/>
      <c r="H286" s="52"/>
      <c r="I286" s="47" t="n">
        <f aca="false">SUBTOTAL(9,I287:I293)</f>
        <v>179356.861378042</v>
      </c>
      <c r="J286" s="47" t="n">
        <f aca="false">SUBTOTAL(9,J287:J293)</f>
        <v>5824.61025862846</v>
      </c>
      <c r="K286" s="47" t="n">
        <f aca="false">SUBTOTAL(9,K287:K293)</f>
        <v>216340.246194195</v>
      </c>
      <c r="L286" s="47" t="n">
        <f aca="false">SUBTOTAL(9,L287:L293)</f>
        <v>7425.79561872542</v>
      </c>
      <c r="M286" s="47" t="n">
        <f aca="false">SUBTOTAL(9,M287:M293)</f>
        <v>223766.04181292</v>
      </c>
      <c r="N286" s="20" t="str">
        <f aca="false">A286</f>
        <v>5.2.2.1</v>
      </c>
    </row>
    <row r="287" customFormat="false" ht="75" hidden="false" customHeight="false" outlineLevel="2" collapsed="false">
      <c r="A287" s="42" t="s">
        <v>422</v>
      </c>
      <c r="B287" s="43" t="n">
        <v>94569</v>
      </c>
      <c r="C287" s="50" t="str">
        <f aca="false">VLOOKUP($B287,03_COMPOSIÇÕES!$A:$G,2,0)</f>
        <v>JANELA DE ALUMÍNIO TIPO MAXIM-AR, BATENTE/ REQUADRO 3 A 14 CM, VIDRO INCLUSO, FIXAÇÃO COM PARAFUSO, SEM GUARNIÇÃO/ ALIZAR, DIMENSÕES 60X80 (A X L) CM, SEM ACABAMENTO, VEDAÇÃO COM SILICONE, EXCLUSIVE CONTRAMARCO - FORNECIMENTO E INSTALAÇÃO. AF_11/2024</v>
      </c>
      <c r="D287" s="45" t="s">
        <v>59</v>
      </c>
      <c r="E287" s="51" t="str">
        <f aca="false">VLOOKUP($B287,03_COMPOSIÇÕES!$A:$G,4,0)</f>
        <v>M2</v>
      </c>
      <c r="F287" s="46" t="n">
        <v>11.52</v>
      </c>
      <c r="G287" s="51" t="n">
        <f aca="false">VLOOKUP($B287,03_COMPOSIÇÕES!$A:$G,6,0)</f>
        <v>679.617277087</v>
      </c>
      <c r="H287" s="52" t="n">
        <f aca="false">VLOOKUP($B287,03_COMPOSIÇÕES!$A:$G,7,0)</f>
        <v>27.5448259793556</v>
      </c>
      <c r="I287" s="47" t="n">
        <f aca="false">$F287*$G287</f>
        <v>7829.19103204224</v>
      </c>
      <c r="J287" s="47" t="n">
        <f aca="false">$F287*$H287</f>
        <v>317.316395282177</v>
      </c>
      <c r="K287" s="47" t="n">
        <f aca="false">$I287*(1+BDI_MAT)</f>
        <v>9443.57022284935</v>
      </c>
      <c r="L287" s="47" t="n">
        <f aca="false">$J287*(1+BDI_MDO)</f>
        <v>404.546672345247</v>
      </c>
      <c r="M287" s="47" t="n">
        <f aca="false">SUM(K287:L287)</f>
        <v>9848.1168951946</v>
      </c>
      <c r="N287" s="20" t="str">
        <f aca="false">A287</f>
        <v>5.2.2.1.1</v>
      </c>
    </row>
    <row r="288" customFormat="false" ht="45" hidden="false" customHeight="false" outlineLevel="2" collapsed="false">
      <c r="A288" s="42" t="s">
        <v>423</v>
      </c>
      <c r="B288" s="43" t="s">
        <v>424</v>
      </c>
      <c r="C288" s="50" t="str">
        <f aca="false">VLOOKUP($B288,03_COMPOSIÇÕES!$A:$G,2,0)</f>
        <v>JANELA DE ALUMÍNIO, 2 FOLHAS, BASE FIXA + PARTE SUPERIOR BASCULANTE, COM VIDRO, BATENTE E FERRAGENS. FORNECIMENTO E INSTALAÇÃO.</v>
      </c>
      <c r="D288" s="45" t="s">
        <v>59</v>
      </c>
      <c r="E288" s="51" t="str">
        <f aca="false">VLOOKUP($B288,03_COMPOSIÇÕES!$A:$G,4,0)</f>
        <v>M2</v>
      </c>
      <c r="F288" s="46" t="n">
        <v>16.23</v>
      </c>
      <c r="G288" s="51" t="n">
        <f aca="false">VLOOKUP($B288,03_COMPOSIÇÕES!$A:$G,6,0)</f>
        <v>535.3326174</v>
      </c>
      <c r="H288" s="52" t="n">
        <f aca="false">VLOOKUP($B288,03_COMPOSIÇÕES!$A:$G,7,0)</f>
        <v>22.007892892</v>
      </c>
      <c r="I288" s="47" t="n">
        <f aca="false">$F288*$G288</f>
        <v>8688.448380402</v>
      </c>
      <c r="J288" s="47" t="n">
        <f aca="false">$F288*$H288</f>
        <v>357.18810163716</v>
      </c>
      <c r="K288" s="47" t="n">
        <f aca="false">$I288*(1+BDI_MAT)</f>
        <v>10480.0064364409</v>
      </c>
      <c r="L288" s="47" t="n">
        <f aca="false">$J288*(1+BDI_MDO)</f>
        <v>455.379110777215</v>
      </c>
      <c r="M288" s="47" t="n">
        <f aca="false">SUM(K288:L288)</f>
        <v>10935.3855472181</v>
      </c>
      <c r="N288" s="20" t="str">
        <f aca="false">A288</f>
        <v>5.2.2.1.2</v>
      </c>
    </row>
    <row r="289" customFormat="false" ht="60" hidden="false" customHeight="false" outlineLevel="2" collapsed="false">
      <c r="A289" s="42" t="s">
        <v>425</v>
      </c>
      <c r="B289" s="43" t="s">
        <v>416</v>
      </c>
      <c r="C289" s="50" t="str">
        <f aca="false">VLOOKUP($B289,03_COMPOSIÇÕES!$A:$G,2,0)</f>
        <v>JANELA DE ALUMÍNIO DE CORRER COM 3 FOLHAS PARA VIDROS, COM VIDROS, BATENTE, ACABAMENTO COM ACETATO OU BRILHANTE E FERRAGENS. EXCLUSIVE ALIZAR E CONTRAMARCO. FORNECIMENTO E INSTALAÇÃO.</v>
      </c>
      <c r="D289" s="45" t="s">
        <v>59</v>
      </c>
      <c r="E289" s="51" t="str">
        <f aca="false">VLOOKUP($B289,03_COMPOSIÇÕES!$A:$G,4,0)</f>
        <v>M2</v>
      </c>
      <c r="F289" s="46" t="n">
        <v>62.74</v>
      </c>
      <c r="G289" s="51" t="n">
        <f aca="false">VLOOKUP($B289,03_COMPOSIÇÕES!$A:$G,6,0)</f>
        <v>415.49508</v>
      </c>
      <c r="H289" s="52" t="n">
        <f aca="false">VLOOKUP($B289,03_COMPOSIÇÕES!$A:$G,7,0)</f>
        <v>26.17049664</v>
      </c>
      <c r="I289" s="47" t="n">
        <f aca="false">$F289*$G289</f>
        <v>26068.1613192</v>
      </c>
      <c r="J289" s="47" t="n">
        <f aca="false">$F289*$H289</f>
        <v>1641.9369591936</v>
      </c>
      <c r="K289" s="47" t="n">
        <f aca="false">$I289*(1+BDI_MAT)</f>
        <v>31443.416183219</v>
      </c>
      <c r="L289" s="47" t="n">
        <f aca="false">$J289*(1+BDI_MDO)</f>
        <v>2093.30542927592</v>
      </c>
      <c r="M289" s="47" t="n">
        <f aca="false">SUM(K289:L289)</f>
        <v>33536.721612495</v>
      </c>
      <c r="N289" s="20" t="str">
        <f aca="false">A289</f>
        <v>5.2.2.1.3</v>
      </c>
    </row>
    <row r="290" customFormat="false" ht="45" hidden="false" customHeight="false" outlineLevel="2" collapsed="false">
      <c r="A290" s="42" t="s">
        <v>426</v>
      </c>
      <c r="B290" s="43" t="s">
        <v>427</v>
      </c>
      <c r="C290" s="50" t="str">
        <f aca="false">VLOOKUP($B290,03_COMPOSIÇÕES!$A:$G,2,0)</f>
        <v>JANELA DE ALUMÍNIO, 2 FOLHAS, SENDO 1 FOLHA FIXA + 1 FOLHA LATERAL COM BASE FIXA E PARTE SUPERIOR BASCULANTE, COM VIDRO, BATENTE E FERRAGENS. FORNECIMENTO E INSTALAÇÃO.</v>
      </c>
      <c r="D290" s="45" t="s">
        <v>59</v>
      </c>
      <c r="E290" s="51" t="str">
        <f aca="false">VLOOKUP($B290,03_COMPOSIÇÕES!$A:$G,4,0)</f>
        <v>M2</v>
      </c>
      <c r="F290" s="46" t="n">
        <v>22.56</v>
      </c>
      <c r="G290" s="51" t="n">
        <f aca="false">VLOOKUP($B290,03_COMPOSIÇÕES!$A:$G,6,0)</f>
        <v>651.107775</v>
      </c>
      <c r="H290" s="52" t="n">
        <f aca="false">VLOOKUP($B290,03_COMPOSIÇÕES!$A:$G,7,0)</f>
        <v>22.007892892</v>
      </c>
      <c r="I290" s="47" t="n">
        <f aca="false">$F290*$G290</f>
        <v>14688.991404</v>
      </c>
      <c r="J290" s="47" t="n">
        <f aca="false">$F290*$H290</f>
        <v>496.49806364352</v>
      </c>
      <c r="K290" s="47" t="n">
        <f aca="false">$I290*(1+BDI_MAT)</f>
        <v>17717.8614315048</v>
      </c>
      <c r="L290" s="47" t="n">
        <f aca="false">$J290*(1+BDI_MDO)</f>
        <v>632.985381339124</v>
      </c>
      <c r="M290" s="47" t="n">
        <f aca="false">SUM(K290:L290)</f>
        <v>18350.8468128439</v>
      </c>
      <c r="N290" s="20" t="str">
        <f aca="false">A290</f>
        <v>5.2.2.1.4</v>
      </c>
    </row>
    <row r="291" customFormat="false" ht="45" hidden="false" customHeight="false" outlineLevel="2" collapsed="false">
      <c r="A291" s="42" t="s">
        <v>428</v>
      </c>
      <c r="B291" s="43" t="s">
        <v>429</v>
      </c>
      <c r="C291" s="50" t="str">
        <f aca="false">VLOOKUP($B291,03_COMPOSIÇÕES!$A:$G,2,0)</f>
        <v>JANELA DE ALUMÍNIO, 3 FOLHAS, SENDO 1 FOLHA CENTRAL FIXA + 2 FOLHAS LATERAIS COM BASE FIXA E PARTE SUPERIOR BASCULANTE, COM VIDRO, BATENTE E FERRAGENS. FORNECIMENTO E INSTALAÇÃO.</v>
      </c>
      <c r="D291" s="45" t="s">
        <v>59</v>
      </c>
      <c r="E291" s="51" t="str">
        <f aca="false">VLOOKUP($B291,03_COMPOSIÇÕES!$A:$G,4,0)</f>
        <v>M2</v>
      </c>
      <c r="F291" s="46" t="n">
        <v>30.8</v>
      </c>
      <c r="G291" s="51" t="n">
        <f aca="false">VLOOKUP($B291,03_COMPOSIÇÕES!$A:$G,6,0)</f>
        <v>631.3112155</v>
      </c>
      <c r="H291" s="52" t="n">
        <f aca="false">VLOOKUP($B291,03_COMPOSIÇÕES!$A:$G,7,0)</f>
        <v>22.007892892</v>
      </c>
      <c r="I291" s="47" t="n">
        <f aca="false">$F291*$G291</f>
        <v>19444.3854374</v>
      </c>
      <c r="J291" s="47" t="n">
        <f aca="false">$F291*$H291</f>
        <v>677.8431010736</v>
      </c>
      <c r="K291" s="47" t="n">
        <f aca="false">$I291*(1+BDI_MAT)</f>
        <v>23453.8177145919</v>
      </c>
      <c r="L291" s="47" t="n">
        <f aca="false">$J291*(1+BDI_MDO)</f>
        <v>864.182169558733</v>
      </c>
      <c r="M291" s="47" t="n">
        <f aca="false">SUM(K291:L291)</f>
        <v>24317.9998841506</v>
      </c>
      <c r="N291" s="20" t="str">
        <f aca="false">A291</f>
        <v>5.2.2.1.5</v>
      </c>
    </row>
    <row r="292" customFormat="false" ht="45" hidden="false" customHeight="false" outlineLevel="2" collapsed="false">
      <c r="A292" s="42" t="s">
        <v>430</v>
      </c>
      <c r="B292" s="43" t="s">
        <v>431</v>
      </c>
      <c r="C292" s="50" t="str">
        <f aca="false">VLOOKUP($B292,03_COMPOSIÇÕES!$A:$G,2,0)</f>
        <v>JANELA DE ALUMÍNIO, 4 FOLHAS, SENDO 2 FOLHAS CENTRAIS FIXAS + 2 FOLHAS LATERAIS COM BASE FIXA E PARTE SUPERIOR BASCULANTE, COM VIDRO, BATENTE E FERRAGENS. FORNECIMENTO E INSTALAÇÃO.</v>
      </c>
      <c r="D292" s="45" t="s">
        <v>59</v>
      </c>
      <c r="E292" s="51" t="str">
        <f aca="false">VLOOKUP($B292,03_COMPOSIÇÕES!$A:$G,4,0)</f>
        <v>M2</v>
      </c>
      <c r="F292" s="46" t="n">
        <v>144.25</v>
      </c>
      <c r="G292" s="51" t="n">
        <f aca="false">VLOOKUP($B292,03_COMPOSIÇÕES!$A:$G,6,0)</f>
        <v>653.6582976</v>
      </c>
      <c r="H292" s="52" t="n">
        <f aca="false">VLOOKUP($B292,03_COMPOSIÇÕES!$A:$G,7,0)</f>
        <v>14.86703808</v>
      </c>
      <c r="I292" s="47" t="n">
        <f aca="false">$F292*$G292</f>
        <v>94290.2094288</v>
      </c>
      <c r="J292" s="47" t="n">
        <f aca="false">$F292*$H292</f>
        <v>2144.57024304</v>
      </c>
      <c r="K292" s="47" t="n">
        <f aca="false">$I292*(1+BDI_MAT)</f>
        <v>113732.850613019</v>
      </c>
      <c r="L292" s="47" t="n">
        <f aca="false">$J292*(1+BDI_MDO)</f>
        <v>2734.1126028517</v>
      </c>
      <c r="M292" s="47" t="n">
        <f aca="false">SUM(K292:L292)</f>
        <v>116466.96321587</v>
      </c>
      <c r="N292" s="20" t="str">
        <f aca="false">A292</f>
        <v>5.2.2.1.6</v>
      </c>
    </row>
    <row r="293" customFormat="false" ht="45" hidden="false" customHeight="false" outlineLevel="2" collapsed="false">
      <c r="A293" s="42" t="s">
        <v>432</v>
      </c>
      <c r="B293" s="43" t="s">
        <v>433</v>
      </c>
      <c r="C293" s="50" t="str">
        <f aca="false">VLOOKUP($B293,03_COMPOSIÇÕES!$A:$G,2,0)</f>
        <v>JANELA DE ALUMÍNIO, 4 FOLHAS, SENDO 2 FOLHAS LATERAIS FIXAS + 2 FOLHAS CENTRAIS COM BASE FIXA E PARTE SUPERIOR BASCULANTE, COM VIDRO, BATENTE E FERRAGENS. FORNECIMENTO E INSTALAÇÃO.</v>
      </c>
      <c r="D293" s="45" t="s">
        <v>59</v>
      </c>
      <c r="E293" s="51" t="str">
        <f aca="false">VLOOKUP($B293,03_COMPOSIÇÕES!$A:$G,4,0)</f>
        <v>M2</v>
      </c>
      <c r="F293" s="46" t="n">
        <v>12.73</v>
      </c>
      <c r="G293" s="51" t="n">
        <f aca="false">VLOOKUP($B293,03_COMPOSIÇÕES!$A:$G,6,0)</f>
        <v>655.7324726</v>
      </c>
      <c r="H293" s="52" t="n">
        <f aca="false">VLOOKUP($B293,03_COMPOSIÇÕES!$A:$G,7,0)</f>
        <v>14.86703808</v>
      </c>
      <c r="I293" s="47" t="n">
        <f aca="false">$F293*$G293</f>
        <v>8347.474376198</v>
      </c>
      <c r="J293" s="47" t="n">
        <f aca="false">$F293*$H293</f>
        <v>189.2573947584</v>
      </c>
      <c r="K293" s="47" t="n">
        <f aca="false">$I293*(1+BDI_MAT)</f>
        <v>10068.72359257</v>
      </c>
      <c r="L293" s="47" t="n">
        <f aca="false">$J293*(1+BDI_MDO)</f>
        <v>241.284252577484</v>
      </c>
      <c r="M293" s="47" t="n">
        <f aca="false">SUM(K293:L293)</f>
        <v>10310.0078451475</v>
      </c>
      <c r="N293" s="20" t="str">
        <f aca="false">A293</f>
        <v>5.2.2.1.7</v>
      </c>
    </row>
    <row r="294" customFormat="false" ht="15" hidden="false" customHeight="false" outlineLevel="1" collapsed="false">
      <c r="A294" s="42" t="s">
        <v>434</v>
      </c>
      <c r="B294" s="43"/>
      <c r="C294" s="50" t="s">
        <v>435</v>
      </c>
      <c r="D294" s="45"/>
      <c r="E294" s="44"/>
      <c r="F294" s="46"/>
      <c r="G294" s="51"/>
      <c r="H294" s="52"/>
      <c r="I294" s="47" t="n">
        <f aca="false">SUM(I295,I307,I313)</f>
        <v>122364.812944928</v>
      </c>
      <c r="J294" s="47" t="n">
        <f aca="false">SUM(J295,J307,J313)</f>
        <v>18924.425229626</v>
      </c>
      <c r="K294" s="47" t="n">
        <f aca="false">SUM(K295,K307,K313)</f>
        <v>147596.437374172</v>
      </c>
      <c r="L294" s="47" t="n">
        <f aca="false">SUM(L295,L307,L313)</f>
        <v>24126.7497252502</v>
      </c>
      <c r="M294" s="47" t="n">
        <f aca="false">SUM(M295,M307,M313)</f>
        <v>171723.187099422</v>
      </c>
      <c r="N294" s="20" t="str">
        <f aca="false">A294</f>
        <v>5.3</v>
      </c>
    </row>
    <row r="295" customFormat="false" ht="15" hidden="false" customHeight="false" outlineLevel="2" collapsed="false">
      <c r="A295" s="42" t="s">
        <v>436</v>
      </c>
      <c r="B295" s="43"/>
      <c r="C295" s="50" t="s">
        <v>339</v>
      </c>
      <c r="D295" s="45"/>
      <c r="E295" s="44"/>
      <c r="F295" s="46"/>
      <c r="G295" s="51"/>
      <c r="H295" s="52"/>
      <c r="I295" s="47" t="n">
        <f aca="false">SUM(I296,I300,I305)</f>
        <v>27590.9563416677</v>
      </c>
      <c r="J295" s="47" t="n">
        <f aca="false">SUM(J296,J300,J305)</f>
        <v>4215.97673062055</v>
      </c>
      <c r="K295" s="47" t="n">
        <f aca="false">SUM(K296,K300,K305)</f>
        <v>33280.2115393196</v>
      </c>
      <c r="L295" s="47" t="n">
        <f aca="false">SUM(L296,L300,L305)</f>
        <v>5374.94873386814</v>
      </c>
      <c r="M295" s="47" t="n">
        <f aca="false">SUM(M296,M300,M305)</f>
        <v>38655.1602731877</v>
      </c>
      <c r="N295" s="20" t="str">
        <f aca="false">A295</f>
        <v>5.3.1</v>
      </c>
    </row>
    <row r="296" customFormat="false" ht="15" hidden="false" customHeight="false" outlineLevel="3" collapsed="false">
      <c r="A296" s="42" t="s">
        <v>437</v>
      </c>
      <c r="B296" s="43"/>
      <c r="C296" s="50" t="s">
        <v>438</v>
      </c>
      <c r="D296" s="45"/>
      <c r="E296" s="44"/>
      <c r="F296" s="46"/>
      <c r="G296" s="51"/>
      <c r="H296" s="52"/>
      <c r="I296" s="47" t="n">
        <f aca="false">SUBTOTAL(9,I297:I299)</f>
        <v>12312.56175828</v>
      </c>
      <c r="J296" s="47" t="n">
        <f aca="false">SUBTOTAL(9,J297:J299)</f>
        <v>3533.72723390188</v>
      </c>
      <c r="K296" s="47" t="n">
        <f aca="false">SUBTOTAL(9,K297:K299)</f>
        <v>14851.4119928373</v>
      </c>
      <c r="L296" s="47" t="n">
        <f aca="false">SUBTOTAL(9,L297:L299)</f>
        <v>4505.14885050151</v>
      </c>
      <c r="M296" s="47" t="n">
        <f aca="false">SUBTOTAL(9,M297:M299)</f>
        <v>19356.5608433388</v>
      </c>
      <c r="N296" s="20" t="str">
        <f aca="false">A296</f>
        <v>5.3.1.1</v>
      </c>
    </row>
    <row r="297" customFormat="false" ht="75" hidden="false" customHeight="false" outlineLevel="4" collapsed="false">
      <c r="A297" s="42" t="s">
        <v>439</v>
      </c>
      <c r="B297" s="43" t="n">
        <v>90843</v>
      </c>
      <c r="C297" s="50" t="str">
        <f aca="false">VLOOKUP($B297,03_COMPOSIÇÕES!$A:$G,2,0)</f>
        <v>KIT DE PORTA DE MADEIRA PARA PINTURA, SEMI-OCA (LEVE OU MÉDIA), PADRÃO MÉDIO, 80X210CM, ESPESSURA DE 3,5CM, ITENS INCLUSOS: DOBRADIÇAS, MONTAGEM E INSTALAÇÃO DO BATENTE, FECHADURA COM EXECUÇÃO DO FURO - FORNECIMENTO E INSTALAÇÃO. AF_12/2019</v>
      </c>
      <c r="D297" s="45" t="s">
        <v>59</v>
      </c>
      <c r="E297" s="51" t="str">
        <f aca="false">VLOOKUP($B297,03_COMPOSIÇÕES!$A:$G,4,0)</f>
        <v>UN</v>
      </c>
      <c r="F297" s="46" t="n">
        <v>3</v>
      </c>
      <c r="G297" s="51" t="n">
        <f aca="false">VLOOKUP($B297,03_COMPOSIÇÕES!$A:$G,6,0)</f>
        <v>771.81654138</v>
      </c>
      <c r="H297" s="52" t="n">
        <f aca="false">VLOOKUP($B297,03_COMPOSIÇÕES!$A:$G,7,0)</f>
        <v>208.58926779034</v>
      </c>
      <c r="I297" s="47" t="n">
        <f aca="false">$F297*$G297</f>
        <v>2315.44962414</v>
      </c>
      <c r="J297" s="47" t="n">
        <f aca="false">$F297*$H297</f>
        <v>625.76780337102</v>
      </c>
      <c r="K297" s="47" t="n">
        <f aca="false">$I297*(1+BDI_MAT)</f>
        <v>2792.89533663767</v>
      </c>
      <c r="L297" s="47" t="n">
        <f aca="false">$J297*(1+BDI_MDO)</f>
        <v>797.791372517713</v>
      </c>
      <c r="M297" s="47" t="n">
        <f aca="false">SUM(K297:L297)</f>
        <v>3590.68670915538</v>
      </c>
      <c r="N297" s="20" t="str">
        <f aca="false">A297</f>
        <v>5.3.1.1.1</v>
      </c>
    </row>
    <row r="298" customFormat="false" ht="75" hidden="false" customHeight="false" outlineLevel="4" collapsed="false">
      <c r="A298" s="42" t="s">
        <v>440</v>
      </c>
      <c r="B298" s="43" t="n">
        <v>90844</v>
      </c>
      <c r="C298" s="50" t="str">
        <f aca="false">VLOOKUP($B298,03_COMPOSIÇÕES!$A:$G,2,0)</f>
        <v>KIT DE PORTA DE MADEIRA PARA PINTURA, SEMI-OCA (LEVE OU MÉDIA), PADRÃO MÉDIO, 90X210CM, ESPESSURA DE 3,5CM, ITENS INCLUSOS: DOBRADIÇAS, MONTAGEM E INSTALAÇÃO DO BATENTE, FECHADURA COM EXECUÇÃO DO FURO - FORNECIMENTO E INSTALAÇÃO. AF_12/2019</v>
      </c>
      <c r="D298" s="45" t="s">
        <v>59</v>
      </c>
      <c r="E298" s="51" t="str">
        <f aca="false">VLOOKUP($B298,03_COMPOSIÇÕES!$A:$G,4,0)</f>
        <v>UN</v>
      </c>
      <c r="F298" s="46" t="n">
        <v>7</v>
      </c>
      <c r="G298" s="51" t="n">
        <f aca="false">VLOOKUP($B298,03_COMPOSIÇÕES!$A:$G,6,0)</f>
        <v>919.04382738</v>
      </c>
      <c r="H298" s="52" t="n">
        <f aca="false">VLOOKUP($B298,03_COMPOSIÇÕES!$A:$G,7,0)</f>
        <v>212.36515632858</v>
      </c>
      <c r="I298" s="47" t="n">
        <f aca="false">$F298*$G298</f>
        <v>6433.30679166</v>
      </c>
      <c r="J298" s="47" t="n">
        <f aca="false">$F298*$H298</f>
        <v>1486.55609430006</v>
      </c>
      <c r="K298" s="47" t="n">
        <f aca="false">$I298*(1+BDI_MAT)</f>
        <v>7759.85465210029</v>
      </c>
      <c r="L298" s="47" t="n">
        <f aca="false">$J298*(1+BDI_MDO)</f>
        <v>1895.21036462315</v>
      </c>
      <c r="M298" s="47" t="n">
        <f aca="false">SUM(K298:L298)</f>
        <v>9655.06501672344</v>
      </c>
      <c r="N298" s="20" t="str">
        <f aca="false">A298</f>
        <v>5.3.1.1.2</v>
      </c>
    </row>
    <row r="299" customFormat="false" ht="75" hidden="false" customHeight="false" outlineLevel="4" collapsed="false">
      <c r="A299" s="42" t="s">
        <v>441</v>
      </c>
      <c r="B299" s="43" t="s">
        <v>442</v>
      </c>
      <c r="C299" s="50" t="str">
        <f aca="false">VLOOKUP($B299,03_COMPOSIÇÕES!$A:$G,2,0)</f>
        <v>KIT DE PORTA DE MADEIRA DE CORRER PARA PINTURA, SEMI-OCA (LEVE OU MÉDIA), PADRÃO MÉDIO, 90X210CM, ESPESSURA DE 3,5CM, ITENS INCLUSOS: DOBRADIÇAS, MONTAGEM E INSTALAÇÃO DO BATENTE, FECHADURA COM EXECUÇÃO DO FURO - FORNECIMENTO E INSTALAÇÃO.</v>
      </c>
      <c r="D299" s="45" t="s">
        <v>59</v>
      </c>
      <c r="E299" s="51" t="str">
        <f aca="false">VLOOKUP($B299,03_COMPOSIÇÕES!$A:$G,4,0)</f>
        <v>un</v>
      </c>
      <c r="F299" s="46" t="n">
        <v>4</v>
      </c>
      <c r="G299" s="51" t="n">
        <f aca="false">VLOOKUP($B299,03_COMPOSIÇÕES!$A:$G,6,0)</f>
        <v>890.95133562</v>
      </c>
      <c r="H299" s="52" t="n">
        <f aca="false">VLOOKUP($B299,03_COMPOSIÇÕES!$A:$G,7,0)</f>
        <v>355.3508340577</v>
      </c>
      <c r="I299" s="47" t="n">
        <f aca="false">$F299*$G299</f>
        <v>3563.80534248</v>
      </c>
      <c r="J299" s="47" t="n">
        <f aca="false">$F299*$H299</f>
        <v>1421.4033362308</v>
      </c>
      <c r="K299" s="47" t="n">
        <f aca="false">$I299*(1+BDI_MAT)</f>
        <v>4298.66200409938</v>
      </c>
      <c r="L299" s="47" t="n">
        <f aca="false">$J299*(1+BDI_MDO)</f>
        <v>1812.14711336065</v>
      </c>
      <c r="M299" s="47" t="n">
        <f aca="false">SUM(K299:L299)</f>
        <v>6110.80911746002</v>
      </c>
      <c r="N299" s="20" t="str">
        <f aca="false">A299</f>
        <v>5.3.1.1.3</v>
      </c>
    </row>
    <row r="300" customFormat="false" ht="15" hidden="false" customHeight="false" outlineLevel="3" collapsed="false">
      <c r="A300" s="42" t="s">
        <v>443</v>
      </c>
      <c r="B300" s="43"/>
      <c r="C300" s="50" t="s">
        <v>354</v>
      </c>
      <c r="D300" s="45"/>
      <c r="E300" s="44"/>
      <c r="F300" s="46"/>
      <c r="G300" s="51"/>
      <c r="H300" s="52"/>
      <c r="I300" s="47" t="n">
        <f aca="false">SUBTOTAL(9,I301:I304)</f>
        <v>11900.2136500877</v>
      </c>
      <c r="J300" s="47" t="n">
        <f aca="false">SUBTOTAL(9,J301:J304)</f>
        <v>630.3276881064</v>
      </c>
      <c r="K300" s="47" t="n">
        <f aca="false">SUBTOTAL(9,K301:K304)</f>
        <v>14354.0377047358</v>
      </c>
      <c r="L300" s="47" t="n">
        <f aca="false">SUBTOTAL(9,L301:L304)</f>
        <v>803.604769566849</v>
      </c>
      <c r="M300" s="47" t="n">
        <f aca="false">SUBTOTAL(9,M301:M304)</f>
        <v>15157.6424743027</v>
      </c>
      <c r="N300" s="20" t="str">
        <f aca="false">A300</f>
        <v>5.3.1.2</v>
      </c>
    </row>
    <row r="301" customFormat="false" ht="30" hidden="false" customHeight="false" outlineLevel="4" collapsed="false">
      <c r="A301" s="42" t="s">
        <v>444</v>
      </c>
      <c r="B301" s="43" t="s">
        <v>445</v>
      </c>
      <c r="C301" s="50" t="str">
        <f aca="false">VLOOKUP($B301,03_COMPOSIÇÕES!$A:$G,2,0)</f>
        <v>PORTA DE ABRIR, EM VIDRO TEMPERADO,100X220 CM, ESPESSURA 10 MM, INCLUSIVE ACESSÓRIOS.</v>
      </c>
      <c r="D301" s="45" t="s">
        <v>59</v>
      </c>
      <c r="E301" s="51" t="str">
        <f aca="false">VLOOKUP($B301,03_COMPOSIÇÕES!$A:$G,4,0)</f>
        <v>UN</v>
      </c>
      <c r="F301" s="46" t="n">
        <v>1</v>
      </c>
      <c r="G301" s="51" t="n">
        <f aca="false">VLOOKUP($B301,03_COMPOSIÇÕES!$A:$G,6,0)</f>
        <v>904.94207</v>
      </c>
      <c r="H301" s="52" t="n">
        <f aca="false">VLOOKUP($B301,03_COMPOSIÇÕES!$A:$G,7,0)</f>
        <v>99.3196642376</v>
      </c>
      <c r="I301" s="47" t="n">
        <f aca="false">$F301*$G301</f>
        <v>904.94207</v>
      </c>
      <c r="J301" s="47" t="n">
        <f aca="false">$F301*$H301</f>
        <v>99.3196642376</v>
      </c>
      <c r="K301" s="47" t="n">
        <f aca="false">$I301*(1+BDI_MAT)</f>
        <v>1091.541124834</v>
      </c>
      <c r="L301" s="47" t="n">
        <f aca="false">$J301*(1+BDI_MDO)</f>
        <v>126.622639936516</v>
      </c>
      <c r="M301" s="47" t="n">
        <f aca="false">SUM(K301:L301)</f>
        <v>1218.16376477052</v>
      </c>
      <c r="N301" s="20" t="str">
        <f aca="false">A301</f>
        <v>5.3.1.2.1</v>
      </c>
    </row>
    <row r="302" customFormat="false" ht="30" hidden="false" customHeight="false" outlineLevel="4" collapsed="false">
      <c r="A302" s="42" t="s">
        <v>446</v>
      </c>
      <c r="B302" s="43" t="s">
        <v>447</v>
      </c>
      <c r="C302" s="50" t="str">
        <f aca="false">VLOOKUP($B302,03_COMPOSIÇÕES!$A:$G,2,0)</f>
        <v>PORTA DE ABRIR EM VIDRO TEMPERADO, 2 FOLHAS, 180X210 CM, ESPESSURA 10 MM, INCLUSIVE ACESSÓRIOS.</v>
      </c>
      <c r="D302" s="45" t="s">
        <v>59</v>
      </c>
      <c r="E302" s="51" t="str">
        <f aca="false">VLOOKUP($B302,03_COMPOSIÇÕES!$A:$G,4,0)</f>
        <v>UN</v>
      </c>
      <c r="F302" s="46" t="n">
        <v>2</v>
      </c>
      <c r="G302" s="51" t="n">
        <f aca="false">VLOOKUP($B302,03_COMPOSIÇÕES!$A:$G,6,0)</f>
        <v>1366.85845</v>
      </c>
      <c r="H302" s="52" t="n">
        <f aca="false">VLOOKUP($B302,03_COMPOSIÇÕES!$A:$G,7,0)</f>
        <v>113.7686825984</v>
      </c>
      <c r="I302" s="47" t="n">
        <f aca="false">$F302*$G302</f>
        <v>2733.7169</v>
      </c>
      <c r="J302" s="47" t="n">
        <f aca="false">$F302*$H302</f>
        <v>227.5373651968</v>
      </c>
      <c r="K302" s="47" t="n">
        <f aca="false">$I302*(1+BDI_MAT)</f>
        <v>3297.40932478</v>
      </c>
      <c r="L302" s="47" t="n">
        <f aca="false">$J302*(1+BDI_MDO)</f>
        <v>290.0873868894</v>
      </c>
      <c r="M302" s="47" t="n">
        <f aca="false">SUM(K302:L302)</f>
        <v>3587.4967116694</v>
      </c>
      <c r="N302" s="20" t="str">
        <f aca="false">A302</f>
        <v>5.3.1.2.2</v>
      </c>
    </row>
    <row r="303" customFormat="false" ht="45" hidden="false" customHeight="false" outlineLevel="4" collapsed="false">
      <c r="A303" s="42" t="s">
        <v>448</v>
      </c>
      <c r="B303" s="43" t="s">
        <v>449</v>
      </c>
      <c r="C303" s="50" t="str">
        <f aca="false">VLOOKUP($B303,03_COMPOSIÇÕES!$A:$G,2,0)</f>
        <v>PORTA COM ABERTURA AUTOMATIZADA, DE CORRER EM VIDRO TEMPERADO, 2 FOLHAS DE 100X210 CM, ESPESSURA 10 MM, INCLUSIVE ACESSÓRIOS.</v>
      </c>
      <c r="D303" s="45" t="s">
        <v>59</v>
      </c>
      <c r="E303" s="51" t="str">
        <f aca="false">VLOOKUP($B303,03_COMPOSIÇÕES!$A:$G,4,0)</f>
        <v>UN</v>
      </c>
      <c r="F303" s="46" t="n">
        <v>1</v>
      </c>
      <c r="G303" s="51" t="n">
        <f aca="false">VLOOKUP($B303,03_COMPOSIÇÕES!$A:$G,6,0)</f>
        <v>7734.47439166667</v>
      </c>
      <c r="H303" s="52" t="n">
        <f aca="false">VLOOKUP($B303,03_COMPOSIÇÕES!$A:$G,7,0)</f>
        <v>53.1626508</v>
      </c>
      <c r="I303" s="47" t="n">
        <f aca="false">$F303*$G303</f>
        <v>7734.47439166667</v>
      </c>
      <c r="J303" s="47" t="n">
        <f aca="false">$F303*$H303</f>
        <v>53.1626508</v>
      </c>
      <c r="K303" s="47" t="n">
        <f aca="false">$I303*(1+BDI_MAT)</f>
        <v>9329.32301122833</v>
      </c>
      <c r="L303" s="47" t="n">
        <f aca="false">$J303*(1+BDI_MDO)</f>
        <v>67.77706350492</v>
      </c>
      <c r="M303" s="47" t="n">
        <f aca="false">SUM(K303:L303)</f>
        <v>9397.10007473325</v>
      </c>
      <c r="N303" s="20" t="str">
        <f aca="false">A303</f>
        <v>5.3.1.2.3</v>
      </c>
    </row>
    <row r="304" customFormat="false" ht="30" hidden="false" customHeight="false" outlineLevel="4" collapsed="false">
      <c r="A304" s="42" t="s">
        <v>450</v>
      </c>
      <c r="B304" s="43" t="s">
        <v>373</v>
      </c>
      <c r="C304" s="50" t="str">
        <f aca="false">VLOOKUP($B304,03_COMPOSIÇÕES!$A:$G,2,0)</f>
        <v>PELICULA ADESIVA DE CONTROLE SOLAR ANTI RISCO, PARA VIDRO - FORNECIMENTO E INSTALAÇÃO</v>
      </c>
      <c r="D304" s="45" t="s">
        <v>59</v>
      </c>
      <c r="E304" s="51" t="str">
        <f aca="false">VLOOKUP($B304,03_COMPOSIÇÕES!$A:$G,4,0)</f>
        <v>M2</v>
      </c>
      <c r="F304" s="46" t="n">
        <v>14.16</v>
      </c>
      <c r="G304" s="51" t="n">
        <f aca="false">VLOOKUP($B304,03_COMPOSIÇÕES!$A:$G,6,0)</f>
        <v>37.2231842105263</v>
      </c>
      <c r="H304" s="52" t="n">
        <f aca="false">VLOOKUP($B304,03_COMPOSIÇÕES!$A:$G,7,0)</f>
        <v>17.6771192</v>
      </c>
      <c r="I304" s="47" t="n">
        <f aca="false">$F304*$G304</f>
        <v>527.080288421053</v>
      </c>
      <c r="J304" s="47" t="n">
        <f aca="false">$F304*$H304</f>
        <v>250.308007872</v>
      </c>
      <c r="K304" s="47" t="n">
        <f aca="false">$I304*(1+BDI_MAT)</f>
        <v>635.764243893474</v>
      </c>
      <c r="L304" s="47" t="n">
        <f aca="false">$J304*(1+BDI_MDO)</f>
        <v>319.117679236013</v>
      </c>
      <c r="M304" s="47" t="n">
        <f aca="false">SUM(K304:L304)</f>
        <v>954.881923129487</v>
      </c>
      <c r="N304" s="20" t="str">
        <f aca="false">A304</f>
        <v>5.3.1.2.4</v>
      </c>
    </row>
    <row r="305" customFormat="false" ht="15" hidden="false" customHeight="false" outlineLevel="3" collapsed="false">
      <c r="A305" s="42" t="s">
        <v>451</v>
      </c>
      <c r="B305" s="43"/>
      <c r="C305" s="50" t="s">
        <v>413</v>
      </c>
      <c r="D305" s="45"/>
      <c r="E305" s="44"/>
      <c r="F305" s="46"/>
      <c r="G305" s="51"/>
      <c r="H305" s="52"/>
      <c r="I305" s="47" t="n">
        <f aca="false">SUBTOTAL(9,I306)</f>
        <v>3378.1809333</v>
      </c>
      <c r="J305" s="47" t="n">
        <f aca="false">SUBTOTAL(9,J306)</f>
        <v>51.921808612272</v>
      </c>
      <c r="K305" s="47" t="n">
        <f aca="false">SUBTOTAL(9,K306)</f>
        <v>4074.76184174646</v>
      </c>
      <c r="L305" s="47" t="n">
        <f aca="false">SUBTOTAL(9,L306)</f>
        <v>66.1951137997856</v>
      </c>
      <c r="M305" s="47" t="n">
        <f aca="false">SUBTOTAL(9,M306)</f>
        <v>4140.95695554625</v>
      </c>
      <c r="N305" s="20" t="str">
        <f aca="false">A305</f>
        <v>5.3.1.3</v>
      </c>
    </row>
    <row r="306" customFormat="false" ht="45" hidden="false" customHeight="false" outlineLevel="3" collapsed="false">
      <c r="A306" s="42" t="s">
        <v>452</v>
      </c>
      <c r="B306" s="43" t="n">
        <v>91341</v>
      </c>
      <c r="C306" s="50" t="str">
        <f aca="false">VLOOKUP($B306,03_COMPOSIÇÕES!$A:$G,2,0)</f>
        <v>PORTA EM ALUMÍNIO DE ABRIR TIPO VENEZIANA COM GUARNIÇÃO, FIXAÇÃO COM PARAFUSOS - FORNECIMENTO E INSTALAÇÃO. AF_12/2019</v>
      </c>
      <c r="D306" s="45" t="s">
        <v>59</v>
      </c>
      <c r="E306" s="51" t="str">
        <f aca="false">VLOOKUP($B306,03_COMPOSIÇÕES!$A:$G,4,0)</f>
        <v>M2</v>
      </c>
      <c r="F306" s="46" t="n">
        <v>4.98</v>
      </c>
      <c r="G306" s="51" t="n">
        <f aca="false">VLOOKUP($B306,03_COMPOSIÇÕES!$A:$G,6,0)</f>
        <v>678.349585</v>
      </c>
      <c r="H306" s="52" t="n">
        <f aca="false">VLOOKUP($B306,03_COMPOSIÇÕES!$A:$G,7,0)</f>
        <v>10.4260659864</v>
      </c>
      <c r="I306" s="47" t="n">
        <f aca="false">$F306*$G306</f>
        <v>3378.1809333</v>
      </c>
      <c r="J306" s="47" t="n">
        <f aca="false">$F306*$H306</f>
        <v>51.921808612272</v>
      </c>
      <c r="K306" s="47" t="n">
        <f aca="false">$I306*(1+BDI_MAT)</f>
        <v>4074.76184174646</v>
      </c>
      <c r="L306" s="47" t="n">
        <f aca="false">$J306*(1+BDI_MDO)</f>
        <v>66.1951137997856</v>
      </c>
      <c r="M306" s="47" t="n">
        <f aca="false">SUM(K306:L306)</f>
        <v>4140.95695554625</v>
      </c>
      <c r="N306" s="20" t="str">
        <f aca="false">A306</f>
        <v>5.3.1.3.1</v>
      </c>
    </row>
    <row r="307" customFormat="false" ht="15" hidden="false" customHeight="false" outlineLevel="2" collapsed="false">
      <c r="A307" s="42" t="s">
        <v>453</v>
      </c>
      <c r="B307" s="43"/>
      <c r="C307" s="50" t="s">
        <v>343</v>
      </c>
      <c r="D307" s="45"/>
      <c r="E307" s="44"/>
      <c r="F307" s="46"/>
      <c r="G307" s="51"/>
      <c r="H307" s="52"/>
      <c r="I307" s="47" t="n">
        <f aca="false">SUM(I308,I311)</f>
        <v>91232.87176956</v>
      </c>
      <c r="J307" s="47" t="n">
        <f aca="false">SUM(J308,J311)</f>
        <v>14654.0244345564</v>
      </c>
      <c r="K307" s="47" t="n">
        <f aca="false">SUM(K308,K311)</f>
        <v>110045.089928443</v>
      </c>
      <c r="L307" s="47" t="n">
        <f aca="false">SUM(L308,L311)</f>
        <v>18682.415751616</v>
      </c>
      <c r="M307" s="47" t="n">
        <f aca="false">SUM(M308,M311)</f>
        <v>128727.505680059</v>
      </c>
      <c r="N307" s="20" t="str">
        <f aca="false">A307</f>
        <v>5.3.2</v>
      </c>
    </row>
    <row r="308" customFormat="false" ht="15" hidden="false" customHeight="false" outlineLevel="3" collapsed="false">
      <c r="A308" s="42" t="s">
        <v>454</v>
      </c>
      <c r="B308" s="43"/>
      <c r="C308" s="50" t="s">
        <v>438</v>
      </c>
      <c r="D308" s="45"/>
      <c r="E308" s="44"/>
      <c r="F308" s="46"/>
      <c r="G308" s="51"/>
      <c r="H308" s="52"/>
      <c r="I308" s="47" t="n">
        <f aca="false">SUBTOTAL(9,I309:I310)</f>
        <v>58631.39071446</v>
      </c>
      <c r="J308" s="47" t="n">
        <f aca="false">SUBTOTAL(9,J309:J310)</f>
        <v>14152.9477032501</v>
      </c>
      <c r="K308" s="47" t="n">
        <f aca="false">SUBTOTAL(9,K309:K310)</f>
        <v>70721.1834797816</v>
      </c>
      <c r="L308" s="47" t="n">
        <f aca="false">SUBTOTAL(9,L309:L310)</f>
        <v>18043.5930268735</v>
      </c>
      <c r="M308" s="47" t="n">
        <f aca="false">SUBTOTAL(9,M309:M310)</f>
        <v>88764.7765066551</v>
      </c>
      <c r="N308" s="20" t="str">
        <f aca="false">A308</f>
        <v>5.3.2.1</v>
      </c>
    </row>
    <row r="309" customFormat="false" ht="75" hidden="false" customHeight="false" outlineLevel="4" collapsed="false">
      <c r="A309" s="42" t="s">
        <v>455</v>
      </c>
      <c r="B309" s="43" t="n">
        <v>90843</v>
      </c>
      <c r="C309" s="50" t="str">
        <f aca="false">VLOOKUP($B309,03_COMPOSIÇÕES!$A:$G,2,0)</f>
        <v>KIT DE PORTA DE MADEIRA PARA PINTURA, SEMI-OCA (LEVE OU MÉDIA), PADRÃO MÉDIO, 80X210CM, ESPESSURA DE 3,5CM, ITENS INCLUSOS: DOBRADIÇAS, MONTAGEM E INSTALAÇÃO DO BATENTE, FECHADURA COM EXECUÇÃO DO FURO - FORNECIMENTO E INSTALAÇÃO. AF_12/2019</v>
      </c>
      <c r="D309" s="45" t="s">
        <v>59</v>
      </c>
      <c r="E309" s="51" t="str">
        <f aca="false">VLOOKUP($B309,03_COMPOSIÇÕES!$A:$G,4,0)</f>
        <v>UN</v>
      </c>
      <c r="F309" s="46" t="n">
        <v>20</v>
      </c>
      <c r="G309" s="51" t="n">
        <f aca="false">VLOOKUP($B309,03_COMPOSIÇÕES!$A:$G,6,0)</f>
        <v>771.81654138</v>
      </c>
      <c r="H309" s="52" t="n">
        <f aca="false">VLOOKUP($B309,03_COMPOSIÇÕES!$A:$G,7,0)</f>
        <v>208.58926779034</v>
      </c>
      <c r="I309" s="47" t="n">
        <f aca="false">$F309*$G309</f>
        <v>15436.3308276</v>
      </c>
      <c r="J309" s="47" t="n">
        <f aca="false">$F309*$H309</f>
        <v>4171.7853558068</v>
      </c>
      <c r="K309" s="47" t="n">
        <f aca="false">$I309*(1+BDI_MAT)</f>
        <v>18619.3022442511</v>
      </c>
      <c r="L309" s="47" t="n">
        <f aca="false">$J309*(1+BDI_MDO)</f>
        <v>5318.60915011809</v>
      </c>
      <c r="M309" s="47" t="n">
        <f aca="false">SUM(K309:L309)</f>
        <v>23937.9113943692</v>
      </c>
      <c r="N309" s="20" t="str">
        <f aca="false">A309</f>
        <v>5.3.2.1.1</v>
      </c>
    </row>
    <row r="310" customFormat="false" ht="75" hidden="false" customHeight="false" outlineLevel="4" collapsed="false">
      <c r="A310" s="42" t="s">
        <v>456</v>
      </c>
      <c r="B310" s="43" t="n">
        <v>90844</v>
      </c>
      <c r="C310" s="50" t="str">
        <f aca="false">VLOOKUP($B310,03_COMPOSIÇÕES!$A:$G,2,0)</f>
        <v>KIT DE PORTA DE MADEIRA PARA PINTURA, SEMI-OCA (LEVE OU MÉDIA), PADRÃO MÉDIO, 90X210CM, ESPESSURA DE 3,5CM, ITENS INCLUSOS: DOBRADIÇAS, MONTAGEM E INSTALAÇÃO DO BATENTE, FECHADURA COM EXECUÇÃO DO FURO - FORNECIMENTO E INSTALAÇÃO. AF_12/2019</v>
      </c>
      <c r="D310" s="45" t="s">
        <v>59</v>
      </c>
      <c r="E310" s="51" t="str">
        <f aca="false">VLOOKUP($B310,03_COMPOSIÇÕES!$A:$G,4,0)</f>
        <v>UN</v>
      </c>
      <c r="F310" s="46" t="n">
        <v>47</v>
      </c>
      <c r="G310" s="51" t="n">
        <f aca="false">VLOOKUP($B310,03_COMPOSIÇÕES!$A:$G,6,0)</f>
        <v>919.04382738</v>
      </c>
      <c r="H310" s="52" t="n">
        <f aca="false">VLOOKUP($B310,03_COMPOSIÇÕES!$A:$G,7,0)</f>
        <v>212.36515632858</v>
      </c>
      <c r="I310" s="47" t="n">
        <f aca="false">$F310*$G310</f>
        <v>43195.05988686</v>
      </c>
      <c r="J310" s="47" t="n">
        <f aca="false">$F310*$H310</f>
        <v>9981.16234744326</v>
      </c>
      <c r="K310" s="47" t="n">
        <f aca="false">$I310*(1+BDI_MAT)</f>
        <v>52101.8812355305</v>
      </c>
      <c r="L310" s="47" t="n">
        <f aca="false">$J310*(1+BDI_MDO)</f>
        <v>12724.9838767554</v>
      </c>
      <c r="M310" s="47" t="n">
        <f aca="false">SUM(K310:L310)</f>
        <v>64826.8651122859</v>
      </c>
      <c r="N310" s="20" t="str">
        <f aca="false">A310</f>
        <v>5.3.2.1.2</v>
      </c>
    </row>
    <row r="311" customFormat="false" ht="15" hidden="false" customHeight="false" outlineLevel="3" collapsed="false">
      <c r="A311" s="42" t="s">
        <v>457</v>
      </c>
      <c r="B311" s="43"/>
      <c r="C311" s="50" t="s">
        <v>413</v>
      </c>
      <c r="D311" s="45"/>
      <c r="E311" s="44"/>
      <c r="F311" s="46"/>
      <c r="G311" s="51"/>
      <c r="H311" s="52"/>
      <c r="I311" s="47" t="n">
        <f aca="false">SUBTOTAL(9,I312)</f>
        <v>32601.4810551</v>
      </c>
      <c r="J311" s="47" t="n">
        <f aca="false">SUBTOTAL(9,J312)</f>
        <v>501.076731306384</v>
      </c>
      <c r="K311" s="47" t="n">
        <f aca="false">SUBTOTAL(9,K312)</f>
        <v>39323.9064486616</v>
      </c>
      <c r="L311" s="47" t="n">
        <f aca="false">SUBTOTAL(9,L312)</f>
        <v>638.822724742509</v>
      </c>
      <c r="M311" s="47" t="n">
        <f aca="false">SUBTOTAL(9,M312)</f>
        <v>39962.7291734041</v>
      </c>
      <c r="N311" s="20" t="str">
        <f aca="false">A311</f>
        <v>5.3.2.2</v>
      </c>
    </row>
    <row r="312" customFormat="false" ht="45" hidden="false" customHeight="false" outlineLevel="3" collapsed="false">
      <c r="A312" s="42" t="s">
        <v>458</v>
      </c>
      <c r="B312" s="43" t="n">
        <v>91341</v>
      </c>
      <c r="C312" s="50" t="str">
        <f aca="false">VLOOKUP($B312,03_COMPOSIÇÕES!$A:$G,2,0)</f>
        <v>PORTA EM ALUMÍNIO DE ABRIR TIPO VENEZIANA COM GUARNIÇÃO, FIXAÇÃO COM PARAFUSOS - FORNECIMENTO E INSTALAÇÃO. AF_12/2019</v>
      </c>
      <c r="D312" s="45" t="s">
        <v>59</v>
      </c>
      <c r="E312" s="51" t="str">
        <f aca="false">VLOOKUP($B312,03_COMPOSIÇÕES!$A:$G,4,0)</f>
        <v>M2</v>
      </c>
      <c r="F312" s="46" t="n">
        <v>48.06</v>
      </c>
      <c r="G312" s="51" t="n">
        <f aca="false">VLOOKUP($B312,03_COMPOSIÇÕES!$A:$G,6,0)</f>
        <v>678.349585</v>
      </c>
      <c r="H312" s="52" t="n">
        <f aca="false">VLOOKUP($B312,03_COMPOSIÇÕES!$A:$G,7,0)</f>
        <v>10.4260659864</v>
      </c>
      <c r="I312" s="47" t="n">
        <f aca="false">$F312*$G312</f>
        <v>32601.4810551</v>
      </c>
      <c r="J312" s="47" t="n">
        <f aca="false">$F312*$H312</f>
        <v>501.076731306384</v>
      </c>
      <c r="K312" s="47" t="n">
        <f aca="false">$I312*(1+BDI_MAT)</f>
        <v>39323.9064486616</v>
      </c>
      <c r="L312" s="47" t="n">
        <f aca="false">$J312*(1+BDI_MDO)</f>
        <v>638.822724742509</v>
      </c>
      <c r="M312" s="47" t="n">
        <f aca="false">SUM(K312:L312)</f>
        <v>39962.7291734041</v>
      </c>
      <c r="N312" s="20" t="str">
        <f aca="false">A312</f>
        <v>5.3.2.2.1</v>
      </c>
    </row>
    <row r="313" customFormat="false" ht="15" hidden="false" customHeight="false" outlineLevel="2" collapsed="false">
      <c r="A313" s="42" t="s">
        <v>459</v>
      </c>
      <c r="B313" s="43"/>
      <c r="C313" s="50" t="s">
        <v>316</v>
      </c>
      <c r="D313" s="45"/>
      <c r="E313" s="44"/>
      <c r="F313" s="46"/>
      <c r="G313" s="51"/>
      <c r="H313" s="52"/>
      <c r="I313" s="47" t="n">
        <f aca="false">SUM(I314)</f>
        <v>3540.9848337</v>
      </c>
      <c r="J313" s="47" t="n">
        <f aca="false">SUM(J314)</f>
        <v>54.424064449008</v>
      </c>
      <c r="K313" s="47" t="n">
        <f aca="false">SUM(K314)</f>
        <v>4271.13590640894</v>
      </c>
      <c r="L313" s="47" t="n">
        <f aca="false">SUM(L314)</f>
        <v>69.3852397660403</v>
      </c>
      <c r="M313" s="47" t="n">
        <f aca="false">SUM(M314)</f>
        <v>4340.52114617498</v>
      </c>
      <c r="N313" s="20" t="str">
        <f aca="false">A313</f>
        <v>5.3.3</v>
      </c>
    </row>
    <row r="314" customFormat="false" ht="15" hidden="false" customHeight="false" outlineLevel="2" collapsed="false">
      <c r="A314" s="42" t="s">
        <v>460</v>
      </c>
      <c r="B314" s="43"/>
      <c r="C314" s="50" t="s">
        <v>413</v>
      </c>
      <c r="D314" s="45"/>
      <c r="E314" s="44"/>
      <c r="F314" s="46"/>
      <c r="G314" s="51"/>
      <c r="H314" s="52"/>
      <c r="I314" s="47" t="n">
        <f aca="false">SUBTOTAL(9,I315)</f>
        <v>3540.9848337</v>
      </c>
      <c r="J314" s="47" t="n">
        <f aca="false">SUBTOTAL(9,J315)</f>
        <v>54.424064449008</v>
      </c>
      <c r="K314" s="47" t="n">
        <f aca="false">SUBTOTAL(9,K315)</f>
        <v>4271.13590640894</v>
      </c>
      <c r="L314" s="47" t="n">
        <f aca="false">SUBTOTAL(9,L315)</f>
        <v>69.3852397660403</v>
      </c>
      <c r="M314" s="47" t="n">
        <f aca="false">SUBTOTAL(9,M315)</f>
        <v>4340.52114617498</v>
      </c>
      <c r="N314" s="20" t="str">
        <f aca="false">A314</f>
        <v>5.3.3.1</v>
      </c>
    </row>
    <row r="315" customFormat="false" ht="45" hidden="false" customHeight="false" outlineLevel="2" collapsed="false">
      <c r="A315" s="42" t="s">
        <v>461</v>
      </c>
      <c r="B315" s="43" t="n">
        <v>91341</v>
      </c>
      <c r="C315" s="50" t="str">
        <f aca="false">VLOOKUP($B315,03_COMPOSIÇÕES!$A:$G,2,0)</f>
        <v>PORTA EM ALUMÍNIO DE ABRIR TIPO VENEZIANA COM GUARNIÇÃO, FIXAÇÃO COM PARAFUSOS - FORNECIMENTO E INSTALAÇÃO. AF_12/2019</v>
      </c>
      <c r="D315" s="45" t="s">
        <v>59</v>
      </c>
      <c r="E315" s="51" t="str">
        <f aca="false">VLOOKUP($B315,03_COMPOSIÇÕES!$A:$G,4,0)</f>
        <v>M2</v>
      </c>
      <c r="F315" s="46" t="n">
        <v>5.22</v>
      </c>
      <c r="G315" s="51" t="n">
        <f aca="false">VLOOKUP($B315,03_COMPOSIÇÕES!$A:$G,6,0)</f>
        <v>678.349585</v>
      </c>
      <c r="H315" s="52" t="n">
        <f aca="false">VLOOKUP($B315,03_COMPOSIÇÕES!$A:$G,7,0)</f>
        <v>10.4260659864</v>
      </c>
      <c r="I315" s="47" t="n">
        <f aca="false">$F315*$G315</f>
        <v>3540.9848337</v>
      </c>
      <c r="J315" s="47" t="n">
        <f aca="false">$F315*$H315</f>
        <v>54.424064449008</v>
      </c>
      <c r="K315" s="47" t="n">
        <f aca="false">$I315*(1+BDI_MAT)</f>
        <v>4271.13590640894</v>
      </c>
      <c r="L315" s="47" t="n">
        <f aca="false">$J315*(1+BDI_MDO)</f>
        <v>69.3852397660403</v>
      </c>
      <c r="M315" s="47" t="n">
        <f aca="false">SUM(K315:L315)</f>
        <v>4340.52114617498</v>
      </c>
      <c r="N315" s="20" t="str">
        <f aca="false">A315</f>
        <v>5.3.3.1.1</v>
      </c>
    </row>
    <row r="316" customFormat="false" ht="15" hidden="false" customHeight="false" outlineLevel="1" collapsed="false">
      <c r="A316" s="42" t="s">
        <v>462</v>
      </c>
      <c r="B316" s="43"/>
      <c r="C316" s="50" t="s">
        <v>463</v>
      </c>
      <c r="D316" s="45"/>
      <c r="E316" s="44"/>
      <c r="F316" s="46"/>
      <c r="G316" s="51"/>
      <c r="H316" s="52"/>
      <c r="I316" s="47" t="n">
        <f aca="false">SUBTOTAL(9,I317:I319)</f>
        <v>29508.7761708333</v>
      </c>
      <c r="J316" s="47" t="n">
        <f aca="false">SUBTOTAL(9,J317:J319)</f>
        <v>820.4232486555</v>
      </c>
      <c r="K316" s="47" t="n">
        <f aca="false">SUBTOTAL(9,K317:K319)</f>
        <v>35593.4858172592</v>
      </c>
      <c r="L316" s="47" t="n">
        <f aca="false">SUBTOTAL(9,L317:L319)</f>
        <v>1045.9575997109</v>
      </c>
      <c r="M316" s="47" t="n">
        <f aca="false">SUBTOTAL(9,M317:M319)</f>
        <v>36639.4434169701</v>
      </c>
      <c r="N316" s="20" t="str">
        <f aca="false">A316</f>
        <v>5.4</v>
      </c>
    </row>
    <row r="317" customFormat="false" ht="45" hidden="false" customHeight="false" outlineLevel="2" collapsed="false">
      <c r="A317" s="42" t="s">
        <v>464</v>
      </c>
      <c r="B317" s="43" t="s">
        <v>465</v>
      </c>
      <c r="C317" s="50" t="str">
        <f aca="false">VLOOKUP($B317,03_COMPOSIÇÕES!$A:$G,2,0)</f>
        <v>PORTÃO DE CORRER, MEDINDO 5,75X2,03 M, COMPOSTO POR PERFIS DE ALUMINIO ANODIZADO E PAINEL DE VIDRO TEMPERADO 10MM, COM TRILHO E ROLDANAS.</v>
      </c>
      <c r="D317" s="45" t="s">
        <v>59</v>
      </c>
      <c r="E317" s="51" t="str">
        <f aca="false">VLOOKUP($B317,03_COMPOSIÇÕES!$A:$G,4,0)</f>
        <v>UN</v>
      </c>
      <c r="F317" s="46" t="n">
        <v>1</v>
      </c>
      <c r="G317" s="51" t="n">
        <f aca="false">VLOOKUP($B317,03_COMPOSIÇÕES!$A:$G,6,0)</f>
        <v>9601.5587375</v>
      </c>
      <c r="H317" s="52" t="n">
        <f aca="false">VLOOKUP($B317,03_COMPOSIÇÕES!$A:$G,7,0)</f>
        <v>289.9737968895</v>
      </c>
      <c r="I317" s="47" t="n">
        <f aca="false">$F317*$G317</f>
        <v>9601.5587375</v>
      </c>
      <c r="J317" s="47" t="n">
        <f aca="false">$F317*$H317</f>
        <v>289.9737968895</v>
      </c>
      <c r="K317" s="47" t="n">
        <f aca="false">$I317*(1+BDI_MAT)</f>
        <v>11581.4001491725</v>
      </c>
      <c r="L317" s="47" t="n">
        <f aca="false">$J317*(1+BDI_MDO)</f>
        <v>369.687593654423</v>
      </c>
      <c r="M317" s="47" t="n">
        <f aca="false">SUM(K317:L317)</f>
        <v>11951.0877428269</v>
      </c>
      <c r="N317" s="20" t="str">
        <f aca="false">A317</f>
        <v>5.4.1</v>
      </c>
    </row>
    <row r="318" customFormat="false" ht="45" hidden="false" customHeight="false" outlineLevel="2" collapsed="false">
      <c r="A318" s="42" t="s">
        <v>466</v>
      </c>
      <c r="B318" s="43" t="s">
        <v>467</v>
      </c>
      <c r="C318" s="50" t="str">
        <f aca="false">VLOOKUP($B318,03_COMPOSIÇÕES!$A:$G,2,0)</f>
        <v>PORTAO DE CORRER, MEDINDO 5,50 X 3,00 M, COMPOSTO POR PERFIS DE ALUMINIO ANODIZADO E CHAPA DE ALUMINIO ANODIZADO, COM TRILHO E ROLDANAS.</v>
      </c>
      <c r="D318" s="45" t="s">
        <v>59</v>
      </c>
      <c r="E318" s="51" t="str">
        <f aca="false">VLOOKUP($B318,03_COMPOSIÇÕES!$A:$G,4,0)</f>
        <v>UN</v>
      </c>
      <c r="F318" s="46" t="n">
        <v>1</v>
      </c>
      <c r="G318" s="51" t="n">
        <f aca="false">VLOOKUP($B318,03_COMPOSIÇÕES!$A:$G,6,0)</f>
        <v>10633.9731666667</v>
      </c>
      <c r="H318" s="52" t="n">
        <f aca="false">VLOOKUP($B318,03_COMPOSIÇÕES!$A:$G,7,0)</f>
        <v>313.14547242</v>
      </c>
      <c r="I318" s="47" t="n">
        <f aca="false">$F318*$G318</f>
        <v>10633.9731666667</v>
      </c>
      <c r="J318" s="47" t="n">
        <f aca="false">$F318*$H318</f>
        <v>313.14547242</v>
      </c>
      <c r="K318" s="47" t="n">
        <f aca="false">$I318*(1+BDI_MAT)</f>
        <v>12826.6984336333</v>
      </c>
      <c r="L318" s="47" t="n">
        <f aca="false">$J318*(1+BDI_MDO)</f>
        <v>399.229162788258</v>
      </c>
      <c r="M318" s="47" t="n">
        <f aca="false">SUM(K318:L318)</f>
        <v>13225.9275964216</v>
      </c>
      <c r="N318" s="20" t="str">
        <f aca="false">A318</f>
        <v>5.4.2</v>
      </c>
    </row>
    <row r="319" customFormat="false" ht="45" hidden="false" customHeight="false" outlineLevel="2" collapsed="false">
      <c r="A319" s="42" t="s">
        <v>468</v>
      </c>
      <c r="B319" s="43" t="s">
        <v>469</v>
      </c>
      <c r="C319" s="50" t="str">
        <f aca="false">VLOOKUP($B319,03_COMPOSIÇÕES!$A:$G,2,0)</f>
        <v>PORTÃO DE CORRER, MEDINDO 5,00X2,29 M, COMPOSTO POR PERFIS DE ALUMINIO ANODIZADO E PAINEL DE VIDRO TEMPERADO 10MM, COM TRILHO E ROLDANAS.</v>
      </c>
      <c r="D319" s="45" t="s">
        <v>59</v>
      </c>
      <c r="E319" s="51" t="str">
        <f aca="false">VLOOKUP($B319,03_COMPOSIÇÕES!$A:$G,4,0)</f>
        <v>UN</v>
      </c>
      <c r="F319" s="46" t="n">
        <v>1</v>
      </c>
      <c r="G319" s="51" t="n">
        <f aca="false">VLOOKUP($B319,03_COMPOSIÇÕES!$A:$G,6,0)</f>
        <v>9273.24426666667</v>
      </c>
      <c r="H319" s="52" t="n">
        <f aca="false">VLOOKUP($B319,03_COMPOSIÇÕES!$A:$G,7,0)</f>
        <v>217.303979346</v>
      </c>
      <c r="I319" s="47" t="n">
        <f aca="false">$F319*$G319</f>
        <v>9273.24426666667</v>
      </c>
      <c r="J319" s="47" t="n">
        <f aca="false">$F319*$H319</f>
        <v>217.303979346</v>
      </c>
      <c r="K319" s="47" t="n">
        <f aca="false">$I319*(1+BDI_MAT)</f>
        <v>11185.3872344533</v>
      </c>
      <c r="L319" s="47" t="n">
        <f aca="false">$J319*(1+BDI_MDO)</f>
        <v>277.040843268215</v>
      </c>
      <c r="M319" s="47" t="n">
        <f aca="false">SUM(K319:L319)</f>
        <v>11462.4280777215</v>
      </c>
      <c r="N319" s="20" t="str">
        <f aca="false">A319</f>
        <v>5.4.3</v>
      </c>
    </row>
    <row r="320" customFormat="false" ht="15" hidden="false" customHeight="false" outlineLevel="1" collapsed="false">
      <c r="A320" s="42" t="s">
        <v>470</v>
      </c>
      <c r="B320" s="43"/>
      <c r="C320" s="50" t="s">
        <v>471</v>
      </c>
      <c r="D320" s="45"/>
      <c r="E320" s="44"/>
      <c r="F320" s="46"/>
      <c r="G320" s="51"/>
      <c r="H320" s="52"/>
      <c r="I320" s="47" t="n">
        <f aca="false">SUM(I321)</f>
        <v>6736.0804182</v>
      </c>
      <c r="J320" s="47" t="n">
        <f aca="false">SUM(J321)</f>
        <v>5762.19675828283</v>
      </c>
      <c r="K320" s="47" t="n">
        <f aca="false">SUM(K321)</f>
        <v>8125.06020043284</v>
      </c>
      <c r="L320" s="47" t="n">
        <f aca="false">SUM(L321)</f>
        <v>7346.22464713478</v>
      </c>
      <c r="M320" s="47" t="n">
        <f aca="false">SUM(M321)</f>
        <v>15471.2848475676</v>
      </c>
      <c r="N320" s="20" t="str">
        <f aca="false">A320</f>
        <v>5.5</v>
      </c>
    </row>
    <row r="321" customFormat="false" ht="15" hidden="false" customHeight="false" outlineLevel="2" collapsed="false">
      <c r="A321" s="42" t="s">
        <v>472</v>
      </c>
      <c r="B321" s="43"/>
      <c r="C321" s="50" t="s">
        <v>435</v>
      </c>
      <c r="D321" s="45"/>
      <c r="E321" s="44"/>
      <c r="F321" s="46"/>
      <c r="G321" s="51"/>
      <c r="H321" s="52"/>
      <c r="I321" s="47" t="n">
        <f aca="false">SUBTOTAL(9,I322:I323)</f>
        <v>6736.0804182</v>
      </c>
      <c r="J321" s="47" t="n">
        <f aca="false">SUBTOTAL(9,J322:J323)</f>
        <v>5762.19675828283</v>
      </c>
      <c r="K321" s="47" t="n">
        <f aca="false">SUBTOTAL(9,K322:K323)</f>
        <v>8125.06020043284</v>
      </c>
      <c r="L321" s="47" t="n">
        <f aca="false">SUBTOTAL(9,L322:L323)</f>
        <v>7346.22464713478</v>
      </c>
      <c r="M321" s="47" t="n">
        <f aca="false">SUBTOTAL(9,M322:M323)</f>
        <v>15471.2848475676</v>
      </c>
      <c r="N321" s="20" t="str">
        <f aca="false">A321</f>
        <v>5.5.1</v>
      </c>
    </row>
    <row r="322" customFormat="false" ht="30" hidden="false" customHeight="false" outlineLevel="2" collapsed="false">
      <c r="A322" s="42" t="s">
        <v>473</v>
      </c>
      <c r="B322" s="43" t="n">
        <v>102193</v>
      </c>
      <c r="C322" s="50" t="str">
        <f aca="false">VLOOKUP($B322,03_COMPOSIÇÕES!$A:$G,2,0)</f>
        <v>LIXAMENTO DE MADEIRA PARA APLICAÇÃO DE FUNDO OU PINTURA. AF_01/2021</v>
      </c>
      <c r="D322" s="45" t="s">
        <v>59</v>
      </c>
      <c r="E322" s="51" t="str">
        <f aca="false">VLOOKUP($B322,03_COMPOSIÇÕES!$A:$G,4,0)</f>
        <v>M2</v>
      </c>
      <c r="F322" s="46" t="n">
        <v>449.4</v>
      </c>
      <c r="G322" s="51" t="n">
        <f aca="false">VLOOKUP($B322,03_COMPOSIÇÕES!$A:$G,6,0)</f>
        <v>0.504212</v>
      </c>
      <c r="H322" s="52" t="n">
        <f aca="false">VLOOKUP($B322,03_COMPOSIÇÕES!$A:$G,7,0)</f>
        <v>1.11004799352</v>
      </c>
      <c r="I322" s="47" t="n">
        <f aca="false">$F322*$G322</f>
        <v>226.5928728</v>
      </c>
      <c r="J322" s="47" t="n">
        <f aca="false">$F322*$H322</f>
        <v>498.855568287888</v>
      </c>
      <c r="K322" s="47" t="n">
        <f aca="false">$I322*(1+BDI_MAT)</f>
        <v>273.31632317136</v>
      </c>
      <c r="L322" s="47" t="n">
        <f aca="false">$J322*(1+BDI_MDO)</f>
        <v>635.990964010228</v>
      </c>
      <c r="M322" s="47" t="n">
        <f aca="false">SUM(K322:L322)</f>
        <v>909.307287181588</v>
      </c>
      <c r="N322" s="20" t="str">
        <f aca="false">A322</f>
        <v>5.5.1.1</v>
      </c>
    </row>
    <row r="323" customFormat="false" ht="30" hidden="false" customHeight="false" outlineLevel="2" collapsed="false">
      <c r="A323" s="42" t="s">
        <v>474</v>
      </c>
      <c r="B323" s="43" t="n">
        <v>102229</v>
      </c>
      <c r="C323" s="50" t="str">
        <f aca="false">VLOOKUP($B323,03_COMPOSIÇÕES!$A:$G,2,0)</f>
        <v>PINTURA TINTA DE ACABAMENTO (PIGMENTADA) ESMALTE SINTÉTICO ACETINADO EM MADEIRA, 3 DEMÃOS. AF_01/2021</v>
      </c>
      <c r="D323" s="45" t="s">
        <v>59</v>
      </c>
      <c r="E323" s="51" t="str">
        <f aca="false">VLOOKUP($B323,03_COMPOSIÇÕES!$A:$G,4,0)</f>
        <v>M2</v>
      </c>
      <c r="F323" s="46" t="n">
        <v>449.4</v>
      </c>
      <c r="G323" s="51" t="n">
        <f aca="false">VLOOKUP($B323,03_COMPOSIÇÕES!$A:$G,6,0)</f>
        <v>14.484841</v>
      </c>
      <c r="H323" s="52" t="n">
        <f aca="false">VLOOKUP($B323,03_COMPOSIÇÕES!$A:$G,7,0)</f>
        <v>11.71192966176</v>
      </c>
      <c r="I323" s="47" t="n">
        <f aca="false">$F323*$G323</f>
        <v>6509.4875454</v>
      </c>
      <c r="J323" s="47" t="n">
        <f aca="false">$F323*$H323</f>
        <v>5263.34118999494</v>
      </c>
      <c r="K323" s="47" t="n">
        <f aca="false">$I323*(1+BDI_MAT)</f>
        <v>7851.74387726148</v>
      </c>
      <c r="L323" s="47" t="n">
        <f aca="false">$J323*(1+BDI_MDO)</f>
        <v>6710.23368312455</v>
      </c>
      <c r="M323" s="47" t="n">
        <f aca="false">SUM(K323:L323)</f>
        <v>14561.977560386</v>
      </c>
      <c r="N323" s="20" t="str">
        <f aca="false">A323</f>
        <v>5.5.1.2</v>
      </c>
    </row>
    <row r="324" customFormat="false" ht="15" hidden="false" customHeight="false" outlineLevel="1" collapsed="false">
      <c r="A324" s="42" t="s">
        <v>475</v>
      </c>
      <c r="B324" s="43"/>
      <c r="C324" s="50" t="s">
        <v>476</v>
      </c>
      <c r="D324" s="45"/>
      <c r="E324" s="44"/>
      <c r="F324" s="46"/>
      <c r="G324" s="51"/>
      <c r="H324" s="52"/>
      <c r="I324" s="47" t="n">
        <f aca="false">SUBTOTAL(9,I325:I326)</f>
        <v>5943.91684</v>
      </c>
      <c r="J324" s="47" t="n">
        <f aca="false">SUBTOTAL(9,J325:J326)</f>
        <v>375.5999206176</v>
      </c>
      <c r="K324" s="47" t="n">
        <f aca="false">SUBTOTAL(9,K325:K326)</f>
        <v>7169.552492408</v>
      </c>
      <c r="L324" s="47" t="n">
        <f aca="false">SUBTOTAL(9,L325:L326)</f>
        <v>478.852338795378</v>
      </c>
      <c r="M324" s="47" t="n">
        <f aca="false">SUBTOTAL(9,M325:M326)</f>
        <v>7648.40483120338</v>
      </c>
      <c r="N324" s="20" t="str">
        <f aca="false">A324</f>
        <v>5.6</v>
      </c>
    </row>
    <row r="325" customFormat="false" ht="30" hidden="false" customHeight="false" outlineLevel="2" collapsed="false">
      <c r="A325" s="42" t="s">
        <v>477</v>
      </c>
      <c r="B325" s="43" t="n">
        <v>100874</v>
      </c>
      <c r="C325" s="50" t="str">
        <f aca="false">VLOOKUP($B325,03_COMPOSIÇÕES!$A:$G,2,0)</f>
        <v>PUXADOR PARA PCD, FIXADO NA PORTA - FORNECIMENTO E INSTALAÇÃO. AF_01/2020</v>
      </c>
      <c r="D325" s="45" t="s">
        <v>59</v>
      </c>
      <c r="E325" s="51" t="str">
        <f aca="false">VLOOKUP($B325,03_COMPOSIÇÕES!$A:$G,4,0)</f>
        <v>UN</v>
      </c>
      <c r="F325" s="46" t="n">
        <v>8</v>
      </c>
      <c r="G325" s="51" t="n">
        <f aca="false">VLOOKUP($B325,03_COMPOSIÇÕES!$A:$G,6,0)</f>
        <v>309.708474</v>
      </c>
      <c r="H325" s="52" t="n">
        <f aca="false">VLOOKUP($B325,03_COMPOSIÇÕES!$A:$G,7,0)</f>
        <v>23.4749950386</v>
      </c>
      <c r="I325" s="47" t="n">
        <f aca="false">$F325*$G325</f>
        <v>2477.667792</v>
      </c>
      <c r="J325" s="47" t="n">
        <f aca="false">$F325*$H325</f>
        <v>187.7999603088</v>
      </c>
      <c r="K325" s="47" t="n">
        <f aca="false">$I325*(1+BDI_MAT)</f>
        <v>2988.5628907104</v>
      </c>
      <c r="L325" s="47" t="n">
        <f aca="false">$J325*(1+BDI_MDO)</f>
        <v>239.426169397689</v>
      </c>
      <c r="M325" s="47" t="n">
        <f aca="false">SUM(K325:L325)</f>
        <v>3227.98906010809</v>
      </c>
      <c r="N325" s="20" t="str">
        <f aca="false">A325</f>
        <v>5.6.1</v>
      </c>
    </row>
    <row r="326" customFormat="false" ht="30" hidden="false" customHeight="false" outlineLevel="2" collapsed="false">
      <c r="A326" s="42" t="s">
        <v>478</v>
      </c>
      <c r="B326" s="43" t="s">
        <v>479</v>
      </c>
      <c r="C326" s="50" t="str">
        <f aca="false">VLOOKUP($B326,03_COMPOSIÇÕES!$A:$G,2,0)</f>
        <v>CHAPA DE PROTEÇÃO PARA BATEDOR DE PORTA PARA PCD - FORNECIMENTO E INSTALAÇÃO.</v>
      </c>
      <c r="D326" s="45" t="s">
        <v>59</v>
      </c>
      <c r="E326" s="51" t="str">
        <f aca="false">VLOOKUP($B326,03_COMPOSIÇÕES!$A:$G,4,0)</f>
        <v>UN</v>
      </c>
      <c r="F326" s="46" t="n">
        <v>8</v>
      </c>
      <c r="G326" s="51" t="n">
        <f aca="false">VLOOKUP($B326,03_COMPOSIÇÕES!$A:$G,6,0)</f>
        <v>433.281131</v>
      </c>
      <c r="H326" s="52" t="n">
        <f aca="false">VLOOKUP($B326,03_COMPOSIÇÕES!$A:$G,7,0)</f>
        <v>23.4749950386</v>
      </c>
      <c r="I326" s="47" t="n">
        <f aca="false">$F326*$G326</f>
        <v>3466.249048</v>
      </c>
      <c r="J326" s="47" t="n">
        <f aca="false">$F326*$H326</f>
        <v>187.7999603088</v>
      </c>
      <c r="K326" s="47" t="n">
        <f aca="false">$I326*(1+BDI_MAT)</f>
        <v>4180.9896016976</v>
      </c>
      <c r="L326" s="47" t="n">
        <f aca="false">$J326*(1+BDI_MDO)</f>
        <v>239.426169397689</v>
      </c>
      <c r="M326" s="47" t="n">
        <f aca="false">SUM(K326:L326)</f>
        <v>4420.41577109529</v>
      </c>
      <c r="N326" s="20" t="str">
        <f aca="false">A326</f>
        <v>5.6.2</v>
      </c>
    </row>
    <row r="327" customFormat="false" ht="15" hidden="false" customHeight="false" outlineLevel="1" collapsed="false">
      <c r="A327" s="42" t="s">
        <v>480</v>
      </c>
      <c r="B327" s="43"/>
      <c r="C327" s="50" t="s">
        <v>481</v>
      </c>
      <c r="D327" s="45"/>
      <c r="E327" s="44"/>
      <c r="F327" s="46"/>
      <c r="G327" s="51"/>
      <c r="H327" s="52"/>
      <c r="I327" s="47" t="n">
        <f aca="false">SUM(I328)</f>
        <v>36895.7147450713</v>
      </c>
      <c r="J327" s="47" t="n">
        <f aca="false">SUM(J328)</f>
        <v>11780.2977441244</v>
      </c>
      <c r="K327" s="47" t="n">
        <f aca="false">SUM(K328)</f>
        <v>44503.611125505</v>
      </c>
      <c r="L327" s="47" t="n">
        <f aca="false">SUM(L328)</f>
        <v>15018.7015939842</v>
      </c>
      <c r="M327" s="47" t="n">
        <f aca="false">SUM(M328)</f>
        <v>59522.3127194892</v>
      </c>
      <c r="N327" s="20" t="str">
        <f aca="false">A327</f>
        <v>5.7</v>
      </c>
    </row>
    <row r="328" customFormat="false" ht="45" hidden="false" customHeight="false" outlineLevel="1" collapsed="false">
      <c r="A328" s="42" t="s">
        <v>482</v>
      </c>
      <c r="B328" s="43" t="n">
        <v>101161</v>
      </c>
      <c r="C328" s="50" t="str">
        <f aca="false">VLOOKUP($B328,03_COMPOSIÇÕES!$A:$G,2,0)</f>
        <v>ALVENARIA DE VEDAÇÃO COM ELEMENTO VAZADO DE CONCRETO (COBOGÓ) DE 7X50X50CM E ARGAMASSA DE ASSENTAMENTO COM PREPARO EM BETONEIRA. AF_05/2020</v>
      </c>
      <c r="D328" s="45" t="s">
        <v>59</v>
      </c>
      <c r="E328" s="51" t="str">
        <f aca="false">VLOOKUP($B328,03_COMPOSIÇÕES!$A:$G,4,0)</f>
        <v>M2</v>
      </c>
      <c r="F328" s="46" t="n">
        <v>208.8</v>
      </c>
      <c r="G328" s="51" t="n">
        <f aca="false">VLOOKUP($B328,03_COMPOSIÇÕES!$A:$G,6,0)</f>
        <v>176.70361467946</v>
      </c>
      <c r="H328" s="52" t="n">
        <f aca="false">VLOOKUP($B328,03_COMPOSIÇÕES!$A:$G,7,0)</f>
        <v>56.41905049868</v>
      </c>
      <c r="I328" s="47" t="n">
        <f aca="false">$F328*$G328</f>
        <v>36895.7147450713</v>
      </c>
      <c r="J328" s="47" t="n">
        <f aca="false">$F328*$H328</f>
        <v>11780.2977441244</v>
      </c>
      <c r="K328" s="47" t="n">
        <f aca="false">$I328*(1+BDI_MAT)</f>
        <v>44503.611125505</v>
      </c>
      <c r="L328" s="47" t="n">
        <f aca="false">$J328*(1+BDI_MDO)</f>
        <v>15018.7015939842</v>
      </c>
      <c r="M328" s="47" t="n">
        <f aca="false">SUM(K328:L328)</f>
        <v>59522.3127194892</v>
      </c>
      <c r="N328" s="20" t="str">
        <f aca="false">A328</f>
        <v>5.7.1</v>
      </c>
    </row>
    <row r="329" customFormat="false" ht="15" hidden="false" customHeight="false" outlineLevel="0" collapsed="false">
      <c r="A329" s="42" t="n">
        <v>6</v>
      </c>
      <c r="B329" s="43"/>
      <c r="C329" s="50" t="s">
        <v>483</v>
      </c>
      <c r="D329" s="45"/>
      <c r="E329" s="44"/>
      <c r="F329" s="46"/>
      <c r="G329" s="51"/>
      <c r="H329" s="52"/>
      <c r="I329" s="47" t="n">
        <f aca="false">SUM(I330,I333,I336)</f>
        <v>301248.434074122</v>
      </c>
      <c r="J329" s="47" t="n">
        <f aca="false">SUM(J330,J333,J336)</f>
        <v>11271.0654329413</v>
      </c>
      <c r="K329" s="47" t="n">
        <f aca="false">SUM(K330,K333,K336)</f>
        <v>363365.861180206</v>
      </c>
      <c r="L329" s="47" t="n">
        <f aca="false">SUM(L330,L333,L336)</f>
        <v>14369.4813204568</v>
      </c>
      <c r="M329" s="47" t="n">
        <f aca="false">SUM(M330,M333,M336)</f>
        <v>377735.342500662</v>
      </c>
      <c r="N329" s="20" t="n">
        <f aca="false">A329</f>
        <v>6</v>
      </c>
    </row>
    <row r="330" customFormat="false" ht="15" hidden="false" customHeight="false" outlineLevel="1" collapsed="false">
      <c r="A330" s="42" t="s">
        <v>484</v>
      </c>
      <c r="B330" s="43"/>
      <c r="C330" s="50" t="s">
        <v>103</v>
      </c>
      <c r="D330" s="45"/>
      <c r="E330" s="44"/>
      <c r="F330" s="46"/>
      <c r="G330" s="51"/>
      <c r="H330" s="52"/>
      <c r="I330" s="47" t="n">
        <f aca="false">SUBTOTAL(9,I331:I332)</f>
        <v>130655.248386307</v>
      </c>
      <c r="J330" s="47" t="n">
        <f aca="false">SUBTOTAL(9,J331:J332)</f>
        <v>5098.29508536612</v>
      </c>
      <c r="K330" s="47" t="n">
        <f aca="false">SUBTOTAL(9,K331:K332)</f>
        <v>157596.360603563</v>
      </c>
      <c r="L330" s="47" t="n">
        <f aca="false">SUBTOTAL(9,L331:L332)</f>
        <v>6499.81640433327</v>
      </c>
      <c r="M330" s="47" t="n">
        <f aca="false">SUBTOTAL(9,M331:M332)</f>
        <v>164096.177007897</v>
      </c>
      <c r="N330" s="47" t="n">
        <f aca="false">SUBTOTAL(9,N331:N332)</f>
        <v>0</v>
      </c>
    </row>
    <row r="331" customFormat="false" ht="75" hidden="false" customHeight="false" outlineLevel="2" collapsed="false">
      <c r="A331" s="42" t="s">
        <v>485</v>
      </c>
      <c r="B331" s="43" t="s">
        <v>486</v>
      </c>
      <c r="C331" s="50" t="str">
        <f aca="false">VLOOKUP($B331,03_COMPOSIÇÕES!$A:$G,2,0)</f>
        <v>FABRICAÇÃO E INSTALAÇÃO DE ESTRUTURA METÁLICA COMPOSTA DE PONTALETES E TERÇAS PARA TELHADOS COM ATÉ 2 ÁGUAS E COM TELHA ONDULADA DE FIBROCIMENTO, ALUMÍNIO OU PLÁSTICA EM EDIFÍCIO RESIDENCIAL DE MÚLTIPLOS PAVIMENTOS, INCLUSO TRANSPORTE VERTICAL.</v>
      </c>
      <c r="D331" s="45" t="s">
        <v>59</v>
      </c>
      <c r="E331" s="51" t="str">
        <f aca="false">VLOOKUP($B331,03_COMPOSIÇÕES!$A:$G,4,0)</f>
        <v>M2</v>
      </c>
      <c r="F331" s="46" t="n">
        <v>1024.89</v>
      </c>
      <c r="G331" s="51" t="n">
        <f aca="false">VLOOKUP($B331,03_COMPOSIÇÕES!$A:$G,6,0)</f>
        <v>123.015614562052</v>
      </c>
      <c r="H331" s="52" t="n">
        <f aca="false">VLOOKUP($B331,03_COMPOSIÇÕES!$A:$G,7,0)</f>
        <v>4.46407496685</v>
      </c>
      <c r="I331" s="47" t="n">
        <f aca="false">$F331*$G331</f>
        <v>126077.473208502</v>
      </c>
      <c r="J331" s="47" t="n">
        <f aca="false">$F331*$H331</f>
        <v>4575.1857927749</v>
      </c>
      <c r="K331" s="47" t="n">
        <f aca="false">$I331*(1+BDI_MAT)</f>
        <v>152074.648184095</v>
      </c>
      <c r="L331" s="47" t="n">
        <f aca="false">$J331*(1+BDI_MDO)</f>
        <v>5832.90436720871</v>
      </c>
      <c r="M331" s="47" t="n">
        <f aca="false">SUM(K331:L331)</f>
        <v>157907.552551303</v>
      </c>
      <c r="N331" s="20" t="str">
        <f aca="false">A331</f>
        <v>6.1.1</v>
      </c>
    </row>
    <row r="332" customFormat="false" ht="60" hidden="false" customHeight="false" outlineLevel="2" collapsed="false">
      <c r="A332" s="42" t="s">
        <v>487</v>
      </c>
      <c r="B332" s="43" t="n">
        <v>92580</v>
      </c>
      <c r="C332" s="50" t="str">
        <f aca="false">VLOOKUP($B332,03_COMPOSIÇÕES!$A:$G,2,0)</f>
        <v>TRAMA DE AÇO COMPOSTA POR TERÇAS PARA TELHADOS DE ATÉ 2 ÁGUAS PARA TELHA ONDULADA DE FIBROCIMENTO, METÁLICA, PLÁSTICA OU TERMOACÚSTICA, INCLUSO TRANSPORTE VERTICAL. AF_07/2019</v>
      </c>
      <c r="D332" s="45" t="s">
        <v>59</v>
      </c>
      <c r="E332" s="51" t="str">
        <f aca="false">VLOOKUP($B332,03_COMPOSIÇÕES!$A:$G,4,0)</f>
        <v>M2</v>
      </c>
      <c r="F332" s="46" t="n">
        <v>111.25</v>
      </c>
      <c r="G332" s="51" t="n">
        <f aca="false">VLOOKUP($B332,03_COMPOSIÇÕES!$A:$G,6,0)</f>
        <v>41.1485409240944</v>
      </c>
      <c r="H332" s="52" t="n">
        <f aca="false">VLOOKUP($B332,03_COMPOSIÇÕES!$A:$G,7,0)</f>
        <v>4.70210600082</v>
      </c>
      <c r="I332" s="47" t="n">
        <f aca="false">$F332*$G332</f>
        <v>4577.7751778055</v>
      </c>
      <c r="J332" s="47" t="n">
        <f aca="false">$F332*$H332</f>
        <v>523.109292591225</v>
      </c>
      <c r="K332" s="47" t="n">
        <f aca="false">$I332*(1+BDI_MAT)</f>
        <v>5521.712419469</v>
      </c>
      <c r="L332" s="47" t="n">
        <f aca="false">$J332*(1+BDI_MDO)</f>
        <v>666.912037124553</v>
      </c>
      <c r="M332" s="47" t="n">
        <f aca="false">SUM(K332:L332)</f>
        <v>6188.62445659355</v>
      </c>
      <c r="N332" s="20" t="str">
        <f aca="false">A332</f>
        <v>6.1.2</v>
      </c>
    </row>
    <row r="333" customFormat="false" ht="15" hidden="false" customHeight="false" outlineLevel="1" collapsed="false">
      <c r="A333" s="42" t="s">
        <v>488</v>
      </c>
      <c r="B333" s="43"/>
      <c r="C333" s="50" t="s">
        <v>489</v>
      </c>
      <c r="D333" s="45"/>
      <c r="E333" s="44"/>
      <c r="F333" s="46"/>
      <c r="G333" s="51"/>
      <c r="H333" s="52"/>
      <c r="I333" s="47" t="n">
        <f aca="false">SUBTOTAL(9,I334:I335)</f>
        <v>145935.983773879</v>
      </c>
      <c r="J333" s="47" t="n">
        <f aca="false">SUBTOTAL(9,J334:J335)</f>
        <v>2373.99224414158</v>
      </c>
      <c r="K333" s="47" t="n">
        <f aca="false">SUBTOTAL(9,K334:K335)</f>
        <v>176027.983628053</v>
      </c>
      <c r="L333" s="47" t="n">
        <f aca="false">SUBTOTAL(9,L334:L335)</f>
        <v>3026.6027120561</v>
      </c>
      <c r="M333" s="47" t="n">
        <f aca="false">SUBTOTAL(9,M334:M335)</f>
        <v>179054.586340109</v>
      </c>
      <c r="N333" s="20" t="str">
        <f aca="false">A333</f>
        <v>6.2</v>
      </c>
    </row>
    <row r="334" customFormat="false" ht="30" hidden="false" customHeight="false" outlineLevel="2" collapsed="false">
      <c r="A334" s="42" t="s">
        <v>490</v>
      </c>
      <c r="B334" s="43" t="n">
        <v>94216</v>
      </c>
      <c r="C334" s="50" t="str">
        <f aca="false">VLOOKUP($B334,03_COMPOSIÇÕES!$A:$G,2,0)</f>
        <v>TELHAMENTO COM TELHA METÁLICA TERMOACÚSTICA E = 30 MM, COM ATÉ 2 ÁGUAS, INCLUSO IÇAMENTO. AF_07/2019</v>
      </c>
      <c r="D334" s="45" t="s">
        <v>59</v>
      </c>
      <c r="E334" s="51" t="str">
        <f aca="false">VLOOKUP($B334,03_COMPOSIÇÕES!$A:$G,4,0)</f>
        <v>M2</v>
      </c>
      <c r="F334" s="46" t="n">
        <v>1024.89</v>
      </c>
      <c r="G334" s="51" t="n">
        <f aca="false">VLOOKUP($B334,03_COMPOSIÇÕES!$A:$G,6,0)</f>
        <v>137.051238613575</v>
      </c>
      <c r="H334" s="52" t="n">
        <f aca="false">VLOOKUP($B334,03_COMPOSIÇÕES!$A:$G,7,0)</f>
        <v>1.97482865811</v>
      </c>
      <c r="I334" s="47" t="n">
        <f aca="false">$F334*$G334</f>
        <v>140462.443942667</v>
      </c>
      <c r="J334" s="47" t="n">
        <f aca="false">$F334*$H334</f>
        <v>2023.98214341036</v>
      </c>
      <c r="K334" s="47" t="n">
        <f aca="false">$I334*(1+BDI_MAT)</f>
        <v>169425.799883645</v>
      </c>
      <c r="L334" s="47" t="n">
        <f aca="false">$J334*(1+BDI_MDO)</f>
        <v>2580.37483463387</v>
      </c>
      <c r="M334" s="47" t="n">
        <f aca="false">SUM(K334:L334)</f>
        <v>172006.174718279</v>
      </c>
      <c r="N334" s="20" t="str">
        <f aca="false">A334</f>
        <v>6.2.1</v>
      </c>
    </row>
    <row r="335" customFormat="false" ht="30" hidden="false" customHeight="false" outlineLevel="2" collapsed="false">
      <c r="A335" s="42" t="s">
        <v>491</v>
      </c>
      <c r="B335" s="43" t="n">
        <v>94213</v>
      </c>
      <c r="C335" s="50" t="str">
        <f aca="false">VLOOKUP($B335,03_COMPOSIÇÕES!$A:$G,2,0)</f>
        <v>TELHAMENTO COM TELHA DE AÇO/ALUMÍNIO E = 0,5 MM, COM ATÉ 2 ÁGUAS, INCLUSO IÇAMENTO. AF_07/2019</v>
      </c>
      <c r="D335" s="45" t="s">
        <v>59</v>
      </c>
      <c r="E335" s="51" t="str">
        <f aca="false">VLOOKUP($B335,03_COMPOSIÇÕES!$A:$G,4,0)</f>
        <v>M2</v>
      </c>
      <c r="F335" s="46" t="n">
        <v>111.25</v>
      </c>
      <c r="G335" s="51" t="n">
        <f aca="false">VLOOKUP($B335,03_COMPOSIÇÕES!$A:$G,6,0)</f>
        <v>49.2003580333664</v>
      </c>
      <c r="H335" s="52" t="n">
        <f aca="false">VLOOKUP($B335,03_COMPOSIÇÕES!$A:$G,7,0)</f>
        <v>3.14615820882</v>
      </c>
      <c r="I335" s="47" t="n">
        <f aca="false">$F335*$G335</f>
        <v>5473.53983121201</v>
      </c>
      <c r="J335" s="47" t="n">
        <f aca="false">$F335*$H335</f>
        <v>350.010100731225</v>
      </c>
      <c r="K335" s="47" t="n">
        <f aca="false">$I335*(1+BDI_MAT)</f>
        <v>6602.18374440793</v>
      </c>
      <c r="L335" s="47" t="n">
        <f aca="false">$J335*(1+BDI_MDO)</f>
        <v>446.227877422239</v>
      </c>
      <c r="M335" s="47" t="n">
        <f aca="false">SUM(K335:L335)</f>
        <v>7048.41162183017</v>
      </c>
      <c r="N335" s="20" t="str">
        <f aca="false">A335</f>
        <v>6.2.2</v>
      </c>
    </row>
    <row r="336" customFormat="false" ht="15" hidden="false" customHeight="false" outlineLevel="1" collapsed="false">
      <c r="A336" s="42" t="s">
        <v>492</v>
      </c>
      <c r="B336" s="43"/>
      <c r="C336" s="50" t="s">
        <v>493</v>
      </c>
      <c r="D336" s="45"/>
      <c r="E336" s="44"/>
      <c r="F336" s="46"/>
      <c r="G336" s="51"/>
      <c r="H336" s="52"/>
      <c r="I336" s="47" t="n">
        <f aca="false">SUBTOTAL(9,I337:I339)</f>
        <v>24657.2019139356</v>
      </c>
      <c r="J336" s="47" t="n">
        <f aca="false">SUBTOTAL(9,J337:J339)</f>
        <v>3798.77810343356</v>
      </c>
      <c r="K336" s="47" t="n">
        <f aca="false">SUBTOTAL(9,K337:K339)</f>
        <v>29741.5169485891</v>
      </c>
      <c r="L336" s="47" t="n">
        <f aca="false">SUBTOTAL(9,L337:L339)</f>
        <v>4843.06220406744</v>
      </c>
      <c r="M336" s="47" t="n">
        <f aca="false">SUBTOTAL(9,M337:M339)</f>
        <v>34584.5791526565</v>
      </c>
      <c r="N336" s="20" t="str">
        <f aca="false">A336</f>
        <v>6.3</v>
      </c>
    </row>
    <row r="337" customFormat="false" ht="45" hidden="false" customHeight="false" outlineLevel="2" collapsed="false">
      <c r="A337" s="42" t="s">
        <v>494</v>
      </c>
      <c r="B337" s="43" t="n">
        <v>94228</v>
      </c>
      <c r="C337" s="50" t="str">
        <f aca="false">VLOOKUP($B337,03_COMPOSIÇÕES!$A:$G,2,0)</f>
        <v>CALHA EM CHAPA DE AÇO GALVANIZADO NÚMERO 24, DESENVOLVIMENTO DE 50 CM, INCLUSO TRANSPORTE VERTICAL. AF_07/2019</v>
      </c>
      <c r="D337" s="45" t="s">
        <v>59</v>
      </c>
      <c r="E337" s="51" t="str">
        <f aca="false">VLOOKUP($B337,03_COMPOSIÇÕES!$A:$G,4,0)</f>
        <v>M</v>
      </c>
      <c r="F337" s="46" t="n">
        <v>28.39</v>
      </c>
      <c r="G337" s="51" t="n">
        <f aca="false">VLOOKUP($B337,03_COMPOSIÇÕES!$A:$G,6,0)</f>
        <v>52.251899604308</v>
      </c>
      <c r="H337" s="52" t="n">
        <f aca="false">VLOOKUP($B337,03_COMPOSIÇÕES!$A:$G,7,0)</f>
        <v>10.85136155205</v>
      </c>
      <c r="I337" s="47" t="n">
        <f aca="false">$F337*$G337</f>
        <v>1483.4314297663</v>
      </c>
      <c r="J337" s="47" t="n">
        <f aca="false">$F337*$H337</f>
        <v>308.070154462699</v>
      </c>
      <c r="K337" s="47" t="n">
        <f aca="false">$I337*(1+BDI_MAT)</f>
        <v>1789.31499058412</v>
      </c>
      <c r="L337" s="47" t="n">
        <f aca="false">$J337*(1+BDI_MDO)</f>
        <v>392.758639924496</v>
      </c>
      <c r="M337" s="47" t="n">
        <f aca="false">SUM(K337:L337)</f>
        <v>2182.07363050861</v>
      </c>
      <c r="N337" s="20" t="str">
        <f aca="false">A337</f>
        <v>6.3.1</v>
      </c>
    </row>
    <row r="338" customFormat="false" ht="15" hidden="false" customHeight="false" outlineLevel="2" collapsed="false">
      <c r="A338" s="42" t="s">
        <v>495</v>
      </c>
      <c r="B338" s="43" t="n">
        <v>101979</v>
      </c>
      <c r="C338" s="50" t="str">
        <f aca="false">VLOOKUP($B338,03_COMPOSIÇÕES!$A:$G,2,0)</f>
        <v>CHAPIM (RUFO CAPA) EM AÇO GALVANIZADO, CORTE 33. AF_11/2020</v>
      </c>
      <c r="D338" s="45" t="s">
        <v>59</v>
      </c>
      <c r="E338" s="51" t="str">
        <f aca="false">VLOOKUP($B338,03_COMPOSIÇÕES!$A:$G,4,0)</f>
        <v>M</v>
      </c>
      <c r="F338" s="46" t="n">
        <v>301.73</v>
      </c>
      <c r="G338" s="51" t="n">
        <f aca="false">VLOOKUP($B338,03_COMPOSIÇÕES!$A:$G,6,0)</f>
        <v>31.42989</v>
      </c>
      <c r="H338" s="52" t="n">
        <f aca="false">VLOOKUP($B338,03_COMPOSIÇÕES!$A:$G,7,0)</f>
        <v>4.886319456</v>
      </c>
      <c r="I338" s="47" t="n">
        <f aca="false">$F338*$G338</f>
        <v>9483.3407097</v>
      </c>
      <c r="J338" s="47" t="n">
        <f aca="false">$F338*$H338</f>
        <v>1474.34916945888</v>
      </c>
      <c r="K338" s="47" t="n">
        <f aca="false">$I338*(1+BDI_MAT)</f>
        <v>11438.8055640401</v>
      </c>
      <c r="L338" s="47" t="n">
        <f aca="false">$J338*(1+BDI_MDO)</f>
        <v>1879.64775614313</v>
      </c>
      <c r="M338" s="47" t="n">
        <f aca="false">SUM(K338:L338)</f>
        <v>13318.4533201833</v>
      </c>
      <c r="N338" s="20" t="str">
        <f aca="false">A338</f>
        <v>6.3.2</v>
      </c>
    </row>
    <row r="339" customFormat="false" ht="30" hidden="false" customHeight="false" outlineLevel="2" collapsed="false">
      <c r="A339" s="42" t="s">
        <v>496</v>
      </c>
      <c r="B339" s="43" t="n">
        <v>100327</v>
      </c>
      <c r="C339" s="50" t="str">
        <f aca="false">VLOOKUP($B339,03_COMPOSIÇÕES!$A:$G,2,0)</f>
        <v>RUFO EXTERNO/INTERNO EM CHAPA DE AÇO GALVANIZADO NÚMERO 26, CORTE DE 33 CM, INCLUSO IÇAMENTO. AF_07/2019</v>
      </c>
      <c r="D339" s="45" t="s">
        <v>59</v>
      </c>
      <c r="E339" s="51" t="str">
        <f aca="false">VLOOKUP($B339,03_COMPOSIÇÕES!$A:$G,4,0)</f>
        <v>M</v>
      </c>
      <c r="F339" s="46" t="n">
        <v>313.2</v>
      </c>
      <c r="G339" s="51" t="n">
        <f aca="false">VLOOKUP($B339,03_COMPOSIÇÕES!$A:$G,6,0)</f>
        <v>43.711461604308</v>
      </c>
      <c r="H339" s="52" t="n">
        <f aca="false">VLOOKUP($B339,03_COMPOSIÇÕES!$A:$G,7,0)</f>
        <v>6.43792713765</v>
      </c>
      <c r="I339" s="47" t="n">
        <f aca="false">$F339*$G339</f>
        <v>13690.4297744693</v>
      </c>
      <c r="J339" s="47" t="n">
        <f aca="false">$F339*$H339</f>
        <v>2016.35877951198</v>
      </c>
      <c r="K339" s="47" t="n">
        <f aca="false">$I339*(1+BDI_MAT)</f>
        <v>16513.3963939648</v>
      </c>
      <c r="L339" s="47" t="n">
        <f aca="false">$J339*(1+BDI_MDO)</f>
        <v>2570.65580799982</v>
      </c>
      <c r="M339" s="47" t="n">
        <f aca="false">SUM(K339:L339)</f>
        <v>19084.0522019647</v>
      </c>
      <c r="N339" s="20" t="str">
        <f aca="false">A339</f>
        <v>6.3.3</v>
      </c>
    </row>
    <row r="340" customFormat="false" ht="15" hidden="false" customHeight="false" outlineLevel="0" collapsed="false">
      <c r="A340" s="42" t="n">
        <v>7</v>
      </c>
      <c r="B340" s="43"/>
      <c r="C340" s="50" t="s">
        <v>497</v>
      </c>
      <c r="D340" s="45"/>
      <c r="E340" s="44"/>
      <c r="F340" s="46"/>
      <c r="G340" s="51"/>
      <c r="H340" s="52"/>
      <c r="I340" s="47" t="n">
        <f aca="false">SUBTOTAL(9,I341:I344)</f>
        <v>58174.8490354234</v>
      </c>
      <c r="J340" s="47" t="n">
        <f aca="false">SUBTOTAL(9,J341:J344)</f>
        <v>23456.5198707412</v>
      </c>
      <c r="K340" s="47" t="n">
        <f aca="false">SUBTOTAL(9,K341:K344)</f>
        <v>70170.5029065277</v>
      </c>
      <c r="L340" s="47" t="n">
        <f aca="false">SUBTOTAL(9,L341:L344)</f>
        <v>29904.7171832079</v>
      </c>
      <c r="M340" s="47" t="n">
        <f aca="false">SUBTOTAL(9,M341:M344)</f>
        <v>100075.220089736</v>
      </c>
      <c r="N340" s="20" t="n">
        <f aca="false">A340</f>
        <v>7</v>
      </c>
    </row>
    <row r="341" customFormat="false" ht="45" hidden="false" customHeight="false" outlineLevel="1" collapsed="false">
      <c r="A341" s="42" t="s">
        <v>498</v>
      </c>
      <c r="B341" s="43" t="n">
        <v>98546</v>
      </c>
      <c r="C341" s="50" t="str">
        <f aca="false">VLOOKUP($B341,03_COMPOSIÇÕES!$A:$G,2,0)</f>
        <v>IMPERMEABILIZAÇÃO DE SUPERFÍCIE COM MANTA ASFÁLTICA, UMA CAMADA, INCLUSIVE APLICAÇÃO DE PRIMER ASFÁLTICO, E=4MM. AF_09/2023</v>
      </c>
      <c r="D341" s="45" t="s">
        <v>59</v>
      </c>
      <c r="E341" s="51" t="str">
        <f aca="false">VLOOKUP($B341,03_COMPOSIÇÕES!$A:$G,4,0)</f>
        <v>M2</v>
      </c>
      <c r="F341" s="46" t="n">
        <v>346.42</v>
      </c>
      <c r="G341" s="51" t="n">
        <f aca="false">VLOOKUP($B341,03_COMPOSIÇÕES!$A:$G,6,0)</f>
        <v>84.697122</v>
      </c>
      <c r="H341" s="52" t="n">
        <f aca="false">VLOOKUP($B341,03_COMPOSIÇÕES!$A:$G,7,0)</f>
        <v>22.14665019948</v>
      </c>
      <c r="I341" s="47" t="n">
        <f aca="false">$F341*$G341</f>
        <v>29340.77700324</v>
      </c>
      <c r="J341" s="47" t="n">
        <f aca="false">$F341*$H341</f>
        <v>7672.04256210386</v>
      </c>
      <c r="K341" s="47" t="n">
        <f aca="false">$I341*(1+BDI_MAT)</f>
        <v>35390.8452213081</v>
      </c>
      <c r="L341" s="47" t="n">
        <f aca="false">$J341*(1+BDI_MDO)</f>
        <v>9781.08706242621</v>
      </c>
      <c r="M341" s="47" t="n">
        <f aca="false">SUM(K341:L341)</f>
        <v>45171.9322837343</v>
      </c>
      <c r="N341" s="20" t="str">
        <f aca="false">A341</f>
        <v>7.1</v>
      </c>
    </row>
    <row r="342" customFormat="false" ht="30" hidden="false" customHeight="false" outlineLevel="1" collapsed="false">
      <c r="A342" s="42" t="s">
        <v>499</v>
      </c>
      <c r="B342" s="43" t="n">
        <v>98555</v>
      </c>
      <c r="C342" s="50" t="str">
        <f aca="false">VLOOKUP($B342,03_COMPOSIÇÕES!$A:$G,2,0)</f>
        <v>IMPERMEABILIZAÇÃO DE SUPERFÍCIE COM ARGAMASSA POLIMÉRICA / MEMBRANA ACRÍLICA, 3 DEMÃOS. AF_09/2023</v>
      </c>
      <c r="D342" s="45" t="s">
        <v>59</v>
      </c>
      <c r="E342" s="51" t="str">
        <f aca="false">VLOOKUP($B342,03_COMPOSIÇÕES!$A:$G,4,0)</f>
        <v>M2</v>
      </c>
      <c r="F342" s="46" t="n">
        <v>715.98</v>
      </c>
      <c r="G342" s="51" t="n">
        <f aca="false">VLOOKUP($B342,03_COMPOSIÇÕES!$A:$G,6,0)</f>
        <v>16.311158</v>
      </c>
      <c r="H342" s="52" t="n">
        <f aca="false">VLOOKUP($B342,03_COMPOSIÇÕES!$A:$G,7,0)</f>
        <v>14.34480167988</v>
      </c>
      <c r="I342" s="47" t="n">
        <f aca="false">$F342*$G342</f>
        <v>11678.46290484</v>
      </c>
      <c r="J342" s="47" t="n">
        <f aca="false">$F342*$H342</f>
        <v>10270.5911067605</v>
      </c>
      <c r="K342" s="47" t="n">
        <f aca="false">$I342*(1+BDI_MAT)</f>
        <v>14086.561955818</v>
      </c>
      <c r="L342" s="47" t="n">
        <f aca="false">$J342*(1+BDI_MDO)</f>
        <v>13093.9766020089</v>
      </c>
      <c r="M342" s="47" t="n">
        <f aca="false">SUM(K342:L342)</f>
        <v>27180.5385578269</v>
      </c>
      <c r="N342" s="20" t="str">
        <f aca="false">A342</f>
        <v>7.2</v>
      </c>
    </row>
    <row r="343" customFormat="false" ht="30" hidden="false" customHeight="false" outlineLevel="1" collapsed="false">
      <c r="A343" s="42" t="s">
        <v>500</v>
      </c>
      <c r="B343" s="43" t="n">
        <v>98553</v>
      </c>
      <c r="C343" s="50" t="str">
        <f aca="false">VLOOKUP($B343,03_COMPOSIÇÕES!$A:$G,2,0)</f>
        <v>IMPERMEABILIZAÇÃO DE SUPERFÍCIE COM MEMBRANA À BASE DE POLIURETANO, 2 DEMÃOS. AF_09/2023</v>
      </c>
      <c r="D343" s="45" t="s">
        <v>59</v>
      </c>
      <c r="E343" s="51" t="str">
        <f aca="false">VLOOKUP($B343,03_COMPOSIÇÕES!$A:$G,4,0)</f>
        <v>M2</v>
      </c>
      <c r="F343" s="46" t="n">
        <v>27.01</v>
      </c>
      <c r="G343" s="51" t="n">
        <f aca="false">VLOOKUP($B343,03_COMPOSIÇÕES!$A:$G,6,0)</f>
        <v>154.970241</v>
      </c>
      <c r="H343" s="52" t="n">
        <f aca="false">VLOOKUP($B343,03_COMPOSIÇÕES!$A:$G,7,0)</f>
        <v>1.54741747656</v>
      </c>
      <c r="I343" s="47" t="n">
        <f aca="false">$F343*$G343</f>
        <v>4185.74620941</v>
      </c>
      <c r="J343" s="47" t="n">
        <f aca="false">$F343*$H343</f>
        <v>41.7957460418856</v>
      </c>
      <c r="K343" s="47" t="n">
        <f aca="false">$I343*(1+BDI_MAT)</f>
        <v>5048.84707779034</v>
      </c>
      <c r="L343" s="47" t="n">
        <f aca="false">$J343*(1+BDI_MDO)</f>
        <v>53.2853966288</v>
      </c>
      <c r="M343" s="47" t="n">
        <f aca="false">SUM(K343:L343)</f>
        <v>5102.13247441914</v>
      </c>
      <c r="N343" s="20" t="str">
        <f aca="false">A343</f>
        <v>7.3</v>
      </c>
    </row>
    <row r="344" customFormat="false" ht="60" hidden="false" customHeight="false" outlineLevel="1" collapsed="false">
      <c r="A344" s="42" t="s">
        <v>501</v>
      </c>
      <c r="B344" s="43" t="n">
        <v>87765</v>
      </c>
      <c r="C344" s="50" t="str">
        <f aca="false">VLOOKUP($B344,03_COMPOSIÇÕES!$A:$G,2,0)</f>
        <v>CONTRAPISO EM ARGAMASSA TRAÇO 1:4 (CIMENTO E AREIA), PREPARO MECÂNICO COM BETONEIRA 400 L, APLICADO EM ÁREAS MOLHADAS SOBRE IMPERMEABILIZAÇÃO, ACABAMENTO NÃO REFORÇADO, ESPESSURA 4CM. AF_07/2021</v>
      </c>
      <c r="D344" s="45" t="s">
        <v>59</v>
      </c>
      <c r="E344" s="51" t="str">
        <f aca="false">VLOOKUP($B344,03_COMPOSIÇÕES!$A:$G,4,0)</f>
        <v>M2</v>
      </c>
      <c r="F344" s="46" t="n">
        <v>346.42</v>
      </c>
      <c r="G344" s="51" t="n">
        <f aca="false">VLOOKUP($B344,03_COMPOSIÇÕES!$A:$G,6,0)</f>
        <v>37.43970590016</v>
      </c>
      <c r="H344" s="52" t="n">
        <f aca="false">VLOOKUP($B344,03_COMPOSIÇÕES!$A:$G,7,0)</f>
        <v>15.796115858885</v>
      </c>
      <c r="I344" s="47" t="n">
        <f aca="false">$F344*$G344</f>
        <v>12969.8629179334</v>
      </c>
      <c r="J344" s="47" t="n">
        <f aca="false">$F344*$H344</f>
        <v>5472.09045583494</v>
      </c>
      <c r="K344" s="47" t="n">
        <f aca="false">$I344*(1+BDI_MAT)</f>
        <v>15644.2486516113</v>
      </c>
      <c r="L344" s="47" t="n">
        <f aca="false">$J344*(1+BDI_MDO)</f>
        <v>6976.36812214397</v>
      </c>
      <c r="M344" s="47" t="n">
        <f aca="false">SUM(K344:L344)</f>
        <v>22620.6167737553</v>
      </c>
      <c r="N344" s="20" t="str">
        <f aca="false">A344</f>
        <v>7.4</v>
      </c>
    </row>
    <row r="345" customFormat="false" ht="15" hidden="false" customHeight="false" outlineLevel="0" collapsed="false">
      <c r="A345" s="42" t="n">
        <v>8</v>
      </c>
      <c r="B345" s="43"/>
      <c r="C345" s="50" t="s">
        <v>502</v>
      </c>
      <c r="D345" s="45"/>
      <c r="E345" s="44"/>
      <c r="F345" s="46"/>
      <c r="G345" s="51"/>
      <c r="H345" s="52"/>
      <c r="I345" s="47" t="n">
        <f aca="false">SUM(I346,I378,I405)</f>
        <v>659684.988709253</v>
      </c>
      <c r="J345" s="47" t="n">
        <f aca="false">SUM(J346,J378,J405)</f>
        <v>298692.291689584</v>
      </c>
      <c r="K345" s="47" t="n">
        <f aca="false">SUM(K346,K378,K405)</f>
        <v>795712.033381101</v>
      </c>
      <c r="L345" s="47" t="n">
        <f aca="false">SUM(L346,L378,L405)</f>
        <v>380802.80267505</v>
      </c>
      <c r="M345" s="47" t="n">
        <f aca="false">SUM(M346,M378,M405)</f>
        <v>1176514.83605615</v>
      </c>
      <c r="N345" s="20" t="n">
        <f aca="false">A345</f>
        <v>8</v>
      </c>
    </row>
    <row r="346" customFormat="false" ht="15" hidden="false" customHeight="false" outlineLevel="1" collapsed="false">
      <c r="A346" s="42" t="s">
        <v>503</v>
      </c>
      <c r="B346" s="43"/>
      <c r="C346" s="50" t="s">
        <v>504</v>
      </c>
      <c r="D346" s="45"/>
      <c r="E346" s="44"/>
      <c r="F346" s="46"/>
      <c r="G346" s="51"/>
      <c r="H346" s="52"/>
      <c r="I346" s="47" t="n">
        <f aca="false">SUM(I347,I368)</f>
        <v>285629.118242312</v>
      </c>
      <c r="J346" s="47" t="n">
        <f aca="false">SUM(J347,J368)</f>
        <v>47189.4687238678</v>
      </c>
      <c r="K346" s="47" t="n">
        <f aca="false">SUM(K347,K368)</f>
        <v>344525.842423877</v>
      </c>
      <c r="L346" s="47" t="n">
        <f aca="false">SUM(L347,L368)</f>
        <v>60161.853676059</v>
      </c>
      <c r="M346" s="47" t="n">
        <f aca="false">SUM(M347,M368)</f>
        <v>404687.696099936</v>
      </c>
      <c r="N346" s="20" t="str">
        <f aca="false">A346</f>
        <v>8.1</v>
      </c>
    </row>
    <row r="347" customFormat="false" ht="15" hidden="false" customHeight="false" outlineLevel="2" collapsed="false">
      <c r="A347" s="42" t="s">
        <v>505</v>
      </c>
      <c r="B347" s="43"/>
      <c r="C347" s="50" t="s">
        <v>506</v>
      </c>
      <c r="D347" s="45"/>
      <c r="E347" s="44"/>
      <c r="F347" s="46"/>
      <c r="G347" s="51"/>
      <c r="H347" s="52"/>
      <c r="I347" s="47" t="n">
        <f aca="false">SUM(I348,I350,I357,I362,I364,I366)</f>
        <v>216083.445931427</v>
      </c>
      <c r="J347" s="47" t="n">
        <f aca="false">SUM(J348,J350,J357,J362,J364,J366)</f>
        <v>36702.954052883</v>
      </c>
      <c r="K347" s="47" t="n">
        <f aca="false">SUM(K348,K350,K357,K362,K364,K366)</f>
        <v>260639.852482488</v>
      </c>
      <c r="L347" s="47" t="n">
        <f aca="false">SUM(L348,L350,L357,L362,L364,L366)</f>
        <v>46792.5961220205</v>
      </c>
      <c r="M347" s="47" t="n">
        <f aca="false">SUM(M348,M350,M357,M362,M364,M366)</f>
        <v>307432.448604508</v>
      </c>
      <c r="N347" s="20" t="str">
        <f aca="false">A347</f>
        <v>8.1.1</v>
      </c>
    </row>
    <row r="348" customFormat="false" ht="15" hidden="false" customHeight="false" outlineLevel="3" collapsed="false">
      <c r="A348" s="42" t="s">
        <v>507</v>
      </c>
      <c r="B348" s="43"/>
      <c r="C348" s="50" t="s">
        <v>508</v>
      </c>
      <c r="D348" s="45"/>
      <c r="E348" s="44"/>
      <c r="F348" s="46"/>
      <c r="G348" s="51"/>
      <c r="H348" s="52"/>
      <c r="I348" s="47" t="n">
        <f aca="false">SUBTOTAL(9,I349)</f>
        <v>47435.1800144265</v>
      </c>
      <c r="J348" s="47" t="n">
        <f aca="false">SUBTOTAL(9,J349)</f>
        <v>14459.3228382853</v>
      </c>
      <c r="K348" s="47" t="n">
        <f aca="false">SUBTOTAL(9,K349)</f>
        <v>57216.3141334012</v>
      </c>
      <c r="L348" s="47" t="n">
        <f aca="false">SUBTOTAL(9,L349)</f>
        <v>18434.19068653</v>
      </c>
      <c r="M348" s="47" t="n">
        <f aca="false">SUBTOTAL(9,M349)</f>
        <v>75650.5048199311</v>
      </c>
      <c r="N348" s="20" t="str">
        <f aca="false">A348</f>
        <v>8.1.1.1</v>
      </c>
    </row>
    <row r="349" customFormat="false" ht="60" hidden="false" customHeight="false" outlineLevel="4" collapsed="false">
      <c r="A349" s="42" t="s">
        <v>509</v>
      </c>
      <c r="B349" s="43" t="n">
        <v>87630</v>
      </c>
      <c r="C349" s="50" t="str">
        <f aca="false">VLOOKUP($B349,03_COMPOSIÇÕES!$A:$G,2,0)</f>
        <v>CONTRAPISO EM ARGAMASSA TRAÇO 1:4 (CIMENTO E AREIA), PREPARO MECÂNICO COM BETONEIRA 400 L, APLICADO EM ÁREAS SECAS SOBRE LAJE, ADERIDO, ACABAMENTO NÃO REFORÇADO, ESPESSURA 3CM. AF_07/2021</v>
      </c>
      <c r="D349" s="45" t="s">
        <v>59</v>
      </c>
      <c r="E349" s="51" t="str">
        <f aca="false">VLOOKUP($B349,03_COMPOSIÇÕES!$A:$G,4,0)</f>
        <v>M2</v>
      </c>
      <c r="F349" s="46" t="n">
        <v>1573.82</v>
      </c>
      <c r="G349" s="51" t="n">
        <f aca="false">VLOOKUP($B349,03_COMPOSIÇÕES!$A:$G,6,0)</f>
        <v>30.140155808432</v>
      </c>
      <c r="H349" s="52" t="n">
        <f aca="false">VLOOKUP($B349,03_COMPOSIÇÕES!$A:$G,7,0)</f>
        <v>9.1874056996895</v>
      </c>
      <c r="I349" s="47" t="n">
        <f aca="false">$F349*$G349</f>
        <v>47435.1800144265</v>
      </c>
      <c r="J349" s="47" t="n">
        <f aca="false">$F349*$H349</f>
        <v>14459.3228382853</v>
      </c>
      <c r="K349" s="47" t="n">
        <f aca="false">$I349*(1+BDI_MAT)</f>
        <v>57216.3141334012</v>
      </c>
      <c r="L349" s="47" t="n">
        <f aca="false">$J349*(1+BDI_MDO)</f>
        <v>18434.19068653</v>
      </c>
      <c r="M349" s="47" t="n">
        <f aca="false">SUM(K349:L349)</f>
        <v>75650.5048199311</v>
      </c>
      <c r="N349" s="20" t="str">
        <f aca="false">A349</f>
        <v>8.1.1.1.1</v>
      </c>
    </row>
    <row r="350" customFormat="false" ht="15" hidden="false" customHeight="false" outlineLevel="3" collapsed="false">
      <c r="A350" s="42" t="s">
        <v>510</v>
      </c>
      <c r="B350" s="43"/>
      <c r="C350" s="50" t="s">
        <v>511</v>
      </c>
      <c r="D350" s="45"/>
      <c r="E350" s="44"/>
      <c r="F350" s="46"/>
      <c r="G350" s="51"/>
      <c r="H350" s="52"/>
      <c r="I350" s="47" t="n">
        <f aca="false">SUBTOTAL(9,I351:I356)</f>
        <v>6444.9369216</v>
      </c>
      <c r="J350" s="47" t="n">
        <f aca="false">SUBTOTAL(9,J351:J356)</f>
        <v>647.44146846096</v>
      </c>
      <c r="K350" s="47" t="n">
        <f aca="false">SUBTOTAL(9,K351:K356)</f>
        <v>7773.88291483392</v>
      </c>
      <c r="L350" s="47" t="n">
        <f aca="false">SUBTOTAL(9,L351:L356)</f>
        <v>825.423128140878</v>
      </c>
      <c r="M350" s="47" t="n">
        <f aca="false">SUBTOTAL(9,M351:M356)</f>
        <v>8599.3060429748</v>
      </c>
      <c r="N350" s="20" t="str">
        <f aca="false">A350</f>
        <v>8.1.1.2</v>
      </c>
    </row>
    <row r="351" customFormat="false" ht="30" hidden="false" customHeight="false" outlineLevel="4" collapsed="false">
      <c r="A351" s="42" t="s">
        <v>512</v>
      </c>
      <c r="B351" s="43" t="n">
        <v>102500</v>
      </c>
      <c r="C351" s="50" t="str">
        <f aca="false">VLOOKUP($B351,03_COMPOSIÇÕES!$A:$G,2,0)</f>
        <v>PINTURA DE DEMARCAÇÃO DE VAGA COM TINTA ACRÍLICA, E = 10 CM, APLICAÇÃO MANUAL. AF_05/2021</v>
      </c>
      <c r="D351" s="45" t="s">
        <v>59</v>
      </c>
      <c r="E351" s="51" t="str">
        <f aca="false">VLOOKUP($B351,03_COMPOSIÇÕES!$A:$G,4,0)</f>
        <v>M</v>
      </c>
      <c r="F351" s="46" t="n">
        <v>95</v>
      </c>
      <c r="G351" s="51" t="n">
        <f aca="false">VLOOKUP($B351,03_COMPOSIÇÕES!$A:$G,6,0)</f>
        <v>2.33683</v>
      </c>
      <c r="H351" s="52" t="n">
        <f aca="false">VLOOKUP($B351,03_COMPOSIÇÕES!$A:$G,7,0)</f>
        <v>1.7030311176</v>
      </c>
      <c r="I351" s="47" t="n">
        <f aca="false">$F351*$G351</f>
        <v>221.99885</v>
      </c>
      <c r="J351" s="47" t="n">
        <f aca="false">$F351*$H351</f>
        <v>161.787956172</v>
      </c>
      <c r="K351" s="47" t="n">
        <f aca="false">$I351*(1+BDI_MAT)</f>
        <v>267.77501287</v>
      </c>
      <c r="L351" s="47" t="n">
        <f aca="false">$J351*(1+BDI_MDO)</f>
        <v>206.263465323683</v>
      </c>
      <c r="M351" s="47" t="n">
        <f aca="false">SUM(K351:L351)</f>
        <v>474.038478193683</v>
      </c>
      <c r="N351" s="20" t="str">
        <f aca="false">A351</f>
        <v>8.1.1.2.1</v>
      </c>
    </row>
    <row r="352" customFormat="false" ht="30" hidden="false" customHeight="false" outlineLevel="4" collapsed="false">
      <c r="A352" s="42" t="s">
        <v>513</v>
      </c>
      <c r="B352" s="43" t="n">
        <v>102513</v>
      </c>
      <c r="C352" s="50" t="str">
        <f aca="false">VLOOKUP($B352,03_COMPOSIÇÕES!$A:$G,2,0)</f>
        <v>PINTURA DE SÍMBOLOS E TEXTOS COM TINTA ACRÍLICA, DEMARCAÇÃO COM FITA ADESIVA E APLICAÇÃO COM ROLO. AF_05/2021</v>
      </c>
      <c r="D352" s="45" t="s">
        <v>59</v>
      </c>
      <c r="E352" s="51" t="str">
        <f aca="false">VLOOKUP($B352,03_COMPOSIÇÕES!$A:$G,4,0)</f>
        <v>M2</v>
      </c>
      <c r="F352" s="46" t="n">
        <v>2.88</v>
      </c>
      <c r="G352" s="51" t="n">
        <f aca="false">VLOOKUP($B352,03_COMPOSIÇÕES!$A:$G,6,0)</f>
        <v>23.21963</v>
      </c>
      <c r="H352" s="52" t="n">
        <f aca="false">VLOOKUP($B352,03_COMPOSIÇÕES!$A:$G,7,0)</f>
        <v>24.987525312</v>
      </c>
      <c r="I352" s="47" t="n">
        <f aca="false">$F352*$G352</f>
        <v>66.8725344</v>
      </c>
      <c r="J352" s="47" t="n">
        <f aca="false">$F352*$H352</f>
        <v>71.96407289856</v>
      </c>
      <c r="K352" s="47" t="n">
        <f aca="false">$I352*(1+BDI_MAT)</f>
        <v>80.66165099328</v>
      </c>
      <c r="L352" s="47" t="n">
        <f aca="false">$J352*(1+BDI_MDO)</f>
        <v>91.7469965383742</v>
      </c>
      <c r="M352" s="47" t="n">
        <f aca="false">SUM(K352:L352)</f>
        <v>172.408647531654</v>
      </c>
      <c r="N352" s="20" t="str">
        <f aca="false">A352</f>
        <v>8.1.1.2.2</v>
      </c>
    </row>
    <row r="353" customFormat="false" ht="30" hidden="false" customHeight="false" outlineLevel="4" collapsed="false">
      <c r="A353" s="42" t="s">
        <v>514</v>
      </c>
      <c r="B353" s="43" t="s">
        <v>515</v>
      </c>
      <c r="C353" s="50" t="str">
        <f aca="false">VLOOKUP($B353,03_COMPOSIÇÕES!$A:$G,2,0)</f>
        <v>FORNECIMENTO E INSTALAÇÃO DE SINALIZADOR DE DEGRAUS FOTOLUMINESCENTE 7X3 CM.</v>
      </c>
      <c r="D353" s="45" t="s">
        <v>59</v>
      </c>
      <c r="E353" s="51" t="str">
        <f aca="false">VLOOKUP($B353,03_COMPOSIÇÕES!$A:$G,4,0)</f>
        <v>UN</v>
      </c>
      <c r="F353" s="46" t="n">
        <v>2.8</v>
      </c>
      <c r="G353" s="51" t="n">
        <f aca="false">VLOOKUP($B353,03_COMPOSIÇÕES!$A:$G,6,0)</f>
        <v>9.905704</v>
      </c>
      <c r="H353" s="52" t="n">
        <f aca="false">VLOOKUP($B353,03_COMPOSIÇÕES!$A:$G,7,0)</f>
        <v>0.544851048</v>
      </c>
      <c r="I353" s="47" t="n">
        <f aca="false">$F353*$G353</f>
        <v>27.7359712</v>
      </c>
      <c r="J353" s="47" t="n">
        <f aca="false">$F353*$H353</f>
        <v>1.5255829344</v>
      </c>
      <c r="K353" s="47" t="n">
        <f aca="false">$I353*(1+BDI_MAT)</f>
        <v>33.45512846144</v>
      </c>
      <c r="L353" s="47" t="n">
        <f aca="false">$J353*(1+BDI_MDO)</f>
        <v>1.94496568306656</v>
      </c>
      <c r="M353" s="47" t="n">
        <f aca="false">SUM(K353:L353)</f>
        <v>35.4000941445066</v>
      </c>
      <c r="N353" s="20" t="str">
        <f aca="false">A353</f>
        <v>8.1.1.2.3</v>
      </c>
    </row>
    <row r="354" customFormat="false" ht="15" hidden="false" customHeight="false" outlineLevel="4" collapsed="false">
      <c r="A354" s="42" t="s">
        <v>516</v>
      </c>
      <c r="B354" s="43" t="s">
        <v>517</v>
      </c>
      <c r="C354" s="50" t="str">
        <f aca="false">VLOOKUP($B354,03_COMPOSIÇÕES!$A:$G,2,0)</f>
        <v>PLACA DE SINALIZAÇÃO DE VAGA PARA DEFICIENTE OU IDOSO.</v>
      </c>
      <c r="D354" s="45" t="s">
        <v>59</v>
      </c>
      <c r="E354" s="51" t="str">
        <f aca="false">VLOOKUP($B354,03_COMPOSIÇÕES!$A:$G,4,0)</f>
        <v>UN</v>
      </c>
      <c r="F354" s="46" t="n">
        <v>2</v>
      </c>
      <c r="G354" s="51" t="n">
        <f aca="false">VLOOKUP($B354,03_COMPOSIÇÕES!$A:$G,6,0)</f>
        <v>555.212908</v>
      </c>
      <c r="H354" s="52" t="n">
        <f aca="false">VLOOKUP($B354,03_COMPOSIÇÕES!$A:$G,7,0)</f>
        <v>10.026846228</v>
      </c>
      <c r="I354" s="47" t="n">
        <f aca="false">$F354*$G354</f>
        <v>1110.425816</v>
      </c>
      <c r="J354" s="47" t="n">
        <f aca="false">$F354*$H354</f>
        <v>20.053692456</v>
      </c>
      <c r="K354" s="47" t="n">
        <f aca="false">$I354*(1+BDI_MAT)</f>
        <v>1339.3956192592</v>
      </c>
      <c r="L354" s="47" t="n">
        <f aca="false">$J354*(1+BDI_MDO)</f>
        <v>25.5664525121544</v>
      </c>
      <c r="M354" s="47" t="n">
        <f aca="false">SUM(K354:L354)</f>
        <v>1364.96207177135</v>
      </c>
      <c r="N354" s="20" t="str">
        <f aca="false">A354</f>
        <v>8.1.1.2.4</v>
      </c>
    </row>
    <row r="355" customFormat="false" ht="30" hidden="false" customHeight="false" outlineLevel="4" collapsed="false">
      <c r="A355" s="42" t="s">
        <v>518</v>
      </c>
      <c r="B355" s="43" t="s">
        <v>519</v>
      </c>
      <c r="C355" s="50" t="str">
        <f aca="false">VLOOKUP($B355,03_COMPOSIÇÕES!$A:$G,2,0)</f>
        <v>PISO TÁTIL ALERTA, ELEMENTOS EM ABS REVESTIDOS DE INOX - FORNECIMENTO E INSTALAÇÃO</v>
      </c>
      <c r="D355" s="45" t="s">
        <v>59</v>
      </c>
      <c r="E355" s="51" t="str">
        <f aca="false">VLOOKUP($B355,03_COMPOSIÇÕES!$A:$G,4,0)</f>
        <v>M</v>
      </c>
      <c r="F355" s="46" t="n">
        <v>34</v>
      </c>
      <c r="G355" s="51" t="n">
        <f aca="false">VLOOKUP($B355,03_COMPOSIÇÕES!$A:$G,6,0)</f>
        <v>139.807</v>
      </c>
      <c r="H355" s="52" t="n">
        <f aca="false">VLOOKUP($B355,03_COMPOSIÇÕES!$A:$G,7,0)</f>
        <v>10.324332</v>
      </c>
      <c r="I355" s="47" t="n">
        <f aca="false">$F355*$G355</f>
        <v>4753.438</v>
      </c>
      <c r="J355" s="47" t="n">
        <f aca="false">$F355*$H355</f>
        <v>351.027288</v>
      </c>
      <c r="K355" s="47" t="n">
        <f aca="false">$I355*(1+BDI_MAT)</f>
        <v>5733.5969156</v>
      </c>
      <c r="L355" s="47" t="n">
        <f aca="false">$J355*(1+BDI_MDO)</f>
        <v>447.5246894712</v>
      </c>
      <c r="M355" s="47" t="n">
        <f aca="false">SUM(K355:L355)</f>
        <v>6181.1216050712</v>
      </c>
      <c r="N355" s="20" t="str">
        <f aca="false">A355</f>
        <v>8.1.1.2.5</v>
      </c>
    </row>
    <row r="356" customFormat="false" ht="30" hidden="false" customHeight="false" outlineLevel="4" collapsed="false">
      <c r="A356" s="42" t="s">
        <v>520</v>
      </c>
      <c r="B356" s="43" t="s">
        <v>521</v>
      </c>
      <c r="C356" s="50" t="str">
        <f aca="false">VLOOKUP($B356,03_COMPOSIÇÕES!$A:$G,2,0)</f>
        <v>PISO TÁTIL DIRECIONAL, ELEMENTOS EM ABS REVESTIDOS DE INOX - FORNECIMENTO E INSTALAÇÃO</v>
      </c>
      <c r="D356" s="45" t="s">
        <v>59</v>
      </c>
      <c r="E356" s="51" t="str">
        <f aca="false">VLOOKUP($B356,03_COMPOSIÇÕES!$A:$G,4,0)</f>
        <v>M</v>
      </c>
      <c r="F356" s="46" t="n">
        <v>2.25</v>
      </c>
      <c r="G356" s="51" t="n">
        <f aca="false">VLOOKUP($B356,03_COMPOSIÇÕES!$A:$G,6,0)</f>
        <v>117.540333333333</v>
      </c>
      <c r="H356" s="52" t="n">
        <f aca="false">VLOOKUP($B356,03_COMPOSIÇÕES!$A:$G,7,0)</f>
        <v>18.259056</v>
      </c>
      <c r="I356" s="47" t="n">
        <f aca="false">$F356*$G356</f>
        <v>264.46575</v>
      </c>
      <c r="J356" s="47" t="n">
        <f aca="false">$F356*$H356</f>
        <v>41.082876</v>
      </c>
      <c r="K356" s="47" t="n">
        <f aca="false">$I356*(1+BDI_MAT)</f>
        <v>318.99858765</v>
      </c>
      <c r="L356" s="47" t="n">
        <f aca="false">$J356*(1+BDI_MDO)</f>
        <v>52.3765586124</v>
      </c>
      <c r="M356" s="47" t="n">
        <f aca="false">SUM(K356:L356)</f>
        <v>371.3751462624</v>
      </c>
      <c r="N356" s="20" t="str">
        <f aca="false">A356</f>
        <v>8.1.1.2.6</v>
      </c>
    </row>
    <row r="357" customFormat="false" ht="15" hidden="false" customHeight="false" outlineLevel="3" collapsed="false">
      <c r="A357" s="42" t="s">
        <v>522</v>
      </c>
      <c r="B357" s="43"/>
      <c r="C357" s="50" t="s">
        <v>523</v>
      </c>
      <c r="D357" s="45"/>
      <c r="E357" s="44"/>
      <c r="F357" s="46"/>
      <c r="G357" s="51"/>
      <c r="H357" s="52"/>
      <c r="I357" s="47" t="n">
        <f aca="false">SUBTOTAL(9,I358:I361)</f>
        <v>141739.50085998</v>
      </c>
      <c r="J357" s="47" t="n">
        <f aca="false">SUBTOTAL(9,J358:J361)</f>
        <v>20210.3068443144</v>
      </c>
      <c r="K357" s="47" t="n">
        <f aca="false">SUBTOTAL(9,K358:K361)</f>
        <v>170966.185937308</v>
      </c>
      <c r="L357" s="47" t="n">
        <f aca="false">SUBTOTAL(9,L358:L361)</f>
        <v>25766.1201958164</v>
      </c>
      <c r="M357" s="47" t="n">
        <f aca="false">SUBTOTAL(9,M358:M361)</f>
        <v>196732.306133124</v>
      </c>
      <c r="N357" s="20" t="str">
        <f aca="false">A357</f>
        <v>8.1.1.3</v>
      </c>
    </row>
    <row r="358" customFormat="false" ht="45" hidden="false" customHeight="false" outlineLevel="4" collapsed="false">
      <c r="A358" s="42" t="s">
        <v>524</v>
      </c>
      <c r="B358" s="43" t="n">
        <v>87261</v>
      </c>
      <c r="C358" s="50" t="str">
        <f aca="false">VLOOKUP($B358,03_COMPOSIÇÕES!$A:$G,2,0)</f>
        <v>REVESTIMENTO CERÂMICO PARA PISO COM PLACAS TIPO PORCELANATO DE DIMENSÕES 60X60 CM APLICADA EM AMBIENTES DE ÁREA MENOR QUE 5 M². AF_02/2023_PE</v>
      </c>
      <c r="D358" s="45" t="s">
        <v>59</v>
      </c>
      <c r="E358" s="51" t="str">
        <f aca="false">VLOOKUP($B358,03_COMPOSIÇÕES!$A:$G,4,0)</f>
        <v>M2</v>
      </c>
      <c r="F358" s="46" t="n">
        <v>11.4</v>
      </c>
      <c r="G358" s="51" t="n">
        <f aca="false">VLOOKUP($B358,03_COMPOSIÇÕES!$A:$G,6,0)</f>
        <v>103.44895</v>
      </c>
      <c r="H358" s="52" t="n">
        <f aca="false">VLOOKUP($B358,03_COMPOSIÇÕES!$A:$G,7,0)</f>
        <v>26.78637420144</v>
      </c>
      <c r="I358" s="47" t="n">
        <f aca="false">$F358*$G358</f>
        <v>1179.31803</v>
      </c>
      <c r="J358" s="47" t="n">
        <f aca="false">$F358*$H358</f>
        <v>305.364665896416</v>
      </c>
      <c r="K358" s="47" t="n">
        <f aca="false">$I358*(1+BDI_MAT)</f>
        <v>1422.493407786</v>
      </c>
      <c r="L358" s="47" t="n">
        <f aca="false">$J358*(1+BDI_MDO)</f>
        <v>389.309412551341</v>
      </c>
      <c r="M358" s="47" t="n">
        <f aca="false">SUM(K358:L358)</f>
        <v>1811.80282033734</v>
      </c>
      <c r="N358" s="20" t="str">
        <f aca="false">A358</f>
        <v>8.1.1.3.1</v>
      </c>
    </row>
    <row r="359" customFormat="false" ht="45" hidden="false" customHeight="false" outlineLevel="4" collapsed="false">
      <c r="A359" s="42" t="s">
        <v>525</v>
      </c>
      <c r="B359" s="43" t="n">
        <v>87263</v>
      </c>
      <c r="C359" s="50" t="str">
        <f aca="false">VLOOKUP($B359,03_COMPOSIÇÕES!$A:$G,2,0)</f>
        <v>REVESTIMENTO CERÂMICO PARA PISO COM PLACAS TIPO PORCELANATO DE DIMENSÕES 60X60 CM APLICADA EM AMBIENTES DE ÁREA MAIOR QUE 10 M². AF_02/2023_PE</v>
      </c>
      <c r="D359" s="45" t="s">
        <v>59</v>
      </c>
      <c r="E359" s="51" t="str">
        <f aca="false">VLOOKUP($B359,03_COMPOSIÇÕES!$A:$G,4,0)</f>
        <v>M2</v>
      </c>
      <c r="F359" s="46" t="n">
        <v>1343.35</v>
      </c>
      <c r="G359" s="51" t="n">
        <f aca="false">VLOOKUP($B359,03_COMPOSIÇÕES!$A:$G,6,0)</f>
        <v>98.717751</v>
      </c>
      <c r="H359" s="52" t="n">
        <f aca="false">VLOOKUP($B359,03_COMPOSIÇÕES!$A:$G,7,0)</f>
        <v>13.19048446212</v>
      </c>
      <c r="I359" s="47" t="n">
        <f aca="false">$F359*$G359</f>
        <v>132612.49080585</v>
      </c>
      <c r="J359" s="47" t="n">
        <f aca="false">$F359*$H359</f>
        <v>17719.4373021889</v>
      </c>
      <c r="K359" s="47" t="n">
        <f aca="false">$I359*(1+BDI_MAT)</f>
        <v>159957.186410016</v>
      </c>
      <c r="L359" s="47" t="n">
        <f aca="false">$J359*(1+BDI_MDO)</f>
        <v>22590.5106165606</v>
      </c>
      <c r="M359" s="47" t="n">
        <f aca="false">SUM(K359:L359)</f>
        <v>182547.697026577</v>
      </c>
      <c r="N359" s="20" t="str">
        <f aca="false">A359</f>
        <v>8.1.1.3.2</v>
      </c>
    </row>
    <row r="360" customFormat="false" ht="45" hidden="false" customHeight="false" outlineLevel="4" collapsed="false">
      <c r="A360" s="42" t="s">
        <v>526</v>
      </c>
      <c r="B360" s="43" t="s">
        <v>527</v>
      </c>
      <c r="C360" s="50" t="str">
        <f aca="false">VLOOKUP($B360,03_COMPOSIÇÕES!$A:$G,2,0)</f>
        <v>REVESTIMENTO CERÂMICO PARA PISO COM PLACAS TIPO ESMALTADA EXTRA DE DIMENSÕES 30X30 CM APLICADA EM AMBIENTES DE ÁREA MENOR QUE 5 M2.</v>
      </c>
      <c r="D360" s="45" t="s">
        <v>59</v>
      </c>
      <c r="E360" s="51" t="str">
        <f aca="false">VLOOKUP($B360,03_COMPOSIÇÕES!$A:$G,4,0)</f>
        <v>M2</v>
      </c>
      <c r="F360" s="46" t="n">
        <v>92.39</v>
      </c>
      <c r="G360" s="51" t="n">
        <f aca="false">VLOOKUP($B360,03_COMPOSIÇÕES!$A:$G,6,0)</f>
        <v>48.240723</v>
      </c>
      <c r="H360" s="52" t="n">
        <f aca="false">VLOOKUP($B360,03_COMPOSIÇÕES!$A:$G,7,0)</f>
        <v>16.84294143588</v>
      </c>
      <c r="I360" s="47" t="n">
        <f aca="false">$F360*$G360</f>
        <v>4456.96039797</v>
      </c>
      <c r="J360" s="47" t="n">
        <f aca="false">$F360*$H360</f>
        <v>1556.11935926095</v>
      </c>
      <c r="K360" s="47" t="n">
        <f aca="false">$I360*(1+BDI_MAT)</f>
        <v>5375.98563203142</v>
      </c>
      <c r="L360" s="47" t="n">
        <f aca="false">$J360*(1+BDI_MDO)</f>
        <v>1983.89657112179</v>
      </c>
      <c r="M360" s="47" t="n">
        <f aca="false">SUM(K360:L360)</f>
        <v>7359.8822031532</v>
      </c>
      <c r="N360" s="20" t="str">
        <f aca="false">A360</f>
        <v>8.1.1.3.3</v>
      </c>
    </row>
    <row r="361" customFormat="false" ht="45" hidden="false" customHeight="false" outlineLevel="4" collapsed="false">
      <c r="A361" s="42" t="s">
        <v>528</v>
      </c>
      <c r="B361" s="43" t="s">
        <v>529</v>
      </c>
      <c r="C361" s="50" t="str">
        <f aca="false">VLOOKUP($B361,03_COMPOSIÇÕES!$A:$G,2,0)</f>
        <v>REVESTIMENTO CERÂMICO PARA PISO COM PLACAS TIPO ESMALTADA EXTRA DE DIMENSÕES 30X30 CM APLICADA EM AMBIENTES DE ÁREA MAIOR QUE 10 M2.</v>
      </c>
      <c r="D361" s="45" t="s">
        <v>59</v>
      </c>
      <c r="E361" s="51" t="str">
        <f aca="false">VLOOKUP($B361,03_COMPOSIÇÕES!$A:$G,4,0)</f>
        <v>M2</v>
      </c>
      <c r="F361" s="46" t="n">
        <v>92.66</v>
      </c>
      <c r="G361" s="51" t="n">
        <f aca="false">VLOOKUP($B361,03_COMPOSIÇÕES!$A:$G,6,0)</f>
        <v>37.672476</v>
      </c>
      <c r="H361" s="52" t="n">
        <f aca="false">VLOOKUP($B361,03_COMPOSIÇÕES!$A:$G,7,0)</f>
        <v>6.79241870244</v>
      </c>
      <c r="I361" s="47" t="n">
        <f aca="false">$F361*$G361</f>
        <v>3490.73162616</v>
      </c>
      <c r="J361" s="47" t="n">
        <f aca="false">$F361*$H361</f>
        <v>629.38551696809</v>
      </c>
      <c r="K361" s="47" t="n">
        <f aca="false">$I361*(1+BDI_MAT)</f>
        <v>4210.52048747419</v>
      </c>
      <c r="L361" s="47" t="n">
        <f aca="false">$J361*(1+BDI_MDO)</f>
        <v>802.403595582618</v>
      </c>
      <c r="M361" s="47" t="n">
        <f aca="false">SUM(K361:L361)</f>
        <v>5012.92408305681</v>
      </c>
      <c r="N361" s="20" t="str">
        <f aca="false">A361</f>
        <v>8.1.1.3.4</v>
      </c>
    </row>
    <row r="362" customFormat="false" ht="15" hidden="false" customHeight="false" outlineLevel="3" collapsed="false">
      <c r="A362" s="42" t="s">
        <v>530</v>
      </c>
      <c r="B362" s="43"/>
      <c r="C362" s="50" t="s">
        <v>531</v>
      </c>
      <c r="D362" s="45"/>
      <c r="E362" s="44"/>
      <c r="F362" s="46"/>
      <c r="G362" s="51"/>
      <c r="H362" s="52"/>
      <c r="I362" s="47" t="n">
        <f aca="false">SUBTOTAL(9,I363)</f>
        <v>13077.2070014208</v>
      </c>
      <c r="J362" s="47" t="n">
        <f aca="false">SUBTOTAL(9,J363)</f>
        <v>697.43257905024</v>
      </c>
      <c r="K362" s="47" t="n">
        <f aca="false">SUBTOTAL(9,K363)</f>
        <v>15773.7270851138</v>
      </c>
      <c r="L362" s="47" t="n">
        <f aca="false">SUBTOTAL(9,L363)</f>
        <v>889.156795031151</v>
      </c>
      <c r="M362" s="47" t="n">
        <f aca="false">SUBTOTAL(9,M363)</f>
        <v>16662.8838801449</v>
      </c>
      <c r="N362" s="20" t="str">
        <f aca="false">A362</f>
        <v>8.1.1.4</v>
      </c>
    </row>
    <row r="363" customFormat="false" ht="30" hidden="false" customHeight="false" outlineLevel="4" collapsed="false">
      <c r="A363" s="42" t="s">
        <v>532</v>
      </c>
      <c r="B363" s="43" t="n">
        <v>97097</v>
      </c>
      <c r="C363" s="50" t="str">
        <f aca="false">VLOOKUP($B363,03_COMPOSIÇÕES!$A:$G,2,0)</f>
        <v>ACABAMENTO POLIDO PARA PISO DE CONCRETO ARMADO OU LAJE SOBRE SOLO DE ALTA RESISTÊNCIA. AF_09/2021</v>
      </c>
      <c r="D363" s="45" t="s">
        <v>59</v>
      </c>
      <c r="E363" s="51" t="str">
        <f aca="false">VLOOKUP($B363,03_COMPOSIÇÕES!$A:$G,4,0)</f>
        <v>M2</v>
      </c>
      <c r="F363" s="46" t="n">
        <v>383.82</v>
      </c>
      <c r="G363" s="51" t="n">
        <f aca="false">VLOOKUP($B363,03_COMPOSIÇÕES!$A:$G,6,0)</f>
        <v>34.07119744</v>
      </c>
      <c r="H363" s="52" t="n">
        <f aca="false">VLOOKUP($B363,03_COMPOSIÇÕES!$A:$G,7,0)</f>
        <v>1.817082432</v>
      </c>
      <c r="I363" s="47" t="n">
        <f aca="false">$F363*$G363</f>
        <v>13077.2070014208</v>
      </c>
      <c r="J363" s="47" t="n">
        <f aca="false">$F363*$H363</f>
        <v>697.43257905024</v>
      </c>
      <c r="K363" s="47" t="n">
        <f aca="false">$I363*(1+BDI_MAT)</f>
        <v>15773.7270851138</v>
      </c>
      <c r="L363" s="47" t="n">
        <f aca="false">$J363*(1+BDI_MDO)</f>
        <v>889.156795031151</v>
      </c>
      <c r="M363" s="47" t="n">
        <f aca="false">SUM(K363:L363)</f>
        <v>16662.8838801449</v>
      </c>
      <c r="N363" s="20" t="str">
        <f aca="false">A363</f>
        <v>8.1.1.4.1</v>
      </c>
    </row>
    <row r="364" customFormat="false" ht="15" hidden="false" customHeight="false" outlineLevel="3" collapsed="false">
      <c r="A364" s="42" t="s">
        <v>533</v>
      </c>
      <c r="B364" s="43"/>
      <c r="C364" s="50" t="s">
        <v>534</v>
      </c>
      <c r="D364" s="45"/>
      <c r="E364" s="44"/>
      <c r="F364" s="46"/>
      <c r="G364" s="51"/>
      <c r="H364" s="52"/>
      <c r="I364" s="47" t="n">
        <f aca="false">SUBTOTAL(9,I365)</f>
        <v>318.622766</v>
      </c>
      <c r="J364" s="47" t="n">
        <f aca="false">SUBTOTAL(9,J365)</f>
        <v>82.5020325404352</v>
      </c>
      <c r="K364" s="47" t="n">
        <f aca="false">SUBTOTAL(9,K365)</f>
        <v>384.3227803492</v>
      </c>
      <c r="L364" s="47" t="n">
        <f aca="false">SUBTOTAL(9,L365)</f>
        <v>105.181841285801</v>
      </c>
      <c r="M364" s="47" t="n">
        <f aca="false">SUBTOTAL(9,M365)</f>
        <v>489.504621635001</v>
      </c>
      <c r="N364" s="20" t="str">
        <f aca="false">A364</f>
        <v>8.1.1.5</v>
      </c>
    </row>
    <row r="365" customFormat="false" ht="45" hidden="false" customHeight="false" outlineLevel="3" collapsed="false">
      <c r="A365" s="42" t="s">
        <v>535</v>
      </c>
      <c r="B365" s="43" t="n">
        <v>87261</v>
      </c>
      <c r="C365" s="50" t="str">
        <f aca="false">VLOOKUP($B365,03_COMPOSIÇÕES!$A:$G,2,0)</f>
        <v>REVESTIMENTO CERÂMICO PARA PISO COM PLACAS TIPO PORCELANATO DE DIMENSÕES 60X60 CM APLICADA EM AMBIENTES DE ÁREA MENOR QUE 5 M². AF_02/2023_PE</v>
      </c>
      <c r="D365" s="45" t="s">
        <v>59</v>
      </c>
      <c r="E365" s="51" t="str">
        <f aca="false">VLOOKUP($B365,03_COMPOSIÇÕES!$A:$G,4,0)</f>
        <v>M2</v>
      </c>
      <c r="F365" s="46" t="n">
        <v>3.08</v>
      </c>
      <c r="G365" s="51" t="n">
        <f aca="false">VLOOKUP($B365,03_COMPOSIÇÕES!$A:$G,6,0)</f>
        <v>103.44895</v>
      </c>
      <c r="H365" s="52" t="n">
        <f aca="false">VLOOKUP($B365,03_COMPOSIÇÕES!$A:$G,7,0)</f>
        <v>26.78637420144</v>
      </c>
      <c r="I365" s="47" t="n">
        <f aca="false">$F365*$G365</f>
        <v>318.622766</v>
      </c>
      <c r="J365" s="47" t="n">
        <f aca="false">$F365*$H365</f>
        <v>82.5020325404352</v>
      </c>
      <c r="K365" s="47" t="n">
        <f aca="false">$I365*(1+BDI_MAT)</f>
        <v>384.3227803492</v>
      </c>
      <c r="L365" s="47" t="n">
        <f aca="false">$J365*(1+BDI_MDO)</f>
        <v>105.181841285801</v>
      </c>
      <c r="M365" s="47" t="n">
        <f aca="false">SUM(K365:L365)</f>
        <v>489.504621635001</v>
      </c>
      <c r="N365" s="20" t="str">
        <f aca="false">A365</f>
        <v>8.1.1.5.1</v>
      </c>
    </row>
    <row r="366" customFormat="false" ht="15" hidden="false" customHeight="false" outlineLevel="3" collapsed="false">
      <c r="A366" s="42" t="s">
        <v>536</v>
      </c>
      <c r="B366" s="43"/>
      <c r="C366" s="58" t="s">
        <v>537</v>
      </c>
      <c r="D366" s="45"/>
      <c r="E366" s="44"/>
      <c r="F366" s="46"/>
      <c r="G366" s="51"/>
      <c r="H366" s="52"/>
      <c r="I366" s="47" t="n">
        <f aca="false">SUBTOTAL(9,I367)</f>
        <v>7067.998368</v>
      </c>
      <c r="J366" s="47" t="n">
        <f aca="false">SUBTOTAL(9,J367)</f>
        <v>605.94829023168</v>
      </c>
      <c r="K366" s="47" t="n">
        <f aca="false">SUBTOTAL(9,K367)</f>
        <v>8525.4196314816</v>
      </c>
      <c r="L366" s="47" t="n">
        <f aca="false">SUBTOTAL(9,L367)</f>
        <v>772.523475216369</v>
      </c>
      <c r="M366" s="47" t="n">
        <f aca="false">SUBTOTAL(9,M367)</f>
        <v>9297.94310669797</v>
      </c>
      <c r="N366" s="20" t="str">
        <f aca="false">A366</f>
        <v>8.1.1.6</v>
      </c>
    </row>
    <row r="367" customFormat="false" ht="15" hidden="false" customHeight="false" outlineLevel="3" collapsed="false">
      <c r="A367" s="42" t="s">
        <v>538</v>
      </c>
      <c r="B367" s="43" t="n">
        <v>98671</v>
      </c>
      <c r="C367" s="50" t="str">
        <f aca="false">VLOOKUP($B367,03_COMPOSIÇÕES!$A:$G,2,0)</f>
        <v>PISO EM GRANITO APLICADO EM AMBIENTES INTERNOS. AF_09/2020</v>
      </c>
      <c r="D367" s="45" t="s">
        <v>59</v>
      </c>
      <c r="E367" s="51" t="str">
        <f aca="false">VLOOKUP($B367,03_COMPOSIÇÕES!$A:$G,4,0)</f>
        <v>M2</v>
      </c>
      <c r="F367" s="46" t="n">
        <v>18.8</v>
      </c>
      <c r="G367" s="51" t="n">
        <f aca="false">VLOOKUP($B367,03_COMPOSIÇÕES!$A:$G,6,0)</f>
        <v>375.95736</v>
      </c>
      <c r="H367" s="52" t="n">
        <f aca="false">VLOOKUP($B367,03_COMPOSIÇÕES!$A:$G,7,0)</f>
        <v>32.2312920336</v>
      </c>
      <c r="I367" s="47" t="n">
        <f aca="false">$F367*$G367</f>
        <v>7067.998368</v>
      </c>
      <c r="J367" s="47" t="n">
        <f aca="false">$F367*$H367</f>
        <v>605.94829023168</v>
      </c>
      <c r="K367" s="47" t="n">
        <f aca="false">$I367*(1+BDI_MAT)</f>
        <v>8525.4196314816</v>
      </c>
      <c r="L367" s="47" t="n">
        <f aca="false">$J367*(1+BDI_MDO)</f>
        <v>772.523475216369</v>
      </c>
      <c r="M367" s="47" t="n">
        <f aca="false">SUM(K367:L367)</f>
        <v>9297.94310669797</v>
      </c>
      <c r="N367" s="20" t="str">
        <f aca="false">A367</f>
        <v>8.1.1.6.1</v>
      </c>
    </row>
    <row r="368" customFormat="false" ht="15" hidden="false" customHeight="false" outlineLevel="2" collapsed="false">
      <c r="A368" s="42" t="s">
        <v>539</v>
      </c>
      <c r="B368" s="43"/>
      <c r="C368" s="50" t="s">
        <v>540</v>
      </c>
      <c r="D368" s="45"/>
      <c r="E368" s="44"/>
      <c r="F368" s="46"/>
      <c r="G368" s="51"/>
      <c r="H368" s="52"/>
      <c r="I368" s="47" t="n">
        <f aca="false">SUBTOTAL(9,I369:I377)</f>
        <v>69545.6723108851</v>
      </c>
      <c r="J368" s="47" t="n">
        <f aca="false">SUBTOTAL(9,J369:J377)</f>
        <v>10486.5146709848</v>
      </c>
      <c r="K368" s="47" t="n">
        <f aca="false">SUBTOTAL(9,K369:K377)</f>
        <v>83885.9899413896</v>
      </c>
      <c r="L368" s="47" t="n">
        <f aca="false">SUBTOTAL(9,L369:L377)</f>
        <v>13369.2575540385</v>
      </c>
      <c r="M368" s="47" t="n">
        <f aca="false">SUBTOTAL(9,M369:M377)</f>
        <v>97255.2474954281</v>
      </c>
      <c r="N368" s="20" t="str">
        <f aca="false">A368</f>
        <v>8.1.2</v>
      </c>
    </row>
    <row r="369" customFormat="false" ht="45" hidden="false" customHeight="false" outlineLevel="2" collapsed="false">
      <c r="A369" s="42" t="s">
        <v>541</v>
      </c>
      <c r="B369" s="43" t="n">
        <v>94994</v>
      </c>
      <c r="C369" s="50" t="str">
        <f aca="false">VLOOKUP($B369,03_COMPOSIÇÕES!$A:$G,2,0)</f>
        <v>EXECUÇÃO DE PASSEIO (CALÇADA) OU PISO DE CONCRETO COM CONCRETO MOLDADO IN LOCO, FEITO EM OBRA, ACABAMENTO CONVENCIONAL, ESPESSURA 8 CM, ARMADO. AF_08/2022</v>
      </c>
      <c r="D369" s="45" t="s">
        <v>59</v>
      </c>
      <c r="E369" s="51" t="str">
        <f aca="false">VLOOKUP($B369,03_COMPOSIÇÕES!$A:$G,4,0)</f>
        <v>M2</v>
      </c>
      <c r="F369" s="46" t="n">
        <v>291.7</v>
      </c>
      <c r="G369" s="51" t="n">
        <f aca="false">VLOOKUP($B369,03_COMPOSIÇÕES!$A:$G,6,0)</f>
        <v>76.6323729043012</v>
      </c>
      <c r="H369" s="52" t="n">
        <f aca="false">VLOOKUP($B369,03_COMPOSIÇÕES!$A:$G,7,0)</f>
        <v>15.9480297594751</v>
      </c>
      <c r="I369" s="47" t="n">
        <f aca="false">$F369*$G369</f>
        <v>22353.6631761847</v>
      </c>
      <c r="J369" s="47" t="n">
        <f aca="false">$F369*$H369</f>
        <v>4652.04028083888</v>
      </c>
      <c r="K369" s="47" t="n">
        <f aca="false">$I369*(1+BDI_MAT)</f>
        <v>26962.9885231139</v>
      </c>
      <c r="L369" s="47" t="n">
        <f aca="false">$J369*(1+BDI_MDO)</f>
        <v>5930.88615404149</v>
      </c>
      <c r="M369" s="47" t="n">
        <f aca="false">SUM(K369:L369)</f>
        <v>32893.8746771554</v>
      </c>
      <c r="N369" s="20" t="str">
        <f aca="false">A369</f>
        <v>8.1.2.1</v>
      </c>
    </row>
    <row r="370" customFormat="false" ht="30" hidden="false" customHeight="false" outlineLevel="2" collapsed="false">
      <c r="A370" s="42" t="s">
        <v>542</v>
      </c>
      <c r="B370" s="43" t="s">
        <v>543</v>
      </c>
      <c r="C370" s="50" t="str">
        <f aca="false">VLOOKUP($B370,03_COMPOSIÇÕES!$A:$G,2,0)</f>
        <v>EXECUÇÃO DE PASSEIO EM PISO INTERTRAVADO, COM BLOCO RETANGULAR COR NATURAL DE 20 X 10 CM, ESPESSURA 8 CM.</v>
      </c>
      <c r="D370" s="45" t="s">
        <v>59</v>
      </c>
      <c r="E370" s="51" t="str">
        <f aca="false">VLOOKUP($B370,03_COMPOSIÇÕES!$A:$G,4,0)</f>
        <v>M2</v>
      </c>
      <c r="F370" s="46" t="n">
        <v>308.31</v>
      </c>
      <c r="G370" s="51" t="n">
        <f aca="false">VLOOKUP($B370,03_COMPOSIÇÕES!$A:$G,6,0)</f>
        <v>98.1878276126445</v>
      </c>
      <c r="H370" s="52" t="n">
        <f aca="false">VLOOKUP($B370,03_COMPOSIÇÕES!$A:$G,7,0)</f>
        <v>11.8253244315</v>
      </c>
      <c r="I370" s="47" t="n">
        <f aca="false">$F370*$G370</f>
        <v>30272.2891312544</v>
      </c>
      <c r="J370" s="47" t="n">
        <f aca="false">$F370*$H370</f>
        <v>3645.86577547576</v>
      </c>
      <c r="K370" s="47" t="n">
        <f aca="false">$I370*(1+BDI_MAT)</f>
        <v>36514.4351501191</v>
      </c>
      <c r="L370" s="47" t="n">
        <f aca="false">$J370*(1+BDI_MDO)</f>
        <v>4648.11427715405</v>
      </c>
      <c r="M370" s="47" t="n">
        <f aca="false">SUM(K370:L370)</f>
        <v>41162.5494272731</v>
      </c>
      <c r="N370" s="20" t="str">
        <f aca="false">A370</f>
        <v>8.1.2.2</v>
      </c>
    </row>
    <row r="371" customFormat="false" ht="60" hidden="false" customHeight="false" outlineLevel="2" collapsed="false">
      <c r="A371" s="42" t="s">
        <v>544</v>
      </c>
      <c r="B371" s="43" t="n">
        <v>94277</v>
      </c>
      <c r="C371" s="50" t="str">
        <f aca="false">VLOOKUP($B371,03_COMPOSIÇÕES!$A:$G,2,0)</f>
        <v>ASSENTAMENTO DE GUIA (MEIO-FIO) EM TRECHO RETO, CONFECCIONADA EM CONCRETO PRÉ-FABRICADO, DIMENSÕES 80X08X08X25 CM (COMPRIMENTO X BASE INFERIOR X BASE SUPERIOR X ALTURA). AF_01/2024</v>
      </c>
      <c r="D371" s="45" t="s">
        <v>59</v>
      </c>
      <c r="E371" s="51" t="str">
        <f aca="false">VLOOKUP($B371,03_COMPOSIÇÕES!$A:$G,4,0)</f>
        <v>M</v>
      </c>
      <c r="F371" s="46" t="n">
        <v>329.82</v>
      </c>
      <c r="G371" s="51" t="n">
        <f aca="false">VLOOKUP($B371,03_COMPOSIÇÕES!$A:$G,6,0)</f>
        <v>32.96231566</v>
      </c>
      <c r="H371" s="52" t="n">
        <f aca="false">VLOOKUP($B371,03_COMPOSIÇÕES!$A:$G,7,0)</f>
        <v>2.80528199658</v>
      </c>
      <c r="I371" s="47" t="n">
        <f aca="false">$F371*$G371</f>
        <v>10871.6309509812</v>
      </c>
      <c r="J371" s="47" t="n">
        <f aca="false">$F371*$H371</f>
        <v>925.238108112016</v>
      </c>
      <c r="K371" s="47" t="n">
        <f aca="false">$I371*(1+BDI_MAT)</f>
        <v>13113.3612530735</v>
      </c>
      <c r="L371" s="47" t="n">
        <f aca="false">$J371*(1+BDI_MDO)</f>
        <v>1179.58606403201</v>
      </c>
      <c r="M371" s="47" t="n">
        <f aca="false">SUM(K371:L371)</f>
        <v>14292.9473171055</v>
      </c>
      <c r="N371" s="20" t="str">
        <f aca="false">A371</f>
        <v>8.1.2.3</v>
      </c>
    </row>
    <row r="372" customFormat="false" ht="60" hidden="false" customHeight="false" outlineLevel="2" collapsed="false">
      <c r="A372" s="42" t="s">
        <v>545</v>
      </c>
      <c r="B372" s="43" t="n">
        <v>94278</v>
      </c>
      <c r="C372" s="50" t="str">
        <f aca="false">VLOOKUP($B372,03_COMPOSIÇÕES!$A:$G,2,0)</f>
        <v>ASSENTAMENTO DE GUIA (MEIO-FIO) EM TRECHO CURVO, CONFECCIONADA EM CONCRETO PRÉ-FABRICADO, DIMENSÕES 80X08X08X25 CM (COMPRIMENTO X BASE INFERIOR X BASE SUPERIOR X ALTURA). AF_01/2024</v>
      </c>
      <c r="D372" s="45" t="s">
        <v>59</v>
      </c>
      <c r="E372" s="51" t="str">
        <f aca="false">VLOOKUP($B372,03_COMPOSIÇÕES!$A:$G,4,0)</f>
        <v>M</v>
      </c>
      <c r="F372" s="46" t="n">
        <v>22.28</v>
      </c>
      <c r="G372" s="51" t="n">
        <f aca="false">VLOOKUP($B372,03_COMPOSIÇÕES!$A:$G,6,0)</f>
        <v>33.80287466</v>
      </c>
      <c r="H372" s="52" t="n">
        <f aca="false">VLOOKUP($B372,03_COMPOSIÇÕES!$A:$G,7,0)</f>
        <v>3.54982359858</v>
      </c>
      <c r="I372" s="47" t="n">
        <f aca="false">$F372*$G372</f>
        <v>753.1280474248</v>
      </c>
      <c r="J372" s="47" t="n">
        <f aca="false">$F372*$H372</f>
        <v>79.0900697763624</v>
      </c>
      <c r="K372" s="47" t="n">
        <f aca="false">$I372*(1+BDI_MAT)</f>
        <v>908.423050803794</v>
      </c>
      <c r="L372" s="47" t="n">
        <f aca="false">$J372*(1+BDI_MDO)</f>
        <v>100.831929957884</v>
      </c>
      <c r="M372" s="47" t="n">
        <f aca="false">SUM(K372:L372)</f>
        <v>1009.25498076168</v>
      </c>
      <c r="N372" s="20" t="str">
        <f aca="false">A372</f>
        <v>8.1.2.4</v>
      </c>
    </row>
    <row r="373" customFormat="false" ht="30" hidden="false" customHeight="false" outlineLevel="2" collapsed="false">
      <c r="A373" s="42" t="s">
        <v>546</v>
      </c>
      <c r="B373" s="43" t="n">
        <v>102500</v>
      </c>
      <c r="C373" s="50" t="str">
        <f aca="false">VLOOKUP($B373,03_COMPOSIÇÕES!$A:$G,2,0)</f>
        <v>PINTURA DE DEMARCAÇÃO DE VAGA COM TINTA ACRÍLICA, E = 10 CM, APLICAÇÃO MANUAL. AF_05/2021</v>
      </c>
      <c r="D373" s="45" t="s">
        <v>59</v>
      </c>
      <c r="E373" s="51" t="str">
        <f aca="false">VLOOKUP($B373,03_COMPOSIÇÕES!$A:$G,4,0)</f>
        <v>M</v>
      </c>
      <c r="F373" s="46" t="n">
        <v>145</v>
      </c>
      <c r="G373" s="51" t="n">
        <f aca="false">VLOOKUP($B373,03_COMPOSIÇÕES!$A:$G,6,0)</f>
        <v>2.33683</v>
      </c>
      <c r="H373" s="52" t="n">
        <f aca="false">VLOOKUP($B373,03_COMPOSIÇÕES!$A:$G,7,0)</f>
        <v>1.7030311176</v>
      </c>
      <c r="I373" s="47" t="n">
        <f aca="false">$F373*$G373</f>
        <v>338.84035</v>
      </c>
      <c r="J373" s="47" t="n">
        <f aca="false">$F373*$H373</f>
        <v>246.939512052</v>
      </c>
      <c r="K373" s="47" t="n">
        <f aca="false">$I373*(1+BDI_MAT)</f>
        <v>408.70923017</v>
      </c>
      <c r="L373" s="47" t="n">
        <f aca="false">$J373*(1+BDI_MDO)</f>
        <v>314.823183915095</v>
      </c>
      <c r="M373" s="47" t="n">
        <f aca="false">SUM(K373:L373)</f>
        <v>723.532414085095</v>
      </c>
      <c r="N373" s="20" t="str">
        <f aca="false">A373</f>
        <v>8.1.2.5</v>
      </c>
    </row>
    <row r="374" customFormat="false" ht="30" hidden="false" customHeight="false" outlineLevel="2" collapsed="false">
      <c r="A374" s="42" t="s">
        <v>547</v>
      </c>
      <c r="B374" s="43" t="n">
        <v>102513</v>
      </c>
      <c r="C374" s="50" t="str">
        <f aca="false">VLOOKUP($B374,03_COMPOSIÇÕES!$A:$G,2,0)</f>
        <v>PINTURA DE SÍMBOLOS E TEXTOS COM TINTA ACRÍLICA, DEMARCAÇÃO COM FITA ADESIVA E APLICAÇÃO COM ROLO. AF_05/2021</v>
      </c>
      <c r="D374" s="45" t="s">
        <v>59</v>
      </c>
      <c r="E374" s="51" t="str">
        <f aca="false">VLOOKUP($B374,03_COMPOSIÇÕES!$A:$G,4,0)</f>
        <v>M2</v>
      </c>
      <c r="F374" s="46" t="n">
        <v>2.88</v>
      </c>
      <c r="G374" s="51" t="n">
        <f aca="false">VLOOKUP($B374,03_COMPOSIÇÕES!$A:$G,6,0)</f>
        <v>23.21963</v>
      </c>
      <c r="H374" s="52" t="n">
        <f aca="false">VLOOKUP($B374,03_COMPOSIÇÕES!$A:$G,7,0)</f>
        <v>24.987525312</v>
      </c>
      <c r="I374" s="47" t="n">
        <f aca="false">$F374*$G374</f>
        <v>66.8725344</v>
      </c>
      <c r="J374" s="47" t="n">
        <f aca="false">$F374*$H374</f>
        <v>71.96407289856</v>
      </c>
      <c r="K374" s="47" t="n">
        <f aca="false">$I374*(1+BDI_MAT)</f>
        <v>80.66165099328</v>
      </c>
      <c r="L374" s="47" t="n">
        <f aca="false">$J374*(1+BDI_MDO)</f>
        <v>91.7469965383742</v>
      </c>
      <c r="M374" s="47" t="n">
        <f aca="false">SUM(K374:L374)</f>
        <v>172.408647531654</v>
      </c>
      <c r="N374" s="20" t="str">
        <f aca="false">A374</f>
        <v>8.1.2.6</v>
      </c>
    </row>
    <row r="375" customFormat="false" ht="30" hidden="false" customHeight="false" outlineLevel="2" collapsed="false">
      <c r="A375" s="42" t="s">
        <v>548</v>
      </c>
      <c r="B375" s="43" t="n">
        <v>102494</v>
      </c>
      <c r="C375" s="50" t="str">
        <f aca="false">VLOOKUP($B375,03_COMPOSIÇÕES!$A:$G,2,0)</f>
        <v>PINTURA DE PISO COM TINTA EPÓXI, APLICAÇÃO MANUAL, 2 DEMÃOS, INCLUSO PRIMER EPÓXI. AF_05/2021</v>
      </c>
      <c r="D375" s="45" t="s">
        <v>59</v>
      </c>
      <c r="E375" s="51" t="str">
        <f aca="false">VLOOKUP($B375,03_COMPOSIÇÕES!$A:$G,4,0)</f>
        <v>M2</v>
      </c>
      <c r="F375" s="46" t="n">
        <v>117.58</v>
      </c>
      <c r="G375" s="51" t="n">
        <f aca="false">VLOOKUP($B375,03_COMPOSIÇÕES!$A:$G,6,0)</f>
        <v>31.666528</v>
      </c>
      <c r="H375" s="52" t="n">
        <f aca="false">VLOOKUP($B375,03_COMPOSIÇÕES!$A:$G,7,0)</f>
        <v>7.16339508</v>
      </c>
      <c r="I375" s="47" t="n">
        <f aca="false">$F375*$G375</f>
        <v>3723.35036224</v>
      </c>
      <c r="J375" s="47" t="n">
        <f aca="false">$F375*$H375</f>
        <v>842.2719935064</v>
      </c>
      <c r="K375" s="47" t="n">
        <f aca="false">$I375*(1+BDI_MAT)</f>
        <v>4491.10520693389</v>
      </c>
      <c r="L375" s="47" t="n">
        <f aca="false">$J375*(1+BDI_MDO)</f>
        <v>1073.81256452131</v>
      </c>
      <c r="M375" s="47" t="n">
        <f aca="false">SUM(K375:L375)</f>
        <v>5564.9177714552</v>
      </c>
      <c r="N375" s="20" t="str">
        <f aca="false">A375</f>
        <v>8.1.2.7</v>
      </c>
    </row>
    <row r="376" customFormat="false" ht="30" hidden="false" customHeight="false" outlineLevel="2" collapsed="false">
      <c r="A376" s="42" t="s">
        <v>549</v>
      </c>
      <c r="B376" s="43" t="s">
        <v>515</v>
      </c>
      <c r="C376" s="50" t="str">
        <f aca="false">VLOOKUP($B376,03_COMPOSIÇÕES!$A:$G,2,0)</f>
        <v>FORNECIMENTO E INSTALAÇÃO DE SINALIZADOR DE DEGRAUS FOTOLUMINESCENTE 7X3 CM.</v>
      </c>
      <c r="D376" s="45" t="s">
        <v>59</v>
      </c>
      <c r="E376" s="51" t="str">
        <f aca="false">VLOOKUP($B376,03_COMPOSIÇÕES!$A:$G,4,0)</f>
        <v>UN</v>
      </c>
      <c r="F376" s="46" t="n">
        <v>5.6</v>
      </c>
      <c r="G376" s="51" t="n">
        <f aca="false">VLOOKUP($B376,03_COMPOSIÇÕES!$A:$G,6,0)</f>
        <v>9.905704</v>
      </c>
      <c r="H376" s="52" t="n">
        <f aca="false">VLOOKUP($B376,03_COMPOSIÇÕES!$A:$G,7,0)</f>
        <v>0.544851048</v>
      </c>
      <c r="I376" s="47" t="n">
        <f aca="false">$F376*$G376</f>
        <v>55.4719424</v>
      </c>
      <c r="J376" s="47" t="n">
        <f aca="false">$F376*$H376</f>
        <v>3.0511658688</v>
      </c>
      <c r="K376" s="47" t="n">
        <f aca="false">$I376*(1+BDI_MAT)</f>
        <v>66.91025692288</v>
      </c>
      <c r="L376" s="47" t="n">
        <f aca="false">$J376*(1+BDI_MDO)</f>
        <v>3.88993136613312</v>
      </c>
      <c r="M376" s="47" t="n">
        <f aca="false">SUM(K376:L376)</f>
        <v>70.8001882890131</v>
      </c>
      <c r="N376" s="20" t="str">
        <f aca="false">A376</f>
        <v>8.1.2.8</v>
      </c>
    </row>
    <row r="377" customFormat="false" ht="15" hidden="false" customHeight="false" outlineLevel="2" collapsed="false">
      <c r="A377" s="42" t="s">
        <v>550</v>
      </c>
      <c r="B377" s="43" t="s">
        <v>517</v>
      </c>
      <c r="C377" s="50" t="str">
        <f aca="false">VLOOKUP($B377,03_COMPOSIÇÕES!$A:$G,2,0)</f>
        <v>PLACA DE SINALIZAÇÃO DE VAGA PARA DEFICIENTE OU IDOSO.</v>
      </c>
      <c r="D377" s="45" t="s">
        <v>59</v>
      </c>
      <c r="E377" s="51" t="str">
        <f aca="false">VLOOKUP($B377,03_COMPOSIÇÕES!$A:$G,4,0)</f>
        <v>UN</v>
      </c>
      <c r="F377" s="46" t="n">
        <v>2</v>
      </c>
      <c r="G377" s="51" t="n">
        <f aca="false">VLOOKUP($B377,03_COMPOSIÇÕES!$A:$G,6,0)</f>
        <v>555.212908</v>
      </c>
      <c r="H377" s="52" t="n">
        <f aca="false">VLOOKUP($B377,03_COMPOSIÇÕES!$A:$G,7,0)</f>
        <v>10.026846228</v>
      </c>
      <c r="I377" s="47" t="n">
        <f aca="false">$F377*$G377</f>
        <v>1110.425816</v>
      </c>
      <c r="J377" s="47" t="n">
        <f aca="false">$F377*$H377</f>
        <v>20.053692456</v>
      </c>
      <c r="K377" s="47" t="n">
        <f aca="false">$I377*(1+BDI_MAT)</f>
        <v>1339.3956192592</v>
      </c>
      <c r="L377" s="47" t="n">
        <f aca="false">$J377*(1+BDI_MDO)</f>
        <v>25.5664525121544</v>
      </c>
      <c r="M377" s="47" t="n">
        <f aca="false">SUM(K377:L377)</f>
        <v>1364.96207177135</v>
      </c>
      <c r="N377" s="20" t="str">
        <f aca="false">A377</f>
        <v>8.1.2.9</v>
      </c>
    </row>
    <row r="378" customFormat="false" ht="15" hidden="false" customHeight="false" outlineLevel="1" collapsed="false">
      <c r="A378" s="42" t="s">
        <v>551</v>
      </c>
      <c r="B378" s="43"/>
      <c r="C378" s="50" t="s">
        <v>552</v>
      </c>
      <c r="D378" s="45"/>
      <c r="E378" s="44"/>
      <c r="F378" s="46"/>
      <c r="G378" s="51"/>
      <c r="H378" s="52"/>
      <c r="I378" s="47" t="n">
        <f aca="false">SUM(I379,I384,I387,I393,I397,I402)</f>
        <v>311944.00910262</v>
      </c>
      <c r="J378" s="47" t="n">
        <f aca="false">SUM(J379,J384,J387,J393,J397,J402)</f>
        <v>183305.440760762</v>
      </c>
      <c r="K378" s="47" t="n">
        <f aca="false">SUM(K379,K384,K387,K393,K397,K402)</f>
        <v>376266.863779581</v>
      </c>
      <c r="L378" s="47" t="n">
        <f aca="false">SUM(L379,L384,L387,L393,L397,L402)</f>
        <v>233696.106425896</v>
      </c>
      <c r="M378" s="47" t="n">
        <f aca="false">SUM(M379,M384,M387,M393,M397,M402)</f>
        <v>609962.970205476</v>
      </c>
      <c r="N378" s="20" t="str">
        <f aca="false">A378</f>
        <v>8.2</v>
      </c>
    </row>
    <row r="379" customFormat="false" ht="15" hidden="false" customHeight="false" outlineLevel="2" collapsed="false">
      <c r="A379" s="42" t="s">
        <v>553</v>
      </c>
      <c r="B379" s="43"/>
      <c r="C379" s="50" t="s">
        <v>508</v>
      </c>
      <c r="D379" s="45"/>
      <c r="E379" s="44"/>
      <c r="F379" s="46"/>
      <c r="G379" s="51"/>
      <c r="H379" s="52"/>
      <c r="I379" s="47" t="n">
        <f aca="false">SUBTOTAL(9,I380:I383)</f>
        <v>157924.212521921</v>
      </c>
      <c r="J379" s="47" t="n">
        <f aca="false">SUBTOTAL(9,J380:J383)</f>
        <v>147008.309219865</v>
      </c>
      <c r="K379" s="47" t="n">
        <f aca="false">SUBTOTAL(9,K380:K383)</f>
        <v>190488.185143941</v>
      </c>
      <c r="L379" s="47" t="n">
        <f aca="false">SUBTOTAL(9,L380:L383)</f>
        <v>187420.893424406</v>
      </c>
      <c r="M379" s="47" t="n">
        <f aca="false">SUBTOTAL(9,M380:M383)</f>
        <v>377909.078568347</v>
      </c>
      <c r="N379" s="20" t="str">
        <f aca="false">A379</f>
        <v>8.2.1</v>
      </c>
    </row>
    <row r="380" customFormat="false" ht="60" hidden="false" customHeight="false" outlineLevel="3" collapsed="false">
      <c r="A380" s="42" t="s">
        <v>554</v>
      </c>
      <c r="B380" s="43" t="n">
        <v>87905</v>
      </c>
      <c r="C380" s="50" t="str">
        <f aca="false">VLOOKUP($B380,03_COMPOSIÇÕES!$A:$G,2,0)</f>
        <v>CHAPISCO APLICADO EM ALVENARIA (COM PRESENÇA DE VÃOS) E ESTRUTURAS DE CONCRETO DE FACHADA, COM COLHER DE PEDREIRO. ARGAMASSA TRAÇO 1:3 COM PREPARO EM BETONEIRA 400L. AF_10/2022</v>
      </c>
      <c r="D380" s="45" t="s">
        <v>59</v>
      </c>
      <c r="E380" s="51" t="str">
        <f aca="false">VLOOKUP($B380,03_COMPOSIÇÕES!$A:$G,4,0)</f>
        <v>M2</v>
      </c>
      <c r="F380" s="46" t="n">
        <v>6817.49</v>
      </c>
      <c r="G380" s="51" t="n">
        <f aca="false">VLOOKUP($B380,03_COMPOSIÇÕES!$A:$G,6,0)</f>
        <v>3.49699919</v>
      </c>
      <c r="H380" s="52" t="n">
        <f aca="false">VLOOKUP($B380,03_COMPOSIÇÕES!$A:$G,7,0)</f>
        <v>4.5115474605648</v>
      </c>
      <c r="I380" s="47" t="n">
        <f aca="false">$F380*$G380</f>
        <v>23840.7570078331</v>
      </c>
      <c r="J380" s="47" t="n">
        <f aca="false">$F380*$H380</f>
        <v>30757.4296969259</v>
      </c>
      <c r="K380" s="47" t="n">
        <f aca="false">$I380*(1+BDI_MAT)</f>
        <v>28756.7211028483</v>
      </c>
      <c r="L380" s="47" t="n">
        <f aca="false">$J380*(1+BDI_MDO)</f>
        <v>39212.6471206108</v>
      </c>
      <c r="M380" s="47" t="n">
        <f aca="false">SUM(K380:L380)</f>
        <v>67969.3682234591</v>
      </c>
      <c r="N380" s="20" t="str">
        <f aca="false">A380</f>
        <v>8.2.1.1</v>
      </c>
    </row>
    <row r="381" customFormat="false" ht="45" hidden="false" customHeight="false" outlineLevel="3" collapsed="false">
      <c r="A381" s="42" t="s">
        <v>555</v>
      </c>
      <c r="B381" s="43" t="n">
        <v>87550</v>
      </c>
      <c r="C381" s="50" t="str">
        <f aca="false">VLOOKUP($B381,03_COMPOSIÇÕES!$A:$G,2,0)</f>
        <v>EMBOÇO, EM ARGAMASSA TRAÇO 1:2:8, PREPARO MANUAL, APLICADO MANUALMENTE EM PAREDES INTERNAS DE AMBIENTES COM ÁREA ENTRE 5M² E 10M², E = 10MM, COM TALISCAS. AF_03/2024</v>
      </c>
      <c r="D381" s="45" t="s">
        <v>59</v>
      </c>
      <c r="E381" s="51" t="str">
        <f aca="false">VLOOKUP($B381,03_COMPOSIÇÕES!$A:$G,4,0)</f>
        <v>M2</v>
      </c>
      <c r="F381" s="46" t="n">
        <v>636.67</v>
      </c>
      <c r="G381" s="51" t="n">
        <f aca="false">VLOOKUP($B381,03_COMPOSIÇÕES!$A:$G,6,0)</f>
        <v>16.05128654</v>
      </c>
      <c r="H381" s="52" t="n">
        <f aca="false">VLOOKUP($B381,03_COMPOSIÇÕES!$A:$G,7,0)</f>
        <v>12.3018643548</v>
      </c>
      <c r="I381" s="47" t="n">
        <f aca="false">$F381*$G381</f>
        <v>10219.3726014218</v>
      </c>
      <c r="J381" s="47" t="n">
        <f aca="false">$F381*$H381</f>
        <v>7832.22797877052</v>
      </c>
      <c r="K381" s="47" t="n">
        <f aca="false">$I381*(1+BDI_MAT)</f>
        <v>12326.607231835</v>
      </c>
      <c r="L381" s="47" t="n">
        <f aca="false">$J381*(1+BDI_MDO)</f>
        <v>9985.30745013453</v>
      </c>
      <c r="M381" s="47" t="n">
        <f aca="false">SUM(K381:L381)</f>
        <v>22311.9146819695</v>
      </c>
      <c r="N381" s="20" t="str">
        <f aca="false">A381</f>
        <v>8.2.1.2</v>
      </c>
    </row>
    <row r="382" customFormat="false" ht="45" hidden="false" customHeight="false" outlineLevel="3" collapsed="false">
      <c r="A382" s="42" t="s">
        <v>556</v>
      </c>
      <c r="B382" s="43" t="n">
        <v>87548</v>
      </c>
      <c r="C382" s="50" t="str">
        <f aca="false">VLOOKUP($B382,03_COMPOSIÇÕES!$A:$G,2,0)</f>
        <v>MASSA ÚNICA, EM ARGAMASSA TRAÇO 1:2:8, PREPARO MANUAL, APLICADA MANUALMENTE EM PAREDES INTERNAS DE AMBIENTES COM ÁREA ENTRE 5M² E 10M², E = 10MM, COM TALISCAS. AF_03/2024</v>
      </c>
      <c r="D382" s="45" t="s">
        <v>59</v>
      </c>
      <c r="E382" s="51" t="str">
        <f aca="false">VLOOKUP($B382,03_COMPOSIÇÕES!$A:$G,4,0)</f>
        <v>M2</v>
      </c>
      <c r="F382" s="46" t="n">
        <v>6645.77</v>
      </c>
      <c r="G382" s="51" t="n">
        <f aca="false">VLOOKUP($B382,03_COMPOSIÇÕES!$A:$G,6,0)</f>
        <v>15.34931554</v>
      </c>
      <c r="H382" s="52" t="n">
        <f aca="false">VLOOKUP($B382,03_COMPOSIÇÕES!$A:$G,7,0)</f>
        <v>13.1762791092</v>
      </c>
      <c r="I382" s="47" t="n">
        <f aca="false">$F382*$G382</f>
        <v>102008.020736266</v>
      </c>
      <c r="J382" s="47" t="n">
        <f aca="false">$F382*$H382</f>
        <v>87566.5204155481</v>
      </c>
      <c r="K382" s="47" t="n">
        <f aca="false">$I382*(1+BDI_MAT)</f>
        <v>123042.074612084</v>
      </c>
      <c r="L382" s="47" t="n">
        <f aca="false">$J382*(1+BDI_MDO)</f>
        <v>111638.556877782</v>
      </c>
      <c r="M382" s="47" t="n">
        <f aca="false">SUM(K382:L382)</f>
        <v>234680.631489866</v>
      </c>
      <c r="N382" s="20" t="str">
        <f aca="false">A382</f>
        <v>8.2.1.3</v>
      </c>
    </row>
    <row r="383" customFormat="false" ht="30" hidden="false" customHeight="false" outlineLevel="3" collapsed="false">
      <c r="A383" s="42" t="s">
        <v>557</v>
      </c>
      <c r="B383" s="43" t="s">
        <v>558</v>
      </c>
      <c r="C383" s="50" t="str">
        <f aca="false">VLOOKUP($B383,03_COMPOSIÇÕES!$A:$G,2,0)</f>
        <v>EMASSAMENTO COM MASSA ACRÍLICA, APLICAÇÃO EM PAREDE, DUAS DEMÃOS, LIXAMENTO MANUAL.</v>
      </c>
      <c r="D383" s="45" t="s">
        <v>59</v>
      </c>
      <c r="E383" s="51" t="str">
        <f aca="false">VLOOKUP($B383,03_COMPOSIÇÕES!$A:$G,4,0)</f>
        <v>M2</v>
      </c>
      <c r="F383" s="46" t="n">
        <v>2317.4</v>
      </c>
      <c r="G383" s="51" t="n">
        <f aca="false">VLOOKUP($B383,03_COMPOSIÇÕES!$A:$G,6,0)</f>
        <v>9.431286</v>
      </c>
      <c r="H383" s="52" t="n">
        <f aca="false">VLOOKUP($B383,03_COMPOSIÇÕES!$A:$G,7,0)</f>
        <v>8.9980716012</v>
      </c>
      <c r="I383" s="47" t="n">
        <f aca="false">$F383*$G383</f>
        <v>21856.0621764</v>
      </c>
      <c r="J383" s="47" t="n">
        <f aca="false">$F383*$H383</f>
        <v>20852.1311286209</v>
      </c>
      <c r="K383" s="47" t="n">
        <f aca="false">$I383*(1+BDI_MAT)</f>
        <v>26362.7821971737</v>
      </c>
      <c r="L383" s="47" t="n">
        <f aca="false">$J383*(1+BDI_MDO)</f>
        <v>26584.3819758788</v>
      </c>
      <c r="M383" s="47" t="n">
        <f aca="false">SUM(K383:L383)</f>
        <v>52947.1641730524</v>
      </c>
      <c r="N383" s="20" t="str">
        <f aca="false">A383</f>
        <v>8.2.1.4</v>
      </c>
    </row>
    <row r="384" customFormat="false" ht="15" hidden="false" customHeight="false" outlineLevel="2" collapsed="false">
      <c r="A384" s="42" t="s">
        <v>559</v>
      </c>
      <c r="B384" s="43"/>
      <c r="C384" s="50" t="s">
        <v>523</v>
      </c>
      <c r="D384" s="45"/>
      <c r="E384" s="44"/>
      <c r="F384" s="46"/>
      <c r="G384" s="51"/>
      <c r="H384" s="52"/>
      <c r="I384" s="47" t="n">
        <f aca="false">SUBTOTAL(9,I385:I386)</f>
        <v>44958.77458414</v>
      </c>
      <c r="J384" s="47" t="n">
        <f aca="false">SUBTOTAL(9,J385:J386)</f>
        <v>12650.9565198962</v>
      </c>
      <c r="K384" s="47" t="n">
        <f aca="false">SUBTOTAL(9,K385:K386)</f>
        <v>54229.2739033897</v>
      </c>
      <c r="L384" s="47" t="n">
        <f aca="false">SUBTOTAL(9,L385:L386)</f>
        <v>16128.7044672156</v>
      </c>
      <c r="M384" s="47" t="n">
        <f aca="false">SUBTOTAL(9,M385:M386)</f>
        <v>70357.9783706053</v>
      </c>
      <c r="N384" s="20" t="str">
        <f aca="false">A384</f>
        <v>8.2.2</v>
      </c>
    </row>
    <row r="385" customFormat="false" ht="45" hidden="false" customHeight="false" outlineLevel="3" collapsed="false">
      <c r="A385" s="42" t="s">
        <v>560</v>
      </c>
      <c r="B385" s="43" t="s">
        <v>561</v>
      </c>
      <c r="C385" s="50" t="str">
        <f aca="false">VLOOKUP($B385,03_COMPOSIÇÕES!$A:$G,2,0)</f>
        <v>REVESTIMENTO CERÂMICO PARA PAREDES INTERNAS COM PLACAS DE AZULEJO ACETINADO, BORDA BOLD, DE DIMENSÕES 60X30 CM APLICADAS NA ALTURA INTEIRA DAS PAREDES.</v>
      </c>
      <c r="D385" s="45" t="s">
        <v>59</v>
      </c>
      <c r="E385" s="51" t="str">
        <f aca="false">VLOOKUP($B385,03_COMPOSIÇÕES!$A:$G,4,0)</f>
        <v>M2</v>
      </c>
      <c r="F385" s="46" t="n">
        <v>618.26</v>
      </c>
      <c r="G385" s="51" t="n">
        <f aca="false">VLOOKUP($B385,03_COMPOSIÇÕES!$A:$G,6,0)</f>
        <v>71.440589</v>
      </c>
      <c r="H385" s="52" t="n">
        <f aca="false">VLOOKUP($B385,03_COMPOSIÇÕES!$A:$G,7,0)</f>
        <v>19.93632208428</v>
      </c>
      <c r="I385" s="47" t="n">
        <f aca="false">$F385*$G385</f>
        <v>44168.85855514</v>
      </c>
      <c r="J385" s="47" t="n">
        <f aca="false">$F385*$H385</f>
        <v>12325.830491827</v>
      </c>
      <c r="K385" s="47" t="n">
        <f aca="false">$I385*(1+BDI_MAT)</f>
        <v>53276.4771892099</v>
      </c>
      <c r="L385" s="47" t="n">
        <f aca="false">$J385*(1+BDI_MDO)</f>
        <v>15714.2012940302</v>
      </c>
      <c r="M385" s="47" t="n">
        <f aca="false">SUM(K385:L385)</f>
        <v>68990.67848324</v>
      </c>
      <c r="N385" s="20" t="str">
        <f aca="false">A385</f>
        <v>8.2.2.1</v>
      </c>
    </row>
    <row r="386" customFormat="false" ht="45" hidden="false" customHeight="false" outlineLevel="3" collapsed="false">
      <c r="A386" s="42" t="s">
        <v>562</v>
      </c>
      <c r="B386" s="43" t="s">
        <v>563</v>
      </c>
      <c r="C386" s="50" t="str">
        <f aca="false">VLOOKUP($B386,03_COMPOSIÇÕES!$A:$G,2,0)</f>
        <v>REVESTIMENTO CERÂMICO PARA PAREDES INTERNAS COM PLACAS TIPO AZULEJO ACETINADO, DE DIMENSÕES 30X30 CM APLICADAS NA ALTURA INTEIRA DAS PAREDES.</v>
      </c>
      <c r="D386" s="45" t="s">
        <v>59</v>
      </c>
      <c r="E386" s="51" t="str">
        <f aca="false">VLOOKUP($B386,03_COMPOSIÇÕES!$A:$G,4,0)</f>
        <v>M2</v>
      </c>
      <c r="F386" s="46" t="n">
        <v>18.41</v>
      </c>
      <c r="G386" s="51" t="n">
        <f aca="false">VLOOKUP($B386,03_COMPOSIÇÕES!$A:$G,6,0)</f>
        <v>42.9069</v>
      </c>
      <c r="H386" s="52" t="n">
        <f aca="false">VLOOKUP($B386,03_COMPOSIÇÕES!$A:$G,7,0)</f>
        <v>17.66029484352</v>
      </c>
      <c r="I386" s="47" t="n">
        <f aca="false">$F386*$G386</f>
        <v>789.916029</v>
      </c>
      <c r="J386" s="47" t="n">
        <f aca="false">$F386*$H386</f>
        <v>325.126028069203</v>
      </c>
      <c r="K386" s="47" t="n">
        <f aca="false">$I386*(1+BDI_MAT)</f>
        <v>952.7967141798</v>
      </c>
      <c r="L386" s="47" t="n">
        <f aca="false">$J386*(1+BDI_MDO)</f>
        <v>414.503173185427</v>
      </c>
      <c r="M386" s="47" t="n">
        <f aca="false">SUM(K386:L386)</f>
        <v>1367.29988736523</v>
      </c>
      <c r="N386" s="20" t="str">
        <f aca="false">A386</f>
        <v>8.2.2.2</v>
      </c>
    </row>
    <row r="387" customFormat="false" ht="15" hidden="false" customHeight="false" outlineLevel="2" collapsed="false">
      <c r="A387" s="42" t="s">
        <v>564</v>
      </c>
      <c r="B387" s="43"/>
      <c r="C387" s="50" t="s">
        <v>471</v>
      </c>
      <c r="D387" s="45"/>
      <c r="E387" s="44"/>
      <c r="F387" s="46"/>
      <c r="G387" s="51"/>
      <c r="H387" s="52"/>
      <c r="I387" s="47" t="n">
        <f aca="false">SUM(I388,I391)</f>
        <v>83286.9226333496</v>
      </c>
      <c r="J387" s="47" t="n">
        <f aca="false">SUM(J388,J391)</f>
        <v>21653.1389676184</v>
      </c>
      <c r="K387" s="47" t="n">
        <f aca="false">SUM(K388,K391)</f>
        <v>100460.686080346</v>
      </c>
      <c r="L387" s="47" t="n">
        <f aca="false">SUM(L388,L391)</f>
        <v>27605.5868698168</v>
      </c>
      <c r="M387" s="47" t="n">
        <f aca="false">SUM(M388,M391)</f>
        <v>128066.272950163</v>
      </c>
      <c r="N387" s="20" t="str">
        <f aca="false">A387</f>
        <v>8.2.3</v>
      </c>
    </row>
    <row r="388" customFormat="false" ht="15" hidden="false" customHeight="false" outlineLevel="2" collapsed="false">
      <c r="A388" s="42" t="s">
        <v>565</v>
      </c>
      <c r="B388" s="43"/>
      <c r="C388" s="58" t="s">
        <v>566</v>
      </c>
      <c r="D388" s="45"/>
      <c r="E388" s="44"/>
      <c r="F388" s="46"/>
      <c r="G388" s="51"/>
      <c r="H388" s="52"/>
      <c r="I388" s="47" t="n">
        <f aca="false">SUBTOTAL(9,I389:I390)</f>
        <v>29082.1649949148</v>
      </c>
      <c r="J388" s="47" t="n">
        <f aca="false">SUBTOTAL(9,J389:J390)</f>
        <v>5514.31899254285</v>
      </c>
      <c r="K388" s="47" t="n">
        <f aca="false">SUBTOTAL(9,K389:K390)</f>
        <v>35078.9074168662</v>
      </c>
      <c r="L388" s="47" t="n">
        <f aca="false">SUBTOTAL(9,L389:L390)</f>
        <v>7030.20528359288</v>
      </c>
      <c r="M388" s="47" t="n">
        <f aca="false">SUBTOTAL(9,M389:M390)</f>
        <v>42109.1127004591</v>
      </c>
      <c r="N388" s="20" t="str">
        <f aca="false">A388</f>
        <v>8.2.3.1</v>
      </c>
    </row>
    <row r="389" customFormat="false" ht="30" hidden="false" customHeight="false" outlineLevel="3" collapsed="false">
      <c r="A389" s="42" t="s">
        <v>567</v>
      </c>
      <c r="B389" s="43" t="n">
        <v>88485</v>
      </c>
      <c r="C389" s="50" t="str">
        <f aca="false">VLOOKUP($B389,03_COMPOSIÇÕES!$A:$G,2,0)</f>
        <v>FUNDO SELADOR ACRÍLICO, APLICAÇÃO MANUAL EM PAREDE, UMA DEMÃO. AF_04/2023</v>
      </c>
      <c r="D389" s="45" t="s">
        <v>59</v>
      </c>
      <c r="E389" s="51" t="str">
        <f aca="false">VLOOKUP($B389,03_COMPOSIÇÕES!$A:$G,4,0)</f>
        <v>M2</v>
      </c>
      <c r="F389" s="46" t="n">
        <v>2317.4</v>
      </c>
      <c r="G389" s="51" t="n">
        <f aca="false">VLOOKUP($B389,03_COMPOSIÇÕES!$A:$G,6,0)</f>
        <v>2.665604</v>
      </c>
      <c r="H389" s="52" t="n">
        <f aca="false">VLOOKUP($B389,03_COMPOSIÇÕES!$A:$G,7,0)</f>
        <v>1.66011337152</v>
      </c>
      <c r="I389" s="47" t="n">
        <f aca="false">$F389*$G389</f>
        <v>6177.2707096</v>
      </c>
      <c r="J389" s="47" t="n">
        <f aca="false">$F389*$H389</f>
        <v>3847.14672716045</v>
      </c>
      <c r="K389" s="47" t="n">
        <f aca="false">$I389*(1+BDI_MAT)</f>
        <v>7451.02392991952</v>
      </c>
      <c r="L389" s="47" t="n">
        <f aca="false">$J389*(1+BDI_MDO)</f>
        <v>4904.72736245685</v>
      </c>
      <c r="M389" s="47" t="n">
        <f aca="false">SUM(K389:L389)</f>
        <v>12355.7512923764</v>
      </c>
      <c r="N389" s="20" t="str">
        <f aca="false">A389</f>
        <v>8.2.3.1.1</v>
      </c>
    </row>
    <row r="390" customFormat="false" ht="30" hidden="false" customHeight="false" outlineLevel="3" collapsed="false">
      <c r="A390" s="42" t="s">
        <v>568</v>
      </c>
      <c r="B390" s="43" t="s">
        <v>569</v>
      </c>
      <c r="C390" s="50" t="str">
        <f aca="false">VLOOKUP($B390,03_COMPOSIÇÕES!$A:$G,2,0)</f>
        <v>PINTURA LÁTEX ACRÍLICA ACABAMENTO ACETINADO, APLICAÇÃO MANUAL EM PAREDES, DUAS DEMÃOS.</v>
      </c>
      <c r="D390" s="45" t="s">
        <v>59</v>
      </c>
      <c r="E390" s="51" t="str">
        <f aca="false">VLOOKUP($B390,03_COMPOSIÇÕES!$A:$G,4,0)</f>
        <v>M2</v>
      </c>
      <c r="F390" s="46" t="n">
        <v>2317.4</v>
      </c>
      <c r="G390" s="51" t="n">
        <f aca="false">VLOOKUP($B390,03_COMPOSIÇÕES!$A:$G,6,0)</f>
        <v>9.88387601851852</v>
      </c>
      <c r="H390" s="52" t="n">
        <f aca="false">VLOOKUP($B390,03_COMPOSIÇÕES!$A:$G,7,0)</f>
        <v>0.719414976</v>
      </c>
      <c r="I390" s="47" t="n">
        <f aca="false">$F390*$G390</f>
        <v>22904.8942853148</v>
      </c>
      <c r="J390" s="47" t="n">
        <f aca="false">$F390*$H390</f>
        <v>1667.1722653824</v>
      </c>
      <c r="K390" s="47" t="n">
        <f aca="false">$I390*(1+BDI_MAT)</f>
        <v>27627.8834869467</v>
      </c>
      <c r="L390" s="47" t="n">
        <f aca="false">$J390*(1+BDI_MDO)</f>
        <v>2125.47792113602</v>
      </c>
      <c r="M390" s="47" t="n">
        <f aca="false">SUM(K390:L390)</f>
        <v>29753.3614080828</v>
      </c>
      <c r="N390" s="20" t="str">
        <f aca="false">A390</f>
        <v>8.2.3.1.2</v>
      </c>
    </row>
    <row r="391" customFormat="false" ht="15" hidden="false" customHeight="false" outlineLevel="2" collapsed="false">
      <c r="A391" s="42" t="s">
        <v>570</v>
      </c>
      <c r="B391" s="43"/>
      <c r="C391" s="58" t="s">
        <v>571</v>
      </c>
      <c r="D391" s="45"/>
      <c r="E391" s="44"/>
      <c r="F391" s="46"/>
      <c r="G391" s="51"/>
      <c r="H391" s="52"/>
      <c r="I391" s="47" t="n">
        <f aca="false">SUBTOTAL(9,I392)</f>
        <v>54204.7576384348</v>
      </c>
      <c r="J391" s="47" t="n">
        <f aca="false">SUBTOTAL(9,J392)</f>
        <v>16138.8199750756</v>
      </c>
      <c r="K391" s="47" t="n">
        <f aca="false">SUBTOTAL(9,K392)</f>
        <v>65381.77866348</v>
      </c>
      <c r="L391" s="47" t="n">
        <f aca="false">SUBTOTAL(9,L392)</f>
        <v>20575.3815862239</v>
      </c>
      <c r="M391" s="47" t="n">
        <f aca="false">SUBTOTAL(9,M392)</f>
        <v>85957.1602497039</v>
      </c>
      <c r="N391" s="20" t="str">
        <f aca="false">A391</f>
        <v>8.2.3.2</v>
      </c>
    </row>
    <row r="392" customFormat="false" ht="15" hidden="false" customHeight="false" outlineLevel="3" collapsed="false">
      <c r="A392" s="42" t="s">
        <v>572</v>
      </c>
      <c r="B392" s="43" t="s">
        <v>573</v>
      </c>
      <c r="C392" s="50" t="str">
        <f aca="false">VLOOKUP($B392,03_COMPOSIÇÕES!$A:$G,2,0)</f>
        <v>TEXTURA ACRÍLICA, APLICAÇÃO MANUAL EM PAREDE, UMA DEMÃO.</v>
      </c>
      <c r="D392" s="45" t="s">
        <v>59</v>
      </c>
      <c r="E392" s="51" t="str">
        <f aca="false">VLOOKUP($B392,03_COMPOSIÇÕES!$A:$G,4,0)</f>
        <v>M2</v>
      </c>
      <c r="F392" s="46" t="n">
        <v>4201.03</v>
      </c>
      <c r="G392" s="51" t="n">
        <f aca="false">VLOOKUP($B392,03_COMPOSIÇÕES!$A:$G,6,0)</f>
        <v>12.9027304347826</v>
      </c>
      <c r="H392" s="52" t="n">
        <f aca="false">VLOOKUP($B392,03_COMPOSIÇÕES!$A:$G,7,0)</f>
        <v>3.84163406952</v>
      </c>
      <c r="I392" s="47" t="n">
        <f aca="false">$F392*$G392</f>
        <v>54204.7576384348</v>
      </c>
      <c r="J392" s="47" t="n">
        <f aca="false">$F392*$H392</f>
        <v>16138.8199750756</v>
      </c>
      <c r="K392" s="47" t="n">
        <f aca="false">$I392*(1+BDI_MAT)</f>
        <v>65381.77866348</v>
      </c>
      <c r="L392" s="47" t="n">
        <f aca="false">$J392*(1+BDI_MDO)</f>
        <v>20575.3815862239</v>
      </c>
      <c r="M392" s="47" t="n">
        <f aca="false">SUM(K392:L392)</f>
        <v>85957.1602497039</v>
      </c>
      <c r="N392" s="20" t="str">
        <f aca="false">A392</f>
        <v>8.2.3.2.1</v>
      </c>
    </row>
    <row r="393" customFormat="false" ht="15" hidden="false" customHeight="false" outlineLevel="2" collapsed="false">
      <c r="A393" s="42" t="s">
        <v>574</v>
      </c>
      <c r="B393" s="43"/>
      <c r="C393" s="50" t="s">
        <v>575</v>
      </c>
      <c r="D393" s="45"/>
      <c r="E393" s="44"/>
      <c r="F393" s="46"/>
      <c r="G393" s="51"/>
      <c r="H393" s="52"/>
      <c r="I393" s="47" t="n">
        <f aca="false">SUM(I394)</f>
        <v>24401.3326666667</v>
      </c>
      <c r="J393" s="47" t="n">
        <f aca="false">SUM(J394)</f>
        <v>1196.9370936</v>
      </c>
      <c r="K393" s="47" t="n">
        <f aca="false">SUM(K394)</f>
        <v>29432.8874625333</v>
      </c>
      <c r="L393" s="47" t="n">
        <f aca="false">SUM(L394)</f>
        <v>1525.97510063064</v>
      </c>
      <c r="M393" s="47" t="n">
        <f aca="false">SUM(M394)</f>
        <v>30958.862563164</v>
      </c>
      <c r="N393" s="20" t="str">
        <f aca="false">A393</f>
        <v>8.2.4</v>
      </c>
    </row>
    <row r="394" customFormat="false" ht="15" hidden="false" customHeight="false" outlineLevel="3" collapsed="false">
      <c r="A394" s="42" t="s">
        <v>576</v>
      </c>
      <c r="B394" s="43"/>
      <c r="C394" s="50" t="s">
        <v>577</v>
      </c>
      <c r="D394" s="45"/>
      <c r="E394" s="44"/>
      <c r="F394" s="46"/>
      <c r="G394" s="51"/>
      <c r="H394" s="52"/>
      <c r="I394" s="47" t="n">
        <f aca="false">SUBTOTAL(9,I395:I396)</f>
        <v>24401.3326666667</v>
      </c>
      <c r="J394" s="47" t="n">
        <f aca="false">SUBTOTAL(9,J395:J396)</f>
        <v>1196.9370936</v>
      </c>
      <c r="K394" s="47" t="n">
        <f aca="false">SUBTOTAL(9,K395:K396)</f>
        <v>29432.8874625333</v>
      </c>
      <c r="L394" s="47" t="n">
        <f aca="false">SUBTOTAL(9,L395:L396)</f>
        <v>1525.97510063064</v>
      </c>
      <c r="M394" s="47" t="n">
        <f aca="false">SUBTOTAL(9,M395:M396)</f>
        <v>30958.862563164</v>
      </c>
      <c r="N394" s="20" t="str">
        <f aca="false">A394</f>
        <v>8.2.4.1</v>
      </c>
    </row>
    <row r="395" customFormat="false" ht="60" hidden="false" customHeight="false" outlineLevel="3" collapsed="false">
      <c r="A395" s="42" t="s">
        <v>578</v>
      </c>
      <c r="B395" s="43" t="s">
        <v>579</v>
      </c>
      <c r="C395" s="50" t="str">
        <f aca="false">VLOOKUP($B395,03_COMPOSIÇÕES!$A:$G,2,0)</f>
        <v>FORNECIMENTO E INSTALAÇÃO DE LETREIRO EM AÇO INOXIDÁVEL, ACM OU ACRÍLICO, COM LETRAS DE FONTE BEBASNEUE-REGULAR, ESCRITA "Justiça do trabalho" TAMANHO 45CM, E FONTE ALLER_STD_RG, ESCRITA "Fórum Trabalhista de Rio Verde" TAMANHO 22CM.</v>
      </c>
      <c r="D395" s="45" t="s">
        <v>59</v>
      </c>
      <c r="E395" s="51" t="str">
        <f aca="false">VLOOKUP($B395,03_COMPOSIÇÕES!$A:$G,4,0)</f>
        <v>UN</v>
      </c>
      <c r="F395" s="46" t="n">
        <v>2</v>
      </c>
      <c r="G395" s="51" t="n">
        <f aca="false">VLOOKUP($B395,03_COMPOSIÇÕES!$A:$G,6,0)</f>
        <v>6696.2152</v>
      </c>
      <c r="H395" s="52" t="n">
        <f aca="false">VLOOKUP($B395,03_COMPOSIÇÕES!$A:$G,7,0)</f>
        <v>398.9790312</v>
      </c>
      <c r="I395" s="47" t="n">
        <f aca="false">$F395*$G395</f>
        <v>13392.4304</v>
      </c>
      <c r="J395" s="47" t="n">
        <f aca="false">$F395*$H395</f>
        <v>797.9580624</v>
      </c>
      <c r="K395" s="47" t="n">
        <f aca="false">$I395*(1+BDI_MAT)</f>
        <v>16153.94954848</v>
      </c>
      <c r="L395" s="47" t="n">
        <f aca="false">$J395*(1+BDI_MDO)</f>
        <v>1017.31673375376</v>
      </c>
      <c r="M395" s="47" t="n">
        <f aca="false">SUM(K395:L395)</f>
        <v>17171.2662822338</v>
      </c>
      <c r="N395" s="20" t="str">
        <f aca="false">A395</f>
        <v>8.2.4.1.1</v>
      </c>
    </row>
    <row r="396" customFormat="false" ht="60" hidden="false" customHeight="false" outlineLevel="3" collapsed="false">
      <c r="A396" s="42" t="s">
        <v>580</v>
      </c>
      <c r="B396" s="43" t="s">
        <v>581</v>
      </c>
      <c r="C396" s="50" t="str">
        <f aca="false">VLOOKUP($B396,03_COMPOSIÇÕES!$A:$G,2,0)</f>
        <v>FORNECIMENTO E INSTALAÇÃO DE 2 UNIDADE DE LOGO EM AÇO INOXIDÁVEL, ACM OU ACRÍLICO, PADRÃODE FORMA E PALETA DE CORES DO TRT 18, TAMANHO DE ACORDO COM COM A NECESSIDADE, CONFORME O PROJETO ARQUITETÔNICO.</v>
      </c>
      <c r="D396" s="45" t="s">
        <v>59</v>
      </c>
      <c r="E396" s="51" t="str">
        <f aca="false">VLOOKUP($B396,03_COMPOSIÇÕES!$A:$G,4,0)</f>
        <v>UN</v>
      </c>
      <c r="F396" s="46" t="n">
        <v>1</v>
      </c>
      <c r="G396" s="51" t="n">
        <f aca="false">VLOOKUP($B396,03_COMPOSIÇÕES!$A:$G,6,0)</f>
        <v>11008.9022666667</v>
      </c>
      <c r="H396" s="52" t="n">
        <f aca="false">VLOOKUP($B396,03_COMPOSIÇÕES!$A:$G,7,0)</f>
        <v>398.9790312</v>
      </c>
      <c r="I396" s="47" t="n">
        <f aca="false">$F396*$G396</f>
        <v>11008.9022666667</v>
      </c>
      <c r="J396" s="47" t="n">
        <f aca="false">$F396*$H396</f>
        <v>398.9790312</v>
      </c>
      <c r="K396" s="47" t="n">
        <f aca="false">$I396*(1+BDI_MAT)</f>
        <v>13278.9379140533</v>
      </c>
      <c r="L396" s="47" t="n">
        <f aca="false">$J396*(1+BDI_MDO)</f>
        <v>508.65836687688</v>
      </c>
      <c r="M396" s="47" t="n">
        <f aca="false">SUM(K396:L396)</f>
        <v>13787.5962809302</v>
      </c>
      <c r="N396" s="20" t="str">
        <f aca="false">A396</f>
        <v>8.2.4.1.2</v>
      </c>
    </row>
    <row r="397" customFormat="false" ht="15" hidden="false" customHeight="false" outlineLevel="2" collapsed="false">
      <c r="A397" s="42" t="s">
        <v>582</v>
      </c>
      <c r="B397" s="43"/>
      <c r="C397" s="50" t="s">
        <v>511</v>
      </c>
      <c r="D397" s="45"/>
      <c r="E397" s="44"/>
      <c r="F397" s="46"/>
      <c r="G397" s="51"/>
      <c r="H397" s="52"/>
      <c r="I397" s="47" t="n">
        <f aca="false">SUBTOTAL(9,I398:I401)</f>
        <v>985.413333333333</v>
      </c>
      <c r="J397" s="47" t="n">
        <f aca="false">SUBTOTAL(9,J398:J401)</f>
        <v>95.216688</v>
      </c>
      <c r="K397" s="47" t="n">
        <f aca="false">SUBTOTAL(9,K398:K401)</f>
        <v>1188.60556266667</v>
      </c>
      <c r="L397" s="47" t="n">
        <f aca="false">SUBTOTAL(9,L398:L401)</f>
        <v>121.3917555312</v>
      </c>
      <c r="M397" s="47" t="n">
        <f aca="false">SUBTOTAL(9,M398:M401)</f>
        <v>1309.99731819787</v>
      </c>
      <c r="N397" s="20" t="str">
        <f aca="false">A397</f>
        <v>8.2.5</v>
      </c>
    </row>
    <row r="398" customFormat="false" ht="30" hidden="false" customHeight="false" outlineLevel="3" collapsed="false">
      <c r="A398" s="42" t="s">
        <v>583</v>
      </c>
      <c r="B398" s="43" t="s">
        <v>584</v>
      </c>
      <c r="C398" s="50" t="str">
        <f aca="false">VLOOKUP($B398,03_COMPOSIÇÕES!$A:$G,2,0)</f>
        <v>PLACA DE SINALIZAÇÃO EM ACRÍLICO PARA PORTA DE BANHEIRO, COM SIMBOLOGIA DE BANHEIRO UNISEX, ACESSÍVEL E OSTOMIZADO.</v>
      </c>
      <c r="D398" s="45" t="s">
        <v>59</v>
      </c>
      <c r="E398" s="51" t="str">
        <f aca="false">VLOOKUP($B398,03_COMPOSIÇÕES!$A:$G,4,0)</f>
        <v>UN</v>
      </c>
      <c r="F398" s="46" t="n">
        <v>4</v>
      </c>
      <c r="G398" s="51" t="n">
        <f aca="false">VLOOKUP($B398,03_COMPOSIÇÕES!$A:$G,6,0)</f>
        <v>65.21</v>
      </c>
      <c r="H398" s="52" t="n">
        <f aca="false">VLOOKUP($B398,03_COMPOSIÇÕES!$A:$G,7,0)</f>
        <v>2.644908</v>
      </c>
      <c r="I398" s="47" t="n">
        <f aca="false">$F398*$G398</f>
        <v>260.84</v>
      </c>
      <c r="J398" s="47" t="n">
        <f aca="false">$F398*$H398</f>
        <v>10.579632</v>
      </c>
      <c r="K398" s="47" t="n">
        <f aca="false">$I398*(1+BDI_MAT)</f>
        <v>314.625208</v>
      </c>
      <c r="L398" s="47" t="n">
        <f aca="false">$J398*(1+BDI_MDO)</f>
        <v>13.4879728368</v>
      </c>
      <c r="M398" s="47" t="n">
        <f aca="false">SUM(K398:L398)</f>
        <v>328.1131808368</v>
      </c>
      <c r="N398" s="20" t="str">
        <f aca="false">A398</f>
        <v>8.2.5.1</v>
      </c>
    </row>
    <row r="399" customFormat="false" ht="30" hidden="false" customHeight="false" outlineLevel="3" collapsed="false">
      <c r="A399" s="42" t="s">
        <v>585</v>
      </c>
      <c r="B399" s="43" t="s">
        <v>586</v>
      </c>
      <c r="C399" s="50" t="str">
        <f aca="false">VLOOKUP($B399,03_COMPOSIÇÕES!$A:$G,2,0)</f>
        <v>PLACA DE SINALIZAÇÃO TATIL EM ALTO RELEVO COM BRAILE, EM ACRÍLICO, 20X10 CM, FIXADA EM PAREDE.</v>
      </c>
      <c r="D399" s="45" t="s">
        <v>59</v>
      </c>
      <c r="E399" s="51" t="str">
        <f aca="false">VLOOKUP($B399,03_COMPOSIÇÕES!$A:$G,4,0)</f>
        <v>UN</v>
      </c>
      <c r="F399" s="46" t="n">
        <v>4</v>
      </c>
      <c r="G399" s="51" t="n">
        <f aca="false">VLOOKUP($B399,03_COMPOSIÇÕES!$A:$G,6,0)</f>
        <v>52.3606666666667</v>
      </c>
      <c r="H399" s="52" t="n">
        <f aca="false">VLOOKUP($B399,03_COMPOSIÇÕES!$A:$G,7,0)</f>
        <v>2.644908</v>
      </c>
      <c r="I399" s="47" t="n">
        <f aca="false">$F399*$G399</f>
        <v>209.442666666667</v>
      </c>
      <c r="J399" s="47" t="n">
        <f aca="false">$F399*$H399</f>
        <v>10.579632</v>
      </c>
      <c r="K399" s="47" t="n">
        <f aca="false">$I399*(1+BDI_MAT)</f>
        <v>252.629744533333</v>
      </c>
      <c r="L399" s="47" t="n">
        <f aca="false">$J399*(1+BDI_MDO)</f>
        <v>13.4879728368</v>
      </c>
      <c r="M399" s="47" t="n">
        <f aca="false">SUM(K399:L399)</f>
        <v>266.117717370133</v>
      </c>
      <c r="N399" s="20" t="str">
        <f aca="false">A399</f>
        <v>8.2.5.2</v>
      </c>
    </row>
    <row r="400" customFormat="false" ht="30" hidden="false" customHeight="false" outlineLevel="3" collapsed="false">
      <c r="A400" s="42" t="s">
        <v>587</v>
      </c>
      <c r="B400" s="43" t="s">
        <v>588</v>
      </c>
      <c r="C400" s="50" t="str">
        <f aca="false">VLOOKUP($B400,03_COMPOSIÇÕES!$A:$G,2,0)</f>
        <v>PLACA INDICATIVA DE PAVIMENTO EM ALTO RELEVO, FIXADA EM PAREDE.</v>
      </c>
      <c r="D400" s="45" t="s">
        <v>59</v>
      </c>
      <c r="E400" s="51" t="str">
        <f aca="false">VLOOKUP($B400,03_COMPOSIÇÕES!$A:$G,4,0)</f>
        <v>UN</v>
      </c>
      <c r="F400" s="46" t="n">
        <v>4</v>
      </c>
      <c r="G400" s="51" t="n">
        <f aca="false">VLOOKUP($B400,03_COMPOSIÇÕES!$A:$G,6,0)</f>
        <v>8.98666666666667</v>
      </c>
      <c r="H400" s="52" t="n">
        <f aca="false">VLOOKUP($B400,03_COMPOSIÇÕES!$A:$G,7,0)</f>
        <v>2.644908</v>
      </c>
      <c r="I400" s="47" t="n">
        <f aca="false">$F400*$G400</f>
        <v>35.9466666666667</v>
      </c>
      <c r="J400" s="47" t="n">
        <f aca="false">$F400*$H400</f>
        <v>10.579632</v>
      </c>
      <c r="K400" s="47" t="n">
        <f aca="false">$I400*(1+BDI_MAT)</f>
        <v>43.3588693333333</v>
      </c>
      <c r="L400" s="47" t="n">
        <f aca="false">$J400*(1+BDI_MDO)</f>
        <v>13.4879728368</v>
      </c>
      <c r="M400" s="47" t="n">
        <f aca="false">SUM(K400:L400)</f>
        <v>56.8468421701333</v>
      </c>
      <c r="N400" s="20" t="str">
        <f aca="false">A400</f>
        <v>8.2.5.3</v>
      </c>
    </row>
    <row r="401" customFormat="false" ht="30" hidden="false" customHeight="false" outlineLevel="3" collapsed="false">
      <c r="A401" s="42" t="s">
        <v>589</v>
      </c>
      <c r="B401" s="43" t="s">
        <v>590</v>
      </c>
      <c r="C401" s="50" t="str">
        <f aca="false">VLOOKUP($B401,03_COMPOSIÇÕES!$A:$G,2,0)</f>
        <v>PLACA INDICATIVA DE PAVIMENTO EM BRAILE INSTALADA EM CORRIMÃO.</v>
      </c>
      <c r="D401" s="45" t="s">
        <v>59</v>
      </c>
      <c r="E401" s="51" t="str">
        <f aca="false">VLOOKUP($B401,03_COMPOSIÇÕES!$A:$G,4,0)</f>
        <v>UN</v>
      </c>
      <c r="F401" s="46" t="n">
        <v>24</v>
      </c>
      <c r="G401" s="51" t="n">
        <f aca="false">VLOOKUP($B401,03_COMPOSIÇÕES!$A:$G,6,0)</f>
        <v>19.966</v>
      </c>
      <c r="H401" s="52" t="n">
        <f aca="false">VLOOKUP($B401,03_COMPOSIÇÕES!$A:$G,7,0)</f>
        <v>2.644908</v>
      </c>
      <c r="I401" s="47" t="n">
        <f aca="false">$F401*$G401</f>
        <v>479.184</v>
      </c>
      <c r="J401" s="47" t="n">
        <f aca="false">$F401*$H401</f>
        <v>63.477792</v>
      </c>
      <c r="K401" s="47" t="n">
        <f aca="false">$I401*(1+BDI_MAT)</f>
        <v>577.9917408</v>
      </c>
      <c r="L401" s="47" t="n">
        <f aca="false">$J401*(1+BDI_MDO)</f>
        <v>80.9278370208</v>
      </c>
      <c r="M401" s="47" t="n">
        <f aca="false">SUM(K401:L401)</f>
        <v>658.9195778208</v>
      </c>
      <c r="N401" s="20" t="str">
        <f aca="false">A401</f>
        <v>8.2.5.4</v>
      </c>
    </row>
    <row r="402" customFormat="false" ht="15" hidden="false" customHeight="false" outlineLevel="2" collapsed="false">
      <c r="A402" s="42" t="s">
        <v>591</v>
      </c>
      <c r="B402" s="43"/>
      <c r="C402" s="50" t="s">
        <v>592</v>
      </c>
      <c r="D402" s="45"/>
      <c r="E402" s="44"/>
      <c r="F402" s="46"/>
      <c r="G402" s="51"/>
      <c r="H402" s="52"/>
      <c r="I402" s="47" t="n">
        <f aca="false">SUBTOTAL(9,I403:I404)</f>
        <v>387.35336321</v>
      </c>
      <c r="J402" s="47" t="n">
        <f aca="false">SUBTOTAL(9,J403:J404)</f>
        <v>700.882271782255</v>
      </c>
      <c r="K402" s="47" t="n">
        <f aca="false">SUBTOTAL(9,K403:K404)</f>
        <v>467.225626703902</v>
      </c>
      <c r="L402" s="47" t="n">
        <f aca="false">SUBTOTAL(9,L403:L404)</f>
        <v>893.554808295197</v>
      </c>
      <c r="M402" s="47" t="n">
        <f aca="false">SUBTOTAL(9,M403:M404)</f>
        <v>1360.7804349991</v>
      </c>
      <c r="N402" s="20" t="str">
        <f aca="false">A402</f>
        <v>8.2.6</v>
      </c>
    </row>
    <row r="403" customFormat="false" ht="30" hidden="false" customHeight="false" outlineLevel="2" collapsed="false">
      <c r="A403" s="42" t="s">
        <v>593</v>
      </c>
      <c r="B403" s="43" t="n">
        <v>100717</v>
      </c>
      <c r="C403" s="50" t="str">
        <f aca="false">VLOOKUP($B403,03_COMPOSIÇÕES!$A:$G,2,0)</f>
        <v>LIXAMENTO MANUAL EM SUPERFÍCIES METÁLICAS EM OBRA. AF_01/2020</v>
      </c>
      <c r="D403" s="45" t="s">
        <v>59</v>
      </c>
      <c r="E403" s="51" t="str">
        <f aca="false">VLOOKUP($B403,03_COMPOSIÇÕES!$A:$G,4,0)</f>
        <v>M2</v>
      </c>
      <c r="F403" s="46" t="n">
        <v>28.27</v>
      </c>
      <c r="G403" s="51" t="n">
        <f aca="false">VLOOKUP($B403,03_COMPOSIÇÕES!$A:$G,6,0)</f>
        <v>3.511952</v>
      </c>
      <c r="H403" s="52" t="n">
        <f aca="false">VLOOKUP($B403,03_COMPOSIÇÕES!$A:$G,7,0)</f>
        <v>6.12680833392</v>
      </c>
      <c r="I403" s="47" t="n">
        <f aca="false">$F403*$G403</f>
        <v>99.28288304</v>
      </c>
      <c r="J403" s="47" t="n">
        <f aca="false">$F403*$H403</f>
        <v>173.204871599918</v>
      </c>
      <c r="K403" s="47" t="n">
        <f aca="false">$I403*(1+BDI_MAT)</f>
        <v>119.755013522848</v>
      </c>
      <c r="L403" s="47" t="n">
        <f aca="false">$J403*(1+BDI_MDO)</f>
        <v>220.818890802736</v>
      </c>
      <c r="M403" s="47" t="n">
        <f aca="false">SUM(K403:L403)</f>
        <v>340.573904325584</v>
      </c>
      <c r="N403" s="20" t="str">
        <f aca="false">A403</f>
        <v>8.2.6.1</v>
      </c>
    </row>
    <row r="404" customFormat="false" ht="45" hidden="false" customHeight="false" outlineLevel="2" collapsed="false">
      <c r="A404" s="42" t="s">
        <v>594</v>
      </c>
      <c r="B404" s="43" t="n">
        <v>100754</v>
      </c>
      <c r="C404" s="50" t="str">
        <f aca="false">VLOOKUP($B404,03_COMPOSIÇÕES!$A:$G,2,0)</f>
        <v>PINTURA COM TINTA ACRÍLICA DE ACABAMENTO APLICADA A ROLO OU PINCEL SOBRE SUPERFÍCIES METÁLICAS (EXCETO PERFIL) EXECUTADO EM OBRA (02 DEMÃOS). AF_01/2020</v>
      </c>
      <c r="D404" s="45" t="s">
        <v>59</v>
      </c>
      <c r="E404" s="51" t="str">
        <f aca="false">VLOOKUP($B404,03_COMPOSIÇÕES!$A:$G,4,0)</f>
        <v>M2</v>
      </c>
      <c r="F404" s="46" t="n">
        <v>28.27</v>
      </c>
      <c r="G404" s="51" t="n">
        <f aca="false">VLOOKUP($B404,03_COMPOSIÇÕES!$A:$G,6,0)</f>
        <v>10.189971</v>
      </c>
      <c r="H404" s="52" t="n">
        <f aca="false">VLOOKUP($B404,03_COMPOSIÇÕES!$A:$G,7,0)</f>
        <v>18.66563141784</v>
      </c>
      <c r="I404" s="47" t="n">
        <f aca="false">$F404*$G404</f>
        <v>288.07048017</v>
      </c>
      <c r="J404" s="47" t="n">
        <f aca="false">$F404*$H404</f>
        <v>527.677400182337</v>
      </c>
      <c r="K404" s="47" t="n">
        <f aca="false">$I404*(1+BDI_MAT)</f>
        <v>347.470613181054</v>
      </c>
      <c r="L404" s="47" t="n">
        <f aca="false">$J404*(1+BDI_MDO)</f>
        <v>672.735917492461</v>
      </c>
      <c r="M404" s="47" t="n">
        <f aca="false">SUM(K404:L404)</f>
        <v>1020.20653067352</v>
      </c>
      <c r="N404" s="20" t="str">
        <f aca="false">A404</f>
        <v>8.2.6.2</v>
      </c>
    </row>
    <row r="405" customFormat="false" ht="15" hidden="false" customHeight="false" outlineLevel="1" collapsed="false">
      <c r="A405" s="42" t="s">
        <v>595</v>
      </c>
      <c r="B405" s="43"/>
      <c r="C405" s="50" t="s">
        <v>596</v>
      </c>
      <c r="D405" s="45"/>
      <c r="E405" s="44"/>
      <c r="F405" s="46"/>
      <c r="G405" s="51"/>
      <c r="H405" s="52"/>
      <c r="I405" s="47" t="n">
        <f aca="false">SUM(I406,I408,I411)</f>
        <v>62111.86136432</v>
      </c>
      <c r="J405" s="47" t="n">
        <f aca="false">SUM(J406,J408,J411)</f>
        <v>68197.3822049536</v>
      </c>
      <c r="K405" s="47" t="n">
        <f aca="false">SUM(K406,K408,K411)</f>
        <v>74919.3271776428</v>
      </c>
      <c r="L405" s="47" t="n">
        <f aca="false">SUM(L406,L408,L411)</f>
        <v>86944.8425730954</v>
      </c>
      <c r="M405" s="47" t="n">
        <f aca="false">SUM(M406,M408,M411)</f>
        <v>161864.169750738</v>
      </c>
      <c r="N405" s="20" t="str">
        <f aca="false">A405</f>
        <v>8.3</v>
      </c>
    </row>
    <row r="406" customFormat="false" ht="15" hidden="false" customHeight="false" outlineLevel="1" collapsed="false">
      <c r="A406" s="42" t="s">
        <v>597</v>
      </c>
      <c r="B406" s="43"/>
      <c r="C406" s="50" t="s">
        <v>508</v>
      </c>
      <c r="D406" s="45"/>
      <c r="E406" s="44"/>
      <c r="F406" s="46"/>
      <c r="G406" s="51"/>
      <c r="H406" s="52"/>
      <c r="I406" s="47" t="n">
        <f aca="false">SUBTOTAL(9,I407:I407)</f>
        <v>20244.2711184</v>
      </c>
      <c r="J406" s="47" t="n">
        <f aca="false">SUBTOTAL(9,J407:J407)</f>
        <v>25888.8111623744</v>
      </c>
      <c r="K406" s="47" t="n">
        <f aca="false">SUBTOTAL(9,K407:K407)</f>
        <v>24418.6398230141</v>
      </c>
      <c r="L406" s="47" t="n">
        <f aca="false">SUBTOTAL(9,L407:L407)</f>
        <v>33005.6453509112</v>
      </c>
      <c r="M406" s="47" t="n">
        <f aca="false">SUBTOTAL(9,M407:M407)</f>
        <v>57424.2851739252</v>
      </c>
      <c r="N406" s="20" t="str">
        <f aca="false">A406</f>
        <v>8.3.1</v>
      </c>
    </row>
    <row r="407" customFormat="false" ht="30" hidden="false" customHeight="false" outlineLevel="2" collapsed="false">
      <c r="A407" s="42" t="s">
        <v>598</v>
      </c>
      <c r="B407" s="43" t="s">
        <v>599</v>
      </c>
      <c r="C407" s="50" t="str">
        <f aca="false">VLOOKUP($B407,03_COMPOSIÇÕES!$A:$G,2,0)</f>
        <v>EMASSAMENTO COM MASSA ACRÍLICA, APLICAÇÃO EM TETO, DUAS DEMÃOS, LIXAMENTO MANUAL.</v>
      </c>
      <c r="D407" s="45" t="s">
        <v>59</v>
      </c>
      <c r="E407" s="51" t="str">
        <f aca="false">VLOOKUP($B407,03_COMPOSIÇÕES!$A:$G,4,0)</f>
        <v>M2</v>
      </c>
      <c r="F407" s="46" t="n">
        <v>1399.92</v>
      </c>
      <c r="G407" s="51" t="n">
        <f aca="false">VLOOKUP($B407,03_COMPOSIÇÕES!$A:$G,6,0)</f>
        <v>14.46102</v>
      </c>
      <c r="H407" s="52" t="n">
        <f aca="false">VLOOKUP($B407,03_COMPOSIÇÕES!$A:$G,7,0)</f>
        <v>18.49306471968</v>
      </c>
      <c r="I407" s="47" t="n">
        <f aca="false">$F407*$G407</f>
        <v>20244.2711184</v>
      </c>
      <c r="J407" s="47" t="n">
        <f aca="false">$F407*$H407</f>
        <v>25888.8111623744</v>
      </c>
      <c r="K407" s="47" t="n">
        <f aca="false">$I407*(1+BDI_MAT)</f>
        <v>24418.6398230141</v>
      </c>
      <c r="L407" s="47" t="n">
        <f aca="false">$J407*(1+BDI_MDO)</f>
        <v>33005.6453509112</v>
      </c>
      <c r="M407" s="47" t="n">
        <f aca="false">SUM(K407:L407)</f>
        <v>57424.2851739252</v>
      </c>
      <c r="N407" s="20" t="str">
        <f aca="false">A407</f>
        <v>8.3.1.3</v>
      </c>
    </row>
    <row r="408" customFormat="false" ht="15" hidden="false" customHeight="false" outlineLevel="1" collapsed="false">
      <c r="A408" s="42" t="s">
        <v>600</v>
      </c>
      <c r="B408" s="43"/>
      <c r="C408" s="50" t="s">
        <v>471</v>
      </c>
      <c r="D408" s="45"/>
      <c r="E408" s="44"/>
      <c r="F408" s="46"/>
      <c r="G408" s="51"/>
      <c r="H408" s="52"/>
      <c r="I408" s="47" t="n">
        <f aca="false">SUBTOTAL(9,I409:I410)</f>
        <v>9672.03129728</v>
      </c>
      <c r="J408" s="47" t="n">
        <f aca="false">SUBTOTAL(9,J409:J410)</f>
        <v>13539.0367962994</v>
      </c>
      <c r="K408" s="47" t="n">
        <f aca="false">SUBTOTAL(9,K409:K410)</f>
        <v>11666.4041507791</v>
      </c>
      <c r="L408" s="47" t="n">
        <f aca="false">SUBTOTAL(9,L409:L410)</f>
        <v>17260.9180116021</v>
      </c>
      <c r="M408" s="47" t="n">
        <f aca="false">SUBTOTAL(9,M409:M410)</f>
        <v>28927.3221623813</v>
      </c>
      <c r="N408" s="20" t="str">
        <f aca="false">A408</f>
        <v>8.3.2</v>
      </c>
    </row>
    <row r="409" customFormat="false" ht="30" hidden="false" customHeight="false" outlineLevel="2" collapsed="false">
      <c r="A409" s="42" t="s">
        <v>601</v>
      </c>
      <c r="B409" s="43" t="n">
        <v>88484</v>
      </c>
      <c r="C409" s="50" t="str">
        <f aca="false">VLOOKUP($B409,03_COMPOSIÇÕES!$A:$G,2,0)</f>
        <v>FUNDO SELADOR ACRÍLICO, APLICAÇÃO MANUAL EM TETO, UMA DEMÃO. AF_04/2023</v>
      </c>
      <c r="D409" s="45" t="s">
        <v>59</v>
      </c>
      <c r="E409" s="51" t="str">
        <f aca="false">VLOOKUP($B409,03_COMPOSIÇÕES!$A:$G,4,0)</f>
        <v>M2</v>
      </c>
      <c r="F409" s="46" t="n">
        <v>1698.86</v>
      </c>
      <c r="G409" s="51" t="n">
        <f aca="false">VLOOKUP($B409,03_COMPOSIÇÕES!$A:$G,6,0)</f>
        <v>3.015914</v>
      </c>
      <c r="H409" s="52" t="n">
        <f aca="false">VLOOKUP($B409,03_COMPOSIÇÕES!$A:$G,7,0)</f>
        <v>2.31069834144</v>
      </c>
      <c r="I409" s="47" t="n">
        <f aca="false">$F409*$G409</f>
        <v>5123.61565804</v>
      </c>
      <c r="J409" s="47" t="n">
        <f aca="false">$F409*$H409</f>
        <v>3925.55298433876</v>
      </c>
      <c r="K409" s="47" t="n">
        <f aca="false">$I409*(1+BDI_MAT)</f>
        <v>6180.10520672785</v>
      </c>
      <c r="L409" s="47" t="n">
        <f aca="false">$J409*(1+BDI_MDO)</f>
        <v>5004.68749973348</v>
      </c>
      <c r="M409" s="47" t="n">
        <f aca="false">SUM(K409:L409)</f>
        <v>11184.7927064613</v>
      </c>
      <c r="N409" s="20" t="str">
        <f aca="false">A409</f>
        <v>8.3.2.1</v>
      </c>
    </row>
    <row r="410" customFormat="false" ht="30" hidden="false" customHeight="false" outlineLevel="2" collapsed="false">
      <c r="A410" s="42" t="s">
        <v>602</v>
      </c>
      <c r="B410" s="43" t="s">
        <v>603</v>
      </c>
      <c r="C410" s="50" t="str">
        <f aca="false">VLOOKUP($B410,03_COMPOSIÇÕES!$A:$G,2,0)</f>
        <v>PINTURA LÁTEX ACRÍLICA ACABAMENTO ACETINADO, APLICAÇÃO MANUAL EM TETO, DUAS DEMÃOS.</v>
      </c>
      <c r="D410" s="45" t="s">
        <v>59</v>
      </c>
      <c r="E410" s="51" t="str">
        <f aca="false">VLOOKUP($B410,03_COMPOSIÇÕES!$A:$G,4,0)</f>
        <v>M2</v>
      </c>
      <c r="F410" s="46" t="n">
        <v>1698.86</v>
      </c>
      <c r="G410" s="51" t="n">
        <f aca="false">VLOOKUP($B410,03_COMPOSIÇÕES!$A:$G,6,0)</f>
        <v>2.677334</v>
      </c>
      <c r="H410" s="52" t="n">
        <f aca="false">VLOOKUP($B410,03_COMPOSIÇÕES!$A:$G,7,0)</f>
        <v>5.6587851924</v>
      </c>
      <c r="I410" s="47" t="n">
        <f aca="false">$F410*$G410</f>
        <v>4548.41563924</v>
      </c>
      <c r="J410" s="47" t="n">
        <f aca="false">$F410*$H410</f>
        <v>9613.48381196066</v>
      </c>
      <c r="K410" s="47" t="n">
        <f aca="false">$I410*(1+BDI_MAT)</f>
        <v>5486.29894405129</v>
      </c>
      <c r="L410" s="47" t="n">
        <f aca="false">$J410*(1+BDI_MDO)</f>
        <v>12256.2305118686</v>
      </c>
      <c r="M410" s="47" t="n">
        <f aca="false">SUM(K410:L410)</f>
        <v>17742.5294559199</v>
      </c>
      <c r="N410" s="20" t="str">
        <f aca="false">A410</f>
        <v>8.3.2.2</v>
      </c>
    </row>
    <row r="411" customFormat="false" ht="15" hidden="false" customHeight="false" outlineLevel="1" collapsed="false">
      <c r="A411" s="42" t="s">
        <v>604</v>
      </c>
      <c r="B411" s="43"/>
      <c r="C411" s="50" t="s">
        <v>605</v>
      </c>
      <c r="D411" s="45"/>
      <c r="E411" s="44"/>
      <c r="F411" s="46"/>
      <c r="G411" s="51"/>
      <c r="H411" s="52"/>
      <c r="I411" s="47" t="n">
        <f aca="false">SUBTOTAL(9,I412:I412)</f>
        <v>32195.55894864</v>
      </c>
      <c r="J411" s="47" t="n">
        <f aca="false">SUBTOTAL(9,J412:J412)</f>
        <v>28769.5342462798</v>
      </c>
      <c r="K411" s="47" t="n">
        <f aca="false">SUBTOTAL(9,K412:K412)</f>
        <v>38834.2832038496</v>
      </c>
      <c r="L411" s="47" t="n">
        <f aca="false">SUBTOTAL(9,L412:L412)</f>
        <v>36678.2792105821</v>
      </c>
      <c r="M411" s="47" t="n">
        <f aca="false">SUBTOTAL(9,M412:M412)</f>
        <v>75512.5624144317</v>
      </c>
      <c r="N411" s="20" t="str">
        <f aca="false">A411</f>
        <v>8.3.3</v>
      </c>
    </row>
    <row r="412" customFormat="false" ht="30" hidden="false" customHeight="false" outlineLevel="1" collapsed="false">
      <c r="A412" s="42" t="s">
        <v>606</v>
      </c>
      <c r="B412" s="43" t="n">
        <v>96113</v>
      </c>
      <c r="C412" s="50" t="str">
        <f aca="false">VLOOKUP($B412,03_COMPOSIÇÕES!$A:$G,2,0)</f>
        <v>FORRO EM PLACAS DE GESSO, PARA AMBIENTES COMERCIAIS. AF_08/2023_PS</v>
      </c>
      <c r="D412" s="45" t="s">
        <v>59</v>
      </c>
      <c r="E412" s="51" t="str">
        <f aca="false">VLOOKUP($B412,03_COMPOSIÇÕES!$A:$G,4,0)</f>
        <v>M2</v>
      </c>
      <c r="F412" s="46" t="n">
        <v>1399.92</v>
      </c>
      <c r="G412" s="51" t="n">
        <f aca="false">VLOOKUP($B412,03_COMPOSIÇÕES!$A:$G,6,0)</f>
        <v>22.998142</v>
      </c>
      <c r="H412" s="52" t="n">
        <f aca="false">VLOOKUP($B412,03_COMPOSIÇÕES!$A:$G,7,0)</f>
        <v>20.55084165258</v>
      </c>
      <c r="I412" s="47" t="n">
        <f aca="false">$F412*$G412</f>
        <v>32195.55894864</v>
      </c>
      <c r="J412" s="47" t="n">
        <f aca="false">$F412*$H412</f>
        <v>28769.5342462798</v>
      </c>
      <c r="K412" s="47" t="n">
        <f aca="false">$I412*(1+BDI_MAT)</f>
        <v>38834.2832038496</v>
      </c>
      <c r="L412" s="47" t="n">
        <f aca="false">$J412*(1+BDI_MDO)</f>
        <v>36678.2792105821</v>
      </c>
      <c r="M412" s="47" t="n">
        <f aca="false">SUM(K412:L412)</f>
        <v>75512.5624144317</v>
      </c>
      <c r="N412" s="20" t="str">
        <f aca="false">A412</f>
        <v>8.3.3.1</v>
      </c>
    </row>
    <row r="413" customFormat="false" ht="15" hidden="false" customHeight="false" outlineLevel="0" collapsed="false">
      <c r="A413" s="42" t="n">
        <v>9</v>
      </c>
      <c r="B413" s="43"/>
      <c r="C413" s="50" t="s">
        <v>607</v>
      </c>
      <c r="D413" s="45"/>
      <c r="E413" s="44"/>
      <c r="F413" s="46"/>
      <c r="G413" s="51"/>
      <c r="H413" s="52"/>
      <c r="I413" s="47" t="n">
        <f aca="false">SUBTOTAL(9,I414:I415)</f>
        <v>255274.075</v>
      </c>
      <c r="J413" s="47" t="n">
        <f aca="false">SUBTOTAL(9,J414:J415)</f>
        <v>109403.175</v>
      </c>
      <c r="K413" s="47" t="n">
        <f aca="false">SUBTOTAL(9,K414:K415)</f>
        <v>294062.281525055</v>
      </c>
      <c r="L413" s="47" t="n">
        <f aca="false">SUBTOTAL(9,L414:L415)</f>
        <v>139478.1078075</v>
      </c>
      <c r="M413" s="47" t="n">
        <f aca="false">SUBTOTAL(9,M414:M415)</f>
        <v>433540.389332555</v>
      </c>
      <c r="N413" s="20" t="n">
        <f aca="false">A413</f>
        <v>9</v>
      </c>
    </row>
    <row r="414" customFormat="false" ht="30" hidden="false" customHeight="false" outlineLevel="1" collapsed="false">
      <c r="A414" s="42" t="s">
        <v>608</v>
      </c>
      <c r="B414" s="43" t="s">
        <v>609</v>
      </c>
      <c r="C414" s="50" t="str">
        <f aca="false">VLOOKUP($B414,03_COMPOSIÇÕES!$A:$G,2,0)</f>
        <v>FORNECIMENTO E INSTALAÇÃO DE ELEVADOR PARA 2 PARADAS, TAMANHO DA CABINE DE 1,10 X 1,40 M, ENTRADA E SAÍDA ÚNICAS.</v>
      </c>
      <c r="D414" s="45" t="s">
        <v>59</v>
      </c>
      <c r="E414" s="51" t="str">
        <f aca="false">VLOOKUP($B414,03_COMPOSIÇÕES!$A:$G,4,0)</f>
        <v>UN</v>
      </c>
      <c r="F414" s="46" t="n">
        <v>1</v>
      </c>
      <c r="G414" s="51" t="n">
        <f aca="false">VLOOKUP($B414,03_COMPOSIÇÕES!$A:$G,6,0)</f>
        <v>126925.554</v>
      </c>
      <c r="H414" s="52" t="n">
        <f aca="false">VLOOKUP($B414,03_COMPOSIÇÕES!$A:$G,7,0)</f>
        <v>54396.666</v>
      </c>
      <c r="I414" s="47" t="n">
        <f aca="false">$F414*$G414</f>
        <v>126925.554</v>
      </c>
      <c r="J414" s="47" t="n">
        <f aca="false">$F414*$H414</f>
        <v>54396.666</v>
      </c>
      <c r="K414" s="47" t="n">
        <f aca="false">$I414*(1+BDI_DIF)</f>
        <v>146211.549265516</v>
      </c>
      <c r="L414" s="47" t="n">
        <f aca="false">$J414*(1+BDI_MDO)</f>
        <v>69350.3094834</v>
      </c>
      <c r="M414" s="47" t="n">
        <f aca="false">SUM(K414:L414)</f>
        <v>215561.858748916</v>
      </c>
      <c r="N414" s="20" t="str">
        <f aca="false">A414</f>
        <v>*9.1</v>
      </c>
    </row>
    <row r="415" customFormat="false" ht="45" hidden="false" customHeight="false" outlineLevel="1" collapsed="false">
      <c r="A415" s="42" t="s">
        <v>610</v>
      </c>
      <c r="B415" s="43" t="s">
        <v>611</v>
      </c>
      <c r="C415" s="50" t="str">
        <f aca="false">VLOOKUP($B415,03_COMPOSIÇÕES!$A:$G,2,0)</f>
        <v>FORNECIMENTO E INSTALAÇÃO DE ELEVADOR PARA 2 PARADAS, TAMANHO DA CABINE DE 1,10 X 1,40 M, COM LADO OPOSTO A PORTA DO TIPO PANORÂMICO, ENTRADA E SAÍDA ÚNICAS.</v>
      </c>
      <c r="D415" s="45" t="s">
        <v>59</v>
      </c>
      <c r="E415" s="51" t="str">
        <f aca="false">VLOOKUP($B415,03_COMPOSIÇÕES!$A:$G,4,0)</f>
        <v>UN</v>
      </c>
      <c r="F415" s="46" t="n">
        <v>1</v>
      </c>
      <c r="G415" s="51" t="n">
        <f aca="false">VLOOKUP($B415,03_COMPOSIÇÕES!$A:$G,6,0)</f>
        <v>128348.521</v>
      </c>
      <c r="H415" s="52" t="n">
        <f aca="false">VLOOKUP($B415,03_COMPOSIÇÕES!$A:$G,7,0)</f>
        <v>55006.509</v>
      </c>
      <c r="I415" s="47" t="n">
        <f aca="false">$F415*$G415</f>
        <v>128348.521</v>
      </c>
      <c r="J415" s="47" t="n">
        <f aca="false">$F415*$H415</f>
        <v>55006.509</v>
      </c>
      <c r="K415" s="47" t="n">
        <f aca="false">$I415*(1+BDI_DIF)</f>
        <v>147850.732259539</v>
      </c>
      <c r="L415" s="47" t="n">
        <f aca="false">$J415*(1+BDI_MDO)</f>
        <v>70127.7983241</v>
      </c>
      <c r="M415" s="47" t="n">
        <f aca="false">SUM(K415:L415)</f>
        <v>217978.530583639</v>
      </c>
      <c r="N415" s="20" t="str">
        <f aca="false">A415</f>
        <v>*9.2</v>
      </c>
    </row>
    <row r="416" customFormat="false" ht="15" hidden="false" customHeight="false" outlineLevel="0" collapsed="false">
      <c r="A416" s="42" t="n">
        <v>10</v>
      </c>
      <c r="B416" s="43"/>
      <c r="C416" s="50" t="s">
        <v>612</v>
      </c>
      <c r="D416" s="45"/>
      <c r="E416" s="44"/>
      <c r="F416" s="46"/>
      <c r="G416" s="51"/>
      <c r="H416" s="52"/>
      <c r="I416" s="47" t="n">
        <f aca="false">SUM(I417,I430,I441,I446,I448)</f>
        <v>66554.1640359213</v>
      </c>
      <c r="J416" s="47" t="n">
        <f aca="false">SUM(J417,J430,J441,J446,J448)</f>
        <v>5087.4753796558</v>
      </c>
      <c r="K416" s="47" t="n">
        <f aca="false">SUM(K417,K430,K441,K446,K448)</f>
        <v>80277.6326601282</v>
      </c>
      <c r="L416" s="47" t="n">
        <f aca="false">SUM(L417,L430,L441,L446,L448)</f>
        <v>6486.02236152318</v>
      </c>
      <c r="M416" s="47" t="n">
        <f aca="false">SUM(M417,M430,M441,M446,M448)</f>
        <v>86763.6550216514</v>
      </c>
      <c r="N416" s="20" t="n">
        <f aca="false">A416</f>
        <v>10</v>
      </c>
    </row>
    <row r="417" customFormat="false" ht="15" hidden="false" customHeight="false" outlineLevel="1" collapsed="false">
      <c r="A417" s="42" t="s">
        <v>613</v>
      </c>
      <c r="B417" s="43"/>
      <c r="C417" s="50" t="s">
        <v>614</v>
      </c>
      <c r="D417" s="45"/>
      <c r="E417" s="44"/>
      <c r="F417" s="46"/>
      <c r="G417" s="51"/>
      <c r="H417" s="52"/>
      <c r="I417" s="47" t="n">
        <f aca="false">SUBTOTAL(9,I418:I429)</f>
        <v>48160.1148388684</v>
      </c>
      <c r="J417" s="47" t="n">
        <f aca="false">SUBTOTAL(9,J418:J429)</f>
        <v>3799.65897082084</v>
      </c>
      <c r="K417" s="47" t="n">
        <f aca="false">SUBTOTAL(9,K418:K429)</f>
        <v>58090.7305186431</v>
      </c>
      <c r="L417" s="47" t="n">
        <f aca="false">SUBTOTAL(9,L418:L429)</f>
        <v>4844.18522189949</v>
      </c>
      <c r="M417" s="47" t="n">
        <f aca="false">SUBTOTAL(9,M418:M429)</f>
        <v>62934.9157405425</v>
      </c>
      <c r="N417" s="20" t="str">
        <f aca="false">A417</f>
        <v>10.1</v>
      </c>
    </row>
    <row r="418" customFormat="false" ht="30" hidden="false" customHeight="false" outlineLevel="2" collapsed="false">
      <c r="A418" s="42" t="s">
        <v>615</v>
      </c>
      <c r="B418" s="43" t="s">
        <v>616</v>
      </c>
      <c r="C418" s="50" t="str">
        <f aca="false">VLOOKUP($B418,03_COMPOSIÇÕES!$A:$G,2,0)</f>
        <v>CONJUNTO COMPLETO DE VASO SANITÁRIO SIFONADO COM CAIXA ACOPLADA LOUÇA BRANCA - FORNECIMENTO E INSTALAÇÃO.</v>
      </c>
      <c r="D418" s="45" t="s">
        <v>59</v>
      </c>
      <c r="E418" s="51" t="str">
        <f aca="false">VLOOKUP($B418,03_COMPOSIÇÕES!$A:$G,4,0)</f>
        <v>UN</v>
      </c>
      <c r="F418" s="46" t="n">
        <v>16</v>
      </c>
      <c r="G418" s="51" t="n">
        <f aca="false">VLOOKUP($B418,03_COMPOSIÇÕES!$A:$G,6,0)</f>
        <v>409.508047</v>
      </c>
      <c r="H418" s="52" t="n">
        <f aca="false">VLOOKUP($B418,03_COMPOSIÇÕES!$A:$G,7,0)</f>
        <v>25.6093789452</v>
      </c>
      <c r="I418" s="47" t="n">
        <f aca="false">$F418*$G418</f>
        <v>6552.128752</v>
      </c>
      <c r="J418" s="47" t="n">
        <f aca="false">$F418*$H418</f>
        <v>409.7500631232</v>
      </c>
      <c r="K418" s="47" t="n">
        <f aca="false">$I418*(1+BDI_MAT)</f>
        <v>7903.1777006624</v>
      </c>
      <c r="L418" s="47" t="n">
        <f aca="false">$J418*(1+BDI_MDO)</f>
        <v>522.390355475768</v>
      </c>
      <c r="M418" s="47" t="n">
        <f aca="false">SUM(K418:L418)</f>
        <v>8425.56805613816</v>
      </c>
      <c r="N418" s="20" t="str">
        <f aca="false">A418</f>
        <v>10.1.1</v>
      </c>
    </row>
    <row r="419" customFormat="false" ht="30" hidden="false" customHeight="false" outlineLevel="2" collapsed="false">
      <c r="A419" s="42" t="s">
        <v>617</v>
      </c>
      <c r="B419" s="43" t="s">
        <v>618</v>
      </c>
      <c r="C419" s="50" t="str">
        <f aca="false">VLOOKUP($B419,03_COMPOSIÇÕES!$A:$G,2,0)</f>
        <v>CONJUNTO COMPLETO DE VASO SANITARIO SIFONADO CONVENCIONAL COM LOUÇA BRANCA - FORNECIMENTO E INSTALAÇÃO.</v>
      </c>
      <c r="D419" s="45" t="s">
        <v>59</v>
      </c>
      <c r="E419" s="51" t="str">
        <f aca="false">VLOOKUP($B419,03_COMPOSIÇÕES!$A:$G,4,0)</f>
        <v>UN</v>
      </c>
      <c r="F419" s="46" t="n">
        <v>8</v>
      </c>
      <c r="G419" s="51" t="n">
        <f aca="false">VLOOKUP($B419,03_COMPOSIÇÕES!$A:$G,6,0)</f>
        <v>81.177071</v>
      </c>
      <c r="H419" s="52" t="n">
        <f aca="false">VLOOKUP($B419,03_COMPOSIÇÕES!$A:$G,7,0)</f>
        <v>14.84788715208</v>
      </c>
      <c r="I419" s="47" t="n">
        <f aca="false">$F419*$G419</f>
        <v>649.416568</v>
      </c>
      <c r="J419" s="47" t="n">
        <f aca="false">$F419*$H419</f>
        <v>118.78309721664</v>
      </c>
      <c r="K419" s="47" t="n">
        <f aca="false">$I419*(1+BDI_MAT)</f>
        <v>783.3262643216</v>
      </c>
      <c r="L419" s="47" t="n">
        <f aca="false">$J419*(1+BDI_MDO)</f>
        <v>151.436570641494</v>
      </c>
      <c r="M419" s="47" t="n">
        <f aca="false">SUM(K419:L419)</f>
        <v>934.762834963094</v>
      </c>
      <c r="N419" s="20" t="str">
        <f aca="false">A419</f>
        <v>10.1.2</v>
      </c>
    </row>
    <row r="420" customFormat="false" ht="30" hidden="false" customHeight="false" outlineLevel="2" collapsed="false">
      <c r="A420" s="42" t="s">
        <v>619</v>
      </c>
      <c r="B420" s="43" t="n">
        <v>100849</v>
      </c>
      <c r="C420" s="50" t="str">
        <f aca="false">VLOOKUP($B420,03_COMPOSIÇÕES!$A:$G,2,0)</f>
        <v>ASSENTO SANITÁRIO CONVENCIONAL - FORNECIMENTO E INSTALACAO. AF_01/2020</v>
      </c>
      <c r="D420" s="45" t="s">
        <v>59</v>
      </c>
      <c r="E420" s="51" t="str">
        <f aca="false">VLOOKUP($B420,03_COMPOSIÇÕES!$A:$G,4,0)</f>
        <v>UN</v>
      </c>
      <c r="F420" s="46" t="n">
        <v>24</v>
      </c>
      <c r="G420" s="51" t="n">
        <f aca="false">VLOOKUP($B420,03_COMPOSIÇÕES!$A:$G,6,0)</f>
        <v>38.943644</v>
      </c>
      <c r="H420" s="52" t="n">
        <f aca="false">VLOOKUP($B420,03_COMPOSIÇÕES!$A:$G,7,0)</f>
        <v>3.80170187616</v>
      </c>
      <c r="I420" s="47" t="n">
        <f aca="false">$F420*$G420</f>
        <v>934.647456</v>
      </c>
      <c r="J420" s="47" t="n">
        <f aca="false">$F420*$H420</f>
        <v>91.24084502784</v>
      </c>
      <c r="K420" s="47" t="n">
        <f aca="false">$I420*(1+BDI_MAT)</f>
        <v>1127.3717614272</v>
      </c>
      <c r="L420" s="47" t="n">
        <f aca="false">$J420*(1+BDI_MDO)</f>
        <v>116.322953325993</v>
      </c>
      <c r="M420" s="47" t="n">
        <f aca="false">SUM(K420:L420)</f>
        <v>1243.69471475319</v>
      </c>
      <c r="N420" s="20" t="str">
        <f aca="false">A420</f>
        <v>10.1.3</v>
      </c>
    </row>
    <row r="421" customFormat="false" ht="30" hidden="false" customHeight="false" outlineLevel="2" collapsed="false">
      <c r="A421" s="42" t="s">
        <v>620</v>
      </c>
      <c r="B421" s="43" t="n">
        <v>100858</v>
      </c>
      <c r="C421" s="50" t="str">
        <f aca="false">VLOOKUP($B421,03_COMPOSIÇÕES!$A:$G,2,0)</f>
        <v>MICTÓRIO SIFONADO LOUÇA BRANCA - PADRÃO MÉDIO - FORNECIMENTO E INSTALAÇÃO. AF_01/2020</v>
      </c>
      <c r="D421" s="45" t="s">
        <v>59</v>
      </c>
      <c r="E421" s="51" t="str">
        <f aca="false">VLOOKUP($B421,03_COMPOSIÇÕES!$A:$G,4,0)</f>
        <v>UN</v>
      </c>
      <c r="F421" s="46" t="n">
        <v>3</v>
      </c>
      <c r="G421" s="51" t="n">
        <f aca="false">VLOOKUP($B421,03_COMPOSIÇÕES!$A:$G,6,0)</f>
        <v>631.296468</v>
      </c>
      <c r="H421" s="52" t="n">
        <f aca="false">VLOOKUP($B421,03_COMPOSIÇÕES!$A:$G,7,0)</f>
        <v>4.204081266</v>
      </c>
      <c r="I421" s="47" t="n">
        <f aca="false">$F421*$G421</f>
        <v>1893.889404</v>
      </c>
      <c r="J421" s="47" t="n">
        <f aca="false">$F421*$H421</f>
        <v>12.612243798</v>
      </c>
      <c r="K421" s="47" t="n">
        <f aca="false">$I421*(1+BDI_MAT)</f>
        <v>2284.4093991048</v>
      </c>
      <c r="L421" s="47" t="n">
        <f aca="false">$J421*(1+BDI_MDO)</f>
        <v>16.0793496180702</v>
      </c>
      <c r="M421" s="47" t="n">
        <f aca="false">SUM(K421:L421)</f>
        <v>2300.48874872287</v>
      </c>
      <c r="N421" s="20" t="str">
        <f aca="false">A421</f>
        <v>10.1.4</v>
      </c>
    </row>
    <row r="422" customFormat="false" ht="30" hidden="false" customHeight="false" outlineLevel="2" collapsed="false">
      <c r="A422" s="42" t="s">
        <v>621</v>
      </c>
      <c r="B422" s="43" t="s">
        <v>622</v>
      </c>
      <c r="C422" s="50" t="str">
        <f aca="false">VLOOKUP($B422,03_COMPOSIÇÕES!$A:$G,2,0)</f>
        <v>BANCADA DE GRANITO CINZA POLIDO, DE 0,50 X 0,90 M, PARA LAVATÓRIO, 1 CUBA - FORNECIMENTO E INSTALAÇÃO.</v>
      </c>
      <c r="D422" s="45" t="s">
        <v>59</v>
      </c>
      <c r="E422" s="51" t="str">
        <f aca="false">VLOOKUP($B422,03_COMPOSIÇÕES!$A:$G,4,0)</f>
        <v>UN</v>
      </c>
      <c r="F422" s="46" t="n">
        <v>18</v>
      </c>
      <c r="G422" s="51" t="n">
        <f aca="false">VLOOKUP($B422,03_COMPOSIÇÕES!$A:$G,6,0)</f>
        <v>564.588090596</v>
      </c>
      <c r="H422" s="52" t="n">
        <f aca="false">VLOOKUP($B422,03_COMPOSIÇÕES!$A:$G,7,0)</f>
        <v>92.7620810706</v>
      </c>
      <c r="I422" s="47" t="n">
        <f aca="false">$F422*$G422</f>
        <v>10162.585630728</v>
      </c>
      <c r="J422" s="47" t="n">
        <f aca="false">$F422*$H422</f>
        <v>1669.7174592708</v>
      </c>
      <c r="K422" s="47" t="n">
        <f aca="false">$I422*(1+BDI_MAT)</f>
        <v>12258.1107877841</v>
      </c>
      <c r="L422" s="47" t="n">
        <f aca="false">$J422*(1+BDI_MDO)</f>
        <v>2128.72278882434</v>
      </c>
      <c r="M422" s="47" t="n">
        <f aca="false">SUM(K422:L422)</f>
        <v>14386.8335766085</v>
      </c>
      <c r="N422" s="20" t="str">
        <f aca="false">A422</f>
        <v>10.1.5</v>
      </c>
    </row>
    <row r="423" customFormat="false" ht="30" hidden="false" customHeight="false" outlineLevel="2" collapsed="false">
      <c r="A423" s="42" t="s">
        <v>623</v>
      </c>
      <c r="B423" s="43" t="s">
        <v>624</v>
      </c>
      <c r="C423" s="50" t="str">
        <f aca="false">VLOOKUP($B423,03_COMPOSIÇÕES!$A:$G,2,0)</f>
        <v>BANCADA DE GRANITO CINZA POLIDO, DE 2,40 X 0,50 M, PARA LAVATÓRIO, 3 CUBAS - FORNECIMENTO E INSTALAÇÃO.</v>
      </c>
      <c r="D423" s="45" t="s">
        <v>59</v>
      </c>
      <c r="E423" s="51" t="str">
        <f aca="false">VLOOKUP($B423,03_COMPOSIÇÕES!$A:$G,4,0)</f>
        <v>UN</v>
      </c>
      <c r="F423" s="46" t="n">
        <v>2</v>
      </c>
      <c r="G423" s="51" t="n">
        <f aca="false">VLOOKUP($B423,03_COMPOSIÇÕES!$A:$G,6,0)</f>
        <v>1623.4749440702</v>
      </c>
      <c r="H423" s="52" t="n">
        <f aca="false">VLOOKUP($B423,03_COMPOSIÇÕES!$A:$G,7,0)</f>
        <v>126.7144598501</v>
      </c>
      <c r="I423" s="47" t="n">
        <f aca="false">$F423*$G423</f>
        <v>3246.9498881404</v>
      </c>
      <c r="J423" s="47" t="n">
        <f aca="false">$F423*$H423</f>
        <v>253.4289197002</v>
      </c>
      <c r="K423" s="47" t="n">
        <f aca="false">$I423*(1+BDI_MAT)</f>
        <v>3916.47095507495</v>
      </c>
      <c r="L423" s="47" t="n">
        <f aca="false">$J423*(1+BDI_MDO)</f>
        <v>323.096529725785</v>
      </c>
      <c r="M423" s="47" t="n">
        <f aca="false">SUM(K423:L423)</f>
        <v>4239.56748480074</v>
      </c>
      <c r="N423" s="20" t="str">
        <f aca="false">A423</f>
        <v>10.1.6</v>
      </c>
    </row>
    <row r="424" customFormat="false" ht="45" hidden="false" customHeight="false" outlineLevel="2" collapsed="false">
      <c r="A424" s="42" t="s">
        <v>625</v>
      </c>
      <c r="B424" s="43" t="n">
        <v>86938</v>
      </c>
      <c r="C424" s="50" t="str">
        <f aca="false">VLOOKUP($B424,03_COMPOSIÇÕES!$A:$G,2,0)</f>
        <v>CUBA DE EMBUTIR OVAL EM LOUÇA BRANCA, 35 X 50CM OU EQUIVALENTE, INCLUSO VÁLVULA E SIFÃO TIPO GARRAFA EM METAL CROMADO - FORNECIMENTO E INSTALAÇÃO. AF_01/2020</v>
      </c>
      <c r="D424" s="45" t="s">
        <v>59</v>
      </c>
      <c r="E424" s="51" t="str">
        <f aca="false">VLOOKUP($B424,03_COMPOSIÇÕES!$A:$G,4,0)</f>
        <v>UN</v>
      </c>
      <c r="F424" s="46" t="n">
        <v>24</v>
      </c>
      <c r="G424" s="51" t="n">
        <f aca="false">VLOOKUP($B424,03_COMPOSIÇÕES!$A:$G,6,0)</f>
        <v>301.218351</v>
      </c>
      <c r="H424" s="52" t="n">
        <f aca="false">VLOOKUP($B424,03_COMPOSIÇÕES!$A:$G,7,0)</f>
        <v>31.9525854672</v>
      </c>
      <c r="I424" s="47" t="n">
        <f aca="false">$F424*$G424</f>
        <v>7229.240424</v>
      </c>
      <c r="J424" s="47" t="n">
        <f aca="false">$F424*$H424</f>
        <v>766.8620512128</v>
      </c>
      <c r="K424" s="47" t="n">
        <f aca="false">$I424*(1+BDI_MAT)</f>
        <v>8719.9097994288</v>
      </c>
      <c r="L424" s="47" t="n">
        <f aca="false">$J424*(1+BDI_MDO)</f>
        <v>977.672429091199</v>
      </c>
      <c r="M424" s="47" t="n">
        <f aca="false">SUM(K424:L424)</f>
        <v>9697.58222852</v>
      </c>
      <c r="N424" s="20" t="str">
        <f aca="false">A424</f>
        <v>10.1.7</v>
      </c>
    </row>
    <row r="425" customFormat="false" ht="45" hidden="false" customHeight="false" outlineLevel="2" collapsed="false">
      <c r="A425" s="42" t="s">
        <v>626</v>
      </c>
      <c r="B425" s="43" t="s">
        <v>627</v>
      </c>
      <c r="C425" s="50" t="str">
        <f aca="false">VLOOKUP($B425,03_COMPOSIÇÕES!$A:$G,2,0)</f>
        <v>TORNEIRA CROMADA DE MESA, 1/2" OU 3/4", PARA LAVATÓRIO, TEMPORIZADA PRESSAO FECHAMENTO AUTOMATICO - FORNECIMENTO E INSTALAÇÃO.</v>
      </c>
      <c r="D425" s="45" t="s">
        <v>59</v>
      </c>
      <c r="E425" s="51" t="str">
        <f aca="false">VLOOKUP($B425,03_COMPOSIÇÕES!$A:$G,4,0)</f>
        <v>UN</v>
      </c>
      <c r="F425" s="46" t="n">
        <v>24</v>
      </c>
      <c r="G425" s="51" t="n">
        <f aca="false">VLOOKUP($B425,03_COMPOSIÇÕES!$A:$G,6,0)</f>
        <v>171.223186</v>
      </c>
      <c r="H425" s="52" t="n">
        <f aca="false">VLOOKUP($B425,03_COMPOSIÇÕES!$A:$G,7,0)</f>
        <v>1.9760213376</v>
      </c>
      <c r="I425" s="47" t="n">
        <f aca="false">$F425*$G425</f>
        <v>4109.356464</v>
      </c>
      <c r="J425" s="47" t="n">
        <f aca="false">$F425*$H425</f>
        <v>47.4245121024</v>
      </c>
      <c r="K425" s="47" t="n">
        <f aca="false">$I425*(1+BDI_MAT)</f>
        <v>4956.7057668768</v>
      </c>
      <c r="L425" s="47" t="n">
        <f aca="false">$J425*(1+BDI_MDO)</f>
        <v>60.4615104793498</v>
      </c>
      <c r="M425" s="47" t="n">
        <f aca="false">SUM(K425:L425)</f>
        <v>5017.16727735615</v>
      </c>
      <c r="N425" s="20" t="str">
        <f aca="false">A425</f>
        <v>10.1.8</v>
      </c>
    </row>
    <row r="426" customFormat="false" ht="30" hidden="false" customHeight="false" outlineLevel="2" collapsed="false">
      <c r="A426" s="42" t="s">
        <v>628</v>
      </c>
      <c r="B426" s="43" t="s">
        <v>629</v>
      </c>
      <c r="C426" s="50" t="str">
        <f aca="false">VLOOKUP($B426,03_COMPOSIÇÕES!$A:$G,2,0)</f>
        <v>ESPELHO CRISTAL, ESPESSURA 4 MM, SEM MOLDURA, APARAFUSADO COM BOTÃO FRANCÊS, COM ÁREA MENOR OU IGUAL A 1,0 M2.</v>
      </c>
      <c r="D426" s="45" t="s">
        <v>59</v>
      </c>
      <c r="E426" s="51" t="str">
        <f aca="false">VLOOKUP($B426,03_COMPOSIÇÕES!$A:$G,4,0)</f>
        <v>M2</v>
      </c>
      <c r="F426" s="46" t="n">
        <v>10.8</v>
      </c>
      <c r="G426" s="51" t="n">
        <f aca="false">VLOOKUP($B426,03_COMPOSIÇÕES!$A:$G,6,0)</f>
        <v>580.59199</v>
      </c>
      <c r="H426" s="52" t="n">
        <f aca="false">VLOOKUP($B426,03_COMPOSIÇÕES!$A:$G,7,0)</f>
        <v>13.4522877112</v>
      </c>
      <c r="I426" s="47" t="n">
        <f aca="false">$F426*$G426</f>
        <v>6270.393492</v>
      </c>
      <c r="J426" s="47" t="n">
        <f aca="false">$F426*$H426</f>
        <v>145.28470728096</v>
      </c>
      <c r="K426" s="47" t="n">
        <f aca="false">$I426*(1+BDI_MAT)</f>
        <v>7563.3486300504</v>
      </c>
      <c r="L426" s="47" t="n">
        <f aca="false">$J426*(1+BDI_MDO)</f>
        <v>185.223473312496</v>
      </c>
      <c r="M426" s="47" t="n">
        <f aca="false">SUM(K426:L426)</f>
        <v>7748.5721033629</v>
      </c>
      <c r="N426" s="20" t="str">
        <f aca="false">A426</f>
        <v>10.1.9</v>
      </c>
    </row>
    <row r="427" customFormat="false" ht="30" hidden="false" customHeight="false" outlineLevel="2" collapsed="false">
      <c r="A427" s="42" t="s">
        <v>630</v>
      </c>
      <c r="B427" s="43" t="n">
        <v>95547</v>
      </c>
      <c r="C427" s="50" t="str">
        <f aca="false">VLOOKUP($B427,03_COMPOSIÇÕES!$A:$G,2,0)</f>
        <v>SABONETEIRA PLASTICA TIPO DISPENSER PARA SABONETE LIQUIDO COM RESERVATORIO 800 A 1500 ML, INCLUSO FIXAÇÃO. AF_01/2020</v>
      </c>
      <c r="D427" s="45" t="s">
        <v>59</v>
      </c>
      <c r="E427" s="51" t="str">
        <f aca="false">VLOOKUP($B427,03_COMPOSIÇÕES!$A:$G,4,0)</f>
        <v>UN</v>
      </c>
      <c r="F427" s="46" t="n">
        <v>24</v>
      </c>
      <c r="G427" s="51" t="n">
        <f aca="false">VLOOKUP($B427,03_COMPOSIÇÕES!$A:$G,6,0)</f>
        <v>99.308164</v>
      </c>
      <c r="H427" s="52" t="n">
        <f aca="false">VLOOKUP($B427,03_COMPOSIÇÕES!$A:$G,7,0)</f>
        <v>1.317164184</v>
      </c>
      <c r="I427" s="47" t="n">
        <f aca="false">$F427*$G427</f>
        <v>2383.395936</v>
      </c>
      <c r="J427" s="47" t="n">
        <f aca="false">$F427*$H427</f>
        <v>31.611940416</v>
      </c>
      <c r="K427" s="47" t="n">
        <f aca="false">$I427*(1+BDI_MAT)</f>
        <v>2874.8521780032</v>
      </c>
      <c r="L427" s="47" t="n">
        <f aca="false">$J427*(1+BDI_MDO)</f>
        <v>40.3020628363584</v>
      </c>
      <c r="M427" s="47" t="n">
        <f aca="false">SUM(K427:L427)</f>
        <v>2915.15424083956</v>
      </c>
      <c r="N427" s="20" t="str">
        <f aca="false">A427</f>
        <v>10.1.10</v>
      </c>
    </row>
    <row r="428" customFormat="false" ht="30" hidden="false" customHeight="false" outlineLevel="2" collapsed="false">
      <c r="A428" s="42" t="s">
        <v>631</v>
      </c>
      <c r="B428" s="43" t="s">
        <v>632</v>
      </c>
      <c r="C428" s="50" t="str">
        <f aca="false">VLOOKUP($B428,03_COMPOSIÇÕES!$A:$G,2,0)</f>
        <v>PAPELEIRA PLASTICA DE PAREDE, TIPO DISPENSER PARA PAPEL HIGIENICO, INCLUSO FIXAÇÃO.</v>
      </c>
      <c r="D428" s="45" t="s">
        <v>59</v>
      </c>
      <c r="E428" s="51" t="str">
        <f aca="false">VLOOKUP($B428,03_COMPOSIÇÕES!$A:$G,4,0)</f>
        <v>UN</v>
      </c>
      <c r="F428" s="46" t="n">
        <v>24</v>
      </c>
      <c r="G428" s="51" t="n">
        <f aca="false">VLOOKUP($B428,03_COMPOSIÇÕES!$A:$G,6,0)</f>
        <v>103.445236</v>
      </c>
      <c r="H428" s="52" t="n">
        <f aca="false">VLOOKUP($B428,03_COMPOSIÇÕES!$A:$G,7,0)</f>
        <v>5.498763732</v>
      </c>
      <c r="I428" s="47" t="n">
        <f aca="false">$F428*$G428</f>
        <v>2482.685664</v>
      </c>
      <c r="J428" s="47" t="n">
        <f aca="false">$F428*$H428</f>
        <v>131.970329568</v>
      </c>
      <c r="K428" s="47" t="n">
        <f aca="false">$I428*(1+BDI_MAT)</f>
        <v>2994.6154479168</v>
      </c>
      <c r="L428" s="47" t="n">
        <f aca="false">$J428*(1+BDI_MDO)</f>
        <v>168.248973166243</v>
      </c>
      <c r="M428" s="47" t="n">
        <f aca="false">SUM(K428:L428)</f>
        <v>3162.86442108304</v>
      </c>
      <c r="N428" s="20" t="str">
        <f aca="false">A428</f>
        <v>10.1.11</v>
      </c>
    </row>
    <row r="429" customFormat="false" ht="30" hidden="false" customHeight="false" outlineLevel="2" collapsed="false">
      <c r="A429" s="42" t="s">
        <v>633</v>
      </c>
      <c r="B429" s="43" t="s">
        <v>634</v>
      </c>
      <c r="C429" s="50" t="str">
        <f aca="false">VLOOKUP($B429,03_COMPOSIÇÕES!$A:$G,2,0)</f>
        <v>TOALHEIRO PLASTICO TIPO DISPENSER PARA PAPEL TOALHA, INSTALADO NA PAREDE, INCLUSO FIXAÇÃO.</v>
      </c>
      <c r="D429" s="45" t="s">
        <v>59</v>
      </c>
      <c r="E429" s="51" t="str">
        <f aca="false">VLOOKUP($B429,03_COMPOSIÇÕES!$A:$G,4,0)</f>
        <v>UN</v>
      </c>
      <c r="F429" s="46" t="n">
        <v>22</v>
      </c>
      <c r="G429" s="51" t="n">
        <f aca="false">VLOOKUP($B429,03_COMPOSIÇÕES!$A:$G,6,0)</f>
        <v>102.06478</v>
      </c>
      <c r="H429" s="52" t="n">
        <f aca="false">VLOOKUP($B429,03_COMPOSIÇÕES!$A:$G,7,0)</f>
        <v>5.498763732</v>
      </c>
      <c r="I429" s="47" t="n">
        <f aca="false">$F429*$G429</f>
        <v>2245.42516</v>
      </c>
      <c r="J429" s="47" t="n">
        <f aca="false">$F429*$H429</f>
        <v>120.972802104</v>
      </c>
      <c r="K429" s="47" t="n">
        <f aca="false">$I429*(1+BDI_MAT)</f>
        <v>2708.431827992</v>
      </c>
      <c r="L429" s="47" t="n">
        <f aca="false">$J429*(1+BDI_MDO)</f>
        <v>154.22822540239</v>
      </c>
      <c r="M429" s="47" t="n">
        <f aca="false">SUM(K429:L429)</f>
        <v>2862.66005339439</v>
      </c>
      <c r="N429" s="20" t="str">
        <f aca="false">A429</f>
        <v>10.1.12</v>
      </c>
    </row>
    <row r="430" customFormat="false" ht="15" hidden="false" customHeight="false" outlineLevel="1" collapsed="false">
      <c r="A430" s="42" t="s">
        <v>635</v>
      </c>
      <c r="B430" s="43"/>
      <c r="C430" s="50" t="s">
        <v>636</v>
      </c>
      <c r="D430" s="45"/>
      <c r="E430" s="44"/>
      <c r="F430" s="46"/>
      <c r="G430" s="51"/>
      <c r="H430" s="52"/>
      <c r="I430" s="47" t="n">
        <f aca="false">SUBTOTAL(9,I431:I440)</f>
        <v>8187.70574266667</v>
      </c>
      <c r="J430" s="47" t="n">
        <f aca="false">SUBTOTAL(9,J431:J440)</f>
        <v>634.56951434736</v>
      </c>
      <c r="K430" s="47" t="n">
        <f aca="false">SUBTOTAL(9,K431:K440)</f>
        <v>9876.01066680453</v>
      </c>
      <c r="L430" s="47" t="n">
        <f aca="false">SUBTOTAL(9,L431:L440)</f>
        <v>809.012673841449</v>
      </c>
      <c r="M430" s="47" t="n">
        <f aca="false">SUBTOTAL(9,M431:M440)</f>
        <v>10685.023340646</v>
      </c>
      <c r="N430" s="20" t="str">
        <f aca="false">A430</f>
        <v>10.2</v>
      </c>
    </row>
    <row r="431" customFormat="false" ht="30" hidden="false" customHeight="false" outlineLevel="2" collapsed="false">
      <c r="A431" s="42" t="s">
        <v>637</v>
      </c>
      <c r="B431" s="43" t="s">
        <v>616</v>
      </c>
      <c r="C431" s="50" t="str">
        <f aca="false">VLOOKUP($B431,03_COMPOSIÇÕES!$A:$G,2,0)</f>
        <v>CONJUNTO COMPLETO DE VASO SANITÁRIO SIFONADO COM CAIXA ACOPLADA LOUÇA BRANCA - FORNECIMENTO E INSTALAÇÃO.</v>
      </c>
      <c r="D431" s="45" t="s">
        <v>59</v>
      </c>
      <c r="E431" s="51" t="str">
        <f aca="false">VLOOKUP($B431,03_COMPOSIÇÕES!$A:$G,4,0)</f>
        <v>UN</v>
      </c>
      <c r="F431" s="46" t="n">
        <v>4</v>
      </c>
      <c r="G431" s="51" t="n">
        <f aca="false">VLOOKUP($B431,03_COMPOSIÇÕES!$A:$G,6,0)</f>
        <v>409.508047</v>
      </c>
      <c r="H431" s="52" t="n">
        <f aca="false">VLOOKUP($B431,03_COMPOSIÇÕES!$A:$G,7,0)</f>
        <v>25.6093789452</v>
      </c>
      <c r="I431" s="47" t="n">
        <f aca="false">$F431*$G431</f>
        <v>1638.032188</v>
      </c>
      <c r="J431" s="47" t="n">
        <f aca="false">$F431*$H431</f>
        <v>102.4375157808</v>
      </c>
      <c r="K431" s="47" t="n">
        <f aca="false">$I431*(1+BDI_MAT)</f>
        <v>1975.7944251656</v>
      </c>
      <c r="L431" s="47" t="n">
        <f aca="false">$J431*(1+BDI_MDO)</f>
        <v>130.597588868942</v>
      </c>
      <c r="M431" s="47" t="n">
        <f aca="false">SUM(K431:L431)</f>
        <v>2106.39201403454</v>
      </c>
      <c r="N431" s="20" t="str">
        <f aca="false">A431</f>
        <v>10.2.1</v>
      </c>
    </row>
    <row r="432" customFormat="false" ht="15" hidden="false" customHeight="false" outlineLevel="2" collapsed="false">
      <c r="A432" s="42" t="s">
        <v>638</v>
      </c>
      <c r="B432" s="43" t="s">
        <v>639</v>
      </c>
      <c r="C432" s="50" t="str">
        <f aca="false">VLOOKUP($B432,03_COMPOSIÇÕES!$A:$G,2,0)</f>
        <v>ASSENTO SANITÁRIO PARA PCD - FORNECIMENTO E INSTALACAO.</v>
      </c>
      <c r="D432" s="45" t="s">
        <v>59</v>
      </c>
      <c r="E432" s="51" t="str">
        <f aca="false">VLOOKUP($B432,03_COMPOSIÇÕES!$A:$G,4,0)</f>
        <v>UN</v>
      </c>
      <c r="F432" s="46" t="n">
        <v>4</v>
      </c>
      <c r="G432" s="51" t="n">
        <f aca="false">VLOOKUP($B432,03_COMPOSIÇÕES!$A:$G,6,0)</f>
        <v>84.0872973333333</v>
      </c>
      <c r="H432" s="52" t="n">
        <f aca="false">VLOOKUP($B432,03_COMPOSIÇÕES!$A:$G,7,0)</f>
        <v>3.80170187616</v>
      </c>
      <c r="I432" s="47" t="n">
        <f aca="false">$F432*$G432</f>
        <v>336.349189333333</v>
      </c>
      <c r="J432" s="47" t="n">
        <f aca="false">$F432*$H432</f>
        <v>15.20680750464</v>
      </c>
      <c r="K432" s="47" t="n">
        <f aca="false">$I432*(1+BDI_MAT)</f>
        <v>405.704392173867</v>
      </c>
      <c r="L432" s="47" t="n">
        <f aca="false">$J432*(1+BDI_MDO)</f>
        <v>19.3871588876655</v>
      </c>
      <c r="M432" s="47" t="n">
        <f aca="false">SUM(K432:L432)</f>
        <v>425.091551061532</v>
      </c>
      <c r="N432" s="20" t="str">
        <f aca="false">A432</f>
        <v>10.2.2</v>
      </c>
    </row>
    <row r="433" customFormat="false" ht="75" hidden="false" customHeight="false" outlineLevel="2" collapsed="false">
      <c r="A433" s="42" t="s">
        <v>640</v>
      </c>
      <c r="B433" s="43" t="s">
        <v>641</v>
      </c>
      <c r="C433" s="50" t="str">
        <f aca="false">VLOOKUP($B433,03_COMPOSIÇÕES!$A:$G,2,0)</f>
        <v>LAVATÓRIO PNE, EM LOUÇA BRANCA, SUSPENSO, 29,5 X 39CM OU EQUIVALENTE, PADRÃO POPULAR, INCLUSO SIFÃO TIPO GARRAFA EM PVC, VÁLVULA E ENGATE FLEXÍVEL 30CM EM PLÁSTICO E TORNEIRA CROMADA DE MESA, AUTOMÁTICA PNE - FORNECIMENTO E INSTALAÇÃO.</v>
      </c>
      <c r="D433" s="45" t="s">
        <v>59</v>
      </c>
      <c r="E433" s="51" t="str">
        <f aca="false">VLOOKUP($B433,03_COMPOSIÇÕES!$A:$G,4,0)</f>
        <v>UN</v>
      </c>
      <c r="F433" s="46" t="n">
        <v>4</v>
      </c>
      <c r="G433" s="51" t="n">
        <f aca="false">VLOOKUP($B433,03_COMPOSIÇÕES!$A:$G,6,0)</f>
        <v>247.593881333333</v>
      </c>
      <c r="H433" s="52" t="n">
        <f aca="false">VLOOKUP($B433,03_COMPOSIÇÕES!$A:$G,7,0)</f>
        <v>23.01662596308</v>
      </c>
      <c r="I433" s="47" t="n">
        <f aca="false">$F433*$G433</f>
        <v>990.375525333333</v>
      </c>
      <c r="J433" s="47" t="n">
        <f aca="false">$F433*$H433</f>
        <v>92.06650385232</v>
      </c>
      <c r="K433" s="47" t="n">
        <f aca="false">$I433*(1+BDI_MAT)</f>
        <v>1194.59095865707</v>
      </c>
      <c r="L433" s="47" t="n">
        <f aca="false">$J433*(1+BDI_MDO)</f>
        <v>117.375585761323</v>
      </c>
      <c r="M433" s="47" t="n">
        <f aca="false">SUM(K433:L433)</f>
        <v>1311.96654441839</v>
      </c>
      <c r="N433" s="20" t="str">
        <f aca="false">A433</f>
        <v>10.2.3</v>
      </c>
    </row>
    <row r="434" customFormat="false" ht="30" hidden="false" customHeight="false" outlineLevel="2" collapsed="false">
      <c r="A434" s="42" t="s">
        <v>642</v>
      </c>
      <c r="B434" s="43" t="n">
        <v>100868</v>
      </c>
      <c r="C434" s="50" t="str">
        <f aca="false">VLOOKUP($B434,03_COMPOSIÇÕES!$A:$G,2,0)</f>
        <v>BARRA DE APOIO RETA, EM ACO INOX POLIDO, COMPRIMENTO 80 CM, FIXADA NA PAREDE - FORNECIMENTO E INSTALAÇÃO. AF_01/2020</v>
      </c>
      <c r="D434" s="45" t="s">
        <v>59</v>
      </c>
      <c r="E434" s="51" t="str">
        <f aca="false">VLOOKUP($B434,03_COMPOSIÇÕES!$A:$G,4,0)</f>
        <v>UN</v>
      </c>
      <c r="F434" s="46" t="n">
        <v>8</v>
      </c>
      <c r="G434" s="51" t="n">
        <f aca="false">VLOOKUP($B434,03_COMPOSIÇÕES!$A:$G,6,0)</f>
        <v>119.663806</v>
      </c>
      <c r="H434" s="52" t="n">
        <f aca="false">VLOOKUP($B434,03_COMPOSIÇÕES!$A:$G,7,0)</f>
        <v>23.4749950386</v>
      </c>
      <c r="I434" s="47" t="n">
        <f aca="false">$F434*$G434</f>
        <v>957.310448</v>
      </c>
      <c r="J434" s="47" t="n">
        <f aca="false">$F434*$H434</f>
        <v>187.7999603088</v>
      </c>
      <c r="K434" s="47" t="n">
        <f aca="false">$I434*(1+BDI_MAT)</f>
        <v>1154.7078623776</v>
      </c>
      <c r="L434" s="47" t="n">
        <f aca="false">$J434*(1+BDI_MDO)</f>
        <v>239.426169397689</v>
      </c>
      <c r="M434" s="47" t="n">
        <f aca="false">SUM(K434:L434)</f>
        <v>1394.13403177529</v>
      </c>
      <c r="N434" s="20" t="str">
        <f aca="false">A434</f>
        <v>10.2.4</v>
      </c>
    </row>
    <row r="435" customFormat="false" ht="30" hidden="false" customHeight="false" outlineLevel="2" collapsed="false">
      <c r="A435" s="42" t="s">
        <v>643</v>
      </c>
      <c r="B435" s="43" t="n">
        <v>100867</v>
      </c>
      <c r="C435" s="50" t="str">
        <f aca="false">VLOOKUP($B435,03_COMPOSIÇÕES!$A:$G,2,0)</f>
        <v>BARRA DE APOIO RETA, EM ACO INOX POLIDO, COMPRIMENTO 70 CM, FIXADA NA PAREDE - FORNECIMENTO E INSTALAÇÃO. AF_01/2020</v>
      </c>
      <c r="D435" s="45" t="s">
        <v>59</v>
      </c>
      <c r="E435" s="51" t="str">
        <f aca="false">VLOOKUP($B435,03_COMPOSIÇÕES!$A:$G,4,0)</f>
        <v>UN</v>
      </c>
      <c r="F435" s="46" t="n">
        <v>4</v>
      </c>
      <c r="G435" s="51" t="n">
        <f aca="false">VLOOKUP($B435,03_COMPOSIÇÕES!$A:$G,6,0)</f>
        <v>331.183806</v>
      </c>
      <c r="H435" s="52" t="n">
        <f aca="false">VLOOKUP($B435,03_COMPOSIÇÕES!$A:$G,7,0)</f>
        <v>19.5235024866</v>
      </c>
      <c r="I435" s="47" t="n">
        <f aca="false">$F435*$G435</f>
        <v>1324.735224</v>
      </c>
      <c r="J435" s="47" t="n">
        <f aca="false">$F435*$H435</f>
        <v>78.0940099464</v>
      </c>
      <c r="K435" s="47" t="n">
        <f aca="false">$I435*(1+BDI_MAT)</f>
        <v>1597.8956271888</v>
      </c>
      <c r="L435" s="47" t="n">
        <f aca="false">$J435*(1+BDI_MDO)</f>
        <v>99.5620532806654</v>
      </c>
      <c r="M435" s="47" t="n">
        <f aca="false">SUM(K435:L435)</f>
        <v>1697.45768046947</v>
      </c>
      <c r="N435" s="20" t="str">
        <f aca="false">A435</f>
        <v>10.2.5</v>
      </c>
    </row>
    <row r="436" customFormat="false" ht="30" hidden="false" customHeight="false" outlineLevel="2" collapsed="false">
      <c r="A436" s="42" t="s">
        <v>644</v>
      </c>
      <c r="B436" s="43" t="s">
        <v>645</v>
      </c>
      <c r="C436" s="50" t="str">
        <f aca="false">VLOOKUP($B436,03_COMPOSIÇÕES!$A:$G,2,0)</f>
        <v>BARRA DE APOIO RETA, EM ACO INOX POLIDO, COMPRIMENTO 40CM, FIXADA NA PAREDE - FORNECIMENTO E INSTALAÇÃO.</v>
      </c>
      <c r="D436" s="45" t="s">
        <v>59</v>
      </c>
      <c r="E436" s="51" t="str">
        <f aca="false">VLOOKUP($B436,03_COMPOSIÇÕES!$A:$G,4,0)</f>
        <v>UN</v>
      </c>
      <c r="F436" s="46" t="n">
        <v>4</v>
      </c>
      <c r="G436" s="51" t="n">
        <f aca="false">VLOOKUP($B436,03_COMPOSIÇÕES!$A:$G,6,0)</f>
        <v>241.400472666667</v>
      </c>
      <c r="H436" s="52" t="n">
        <f aca="false">VLOOKUP($B436,03_COMPOSIÇÕES!$A:$G,7,0)</f>
        <v>3.951492552</v>
      </c>
      <c r="I436" s="47" t="n">
        <f aca="false">$F436*$G436</f>
        <v>965.601890666667</v>
      </c>
      <c r="J436" s="47" t="n">
        <f aca="false">$F436*$H436</f>
        <v>15.805970208</v>
      </c>
      <c r="K436" s="47" t="n">
        <f aca="false">$I436*(1+BDI_MAT)</f>
        <v>1164.70900052213</v>
      </c>
      <c r="L436" s="47" t="n">
        <f aca="false">$J436*(1+BDI_MDO)</f>
        <v>20.1510314181792</v>
      </c>
      <c r="M436" s="47" t="n">
        <f aca="false">SUM(K436:L436)</f>
        <v>1184.86003194031</v>
      </c>
      <c r="N436" s="20" t="str">
        <f aca="false">A436</f>
        <v>10.2.6</v>
      </c>
    </row>
    <row r="437" customFormat="false" ht="45" hidden="false" customHeight="false" outlineLevel="2" collapsed="false">
      <c r="A437" s="42" t="s">
        <v>646</v>
      </c>
      <c r="B437" s="43" t="s">
        <v>647</v>
      </c>
      <c r="C437" s="50" t="str">
        <f aca="false">VLOOKUP($B437,03_COMPOSIÇÕES!$A:$G,2,0)</f>
        <v>BARRA DE APOIO PARA LAVATÓRIO, EM ACO INOX POLIDO, COMPRIMENTO 25CM, FIXADA NA PAREDE - FORNECIMENTO EINSTALAÇÃO.</v>
      </c>
      <c r="D437" s="45" t="s">
        <v>59</v>
      </c>
      <c r="E437" s="51" t="str">
        <f aca="false">VLOOKUP($B437,03_COMPOSIÇÕES!$A:$G,4,0)</f>
        <v>UN</v>
      </c>
      <c r="F437" s="46" t="n">
        <v>4</v>
      </c>
      <c r="G437" s="51" t="n">
        <f aca="false">VLOOKUP($B437,03_COMPOSIÇÕES!$A:$G,6,0)</f>
        <v>189.007139333333</v>
      </c>
      <c r="H437" s="52" t="n">
        <f aca="false">VLOOKUP($B437,03_COMPOSIÇÕES!$A:$G,7,0)</f>
        <v>23.4749950386</v>
      </c>
      <c r="I437" s="47" t="n">
        <f aca="false">$F437*$G437</f>
        <v>756.028557333333</v>
      </c>
      <c r="J437" s="47" t="n">
        <f aca="false">$F437*$H437</f>
        <v>93.8999801544</v>
      </c>
      <c r="K437" s="47" t="n">
        <f aca="false">$I437*(1+BDI_MAT)</f>
        <v>911.921645855467</v>
      </c>
      <c r="L437" s="47" t="n">
        <f aca="false">$J437*(1+BDI_MDO)</f>
        <v>119.713084698845</v>
      </c>
      <c r="M437" s="47" t="n">
        <f aca="false">SUM(K437:L437)</f>
        <v>1031.63473055431</v>
      </c>
      <c r="N437" s="20" t="str">
        <f aca="false">A437</f>
        <v>10.2.7</v>
      </c>
    </row>
    <row r="438" customFormat="false" ht="30" hidden="false" customHeight="false" outlineLevel="2" collapsed="false">
      <c r="A438" s="42" t="s">
        <v>648</v>
      </c>
      <c r="B438" s="43" t="s">
        <v>632</v>
      </c>
      <c r="C438" s="50" t="str">
        <f aca="false">VLOOKUP($B438,03_COMPOSIÇÕES!$A:$G,2,0)</f>
        <v>PAPELEIRA PLASTICA DE PAREDE, TIPO DISPENSER PARA PAPEL HIGIENICO, INCLUSO FIXAÇÃO.</v>
      </c>
      <c r="D438" s="45" t="s">
        <v>59</v>
      </c>
      <c r="E438" s="51" t="str">
        <f aca="false">VLOOKUP($B438,03_COMPOSIÇÕES!$A:$G,4,0)</f>
        <v>UN</v>
      </c>
      <c r="F438" s="46" t="n">
        <v>4</v>
      </c>
      <c r="G438" s="51" t="n">
        <f aca="false">VLOOKUP($B438,03_COMPOSIÇÕES!$A:$G,6,0)</f>
        <v>103.445236</v>
      </c>
      <c r="H438" s="52" t="n">
        <f aca="false">VLOOKUP($B438,03_COMPOSIÇÕES!$A:$G,7,0)</f>
        <v>5.498763732</v>
      </c>
      <c r="I438" s="47" t="n">
        <f aca="false">$F438*$G438</f>
        <v>413.780944</v>
      </c>
      <c r="J438" s="47" t="n">
        <f aca="false">$F438*$H438</f>
        <v>21.995054928</v>
      </c>
      <c r="K438" s="47" t="n">
        <f aca="false">$I438*(1+BDI_MAT)</f>
        <v>499.1025746528</v>
      </c>
      <c r="L438" s="47" t="n">
        <f aca="false">$J438*(1+BDI_MDO)</f>
        <v>28.0414955277072</v>
      </c>
      <c r="M438" s="47" t="n">
        <f aca="false">SUM(K438:L438)</f>
        <v>527.144070180507</v>
      </c>
      <c r="N438" s="20" t="str">
        <f aca="false">A438</f>
        <v>10.2.8</v>
      </c>
    </row>
    <row r="439" customFormat="false" ht="30" hidden="false" customHeight="false" outlineLevel="2" collapsed="false">
      <c r="A439" s="42" t="s">
        <v>649</v>
      </c>
      <c r="B439" s="43" t="s">
        <v>634</v>
      </c>
      <c r="C439" s="50" t="str">
        <f aca="false">VLOOKUP($B439,03_COMPOSIÇÕES!$A:$G,2,0)</f>
        <v>TOALHEIRO PLASTICO TIPO DISPENSER PARA PAPEL TOALHA, INSTALADO NA PAREDE, INCLUSO FIXAÇÃO.</v>
      </c>
      <c r="D439" s="45" t="s">
        <v>59</v>
      </c>
      <c r="E439" s="51" t="str">
        <f aca="false">VLOOKUP($B439,03_COMPOSIÇÕES!$A:$G,4,0)</f>
        <v>UN</v>
      </c>
      <c r="F439" s="46" t="n">
        <v>4</v>
      </c>
      <c r="G439" s="51" t="n">
        <f aca="false">VLOOKUP($B439,03_COMPOSIÇÕES!$A:$G,6,0)</f>
        <v>102.06478</v>
      </c>
      <c r="H439" s="52" t="n">
        <f aca="false">VLOOKUP($B439,03_COMPOSIÇÕES!$A:$G,7,0)</f>
        <v>5.498763732</v>
      </c>
      <c r="I439" s="47" t="n">
        <f aca="false">$F439*$G439</f>
        <v>408.25912</v>
      </c>
      <c r="J439" s="47" t="n">
        <f aca="false">$F439*$H439</f>
        <v>21.995054928</v>
      </c>
      <c r="K439" s="47" t="n">
        <f aca="false">$I439*(1+BDI_MAT)</f>
        <v>492.442150544</v>
      </c>
      <c r="L439" s="47" t="n">
        <f aca="false">$J439*(1+BDI_MDO)</f>
        <v>28.0414955277072</v>
      </c>
      <c r="M439" s="47" t="n">
        <f aca="false">SUM(K439:L439)</f>
        <v>520.483646071707</v>
      </c>
      <c r="N439" s="20" t="str">
        <f aca="false">A439</f>
        <v>10.2.9</v>
      </c>
    </row>
    <row r="440" customFormat="false" ht="30" hidden="false" customHeight="false" outlineLevel="2" collapsed="false">
      <c r="A440" s="42" t="s">
        <v>650</v>
      </c>
      <c r="B440" s="43" t="n">
        <v>95547</v>
      </c>
      <c r="C440" s="50" t="str">
        <f aca="false">VLOOKUP($B440,03_COMPOSIÇÕES!$A:$G,2,0)</f>
        <v>SABONETEIRA PLASTICA TIPO DISPENSER PARA SABONETE LIQUIDO COM RESERVATORIO 800 A 1500 ML, INCLUSO FIXAÇÃO. AF_01/2020</v>
      </c>
      <c r="D440" s="45" t="s">
        <v>59</v>
      </c>
      <c r="E440" s="51" t="str">
        <f aca="false">VLOOKUP($B440,03_COMPOSIÇÕES!$A:$G,4,0)</f>
        <v>UN</v>
      </c>
      <c r="F440" s="46" t="n">
        <v>4</v>
      </c>
      <c r="G440" s="51" t="n">
        <f aca="false">VLOOKUP($B440,03_COMPOSIÇÕES!$A:$G,6,0)</f>
        <v>99.308164</v>
      </c>
      <c r="H440" s="52" t="n">
        <f aca="false">VLOOKUP($B440,03_COMPOSIÇÕES!$A:$G,7,0)</f>
        <v>1.317164184</v>
      </c>
      <c r="I440" s="47" t="n">
        <f aca="false">$F440*$G440</f>
        <v>397.232656</v>
      </c>
      <c r="J440" s="47" t="n">
        <f aca="false">$F440*$H440</f>
        <v>5.268656736</v>
      </c>
      <c r="K440" s="47" t="n">
        <f aca="false">$I440*(1+BDI_MAT)</f>
        <v>479.1420296672</v>
      </c>
      <c r="L440" s="47" t="n">
        <f aca="false">$J440*(1+BDI_MDO)</f>
        <v>6.7170104727264</v>
      </c>
      <c r="M440" s="47" t="n">
        <f aca="false">SUM(K440:L440)</f>
        <v>485.859040139926</v>
      </c>
      <c r="N440" s="20" t="str">
        <f aca="false">A440</f>
        <v>10.2.10</v>
      </c>
    </row>
    <row r="441" customFormat="false" ht="15" hidden="false" customHeight="false" outlineLevel="1" collapsed="false">
      <c r="A441" s="42" t="s">
        <v>651</v>
      </c>
      <c r="B441" s="43"/>
      <c r="C441" s="50" t="s">
        <v>652</v>
      </c>
      <c r="D441" s="45"/>
      <c r="E441" s="44"/>
      <c r="F441" s="46"/>
      <c r="G441" s="51"/>
      <c r="H441" s="52"/>
      <c r="I441" s="47" t="n">
        <f aca="false">SUBTOTAL(9,I442:I445)</f>
        <v>6780.1978183862</v>
      </c>
      <c r="J441" s="47" t="n">
        <f aca="false">SUBTOTAL(9,J442:J445)</f>
        <v>500.8725271854</v>
      </c>
      <c r="K441" s="47" t="n">
        <f aca="false">SUBTOTAL(9,K442:K445)</f>
        <v>8178.27460853743</v>
      </c>
      <c r="L441" s="47" t="n">
        <f aca="false">SUBTOTAL(9,L442:L445)</f>
        <v>638.562384908667</v>
      </c>
      <c r="M441" s="47" t="n">
        <f aca="false">SUBTOTAL(9,M442:M445)</f>
        <v>8816.8369934461</v>
      </c>
      <c r="N441" s="20" t="str">
        <f aca="false">A441</f>
        <v>10.3</v>
      </c>
    </row>
    <row r="442" customFormat="false" ht="30" hidden="false" customHeight="false" outlineLevel="2" collapsed="false">
      <c r="A442" s="42" t="s">
        <v>653</v>
      </c>
      <c r="B442" s="43" t="s">
        <v>654</v>
      </c>
      <c r="C442" s="50" t="str">
        <f aca="false">VLOOKUP($B442,03_COMPOSIÇÕES!$A:$G,2,0)</f>
        <v>BANCADA DE GRANITO CINZA POLIDO, DE 2,25 X 0,55 M, PARA PIA DE COZINHA - FORNECIMENTO E INSTALAÇÃO.</v>
      </c>
      <c r="D442" s="45" t="s">
        <v>59</v>
      </c>
      <c r="E442" s="51" t="str">
        <f aca="false">VLOOKUP($B442,03_COMPOSIÇÕES!$A:$G,4,0)</f>
        <v>UN</v>
      </c>
      <c r="F442" s="46" t="n">
        <v>1</v>
      </c>
      <c r="G442" s="51" t="n">
        <f aca="false">VLOOKUP($B442,03_COMPOSIÇÕES!$A:$G,6,0)</f>
        <v>1256.127604375</v>
      </c>
      <c r="H442" s="52" t="n">
        <f aca="false">VLOOKUP($B442,03_COMPOSIÇÕES!$A:$G,7,0)</f>
        <v>95.311100241</v>
      </c>
      <c r="I442" s="47" t="n">
        <f aca="false">$F442*$G442</f>
        <v>1256.127604375</v>
      </c>
      <c r="J442" s="47" t="n">
        <f aca="false">$F442*$H442</f>
        <v>95.311100241</v>
      </c>
      <c r="K442" s="47" t="n">
        <f aca="false">$I442*(1+BDI_MAT)</f>
        <v>1515.14111639712</v>
      </c>
      <c r="L442" s="47" t="n">
        <f aca="false">$J442*(1+BDI_MDO)</f>
        <v>121.512121697251</v>
      </c>
      <c r="M442" s="47" t="n">
        <f aca="false">SUM(K442:L442)</f>
        <v>1636.65323809438</v>
      </c>
      <c r="N442" s="20" t="str">
        <f aca="false">A442</f>
        <v>10.3.1</v>
      </c>
    </row>
    <row r="443" customFormat="false" ht="30" hidden="false" customHeight="false" outlineLevel="2" collapsed="false">
      <c r="A443" s="42" t="s">
        <v>655</v>
      </c>
      <c r="B443" s="43" t="s">
        <v>656</v>
      </c>
      <c r="C443" s="50" t="str">
        <f aca="false">VLOOKUP($B443,03_COMPOSIÇÕES!$A:$G,2,0)</f>
        <v>BANCADA DE GRANITO CINZA POLIDO, DE 1,30 X 0,55 M, PARA PIA DE COZINHA - FORNECIMENTO E INSTALAÇÃO.</v>
      </c>
      <c r="D443" s="45" t="s">
        <v>59</v>
      </c>
      <c r="E443" s="51" t="str">
        <f aca="false">VLOOKUP($B443,03_COMPOSIÇÕES!$A:$G,4,0)</f>
        <v>UN</v>
      </c>
      <c r="F443" s="46" t="n">
        <v>4</v>
      </c>
      <c r="G443" s="51" t="n">
        <f aca="false">VLOOKUP($B443,03_COMPOSIÇÕES!$A:$G,6,0)</f>
        <v>863.3002910028</v>
      </c>
      <c r="H443" s="52" t="n">
        <f aca="false">VLOOKUP($B443,03_COMPOSIÇÕES!$A:$G,7,0)</f>
        <v>73.5061426656</v>
      </c>
      <c r="I443" s="47" t="n">
        <f aca="false">$F443*$G443</f>
        <v>3453.2011640112</v>
      </c>
      <c r="J443" s="47" t="n">
        <f aca="false">$F443*$H443</f>
        <v>294.0245706624</v>
      </c>
      <c r="K443" s="47" t="n">
        <f aca="false">$I443*(1+BDI_MAT)</f>
        <v>4165.25124403031</v>
      </c>
      <c r="L443" s="47" t="n">
        <f aca="false">$J443*(1+BDI_MDO)</f>
        <v>374.851925137494</v>
      </c>
      <c r="M443" s="47" t="n">
        <f aca="false">SUM(K443:L443)</f>
        <v>4540.1031691678</v>
      </c>
      <c r="N443" s="20" t="str">
        <f aca="false">A443</f>
        <v>10.3.2</v>
      </c>
    </row>
    <row r="444" customFormat="false" ht="45" hidden="false" customHeight="false" outlineLevel="2" collapsed="false">
      <c r="A444" s="42" t="s">
        <v>657</v>
      </c>
      <c r="B444" s="43" t="n">
        <v>86935</v>
      </c>
      <c r="C444" s="50" t="str">
        <f aca="false">VLOOKUP($B444,03_COMPOSIÇÕES!$A:$G,2,0)</f>
        <v>CUBA DE EMBUTIR DE AÇO INOXIDÁVEL MÉDIA, INCLUSO VÁLVULA TIPO AMERICANA EM METAL CROMADO E SIFÃO FLEXÍVEL EM PVC - FORNECIMENTO E INSTALAÇÃO. AF_01/2020</v>
      </c>
      <c r="D444" s="45" t="s">
        <v>59</v>
      </c>
      <c r="E444" s="51" t="str">
        <f aca="false">VLOOKUP($B444,03_COMPOSIÇÕES!$A:$G,4,0)</f>
        <v>UN</v>
      </c>
      <c r="F444" s="46" t="n">
        <v>5</v>
      </c>
      <c r="G444" s="51" t="n">
        <f aca="false">VLOOKUP($B444,03_COMPOSIÇÕES!$A:$G,6,0)</f>
        <v>268.592575</v>
      </c>
      <c r="H444" s="52" t="n">
        <f aca="false">VLOOKUP($B444,03_COMPOSIÇÕES!$A:$G,7,0)</f>
        <v>18.18180418788</v>
      </c>
      <c r="I444" s="47" t="n">
        <f aca="false">$F444*$G444</f>
        <v>1342.962875</v>
      </c>
      <c r="J444" s="47" t="n">
        <f aca="false">$F444*$H444</f>
        <v>90.9090209394</v>
      </c>
      <c r="K444" s="47" t="n">
        <f aca="false">$I444*(1+BDI_MAT)</f>
        <v>1619.881819825</v>
      </c>
      <c r="L444" s="47" t="n">
        <f aca="false">$J444*(1+BDI_MDO)</f>
        <v>115.899910795641</v>
      </c>
      <c r="M444" s="47" t="n">
        <f aca="false">SUM(K444:L444)</f>
        <v>1735.78173062064</v>
      </c>
      <c r="N444" s="20" t="str">
        <f aca="false">A444</f>
        <v>10.3.3</v>
      </c>
    </row>
    <row r="445" customFormat="false" ht="45" hidden="false" customHeight="false" outlineLevel="2" collapsed="false">
      <c r="A445" s="42" t="s">
        <v>658</v>
      </c>
      <c r="B445" s="43" t="n">
        <v>86909</v>
      </c>
      <c r="C445" s="50" t="str">
        <f aca="false">VLOOKUP($B445,03_COMPOSIÇÕES!$A:$G,2,0)</f>
        <v>TORNEIRA CROMADA TUBO MÓVEL, DE MESA, 1/2" OU 3/4", PARA PIA DE COZINHA, PADRÃO ALTO - FORNECIMENTO E INSTALAÇÃO. AF_01/2020</v>
      </c>
      <c r="D445" s="45" t="s">
        <v>59</v>
      </c>
      <c r="E445" s="51" t="str">
        <f aca="false">VLOOKUP($B445,03_COMPOSIÇÕES!$A:$G,4,0)</f>
        <v>UN</v>
      </c>
      <c r="F445" s="46" t="n">
        <v>5</v>
      </c>
      <c r="G445" s="51" t="n">
        <f aca="false">VLOOKUP($B445,03_COMPOSIÇÕES!$A:$G,6,0)</f>
        <v>145.581235</v>
      </c>
      <c r="H445" s="52" t="n">
        <f aca="false">VLOOKUP($B445,03_COMPOSIÇÕES!$A:$G,7,0)</f>
        <v>4.12556706852</v>
      </c>
      <c r="I445" s="47" t="n">
        <f aca="false">$F445*$G445</f>
        <v>727.906175</v>
      </c>
      <c r="J445" s="47" t="n">
        <f aca="false">$F445*$H445</f>
        <v>20.6278353426</v>
      </c>
      <c r="K445" s="47" t="n">
        <f aca="false">$I445*(1+BDI_MAT)</f>
        <v>878.000428285</v>
      </c>
      <c r="L445" s="47" t="n">
        <f aca="false">$J445*(1+BDI_MDO)</f>
        <v>26.2984272782807</v>
      </c>
      <c r="M445" s="47" t="n">
        <f aca="false">SUM(K445:L445)</f>
        <v>904.298855563281</v>
      </c>
      <c r="N445" s="20" t="str">
        <f aca="false">A445</f>
        <v>10.3.4</v>
      </c>
    </row>
    <row r="446" customFormat="false" ht="15" hidden="false" customHeight="false" outlineLevel="1" collapsed="false">
      <c r="A446" s="42" t="s">
        <v>659</v>
      </c>
      <c r="B446" s="43"/>
      <c r="C446" s="50" t="s">
        <v>660</v>
      </c>
      <c r="D446" s="45"/>
      <c r="E446" s="44"/>
      <c r="F446" s="46"/>
      <c r="G446" s="51"/>
      <c r="H446" s="52"/>
      <c r="I446" s="47" t="n">
        <f aca="false">SUBTOTAL(9,I447)</f>
        <v>706.474136</v>
      </c>
      <c r="J446" s="47" t="n">
        <f aca="false">SUBTOTAL(9,J447)</f>
        <v>57.9970522272</v>
      </c>
      <c r="K446" s="47" t="n">
        <f aca="false">SUBTOTAL(9,K447)</f>
        <v>852.1491028432</v>
      </c>
      <c r="L446" s="47" t="n">
        <f aca="false">SUBTOTAL(9,L447)</f>
        <v>73.9404418844573</v>
      </c>
      <c r="M446" s="47" t="n">
        <f aca="false">SUBTOTAL(9,M447)</f>
        <v>926.089544727657</v>
      </c>
      <c r="N446" s="20" t="str">
        <f aca="false">A446</f>
        <v>10.4</v>
      </c>
    </row>
    <row r="447" customFormat="false" ht="60" hidden="false" customHeight="false" outlineLevel="2" collapsed="false">
      <c r="A447" s="42" t="s">
        <v>661</v>
      </c>
      <c r="B447" s="43" t="n">
        <v>86927</v>
      </c>
      <c r="C447" s="50" t="str">
        <f aca="false">VLOOKUP($B447,03_COMPOSIÇÕES!$A:$G,2,0)</f>
        <v>TANQUE DE MÁRMORE SINTÉTICO SUSPENSO, 22L OU EQUIVALENTE, INCLUSO SIFÃO TIPO GARRAFA EM PVC, VÁLVULA PLÁSTICA E TORNEIRA DE METAL CROMADO PADRÃO POPULAR - FORNEC. E INSTALAÇÃO. AF_01/2020</v>
      </c>
      <c r="D447" s="45" t="s">
        <v>59</v>
      </c>
      <c r="E447" s="51" t="str">
        <f aca="false">VLOOKUP($B447,03_COMPOSIÇÕES!$A:$G,4,0)</f>
        <v>UN</v>
      </c>
      <c r="F447" s="46" t="n">
        <v>2</v>
      </c>
      <c r="G447" s="51" t="n">
        <f aca="false">VLOOKUP($B447,03_COMPOSIÇÕES!$A:$G,6,0)</f>
        <v>353.237068</v>
      </c>
      <c r="H447" s="52" t="n">
        <f aca="false">VLOOKUP($B447,03_COMPOSIÇÕES!$A:$G,7,0)</f>
        <v>28.9985261136</v>
      </c>
      <c r="I447" s="47" t="n">
        <f aca="false">$F447*$G447</f>
        <v>706.474136</v>
      </c>
      <c r="J447" s="47" t="n">
        <f aca="false">$F447*$H447</f>
        <v>57.9970522272</v>
      </c>
      <c r="K447" s="47" t="n">
        <f aca="false">$I447*(1+BDI_MAT)</f>
        <v>852.1491028432</v>
      </c>
      <c r="L447" s="47" t="n">
        <f aca="false">$J447*(1+BDI_MDO)</f>
        <v>73.9404418844573</v>
      </c>
      <c r="M447" s="47" t="n">
        <f aca="false">SUM(K447:L447)</f>
        <v>926.089544727657</v>
      </c>
      <c r="N447" s="20" t="str">
        <f aca="false">A447</f>
        <v>10.4.1</v>
      </c>
    </row>
    <row r="448" customFormat="false" ht="15" hidden="false" customHeight="false" outlineLevel="1" collapsed="false">
      <c r="A448" s="42" t="s">
        <v>662</v>
      </c>
      <c r="B448" s="43"/>
      <c r="C448" s="50" t="s">
        <v>663</v>
      </c>
      <c r="D448" s="45"/>
      <c r="E448" s="44"/>
      <c r="F448" s="46"/>
      <c r="G448" s="51"/>
      <c r="H448" s="52"/>
      <c r="I448" s="47" t="n">
        <f aca="false">SUBTOTAL(9,I449)</f>
        <v>2719.6715</v>
      </c>
      <c r="J448" s="47" t="n">
        <f aca="false">SUBTOTAL(9,J449)</f>
        <v>94.377315075</v>
      </c>
      <c r="K448" s="47" t="n">
        <f aca="false">SUBTOTAL(9,K449)</f>
        <v>3280.4677633</v>
      </c>
      <c r="L448" s="47" t="n">
        <f aca="false">SUBTOTAL(9,L449)</f>
        <v>120.321638989117</v>
      </c>
      <c r="M448" s="47" t="n">
        <f aca="false">SUBTOTAL(9,M449)</f>
        <v>3400.78940228912</v>
      </c>
      <c r="N448" s="20" t="str">
        <f aca="false">A448</f>
        <v>10.5</v>
      </c>
    </row>
    <row r="449" customFormat="false" ht="30" hidden="false" customHeight="false" outlineLevel="1" collapsed="false">
      <c r="A449" s="42" t="s">
        <v>664</v>
      </c>
      <c r="B449" s="43" t="n">
        <v>86914</v>
      </c>
      <c r="C449" s="50" t="str">
        <f aca="false">VLOOKUP($B449,03_COMPOSIÇÕES!$A:$G,2,0)</f>
        <v>TORNEIRA CROMADA 1/2" OU 3/4" PARA TANQUE, PADRÃO MÉDIO - FORNECIMENTO E INSTALAÇÃO. AF_01/2020</v>
      </c>
      <c r="D449" s="45" t="s">
        <v>59</v>
      </c>
      <c r="E449" s="51" t="str">
        <f aca="false">VLOOKUP($B449,03_COMPOSIÇÕES!$A:$G,4,0)</f>
        <v>UN</v>
      </c>
      <c r="F449" s="46" t="n">
        <v>25</v>
      </c>
      <c r="G449" s="51" t="n">
        <f aca="false">VLOOKUP($B449,03_COMPOSIÇÕES!$A:$G,6,0)</f>
        <v>108.78686</v>
      </c>
      <c r="H449" s="52" t="n">
        <f aca="false">VLOOKUP($B449,03_COMPOSIÇÕES!$A:$G,7,0)</f>
        <v>3.775092603</v>
      </c>
      <c r="I449" s="47" t="n">
        <f aca="false">$F449*$G449</f>
        <v>2719.6715</v>
      </c>
      <c r="J449" s="47" t="n">
        <f aca="false">$F449*$H449</f>
        <v>94.377315075</v>
      </c>
      <c r="K449" s="47" t="n">
        <f aca="false">$I449*(1+BDI_MAT)</f>
        <v>3280.4677633</v>
      </c>
      <c r="L449" s="47" t="n">
        <f aca="false">$J449*(1+BDI_MDO)</f>
        <v>120.321638989117</v>
      </c>
      <c r="M449" s="47" t="n">
        <f aca="false">SUM(K449:L449)</f>
        <v>3400.78940228912</v>
      </c>
      <c r="N449" s="20" t="str">
        <f aca="false">A449</f>
        <v>10.5.1</v>
      </c>
    </row>
    <row r="450" customFormat="false" ht="15" hidden="false" customHeight="false" outlineLevel="0" collapsed="false">
      <c r="A450" s="42" t="n">
        <v>11</v>
      </c>
      <c r="B450" s="43"/>
      <c r="C450" s="50" t="s">
        <v>665</v>
      </c>
      <c r="D450" s="45"/>
      <c r="E450" s="44"/>
      <c r="F450" s="46"/>
      <c r="G450" s="51"/>
      <c r="H450" s="52"/>
      <c r="I450" s="47" t="n">
        <f aca="false">SUM(I451,I466,I509,I526,I558,I576,I627)</f>
        <v>144394.115611461</v>
      </c>
      <c r="J450" s="47" t="n">
        <f aca="false">SUM(J451,J466,J509,J526,J558,J576,J627)</f>
        <v>26508.3295319085</v>
      </c>
      <c r="K450" s="47" t="n">
        <f aca="false">SUM(K451,K466,K509,K526,K558,K576,K627)</f>
        <v>174168.182250544</v>
      </c>
      <c r="L450" s="47" t="n">
        <f aca="false">SUM(L451,L466,L509,L526,L558,L576,L627)</f>
        <v>33795.4693202302</v>
      </c>
      <c r="M450" s="47" t="n">
        <f aca="false">SUM(M451,M466,M509,M526,M558,M576,M627)</f>
        <v>207963.651570774</v>
      </c>
      <c r="N450" s="20" t="n">
        <f aca="false">A450</f>
        <v>11</v>
      </c>
    </row>
    <row r="451" customFormat="false" ht="15" hidden="false" customHeight="false" outlineLevel="1" collapsed="false">
      <c r="A451" s="42" t="s">
        <v>666</v>
      </c>
      <c r="B451" s="43"/>
      <c r="C451" s="50" t="s">
        <v>667</v>
      </c>
      <c r="D451" s="45"/>
      <c r="E451" s="44"/>
      <c r="F451" s="46"/>
      <c r="G451" s="51"/>
      <c r="H451" s="52"/>
      <c r="I451" s="47" t="n">
        <f aca="false">SUM(I452,I457,I459)</f>
        <v>1952.985019</v>
      </c>
      <c r="J451" s="47" t="n">
        <f aca="false">SUM(J452,J457,J459)</f>
        <v>555.6044341578</v>
      </c>
      <c r="K451" s="47" t="n">
        <f aca="false">SUM(K452,K457,K459)</f>
        <v>2355.6905299178</v>
      </c>
      <c r="L451" s="47" t="n">
        <f aca="false">SUM(L452,L457,L459)</f>
        <v>708.340093107779</v>
      </c>
      <c r="M451" s="47" t="n">
        <f aca="false">SUM(M452,M457,M459)</f>
        <v>3064.03062302558</v>
      </c>
      <c r="N451" s="20" t="str">
        <f aca="false">A451</f>
        <v>11.1</v>
      </c>
    </row>
    <row r="452" customFormat="false" ht="15" hidden="false" customHeight="false" outlineLevel="2" collapsed="false">
      <c r="A452" s="42" t="s">
        <v>668</v>
      </c>
      <c r="B452" s="43"/>
      <c r="C452" s="50" t="s">
        <v>669</v>
      </c>
      <c r="D452" s="45"/>
      <c r="E452" s="44"/>
      <c r="F452" s="46"/>
      <c r="G452" s="51"/>
      <c r="H452" s="52"/>
      <c r="I452" s="47" t="n">
        <f aca="false">SUBTOTAL(9,I453:I456)</f>
        <v>309.433674</v>
      </c>
      <c r="J452" s="47" t="n">
        <f aca="false">SUBTOTAL(9,J453:J456)</f>
        <v>76.82261807712</v>
      </c>
      <c r="K452" s="47" t="n">
        <f aca="false">SUBTOTAL(9,K453:K456)</f>
        <v>373.2388975788</v>
      </c>
      <c r="L452" s="47" t="n">
        <f aca="false">SUBTOTAL(9,L453:L456)</f>
        <v>97.9411557865203</v>
      </c>
      <c r="M452" s="47" t="n">
        <f aca="false">SUBTOTAL(9,M453:M456)</f>
        <v>471.18005336532</v>
      </c>
      <c r="N452" s="20" t="str">
        <f aca="false">A452</f>
        <v>11.1.1</v>
      </c>
    </row>
    <row r="453" customFormat="false" ht="30" hidden="false" customHeight="false" outlineLevel="3" collapsed="false">
      <c r="A453" s="42" t="s">
        <v>670</v>
      </c>
      <c r="B453" s="43" t="n">
        <v>103046</v>
      </c>
      <c r="C453" s="50" t="str">
        <f aca="false">VLOOKUP($B453,03_COMPOSIÇÕES!$A:$G,2,0)</f>
        <v>REGISTRO DE PRESSÃO, PVC, ROSCÁVEL, VOLANTE SIMPLES, 3/4" - FORNECIMENTO E INSTALAÇÃO. AF_08/2021</v>
      </c>
      <c r="D453" s="45" t="s">
        <v>59</v>
      </c>
      <c r="E453" s="51" t="str">
        <f aca="false">VLOOKUP($B453,03_COMPOSIÇÕES!$A:$G,4,0)</f>
        <v>UN</v>
      </c>
      <c r="F453" s="46" t="n">
        <v>1</v>
      </c>
      <c r="G453" s="51" t="n">
        <f aca="false">VLOOKUP($B453,03_COMPOSIÇÕES!$A:$G,6,0)</f>
        <v>12.85045</v>
      </c>
      <c r="H453" s="52" t="n">
        <f aca="false">VLOOKUP($B453,03_COMPOSIÇÕES!$A:$G,7,0)</f>
        <v>2.26830782712</v>
      </c>
      <c r="I453" s="47" t="n">
        <f aca="false">$F453*$G453</f>
        <v>12.85045</v>
      </c>
      <c r="J453" s="47" t="n">
        <f aca="false">$F453*$H453</f>
        <v>2.26830782712</v>
      </c>
      <c r="K453" s="47" t="n">
        <f aca="false">$I453*(1+BDI_MAT)</f>
        <v>15.50021279</v>
      </c>
      <c r="L453" s="47" t="n">
        <f aca="false">$J453*(1+BDI_MDO)</f>
        <v>2.89186564879529</v>
      </c>
      <c r="M453" s="47" t="n">
        <f aca="false">SUM(K453:L453)</f>
        <v>18.3920784387953</v>
      </c>
      <c r="N453" s="20" t="str">
        <f aca="false">A453</f>
        <v>11.1.1.1</v>
      </c>
    </row>
    <row r="454" customFormat="false" ht="30" hidden="false" customHeight="false" outlineLevel="3" collapsed="false">
      <c r="A454" s="42" t="s">
        <v>671</v>
      </c>
      <c r="B454" s="43" t="n">
        <v>103042</v>
      </c>
      <c r="C454" s="50" t="str">
        <f aca="false">VLOOKUP($B454,03_COMPOSIÇÕES!$A:$G,2,0)</f>
        <v>REGISTRO DE ESFERA, PVC, ROSCÁVEL, COM BORBOLETA, 3/4" - FORNECIMENTO E INSTALAÇÃO. AF_08/2021</v>
      </c>
      <c r="D454" s="45" t="s">
        <v>59</v>
      </c>
      <c r="E454" s="51" t="str">
        <f aca="false">VLOOKUP($B454,03_COMPOSIÇÕES!$A:$G,4,0)</f>
        <v>UN</v>
      </c>
      <c r="F454" s="46" t="n">
        <v>1</v>
      </c>
      <c r="G454" s="51" t="n">
        <f aca="false">VLOOKUP($B454,03_COMPOSIÇÕES!$A:$G,6,0)</f>
        <v>13.511944</v>
      </c>
      <c r="H454" s="52" t="n">
        <f aca="false">VLOOKUP($B454,03_COMPOSIÇÕES!$A:$G,7,0)</f>
        <v>3.75583313808</v>
      </c>
      <c r="I454" s="47" t="n">
        <f aca="false">$F454*$G454</f>
        <v>13.511944</v>
      </c>
      <c r="J454" s="47" t="n">
        <f aca="false">$F454*$H454</f>
        <v>3.75583313808</v>
      </c>
      <c r="K454" s="47" t="n">
        <f aca="false">$I454*(1+BDI_MAT)</f>
        <v>16.2981068528</v>
      </c>
      <c r="L454" s="47" t="n">
        <f aca="false">$J454*(1+BDI_MDO)</f>
        <v>4.78831166773819</v>
      </c>
      <c r="M454" s="47" t="n">
        <f aca="false">SUM(K454:L454)</f>
        <v>21.0864185205382</v>
      </c>
      <c r="N454" s="20" t="str">
        <f aca="false">A454</f>
        <v>11.1.1.2</v>
      </c>
    </row>
    <row r="455" customFormat="false" ht="45" hidden="false" customHeight="false" outlineLevel="3" collapsed="false">
      <c r="A455" s="42" t="s">
        <v>672</v>
      </c>
      <c r="B455" s="43" t="n">
        <v>89987</v>
      </c>
      <c r="C455" s="50" t="str">
        <f aca="false">VLOOKUP($B455,03_COMPOSIÇÕES!$A:$G,2,0)</f>
        <v>REGISTRO DE GAVETA BRUTO, LATÃO, ROSCÁVEL, 3/4", COM ACABAMENTO E CANOPLA CROMADOS - FORNECIMENTO E INSTALAÇÃO. AF_08/2021</v>
      </c>
      <c r="D455" s="45" t="s">
        <v>59</v>
      </c>
      <c r="E455" s="51" t="str">
        <f aca="false">VLOOKUP($B455,03_COMPOSIÇÕES!$A:$G,4,0)</f>
        <v>UN</v>
      </c>
      <c r="F455" s="46" t="n">
        <v>4</v>
      </c>
      <c r="G455" s="51" t="n">
        <f aca="false">VLOOKUP($B455,03_COMPOSIÇÕES!$A:$G,6,0)</f>
        <v>3.18337</v>
      </c>
      <c r="H455" s="52" t="n">
        <f aca="false">VLOOKUP($B455,03_COMPOSIÇÕES!$A:$G,7,0)</f>
        <v>7.53893185248</v>
      </c>
      <c r="I455" s="47" t="n">
        <f aca="false">$F455*$G455</f>
        <v>12.73348</v>
      </c>
      <c r="J455" s="47" t="n">
        <f aca="false">$F455*$H455</f>
        <v>30.15572740992</v>
      </c>
      <c r="K455" s="47" t="n">
        <f aca="false">$I455*(1+BDI_MAT)</f>
        <v>15.359123576</v>
      </c>
      <c r="L455" s="47" t="n">
        <f aca="false">$J455*(1+BDI_MDO)</f>
        <v>38.445536874907</v>
      </c>
      <c r="M455" s="47" t="n">
        <f aca="false">SUM(K455:L455)</f>
        <v>53.804660450907</v>
      </c>
      <c r="N455" s="20" t="str">
        <f aca="false">A455</f>
        <v>11.1.1.3</v>
      </c>
    </row>
    <row r="456" customFormat="false" ht="30" hidden="false" customHeight="false" outlineLevel="3" collapsed="false">
      <c r="A456" s="42" t="s">
        <v>673</v>
      </c>
      <c r="B456" s="43" t="n">
        <v>94489</v>
      </c>
      <c r="C456" s="50" t="str">
        <f aca="false">VLOOKUP($B456,03_COMPOSIÇÕES!$A:$G,2,0)</f>
        <v>REGISTRO DE ESFERA, PVC, SOLDÁVEL, COM VOLANTE, DN 25 MM - FORNECIMENTO E INSTALAÇÃO. AF_08/2021</v>
      </c>
      <c r="D456" s="45" t="s">
        <v>59</v>
      </c>
      <c r="E456" s="51" t="str">
        <f aca="false">VLOOKUP($B456,03_COMPOSIÇÕES!$A:$G,4,0)</f>
        <v>UN</v>
      </c>
      <c r="F456" s="46" t="n">
        <v>15</v>
      </c>
      <c r="G456" s="51" t="n">
        <f aca="false">VLOOKUP($B456,03_COMPOSIÇÕES!$A:$G,6,0)</f>
        <v>18.02252</v>
      </c>
      <c r="H456" s="52" t="n">
        <f aca="false">VLOOKUP($B456,03_COMPOSIÇÕES!$A:$G,7,0)</f>
        <v>2.7095166468</v>
      </c>
      <c r="I456" s="47" t="n">
        <f aca="false">$F456*$G456</f>
        <v>270.3378</v>
      </c>
      <c r="J456" s="47" t="n">
        <f aca="false">$F456*$H456</f>
        <v>40.642749702</v>
      </c>
      <c r="K456" s="47" t="n">
        <f aca="false">$I456*(1+BDI_MAT)</f>
        <v>326.08145436</v>
      </c>
      <c r="L456" s="47" t="n">
        <f aca="false">$J456*(1+BDI_MDO)</f>
        <v>51.8154415950798</v>
      </c>
      <c r="M456" s="47" t="n">
        <f aca="false">SUM(K456:L456)</f>
        <v>377.89689595508</v>
      </c>
      <c r="N456" s="20" t="str">
        <f aca="false">A456</f>
        <v>11.1.1.4</v>
      </c>
    </row>
    <row r="457" customFormat="false" ht="15" hidden="false" customHeight="false" outlineLevel="2" collapsed="false">
      <c r="A457" s="42" t="s">
        <v>674</v>
      </c>
      <c r="B457" s="43"/>
      <c r="C457" s="50" t="s">
        <v>675</v>
      </c>
      <c r="D457" s="45"/>
      <c r="E457" s="44"/>
      <c r="F457" s="46"/>
      <c r="G457" s="51"/>
      <c r="H457" s="52"/>
      <c r="I457" s="47" t="n">
        <f aca="false">SUBTOTAL(9,I458)</f>
        <v>5.03821</v>
      </c>
      <c r="J457" s="47" t="n">
        <f aca="false">SUBTOTAL(9,J458)</f>
        <v>4.31477745264</v>
      </c>
      <c r="K457" s="47" t="n">
        <f aca="false">SUBTOTAL(9,K458)</f>
        <v>6.077088902</v>
      </c>
      <c r="L457" s="47" t="n">
        <f aca="false">SUBTOTAL(9,L458)</f>
        <v>5.50090977437074</v>
      </c>
      <c r="M457" s="47" t="n">
        <f aca="false">SUBTOTAL(9,M458)</f>
        <v>11.5779986763707</v>
      </c>
      <c r="N457" s="20" t="str">
        <f aca="false">A457</f>
        <v>11.1.2</v>
      </c>
    </row>
    <row r="458" customFormat="false" ht="45" hidden="false" customHeight="false" outlineLevel="3" collapsed="false">
      <c r="A458" s="42" t="s">
        <v>676</v>
      </c>
      <c r="B458" s="43" t="n">
        <v>89412</v>
      </c>
      <c r="C458" s="50" t="str">
        <f aca="false">VLOOKUP($B458,03_COMPOSIÇÕES!$A:$G,2,0)</f>
        <v>JOELHO 90 GRAUS, PVC, SOLDÁVEL, DN 25MM, X 3/4 INSTALADO EM RAMAL DE DISTRIBUIÇÃO DE ÁGUA - FORNECIMENTO E INSTALAÇÃO. AF_06/2022</v>
      </c>
      <c r="D458" s="45" t="s">
        <v>59</v>
      </c>
      <c r="E458" s="51" t="str">
        <f aca="false">VLOOKUP($B458,03_COMPOSIÇÕES!$A:$G,4,0)</f>
        <v>UN</v>
      </c>
      <c r="F458" s="46" t="n">
        <v>1</v>
      </c>
      <c r="G458" s="51" t="n">
        <f aca="false">VLOOKUP($B458,03_COMPOSIÇÕES!$A:$G,6,0)</f>
        <v>5.03821</v>
      </c>
      <c r="H458" s="52" t="n">
        <f aca="false">VLOOKUP($B458,03_COMPOSIÇÕES!$A:$G,7,0)</f>
        <v>4.31477745264</v>
      </c>
      <c r="I458" s="47" t="n">
        <f aca="false">$F458*$G458</f>
        <v>5.03821</v>
      </c>
      <c r="J458" s="47" t="n">
        <f aca="false">$F458*$H458</f>
        <v>4.31477745264</v>
      </c>
      <c r="K458" s="47" t="n">
        <f aca="false">$I458*(1+BDI_MAT)</f>
        <v>6.077088902</v>
      </c>
      <c r="L458" s="47" t="n">
        <f aca="false">$J458*(1+BDI_MDO)</f>
        <v>5.50090977437074</v>
      </c>
      <c r="M458" s="47" t="n">
        <f aca="false">SUM(K458:L458)</f>
        <v>11.5779986763707</v>
      </c>
      <c r="N458" s="20" t="str">
        <f aca="false">A458</f>
        <v>11.1.2.1</v>
      </c>
    </row>
    <row r="459" customFormat="false" ht="15" hidden="false" customHeight="false" outlineLevel="2" collapsed="false">
      <c r="A459" s="42" t="s">
        <v>677</v>
      </c>
      <c r="B459" s="43"/>
      <c r="C459" s="50" t="s">
        <v>678</v>
      </c>
      <c r="D459" s="45"/>
      <c r="E459" s="44"/>
      <c r="F459" s="46"/>
      <c r="G459" s="51"/>
      <c r="H459" s="52"/>
      <c r="I459" s="47" t="n">
        <f aca="false">SUBTOTAL(9,I460:I465)</f>
        <v>1638.513135</v>
      </c>
      <c r="J459" s="47" t="n">
        <f aca="false">SUBTOTAL(9,J460:J465)</f>
        <v>474.46703862804</v>
      </c>
      <c r="K459" s="47" t="n">
        <f aca="false">SUBTOTAL(9,K460:K465)</f>
        <v>1976.374543437</v>
      </c>
      <c r="L459" s="47" t="n">
        <f aca="false">SUBTOTAL(9,L460:L465)</f>
        <v>604.898027546888</v>
      </c>
      <c r="M459" s="47" t="n">
        <f aca="false">SUBTOTAL(9,M460:M465)</f>
        <v>2581.27257098389</v>
      </c>
      <c r="N459" s="20" t="str">
        <f aca="false">A459</f>
        <v>11.1.3</v>
      </c>
    </row>
    <row r="460" customFormat="false" ht="45" hidden="false" customHeight="false" outlineLevel="2" collapsed="false">
      <c r="A460" s="42" t="s">
        <v>679</v>
      </c>
      <c r="B460" s="43" t="n">
        <v>94703</v>
      </c>
      <c r="C460" s="50" t="str">
        <f aca="false">VLOOKUP($B460,03_COMPOSIÇÕES!$A:$G,2,0)</f>
        <v>ADAPTADOR COM FLANGE E ANEL DE VEDAÇÃO, PVC, SOLDÁVEL, DN 25 MM X 3/4", INSTALADO EM RESERVAÇÃO PREDIAL DE ÁGUA - FORNECIMENTO E INSTALAÇÃO. AF_04/2024</v>
      </c>
      <c r="D460" s="45" t="s">
        <v>59</v>
      </c>
      <c r="E460" s="51" t="str">
        <f aca="false">VLOOKUP($B460,03_COMPOSIÇÕES!$A:$G,4,0)</f>
        <v>UN</v>
      </c>
      <c r="F460" s="46" t="n">
        <v>2</v>
      </c>
      <c r="G460" s="51" t="n">
        <f aca="false">VLOOKUP($B460,03_COMPOSIÇÕES!$A:$G,6,0)</f>
        <v>14.629515</v>
      </c>
      <c r="H460" s="52" t="n">
        <f aca="false">VLOOKUP($B460,03_COMPOSIÇÕES!$A:$G,7,0)</f>
        <v>4.56016763952</v>
      </c>
      <c r="I460" s="47" t="n">
        <f aca="false">$F460*$G460</f>
        <v>29.25903</v>
      </c>
      <c r="J460" s="47" t="n">
        <f aca="false">$F460*$H460</f>
        <v>9.12033527904</v>
      </c>
      <c r="K460" s="47" t="n">
        <f aca="false">$I460*(1+BDI_MAT)</f>
        <v>35.292241986</v>
      </c>
      <c r="L460" s="47" t="n">
        <f aca="false">$J460*(1+BDI_MDO)</f>
        <v>11.6275154472481</v>
      </c>
      <c r="M460" s="47" t="n">
        <f aca="false">SUM(K460:L460)</f>
        <v>46.9197574332481</v>
      </c>
      <c r="N460" s="20" t="str">
        <f aca="false">A460</f>
        <v>11.1.3.1</v>
      </c>
    </row>
    <row r="461" customFormat="false" ht="45" hidden="false" customHeight="false" outlineLevel="2" collapsed="false">
      <c r="A461" s="42" t="s">
        <v>680</v>
      </c>
      <c r="B461" s="43" t="n">
        <v>89383</v>
      </c>
      <c r="C461" s="50" t="str">
        <f aca="false">VLOOKUP($B461,03_COMPOSIÇÕES!$A:$G,2,0)</f>
        <v>ADAPTADOR CURTO COM BOLSA E ROSCA PARA REGISTRO, PVC, SOLDÁVEL, DN 25MM X 3/4 , INSTALADO EM RAMAL OU SUB-RAMAL DE ÁGUA - FORNECIMENTO E INSTALAÇÃO. AF_06/2022</v>
      </c>
      <c r="D461" s="45" t="s">
        <v>59</v>
      </c>
      <c r="E461" s="51" t="str">
        <f aca="false">VLOOKUP($B461,03_COMPOSIÇÕES!$A:$G,4,0)</f>
        <v>UN</v>
      </c>
      <c r="F461" s="46" t="n">
        <v>9</v>
      </c>
      <c r="G461" s="51" t="n">
        <f aca="false">VLOOKUP($B461,03_COMPOSIÇÕES!$A:$G,6,0)</f>
        <v>3.11794</v>
      </c>
      <c r="H461" s="52" t="n">
        <f aca="false">VLOOKUP($B461,03_COMPOSIÇÕES!$A:$G,7,0)</f>
        <v>3.21733800576</v>
      </c>
      <c r="I461" s="47" t="n">
        <f aca="false">$F461*$G461</f>
        <v>28.06146</v>
      </c>
      <c r="J461" s="47" t="n">
        <f aca="false">$F461*$H461</f>
        <v>28.95604205184</v>
      </c>
      <c r="K461" s="47" t="n">
        <f aca="false">$I461*(1+BDI_MAT)</f>
        <v>33.847733052</v>
      </c>
      <c r="L461" s="47" t="n">
        <f aca="false">$J461*(1+BDI_MDO)</f>
        <v>36.9160580118908</v>
      </c>
      <c r="M461" s="47" t="n">
        <f aca="false">SUM(K461:L461)</f>
        <v>70.7637910638908</v>
      </c>
      <c r="N461" s="20" t="str">
        <f aca="false">A461</f>
        <v>11.1.3.2</v>
      </c>
    </row>
    <row r="462" customFormat="false" ht="30" hidden="false" customHeight="false" outlineLevel="2" collapsed="false">
      <c r="A462" s="42" t="s">
        <v>681</v>
      </c>
      <c r="B462" s="43" t="n">
        <v>89485</v>
      </c>
      <c r="C462" s="50" t="str">
        <f aca="false">VLOOKUP($B462,03_COMPOSIÇÕES!$A:$G,2,0)</f>
        <v>JOELHO 45 GRAUS, PVC, SOLDÁVEL, DN 25MM, INSTALADO EM PRUMADA DE ÁGUA - FORNECIMENTO E INSTALAÇÃO. AF_06/2022</v>
      </c>
      <c r="D462" s="45" t="s">
        <v>59</v>
      </c>
      <c r="E462" s="51" t="str">
        <f aca="false">VLOOKUP($B462,03_COMPOSIÇÕES!$A:$G,4,0)</f>
        <v>UN</v>
      </c>
      <c r="F462" s="46" t="n">
        <v>6</v>
      </c>
      <c r="G462" s="51" t="n">
        <f aca="false">VLOOKUP($B462,03_COMPOSIÇÕES!$A:$G,6,0)</f>
        <v>3.512927</v>
      </c>
      <c r="H462" s="52" t="n">
        <f aca="false">VLOOKUP($B462,03_COMPOSIÇÕES!$A:$G,7,0)</f>
        <v>2.40618711024</v>
      </c>
      <c r="I462" s="47" t="n">
        <f aca="false">$F462*$G462</f>
        <v>21.077562</v>
      </c>
      <c r="J462" s="47" t="n">
        <f aca="false">$F462*$H462</f>
        <v>14.43712266144</v>
      </c>
      <c r="K462" s="47" t="n">
        <f aca="false">$I462*(1+BDI_MAT)</f>
        <v>25.4237552844</v>
      </c>
      <c r="L462" s="47" t="n">
        <f aca="false">$J462*(1+BDI_MDO)</f>
        <v>18.4058876810699</v>
      </c>
      <c r="M462" s="47" t="n">
        <f aca="false">SUM(K462:L462)</f>
        <v>43.8296429654699</v>
      </c>
      <c r="N462" s="20" t="str">
        <f aca="false">A462</f>
        <v>11.1.3.3</v>
      </c>
    </row>
    <row r="463" customFormat="false" ht="30" hidden="false" customHeight="false" outlineLevel="2" collapsed="false">
      <c r="A463" s="42" t="s">
        <v>682</v>
      </c>
      <c r="B463" s="43" t="n">
        <v>89481</v>
      </c>
      <c r="C463" s="50" t="str">
        <f aca="false">VLOOKUP($B463,03_COMPOSIÇÕES!$A:$G,2,0)</f>
        <v>JOELHO 90 GRAUS, PVC, SOLDÁVEL, DN 25MM, INSTALADO EM PRUMADA DE ÁGUA - FORNECIMENTO E INSTALAÇÃO. AF_06/2022</v>
      </c>
      <c r="D463" s="45" t="s">
        <v>59</v>
      </c>
      <c r="E463" s="51" t="str">
        <f aca="false">VLOOKUP($B463,03_COMPOSIÇÕES!$A:$G,4,0)</f>
        <v>UN</v>
      </c>
      <c r="F463" s="46" t="n">
        <v>75</v>
      </c>
      <c r="G463" s="51" t="n">
        <f aca="false">VLOOKUP($B463,03_COMPOSIÇÕES!$A:$G,6,0)</f>
        <v>2.732927</v>
      </c>
      <c r="H463" s="52" t="n">
        <f aca="false">VLOOKUP($B463,03_COMPOSIÇÕES!$A:$G,7,0)</f>
        <v>2.40618711024</v>
      </c>
      <c r="I463" s="47" t="n">
        <f aca="false">$F463*$G463</f>
        <v>204.969525</v>
      </c>
      <c r="J463" s="47" t="n">
        <f aca="false">$F463*$H463</f>
        <v>180.464033268</v>
      </c>
      <c r="K463" s="47" t="n">
        <f aca="false">$I463*(1+BDI_MAT)</f>
        <v>247.234241055</v>
      </c>
      <c r="L463" s="47" t="n">
        <f aca="false">$J463*(1+BDI_MDO)</f>
        <v>230.073596013373</v>
      </c>
      <c r="M463" s="47" t="n">
        <f aca="false">SUM(K463:L463)</f>
        <v>477.307837068373</v>
      </c>
      <c r="N463" s="20" t="str">
        <f aca="false">A463</f>
        <v>11.1.3.4</v>
      </c>
    </row>
    <row r="464" customFormat="false" ht="30" hidden="false" customHeight="false" outlineLevel="2" collapsed="false">
      <c r="A464" s="42" t="s">
        <v>683</v>
      </c>
      <c r="B464" s="43" t="n">
        <v>89446</v>
      </c>
      <c r="C464" s="50" t="str">
        <f aca="false">VLOOKUP($B464,03_COMPOSIÇÕES!$A:$G,2,0)</f>
        <v>TUBO, PVC, SOLDÁVEL, DE 25MM, INSTALADO EM PRUMADA DE ÁGUA - FORNECIMENTO E INSTALAÇÃO. AF_06/2022</v>
      </c>
      <c r="D464" s="45" t="s">
        <v>59</v>
      </c>
      <c r="E464" s="51" t="str">
        <f aca="false">VLOOKUP($B464,03_COMPOSIÇÕES!$A:$G,4,0)</f>
        <v>M</v>
      </c>
      <c r="F464" s="46" t="n">
        <v>276.5</v>
      </c>
      <c r="G464" s="51" t="n">
        <f aca="false">VLOOKUP($B464,03_COMPOSIÇÕES!$A:$G,6,0)</f>
        <v>4.653876</v>
      </c>
      <c r="H464" s="52" t="n">
        <f aca="false">VLOOKUP($B464,03_COMPOSIÇÕES!$A:$G,7,0)</f>
        <v>0.6645984228</v>
      </c>
      <c r="I464" s="47" t="n">
        <f aca="false">$F464*$G464</f>
        <v>1286.796714</v>
      </c>
      <c r="J464" s="47" t="n">
        <f aca="false">$F464*$H464</f>
        <v>183.7614639042</v>
      </c>
      <c r="K464" s="47" t="n">
        <f aca="false">$I464*(1+BDI_MAT)</f>
        <v>1552.1341964268</v>
      </c>
      <c r="L464" s="47" t="n">
        <f aca="false">$J464*(1+BDI_MDO)</f>
        <v>234.277490331465</v>
      </c>
      <c r="M464" s="47" t="n">
        <f aca="false">SUM(K464:L464)</f>
        <v>1786.41168675826</v>
      </c>
      <c r="N464" s="20" t="str">
        <f aca="false">A464</f>
        <v>11.1.3.5</v>
      </c>
    </row>
    <row r="465" customFormat="false" ht="30" hidden="false" customHeight="false" outlineLevel="2" collapsed="false">
      <c r="A465" s="42" t="s">
        <v>684</v>
      </c>
      <c r="B465" s="43" t="n">
        <v>89617</v>
      </c>
      <c r="C465" s="50" t="str">
        <f aca="false">VLOOKUP($B465,03_COMPOSIÇÕES!$A:$G,2,0)</f>
        <v>TE, PVC, SOLDÁVEL, DN 25MM, INSTALADO EM PRUMADA DE ÁGUA - FORNECIMENTO E INSTALAÇÃO. AF_06/2022</v>
      </c>
      <c r="D465" s="45" t="s">
        <v>59</v>
      </c>
      <c r="E465" s="51" t="str">
        <f aca="false">VLOOKUP($B465,03_COMPOSIÇÕES!$A:$G,4,0)</f>
        <v>UN</v>
      </c>
      <c r="F465" s="46" t="n">
        <v>18</v>
      </c>
      <c r="G465" s="51" t="n">
        <f aca="false">VLOOKUP($B465,03_COMPOSIÇÕES!$A:$G,6,0)</f>
        <v>3.797158</v>
      </c>
      <c r="H465" s="52" t="n">
        <f aca="false">VLOOKUP($B465,03_COMPOSIÇÕES!$A:$G,7,0)</f>
        <v>3.20711341464</v>
      </c>
      <c r="I465" s="47" t="n">
        <f aca="false">$F465*$G465</f>
        <v>68.348844</v>
      </c>
      <c r="J465" s="47" t="n">
        <f aca="false">$F465*$H465</f>
        <v>57.72804146352</v>
      </c>
      <c r="K465" s="47" t="n">
        <f aca="false">$I465*(1+BDI_MAT)</f>
        <v>82.4423756328</v>
      </c>
      <c r="L465" s="47" t="n">
        <f aca="false">$J465*(1+BDI_MDO)</f>
        <v>73.5974800618417</v>
      </c>
      <c r="M465" s="47" t="n">
        <f aca="false">SUM(K465:L465)</f>
        <v>156.039855694642</v>
      </c>
      <c r="N465" s="20" t="str">
        <f aca="false">A465</f>
        <v>11.1.3.6</v>
      </c>
    </row>
    <row r="466" customFormat="false" ht="15" hidden="false" customHeight="false" outlineLevel="1" collapsed="false">
      <c r="A466" s="42" t="s">
        <v>685</v>
      </c>
      <c r="B466" s="43"/>
      <c r="C466" s="50" t="s">
        <v>686</v>
      </c>
      <c r="D466" s="45"/>
      <c r="E466" s="44"/>
      <c r="F466" s="46"/>
      <c r="G466" s="51"/>
      <c r="H466" s="52"/>
      <c r="I466" s="47" t="n">
        <f aca="false">SUM(I467,I472,I475)</f>
        <v>31483.9626017524</v>
      </c>
      <c r="J466" s="47" t="n">
        <f aca="false">SUM(J467,J472,J475)</f>
        <v>7878.65293918638</v>
      </c>
      <c r="K466" s="47" t="n">
        <f aca="false">SUM(K467,K472,K475)</f>
        <v>37975.9556902338</v>
      </c>
      <c r="L466" s="47" t="n">
        <f aca="false">SUM(L467,L472,L475)</f>
        <v>10044.4946321687</v>
      </c>
      <c r="M466" s="47" t="n">
        <f aca="false">SUM(M467,M472,M475)</f>
        <v>48020.4503224025</v>
      </c>
      <c r="N466" s="20" t="str">
        <f aca="false">A466</f>
        <v>11.2</v>
      </c>
    </row>
    <row r="467" customFormat="false" ht="15" hidden="false" customHeight="false" outlineLevel="2" collapsed="false">
      <c r="A467" s="42" t="s">
        <v>687</v>
      </c>
      <c r="B467" s="43"/>
      <c r="C467" s="50" t="s">
        <v>688</v>
      </c>
      <c r="D467" s="45"/>
      <c r="E467" s="44"/>
      <c r="F467" s="46"/>
      <c r="G467" s="51"/>
      <c r="H467" s="52"/>
      <c r="I467" s="47" t="n">
        <f aca="false">SUBTOTAL(9,I468:I471)</f>
        <v>14956.8215549524</v>
      </c>
      <c r="J467" s="47" t="n">
        <f aca="false">SUBTOTAL(9,J468:J471)</f>
        <v>2244.25536434847</v>
      </c>
      <c r="K467" s="47" t="n">
        <f aca="false">SUBTOTAL(9,K468:K471)</f>
        <v>18040.9181595836</v>
      </c>
      <c r="L467" s="47" t="n">
        <f aca="false">SUBTOTAL(9,L468:L471)</f>
        <v>2861.20116400787</v>
      </c>
      <c r="M467" s="47" t="n">
        <f aca="false">SUBTOTAL(9,M468:M471)</f>
        <v>20902.1193235915</v>
      </c>
      <c r="N467" s="20" t="str">
        <f aca="false">A467</f>
        <v>11.2.1</v>
      </c>
    </row>
    <row r="468" customFormat="false" ht="30" hidden="false" customHeight="false" outlineLevel="3" collapsed="false">
      <c r="A468" s="42" t="s">
        <v>689</v>
      </c>
      <c r="B468" s="43" t="s">
        <v>690</v>
      </c>
      <c r="C468" s="50" t="str">
        <f aca="false">VLOOKUP($B468,03_COMPOSIÇÕES!$A:$G,2,0)</f>
        <v>CAIXA DE PASSAGEM CIRCULAR, EM CONCRETO, DIÂMETRO INTERNO Ø60 CM.</v>
      </c>
      <c r="D468" s="45" t="s">
        <v>59</v>
      </c>
      <c r="E468" s="51" t="str">
        <f aca="false">VLOOKUP($B468,03_COMPOSIÇÕES!$A:$G,4,0)</f>
        <v>UN</v>
      </c>
      <c r="F468" s="46" t="n">
        <v>16</v>
      </c>
      <c r="G468" s="51" t="n">
        <f aca="false">VLOOKUP($B468,03_COMPOSIÇÕES!$A:$G,6,0)</f>
        <v>864.943609227013</v>
      </c>
      <c r="H468" s="52" t="n">
        <f aca="false">VLOOKUP($B468,03_COMPOSIÇÕES!$A:$G,7,0)</f>
        <v>110.513880480403</v>
      </c>
      <c r="I468" s="47" t="n">
        <f aca="false">$F468*$G468</f>
        <v>13839.0977476322</v>
      </c>
      <c r="J468" s="47" t="n">
        <f aca="false">$F468*$H468</f>
        <v>1768.22208768645</v>
      </c>
      <c r="K468" s="47" t="n">
        <f aca="false">$I468*(1+BDI_MAT)</f>
        <v>16692.719703194</v>
      </c>
      <c r="L468" s="47" t="n">
        <f aca="false">$J468*(1+BDI_MDO)</f>
        <v>2254.30633959145</v>
      </c>
      <c r="M468" s="47" t="n">
        <f aca="false">SUM(K468:L468)</f>
        <v>18947.0260427854</v>
      </c>
      <c r="N468" s="20" t="str">
        <f aca="false">A468</f>
        <v>11.2.1.1</v>
      </c>
    </row>
    <row r="469" customFormat="false" ht="30" hidden="false" customHeight="false" outlineLevel="3" collapsed="false">
      <c r="A469" s="42" t="s">
        <v>691</v>
      </c>
      <c r="B469" s="43" t="n">
        <v>98557</v>
      </c>
      <c r="C469" s="50" t="str">
        <f aca="false">VLOOKUP($B469,03_COMPOSIÇÕES!$A:$G,2,0)</f>
        <v>IMPERMEABILIZAÇÃO DE SUPERFÍCIE COM EMULSÃO ASFÁLTICA, 2 DEMÃOS. AF_09/2023</v>
      </c>
      <c r="D469" s="45" t="s">
        <v>59</v>
      </c>
      <c r="E469" s="51" t="str">
        <f aca="false">VLOOKUP($B469,03_COMPOSIÇÕES!$A:$G,4,0)</f>
        <v>M2</v>
      </c>
      <c r="F469" s="46" t="n">
        <v>34.67</v>
      </c>
      <c r="G469" s="51" t="n">
        <f aca="false">VLOOKUP($B469,03_COMPOSIÇÕES!$A:$G,6,0)</f>
        <v>28.389378</v>
      </c>
      <c r="H469" s="52" t="n">
        <f aca="false">VLOOKUP($B469,03_COMPOSIÇÕES!$A:$G,7,0)</f>
        <v>10.21088870946</v>
      </c>
      <c r="I469" s="47" t="n">
        <f aca="false">$F469*$G469</f>
        <v>984.25973526</v>
      </c>
      <c r="J469" s="47" t="n">
        <f aca="false">$F469*$H469</f>
        <v>354.011511556978</v>
      </c>
      <c r="K469" s="47" t="n">
        <f aca="false">$I469*(1+BDI_MAT)</f>
        <v>1187.21409267061</v>
      </c>
      <c r="L469" s="47" t="n">
        <f aca="false">$J469*(1+BDI_MDO)</f>
        <v>451.329276083991</v>
      </c>
      <c r="M469" s="47" t="n">
        <f aca="false">SUM(K469:L469)</f>
        <v>1638.5433687546</v>
      </c>
      <c r="N469" s="20" t="str">
        <f aca="false">A469</f>
        <v>11.2.1.2</v>
      </c>
    </row>
    <row r="470" customFormat="false" ht="60" hidden="false" customHeight="false" outlineLevel="3" collapsed="false">
      <c r="A470" s="42" t="s">
        <v>692</v>
      </c>
      <c r="B470" s="43" t="n">
        <v>90091</v>
      </c>
      <c r="C470" s="50" t="str">
        <f aca="false">VLOOKUP($B470,03_COMPOSIÇÕES!$A:$G,2,0)</f>
        <v>ESCAVAÇÃO MECANIZADA DE VALA COM PROF. ATÉ 1,5 M (MÉDIA MONTANTE E JUSANTE/UMA COMPOSIÇÃO POR TRECHO), ESCAVADEIRA (0,8 M3), LARG. DE 1,5 M A 2,5 M, EM SOLO DE 1A CATEGORIA, LOCAIS COM BAIXO NÍVEL DE INTERFERÊNCIA. AF_09/2024</v>
      </c>
      <c r="D470" s="45" t="s">
        <v>59</v>
      </c>
      <c r="E470" s="51" t="str">
        <f aca="false">VLOOKUP($B470,03_COMPOSIÇÕES!$A:$G,4,0)</f>
        <v>M3</v>
      </c>
      <c r="F470" s="46" t="n">
        <v>12.56</v>
      </c>
      <c r="G470" s="51" t="n">
        <f aca="false">VLOOKUP($B470,03_COMPOSIÇÕES!$A:$G,6,0)</f>
        <v>4.825260172</v>
      </c>
      <c r="H470" s="52" t="n">
        <f aca="false">VLOOKUP($B470,03_COMPOSIÇÕES!$A:$G,7,0)</f>
        <v>1.12043945316084</v>
      </c>
      <c r="I470" s="47" t="n">
        <f aca="false">$F470*$G470</f>
        <v>60.60526776032</v>
      </c>
      <c r="J470" s="47" t="n">
        <f aca="false">$F470*$H470</f>
        <v>14.0727195317002</v>
      </c>
      <c r="K470" s="47" t="n">
        <f aca="false">$I470*(1+BDI_MAT)</f>
        <v>73.102073972498</v>
      </c>
      <c r="L470" s="47" t="n">
        <f aca="false">$J470*(1+BDI_MDO)</f>
        <v>17.9413101309645</v>
      </c>
      <c r="M470" s="47" t="n">
        <f aca="false">SUM(K470:L470)</f>
        <v>91.0433841034625</v>
      </c>
      <c r="N470" s="20" t="str">
        <f aca="false">A470</f>
        <v>11.2.1.3</v>
      </c>
    </row>
    <row r="471" customFormat="false" ht="30" hidden="false" customHeight="false" outlineLevel="3" collapsed="false">
      <c r="A471" s="42" t="s">
        <v>693</v>
      </c>
      <c r="B471" s="43" t="n">
        <v>93382</v>
      </c>
      <c r="C471" s="50" t="str">
        <f aca="false">VLOOKUP($B471,03_COMPOSIÇÕES!$A:$G,2,0)</f>
        <v>REATERRO MANUAL DE VALAS, COM COMPACTADOR DE SOLOS DE PERCUSSÃO. AF_08/2023</v>
      </c>
      <c r="D471" s="45" t="s">
        <v>59</v>
      </c>
      <c r="E471" s="51" t="str">
        <f aca="false">VLOOKUP($B471,03_COMPOSIÇÕES!$A:$G,4,0)</f>
        <v>M3</v>
      </c>
      <c r="F471" s="46" t="n">
        <v>8.04</v>
      </c>
      <c r="G471" s="51" t="n">
        <f aca="false">VLOOKUP($B471,03_COMPOSIÇÕES!$A:$G,6,0)</f>
        <v>9.0620403358104</v>
      </c>
      <c r="H471" s="52" t="n">
        <f aca="false">VLOOKUP($B471,03_COMPOSIÇÕES!$A:$G,7,0)</f>
        <v>13.42649820564</v>
      </c>
      <c r="I471" s="47" t="n">
        <f aca="false">$F471*$G471</f>
        <v>72.8588042999156</v>
      </c>
      <c r="J471" s="47" t="n">
        <f aca="false">$F471*$H471</f>
        <v>107.949045573346</v>
      </c>
      <c r="K471" s="47" t="n">
        <f aca="false">$I471*(1+BDI_MAT)</f>
        <v>87.8822897465582</v>
      </c>
      <c r="L471" s="47" t="n">
        <f aca="false">$J471*(1+BDI_MDO)</f>
        <v>137.624238201458</v>
      </c>
      <c r="M471" s="47" t="n">
        <f aca="false">SUM(K471:L471)</f>
        <v>225.506527948016</v>
      </c>
      <c r="N471" s="20" t="str">
        <f aca="false">A471</f>
        <v>11.2.1.4</v>
      </c>
    </row>
    <row r="472" customFormat="false" ht="15" hidden="false" customHeight="false" outlineLevel="2" collapsed="false">
      <c r="A472" s="42" t="s">
        <v>694</v>
      </c>
      <c r="B472" s="43"/>
      <c r="C472" s="50" t="s">
        <v>695</v>
      </c>
      <c r="D472" s="45"/>
      <c r="E472" s="44"/>
      <c r="F472" s="46"/>
      <c r="G472" s="51"/>
      <c r="H472" s="52"/>
      <c r="I472" s="47" t="n">
        <f aca="false">SUBTOTAL(9,I473:I474)</f>
        <v>2186.15232</v>
      </c>
      <c r="J472" s="47" t="n">
        <f aca="false">SUBTOTAL(9,J473:J474)</f>
        <v>306.69940054512</v>
      </c>
      <c r="K472" s="47" t="n">
        <f aca="false">SUBTOTAL(9,K473:K474)</f>
        <v>2636.936928384</v>
      </c>
      <c r="L472" s="47" t="n">
        <f aca="false">SUBTOTAL(9,L473:L474)</f>
        <v>391.011065754973</v>
      </c>
      <c r="M472" s="47" t="n">
        <f aca="false">SUBTOTAL(9,M473:M474)</f>
        <v>3027.94799413897</v>
      </c>
      <c r="N472" s="20" t="str">
        <f aca="false">A472</f>
        <v>11.2.2</v>
      </c>
    </row>
    <row r="473" customFormat="false" ht="45" hidden="false" customHeight="false" outlineLevel="3" collapsed="false">
      <c r="A473" s="42" t="s">
        <v>696</v>
      </c>
      <c r="B473" s="43" t="n">
        <v>104329</v>
      </c>
      <c r="C473" s="50" t="str">
        <f aca="false">VLOOKUP($B473,03_COMPOSIÇÕES!$A:$G,2,0)</f>
        <v>CAIXA SIFONADA, COM GRELHA REDONDA, PVC, DN 150 X 150 X 50 MM, JUNTA SOLDÁVEL, FORNECIDA E INSTALADA EM RAMAL DE DESCARGA OU EM RAMAL DE ESGOTO SANITÁRIO. AF_08/2022</v>
      </c>
      <c r="D473" s="45" t="s">
        <v>59</v>
      </c>
      <c r="E473" s="51" t="str">
        <f aca="false">VLOOKUP($B473,03_COMPOSIÇÕES!$A:$G,4,0)</f>
        <v>UN</v>
      </c>
      <c r="F473" s="46" t="n">
        <v>24</v>
      </c>
      <c r="G473" s="51" t="n">
        <f aca="false">VLOOKUP($B473,03_COMPOSIÇÕES!$A:$G,6,0)</f>
        <v>68.289086</v>
      </c>
      <c r="H473" s="52" t="n">
        <f aca="false">VLOOKUP($B473,03_COMPOSIÇÕES!$A:$G,7,0)</f>
        <v>8.70890237436</v>
      </c>
      <c r="I473" s="47" t="n">
        <f aca="false">$F473*$G473</f>
        <v>1638.938064</v>
      </c>
      <c r="J473" s="47" t="n">
        <f aca="false">$F473*$H473</f>
        <v>209.01365698464</v>
      </c>
      <c r="K473" s="47" t="n">
        <f aca="false">$I473*(1+BDI_MAT)</f>
        <v>1976.8870927968</v>
      </c>
      <c r="L473" s="47" t="n">
        <f aca="false">$J473*(1+BDI_MDO)</f>
        <v>266.471511289717</v>
      </c>
      <c r="M473" s="47" t="n">
        <f aca="false">SUM(K473:L473)</f>
        <v>2243.35860408652</v>
      </c>
      <c r="N473" s="20" t="str">
        <f aca="false">A473</f>
        <v>11.2.2.1</v>
      </c>
    </row>
    <row r="474" customFormat="false" ht="45" hidden="false" customHeight="false" outlineLevel="3" collapsed="false">
      <c r="A474" s="42" t="s">
        <v>697</v>
      </c>
      <c r="B474" s="43" t="n">
        <v>89708</v>
      </c>
      <c r="C474" s="50" t="str">
        <f aca="false">VLOOKUP($B474,03_COMPOSIÇÕES!$A:$G,2,0)</f>
        <v>CAIXA SIFONADA, PVC, DN 150 X 185 X 75 MM, JUNTA ELÁSTICA, FORNECIDA E INSTALADA EM RAMAL DE DESCARGA OU EM RAMAL DE ESGOTO SANITÁRIO. AF_08/2022</v>
      </c>
      <c r="D474" s="45" t="s">
        <v>59</v>
      </c>
      <c r="E474" s="51" t="str">
        <f aca="false">VLOOKUP($B474,03_COMPOSIÇÕES!$A:$G,4,0)</f>
        <v>UN</v>
      </c>
      <c r="F474" s="46" t="n">
        <v>6</v>
      </c>
      <c r="G474" s="51" t="n">
        <f aca="false">VLOOKUP($B474,03_COMPOSIÇÕES!$A:$G,6,0)</f>
        <v>91.202376</v>
      </c>
      <c r="H474" s="52" t="n">
        <f aca="false">VLOOKUP($B474,03_COMPOSIÇÕES!$A:$G,7,0)</f>
        <v>16.28095726008</v>
      </c>
      <c r="I474" s="47" t="n">
        <f aca="false">$F474*$G474</f>
        <v>547.214256</v>
      </c>
      <c r="J474" s="47" t="n">
        <f aca="false">$F474*$H474</f>
        <v>97.68574356048</v>
      </c>
      <c r="K474" s="47" t="n">
        <f aca="false">$I474*(1+BDI_MAT)</f>
        <v>660.0498355872</v>
      </c>
      <c r="L474" s="47" t="n">
        <f aca="false">$J474*(1+BDI_MDO)</f>
        <v>124.539554465256</v>
      </c>
      <c r="M474" s="47" t="n">
        <f aca="false">SUM(K474:L474)</f>
        <v>784.589390052456</v>
      </c>
      <c r="N474" s="20" t="str">
        <f aca="false">A474</f>
        <v>11.2.2.2</v>
      </c>
    </row>
    <row r="475" customFormat="false" ht="15" hidden="false" customHeight="false" outlineLevel="2" collapsed="false">
      <c r="A475" s="42" t="s">
        <v>698</v>
      </c>
      <c r="B475" s="43"/>
      <c r="C475" s="50" t="s">
        <v>699</v>
      </c>
      <c r="D475" s="45"/>
      <c r="E475" s="44"/>
      <c r="F475" s="46"/>
      <c r="G475" s="51"/>
      <c r="H475" s="52"/>
      <c r="I475" s="47" t="n">
        <f aca="false">SUBTOTAL(9,I476:I508)</f>
        <v>14340.9887268</v>
      </c>
      <c r="J475" s="47" t="n">
        <f aca="false">SUBTOTAL(9,J476:J508)</f>
        <v>5327.69817429278</v>
      </c>
      <c r="K475" s="47" t="n">
        <f aca="false">SUBTOTAL(9,K476:K508)</f>
        <v>17298.1006022662</v>
      </c>
      <c r="L475" s="47" t="n">
        <f aca="false">SUBTOTAL(9,L476:L508)</f>
        <v>6792.28240240587</v>
      </c>
      <c r="M475" s="47" t="n">
        <f aca="false">SUBTOTAL(9,M476:M508)</f>
        <v>24090.383004672</v>
      </c>
      <c r="N475" s="20" t="str">
        <f aca="false">A475</f>
        <v>11.2.3</v>
      </c>
    </row>
    <row r="476" customFormat="false" ht="60" hidden="false" customHeight="false" outlineLevel="2" collapsed="false">
      <c r="A476" s="42" t="s">
        <v>700</v>
      </c>
      <c r="B476" s="43" t="n">
        <v>104341</v>
      </c>
      <c r="C476" s="50" t="str">
        <f aca="false">VLOOKUP($B476,03_COMPOSIÇÕES!$A:$G,2,0)</f>
        <v>BUCHA DE REDUÇÃO LONGA, PVC, SÉRIE NORMAL, ESGOTO PREDIAL, DN 50 X 40 MM, JUNTA SOLDÁVEL E ELÁSTICA, FORNECIDO E INSTALADO EM RAMAL DE DESCARGA OU RAMAL DE ESGOTO SANITÁRIO. AF_08/2022</v>
      </c>
      <c r="D476" s="45" t="s">
        <v>59</v>
      </c>
      <c r="E476" s="51" t="str">
        <f aca="false">VLOOKUP($B476,03_COMPOSIÇÕES!$A:$G,4,0)</f>
        <v>UN</v>
      </c>
      <c r="F476" s="46" t="n">
        <v>3</v>
      </c>
      <c r="G476" s="51" t="n">
        <f aca="false">VLOOKUP($B476,03_COMPOSIÇÕES!$A:$G,6,0)</f>
        <v>7.385576</v>
      </c>
      <c r="H476" s="52" t="n">
        <f aca="false">VLOOKUP($B476,03_COMPOSIÇÕES!$A:$G,7,0)</f>
        <v>3.0077338878</v>
      </c>
      <c r="I476" s="47" t="n">
        <f aca="false">$F476*$G476</f>
        <v>22.156728</v>
      </c>
      <c r="J476" s="47" t="n">
        <f aca="false">$F476*$H476</f>
        <v>9.0232016634</v>
      </c>
      <c r="K476" s="47" t="n">
        <f aca="false">$I476*(1+BDI_MAT)</f>
        <v>26.7254453136</v>
      </c>
      <c r="L476" s="47" t="n">
        <f aca="false">$J476*(1+BDI_MDO)</f>
        <v>11.5036798006687</v>
      </c>
      <c r="M476" s="47" t="n">
        <f aca="false">SUM(K476:L476)</f>
        <v>38.2291251142687</v>
      </c>
      <c r="N476" s="20" t="str">
        <f aca="false">A476</f>
        <v>11.2.3.1</v>
      </c>
    </row>
    <row r="477" customFormat="false" ht="45" hidden="false" customHeight="false" outlineLevel="2" collapsed="false">
      <c r="A477" s="42" t="s">
        <v>701</v>
      </c>
      <c r="B477" s="43" t="n">
        <v>89811</v>
      </c>
      <c r="C477" s="50" t="str">
        <f aca="false">VLOOKUP($B477,03_COMPOSIÇÕES!$A:$G,2,0)</f>
        <v>CURVA CURTA 90 GRAUS, PVC, SERIE NORMAL, ESGOTO PREDIAL, DN 100 MM, JUNTA ELÁSTICA, FORNECIDO E INSTALADO EM PRUMADA DE ESGOTO SANITÁRIO OU VENTILAÇÃO. AF_08/2022</v>
      </c>
      <c r="D477" s="45" t="s">
        <v>59</v>
      </c>
      <c r="E477" s="51" t="str">
        <f aca="false">VLOOKUP($B477,03_COMPOSIÇÕES!$A:$G,4,0)</f>
        <v>UN</v>
      </c>
      <c r="F477" s="46" t="n">
        <v>35</v>
      </c>
      <c r="G477" s="51" t="n">
        <f aca="false">VLOOKUP($B477,03_COMPOSIÇÕES!$A:$G,6,0)</f>
        <v>36.719832</v>
      </c>
      <c r="H477" s="52" t="n">
        <f aca="false">VLOOKUP($B477,03_COMPOSIÇÕES!$A:$G,7,0)</f>
        <v>7.40260397088</v>
      </c>
      <c r="I477" s="47" t="n">
        <f aca="false">$F477*$G477</f>
        <v>1285.19412</v>
      </c>
      <c r="J477" s="47" t="n">
        <f aca="false">$F477*$H477</f>
        <v>259.0911389808</v>
      </c>
      <c r="K477" s="47" t="n">
        <f aca="false">$I477*(1+BDI_MAT)</f>
        <v>1550.201147544</v>
      </c>
      <c r="L477" s="47" t="n">
        <f aca="false">$J477*(1+BDI_MDO)</f>
        <v>330.315293086622</v>
      </c>
      <c r="M477" s="47" t="n">
        <f aca="false">SUM(K477:L477)</f>
        <v>1880.51644063062</v>
      </c>
      <c r="N477" s="20" t="str">
        <f aca="false">A477</f>
        <v>11.2.3.2</v>
      </c>
    </row>
    <row r="478" customFormat="false" ht="45" hidden="false" customHeight="false" outlineLevel="2" collapsed="false">
      <c r="A478" s="42" t="s">
        <v>702</v>
      </c>
      <c r="B478" s="43" t="n">
        <v>89728</v>
      </c>
      <c r="C478" s="50" t="str">
        <f aca="false">VLOOKUP($B478,03_COMPOSIÇÕES!$A:$G,2,0)</f>
        <v>CURVA CURTA 90 GRAUS, PVC, SERIE NORMAL, ESGOTO PREDIAL, DN 40 MM, JUNTA SOLDÁVEL, FORNECIDO E INSTALADO EM RAMAL DE DESCARGA OU RAMAL DE ESGOTO SANITÁRIO. AF_08/2022</v>
      </c>
      <c r="D478" s="45" t="s">
        <v>59</v>
      </c>
      <c r="E478" s="51" t="str">
        <f aca="false">VLOOKUP($B478,03_COMPOSIÇÕES!$A:$G,4,0)</f>
        <v>UN</v>
      </c>
      <c r="F478" s="46" t="n">
        <v>33</v>
      </c>
      <c r="G478" s="51" t="n">
        <f aca="false">VLOOKUP($B478,03_COMPOSIÇÕES!$A:$G,6,0)</f>
        <v>8.64634</v>
      </c>
      <c r="H478" s="52" t="n">
        <f aca="false">VLOOKUP($B478,03_COMPOSIÇÕES!$A:$G,7,0)</f>
        <v>4.3284102408</v>
      </c>
      <c r="I478" s="47" t="n">
        <f aca="false">$F478*$G478</f>
        <v>285.32922</v>
      </c>
      <c r="J478" s="47" t="n">
        <f aca="false">$F478*$H478</f>
        <v>142.8375379464</v>
      </c>
      <c r="K478" s="47" t="n">
        <f aca="false">$I478*(1+BDI_MAT)</f>
        <v>344.164105164</v>
      </c>
      <c r="L478" s="47" t="n">
        <f aca="false">$J478*(1+BDI_MDO)</f>
        <v>182.103577127865</v>
      </c>
      <c r="M478" s="47" t="n">
        <f aca="false">SUM(K478:L478)</f>
        <v>526.267682291865</v>
      </c>
      <c r="N478" s="20" t="str">
        <f aca="false">A478</f>
        <v>11.2.3.3</v>
      </c>
    </row>
    <row r="479" customFormat="false" ht="45" hidden="false" customHeight="false" outlineLevel="2" collapsed="false">
      <c r="A479" s="42" t="s">
        <v>703</v>
      </c>
      <c r="B479" s="43" t="n">
        <v>89742</v>
      </c>
      <c r="C479" s="50" t="str">
        <f aca="false">VLOOKUP($B479,03_COMPOSIÇÕES!$A:$G,2,0)</f>
        <v>CURVA CURTA 90 GRAUS, PVC, SERIE NORMAL, ESGOTO PREDIAL, DN 75 MM, JUNTA ELÁSTICA, FORNECIDO E INSTALADO EM RAMAL DE DESCARGA OU RAMAL DE ESGOTO SANITÁRIO. AF_08/2022</v>
      </c>
      <c r="D479" s="45" t="s">
        <v>59</v>
      </c>
      <c r="E479" s="51" t="str">
        <f aca="false">VLOOKUP($B479,03_COMPOSIÇÕES!$A:$G,4,0)</f>
        <v>UN</v>
      </c>
      <c r="F479" s="46" t="n">
        <v>1</v>
      </c>
      <c r="G479" s="51" t="n">
        <f aca="false">VLOOKUP($B479,03_COMPOSIÇÕES!$A:$G,6,0)</f>
        <v>34.673112</v>
      </c>
      <c r="H479" s="52" t="n">
        <f aca="false">VLOOKUP($B479,03_COMPOSIÇÕES!$A:$G,7,0)</f>
        <v>5.63034151008</v>
      </c>
      <c r="I479" s="47" t="n">
        <f aca="false">$F479*$G479</f>
        <v>34.673112</v>
      </c>
      <c r="J479" s="47" t="n">
        <f aca="false">$F479*$H479</f>
        <v>5.63034151008</v>
      </c>
      <c r="K479" s="47" t="n">
        <f aca="false">$I479*(1+BDI_MAT)</f>
        <v>41.8227076944</v>
      </c>
      <c r="L479" s="47" t="n">
        <f aca="false">$J479*(1+BDI_MDO)</f>
        <v>7.17812239120099</v>
      </c>
      <c r="M479" s="47" t="n">
        <f aca="false">SUM(K479:L479)</f>
        <v>49.000830085601</v>
      </c>
      <c r="N479" s="20" t="str">
        <f aca="false">A479</f>
        <v>11.2.3.4</v>
      </c>
    </row>
    <row r="480" customFormat="false" ht="45" hidden="false" customHeight="false" outlineLevel="2" collapsed="false">
      <c r="A480" s="42" t="s">
        <v>704</v>
      </c>
      <c r="B480" s="43" t="n">
        <v>89810</v>
      </c>
      <c r="C480" s="50" t="str">
        <f aca="false">VLOOKUP($B480,03_COMPOSIÇÕES!$A:$G,2,0)</f>
        <v>JOELHO 45 GRAUS, PVC, SERIE NORMAL, ESGOTO PREDIAL, DN 100 MM, JUNTA ELÁSTICA, FORNECIDO E INSTALADO EM PRUMADA DE ESGOTO SANITÁRIO OU VENTILAÇÃO. AF_08/2022</v>
      </c>
      <c r="D480" s="45" t="s">
        <v>59</v>
      </c>
      <c r="E480" s="51" t="str">
        <f aca="false">VLOOKUP($B480,03_COMPOSIÇÕES!$A:$G,4,0)</f>
        <v>UN</v>
      </c>
      <c r="F480" s="46" t="n">
        <v>38</v>
      </c>
      <c r="G480" s="51" t="n">
        <f aca="false">VLOOKUP($B480,03_COMPOSIÇÕES!$A:$G,6,0)</f>
        <v>21.438288</v>
      </c>
      <c r="H480" s="52" t="n">
        <f aca="false">VLOOKUP($B480,03_COMPOSIÇÕES!$A:$G,7,0)</f>
        <v>7.40260397088</v>
      </c>
      <c r="I480" s="47" t="n">
        <f aca="false">$F480*$G480</f>
        <v>814.654944</v>
      </c>
      <c r="J480" s="47" t="n">
        <f aca="false">$F480*$H480</f>
        <v>281.29895089344</v>
      </c>
      <c r="K480" s="47" t="n">
        <f aca="false">$I480*(1+BDI_MAT)</f>
        <v>982.6367934528</v>
      </c>
      <c r="L480" s="47" t="n">
        <f aca="false">$J480*(1+BDI_MDO)</f>
        <v>358.628032494047</v>
      </c>
      <c r="M480" s="47" t="n">
        <f aca="false">SUM(K480:L480)</f>
        <v>1341.26482594685</v>
      </c>
      <c r="N480" s="20" t="str">
        <f aca="false">A480</f>
        <v>11.2.3.5</v>
      </c>
    </row>
    <row r="481" customFormat="false" ht="45" hidden="false" customHeight="false" outlineLevel="2" collapsed="false">
      <c r="A481" s="42" t="s">
        <v>705</v>
      </c>
      <c r="B481" s="43" t="n">
        <v>89726</v>
      </c>
      <c r="C481" s="50" t="str">
        <f aca="false">VLOOKUP($B481,03_COMPOSIÇÕES!$A:$G,2,0)</f>
        <v>JOELHO 45 GRAUS, PVC, SERIE NORMAL, ESGOTO PREDIAL, DN 40 MM, JUNTA SOLDÁVEL, FORNECIDO E INSTALADO EM RAMAL DE DESCARGA OU RAMAL DE ESGOTO SANITÁRIO. AF_08/2022</v>
      </c>
      <c r="D481" s="45" t="s">
        <v>59</v>
      </c>
      <c r="E481" s="51" t="str">
        <f aca="false">VLOOKUP($B481,03_COMPOSIÇÕES!$A:$G,4,0)</f>
        <v>UN</v>
      </c>
      <c r="F481" s="46" t="n">
        <v>27</v>
      </c>
      <c r="G481" s="51" t="n">
        <f aca="false">VLOOKUP($B481,03_COMPOSIÇÕES!$A:$G,6,0)</f>
        <v>5.321609</v>
      </c>
      <c r="H481" s="52" t="n">
        <f aca="false">VLOOKUP($B481,03_COMPOSIÇÕES!$A:$G,7,0)</f>
        <v>4.3284102408</v>
      </c>
      <c r="I481" s="47" t="n">
        <f aca="false">$F481*$G481</f>
        <v>143.683443</v>
      </c>
      <c r="J481" s="47" t="n">
        <f aca="false">$F481*$H481</f>
        <v>116.8670765016</v>
      </c>
      <c r="K481" s="47" t="n">
        <f aca="false">$I481*(1+BDI_MAT)</f>
        <v>173.3109689466</v>
      </c>
      <c r="L481" s="47" t="n">
        <f aca="false">$J481*(1+BDI_MDO)</f>
        <v>148.99383583189</v>
      </c>
      <c r="M481" s="47" t="n">
        <f aca="false">SUM(K481:L481)</f>
        <v>322.30480477849</v>
      </c>
      <c r="N481" s="20" t="str">
        <f aca="false">A481</f>
        <v>11.2.3.6</v>
      </c>
    </row>
    <row r="482" customFormat="false" ht="45" hidden="false" customHeight="false" outlineLevel="2" collapsed="false">
      <c r="A482" s="42" t="s">
        <v>706</v>
      </c>
      <c r="B482" s="43" t="n">
        <v>89802</v>
      </c>
      <c r="C482" s="50" t="str">
        <f aca="false">VLOOKUP($B482,03_COMPOSIÇÕES!$A:$G,2,0)</f>
        <v>JOELHO 45 GRAUS, PVC, SERIE NORMAL, ESGOTO PREDIAL, DN 50 MM, JUNTA ELÁSTICA, FORNECIDO E INSTALADO EM PRUMADA DE ESGOTO SANITÁRIO OU VENTILAÇÃO. AF_08/2022</v>
      </c>
      <c r="D482" s="45" t="s">
        <v>59</v>
      </c>
      <c r="E482" s="51" t="str">
        <f aca="false">VLOOKUP($B482,03_COMPOSIÇÕES!$A:$G,4,0)</f>
        <v>UN</v>
      </c>
      <c r="F482" s="46" t="n">
        <v>14</v>
      </c>
      <c r="G482" s="51" t="n">
        <f aca="false">VLOOKUP($B482,03_COMPOSIÇÕES!$A:$G,6,0)</f>
        <v>5.802596</v>
      </c>
      <c r="H482" s="52" t="n">
        <f aca="false">VLOOKUP($B482,03_COMPOSIÇÕES!$A:$G,7,0)</f>
        <v>1.16901158472</v>
      </c>
      <c r="I482" s="47" t="n">
        <f aca="false">$F482*$G482</f>
        <v>81.236344</v>
      </c>
      <c r="J482" s="47" t="n">
        <f aca="false">$F482*$H482</f>
        <v>16.36616218608</v>
      </c>
      <c r="K482" s="47" t="n">
        <f aca="false">$I482*(1+BDI_MAT)</f>
        <v>97.9872781328</v>
      </c>
      <c r="L482" s="47" t="n">
        <f aca="false">$J482*(1+BDI_MDO)</f>
        <v>20.8652201710334</v>
      </c>
      <c r="M482" s="47" t="n">
        <f aca="false">SUM(K482:L482)</f>
        <v>118.852498303833</v>
      </c>
      <c r="N482" s="20" t="str">
        <f aca="false">A482</f>
        <v>11.2.3.7</v>
      </c>
    </row>
    <row r="483" customFormat="false" ht="45" hidden="false" customHeight="false" outlineLevel="2" collapsed="false">
      <c r="A483" s="42" t="s">
        <v>707</v>
      </c>
      <c r="B483" s="43" t="n">
        <v>89806</v>
      </c>
      <c r="C483" s="50" t="str">
        <f aca="false">VLOOKUP($B483,03_COMPOSIÇÕES!$A:$G,2,0)</f>
        <v>JOELHO 45 GRAUS, PVC, SERIE NORMAL, ESGOTO PREDIAL, DN 75 MM, JUNTA ELÁSTICA, FORNECIDO E INSTALADO EM PRUMADA DE ESGOTO SANITÁRIO OU VENTILAÇÃO. AF_08/2022</v>
      </c>
      <c r="D483" s="45" t="s">
        <v>59</v>
      </c>
      <c r="E483" s="51" t="str">
        <f aca="false">VLOOKUP($B483,03_COMPOSIÇÕES!$A:$G,4,0)</f>
        <v>UN</v>
      </c>
      <c r="F483" s="46" t="n">
        <v>4</v>
      </c>
      <c r="G483" s="51" t="n">
        <f aca="false">VLOOKUP($B483,03_COMPOSIÇÕES!$A:$G,6,0)</f>
        <v>16.939278</v>
      </c>
      <c r="H483" s="52" t="n">
        <f aca="false">VLOOKUP($B483,03_COMPOSIÇÕES!$A:$G,7,0)</f>
        <v>4.28410367928</v>
      </c>
      <c r="I483" s="47" t="n">
        <f aca="false">$F483*$G483</f>
        <v>67.757112</v>
      </c>
      <c r="J483" s="47" t="n">
        <f aca="false">$F483*$H483</f>
        <v>17.13641471712</v>
      </c>
      <c r="K483" s="47" t="n">
        <f aca="false">$I483*(1+BDI_MAT)</f>
        <v>81.7286284944</v>
      </c>
      <c r="L483" s="47" t="n">
        <f aca="false">$J483*(1+BDI_MDO)</f>
        <v>21.8472151228563</v>
      </c>
      <c r="M483" s="47" t="n">
        <f aca="false">SUM(K483:L483)</f>
        <v>103.575843617256</v>
      </c>
      <c r="N483" s="20" t="str">
        <f aca="false">A483</f>
        <v>11.2.3.8</v>
      </c>
    </row>
    <row r="484" customFormat="false" ht="45" hidden="false" customHeight="false" outlineLevel="2" collapsed="false">
      <c r="A484" s="42" t="s">
        <v>708</v>
      </c>
      <c r="B484" s="43" t="n">
        <v>89809</v>
      </c>
      <c r="C484" s="50" t="str">
        <f aca="false">VLOOKUP($B484,03_COMPOSIÇÕES!$A:$G,2,0)</f>
        <v>JOELHO 90 GRAUS, PVC, SERIE NORMAL, ESGOTO PREDIAL, DN 100 MM, JUNTA ELÁSTICA, FORNECIDO E INSTALADO EM PRUMADA DE ESGOTO SANITÁRIO OU VENTILAÇÃO. AF_08/2022</v>
      </c>
      <c r="D484" s="45" t="s">
        <v>59</v>
      </c>
      <c r="E484" s="51" t="str">
        <f aca="false">VLOOKUP($B484,03_COMPOSIÇÕES!$A:$G,4,0)</f>
        <v>UN</v>
      </c>
      <c r="F484" s="46" t="n">
        <v>6</v>
      </c>
      <c r="G484" s="51" t="n">
        <f aca="false">VLOOKUP($B484,03_COMPOSIÇÕES!$A:$G,6,0)</f>
        <v>14.804584</v>
      </c>
      <c r="H484" s="52" t="n">
        <f aca="false">VLOOKUP($B484,03_COMPOSIÇÕES!$A:$G,7,0)</f>
        <v>7.40260397088</v>
      </c>
      <c r="I484" s="47" t="n">
        <f aca="false">$F484*$G484</f>
        <v>88.827504</v>
      </c>
      <c r="J484" s="47" t="n">
        <f aca="false">$F484*$H484</f>
        <v>44.41562382528</v>
      </c>
      <c r="K484" s="47" t="n">
        <f aca="false">$I484*(1+BDI_MAT)</f>
        <v>107.1437353248</v>
      </c>
      <c r="L484" s="47" t="n">
        <f aca="false">$J484*(1+BDI_MDO)</f>
        <v>56.6254788148495</v>
      </c>
      <c r="M484" s="47" t="n">
        <f aca="false">SUM(K484:L484)</f>
        <v>163.76921413965</v>
      </c>
      <c r="N484" s="20" t="str">
        <f aca="false">A484</f>
        <v>11.2.3.9</v>
      </c>
    </row>
    <row r="485" customFormat="false" ht="45" hidden="false" customHeight="false" outlineLevel="2" collapsed="false">
      <c r="A485" s="42" t="s">
        <v>709</v>
      </c>
      <c r="B485" s="43" t="n">
        <v>89724</v>
      </c>
      <c r="C485" s="50" t="str">
        <f aca="false">VLOOKUP($B485,03_COMPOSIÇÕES!$A:$G,2,0)</f>
        <v>JOELHO 90 GRAUS, PVC, SERIE NORMAL, ESGOTO PREDIAL, DN 40 MM, JUNTA SOLDÁVEL, FORNECIDO E INSTALADO EM RAMAL DE DESCARGA OU RAMAL DE ESGOTO SANITÁRIO. AF_08/2022</v>
      </c>
      <c r="D485" s="45" t="s">
        <v>59</v>
      </c>
      <c r="E485" s="51" t="str">
        <f aca="false">VLOOKUP($B485,03_COMPOSIÇÕES!$A:$G,4,0)</f>
        <v>UN</v>
      </c>
      <c r="F485" s="46" t="n">
        <v>59</v>
      </c>
      <c r="G485" s="51" t="n">
        <f aca="false">VLOOKUP($B485,03_COMPOSIÇÕES!$A:$G,6,0)</f>
        <v>5.6962</v>
      </c>
      <c r="H485" s="52" t="n">
        <f aca="false">VLOOKUP($B485,03_COMPOSIÇÕES!$A:$G,7,0)</f>
        <v>4.3284102408</v>
      </c>
      <c r="I485" s="47" t="n">
        <f aca="false">$F485*$G485</f>
        <v>336.0758</v>
      </c>
      <c r="J485" s="47" t="n">
        <f aca="false">$F485*$H485</f>
        <v>255.3762042072</v>
      </c>
      <c r="K485" s="47" t="n">
        <f aca="false">$I485*(1+BDI_MAT)</f>
        <v>405.37462996</v>
      </c>
      <c r="L485" s="47" t="n">
        <f aca="false">$J485*(1+BDI_MDO)</f>
        <v>325.579122743759</v>
      </c>
      <c r="M485" s="47" t="n">
        <f aca="false">SUM(K485:L485)</f>
        <v>730.953752703759</v>
      </c>
      <c r="N485" s="20" t="str">
        <f aca="false">A485</f>
        <v>11.2.3.10</v>
      </c>
    </row>
    <row r="486" customFormat="false" ht="45" hidden="false" customHeight="false" outlineLevel="2" collapsed="false">
      <c r="A486" s="42" t="s">
        <v>710</v>
      </c>
      <c r="B486" s="43" t="n">
        <v>89801</v>
      </c>
      <c r="C486" s="50" t="str">
        <f aca="false">VLOOKUP($B486,03_COMPOSIÇÕES!$A:$G,2,0)</f>
        <v>JOELHO 90 GRAUS, PVC, SERIE NORMAL, ESGOTO PREDIAL, DN 50 MM, JUNTA ELÁSTICA, FORNECIDO E INSTALADO EM PRUMADA DE ESGOTO SANITÁRIO OU VENTILAÇÃO. AF_08/2022</v>
      </c>
      <c r="D486" s="45" t="s">
        <v>59</v>
      </c>
      <c r="E486" s="51" t="str">
        <f aca="false">VLOOKUP($B486,03_COMPOSIÇÕES!$A:$G,4,0)</f>
        <v>UN</v>
      </c>
      <c r="F486" s="46" t="n">
        <v>71</v>
      </c>
      <c r="G486" s="51" t="n">
        <f aca="false">VLOOKUP($B486,03_COMPOSIÇÕES!$A:$G,6,0)</f>
        <v>8.402596</v>
      </c>
      <c r="H486" s="52" t="n">
        <f aca="false">VLOOKUP($B486,03_COMPOSIÇÕES!$A:$G,7,0)</f>
        <v>1.16901158472</v>
      </c>
      <c r="I486" s="47" t="n">
        <f aca="false">$F486*$G486</f>
        <v>596.584316</v>
      </c>
      <c r="J486" s="47" t="n">
        <f aca="false">$F486*$H486</f>
        <v>82.99982251512</v>
      </c>
      <c r="K486" s="47" t="n">
        <f aca="false">$I486*(1+BDI_MAT)</f>
        <v>719.6000019592</v>
      </c>
      <c r="L486" s="47" t="n">
        <f aca="false">$J486*(1+BDI_MDO)</f>
        <v>105.816473724527</v>
      </c>
      <c r="M486" s="47" t="n">
        <f aca="false">SUM(K486:L486)</f>
        <v>825.416475683726</v>
      </c>
      <c r="N486" s="20" t="str">
        <f aca="false">A486</f>
        <v>11.2.3.11</v>
      </c>
    </row>
    <row r="487" customFormat="false" ht="45" hidden="false" customHeight="false" outlineLevel="2" collapsed="false">
      <c r="A487" s="42" t="s">
        <v>711</v>
      </c>
      <c r="B487" s="43" t="n">
        <v>89805</v>
      </c>
      <c r="C487" s="50" t="str">
        <f aca="false">VLOOKUP($B487,03_COMPOSIÇÕES!$A:$G,2,0)</f>
        <v>JOELHO 90 GRAUS, PVC, SERIE NORMAL, ESGOTO PREDIAL, DN 75 MM, JUNTA ELÁSTICA, FORNECIDO E INSTALADO EM PRUMADA DE ESGOTO SANITÁRIO OU VENTILAÇÃO. AF_08/2022</v>
      </c>
      <c r="D487" s="45" t="s">
        <v>59</v>
      </c>
      <c r="E487" s="51" t="str">
        <f aca="false">VLOOKUP($B487,03_COMPOSIÇÕES!$A:$G,4,0)</f>
        <v>UN</v>
      </c>
      <c r="F487" s="46" t="n">
        <v>11</v>
      </c>
      <c r="G487" s="51" t="n">
        <f aca="false">VLOOKUP($B487,03_COMPOSIÇÕES!$A:$G,6,0)</f>
        <v>16.047604</v>
      </c>
      <c r="H487" s="52" t="n">
        <f aca="false">VLOOKUP($B487,03_COMPOSIÇÕES!$A:$G,7,0)</f>
        <v>4.28410367928</v>
      </c>
      <c r="I487" s="47" t="n">
        <f aca="false">$F487*$G487</f>
        <v>176.523644</v>
      </c>
      <c r="J487" s="47" t="n">
        <f aca="false">$F487*$H487</f>
        <v>47.12514047208</v>
      </c>
      <c r="K487" s="47" t="n">
        <f aca="false">$I487*(1+BDI_MAT)</f>
        <v>212.9228193928</v>
      </c>
      <c r="L487" s="47" t="n">
        <f aca="false">$J487*(1+BDI_MDO)</f>
        <v>60.0798415878548</v>
      </c>
      <c r="M487" s="47" t="n">
        <f aca="false">SUM(K487:L487)</f>
        <v>273.002660980655</v>
      </c>
      <c r="N487" s="20" t="str">
        <f aca="false">A487</f>
        <v>11.2.3.12</v>
      </c>
    </row>
    <row r="488" customFormat="false" ht="45" hidden="false" customHeight="false" outlineLevel="2" collapsed="false">
      <c r="A488" s="42" t="s">
        <v>712</v>
      </c>
      <c r="B488" s="43" t="s">
        <v>713</v>
      </c>
      <c r="C488" s="50" t="str">
        <f aca="false">VLOOKUP($B488,03_COMPOSIÇÕES!$A:$G,2,0)</f>
        <v>JOELHO 90 GRAUS, PVC, SERIE NORMAL, ESGOTO PREDIAL, 40 MM - 1.1/2", COM ANEL PARA ESGOTO SECUNDÁRIO, FORNECIDO E INSTALADO.</v>
      </c>
      <c r="D488" s="45" t="s">
        <v>59</v>
      </c>
      <c r="E488" s="51" t="str">
        <f aca="false">VLOOKUP($B488,03_COMPOSIÇÕES!$A:$G,4,0)</f>
        <v>UN</v>
      </c>
      <c r="F488" s="46" t="n">
        <v>30</v>
      </c>
      <c r="G488" s="51" t="n">
        <f aca="false">VLOOKUP($B488,03_COMPOSIÇÕES!$A:$G,6,0)</f>
        <v>9.11298</v>
      </c>
      <c r="H488" s="52" t="n">
        <f aca="false">VLOOKUP($B488,03_COMPOSIÇÕES!$A:$G,7,0)</f>
        <v>4.3284102408</v>
      </c>
      <c r="I488" s="47" t="n">
        <f aca="false">$F488*$G488</f>
        <v>273.3894</v>
      </c>
      <c r="J488" s="47" t="n">
        <f aca="false">$F488*$H488</f>
        <v>129.852307224</v>
      </c>
      <c r="K488" s="47" t="n">
        <f aca="false">$I488*(1+BDI_MAT)</f>
        <v>329.76229428</v>
      </c>
      <c r="L488" s="47" t="n">
        <f aca="false">$J488*(1+BDI_MDO)</f>
        <v>165.548706479878</v>
      </c>
      <c r="M488" s="47" t="n">
        <f aca="false">SUM(K488:L488)</f>
        <v>495.311000759878</v>
      </c>
      <c r="N488" s="20" t="str">
        <f aca="false">A488</f>
        <v>11.2.3.13</v>
      </c>
    </row>
    <row r="489" customFormat="false" ht="45" hidden="false" customHeight="false" outlineLevel="2" collapsed="false">
      <c r="A489" s="42" t="s">
        <v>714</v>
      </c>
      <c r="B489" s="43" t="s">
        <v>715</v>
      </c>
      <c r="C489" s="50" t="str">
        <f aca="false">VLOOKUP($B489,03_COMPOSIÇÕES!$A:$G,2,0)</f>
        <v>JUNÇÃO SIMPLES DE REDUÇÃO, PVC, SERIE NORMAL, ESGOTO PREDIAL, DN 100 X 50 MM, JUNTA ELÁSTICA, FORNECIDO E INSTALADO EM PRUMADA DE ESGOTO SANITÁRIO OU VENTILAÇÃO.</v>
      </c>
      <c r="D489" s="45" t="s">
        <v>59</v>
      </c>
      <c r="E489" s="51" t="str">
        <f aca="false">VLOOKUP($B489,03_COMPOSIÇÕES!$A:$G,4,0)</f>
        <v>UN</v>
      </c>
      <c r="F489" s="46" t="n">
        <v>21</v>
      </c>
      <c r="G489" s="51" t="n">
        <f aca="false">VLOOKUP($B489,03_COMPOSIÇÕES!$A:$G,6,0)</f>
        <v>35.206956</v>
      </c>
      <c r="H489" s="52" t="n">
        <f aca="false">VLOOKUP($B489,03_COMPOSIÇÕES!$A:$G,7,0)</f>
        <v>9.87013862784</v>
      </c>
      <c r="I489" s="47" t="n">
        <f aca="false">$F489*$G489</f>
        <v>739.346076</v>
      </c>
      <c r="J489" s="47" t="n">
        <f aca="false">$F489*$H489</f>
        <v>207.27291118464</v>
      </c>
      <c r="K489" s="47" t="n">
        <f aca="false">$I489*(1+BDI_MAT)</f>
        <v>891.7992368712</v>
      </c>
      <c r="L489" s="47" t="n">
        <f aca="false">$J489*(1+BDI_MDO)</f>
        <v>264.252234469298</v>
      </c>
      <c r="M489" s="47" t="n">
        <f aca="false">SUM(K489:L489)</f>
        <v>1156.0514713405</v>
      </c>
      <c r="N489" s="20" t="str">
        <f aca="false">A489</f>
        <v>11.2.3.14</v>
      </c>
    </row>
    <row r="490" customFormat="false" ht="45" hidden="false" customHeight="false" outlineLevel="2" collapsed="false">
      <c r="A490" s="42" t="s">
        <v>716</v>
      </c>
      <c r="B490" s="43" t="s">
        <v>717</v>
      </c>
      <c r="C490" s="50" t="str">
        <f aca="false">VLOOKUP($B490,03_COMPOSIÇÕES!$A:$G,2,0)</f>
        <v>JUNÇÃO SIMPLES DE REDUÇÃO, PVC, SERIE NORMAL, ESGOTO PREDIAL, DN 100 X 75 MM, JUNTA ELÁSTICA, FORNECIDO E INSTALADO EM PRUMADA DE ESGOTO SANITÁRIO OU VENTILAÇÃO.</v>
      </c>
      <c r="D490" s="45" t="s">
        <v>59</v>
      </c>
      <c r="E490" s="51" t="str">
        <f aca="false">VLOOKUP($B490,03_COMPOSIÇÕES!$A:$G,4,0)</f>
        <v>UN</v>
      </c>
      <c r="F490" s="46" t="n">
        <v>3</v>
      </c>
      <c r="G490" s="51" t="n">
        <f aca="false">VLOOKUP($B490,03_COMPOSIÇÕES!$A:$G,6,0)</f>
        <v>36.665212</v>
      </c>
      <c r="H490" s="52" t="n">
        <f aca="false">VLOOKUP($B490,03_COMPOSIÇÕES!$A:$G,7,0)</f>
        <v>9.87013862784</v>
      </c>
      <c r="I490" s="47" t="n">
        <f aca="false">$F490*$G490</f>
        <v>109.995636</v>
      </c>
      <c r="J490" s="47" t="n">
        <f aca="false">$F490*$H490</f>
        <v>29.61041588352</v>
      </c>
      <c r="K490" s="47" t="n">
        <f aca="false">$I490*(1+BDI_MAT)</f>
        <v>132.6767361432</v>
      </c>
      <c r="L490" s="47" t="n">
        <f aca="false">$J490*(1+BDI_MDO)</f>
        <v>37.7503192098996</v>
      </c>
      <c r="M490" s="47" t="n">
        <f aca="false">SUM(K490:L490)</f>
        <v>170.4270553531</v>
      </c>
      <c r="N490" s="20" t="str">
        <f aca="false">A490</f>
        <v>11.2.3.15</v>
      </c>
    </row>
    <row r="491" customFormat="false" ht="45" hidden="false" customHeight="false" outlineLevel="2" collapsed="false">
      <c r="A491" s="42" t="s">
        <v>718</v>
      </c>
      <c r="B491" s="43" t="s">
        <v>719</v>
      </c>
      <c r="C491" s="50" t="str">
        <f aca="false">VLOOKUP($B491,03_COMPOSIÇÕES!$A:$G,2,0)</f>
        <v>JUNÇÃO SIMPLES DE REDUÇÃO, PVC, SERIE NORMAL, ESGOTO PREDIAL, DN 75 X 50 MM, JUNTA ELÁSTICA, FORNECIDO E INSTALADO EM PRUMADA DE ESGOTO SANITÁRIO OU VENTILAÇÃO.</v>
      </c>
      <c r="D491" s="45" t="s">
        <v>59</v>
      </c>
      <c r="E491" s="51" t="str">
        <f aca="false">VLOOKUP($B491,03_COMPOSIÇÕES!$A:$G,4,0)</f>
        <v>UN</v>
      </c>
      <c r="F491" s="46" t="n">
        <v>1</v>
      </c>
      <c r="G491" s="51" t="n">
        <f aca="false">VLOOKUP($B491,03_COMPOSIÇÕES!$A:$G,6,0)</f>
        <v>22.0956386666667</v>
      </c>
      <c r="H491" s="52" t="n">
        <f aca="false">VLOOKUP($B491,03_COMPOSIÇÕES!$A:$G,7,0)</f>
        <v>5.71213823904</v>
      </c>
      <c r="I491" s="47" t="n">
        <f aca="false">$F491*$G491</f>
        <v>22.0956386666667</v>
      </c>
      <c r="J491" s="47" t="n">
        <f aca="false">$F491*$H491</f>
        <v>5.71213823904</v>
      </c>
      <c r="K491" s="47" t="n">
        <f aca="false">$I491*(1+BDI_MAT)</f>
        <v>26.6517593597333</v>
      </c>
      <c r="L491" s="47" t="n">
        <f aca="false">$J491*(1+BDI_MDO)</f>
        <v>7.2824050409521</v>
      </c>
      <c r="M491" s="47" t="n">
        <f aca="false">SUM(K491:L491)</f>
        <v>33.9341644006854</v>
      </c>
      <c r="N491" s="20" t="str">
        <f aca="false">A491</f>
        <v>11.2.3.16</v>
      </c>
    </row>
    <row r="492" customFormat="false" ht="45" hidden="false" customHeight="false" outlineLevel="2" collapsed="false">
      <c r="A492" s="42" t="s">
        <v>720</v>
      </c>
      <c r="B492" s="43" t="n">
        <v>89834</v>
      </c>
      <c r="C492" s="50" t="str">
        <f aca="false">VLOOKUP($B492,03_COMPOSIÇÕES!$A:$G,2,0)</f>
        <v>JUNÇÃO SIMPLES, PVC, SERIE NORMAL, ESGOTO PREDIAL, DN 100 X 100 MM, JUNTA ELÁSTICA, FORNECIDO E INSTALADO EM PRUMADA DE ESGOTO SANITÁRIO OU VENTILAÇÃO. AF_08/2022</v>
      </c>
      <c r="D492" s="45" t="s">
        <v>59</v>
      </c>
      <c r="E492" s="51" t="str">
        <f aca="false">VLOOKUP($B492,03_COMPOSIÇÕES!$A:$G,4,0)</f>
        <v>UN</v>
      </c>
      <c r="F492" s="46" t="n">
        <v>20</v>
      </c>
      <c r="G492" s="51" t="n">
        <f aca="false">VLOOKUP($B492,03_COMPOSIÇÕES!$A:$G,6,0)</f>
        <v>33.995212</v>
      </c>
      <c r="H492" s="52" t="n">
        <f aca="false">VLOOKUP($B492,03_COMPOSIÇÕES!$A:$G,7,0)</f>
        <v>9.87013862784</v>
      </c>
      <c r="I492" s="47" t="n">
        <f aca="false">$F492*$G492</f>
        <v>679.90424</v>
      </c>
      <c r="J492" s="47" t="n">
        <f aca="false">$F492*$H492</f>
        <v>197.4027725568</v>
      </c>
      <c r="K492" s="47" t="n">
        <f aca="false">$I492*(1+BDI_MAT)</f>
        <v>820.100494288</v>
      </c>
      <c r="L492" s="47" t="n">
        <f aca="false">$J492*(1+BDI_MDO)</f>
        <v>251.668794732664</v>
      </c>
      <c r="M492" s="47" t="n">
        <f aca="false">SUM(K492:L492)</f>
        <v>1071.76928902066</v>
      </c>
      <c r="N492" s="20" t="str">
        <f aca="false">A492</f>
        <v>11.2.3.17</v>
      </c>
    </row>
    <row r="493" customFormat="false" ht="45" hidden="false" customHeight="false" outlineLevel="2" collapsed="false">
      <c r="A493" s="42" t="s">
        <v>721</v>
      </c>
      <c r="B493" s="43" t="n">
        <v>89783</v>
      </c>
      <c r="C493" s="50" t="str">
        <f aca="false">VLOOKUP($B493,03_COMPOSIÇÕES!$A:$G,2,0)</f>
        <v>JUNÇÃO SIMPLES, PVC, SERIE NORMAL, ESGOTO PREDIAL, DN 40 MM, JUNTA SOLDÁVEL, FORNECIDO E INSTALADO EM RAMAL DE DESCARGA OU RAMAL DE ESGOTO SANITÁRIO. AF_08/2022</v>
      </c>
      <c r="D493" s="45" t="s">
        <v>59</v>
      </c>
      <c r="E493" s="51" t="str">
        <f aca="false">VLOOKUP($B493,03_COMPOSIÇÕES!$A:$G,4,0)</f>
        <v>UN</v>
      </c>
      <c r="F493" s="46" t="n">
        <v>3</v>
      </c>
      <c r="G493" s="51" t="n">
        <f aca="false">VLOOKUP($B493,03_COMPOSIÇÕES!$A:$G,6,0)</f>
        <v>7.302101</v>
      </c>
      <c r="H493" s="52" t="n">
        <f aca="false">VLOOKUP($B493,03_COMPOSIÇÕES!$A:$G,7,0)</f>
        <v>5.77007758872</v>
      </c>
      <c r="I493" s="47" t="n">
        <f aca="false">$F493*$G493</f>
        <v>21.906303</v>
      </c>
      <c r="J493" s="47" t="n">
        <f aca="false">$F493*$H493</f>
        <v>17.31023276616</v>
      </c>
      <c r="K493" s="47" t="n">
        <f aca="false">$I493*(1+BDI_MAT)</f>
        <v>26.4233826786</v>
      </c>
      <c r="L493" s="47" t="n">
        <f aca="false">$J493*(1+BDI_MDO)</f>
        <v>22.0688157535774</v>
      </c>
      <c r="M493" s="47" t="n">
        <f aca="false">SUM(K493:L493)</f>
        <v>48.4921984321774</v>
      </c>
      <c r="N493" s="20" t="str">
        <f aca="false">A493</f>
        <v>11.2.3.18</v>
      </c>
    </row>
    <row r="494" customFormat="false" ht="45" hidden="false" customHeight="false" outlineLevel="2" collapsed="false">
      <c r="A494" s="42" t="s">
        <v>722</v>
      </c>
      <c r="B494" s="43" t="n">
        <v>89830</v>
      </c>
      <c r="C494" s="50" t="str">
        <f aca="false">VLOOKUP($B494,03_COMPOSIÇÕES!$A:$G,2,0)</f>
        <v>JUNÇÃO SIMPLES, PVC, SERIE NORMAL, ESGOTO PREDIAL, DN 75 X 75 MM, JUNTA ELÁSTICA, FORNECIDO E INSTALADO EM PRUMADA DE ESGOTO SANITÁRIO OU VENTILAÇÃO. AF_08/2022</v>
      </c>
      <c r="D494" s="45" t="s">
        <v>59</v>
      </c>
      <c r="E494" s="51" t="str">
        <f aca="false">VLOOKUP($B494,03_COMPOSIÇÕES!$A:$G,4,0)</f>
        <v>UN</v>
      </c>
      <c r="F494" s="46" t="n">
        <v>1</v>
      </c>
      <c r="G494" s="51" t="n">
        <f aca="false">VLOOKUP($B494,03_COMPOSIÇÕES!$A:$G,6,0)</f>
        <v>29.619472</v>
      </c>
      <c r="H494" s="52" t="n">
        <f aca="false">VLOOKUP($B494,03_COMPOSIÇÕES!$A:$G,7,0)</f>
        <v>5.71213823904</v>
      </c>
      <c r="I494" s="47" t="n">
        <f aca="false">$F494*$G494</f>
        <v>29.619472</v>
      </c>
      <c r="J494" s="47" t="n">
        <f aca="false">$F494*$H494</f>
        <v>5.71213823904</v>
      </c>
      <c r="K494" s="47" t="n">
        <f aca="false">$I494*(1+BDI_MAT)</f>
        <v>35.7270071264</v>
      </c>
      <c r="L494" s="47" t="n">
        <f aca="false">$J494*(1+BDI_MDO)</f>
        <v>7.2824050409521</v>
      </c>
      <c r="M494" s="47" t="n">
        <f aca="false">SUM(K494:L494)</f>
        <v>43.0094121673521</v>
      </c>
      <c r="N494" s="20" t="str">
        <f aca="false">A494</f>
        <v>11.2.3.19</v>
      </c>
    </row>
    <row r="495" customFormat="false" ht="45" hidden="false" customHeight="false" outlineLevel="2" collapsed="false">
      <c r="A495" s="42" t="s">
        <v>723</v>
      </c>
      <c r="B495" s="43" t="n">
        <v>89821</v>
      </c>
      <c r="C495" s="50" t="str">
        <f aca="false">VLOOKUP($B495,03_COMPOSIÇÕES!$A:$G,2,0)</f>
        <v>LUVA SIMPLES, PVC, SERIE NORMAL, ESGOTO PREDIAL, DN 100 MM, JUNTA ELÁSTICA, FORNECIDO E INSTALADO EM PRUMADA DE ESGOTO SANITÁRIO OU VENTILAÇÃO. AF_08/2022</v>
      </c>
      <c r="D495" s="45" t="s">
        <v>59</v>
      </c>
      <c r="E495" s="51" t="str">
        <f aca="false">VLOOKUP($B495,03_COMPOSIÇÕES!$A:$G,4,0)</f>
        <v>UN</v>
      </c>
      <c r="F495" s="46" t="n">
        <v>116</v>
      </c>
      <c r="G495" s="51" t="n">
        <f aca="false">VLOOKUP($B495,03_COMPOSIÇÕES!$A:$G,6,0)</f>
        <v>10.515267</v>
      </c>
      <c r="H495" s="52" t="n">
        <f aca="false">VLOOKUP($B495,03_COMPOSIÇÕES!$A:$G,7,0)</f>
        <v>4.93506931392</v>
      </c>
      <c r="I495" s="47" t="n">
        <f aca="false">$F495*$G495</f>
        <v>1219.770972</v>
      </c>
      <c r="J495" s="47" t="n">
        <f aca="false">$F495*$H495</f>
        <v>572.46804041472</v>
      </c>
      <c r="K495" s="47" t="n">
        <f aca="false">$I495*(1+BDI_MAT)</f>
        <v>1471.2877464264</v>
      </c>
      <c r="L495" s="47" t="n">
        <f aca="false">$J495*(1+BDI_MDO)</f>
        <v>729.839504724727</v>
      </c>
      <c r="M495" s="47" t="n">
        <f aca="false">SUM(K495:L495)</f>
        <v>2201.12725115113</v>
      </c>
      <c r="N495" s="20" t="str">
        <f aca="false">A495</f>
        <v>11.2.3.20</v>
      </c>
    </row>
    <row r="496" customFormat="false" ht="45" hidden="false" customHeight="false" outlineLevel="2" collapsed="false">
      <c r="A496" s="42" t="s">
        <v>724</v>
      </c>
      <c r="B496" s="43" t="n">
        <v>89813</v>
      </c>
      <c r="C496" s="50" t="str">
        <f aca="false">VLOOKUP($B496,03_COMPOSIÇÕES!$A:$G,2,0)</f>
        <v>LUVA SIMPLES, PVC, SERIE NORMAL, ESGOTO PREDIAL, DN 50 MM, JUNTA ELÁSTICA, FORNECIDO E INSTALADO EM PRUMADA DE ESGOTO SANITÁRIO OU VENTILAÇÃO. AF_08/2022</v>
      </c>
      <c r="D496" s="45" t="s">
        <v>59</v>
      </c>
      <c r="E496" s="51" t="str">
        <f aca="false">VLOOKUP($B496,03_COMPOSIÇÕES!$A:$G,4,0)</f>
        <v>UN</v>
      </c>
      <c r="F496" s="46" t="n">
        <v>58</v>
      </c>
      <c r="G496" s="51" t="n">
        <f aca="false">VLOOKUP($B496,03_COMPOSIÇÕES!$A:$G,6,0)</f>
        <v>1.578773</v>
      </c>
      <c r="H496" s="52" t="n">
        <f aca="false">VLOOKUP($B496,03_COMPOSIÇÕES!$A:$G,7,0)</f>
        <v>0.77706892512</v>
      </c>
      <c r="I496" s="47" t="n">
        <f aca="false">$F496*$G496</f>
        <v>91.568834</v>
      </c>
      <c r="J496" s="47" t="n">
        <f aca="false">$F496*$H496</f>
        <v>45.06999765696</v>
      </c>
      <c r="K496" s="47" t="n">
        <f aca="false">$I496*(1+BDI_MAT)</f>
        <v>110.4503275708</v>
      </c>
      <c r="L496" s="47" t="n">
        <f aca="false">$J496*(1+BDI_MDO)</f>
        <v>57.4597400128583</v>
      </c>
      <c r="M496" s="47" t="n">
        <f aca="false">SUM(K496:L496)</f>
        <v>167.910067583658</v>
      </c>
      <c r="N496" s="20" t="str">
        <f aca="false">A496</f>
        <v>11.2.3.21</v>
      </c>
    </row>
    <row r="497" customFormat="false" ht="45" hidden="false" customHeight="false" outlineLevel="2" collapsed="false">
      <c r="A497" s="42" t="s">
        <v>725</v>
      </c>
      <c r="B497" s="43" t="n">
        <v>89817</v>
      </c>
      <c r="C497" s="50" t="str">
        <f aca="false">VLOOKUP($B497,03_COMPOSIÇÕES!$A:$G,2,0)</f>
        <v>LUVA SIMPLES, PVC, SERIE NORMAL, ESGOTO PREDIAL, DN 75 MM, JUNTA ELÁSTICA, FORNECIDO E INSTALADO EM PRUMADA DE ESGOTO SANITÁRIO OU VENTILAÇÃO. AF_08/2022</v>
      </c>
      <c r="D497" s="45" t="s">
        <v>59</v>
      </c>
      <c r="E497" s="51" t="str">
        <f aca="false">VLOOKUP($B497,03_COMPOSIÇÕES!$A:$G,4,0)</f>
        <v>UN</v>
      </c>
      <c r="F497" s="46" t="n">
        <v>17</v>
      </c>
      <c r="G497" s="51" t="n">
        <f aca="false">VLOOKUP($B497,03_COMPOSIÇÕES!$A:$G,6,0)</f>
        <v>11.191819</v>
      </c>
      <c r="H497" s="52" t="n">
        <f aca="false">VLOOKUP($B497,03_COMPOSIÇÕES!$A:$G,7,0)</f>
        <v>2.85606911952</v>
      </c>
      <c r="I497" s="47" t="n">
        <f aca="false">$F497*$G497</f>
        <v>190.260923</v>
      </c>
      <c r="J497" s="47" t="n">
        <f aca="false">$F497*$H497</f>
        <v>48.55317503184</v>
      </c>
      <c r="K497" s="47" t="n">
        <f aca="false">$I497*(1+BDI_MAT)</f>
        <v>229.4927253226</v>
      </c>
      <c r="L497" s="47" t="n">
        <f aca="false">$J497*(1+BDI_MDO)</f>
        <v>61.9004428480928</v>
      </c>
      <c r="M497" s="47" t="n">
        <f aca="false">SUM(K497:L497)</f>
        <v>291.393168170693</v>
      </c>
      <c r="N497" s="20" t="str">
        <f aca="false">A497</f>
        <v>11.2.3.22</v>
      </c>
    </row>
    <row r="498" customFormat="false" ht="45" hidden="false" customHeight="false" outlineLevel="2" collapsed="false">
      <c r="A498" s="42" t="s">
        <v>726</v>
      </c>
      <c r="B498" s="43" t="s">
        <v>727</v>
      </c>
      <c r="C498" s="50" t="str">
        <f aca="false">VLOOKUP($B498,03_COMPOSIÇÕES!$A:$G,2,0)</f>
        <v>REDUÇÃO EXCÊNTRICA, PVC, SERIE NORMAL, ESGOTO, DN 100 X 50 MM, JUNTA ELÁSTICA, FORNECIDO E INSTALADO EM PRUMADA DE ESGOTO SANITÁRIO OU VENTILAÇÃO.</v>
      </c>
      <c r="D498" s="45" t="s">
        <v>59</v>
      </c>
      <c r="E498" s="51" t="str">
        <f aca="false">VLOOKUP($B498,03_COMPOSIÇÕES!$A:$G,4,0)</f>
        <v>UN</v>
      </c>
      <c r="F498" s="46" t="n">
        <v>1</v>
      </c>
      <c r="G498" s="51" t="n">
        <f aca="false">VLOOKUP($B498,03_COMPOSIÇÕES!$A:$G,6,0)</f>
        <v>14.723196</v>
      </c>
      <c r="H498" s="52" t="n">
        <f aca="false">VLOOKUP($B498,03_COMPOSIÇÕES!$A:$G,7,0)</f>
        <v>2.53229040072</v>
      </c>
      <c r="I498" s="47" t="n">
        <f aca="false">$F498*$G498</f>
        <v>14.723196</v>
      </c>
      <c r="J498" s="47" t="n">
        <f aca="false">$F498*$H498</f>
        <v>2.53229040072</v>
      </c>
      <c r="K498" s="47" t="n">
        <f aca="false">$I498*(1+BDI_MAT)</f>
        <v>17.7591190152</v>
      </c>
      <c r="L498" s="47" t="n">
        <f aca="false">$J498*(1+BDI_MDO)</f>
        <v>3.22841703187793</v>
      </c>
      <c r="M498" s="47" t="n">
        <f aca="false">SUM(K498:L498)</f>
        <v>20.9875360470779</v>
      </c>
      <c r="N498" s="20" t="str">
        <f aca="false">A498</f>
        <v>11.2.3.23</v>
      </c>
    </row>
    <row r="499" customFormat="false" ht="45" hidden="false" customHeight="false" outlineLevel="2" collapsed="false">
      <c r="A499" s="42" t="s">
        <v>728</v>
      </c>
      <c r="B499" s="43" t="s">
        <v>729</v>
      </c>
      <c r="C499" s="50" t="str">
        <f aca="false">VLOOKUP($B499,03_COMPOSIÇÕES!$A:$G,2,0)</f>
        <v>REDUÇÃO EXCÊNTRICA, PVC, SERIE NORMAL, ESGOTO, DN 100 X 75 MM, JUNTA ELÁSTICA, FORNECIDO E INSTALADO EM PRUMADA DE ESGOTO SANITÁRIO OU VENTILAÇÃO.</v>
      </c>
      <c r="D499" s="45" t="s">
        <v>59</v>
      </c>
      <c r="E499" s="51" t="str">
        <f aca="false">VLOOKUP($B499,03_COMPOSIÇÕES!$A:$G,4,0)</f>
        <v>UN</v>
      </c>
      <c r="F499" s="46" t="n">
        <v>1</v>
      </c>
      <c r="G499" s="51" t="n">
        <f aca="false">VLOOKUP($B499,03_COMPOSIÇÕES!$A:$G,6,0)</f>
        <v>17.873196</v>
      </c>
      <c r="H499" s="52" t="n">
        <f aca="false">VLOOKUP($B499,03_COMPOSIÇÕES!$A:$G,7,0)</f>
        <v>2.53229040072</v>
      </c>
      <c r="I499" s="47" t="n">
        <f aca="false">$F499*$G499</f>
        <v>17.873196</v>
      </c>
      <c r="J499" s="47" t="n">
        <f aca="false">$F499*$H499</f>
        <v>2.53229040072</v>
      </c>
      <c r="K499" s="47" t="n">
        <f aca="false">$I499*(1+BDI_MAT)</f>
        <v>21.5586490152</v>
      </c>
      <c r="L499" s="47" t="n">
        <f aca="false">$J499*(1+BDI_MDO)</f>
        <v>3.22841703187793</v>
      </c>
      <c r="M499" s="47" t="n">
        <f aca="false">SUM(K499:L499)</f>
        <v>24.7870660470779</v>
      </c>
      <c r="N499" s="20" t="str">
        <f aca="false">A499</f>
        <v>11.2.3.24</v>
      </c>
    </row>
    <row r="500" customFormat="false" ht="45" hidden="false" customHeight="false" outlineLevel="2" collapsed="false">
      <c r="A500" s="42" t="s">
        <v>730</v>
      </c>
      <c r="B500" s="43" t="n">
        <v>89800</v>
      </c>
      <c r="C500" s="50" t="str">
        <f aca="false">VLOOKUP($B500,03_COMPOSIÇÕES!$A:$G,2,0)</f>
        <v>TUBO PVC, SERIE NORMAL, ESGOTO PREDIAL, DN 100 MM, FORNECIDO E INSTALADO EM PRUMADA DE ESGOTO SANITÁRIO OU VENTILAÇÃO. AF_08/2022</v>
      </c>
      <c r="D500" s="45" t="s">
        <v>59</v>
      </c>
      <c r="E500" s="51" t="str">
        <f aca="false">VLOOKUP($B500,03_COMPOSIÇÕES!$A:$G,4,0)</f>
        <v>M</v>
      </c>
      <c r="F500" s="46" t="n">
        <v>250.3</v>
      </c>
      <c r="G500" s="51" t="n">
        <f aca="false">VLOOKUP($B500,03_COMPOSIÇÕES!$A:$G,6,0)</f>
        <v>20.045038</v>
      </c>
      <c r="H500" s="52" t="n">
        <f aca="false">VLOOKUP($B500,03_COMPOSIÇÕES!$A:$G,7,0)</f>
        <v>8.97037460928</v>
      </c>
      <c r="I500" s="47" t="n">
        <f aca="false">$F500*$G500</f>
        <v>5017.2730114</v>
      </c>
      <c r="J500" s="47" t="n">
        <f aca="false">$F500*$H500</f>
        <v>2245.28476470278</v>
      </c>
      <c r="K500" s="47" t="n">
        <f aca="false">$I500*(1+BDI_MAT)</f>
        <v>6051.83470635068</v>
      </c>
      <c r="L500" s="47" t="n">
        <f aca="false">$J500*(1+BDI_MDO)</f>
        <v>2862.51354651958</v>
      </c>
      <c r="M500" s="47" t="n">
        <f aca="false">SUM(K500:L500)</f>
        <v>8914.34825287026</v>
      </c>
      <c r="N500" s="20" t="str">
        <f aca="false">A500</f>
        <v>11.2.3.25</v>
      </c>
    </row>
    <row r="501" customFormat="false" ht="30" hidden="false" customHeight="false" outlineLevel="2" collapsed="false">
      <c r="A501" s="42" t="s">
        <v>731</v>
      </c>
      <c r="B501" s="43" t="n">
        <v>89849</v>
      </c>
      <c r="C501" s="50" t="str">
        <f aca="false">VLOOKUP($B501,03_COMPOSIÇÕES!$A:$G,2,0)</f>
        <v>TUBO PVC, SERIE NORMAL, ESGOTO PREDIAL, DN 150 MM, FORNECIDO E INSTALADO EM SUBCOLETOR AÉREO DE ESGOTO SANITÁRIO. AF_08/2022</v>
      </c>
      <c r="D501" s="45" t="s">
        <v>59</v>
      </c>
      <c r="E501" s="51" t="str">
        <f aca="false">VLOOKUP($B501,03_COMPOSIÇÕES!$A:$G,4,0)</f>
        <v>M</v>
      </c>
      <c r="F501" s="46" t="n">
        <v>5.6</v>
      </c>
      <c r="G501" s="51" t="n">
        <f aca="false">VLOOKUP($B501,03_COMPOSIÇÕES!$A:$G,6,0)</f>
        <v>47.945268</v>
      </c>
      <c r="H501" s="52" t="n">
        <f aca="false">VLOOKUP($B501,03_COMPOSIÇÕES!$A:$G,7,0)</f>
        <v>10.61312558256</v>
      </c>
      <c r="I501" s="47" t="n">
        <f aca="false">$F501*$G501</f>
        <v>268.4935008</v>
      </c>
      <c r="J501" s="47" t="n">
        <f aca="false">$F501*$H501</f>
        <v>59.433503262336</v>
      </c>
      <c r="K501" s="47" t="n">
        <f aca="false">$I501*(1+BDI_MAT)</f>
        <v>323.85686066496</v>
      </c>
      <c r="L501" s="47" t="n">
        <f aca="false">$J501*(1+BDI_MDO)</f>
        <v>75.7717733091522</v>
      </c>
      <c r="M501" s="47" t="n">
        <f aca="false">SUM(K501:L501)</f>
        <v>399.628633974112</v>
      </c>
      <c r="N501" s="20" t="str">
        <f aca="false">A501</f>
        <v>11.2.3.26</v>
      </c>
    </row>
    <row r="502" customFormat="false" ht="45" hidden="false" customHeight="false" outlineLevel="2" collapsed="false">
      <c r="A502" s="42" t="s">
        <v>732</v>
      </c>
      <c r="B502" s="43" t="n">
        <v>89711</v>
      </c>
      <c r="C502" s="50" t="str">
        <f aca="false">VLOOKUP($B502,03_COMPOSIÇÕES!$A:$G,2,0)</f>
        <v>TUBO PVC, SERIE NORMAL, ESGOTO PREDIAL, DN 40 MM, FORNECIDO E INSTALADO EM RAMAL DE DESCARGA OU RAMAL DE ESGOTO SANITÁRIO. AF_08/2022</v>
      </c>
      <c r="D502" s="45" t="s">
        <v>59</v>
      </c>
      <c r="E502" s="51" t="str">
        <f aca="false">VLOOKUP($B502,03_COMPOSIÇÕES!$A:$G,4,0)</f>
        <v>M</v>
      </c>
      <c r="F502" s="46" t="n">
        <v>55.4</v>
      </c>
      <c r="G502" s="51" t="n">
        <f aca="false">VLOOKUP($B502,03_COMPOSIÇÕES!$A:$G,6,0)</f>
        <v>11.358825</v>
      </c>
      <c r="H502" s="52" t="n">
        <f aca="false">VLOOKUP($B502,03_COMPOSIÇÕES!$A:$G,7,0)</f>
        <v>6.0309817908</v>
      </c>
      <c r="I502" s="47" t="n">
        <f aca="false">$F502*$G502</f>
        <v>629.278905</v>
      </c>
      <c r="J502" s="47" t="n">
        <f aca="false">$F502*$H502</f>
        <v>334.11639121032</v>
      </c>
      <c r="K502" s="47" t="n">
        <f aca="false">$I502*(1+BDI_MAT)</f>
        <v>759.036215211</v>
      </c>
      <c r="L502" s="47" t="n">
        <f aca="false">$J502*(1+BDI_MDO)</f>
        <v>425.964987154037</v>
      </c>
      <c r="M502" s="47" t="n">
        <f aca="false">SUM(K502:L502)</f>
        <v>1185.00120236504</v>
      </c>
      <c r="N502" s="20" t="str">
        <f aca="false">A502</f>
        <v>11.2.3.27</v>
      </c>
    </row>
    <row r="503" customFormat="false" ht="45" hidden="false" customHeight="false" outlineLevel="2" collapsed="false">
      <c r="A503" s="42" t="s">
        <v>733</v>
      </c>
      <c r="B503" s="43" t="n">
        <v>89798</v>
      </c>
      <c r="C503" s="50" t="str">
        <f aca="false">VLOOKUP($B503,03_COMPOSIÇÕES!$A:$G,2,0)</f>
        <v>TUBO PVC, SERIE NORMAL, ESGOTO PREDIAL, DN 50 MM, FORNECIDO E INSTALADO EM PRUMADA DE ESGOTO SANITÁRIO OU VENTILAÇÃO. AF_08/2022</v>
      </c>
      <c r="D503" s="45" t="s">
        <v>59</v>
      </c>
      <c r="E503" s="51" t="str">
        <f aca="false">VLOOKUP($B503,03_COMPOSIÇÕES!$A:$G,4,0)</f>
        <v>M</v>
      </c>
      <c r="F503" s="46" t="n">
        <v>28.2</v>
      </c>
      <c r="G503" s="51" t="n">
        <f aca="false">VLOOKUP($B503,03_COMPOSIÇÕES!$A:$G,6,0)</f>
        <v>12.681857</v>
      </c>
      <c r="H503" s="52" t="n">
        <f aca="false">VLOOKUP($B503,03_COMPOSIÇÕES!$A:$G,7,0)</f>
        <v>0.5601842142</v>
      </c>
      <c r="I503" s="47" t="n">
        <f aca="false">$F503*$G503</f>
        <v>357.6283674</v>
      </c>
      <c r="J503" s="47" t="n">
        <f aca="false">$F503*$H503</f>
        <v>15.79719484044</v>
      </c>
      <c r="K503" s="47" t="n">
        <f aca="false">$I503*(1+BDI_MAT)</f>
        <v>431.37133675788</v>
      </c>
      <c r="L503" s="47" t="n">
        <f aca="false">$J503*(1+BDI_MDO)</f>
        <v>20.139843702077</v>
      </c>
      <c r="M503" s="47" t="n">
        <f aca="false">SUM(K503:L503)</f>
        <v>451.511180459957</v>
      </c>
      <c r="N503" s="20" t="str">
        <f aca="false">A503</f>
        <v>11.2.3.28</v>
      </c>
    </row>
    <row r="504" customFormat="false" ht="45" hidden="false" customHeight="false" outlineLevel="2" collapsed="false">
      <c r="A504" s="42" t="s">
        <v>734</v>
      </c>
      <c r="B504" s="43" t="n">
        <v>89799</v>
      </c>
      <c r="C504" s="50" t="str">
        <f aca="false">VLOOKUP($B504,03_COMPOSIÇÕES!$A:$G,2,0)</f>
        <v>TUBO PVC, SERIE NORMAL, ESGOTO PREDIAL, DN 75 MM, FORNECIDO E INSTALADO EM PRUMADA DE ESGOTO SANITÁRIO OU VENTILAÇÃO. AF_08/2022</v>
      </c>
      <c r="D504" s="45" t="s">
        <v>59</v>
      </c>
      <c r="E504" s="51" t="str">
        <f aca="false">VLOOKUP($B504,03_COMPOSIÇÕES!$A:$G,4,0)</f>
        <v>M</v>
      </c>
      <c r="F504" s="46" t="n">
        <v>10.4</v>
      </c>
      <c r="G504" s="51" t="n">
        <f aca="false">VLOOKUP($B504,03_COMPOSIÇÕES!$A:$G,6,0)</f>
        <v>17.934743</v>
      </c>
      <c r="H504" s="52" t="n">
        <f aca="false">VLOOKUP($B504,03_COMPOSIÇÕES!$A:$G,7,0)</f>
        <v>5.19409228896</v>
      </c>
      <c r="I504" s="47" t="n">
        <f aca="false">$F504*$G504</f>
        <v>186.5213272</v>
      </c>
      <c r="J504" s="47" t="n">
        <f aca="false">$F504*$H504</f>
        <v>54.018559805184</v>
      </c>
      <c r="K504" s="47" t="n">
        <f aca="false">$I504*(1+BDI_MAT)</f>
        <v>224.98202486864</v>
      </c>
      <c r="L504" s="47" t="n">
        <f aca="false">$J504*(1+BDI_MDO)</f>
        <v>68.8682618956291</v>
      </c>
      <c r="M504" s="47" t="n">
        <f aca="false">SUM(K504:L504)</f>
        <v>293.850286764269</v>
      </c>
      <c r="N504" s="20" t="str">
        <f aca="false">A504</f>
        <v>11.2.3.29</v>
      </c>
    </row>
    <row r="505" customFormat="false" ht="45" hidden="false" customHeight="false" outlineLevel="2" collapsed="false">
      <c r="A505" s="42" t="s">
        <v>735</v>
      </c>
      <c r="B505" s="43" t="n">
        <v>104352</v>
      </c>
      <c r="C505" s="50" t="str">
        <f aca="false">VLOOKUP($B505,03_COMPOSIÇÕES!$A:$G,2,0)</f>
        <v>TE, PVC, SÉRIE NORMAL, ESGOTO PREDIAL, DN 100 X 50 MM, JUNTA ELÁSTICA, FORNECIDO E INSTALADO EM PRUMADA DE ESGOTO SANITÁRIO OU VENTILAÇÃO. AF_08/2022</v>
      </c>
      <c r="D505" s="45" t="s">
        <v>59</v>
      </c>
      <c r="E505" s="51" t="str">
        <f aca="false">VLOOKUP($B505,03_COMPOSIÇÕES!$A:$G,4,0)</f>
        <v>UN</v>
      </c>
      <c r="F505" s="46" t="n">
        <v>1</v>
      </c>
      <c r="G505" s="51" t="n">
        <f aca="false">VLOOKUP($B505,03_COMPOSIÇÕES!$A:$G,6,0)</f>
        <v>32.273476</v>
      </c>
      <c r="H505" s="52" t="n">
        <f aca="false">VLOOKUP($B505,03_COMPOSIÇÕES!$A:$G,7,0)</f>
        <v>7.09927443432</v>
      </c>
      <c r="I505" s="47" t="n">
        <f aca="false">$F505*$G505</f>
        <v>32.273476</v>
      </c>
      <c r="J505" s="47" t="n">
        <f aca="false">$F505*$H505</f>
        <v>7.09927443432</v>
      </c>
      <c r="K505" s="47" t="n">
        <f aca="false">$I505*(1+BDI_MAT)</f>
        <v>38.9282667512</v>
      </c>
      <c r="L505" s="47" t="n">
        <f aca="false">$J505*(1+BDI_MDO)</f>
        <v>9.05086497631457</v>
      </c>
      <c r="M505" s="47" t="n">
        <f aca="false">SUM(K505:L505)</f>
        <v>47.9791317275146</v>
      </c>
      <c r="N505" s="20" t="str">
        <f aca="false">A505</f>
        <v>11.2.3.30</v>
      </c>
    </row>
    <row r="506" customFormat="false" ht="45" hidden="false" customHeight="false" outlineLevel="2" collapsed="false">
      <c r="A506" s="42" t="s">
        <v>736</v>
      </c>
      <c r="B506" s="43" t="n">
        <v>104354</v>
      </c>
      <c r="C506" s="50" t="str">
        <f aca="false">VLOOKUP($B506,03_COMPOSIÇÕES!$A:$G,2,0)</f>
        <v>TE, PVC, SÉRIE NORMAL, ESGOTO PREDIAL, DN 100 X 75 MM, JUNTA ELÁSTICA, FORNECIDO E INSTALADO EM PRUMADA DE ESGOTO SANITÁRIO OU VENTILAÇÃO. AF_08/2022</v>
      </c>
      <c r="D506" s="45" t="s">
        <v>59</v>
      </c>
      <c r="E506" s="51" t="str">
        <f aca="false">VLOOKUP($B506,03_COMPOSIÇÕES!$A:$G,4,0)</f>
        <v>UN</v>
      </c>
      <c r="F506" s="46" t="n">
        <v>1</v>
      </c>
      <c r="G506" s="51" t="n">
        <f aca="false">VLOOKUP($B506,03_COMPOSIÇÕES!$A:$G,6,0)</f>
        <v>36.626008</v>
      </c>
      <c r="H506" s="52" t="n">
        <f aca="false">VLOOKUP($B506,03_COMPOSIÇÕES!$A:$G,7,0)</f>
        <v>8.48300243256</v>
      </c>
      <c r="I506" s="47" t="n">
        <f aca="false">$F506*$G506</f>
        <v>36.626008</v>
      </c>
      <c r="J506" s="47" t="n">
        <f aca="false">$F506*$H506</f>
        <v>8.48300243256</v>
      </c>
      <c r="K506" s="47" t="n">
        <f aca="false">$I506*(1+BDI_MAT)</f>
        <v>44.1782908496</v>
      </c>
      <c r="L506" s="47" t="n">
        <f aca="false">$J506*(1+BDI_MDO)</f>
        <v>10.8149798012707</v>
      </c>
      <c r="M506" s="47" t="n">
        <f aca="false">SUM(K506:L506)</f>
        <v>54.9932706508707</v>
      </c>
      <c r="N506" s="20" t="str">
        <f aca="false">A506</f>
        <v>11.2.3.31</v>
      </c>
    </row>
    <row r="507" customFormat="false" ht="45" hidden="false" customHeight="false" outlineLevel="2" collapsed="false">
      <c r="A507" s="42" t="s">
        <v>737</v>
      </c>
      <c r="B507" s="43" t="n">
        <v>89825</v>
      </c>
      <c r="C507" s="50" t="str">
        <f aca="false">VLOOKUP($B507,03_COMPOSIÇÕES!$A:$G,2,0)</f>
        <v>TE, PVC, SERIE NORMAL, ESGOTO PREDIAL, DN 50 X 50 MM, JUNTA ELÁSTICA, FORNECIDO E INSTALADO EM PRUMADA DE ESGOTO SANITÁRIO OU VENTILAÇÃO. AF_08/2022</v>
      </c>
      <c r="D507" s="45" t="s">
        <v>59</v>
      </c>
      <c r="E507" s="51" t="str">
        <f aca="false">VLOOKUP($B507,03_COMPOSIÇÕES!$A:$G,4,0)</f>
        <v>UN</v>
      </c>
      <c r="F507" s="46" t="n">
        <v>21</v>
      </c>
      <c r="G507" s="51" t="n">
        <f aca="false">VLOOKUP($B507,03_COMPOSIÇÕES!$A:$G,6,0)</f>
        <v>15.630004</v>
      </c>
      <c r="H507" s="52" t="n">
        <f aca="false">VLOOKUP($B507,03_COMPOSIÇÕES!$A:$G,7,0)</f>
        <v>1.55754604728</v>
      </c>
      <c r="I507" s="47" t="n">
        <f aca="false">$F507*$G507</f>
        <v>328.230084</v>
      </c>
      <c r="J507" s="47" t="n">
        <f aca="false">$F507*$H507</f>
        <v>32.70846699288</v>
      </c>
      <c r="K507" s="47" t="n">
        <f aca="false">$I507*(1+BDI_MAT)</f>
        <v>395.9111273208</v>
      </c>
      <c r="L507" s="47" t="n">
        <f aca="false">$J507*(1+BDI_MDO)</f>
        <v>41.7000245692227</v>
      </c>
      <c r="M507" s="47" t="n">
        <f aca="false">SUM(K507:L507)</f>
        <v>437.611151890023</v>
      </c>
      <c r="N507" s="20" t="str">
        <f aca="false">A507</f>
        <v>11.2.3.32</v>
      </c>
    </row>
    <row r="508" customFormat="false" ht="45" hidden="false" customHeight="false" outlineLevel="2" collapsed="false">
      <c r="A508" s="42" t="s">
        <v>738</v>
      </c>
      <c r="B508" s="43" t="s">
        <v>739</v>
      </c>
      <c r="C508" s="50" t="str">
        <f aca="false">VLOOKUP($B508,03_COMPOSIÇÕES!$A:$G,2,0)</f>
        <v>TE, PVC, SERIE NORMAL, ESGOTO PREDIAL, DN 75 X 50 MM, JUNTA ELÁSTICA, FORNECIDO E INSTALADO EM PRUMADA DE ESGOTO SANITÁRIO OU VENTILAÇÃO.</v>
      </c>
      <c r="D508" s="45" t="s">
        <v>59</v>
      </c>
      <c r="E508" s="51" t="str">
        <f aca="false">VLOOKUP($B508,03_COMPOSIÇÕES!$A:$G,4,0)</f>
        <v>UN</v>
      </c>
      <c r="F508" s="46" t="n">
        <v>5</v>
      </c>
      <c r="G508" s="51" t="n">
        <f aca="false">VLOOKUP($B508,03_COMPOSIÇÕES!$A:$G,6,0)</f>
        <v>28.3027746666667</v>
      </c>
      <c r="H508" s="52" t="n">
        <f aca="false">VLOOKUP($B508,03_COMPOSIÇÕES!$A:$G,7,0)</f>
        <v>5.71213823904</v>
      </c>
      <c r="I508" s="47" t="n">
        <f aca="false">$F508*$G508</f>
        <v>141.513873333333</v>
      </c>
      <c r="J508" s="47" t="n">
        <f aca="false">$F508*$H508</f>
        <v>28.5606911952</v>
      </c>
      <c r="K508" s="47" t="n">
        <f aca="false">$I508*(1+BDI_MAT)</f>
        <v>170.694034014667</v>
      </c>
      <c r="L508" s="47" t="n">
        <f aca="false">$J508*(1+BDI_MDO)</f>
        <v>36.4120252047605</v>
      </c>
      <c r="M508" s="47" t="n">
        <f aca="false">SUM(K508:L508)</f>
        <v>207.106059219427</v>
      </c>
      <c r="N508" s="20" t="str">
        <f aca="false">A508</f>
        <v>11.2.3.33</v>
      </c>
    </row>
    <row r="509" customFormat="false" ht="15" hidden="false" customHeight="false" outlineLevel="1" collapsed="false">
      <c r="A509" s="42" t="s">
        <v>740</v>
      </c>
      <c r="B509" s="43"/>
      <c r="C509" s="50" t="s">
        <v>741</v>
      </c>
      <c r="D509" s="45"/>
      <c r="E509" s="44"/>
      <c r="F509" s="46"/>
      <c r="G509" s="51"/>
      <c r="H509" s="52"/>
      <c r="I509" s="47" t="n">
        <f aca="false">SUM(I510,I521)</f>
        <v>1531.15241035232</v>
      </c>
      <c r="J509" s="47" t="n">
        <f aca="false">SUM(J510,J521)</f>
        <v>739.008833733957</v>
      </c>
      <c r="K509" s="47" t="n">
        <f aca="false">SUM(K510,K521)</f>
        <v>1846.87603736697</v>
      </c>
      <c r="L509" s="47" t="n">
        <f aca="false">SUM(L510,L521)</f>
        <v>942.162362127421</v>
      </c>
      <c r="M509" s="47" t="n">
        <f aca="false">SUM(M510,M521)</f>
        <v>2789.03839949439</v>
      </c>
      <c r="N509" s="20" t="str">
        <f aca="false">A509</f>
        <v>11.3</v>
      </c>
    </row>
    <row r="510" customFormat="false" ht="15" hidden="false" customHeight="false" outlineLevel="2" collapsed="false">
      <c r="A510" s="42" t="s">
        <v>742</v>
      </c>
      <c r="B510" s="43"/>
      <c r="C510" s="50" t="s">
        <v>699</v>
      </c>
      <c r="D510" s="45"/>
      <c r="E510" s="44"/>
      <c r="F510" s="46"/>
      <c r="G510" s="51"/>
      <c r="H510" s="52"/>
      <c r="I510" s="47" t="n">
        <f aca="false">SUBTOTAL(9,I511:I520)</f>
        <v>1316.4333905</v>
      </c>
      <c r="J510" s="47" t="n">
        <f aca="false">SUBTOTAL(9,J511:J520)</f>
        <v>722.625022324224</v>
      </c>
      <c r="K510" s="47" t="n">
        <f aca="false">SUBTOTAL(9,K511:K520)</f>
        <v>1587.8819556211</v>
      </c>
      <c r="L510" s="47" t="n">
        <f aca="false">SUBTOTAL(9,L511:L520)</f>
        <v>921.274640961153</v>
      </c>
      <c r="M510" s="47" t="n">
        <f aca="false">SUBTOTAL(9,M511:M520)</f>
        <v>2509.15659658225</v>
      </c>
      <c r="N510" s="20" t="str">
        <f aca="false">A510</f>
        <v>11.3.1</v>
      </c>
    </row>
    <row r="511" customFormat="false" ht="45" hidden="false" customHeight="false" outlineLevel="3" collapsed="false">
      <c r="A511" s="42" t="s">
        <v>743</v>
      </c>
      <c r="B511" s="43" t="n">
        <v>89803</v>
      </c>
      <c r="C511" s="50" t="str">
        <f aca="false">VLOOKUP($B511,03_COMPOSIÇÕES!$A:$G,2,0)</f>
        <v>CURVA CURTA 90 GRAUS, PVC, SERIE NORMAL, ESGOTO PREDIAL, DN 50 MM, JUNTA ELÁSTICA, FORNECIDO E INSTALADO EM PRUMADA DE ESGOTO SANITÁRIO OU VENTILAÇÃO. AF_08/2022</v>
      </c>
      <c r="D511" s="45" t="s">
        <v>59</v>
      </c>
      <c r="E511" s="51" t="str">
        <f aca="false">VLOOKUP($B511,03_COMPOSIÇÕES!$A:$G,4,0)</f>
        <v>UN</v>
      </c>
      <c r="F511" s="46" t="n">
        <v>4</v>
      </c>
      <c r="G511" s="51" t="n">
        <f aca="false">VLOOKUP($B511,03_COMPOSIÇÕES!$A:$G,6,0)</f>
        <v>17.295078</v>
      </c>
      <c r="H511" s="52" t="n">
        <f aca="false">VLOOKUP($B511,03_COMPOSIÇÕES!$A:$G,7,0)</f>
        <v>1.16901158472</v>
      </c>
      <c r="I511" s="47" t="n">
        <f aca="false">$F511*$G511</f>
        <v>69.180312</v>
      </c>
      <c r="J511" s="47" t="n">
        <f aca="false">$F511*$H511</f>
        <v>4.67604633888</v>
      </c>
      <c r="K511" s="47" t="n">
        <f aca="false">$I511*(1+BDI_MAT)</f>
        <v>83.4452923344</v>
      </c>
      <c r="L511" s="47" t="n">
        <f aca="false">$J511*(1+BDI_MDO)</f>
        <v>5.96149147743811</v>
      </c>
      <c r="M511" s="47" t="n">
        <f aca="false">SUM(K511:L511)</f>
        <v>89.4067838118381</v>
      </c>
      <c r="N511" s="20" t="str">
        <f aca="false">A511</f>
        <v>11.3.1.1</v>
      </c>
    </row>
    <row r="512" customFormat="false" ht="45" hidden="false" customHeight="false" outlineLevel="3" collapsed="false">
      <c r="A512" s="42" t="s">
        <v>744</v>
      </c>
      <c r="B512" s="43" t="n">
        <v>89746</v>
      </c>
      <c r="C512" s="50" t="str">
        <f aca="false">VLOOKUP($B512,03_COMPOSIÇÕES!$A:$G,2,0)</f>
        <v>JOELHO 45 GRAUS, PVC, SERIE NORMAL, ESGOTO PREDIAL, DN 100 MM, JUNTA ELÁSTICA, FORNECIDO E INSTALADO EM RAMAL DE DESCARGA OU RAMAL DE ESGOTO SANITÁRIO. AF_08/2022</v>
      </c>
      <c r="D512" s="45" t="s">
        <v>59</v>
      </c>
      <c r="E512" s="51" t="str">
        <f aca="false">VLOOKUP($B512,03_COMPOSIÇÕES!$A:$G,4,0)</f>
        <v>UN</v>
      </c>
      <c r="F512" s="46" t="n">
        <v>1</v>
      </c>
      <c r="G512" s="51" t="n">
        <f aca="false">VLOOKUP($B512,03_COMPOSIÇÕES!$A:$G,6,0)</f>
        <v>20.921796</v>
      </c>
      <c r="H512" s="52" t="n">
        <f aca="false">VLOOKUP($B512,03_COMPOSIÇÕES!$A:$G,7,0)</f>
        <v>6.56418749904</v>
      </c>
      <c r="I512" s="47" t="n">
        <f aca="false">$F512*$G512</f>
        <v>20.921796</v>
      </c>
      <c r="J512" s="47" t="n">
        <f aca="false">$F512*$H512</f>
        <v>6.56418749904</v>
      </c>
      <c r="K512" s="47" t="n">
        <f aca="false">$I512*(1+BDI_MAT)</f>
        <v>25.2358703352</v>
      </c>
      <c r="L512" s="47" t="n">
        <f aca="false">$J512*(1+BDI_MDO)</f>
        <v>8.3686826425261</v>
      </c>
      <c r="M512" s="47" t="n">
        <f aca="false">SUM(K512:L512)</f>
        <v>33.6045529777261</v>
      </c>
      <c r="N512" s="20" t="str">
        <f aca="false">A512</f>
        <v>11.3.1.2</v>
      </c>
    </row>
    <row r="513" customFormat="false" ht="45" hidden="false" customHeight="false" outlineLevel="3" collapsed="false">
      <c r="A513" s="42" t="s">
        <v>745</v>
      </c>
      <c r="B513" s="43" t="n">
        <v>89732</v>
      </c>
      <c r="C513" s="50" t="str">
        <f aca="false">VLOOKUP($B513,03_COMPOSIÇÕES!$A:$G,2,0)</f>
        <v>JOELHO 45 GRAUS, PVC, SERIE NORMAL, ESGOTO PREDIAL, DN 50 MM, JUNTA ELÁSTICA, FORNECIDO E INSTALADO EM RAMAL DE DESCARGA OU RAMAL DE ESGOTO SANITÁRIO. AF_08/2022</v>
      </c>
      <c r="D513" s="45" t="s">
        <v>59</v>
      </c>
      <c r="E513" s="51" t="str">
        <f aca="false">VLOOKUP($B513,03_COMPOSIÇÕES!$A:$G,4,0)</f>
        <v>UN</v>
      </c>
      <c r="F513" s="46" t="n">
        <v>5</v>
      </c>
      <c r="G513" s="51" t="n">
        <f aca="false">VLOOKUP($B513,03_COMPOSIÇÕES!$A:$G,6,0)</f>
        <v>10.209594</v>
      </c>
      <c r="H513" s="52" t="n">
        <f aca="false">VLOOKUP($B513,03_COMPOSIÇÕES!$A:$G,7,0)</f>
        <v>4.69990371816</v>
      </c>
      <c r="I513" s="47" t="n">
        <f aca="false">$F513*$G513</f>
        <v>51.04797</v>
      </c>
      <c r="J513" s="47" t="n">
        <f aca="false">$F513*$H513</f>
        <v>23.4995185908</v>
      </c>
      <c r="K513" s="47" t="n">
        <f aca="false">$I513*(1+BDI_MAT)</f>
        <v>61.574061414</v>
      </c>
      <c r="L513" s="47" t="n">
        <f aca="false">$J513*(1+BDI_MDO)</f>
        <v>29.9595362514109</v>
      </c>
      <c r="M513" s="47" t="n">
        <f aca="false">SUM(K513:L513)</f>
        <v>91.5335976654109</v>
      </c>
      <c r="N513" s="20" t="str">
        <f aca="false">A513</f>
        <v>11.3.1.3</v>
      </c>
    </row>
    <row r="514" customFormat="false" ht="45" hidden="false" customHeight="false" outlineLevel="3" collapsed="false">
      <c r="A514" s="42" t="s">
        <v>746</v>
      </c>
      <c r="B514" s="43" t="n">
        <v>89744</v>
      </c>
      <c r="C514" s="50" t="str">
        <f aca="false">VLOOKUP($B514,03_COMPOSIÇÕES!$A:$G,2,0)</f>
        <v>JOELHO 90 GRAUS, PVC, SERIE NORMAL, ESGOTO PREDIAL, DN 100 MM, JUNTA ELÁSTICA, FORNECIDO E INSTALADO EM RAMAL DE DESCARGA OU RAMAL DE ESGOTO SANITÁRIO. AF_08/2022</v>
      </c>
      <c r="D514" s="45" t="s">
        <v>59</v>
      </c>
      <c r="E514" s="51" t="str">
        <f aca="false">VLOOKUP($B514,03_COMPOSIÇÕES!$A:$G,4,0)</f>
        <v>UN</v>
      </c>
      <c r="F514" s="46" t="n">
        <v>1</v>
      </c>
      <c r="G514" s="51" t="n">
        <f aca="false">VLOOKUP($B514,03_COMPOSIÇÕES!$A:$G,6,0)</f>
        <v>19.916236</v>
      </c>
      <c r="H514" s="52" t="n">
        <f aca="false">VLOOKUP($B514,03_COMPOSIÇÕES!$A:$G,7,0)</f>
        <v>6.56418749904</v>
      </c>
      <c r="I514" s="47" t="n">
        <f aca="false">$F514*$G514</f>
        <v>19.916236</v>
      </c>
      <c r="J514" s="47" t="n">
        <f aca="false">$F514*$H514</f>
        <v>6.56418749904</v>
      </c>
      <c r="K514" s="47" t="n">
        <f aca="false">$I514*(1+BDI_MAT)</f>
        <v>24.0229638632</v>
      </c>
      <c r="L514" s="47" t="n">
        <f aca="false">$J514*(1+BDI_MDO)</f>
        <v>8.3686826425261</v>
      </c>
      <c r="M514" s="47" t="n">
        <f aca="false">SUM(K514:L514)</f>
        <v>32.3916465057261</v>
      </c>
      <c r="N514" s="20" t="str">
        <f aca="false">A514</f>
        <v>11.3.1.4</v>
      </c>
    </row>
    <row r="515" customFormat="false" ht="45" hidden="false" customHeight="false" outlineLevel="3" collapsed="false">
      <c r="A515" s="42" t="s">
        <v>747</v>
      </c>
      <c r="B515" s="43" t="n">
        <v>89731</v>
      </c>
      <c r="C515" s="50" t="str">
        <f aca="false">VLOOKUP($B515,03_COMPOSIÇÕES!$A:$G,2,0)</f>
        <v>JOELHO 90 GRAUS, PVC, SERIE NORMAL, ESGOTO PREDIAL, DN 50 MM, JUNTA ELÁSTICA, FORNECIDO E INSTALADO EM RAMAL DE DESCARGA OU RAMAL DE ESGOTO SANITÁRIO. AF_08/2022</v>
      </c>
      <c r="D515" s="45" t="s">
        <v>59</v>
      </c>
      <c r="E515" s="51" t="str">
        <f aca="false">VLOOKUP($B515,03_COMPOSIÇÕES!$A:$G,4,0)</f>
        <v>UN</v>
      </c>
      <c r="F515" s="46" t="n">
        <v>21</v>
      </c>
      <c r="G515" s="51" t="n">
        <f aca="false">VLOOKUP($B515,03_COMPOSIÇÕES!$A:$G,6,0)</f>
        <v>9.73849</v>
      </c>
      <c r="H515" s="52" t="n">
        <f aca="false">VLOOKUP($B515,03_COMPOSIÇÕES!$A:$G,7,0)</f>
        <v>4.69990371816</v>
      </c>
      <c r="I515" s="47" t="n">
        <f aca="false">$F515*$G515</f>
        <v>204.50829</v>
      </c>
      <c r="J515" s="47" t="n">
        <f aca="false">$F515*$H515</f>
        <v>98.69797808136</v>
      </c>
      <c r="K515" s="47" t="n">
        <f aca="false">$I515*(1+BDI_MAT)</f>
        <v>246.677899398</v>
      </c>
      <c r="L515" s="47" t="n">
        <f aca="false">$J515*(1+BDI_MDO)</f>
        <v>125.830052255926</v>
      </c>
      <c r="M515" s="47" t="n">
        <f aca="false">SUM(K515:L515)</f>
        <v>372.507951653926</v>
      </c>
      <c r="N515" s="20" t="str">
        <f aca="false">A515</f>
        <v>11.3.1.5</v>
      </c>
    </row>
    <row r="516" customFormat="false" ht="45" hidden="false" customHeight="false" outlineLevel="3" collapsed="false">
      <c r="A516" s="42" t="s">
        <v>748</v>
      </c>
      <c r="B516" s="43" t="n">
        <v>89778</v>
      </c>
      <c r="C516" s="50" t="str">
        <f aca="false">VLOOKUP($B516,03_COMPOSIÇÕES!$A:$G,2,0)</f>
        <v>LUVA SIMPLES, PVC, SERIE NORMAL, ESGOTO PREDIAL, DN 100 MM, JUNTA ELÁSTICA, FORNECIDO E INSTALADO EM RAMAL DE DESCARGA OU RAMAL DE ESGOTO SANITÁRIO. AF_08/2022</v>
      </c>
      <c r="D516" s="45" t="s">
        <v>59</v>
      </c>
      <c r="E516" s="51" t="str">
        <f aca="false">VLOOKUP($B516,03_COMPOSIÇÕES!$A:$G,4,0)</f>
        <v>UN</v>
      </c>
      <c r="F516" s="46" t="n">
        <v>5</v>
      </c>
      <c r="G516" s="51" t="n">
        <f aca="false">VLOOKUP($B516,03_COMPOSIÇÕES!$A:$G,6,0)</f>
        <v>13.128915</v>
      </c>
      <c r="H516" s="52" t="n">
        <f aca="false">VLOOKUP($B516,03_COMPOSIÇÕES!$A:$G,7,0)</f>
        <v>4.37612499936</v>
      </c>
      <c r="I516" s="47" t="n">
        <f aca="false">$F516*$G516</f>
        <v>65.644575</v>
      </c>
      <c r="J516" s="47" t="n">
        <f aca="false">$F516*$H516</f>
        <v>21.8806249968</v>
      </c>
      <c r="K516" s="47" t="n">
        <f aca="false">$I516*(1+BDI_MAT)</f>
        <v>79.180486365</v>
      </c>
      <c r="L516" s="47" t="n">
        <f aca="false">$J516*(1+BDI_MDO)</f>
        <v>27.8956088084203</v>
      </c>
      <c r="M516" s="47" t="n">
        <f aca="false">SUM(K516:L516)</f>
        <v>107.07609517342</v>
      </c>
      <c r="N516" s="20" t="str">
        <f aca="false">A516</f>
        <v>11.3.1.6</v>
      </c>
    </row>
    <row r="517" customFormat="false" ht="45" hidden="false" customHeight="false" outlineLevel="3" collapsed="false">
      <c r="A517" s="42" t="s">
        <v>749</v>
      </c>
      <c r="B517" s="43" t="n">
        <v>89813</v>
      </c>
      <c r="C517" s="50" t="str">
        <f aca="false">VLOOKUP($B517,03_COMPOSIÇÕES!$A:$G,2,0)</f>
        <v>LUVA SIMPLES, PVC, SERIE NORMAL, ESGOTO PREDIAL, DN 50 MM, JUNTA ELÁSTICA, FORNECIDO E INSTALADO EM PRUMADA DE ESGOTO SANITÁRIO OU VENTILAÇÃO. AF_08/2022</v>
      </c>
      <c r="D517" s="45" t="s">
        <v>59</v>
      </c>
      <c r="E517" s="51" t="str">
        <f aca="false">VLOOKUP($B517,03_COMPOSIÇÕES!$A:$G,4,0)</f>
        <v>UN</v>
      </c>
      <c r="F517" s="46" t="n">
        <v>12</v>
      </c>
      <c r="G517" s="51" t="n">
        <f aca="false">VLOOKUP($B517,03_COMPOSIÇÕES!$A:$G,6,0)</f>
        <v>1.578773</v>
      </c>
      <c r="H517" s="52" t="n">
        <f aca="false">VLOOKUP($B517,03_COMPOSIÇÕES!$A:$G,7,0)</f>
        <v>0.77706892512</v>
      </c>
      <c r="I517" s="47" t="n">
        <f aca="false">$F517*$G517</f>
        <v>18.945276</v>
      </c>
      <c r="J517" s="47" t="n">
        <f aca="false">$F517*$H517</f>
        <v>9.32482710144</v>
      </c>
      <c r="K517" s="47" t="n">
        <f aca="false">$I517*(1+BDI_MAT)</f>
        <v>22.8517919112</v>
      </c>
      <c r="L517" s="47" t="n">
        <f aca="false">$J517*(1+BDI_MDO)</f>
        <v>11.8882220716259</v>
      </c>
      <c r="M517" s="47" t="n">
        <f aca="false">SUM(K517:L517)</f>
        <v>34.7400139828259</v>
      </c>
      <c r="N517" s="20" t="str">
        <f aca="false">A517</f>
        <v>11.3.1.7</v>
      </c>
    </row>
    <row r="518" customFormat="false" ht="45" hidden="false" customHeight="false" outlineLevel="3" collapsed="false">
      <c r="A518" s="42" t="s">
        <v>750</v>
      </c>
      <c r="B518" s="43" t="s">
        <v>727</v>
      </c>
      <c r="C518" s="50" t="str">
        <f aca="false">VLOOKUP($B518,03_COMPOSIÇÕES!$A:$G,2,0)</f>
        <v>REDUÇÃO EXCÊNTRICA, PVC, SERIE NORMAL, ESGOTO, DN 100 X 50 MM, JUNTA ELÁSTICA, FORNECIDO E INSTALADO EM PRUMADA DE ESGOTO SANITÁRIO OU VENTILAÇÃO.</v>
      </c>
      <c r="D518" s="45" t="s">
        <v>59</v>
      </c>
      <c r="E518" s="51" t="str">
        <f aca="false">VLOOKUP($B518,03_COMPOSIÇÕES!$A:$G,4,0)</f>
        <v>UN</v>
      </c>
      <c r="F518" s="46" t="n">
        <v>3</v>
      </c>
      <c r="G518" s="51" t="n">
        <f aca="false">VLOOKUP($B518,03_COMPOSIÇÕES!$A:$G,6,0)</f>
        <v>14.723196</v>
      </c>
      <c r="H518" s="52" t="n">
        <f aca="false">VLOOKUP($B518,03_COMPOSIÇÕES!$A:$G,7,0)</f>
        <v>2.53229040072</v>
      </c>
      <c r="I518" s="47" t="n">
        <f aca="false">$F518*$G518</f>
        <v>44.169588</v>
      </c>
      <c r="J518" s="47" t="n">
        <f aca="false">$F518*$H518</f>
        <v>7.59687120216</v>
      </c>
      <c r="K518" s="47" t="n">
        <f aca="false">$I518*(1+BDI_MAT)</f>
        <v>53.2773570456</v>
      </c>
      <c r="L518" s="47" t="n">
        <f aca="false">$J518*(1+BDI_MDO)</f>
        <v>9.68525109563378</v>
      </c>
      <c r="M518" s="47" t="n">
        <f aca="false">SUM(K518:L518)</f>
        <v>62.9626081412338</v>
      </c>
      <c r="N518" s="20" t="str">
        <f aca="false">A518</f>
        <v>11.3.1.8</v>
      </c>
    </row>
    <row r="519" customFormat="false" ht="45" hidden="false" customHeight="false" outlineLevel="3" collapsed="false">
      <c r="A519" s="42" t="s">
        <v>751</v>
      </c>
      <c r="B519" s="43" t="n">
        <v>89714</v>
      </c>
      <c r="C519" s="50" t="str">
        <f aca="false">VLOOKUP($B519,03_COMPOSIÇÕES!$A:$G,2,0)</f>
        <v>TUBO PVC, SERIE NORMAL, ESGOTO PREDIAL, DN 100 MM, FORNECIDO E INSTALADO EM RAMAL DE DESCARGA OU RAMAL DE ESGOTO SANITÁRIO. AF_08/2022</v>
      </c>
      <c r="D519" s="45" t="s">
        <v>59</v>
      </c>
      <c r="E519" s="51" t="str">
        <f aca="false">VLOOKUP($B519,03_COMPOSIÇÕES!$A:$G,4,0)</f>
        <v>M</v>
      </c>
      <c r="F519" s="46" t="n">
        <v>10.2</v>
      </c>
      <c r="G519" s="51" t="n">
        <f aca="false">VLOOKUP($B519,03_COMPOSIÇÕES!$A:$G,6,0)</f>
        <v>22.794713</v>
      </c>
      <c r="H519" s="52" t="n">
        <f aca="false">VLOOKUP($B519,03_COMPOSIÇÕES!$A:$G,7,0)</f>
        <v>15.14602764576</v>
      </c>
      <c r="I519" s="47" t="n">
        <f aca="false">$F519*$G519</f>
        <v>232.5060726</v>
      </c>
      <c r="J519" s="47" t="n">
        <f aca="false">$F519*$H519</f>
        <v>154.489481986752</v>
      </c>
      <c r="K519" s="47" t="n">
        <f aca="false">$I519*(1+BDI_MAT)</f>
        <v>280.44882477012</v>
      </c>
      <c r="L519" s="47" t="n">
        <f aca="false">$J519*(1+BDI_MDO)</f>
        <v>196.95864058491</v>
      </c>
      <c r="M519" s="47" t="n">
        <f aca="false">SUM(K519:L519)</f>
        <v>477.40746535503</v>
      </c>
      <c r="N519" s="20" t="str">
        <f aca="false">A519</f>
        <v>11.3.1.9</v>
      </c>
    </row>
    <row r="520" customFormat="false" ht="45" hidden="false" customHeight="false" outlineLevel="3" collapsed="false">
      <c r="A520" s="42" t="s">
        <v>752</v>
      </c>
      <c r="B520" s="43" t="n">
        <v>89712</v>
      </c>
      <c r="C520" s="50" t="str">
        <f aca="false">VLOOKUP($B520,03_COMPOSIÇÕES!$A:$G,2,0)</f>
        <v>TUBO PVC, SERIE NORMAL, ESGOTO PREDIAL, DN 50 MM, FORNECIDO E INSTALADO EM RAMAL DE DESCARGA OU RAMAL DE ESGOTO SANITÁRIO. AF_08/2022</v>
      </c>
      <c r="D520" s="45" t="s">
        <v>59</v>
      </c>
      <c r="E520" s="51" t="str">
        <f aca="false">VLOOKUP($B520,03_COMPOSIÇÕES!$A:$G,4,0)</f>
        <v>M</v>
      </c>
      <c r="F520" s="46" t="n">
        <v>35.9</v>
      </c>
      <c r="G520" s="51" t="n">
        <f aca="false">VLOOKUP($B520,03_COMPOSIÇÕES!$A:$G,6,0)</f>
        <v>16.423211</v>
      </c>
      <c r="H520" s="52" t="n">
        <f aca="false">VLOOKUP($B520,03_COMPOSIÇÕES!$A:$G,7,0)</f>
        <v>10.84488298128</v>
      </c>
      <c r="I520" s="47" t="n">
        <f aca="false">$F520*$G520</f>
        <v>589.5932749</v>
      </c>
      <c r="J520" s="47" t="n">
        <f aca="false">$F520*$H520</f>
        <v>389.331299027952</v>
      </c>
      <c r="K520" s="47" t="n">
        <f aca="false">$I520*(1+BDI_MAT)</f>
        <v>711.16740818438</v>
      </c>
      <c r="L520" s="47" t="n">
        <f aca="false">$J520*(1+BDI_MDO)</f>
        <v>496.358473130736</v>
      </c>
      <c r="M520" s="47" t="n">
        <f aca="false">SUM(K520:L520)</f>
        <v>1207.52588131512</v>
      </c>
      <c r="N520" s="20" t="str">
        <f aca="false">A520</f>
        <v>11.3.1.10</v>
      </c>
    </row>
    <row r="521" customFormat="false" ht="15" hidden="false" customHeight="false" outlineLevel="2" collapsed="false">
      <c r="A521" s="42" t="s">
        <v>753</v>
      </c>
      <c r="B521" s="43"/>
      <c r="C521" s="50" t="s">
        <v>754</v>
      </c>
      <c r="D521" s="45"/>
      <c r="E521" s="44"/>
      <c r="F521" s="46"/>
      <c r="G521" s="51"/>
      <c r="H521" s="52"/>
      <c r="I521" s="47" t="n">
        <f aca="false">SUBTOTAL(9,I522:I525)</f>
        <v>214.719019852322</v>
      </c>
      <c r="J521" s="47" t="n">
        <f aca="false">SUBTOTAL(9,J522:J525)</f>
        <v>16.3838114097327</v>
      </c>
      <c r="K521" s="47" t="n">
        <f aca="false">SUBTOTAL(9,K522:K525)</f>
        <v>258.994081745871</v>
      </c>
      <c r="L521" s="47" t="n">
        <f aca="false">SUBTOTAL(9,L522:L525)</f>
        <v>20.8877211662682</v>
      </c>
      <c r="M521" s="47" t="n">
        <f aca="false">SUBTOTAL(9,M522:M525)</f>
        <v>279.881802912139</v>
      </c>
      <c r="N521" s="20" t="str">
        <f aca="false">A521</f>
        <v>11.3.2</v>
      </c>
    </row>
    <row r="522" customFormat="false" ht="45" hidden="false" customHeight="false" outlineLevel="2" collapsed="false">
      <c r="A522" s="42" t="s">
        <v>755</v>
      </c>
      <c r="B522" s="43" t="n">
        <v>98102</v>
      </c>
      <c r="C522" s="50" t="str">
        <f aca="false">VLOOKUP($B522,03_COMPOSIÇÕES!$A:$G,2,0)</f>
        <v>CAIXA DE GORDURA SIMPLES, CIRCULAR, EM CONCRETO PRÉ-MOLDADO, DIÂMETRO INTERNO = 0,4 M, ALTURA INTERNA = 0,4 M. AF_12/2020</v>
      </c>
      <c r="D522" s="45" t="s">
        <v>59</v>
      </c>
      <c r="E522" s="51" t="str">
        <f aca="false">VLOOKUP($B522,03_COMPOSIÇÕES!$A:$G,4,0)</f>
        <v>UN</v>
      </c>
      <c r="F522" s="46" t="n">
        <v>1</v>
      </c>
      <c r="G522" s="51" t="n">
        <f aca="false">VLOOKUP($B522,03_COMPOSIÇÕES!$A:$G,6,0)</f>
        <v>181.923362892444</v>
      </c>
      <c r="H522" s="52" t="n">
        <f aca="false">VLOOKUP($B522,03_COMPOSIÇÕES!$A:$G,7,0)</f>
        <v>2.65887336845146</v>
      </c>
      <c r="I522" s="47" t="n">
        <f aca="false">$F522*$G522</f>
        <v>181.923362892444</v>
      </c>
      <c r="J522" s="47" t="n">
        <f aca="false">$F522*$H522</f>
        <v>2.65887336845146</v>
      </c>
      <c r="K522" s="47" t="n">
        <f aca="false">$I522*(1+BDI_MAT)</f>
        <v>219.435960320866</v>
      </c>
      <c r="L522" s="47" t="n">
        <f aca="false">$J522*(1+BDI_MDO)</f>
        <v>3.38979765743876</v>
      </c>
      <c r="M522" s="47" t="n">
        <f aca="false">SUM(K522:L522)</f>
        <v>222.825757978305</v>
      </c>
      <c r="N522" s="20" t="str">
        <f aca="false">A522</f>
        <v>11.3.2.1</v>
      </c>
    </row>
    <row r="523" customFormat="false" ht="60" hidden="false" customHeight="false" outlineLevel="2" collapsed="false">
      <c r="A523" s="42" t="s">
        <v>756</v>
      </c>
      <c r="B523" s="43" t="n">
        <v>90091</v>
      </c>
      <c r="C523" s="50" t="str">
        <f aca="false">VLOOKUP($B523,03_COMPOSIÇÕES!$A:$G,2,0)</f>
        <v>ESCAVAÇÃO MECANIZADA DE VALA COM PROF. ATÉ 1,5 M (MÉDIA MONTANTE E JUSANTE/UMA COMPOSIÇÃO POR TRECHO), ESCAVADEIRA (0,8 M3), LARG. DE 1,5 M A 2,5 M, EM SOLO DE 1A CATEGORIA, LOCAIS COM BAIXO NÍVEL DE INTERFERÊNCIA. AF_09/2024</v>
      </c>
      <c r="D523" s="45" t="s">
        <v>59</v>
      </c>
      <c r="E523" s="51" t="str">
        <f aca="false">VLOOKUP($B523,03_COMPOSIÇÕES!$A:$G,4,0)</f>
        <v>M3</v>
      </c>
      <c r="F523" s="46" t="n">
        <v>0.5</v>
      </c>
      <c r="G523" s="51" t="n">
        <f aca="false">VLOOKUP($B523,03_COMPOSIÇÕES!$A:$G,6,0)</f>
        <v>4.825260172</v>
      </c>
      <c r="H523" s="52" t="n">
        <f aca="false">VLOOKUP($B523,03_COMPOSIÇÕES!$A:$G,7,0)</f>
        <v>1.12043945316084</v>
      </c>
      <c r="I523" s="47" t="n">
        <f aca="false">$F523*$G523</f>
        <v>2.412630086</v>
      </c>
      <c r="J523" s="47" t="n">
        <f aca="false">$F523*$H523</f>
        <v>0.56021972658042</v>
      </c>
      <c r="K523" s="47" t="n">
        <f aca="false">$I523*(1+BDI_MAT)</f>
        <v>2.9101144097332</v>
      </c>
      <c r="L523" s="47" t="n">
        <f aca="false">$J523*(1+BDI_MDO)</f>
        <v>0.714224129417378</v>
      </c>
      <c r="M523" s="47" t="n">
        <f aca="false">SUM(K523:L523)</f>
        <v>3.62433853915058</v>
      </c>
      <c r="N523" s="20" t="str">
        <f aca="false">A523</f>
        <v>11.3.2.2</v>
      </c>
    </row>
    <row r="524" customFormat="false" ht="30" hidden="false" customHeight="false" outlineLevel="2" collapsed="false">
      <c r="A524" s="42" t="s">
        <v>757</v>
      </c>
      <c r="B524" s="43" t="n">
        <v>93382</v>
      </c>
      <c r="C524" s="50" t="str">
        <f aca="false">VLOOKUP($B524,03_COMPOSIÇÕES!$A:$G,2,0)</f>
        <v>REATERRO MANUAL DE VALAS, COM COMPACTADOR DE SOLOS DE PERCUSSÃO. AF_08/2023</v>
      </c>
      <c r="D524" s="45" t="s">
        <v>59</v>
      </c>
      <c r="E524" s="51" t="str">
        <f aca="false">VLOOKUP($B524,03_COMPOSIÇÕES!$A:$G,4,0)</f>
        <v>M3</v>
      </c>
      <c r="F524" s="46" t="n">
        <v>0.22</v>
      </c>
      <c r="G524" s="51" t="n">
        <f aca="false">VLOOKUP($B524,03_COMPOSIÇÕES!$A:$G,6,0)</f>
        <v>9.0620403358104</v>
      </c>
      <c r="H524" s="52" t="n">
        <f aca="false">VLOOKUP($B524,03_COMPOSIÇÕES!$A:$G,7,0)</f>
        <v>13.42649820564</v>
      </c>
      <c r="I524" s="47" t="n">
        <f aca="false">$F524*$G524</f>
        <v>1.99364887387829</v>
      </c>
      <c r="J524" s="47" t="n">
        <f aca="false">$F524*$H524</f>
        <v>2.9538296052408</v>
      </c>
      <c r="K524" s="47" t="n">
        <f aca="false">$I524*(1+BDI_MAT)</f>
        <v>2.40473927167199</v>
      </c>
      <c r="L524" s="47" t="n">
        <f aca="false">$J524*(1+BDI_MDO)</f>
        <v>3.7658373637215</v>
      </c>
      <c r="M524" s="47" t="n">
        <f aca="false">SUM(K524:L524)</f>
        <v>6.17057663539349</v>
      </c>
      <c r="N524" s="20" t="str">
        <f aca="false">A524</f>
        <v>11.3.2.3</v>
      </c>
    </row>
    <row r="525" customFormat="false" ht="30" hidden="false" customHeight="false" outlineLevel="2" collapsed="false">
      <c r="A525" s="42" t="s">
        <v>758</v>
      </c>
      <c r="B525" s="43" t="n">
        <v>98557</v>
      </c>
      <c r="C525" s="50" t="str">
        <f aca="false">VLOOKUP($B525,03_COMPOSIÇÕES!$A:$G,2,0)</f>
        <v>IMPERMEABILIZAÇÃO DE SUPERFÍCIE COM EMULSÃO ASFÁLTICA, 2 DEMÃOS. AF_09/2023</v>
      </c>
      <c r="D525" s="45" t="s">
        <v>59</v>
      </c>
      <c r="E525" s="51" t="str">
        <f aca="false">VLOOKUP($B525,03_COMPOSIÇÕES!$A:$G,4,0)</f>
        <v>M2</v>
      </c>
      <c r="F525" s="46" t="n">
        <v>1</v>
      </c>
      <c r="G525" s="51" t="n">
        <f aca="false">VLOOKUP($B525,03_COMPOSIÇÕES!$A:$G,6,0)</f>
        <v>28.389378</v>
      </c>
      <c r="H525" s="52" t="n">
        <f aca="false">VLOOKUP($B525,03_COMPOSIÇÕES!$A:$G,7,0)</f>
        <v>10.21088870946</v>
      </c>
      <c r="I525" s="47" t="n">
        <f aca="false">$F525*$G525</f>
        <v>28.389378</v>
      </c>
      <c r="J525" s="47" t="n">
        <f aca="false">$F525*$H525</f>
        <v>10.21088870946</v>
      </c>
      <c r="K525" s="47" t="n">
        <f aca="false">$I525*(1+BDI_MAT)</f>
        <v>34.2432677436</v>
      </c>
      <c r="L525" s="47" t="n">
        <f aca="false">$J525*(1+BDI_MDO)</f>
        <v>13.0178620156906</v>
      </c>
      <c r="M525" s="47" t="n">
        <f aca="false">SUM(K525:L525)</f>
        <v>47.2611297592906</v>
      </c>
      <c r="N525" s="20" t="str">
        <f aca="false">A525</f>
        <v>11.3.2.4</v>
      </c>
    </row>
    <row r="526" customFormat="false" ht="15" hidden="false" customHeight="false" outlineLevel="1" collapsed="false">
      <c r="A526" s="42" t="s">
        <v>759</v>
      </c>
      <c r="B526" s="43"/>
      <c r="C526" s="50" t="s">
        <v>760</v>
      </c>
      <c r="D526" s="45"/>
      <c r="E526" s="44"/>
      <c r="F526" s="46"/>
      <c r="G526" s="51"/>
      <c r="H526" s="52"/>
      <c r="I526" s="47" t="n">
        <f aca="false">SUM(I527,I534,I537,I539,I556)</f>
        <v>73601.7637016468</v>
      </c>
      <c r="J526" s="47" t="n">
        <f aca="false">SUM(J527,J534,J537,J539,J556)</f>
        <v>8638.33321600118</v>
      </c>
      <c r="K526" s="47" t="n">
        <f aca="false">SUM(K527,K534,K537,K539,K556)</f>
        <v>88778.4473769263</v>
      </c>
      <c r="L526" s="47" t="n">
        <f aca="false">SUM(L527,L534,L537,L539,L556)</f>
        <v>11013.0110170799</v>
      </c>
      <c r="M526" s="47" t="n">
        <f aca="false">SUM(M527,M534,M537,M539,M556)</f>
        <v>99791.4583940062</v>
      </c>
      <c r="N526" s="20" t="str">
        <f aca="false">A526</f>
        <v>11.4</v>
      </c>
    </row>
    <row r="527" customFormat="false" ht="15" hidden="false" customHeight="false" outlineLevel="2" collapsed="false">
      <c r="A527" s="42" t="s">
        <v>761</v>
      </c>
      <c r="B527" s="43"/>
      <c r="C527" s="50" t="s">
        <v>688</v>
      </c>
      <c r="D527" s="45"/>
      <c r="E527" s="44"/>
      <c r="F527" s="46"/>
      <c r="G527" s="51"/>
      <c r="H527" s="52"/>
      <c r="I527" s="47" t="n">
        <f aca="false">SUBTOTAL(9,I528:I533)</f>
        <v>24686.4680650316</v>
      </c>
      <c r="J527" s="47" t="n">
        <f aca="false">SUBTOTAL(9,J528:J533)</f>
        <v>2529.15984943519</v>
      </c>
      <c r="K527" s="47" t="n">
        <f aca="false">SUBTOTAL(9,K528:K533)</f>
        <v>29776.8177800411</v>
      </c>
      <c r="L527" s="47" t="n">
        <f aca="false">SUBTOTAL(9,L528:L533)</f>
        <v>3224.42589204493</v>
      </c>
      <c r="M527" s="47" t="n">
        <f aca="false">SUBTOTAL(9,M528:M533)</f>
        <v>33001.243672086</v>
      </c>
      <c r="N527" s="20" t="str">
        <f aca="false">A527</f>
        <v>11.4.1</v>
      </c>
    </row>
    <row r="528" customFormat="false" ht="30" hidden="false" customHeight="false" outlineLevel="3" collapsed="false">
      <c r="A528" s="42" t="s">
        <v>762</v>
      </c>
      <c r="B528" s="43" t="s">
        <v>763</v>
      </c>
      <c r="C528" s="50" t="str">
        <f aca="false">VLOOKUP($B528,03_COMPOSIÇÕES!$A:$G,2,0)</f>
        <v>CAIXA DE DRENAGEM RETANGULAR, EM CONCRETO PRÉ-MOLDADO, COM GRELHA, DIMENSÕES INTERNAS: 0,6X0,6X0,5M.</v>
      </c>
      <c r="D528" s="45" t="s">
        <v>59</v>
      </c>
      <c r="E528" s="51" t="str">
        <f aca="false">VLOOKUP($B528,03_COMPOSIÇÕES!$A:$G,4,0)</f>
        <v>UN</v>
      </c>
      <c r="F528" s="46" t="n">
        <v>4</v>
      </c>
      <c r="G528" s="51" t="n">
        <f aca="false">VLOOKUP($B528,03_COMPOSIÇÕES!$A:$G,6,0)</f>
        <v>610.835908787603</v>
      </c>
      <c r="H528" s="52" t="n">
        <f aca="false">VLOOKUP($B528,03_COMPOSIÇÕES!$A:$G,7,0)</f>
        <v>74.7327777787699</v>
      </c>
      <c r="I528" s="47" t="n">
        <f aca="false">$F528*$G528</f>
        <v>2443.34363515041</v>
      </c>
      <c r="J528" s="47" t="n">
        <f aca="false">$F528*$H528</f>
        <v>298.931111115079</v>
      </c>
      <c r="K528" s="47" t="n">
        <f aca="false">$I528*(1+BDI_MAT)</f>
        <v>2947.16109271843</v>
      </c>
      <c r="L528" s="47" t="n">
        <f aca="false">$J528*(1+BDI_MDO)</f>
        <v>381.107273560615</v>
      </c>
      <c r="M528" s="47" t="n">
        <f aca="false">SUM(K528:L528)</f>
        <v>3328.26836627904</v>
      </c>
      <c r="N528" s="20" t="str">
        <f aca="false">A528</f>
        <v>11.4.1.1</v>
      </c>
    </row>
    <row r="529" customFormat="false" ht="30" hidden="false" customHeight="false" outlineLevel="3" collapsed="false">
      <c r="A529" s="42" t="s">
        <v>764</v>
      </c>
      <c r="B529" s="43" t="s">
        <v>690</v>
      </c>
      <c r="C529" s="50" t="str">
        <f aca="false">VLOOKUP($B529,03_COMPOSIÇÕES!$A:$G,2,0)</f>
        <v>CAIXA DE PASSAGEM CIRCULAR, EM CONCRETO, DIÂMETRO INTERNO Ø60 CM.</v>
      </c>
      <c r="D529" s="45" t="s">
        <v>59</v>
      </c>
      <c r="E529" s="51" t="str">
        <f aca="false">VLOOKUP($B529,03_COMPOSIÇÕES!$A:$G,4,0)</f>
        <v>UN</v>
      </c>
      <c r="F529" s="46" t="n">
        <v>10</v>
      </c>
      <c r="G529" s="51" t="n">
        <f aca="false">VLOOKUP($B529,03_COMPOSIÇÕES!$A:$G,6,0)</f>
        <v>864.943609227013</v>
      </c>
      <c r="H529" s="52" t="n">
        <f aca="false">VLOOKUP($B529,03_COMPOSIÇÕES!$A:$G,7,0)</f>
        <v>110.513880480403</v>
      </c>
      <c r="I529" s="47" t="n">
        <f aca="false">$F529*$G529</f>
        <v>8649.43609227013</v>
      </c>
      <c r="J529" s="47" t="n">
        <f aca="false">$F529*$H529</f>
        <v>1105.13880480403</v>
      </c>
      <c r="K529" s="47" t="n">
        <f aca="false">$I529*(1+BDI_MAT)</f>
        <v>10432.9498144962</v>
      </c>
      <c r="L529" s="47" t="n">
        <f aca="false">$J529*(1+BDI_MDO)</f>
        <v>1408.94146224466</v>
      </c>
      <c r="M529" s="47" t="n">
        <f aca="false">SUM(K529:L529)</f>
        <v>11841.8912767409</v>
      </c>
      <c r="N529" s="20" t="str">
        <f aca="false">A529</f>
        <v>11.4.1.2</v>
      </c>
    </row>
    <row r="530" customFormat="false" ht="45" hidden="false" customHeight="false" outlineLevel="3" collapsed="false">
      <c r="A530" s="42" t="s">
        <v>765</v>
      </c>
      <c r="B530" s="43" t="s">
        <v>766</v>
      </c>
      <c r="C530" s="50" t="str">
        <f aca="false">VLOOKUP($B530,03_COMPOSIÇÕES!$A:$G,2,0)</f>
        <v>CAIXA DE RETENÇÃO PLUVIAL, CIRCULAR, EM CONCRETO PRÉ-MOLDADO, DIÂMETRO INTERNO 1,50 M, ALTURA INTERNA 2,50 M, CAPACIDADE DE RETENÇÃO DE 3,6 M³.</v>
      </c>
      <c r="D530" s="45" t="s">
        <v>59</v>
      </c>
      <c r="E530" s="51" t="str">
        <f aca="false">VLOOKUP($B530,03_COMPOSIÇÕES!$A:$G,4,0)</f>
        <v>UN</v>
      </c>
      <c r="F530" s="46" t="n">
        <v>2</v>
      </c>
      <c r="G530" s="51" t="n">
        <f aca="false">VLOOKUP($B530,03_COMPOSIÇÕES!$A:$G,6,0)</f>
        <v>6310.11187847403</v>
      </c>
      <c r="H530" s="52" t="n">
        <f aca="false">VLOOKUP($B530,03_COMPOSIÇÕES!$A:$G,7,0)</f>
        <v>364.36221635433</v>
      </c>
      <c r="I530" s="47" t="n">
        <f aca="false">$F530*$G530</f>
        <v>12620.2237569481</v>
      </c>
      <c r="J530" s="47" t="n">
        <f aca="false">$F530*$H530</f>
        <v>728.72443270866</v>
      </c>
      <c r="K530" s="47" t="n">
        <f aca="false">$I530*(1+BDI_MAT)</f>
        <v>15222.5138956308</v>
      </c>
      <c r="L530" s="47" t="n">
        <f aca="false">$J530*(1+BDI_MDO)</f>
        <v>929.05077926027</v>
      </c>
      <c r="M530" s="47" t="n">
        <f aca="false">SUM(K530:L530)</f>
        <v>16151.564674891</v>
      </c>
      <c r="N530" s="20" t="str">
        <f aca="false">A530</f>
        <v>11.4.1.3</v>
      </c>
    </row>
    <row r="531" customFormat="false" ht="60" hidden="false" customHeight="false" outlineLevel="3" collapsed="false">
      <c r="A531" s="42" t="s">
        <v>767</v>
      </c>
      <c r="B531" s="43" t="n">
        <v>90091</v>
      </c>
      <c r="C531" s="50" t="str">
        <f aca="false">VLOOKUP($B531,03_COMPOSIÇÕES!$A:$G,2,0)</f>
        <v>ESCAVAÇÃO MECANIZADA DE VALA COM PROF. ATÉ 1,5 M (MÉDIA MONTANTE E JUSANTE/UMA COMPOSIÇÃO POR TRECHO), ESCAVADEIRA (0,8 M3), LARG. DE 1,5 M A 2,5 M, EM SOLO DE 1A CATEGORIA, LOCAIS COM BAIXO NÍVEL DE INTERFERÊNCIA. AF_09/2024</v>
      </c>
      <c r="D531" s="45" t="s">
        <v>59</v>
      </c>
      <c r="E531" s="51" t="str">
        <f aca="false">VLOOKUP($B531,03_COMPOSIÇÕES!$A:$G,4,0)</f>
        <v>M3</v>
      </c>
      <c r="F531" s="46" t="n">
        <v>9.13</v>
      </c>
      <c r="G531" s="51" t="n">
        <f aca="false">VLOOKUP($B531,03_COMPOSIÇÕES!$A:$G,6,0)</f>
        <v>4.825260172</v>
      </c>
      <c r="H531" s="52" t="n">
        <f aca="false">VLOOKUP($B531,03_COMPOSIÇÕES!$A:$G,7,0)</f>
        <v>1.12043945316084</v>
      </c>
      <c r="I531" s="47" t="n">
        <f aca="false">$F531*$G531</f>
        <v>44.05462537036</v>
      </c>
      <c r="J531" s="47" t="n">
        <f aca="false">$F531*$H531</f>
        <v>10.2296122073585</v>
      </c>
      <c r="K531" s="47" t="n">
        <f aca="false">$I531*(1+BDI_MAT)</f>
        <v>53.1386891217282</v>
      </c>
      <c r="L531" s="47" t="n">
        <f aca="false">$J531*(1+BDI_MDO)</f>
        <v>13.0417326031613</v>
      </c>
      <c r="M531" s="47" t="n">
        <f aca="false">SUM(K531:L531)</f>
        <v>66.1804217248896</v>
      </c>
      <c r="N531" s="20" t="str">
        <f aca="false">A531</f>
        <v>11.4.1.4</v>
      </c>
    </row>
    <row r="532" customFormat="false" ht="30" hidden="false" customHeight="false" outlineLevel="3" collapsed="false">
      <c r="A532" s="42" t="s">
        <v>768</v>
      </c>
      <c r="B532" s="43" t="n">
        <v>93382</v>
      </c>
      <c r="C532" s="50" t="str">
        <f aca="false">VLOOKUP($B532,03_COMPOSIÇÕES!$A:$G,2,0)</f>
        <v>REATERRO MANUAL DE VALAS, COM COMPACTADOR DE SOLOS DE PERCUSSÃO. AF_08/2023</v>
      </c>
      <c r="D532" s="45" t="s">
        <v>59</v>
      </c>
      <c r="E532" s="51" t="str">
        <f aca="false">VLOOKUP($B532,03_COMPOSIÇÕES!$A:$G,4,0)</f>
        <v>M3</v>
      </c>
      <c r="F532" s="46" t="n">
        <v>5.1</v>
      </c>
      <c r="G532" s="51" t="n">
        <f aca="false">VLOOKUP($B532,03_COMPOSIÇÕES!$A:$G,6,0)</f>
        <v>9.0620403358104</v>
      </c>
      <c r="H532" s="52" t="n">
        <f aca="false">VLOOKUP($B532,03_COMPOSIÇÕES!$A:$G,7,0)</f>
        <v>13.42649820564</v>
      </c>
      <c r="I532" s="47" t="n">
        <f aca="false">$F532*$G532</f>
        <v>46.216405712633</v>
      </c>
      <c r="J532" s="47" t="n">
        <f aca="false">$F532*$H532</f>
        <v>68.475140848764</v>
      </c>
      <c r="K532" s="47" t="n">
        <f aca="false">$I532*(1+BDI_MAT)</f>
        <v>55.746228570578</v>
      </c>
      <c r="L532" s="47" t="n">
        <f aca="false">$J532*(1+BDI_MDO)</f>
        <v>87.2989570680892</v>
      </c>
      <c r="M532" s="47" t="n">
        <f aca="false">SUM(K532:L532)</f>
        <v>143.045185638667</v>
      </c>
      <c r="N532" s="20" t="str">
        <f aca="false">A532</f>
        <v>11.4.1.5</v>
      </c>
    </row>
    <row r="533" customFormat="false" ht="30" hidden="false" customHeight="false" outlineLevel="3" collapsed="false">
      <c r="A533" s="42" t="s">
        <v>769</v>
      </c>
      <c r="B533" s="43" t="n">
        <v>98557</v>
      </c>
      <c r="C533" s="50" t="str">
        <f aca="false">VLOOKUP($B533,03_COMPOSIÇÕES!$A:$G,2,0)</f>
        <v>IMPERMEABILIZAÇÃO DE SUPERFÍCIE COM EMULSÃO ASFÁLTICA, 2 DEMÃOS. AF_09/2023</v>
      </c>
      <c r="D533" s="45" t="s">
        <v>59</v>
      </c>
      <c r="E533" s="51" t="str">
        <f aca="false">VLOOKUP($B533,03_COMPOSIÇÕES!$A:$G,4,0)</f>
        <v>M2</v>
      </c>
      <c r="F533" s="46" t="n">
        <v>31.11</v>
      </c>
      <c r="G533" s="51" t="n">
        <f aca="false">VLOOKUP($B533,03_COMPOSIÇÕES!$A:$G,6,0)</f>
        <v>28.389378</v>
      </c>
      <c r="H533" s="52" t="n">
        <f aca="false">VLOOKUP($B533,03_COMPOSIÇÕES!$A:$G,7,0)</f>
        <v>10.21088870946</v>
      </c>
      <c r="I533" s="47" t="n">
        <f aca="false">$F533*$G533</f>
        <v>883.19354958</v>
      </c>
      <c r="J533" s="47" t="n">
        <f aca="false">$F533*$H533</f>
        <v>317.660747751301</v>
      </c>
      <c r="K533" s="47" t="n">
        <f aca="false">$I533*(1+BDI_MAT)</f>
        <v>1065.3080595034</v>
      </c>
      <c r="L533" s="47" t="n">
        <f aca="false">$J533*(1+BDI_MDO)</f>
        <v>404.985687308133</v>
      </c>
      <c r="M533" s="47" t="n">
        <f aca="false">SUM(K533:L533)</f>
        <v>1470.29374681153</v>
      </c>
      <c r="N533" s="20" t="str">
        <f aca="false">A533</f>
        <v>11.4.1.6</v>
      </c>
    </row>
    <row r="534" customFormat="false" ht="15" hidden="false" customHeight="false" outlineLevel="2" collapsed="false">
      <c r="A534" s="42" t="s">
        <v>770</v>
      </c>
      <c r="B534" s="43"/>
      <c r="C534" s="50" t="s">
        <v>771</v>
      </c>
      <c r="D534" s="45"/>
      <c r="E534" s="44"/>
      <c r="F534" s="46"/>
      <c r="G534" s="51"/>
      <c r="H534" s="52"/>
      <c r="I534" s="47" t="n">
        <f aca="false">SUBTOTAL(9,I535:I536)</f>
        <v>5604.756982662</v>
      </c>
      <c r="J534" s="47" t="n">
        <f aca="false">SUBTOTAL(9,J535:J536)</f>
        <v>649.163942504626</v>
      </c>
      <c r="K534" s="47" t="n">
        <f aca="false">SUBTOTAL(9,K535:K536)</f>
        <v>6760.4578724869</v>
      </c>
      <c r="L534" s="47" t="n">
        <f aca="false">SUBTOTAL(9,L535:L536)</f>
        <v>827.619110299148</v>
      </c>
      <c r="M534" s="47" t="n">
        <f aca="false">SUBTOTAL(9,M535:M536)</f>
        <v>7588.07698278605</v>
      </c>
      <c r="N534" s="20" t="str">
        <f aca="false">A534</f>
        <v>11.4.2</v>
      </c>
    </row>
    <row r="535" customFormat="false" ht="45" hidden="false" customHeight="false" outlineLevel="3" collapsed="false">
      <c r="A535" s="42" t="s">
        <v>772</v>
      </c>
      <c r="B535" s="43" t="s">
        <v>773</v>
      </c>
      <c r="C535" s="50" t="str">
        <f aca="false">VLOOKUP($B535,03_COMPOSIÇÕES!$A:$G,2,0)</f>
        <v>TUBO DE CONCRETO PARA REDES COLETORAS DE ÁGUAS PLUVIAIS, DIÂMETRO DE 200MM, JUNTA RÍGIDA, INSTALADO EM LOCAL COM BAIXO NÍVEL DE INTERFERÊNCIAS - FORNECIMENTO E ASSENTAMENTO.</v>
      </c>
      <c r="D535" s="45" t="s">
        <v>59</v>
      </c>
      <c r="E535" s="51" t="str">
        <f aca="false">VLOOKUP($B535,03_COMPOSIÇÕES!$A:$G,4,0)</f>
        <v>M</v>
      </c>
      <c r="F535" s="46" t="n">
        <v>46.3</v>
      </c>
      <c r="G535" s="51" t="n">
        <f aca="false">VLOOKUP($B535,03_COMPOSIÇÕES!$A:$G,6,0)</f>
        <v>52.74793242</v>
      </c>
      <c r="H535" s="52" t="n">
        <f aca="false">VLOOKUP($B535,03_COMPOSIÇÕES!$A:$G,7,0)</f>
        <v>6.3279537259</v>
      </c>
      <c r="I535" s="47" t="n">
        <f aca="false">$F535*$G535</f>
        <v>2442.229271046</v>
      </c>
      <c r="J535" s="47" t="n">
        <f aca="false">$F535*$H535</f>
        <v>292.98425750917</v>
      </c>
      <c r="K535" s="47" t="n">
        <f aca="false">$I535*(1+BDI_MAT)</f>
        <v>2945.81694673568</v>
      </c>
      <c r="L535" s="47" t="n">
        <f aca="false">$J535*(1+BDI_MDO)</f>
        <v>373.525629898441</v>
      </c>
      <c r="M535" s="47" t="n">
        <f aca="false">SUM(K535:L535)</f>
        <v>3319.34257663413</v>
      </c>
      <c r="N535" s="20" t="str">
        <f aca="false">A535</f>
        <v>11.4.2.1</v>
      </c>
    </row>
    <row r="536" customFormat="false" ht="60" hidden="false" customHeight="false" outlineLevel="3" collapsed="false">
      <c r="A536" s="42" t="s">
        <v>774</v>
      </c>
      <c r="B536" s="43" t="n">
        <v>95567</v>
      </c>
      <c r="C536" s="50" t="str">
        <f aca="false">VLOOKUP($B536,03_COMPOSIÇÕES!$A:$G,2,0)</f>
        <v>TUBO DE CONCRETO (SIMPLES) PARA REDES COLETORAS DE ÁGUAS PLUVIAIS, DIÂMETRO DE 300 MM, JUNTA RÍGIDA, INSTALADO EM LOCAL COM BAIXO NÍVEL DE INTERFERÊNCIAS - FORNECIMENTO E ASSENTAMENTO. AF_03/2024</v>
      </c>
      <c r="D536" s="45" t="s">
        <v>59</v>
      </c>
      <c r="E536" s="51" t="str">
        <f aca="false">VLOOKUP($B536,03_COMPOSIÇÕES!$A:$G,4,0)</f>
        <v>M</v>
      </c>
      <c r="F536" s="46" t="n">
        <v>44.8</v>
      </c>
      <c r="G536" s="51" t="n">
        <f aca="false">VLOOKUP($B536,03_COMPOSIÇÕES!$A:$G,6,0)</f>
        <v>70.59213642</v>
      </c>
      <c r="H536" s="52" t="n">
        <f aca="false">VLOOKUP($B536,03_COMPOSIÇÕES!$A:$G,7,0)</f>
        <v>7.95043939722</v>
      </c>
      <c r="I536" s="47" t="n">
        <f aca="false">$F536*$G536</f>
        <v>3162.527711616</v>
      </c>
      <c r="J536" s="47" t="n">
        <f aca="false">$F536*$H536</f>
        <v>356.179684995456</v>
      </c>
      <c r="K536" s="47" t="n">
        <f aca="false">$I536*(1+BDI_MAT)</f>
        <v>3814.64092575122</v>
      </c>
      <c r="L536" s="47" t="n">
        <f aca="false">$J536*(1+BDI_MDO)</f>
        <v>454.093480400707</v>
      </c>
      <c r="M536" s="47" t="n">
        <f aca="false">SUM(K536:L536)</f>
        <v>4268.73440615193</v>
      </c>
      <c r="N536" s="20" t="str">
        <f aca="false">A536</f>
        <v>11.4.2.2</v>
      </c>
    </row>
    <row r="537" customFormat="false" ht="15" hidden="false" customHeight="false" outlineLevel="2" collapsed="false">
      <c r="A537" s="42" t="s">
        <v>775</v>
      </c>
      <c r="B537" s="43"/>
      <c r="C537" s="50" t="s">
        <v>476</v>
      </c>
      <c r="D537" s="45"/>
      <c r="E537" s="44"/>
      <c r="F537" s="46"/>
      <c r="G537" s="51"/>
      <c r="H537" s="52"/>
      <c r="I537" s="47" t="n">
        <f aca="false">SUBTOTAL(9,I538)</f>
        <v>1011.5</v>
      </c>
      <c r="J537" s="47" t="n">
        <f aca="false">SUBTOTAL(9,J538)</f>
        <v>1149.4752504</v>
      </c>
      <c r="K537" s="47" t="n">
        <f aca="false">SUBTOTAL(9,K538)</f>
        <v>1220.0713</v>
      </c>
      <c r="L537" s="47" t="n">
        <f aca="false">SUBTOTAL(9,L538)</f>
        <v>1465.46599673496</v>
      </c>
      <c r="M537" s="47" t="n">
        <f aca="false">SUBTOTAL(9,M538)</f>
        <v>2685.53729673496</v>
      </c>
      <c r="N537" s="20" t="str">
        <f aca="false">A537</f>
        <v>11.4.3</v>
      </c>
    </row>
    <row r="538" customFormat="false" ht="15" hidden="false" customHeight="false" outlineLevel="3" collapsed="false">
      <c r="A538" s="42" t="s">
        <v>776</v>
      </c>
      <c r="B538" s="43" t="s">
        <v>777</v>
      </c>
      <c r="C538" s="50" t="str">
        <f aca="false">VLOOKUP($B538,03_COMPOSIÇÕES!$A:$G,2,0)</f>
        <v>RALO HEMISFÉRICO EM FERRO FUNDIDO, TIPO ABACAXI - Ø 100MM.</v>
      </c>
      <c r="D538" s="45" t="s">
        <v>59</v>
      </c>
      <c r="E538" s="51" t="str">
        <f aca="false">VLOOKUP($B538,03_COMPOSIÇÕES!$A:$G,4,0)</f>
        <v>un</v>
      </c>
      <c r="F538" s="46" t="n">
        <v>34</v>
      </c>
      <c r="G538" s="51" t="n">
        <f aca="false">VLOOKUP($B538,03_COMPOSIÇÕES!$A:$G,6,0)</f>
        <v>29.75</v>
      </c>
      <c r="H538" s="52" t="n">
        <f aca="false">VLOOKUP($B538,03_COMPOSIÇÕES!$A:$G,7,0)</f>
        <v>33.8080956</v>
      </c>
      <c r="I538" s="47" t="n">
        <f aca="false">$F538*$G538</f>
        <v>1011.5</v>
      </c>
      <c r="J538" s="47" t="n">
        <f aca="false">$F538*$H538</f>
        <v>1149.4752504</v>
      </c>
      <c r="K538" s="47" t="n">
        <f aca="false">$I538*(1+BDI_MAT)</f>
        <v>1220.0713</v>
      </c>
      <c r="L538" s="47" t="n">
        <f aca="false">$J538*(1+BDI_MDO)</f>
        <v>1465.46599673496</v>
      </c>
      <c r="M538" s="47" t="n">
        <f aca="false">SUM(K538:L538)</f>
        <v>2685.53729673496</v>
      </c>
      <c r="N538" s="20" t="str">
        <f aca="false">A538</f>
        <v>11.4.3.1</v>
      </c>
    </row>
    <row r="539" customFormat="false" ht="15" hidden="false" customHeight="false" outlineLevel="2" collapsed="false">
      <c r="A539" s="42" t="s">
        <v>778</v>
      </c>
      <c r="B539" s="43"/>
      <c r="C539" s="50" t="s">
        <v>699</v>
      </c>
      <c r="D539" s="45"/>
      <c r="E539" s="44"/>
      <c r="F539" s="46"/>
      <c r="G539" s="51"/>
      <c r="H539" s="52"/>
      <c r="I539" s="47" t="n">
        <f aca="false">SUBTOTAL(9,I540:I555)</f>
        <v>36999.7429146</v>
      </c>
      <c r="J539" s="47" t="n">
        <f aca="false">SUBTOTAL(9,J540:J555)</f>
        <v>3419.20415316038</v>
      </c>
      <c r="K539" s="47" t="n">
        <f aca="false">SUBTOTAL(9,K540:K555)</f>
        <v>44629.0899035905</v>
      </c>
      <c r="L539" s="47" t="n">
        <f aca="false">SUBTOTAL(9,L540:L555)</f>
        <v>4359.14337486417</v>
      </c>
      <c r="M539" s="47" t="n">
        <f aca="false">SUBTOTAL(9,M540:M555)</f>
        <v>48988.2332784547</v>
      </c>
      <c r="N539" s="20" t="str">
        <f aca="false">A539</f>
        <v>11.4.4</v>
      </c>
    </row>
    <row r="540" customFormat="false" ht="45" hidden="false" customHeight="false" outlineLevel="3" collapsed="false">
      <c r="A540" s="42" t="s">
        <v>779</v>
      </c>
      <c r="B540" s="43" t="n">
        <v>89585</v>
      </c>
      <c r="C540" s="50" t="str">
        <f aca="false">VLOOKUP($B540,03_COMPOSIÇÕES!$A:$G,2,0)</f>
        <v>JOELHO 45 GRAUS, PVC, SERIE R, ÁGUA PLUVIAL, DN 100 MM, JUNTA ELÁSTICA, FORNECIDO E INSTALADO EM CONDUTORES VERTICAIS DE ÁGUAS PLUVIAIS. AF_06/2022</v>
      </c>
      <c r="D540" s="45" t="s">
        <v>59</v>
      </c>
      <c r="E540" s="51" t="str">
        <f aca="false">VLOOKUP($B540,03_COMPOSIÇÕES!$A:$G,4,0)</f>
        <v>UN</v>
      </c>
      <c r="F540" s="46" t="n">
        <v>24</v>
      </c>
      <c r="G540" s="51" t="n">
        <f aca="false">VLOOKUP($B540,03_COMPOSIÇÕES!$A:$G,6,0)</f>
        <v>35.31959</v>
      </c>
      <c r="H540" s="52" t="n">
        <f aca="false">VLOOKUP($B540,03_COMPOSIÇÕES!$A:$G,7,0)</f>
        <v>9.30096972216</v>
      </c>
      <c r="I540" s="47" t="n">
        <f aca="false">$F540*$G540</f>
        <v>847.67016</v>
      </c>
      <c r="J540" s="47" t="n">
        <f aca="false">$F540*$H540</f>
        <v>223.22327333184</v>
      </c>
      <c r="K540" s="47" t="n">
        <f aca="false">$I540*(1+BDI_MAT)</f>
        <v>1022.459746992</v>
      </c>
      <c r="L540" s="47" t="n">
        <f aca="false">$J540*(1+BDI_MDO)</f>
        <v>284.587351170763</v>
      </c>
      <c r="M540" s="47" t="n">
        <f aca="false">SUM(K540:L540)</f>
        <v>1307.04709816276</v>
      </c>
      <c r="N540" s="20" t="str">
        <f aca="false">A540</f>
        <v>11.4.4.1</v>
      </c>
    </row>
    <row r="541" customFormat="false" ht="45" hidden="false" customHeight="false" outlineLevel="3" collapsed="false">
      <c r="A541" s="42" t="s">
        <v>780</v>
      </c>
      <c r="B541" s="43" t="n">
        <v>104168</v>
      </c>
      <c r="C541" s="50" t="str">
        <f aca="false">VLOOKUP($B541,03_COMPOSIÇÕES!$A:$G,2,0)</f>
        <v>JOELHO 45 GRAUS, PVC, SERIE R, ÁGUA PLUVIAL, DN 150 MM, JUNTA ELÁSTICA, FORNECIDO E INSTALADO EM RAMAL DE ENCAMINHAMENTO. AF_06/2022</v>
      </c>
      <c r="D541" s="45" t="s">
        <v>59</v>
      </c>
      <c r="E541" s="51" t="str">
        <f aca="false">VLOOKUP($B541,03_COMPOSIÇÕES!$A:$G,4,0)</f>
        <v>UN</v>
      </c>
      <c r="F541" s="46" t="n">
        <v>17</v>
      </c>
      <c r="G541" s="51" t="n">
        <f aca="false">VLOOKUP($B541,03_COMPOSIÇÕES!$A:$G,6,0)</f>
        <v>111.023956</v>
      </c>
      <c r="H541" s="52" t="n">
        <f aca="false">VLOOKUP($B541,03_COMPOSIÇÕES!$A:$G,7,0)</f>
        <v>8.86472050104</v>
      </c>
      <c r="I541" s="47" t="n">
        <f aca="false">$F541*$G541</f>
        <v>1887.407252</v>
      </c>
      <c r="J541" s="47" t="n">
        <f aca="false">$F541*$H541</f>
        <v>150.70024851768</v>
      </c>
      <c r="K541" s="47" t="n">
        <f aca="false">$I541*(1+BDI_MAT)</f>
        <v>2276.5906273624</v>
      </c>
      <c r="L541" s="47" t="n">
        <f aca="false">$J541*(1+BDI_MDO)</f>
        <v>192.12774683519</v>
      </c>
      <c r="M541" s="47" t="n">
        <f aca="false">SUM(K541:L541)</f>
        <v>2468.71837419759</v>
      </c>
      <c r="N541" s="20" t="str">
        <f aca="false">A541</f>
        <v>11.4.4.2</v>
      </c>
    </row>
    <row r="542" customFormat="false" ht="45" hidden="false" customHeight="false" outlineLevel="3" collapsed="false">
      <c r="A542" s="42" t="s">
        <v>781</v>
      </c>
      <c r="B542" s="43" t="n">
        <v>89524</v>
      </c>
      <c r="C542" s="50" t="str">
        <f aca="false">VLOOKUP($B542,03_COMPOSIÇÕES!$A:$G,2,0)</f>
        <v>JOELHO 45 GRAUS, PVC, SERIE R, ÁGUA PLUVIAL, DN 75 MM, JUNTA ELÁSTICA, FORNECIDO E INSTALADO EM RAMAL DE ENCAMINHAMENTO. AF_06/2022</v>
      </c>
      <c r="D542" s="45" t="s">
        <v>59</v>
      </c>
      <c r="E542" s="51" t="str">
        <f aca="false">VLOOKUP($B542,03_COMPOSIÇÕES!$A:$G,4,0)</f>
        <v>UN</v>
      </c>
      <c r="F542" s="46" t="n">
        <v>1</v>
      </c>
      <c r="G542" s="51" t="n">
        <f aca="false">VLOOKUP($B542,03_COMPOSIÇÕES!$A:$G,6,0)</f>
        <v>26.96571</v>
      </c>
      <c r="H542" s="52" t="n">
        <f aca="false">VLOOKUP($B542,03_COMPOSIÇÕES!$A:$G,7,0)</f>
        <v>3.20711341464</v>
      </c>
      <c r="I542" s="47" t="n">
        <f aca="false">$F542*$G542</f>
        <v>26.96571</v>
      </c>
      <c r="J542" s="47" t="n">
        <f aca="false">$F542*$H542</f>
        <v>3.20711341464</v>
      </c>
      <c r="K542" s="47" t="n">
        <f aca="false">$I542*(1+BDI_MAT)</f>
        <v>32.526039402</v>
      </c>
      <c r="L542" s="47" t="n">
        <f aca="false">$J542*(1+BDI_MDO)</f>
        <v>4.08874889232454</v>
      </c>
      <c r="M542" s="47" t="n">
        <f aca="false">SUM(K542:L542)</f>
        <v>36.6147882943245</v>
      </c>
      <c r="N542" s="20" t="str">
        <f aca="false">A542</f>
        <v>11.4.4.3</v>
      </c>
    </row>
    <row r="543" customFormat="false" ht="45" hidden="false" customHeight="false" outlineLevel="3" collapsed="false">
      <c r="A543" s="42" t="s">
        <v>782</v>
      </c>
      <c r="B543" s="43" t="n">
        <v>89584</v>
      </c>
      <c r="C543" s="50" t="str">
        <f aca="false">VLOOKUP($B543,03_COMPOSIÇÕES!$A:$G,2,0)</f>
        <v>JOELHO 90 GRAUS, PVC, SERIE R, ÁGUA PLUVIAL, DN 100 MM, JUNTA ELÁSTICA, FORNECIDO E INSTALADO EM CONDUTORES VERTICAIS DE ÁGUAS PLUVIAIS. AF_06/2022</v>
      </c>
      <c r="D543" s="45" t="s">
        <v>59</v>
      </c>
      <c r="E543" s="51" t="str">
        <f aca="false">VLOOKUP($B543,03_COMPOSIÇÕES!$A:$G,4,0)</f>
        <v>UN</v>
      </c>
      <c r="F543" s="46" t="n">
        <v>41</v>
      </c>
      <c r="G543" s="51" t="n">
        <f aca="false">VLOOKUP($B543,03_COMPOSIÇÕES!$A:$G,6,0)</f>
        <v>33.628294</v>
      </c>
      <c r="H543" s="52" t="n">
        <f aca="false">VLOOKUP($B543,03_COMPOSIÇÕES!$A:$G,7,0)</f>
        <v>9.30096972216</v>
      </c>
      <c r="I543" s="47" t="n">
        <f aca="false">$F543*$G543</f>
        <v>1378.760054</v>
      </c>
      <c r="J543" s="47" t="n">
        <f aca="false">$F543*$H543</f>
        <v>381.33975860856</v>
      </c>
      <c r="K543" s="47" t="n">
        <f aca="false">$I543*(1+BDI_MAT)</f>
        <v>1663.0603771348</v>
      </c>
      <c r="L543" s="47" t="n">
        <f aca="false">$J543*(1+BDI_MDO)</f>
        <v>486.170058250053</v>
      </c>
      <c r="M543" s="47" t="n">
        <f aca="false">SUM(K543:L543)</f>
        <v>2149.23043538485</v>
      </c>
      <c r="N543" s="20" t="str">
        <f aca="false">A543</f>
        <v>11.4.4.4</v>
      </c>
    </row>
    <row r="544" customFormat="false" ht="45" hidden="false" customHeight="false" outlineLevel="3" collapsed="false">
      <c r="A544" s="42" t="s">
        <v>783</v>
      </c>
      <c r="B544" s="43" t="n">
        <v>89590</v>
      </c>
      <c r="C544" s="50" t="str">
        <f aca="false">VLOOKUP($B544,03_COMPOSIÇÕES!$A:$G,2,0)</f>
        <v>JOELHO 90 GRAUS, PVC, SERIE R, ÁGUA PLUVIAL, DN 150 MM, JUNTA ELÁSTICA, FORNECIDO E INSTALADO EM CONDUTORES VERTICAIS DE ÁGUAS PLUVIAIS. AF_06/2022</v>
      </c>
      <c r="D544" s="45" t="s">
        <v>59</v>
      </c>
      <c r="E544" s="51" t="str">
        <f aca="false">VLOOKUP($B544,03_COMPOSIÇÕES!$A:$G,4,0)</f>
        <v>UN</v>
      </c>
      <c r="F544" s="46" t="n">
        <v>29</v>
      </c>
      <c r="G544" s="51" t="n">
        <f aca="false">VLOOKUP($B544,03_COMPOSIÇÕES!$A:$G,6,0)</f>
        <v>117.293236</v>
      </c>
      <c r="H544" s="52" t="n">
        <f aca="false">VLOOKUP($B544,03_COMPOSIÇÕES!$A:$G,7,0)</f>
        <v>16.06283264952</v>
      </c>
      <c r="I544" s="47" t="n">
        <f aca="false">$F544*$G544</f>
        <v>3401.503844</v>
      </c>
      <c r="J544" s="47" t="n">
        <f aca="false">$F544*$H544</f>
        <v>465.82214683608</v>
      </c>
      <c r="K544" s="47" t="n">
        <f aca="false">$I544*(1+BDI_MAT)</f>
        <v>4102.8939366328</v>
      </c>
      <c r="L544" s="47" t="n">
        <f aca="false">$J544*(1+BDI_MDO)</f>
        <v>593.876655001318</v>
      </c>
      <c r="M544" s="47" t="n">
        <f aca="false">SUM(K544:L544)</f>
        <v>4696.77059163412</v>
      </c>
      <c r="N544" s="20" t="str">
        <f aca="false">A544</f>
        <v>11.4.4.5</v>
      </c>
    </row>
    <row r="545" customFormat="false" ht="45" hidden="false" customHeight="false" outlineLevel="3" collapsed="false">
      <c r="A545" s="42" t="s">
        <v>784</v>
      </c>
      <c r="B545" s="43" t="n">
        <v>89567</v>
      </c>
      <c r="C545" s="50" t="str">
        <f aca="false">VLOOKUP($B545,03_COMPOSIÇÕES!$A:$G,2,0)</f>
        <v>JUNÇÃO SIMPLES, PVC, SERIE R, ÁGUA PLUVIAL, DN 100 X 100 MM, JUNTA ELÁSTICA, FORNECIDO E INSTALADO EM RAMAL DE ENCAMINHAMENTO. AF_06/2022</v>
      </c>
      <c r="D545" s="45" t="s">
        <v>59</v>
      </c>
      <c r="E545" s="51" t="str">
        <f aca="false">VLOOKUP($B545,03_COMPOSIÇÕES!$A:$G,4,0)</f>
        <v>UN</v>
      </c>
      <c r="F545" s="46" t="n">
        <v>11</v>
      </c>
      <c r="G545" s="51" t="n">
        <f aca="false">VLOOKUP($B545,03_COMPOSIÇÕES!$A:$G,6,0)</f>
        <v>74.987624</v>
      </c>
      <c r="H545" s="52" t="n">
        <f aca="false">VLOOKUP($B545,03_COMPOSIÇÕES!$A:$G,7,0)</f>
        <v>5.85187431768</v>
      </c>
      <c r="I545" s="47" t="n">
        <f aca="false">$F545*$G545</f>
        <v>824.863864</v>
      </c>
      <c r="J545" s="47" t="n">
        <f aca="false">$F545*$H545</f>
        <v>64.37061749448</v>
      </c>
      <c r="K545" s="47" t="n">
        <f aca="false">$I545*(1+BDI_MAT)</f>
        <v>994.9507927568</v>
      </c>
      <c r="L545" s="47" t="n">
        <f aca="false">$J545*(1+BDI_MDO)</f>
        <v>82.0661002437126</v>
      </c>
      <c r="M545" s="47" t="n">
        <f aca="false">SUM(K545:L545)</f>
        <v>1077.01689300051</v>
      </c>
      <c r="N545" s="20" t="str">
        <f aca="false">A545</f>
        <v>11.4.4.6</v>
      </c>
    </row>
    <row r="546" customFormat="false" ht="45" hidden="false" customHeight="false" outlineLevel="3" collapsed="false">
      <c r="A546" s="42" t="s">
        <v>785</v>
      </c>
      <c r="B546" s="43" t="n">
        <v>104176</v>
      </c>
      <c r="C546" s="50" t="str">
        <f aca="false">VLOOKUP($B546,03_COMPOSIÇÕES!$A:$G,2,0)</f>
        <v>JUNÇÃO SIMPLES, PVC, SERIE R, ÁGUA PLUVIAL, DN 150 X 150 MM, JUNTA ELÁSTICA, FORNECIDO E INSTALADO EM RAMAL DE ENCAMINHAMENTO. AF_06/2022</v>
      </c>
      <c r="D546" s="45" t="s">
        <v>59</v>
      </c>
      <c r="E546" s="51" t="str">
        <f aca="false">VLOOKUP($B546,03_COMPOSIÇÕES!$A:$G,4,0)</f>
        <v>UN</v>
      </c>
      <c r="F546" s="46" t="n">
        <v>12</v>
      </c>
      <c r="G546" s="51" t="n">
        <f aca="false">VLOOKUP($B546,03_COMPOSIÇÕES!$A:$G,6,0)</f>
        <v>242.383596</v>
      </c>
      <c r="H546" s="52" t="n">
        <f aca="false">VLOOKUP($B546,03_COMPOSIÇÕES!$A:$G,7,0)</f>
        <v>11.81962733472</v>
      </c>
      <c r="I546" s="47" t="n">
        <f aca="false">$F546*$G546</f>
        <v>2908.603152</v>
      </c>
      <c r="J546" s="47" t="n">
        <f aca="false">$F546*$H546</f>
        <v>141.83552801664</v>
      </c>
      <c r="K546" s="47" t="n">
        <f aca="false">$I546*(1+BDI_MAT)</f>
        <v>3508.3571219424</v>
      </c>
      <c r="L546" s="47" t="n">
        <f aca="false">$J546*(1+BDI_MDO)</f>
        <v>180.826114668414</v>
      </c>
      <c r="M546" s="47" t="n">
        <f aca="false">SUM(K546:L546)</f>
        <v>3689.18323661081</v>
      </c>
      <c r="N546" s="20" t="str">
        <f aca="false">A546</f>
        <v>11.4.4.7</v>
      </c>
    </row>
    <row r="547" customFormat="false" ht="45" hidden="false" customHeight="false" outlineLevel="3" collapsed="false">
      <c r="A547" s="42" t="s">
        <v>786</v>
      </c>
      <c r="B547" s="43" t="n">
        <v>104174</v>
      </c>
      <c r="C547" s="50" t="str">
        <f aca="false">VLOOKUP($B547,03_COMPOSIÇÕES!$A:$G,2,0)</f>
        <v>JUNÇÃO SIMPLES, PVC, SERIE R, ÁGUA PLUVIAL, DN 150 X 100 MM, JUNTA ELÁSTICA, FORNECIDO E INSTALADO EM RAMAL DE ENCAMINHAMENTO. AF_06/2022</v>
      </c>
      <c r="D547" s="45" t="s">
        <v>59</v>
      </c>
      <c r="E547" s="51" t="str">
        <f aca="false">VLOOKUP($B547,03_COMPOSIÇÕES!$A:$G,4,0)</f>
        <v>UN</v>
      </c>
      <c r="F547" s="46" t="n">
        <v>7</v>
      </c>
      <c r="G547" s="51" t="n">
        <f aca="false">VLOOKUP($B547,03_COMPOSIÇÕES!$A:$G,6,0)</f>
        <v>180.395888</v>
      </c>
      <c r="H547" s="52" t="n">
        <f aca="false">VLOOKUP($B547,03_COMPOSIÇÕES!$A:$G,7,0)</f>
        <v>10.83465839016</v>
      </c>
      <c r="I547" s="47" t="n">
        <f aca="false">$F547*$G547</f>
        <v>1262.771216</v>
      </c>
      <c r="J547" s="47" t="n">
        <f aca="false">$F547*$H547</f>
        <v>75.84260873112</v>
      </c>
      <c r="K547" s="47" t="n">
        <f aca="false">$I547*(1+BDI_MAT)</f>
        <v>1523.1546407392</v>
      </c>
      <c r="L547" s="47" t="n">
        <f aca="false">$J547*(1+BDI_MDO)</f>
        <v>96.6917418713049</v>
      </c>
      <c r="M547" s="47" t="n">
        <f aca="false">SUM(K547:L547)</f>
        <v>1619.84638261051</v>
      </c>
      <c r="N547" s="20" t="str">
        <f aca="false">A547</f>
        <v>11.4.4.8</v>
      </c>
    </row>
    <row r="548" customFormat="false" ht="45" hidden="false" customHeight="false" outlineLevel="3" collapsed="false">
      <c r="A548" s="42" t="s">
        <v>787</v>
      </c>
      <c r="B548" s="43" t="n">
        <v>89554</v>
      </c>
      <c r="C548" s="50" t="str">
        <f aca="false">VLOOKUP($B548,03_COMPOSIÇÕES!$A:$G,2,0)</f>
        <v>LUVA SIMPLES, PVC, SERIE R, ÁGUA PLUVIAL, DN 100 MM, JUNTA ELÁSTICA, FORNECIDO E INSTALADO EM RAMAL DE ENCAMINHAMENTO. AF_06/2022</v>
      </c>
      <c r="D548" s="45" t="s">
        <v>59</v>
      </c>
      <c r="E548" s="51" t="str">
        <f aca="false">VLOOKUP($B548,03_COMPOSIÇÕES!$A:$G,4,0)</f>
        <v>UN</v>
      </c>
      <c r="F548" s="46" t="n">
        <v>74</v>
      </c>
      <c r="G548" s="51" t="n">
        <f aca="false">VLOOKUP($B548,03_COMPOSIÇÕES!$A:$G,6,0)</f>
        <v>21.595421</v>
      </c>
      <c r="H548" s="52" t="n">
        <f aca="false">VLOOKUP($B548,03_COMPOSIÇÕES!$A:$G,7,0)</f>
        <v>2.92423306032</v>
      </c>
      <c r="I548" s="47" t="n">
        <f aca="false">$F548*$G548</f>
        <v>1598.061154</v>
      </c>
      <c r="J548" s="47" t="n">
        <f aca="false">$F548*$H548</f>
        <v>216.39324646368</v>
      </c>
      <c r="K548" s="47" t="n">
        <f aca="false">$I548*(1+BDI_MAT)</f>
        <v>1927.5813639548</v>
      </c>
      <c r="L548" s="47" t="n">
        <f aca="false">$J548*(1+BDI_MDO)</f>
        <v>275.879749916546</v>
      </c>
      <c r="M548" s="47" t="n">
        <f aca="false">SUM(K548:L548)</f>
        <v>2203.46111387135</v>
      </c>
      <c r="N548" s="20" t="str">
        <f aca="false">A548</f>
        <v>11.4.4.9</v>
      </c>
    </row>
    <row r="549" customFormat="false" ht="45" hidden="false" customHeight="false" outlineLevel="3" collapsed="false">
      <c r="A549" s="42" t="s">
        <v>788</v>
      </c>
      <c r="B549" s="43" t="n">
        <v>104170</v>
      </c>
      <c r="C549" s="50" t="str">
        <f aca="false">VLOOKUP($B549,03_COMPOSIÇÕES!$A:$G,2,0)</f>
        <v>LUVA SIMPLES, PVC, SERIE R, ÁGUA PLUVIAL, DN 150 MM, JUNTA ELÁSTICA, FORNECIDO E INSTALADO EM RAMAL DE ENCAMINHAMENTO. AF_06/2022</v>
      </c>
      <c r="D549" s="45" t="s">
        <v>59</v>
      </c>
      <c r="E549" s="51" t="str">
        <f aca="false">VLOOKUP($B549,03_COMPOSIÇÕES!$A:$G,4,0)</f>
        <v>UN</v>
      </c>
      <c r="F549" s="46" t="n">
        <v>54</v>
      </c>
      <c r="G549" s="51" t="n">
        <f aca="false">VLOOKUP($B549,03_COMPOSIÇÕES!$A:$G,6,0)</f>
        <v>63.942102</v>
      </c>
      <c r="H549" s="52" t="n">
        <f aca="false">VLOOKUP($B549,03_COMPOSIÇÕES!$A:$G,7,0)</f>
        <v>5.90981366736</v>
      </c>
      <c r="I549" s="47" t="n">
        <f aca="false">$F549*$G549</f>
        <v>3452.873508</v>
      </c>
      <c r="J549" s="47" t="n">
        <f aca="false">$F549*$H549</f>
        <v>319.12993803744</v>
      </c>
      <c r="K549" s="47" t="n">
        <f aca="false">$I549*(1+BDI_MAT)</f>
        <v>4164.8560253496</v>
      </c>
      <c r="L549" s="47" t="n">
        <f aca="false">$J549*(1+BDI_MDO)</f>
        <v>406.858758003932</v>
      </c>
      <c r="M549" s="47" t="n">
        <f aca="false">SUM(K549:L549)</f>
        <v>4571.71478335353</v>
      </c>
      <c r="N549" s="20" t="str">
        <f aca="false">A549</f>
        <v>11.4.4.10</v>
      </c>
    </row>
    <row r="550" customFormat="false" ht="45" hidden="false" customHeight="false" outlineLevel="3" collapsed="false">
      <c r="A550" s="42" t="s">
        <v>789</v>
      </c>
      <c r="B550" s="43" t="n">
        <v>89547</v>
      </c>
      <c r="C550" s="50" t="str">
        <f aca="false">VLOOKUP($B550,03_COMPOSIÇÕES!$A:$G,2,0)</f>
        <v>LUVA SIMPLES, PVC, SERIE R, ÁGUA PLUVIAL, DN 75 MM, JUNTA ELÁSTICA, FORNECIDO E INSTALADO EM RAMAL DE ENCAMINHAMENTO. AF_06/2022</v>
      </c>
      <c r="D550" s="45" t="s">
        <v>59</v>
      </c>
      <c r="E550" s="51" t="str">
        <f aca="false">VLOOKUP($B550,03_COMPOSIÇÕES!$A:$G,4,0)</f>
        <v>UN</v>
      </c>
      <c r="F550" s="46" t="n">
        <v>1</v>
      </c>
      <c r="G550" s="51" t="n">
        <f aca="false">VLOOKUP($B550,03_COMPOSIÇÕES!$A:$G,6,0)</f>
        <v>20.070967</v>
      </c>
      <c r="H550" s="52" t="n">
        <f aca="false">VLOOKUP($B550,03_COMPOSIÇÕES!$A:$G,7,0)</f>
        <v>2.13693954408</v>
      </c>
      <c r="I550" s="47" t="n">
        <f aca="false">$F550*$G550</f>
        <v>20.070967</v>
      </c>
      <c r="J550" s="47" t="n">
        <f aca="false">$F550*$H550</f>
        <v>2.13693954408</v>
      </c>
      <c r="K550" s="47" t="n">
        <f aca="false">$I550*(1+BDI_MAT)</f>
        <v>24.2096003954</v>
      </c>
      <c r="L550" s="47" t="n">
        <f aca="false">$J550*(1+BDI_MDO)</f>
        <v>2.72438422474759</v>
      </c>
      <c r="M550" s="47" t="n">
        <f aca="false">SUM(K550:L550)</f>
        <v>26.9339846201476</v>
      </c>
      <c r="N550" s="20" t="str">
        <f aca="false">A550</f>
        <v>11.4.4.11</v>
      </c>
    </row>
    <row r="551" customFormat="false" ht="45" hidden="false" customHeight="false" outlineLevel="3" collapsed="false">
      <c r="A551" s="42" t="s">
        <v>790</v>
      </c>
      <c r="B551" s="43" t="n">
        <v>89557</v>
      </c>
      <c r="C551" s="50" t="str">
        <f aca="false">VLOOKUP($B551,03_COMPOSIÇÕES!$A:$G,2,0)</f>
        <v>REDUÇÃO EXCÊNTRICA, PVC, SERIE R, ÁGUA PLUVIAL, DN 100 X 75 MM, JUNTA ELÁSTICA, FORNECIDO E INSTALADO EM RAMAL DE ENCAMINHAMENTO. AF_06/2022</v>
      </c>
      <c r="D551" s="45" t="s">
        <v>59</v>
      </c>
      <c r="E551" s="51" t="str">
        <f aca="false">VLOOKUP($B551,03_COMPOSIÇÕES!$A:$G,4,0)</f>
        <v>UN</v>
      </c>
      <c r="F551" s="46" t="n">
        <v>1</v>
      </c>
      <c r="G551" s="51" t="n">
        <f aca="false">VLOOKUP($B551,03_COMPOSIÇÕES!$A:$G,6,0)</f>
        <v>29.293196</v>
      </c>
      <c r="H551" s="52" t="n">
        <f aca="false">VLOOKUP($B551,03_COMPOSIÇÕES!$A:$G,7,0)</f>
        <v>2.53229040072</v>
      </c>
      <c r="I551" s="47" t="n">
        <f aca="false">$F551*$G551</f>
        <v>29.293196</v>
      </c>
      <c r="J551" s="47" t="n">
        <f aca="false">$F551*$H551</f>
        <v>2.53229040072</v>
      </c>
      <c r="K551" s="47" t="n">
        <f aca="false">$I551*(1+BDI_MAT)</f>
        <v>35.3334530152</v>
      </c>
      <c r="L551" s="47" t="n">
        <f aca="false">$J551*(1+BDI_MDO)</f>
        <v>3.22841703187793</v>
      </c>
      <c r="M551" s="47" t="n">
        <f aca="false">SUM(K551:L551)</f>
        <v>38.5618700470779</v>
      </c>
      <c r="N551" s="20" t="str">
        <f aca="false">A551</f>
        <v>11.4.4.12</v>
      </c>
    </row>
    <row r="552" customFormat="false" ht="45" hidden="false" customHeight="false" outlineLevel="3" collapsed="false">
      <c r="A552" s="42" t="s">
        <v>791</v>
      </c>
      <c r="B552" s="43" t="n">
        <v>104173</v>
      </c>
      <c r="C552" s="50" t="str">
        <f aca="false">VLOOKUP($B552,03_COMPOSIÇÕES!$A:$G,2,0)</f>
        <v>REDUÇÃO EXCÊNTRICA, PVC, SERIE R, ÁGUA PLUVIAL, DN 150 X 100 MM, JUNTA ELÁSTICA, FORNECIDO E INSTALADO EM RAMAL DE ENCAMINHAMENTO. AF_06/2022</v>
      </c>
      <c r="D552" s="45" t="s">
        <v>59</v>
      </c>
      <c r="E552" s="51" t="str">
        <f aca="false">VLOOKUP($B552,03_COMPOSIÇÕES!$A:$G,4,0)</f>
        <v>UN</v>
      </c>
      <c r="F552" s="46" t="n">
        <v>19</v>
      </c>
      <c r="G552" s="51" t="n">
        <f aca="false">VLOOKUP($B552,03_COMPOSIÇÕES!$A:$G,6,0)</f>
        <v>76.502696</v>
      </c>
      <c r="H552" s="52" t="n">
        <f aca="false">VLOOKUP($B552,03_COMPOSIÇÕES!$A:$G,7,0)</f>
        <v>5.17364310672</v>
      </c>
      <c r="I552" s="47" t="n">
        <f aca="false">$F552*$G552</f>
        <v>1453.551224</v>
      </c>
      <c r="J552" s="47" t="n">
        <f aca="false">$F552*$H552</f>
        <v>98.29921902768</v>
      </c>
      <c r="K552" s="47" t="n">
        <f aca="false">$I552*(1+BDI_MAT)</f>
        <v>1753.2734863888</v>
      </c>
      <c r="L552" s="47" t="n">
        <f aca="false">$J552*(1+BDI_MDO)</f>
        <v>125.321674338389</v>
      </c>
      <c r="M552" s="47" t="n">
        <f aca="false">SUM(K552:L552)</f>
        <v>1878.59516072719</v>
      </c>
      <c r="N552" s="20" t="str">
        <f aca="false">A552</f>
        <v>11.4.4.13</v>
      </c>
    </row>
    <row r="553" customFormat="false" ht="45" hidden="false" customHeight="false" outlineLevel="3" collapsed="false">
      <c r="A553" s="42" t="s">
        <v>792</v>
      </c>
      <c r="B553" s="43" t="n">
        <v>89578</v>
      </c>
      <c r="C553" s="50" t="str">
        <f aca="false">VLOOKUP($B553,03_COMPOSIÇÕES!$A:$G,2,0)</f>
        <v>TUBO PVC, SÉRIE R, ÁGUA PLUVIAL, DN 100 MM, FORNECIDO E INSTALADO EM CONDUTORES VERTICAIS DE ÁGUAS PLUVIAIS. AF_06/2022</v>
      </c>
      <c r="D553" s="45" t="s">
        <v>59</v>
      </c>
      <c r="E553" s="51" t="str">
        <f aca="false">VLOOKUP($B553,03_COMPOSIÇÕES!$A:$G,4,0)</f>
        <v>M</v>
      </c>
      <c r="F553" s="46" t="n">
        <v>118.4</v>
      </c>
      <c r="G553" s="51" t="n">
        <f aca="false">VLOOKUP($B553,03_COMPOSIÇÕES!$A:$G,6,0)</f>
        <v>32.023355</v>
      </c>
      <c r="H553" s="52" t="n">
        <f aca="false">VLOOKUP($B553,03_COMPOSIÇÕES!$A:$G,7,0)</f>
        <v>2.58341335632</v>
      </c>
      <c r="I553" s="47" t="n">
        <f aca="false">$F553*$G553</f>
        <v>3791.565232</v>
      </c>
      <c r="J553" s="47" t="n">
        <f aca="false">$F553*$H553</f>
        <v>305.876141388288</v>
      </c>
      <c r="K553" s="47" t="n">
        <f aca="false">$I553*(1+BDI_MAT)</f>
        <v>4573.3859828384</v>
      </c>
      <c r="L553" s="47" t="n">
        <f aca="false">$J553*(1+BDI_MDO)</f>
        <v>389.961492655928</v>
      </c>
      <c r="M553" s="47" t="n">
        <f aca="false">SUM(K553:L553)</f>
        <v>4963.34747549433</v>
      </c>
      <c r="N553" s="20" t="str">
        <f aca="false">A553</f>
        <v>11.4.4.14</v>
      </c>
    </row>
    <row r="554" customFormat="false" ht="45" hidden="false" customHeight="false" outlineLevel="3" collapsed="false">
      <c r="A554" s="42" t="s">
        <v>793</v>
      </c>
      <c r="B554" s="43" t="n">
        <v>89580</v>
      </c>
      <c r="C554" s="50" t="str">
        <f aca="false">VLOOKUP($B554,03_COMPOSIÇÕES!$A:$G,2,0)</f>
        <v>TUBO PVC, SÉRIE R, ÁGUA PLUVIAL, DN 150 MM, FORNECIDO E INSTALADO EM CONDUTORES VERTICAIS DE ÁGUAS PLUVIAIS. AF_06/2022</v>
      </c>
      <c r="D554" s="45" t="s">
        <v>59</v>
      </c>
      <c r="E554" s="51" t="str">
        <f aca="false">VLOOKUP($B554,03_COMPOSIÇÕES!$A:$G,4,0)</f>
        <v>M</v>
      </c>
      <c r="F554" s="46" t="n">
        <v>210.8</v>
      </c>
      <c r="G554" s="51" t="n">
        <f aca="false">VLOOKUP($B554,03_COMPOSIÇÕES!$A:$G,6,0)</f>
        <v>66.908837</v>
      </c>
      <c r="H554" s="52" t="n">
        <f aca="false">VLOOKUP($B554,03_COMPOSIÇÕES!$A:$G,7,0)</f>
        <v>4.46132992536</v>
      </c>
      <c r="I554" s="47" t="n">
        <f aca="false">$F554*$G554</f>
        <v>14104.3828396</v>
      </c>
      <c r="J554" s="47" t="n">
        <f aca="false">$F554*$H554</f>
        <v>940.448348265888</v>
      </c>
      <c r="K554" s="47" t="n">
        <f aca="false">$I554*(1+BDI_MAT)</f>
        <v>17012.7065811255</v>
      </c>
      <c r="L554" s="47" t="n">
        <f aca="false">$J554*(1+BDI_MDO)</f>
        <v>1198.97759920418</v>
      </c>
      <c r="M554" s="47" t="n">
        <f aca="false">SUM(K554:L554)</f>
        <v>18211.6841803297</v>
      </c>
      <c r="N554" s="20" t="str">
        <f aca="false">A554</f>
        <v>11.4.4.15</v>
      </c>
    </row>
    <row r="555" customFormat="false" ht="30" hidden="false" customHeight="false" outlineLevel="3" collapsed="false">
      <c r="A555" s="42" t="s">
        <v>794</v>
      </c>
      <c r="B555" s="43" t="n">
        <v>89511</v>
      </c>
      <c r="C555" s="50" t="str">
        <f aca="false">VLOOKUP($B555,03_COMPOSIÇÕES!$A:$G,2,0)</f>
        <v>TUBO PVC, SÉRIE R, ÁGUA PLUVIAL, DN 75 MM, FORNECIDO E INSTALADO EM RAMAL DE ENCAMINHAMENTO. AF_06/2022</v>
      </c>
      <c r="D555" s="45" t="s">
        <v>59</v>
      </c>
      <c r="E555" s="51" t="str">
        <f aca="false">VLOOKUP($B555,03_COMPOSIÇÕES!$A:$G,4,0)</f>
        <v>M</v>
      </c>
      <c r="F555" s="46" t="n">
        <v>2.8</v>
      </c>
      <c r="G555" s="51" t="n">
        <f aca="false">VLOOKUP($B555,03_COMPOSIÇÕES!$A:$G,6,0)</f>
        <v>4.071265</v>
      </c>
      <c r="H555" s="52" t="n">
        <f aca="false">VLOOKUP($B555,03_COMPOSIÇÕES!$A:$G,7,0)</f>
        <v>10.01669110056</v>
      </c>
      <c r="I555" s="47" t="n">
        <f aca="false">$F555*$G555</f>
        <v>11.399542</v>
      </c>
      <c r="J555" s="47" t="n">
        <f aca="false">$F555*$H555</f>
        <v>28.046735081568</v>
      </c>
      <c r="K555" s="47" t="n">
        <f aca="false">$I555*(1+BDI_MAT)</f>
        <v>13.7501275604</v>
      </c>
      <c r="L555" s="47" t="n">
        <f aca="false">$J555*(1+BDI_MDO)</f>
        <v>35.756782555491</v>
      </c>
      <c r="M555" s="47" t="n">
        <f aca="false">SUM(K555:L555)</f>
        <v>49.506910115891</v>
      </c>
      <c r="N555" s="20" t="str">
        <f aca="false">A555</f>
        <v>11.4.4.16</v>
      </c>
    </row>
    <row r="556" customFormat="false" ht="15" hidden="false" customHeight="false" outlineLevel="2" collapsed="false">
      <c r="A556" s="42" t="s">
        <v>795</v>
      </c>
      <c r="B556" s="43"/>
      <c r="C556" s="50" t="s">
        <v>796</v>
      </c>
      <c r="D556" s="45"/>
      <c r="E556" s="44"/>
      <c r="F556" s="46"/>
      <c r="G556" s="51"/>
      <c r="H556" s="52"/>
      <c r="I556" s="47" t="n">
        <f aca="false">SUBTOTAL(9,I557)</f>
        <v>5299.29573935315</v>
      </c>
      <c r="J556" s="47" t="n">
        <f aca="false">SUBTOTAL(9,J557)</f>
        <v>891.330020500974</v>
      </c>
      <c r="K556" s="47" t="n">
        <f aca="false">SUBTOTAL(9,K557)</f>
        <v>6392.01052080777</v>
      </c>
      <c r="L556" s="47" t="n">
        <f aca="false">SUBTOTAL(9,L557)</f>
        <v>1136.35664313669</v>
      </c>
      <c r="M556" s="47" t="n">
        <f aca="false">SUBTOTAL(9,M557)</f>
        <v>7528.36716394446</v>
      </c>
      <c r="N556" s="20" t="str">
        <f aca="false">A556</f>
        <v>11.4.5</v>
      </c>
    </row>
    <row r="557" customFormat="false" ht="30" hidden="false" customHeight="false" outlineLevel="2" collapsed="false">
      <c r="A557" s="42" t="s">
        <v>797</v>
      </c>
      <c r="B557" s="43" t="s">
        <v>798</v>
      </c>
      <c r="C557" s="50" t="str">
        <f aca="false">VLOOKUP($B557,03_COMPOSIÇÕES!$A:$G,2,0)</f>
        <v>DRENO SUBSUPERFICIAL (SEÇÃO 0,30 X 0,30 M), CEGO, ENCHIMENTO DE BRITA, ENVOLVIDO COM MANTA GEOTÊXTIL.</v>
      </c>
      <c r="D557" s="45" t="s">
        <v>59</v>
      </c>
      <c r="E557" s="51" t="str">
        <f aca="false">VLOOKUP($B557,03_COMPOSIÇÕES!$A:$G,4,0)</f>
        <v>M</v>
      </c>
      <c r="F557" s="46" t="n">
        <v>218.57</v>
      </c>
      <c r="G557" s="51" t="n">
        <f aca="false">VLOOKUP($B557,03_COMPOSIÇÕES!$A:$G,6,0)</f>
        <v>24.2453023715659</v>
      </c>
      <c r="H557" s="52" t="n">
        <f aca="false">VLOOKUP($B557,03_COMPOSIÇÕES!$A:$G,7,0)</f>
        <v>4.0780071395936</v>
      </c>
      <c r="I557" s="47" t="n">
        <f aca="false">$F557*$G557</f>
        <v>5299.29573935315</v>
      </c>
      <c r="J557" s="47" t="n">
        <f aca="false">$F557*$H557</f>
        <v>891.330020500974</v>
      </c>
      <c r="K557" s="47" t="n">
        <f aca="false">$I557*(1+BDI_MAT)</f>
        <v>6392.01052080777</v>
      </c>
      <c r="L557" s="47" t="n">
        <f aca="false">$J557*(1+BDI_MDO)</f>
        <v>1136.35664313669</v>
      </c>
      <c r="M557" s="47" t="n">
        <f aca="false">SUM(K557:L557)</f>
        <v>7528.36716394446</v>
      </c>
      <c r="N557" s="20" t="str">
        <f aca="false">A557</f>
        <v>11.4.5.1</v>
      </c>
    </row>
    <row r="558" customFormat="false" ht="15" hidden="false" customHeight="false" outlineLevel="1" collapsed="false">
      <c r="A558" s="42" t="s">
        <v>799</v>
      </c>
      <c r="B558" s="43"/>
      <c r="C558" s="50" t="s">
        <v>800</v>
      </c>
      <c r="D558" s="45"/>
      <c r="E558" s="44"/>
      <c r="F558" s="46"/>
      <c r="G558" s="51"/>
      <c r="H558" s="52"/>
      <c r="I558" s="47" t="n">
        <f aca="false">SUM(I559)</f>
        <v>3642.74517856667</v>
      </c>
      <c r="J558" s="47" t="n">
        <f aca="false">SUM(J559)</f>
        <v>585.20997900702</v>
      </c>
      <c r="K558" s="47" t="n">
        <f aca="false">SUM(K559)</f>
        <v>4393.87923438711</v>
      </c>
      <c r="L558" s="47" t="n">
        <f aca="false">SUM(L559)</f>
        <v>746.08420223605</v>
      </c>
      <c r="M558" s="47" t="n">
        <f aca="false">SUM(M559)</f>
        <v>5139.96343662316</v>
      </c>
      <c r="N558" s="20" t="str">
        <f aca="false">A558</f>
        <v>11.5</v>
      </c>
    </row>
    <row r="559" customFormat="false" ht="15" hidden="false" customHeight="false" outlineLevel="2" collapsed="false">
      <c r="A559" s="42" t="s">
        <v>801</v>
      </c>
      <c r="B559" s="43"/>
      <c r="C559" s="50" t="s">
        <v>699</v>
      </c>
      <c r="D559" s="45"/>
      <c r="E559" s="44"/>
      <c r="F559" s="46"/>
      <c r="G559" s="51"/>
      <c r="H559" s="52"/>
      <c r="I559" s="47" t="n">
        <f aca="false">SUBTOTAL(9,I560:I575)</f>
        <v>3642.74517856667</v>
      </c>
      <c r="J559" s="47" t="n">
        <f aca="false">SUBTOTAL(9,J560:J575)</f>
        <v>585.20997900702</v>
      </c>
      <c r="K559" s="47" t="n">
        <f aca="false">SUBTOTAL(9,K560:K575)</f>
        <v>4393.87923438711</v>
      </c>
      <c r="L559" s="47" t="n">
        <f aca="false">SUBTOTAL(9,L560:L575)</f>
        <v>746.08420223605</v>
      </c>
      <c r="M559" s="47" t="n">
        <f aca="false">SUBTOTAL(9,M560:M575)</f>
        <v>5139.96343662316</v>
      </c>
      <c r="N559" s="20" t="str">
        <f aca="false">A559</f>
        <v>11.5.1</v>
      </c>
    </row>
    <row r="560" customFormat="false" ht="45" hidden="false" customHeight="false" outlineLevel="2" collapsed="false">
      <c r="A560" s="42" t="s">
        <v>802</v>
      </c>
      <c r="B560" s="43" t="n">
        <v>89802</v>
      </c>
      <c r="C560" s="50" t="str">
        <f aca="false">VLOOKUP($B560,03_COMPOSIÇÕES!$A:$G,2,0)</f>
        <v>JOELHO 45 GRAUS, PVC, SERIE NORMAL, ESGOTO PREDIAL, DN 50 MM, JUNTA ELÁSTICA, FORNECIDO E INSTALADO EM PRUMADA DE ESGOTO SANITÁRIO OU VENTILAÇÃO. AF_08/2022</v>
      </c>
      <c r="D560" s="45" t="s">
        <v>59</v>
      </c>
      <c r="E560" s="51" t="str">
        <f aca="false">VLOOKUP($B560,03_COMPOSIÇÕES!$A:$G,4,0)</f>
        <v>UN</v>
      </c>
      <c r="F560" s="46" t="n">
        <v>29</v>
      </c>
      <c r="G560" s="51" t="n">
        <f aca="false">VLOOKUP($B560,03_COMPOSIÇÕES!$A:$G,6,0)</f>
        <v>5.802596</v>
      </c>
      <c r="H560" s="52" t="n">
        <f aca="false">VLOOKUP($B560,03_COMPOSIÇÕES!$A:$G,7,0)</f>
        <v>1.16901158472</v>
      </c>
      <c r="I560" s="47" t="n">
        <f aca="false">$F560*$G560</f>
        <v>168.275284</v>
      </c>
      <c r="J560" s="47" t="n">
        <f aca="false">$F560*$H560</f>
        <v>33.90133595688</v>
      </c>
      <c r="K560" s="47" t="n">
        <f aca="false">$I560*(1+BDI_MAT)</f>
        <v>202.9736475608</v>
      </c>
      <c r="L560" s="47" t="n">
        <f aca="false">$J560*(1+BDI_MDO)</f>
        <v>43.2208132114263</v>
      </c>
      <c r="M560" s="47" t="n">
        <f aca="false">SUM(K560:L560)</f>
        <v>246.194460772226</v>
      </c>
      <c r="N560" s="20" t="str">
        <f aca="false">A560</f>
        <v>11.5.1.1</v>
      </c>
    </row>
    <row r="561" customFormat="false" ht="45" hidden="false" customHeight="false" outlineLevel="2" collapsed="false">
      <c r="A561" s="42" t="s">
        <v>803</v>
      </c>
      <c r="B561" s="43" t="n">
        <v>89806</v>
      </c>
      <c r="C561" s="50" t="str">
        <f aca="false">VLOOKUP($B561,03_COMPOSIÇÕES!$A:$G,2,0)</f>
        <v>JOELHO 45 GRAUS, PVC, SERIE NORMAL, ESGOTO PREDIAL, DN 75 MM, JUNTA ELÁSTICA, FORNECIDO E INSTALADO EM PRUMADA DE ESGOTO SANITÁRIO OU VENTILAÇÃO. AF_08/2022</v>
      </c>
      <c r="D561" s="45" t="s">
        <v>59</v>
      </c>
      <c r="E561" s="51" t="str">
        <f aca="false">VLOOKUP($B561,03_COMPOSIÇÕES!$A:$G,4,0)</f>
        <v>UN</v>
      </c>
      <c r="F561" s="46" t="n">
        <v>7</v>
      </c>
      <c r="G561" s="51" t="n">
        <f aca="false">VLOOKUP($B561,03_COMPOSIÇÕES!$A:$G,6,0)</f>
        <v>16.939278</v>
      </c>
      <c r="H561" s="52" t="n">
        <f aca="false">VLOOKUP($B561,03_COMPOSIÇÕES!$A:$G,7,0)</f>
        <v>4.28410367928</v>
      </c>
      <c r="I561" s="47" t="n">
        <f aca="false">$F561*$G561</f>
        <v>118.574946</v>
      </c>
      <c r="J561" s="47" t="n">
        <f aca="false">$F561*$H561</f>
        <v>29.98872575496</v>
      </c>
      <c r="K561" s="47" t="n">
        <f aca="false">$I561*(1+BDI_MAT)</f>
        <v>143.0250998652</v>
      </c>
      <c r="L561" s="47" t="n">
        <f aca="false">$J561*(1+BDI_MDO)</f>
        <v>38.2326264649985</v>
      </c>
      <c r="M561" s="47" t="n">
        <f aca="false">SUM(K561:L561)</f>
        <v>181.257726330199</v>
      </c>
      <c r="N561" s="20" t="str">
        <f aca="false">A561</f>
        <v>11.5.1.2</v>
      </c>
    </row>
    <row r="562" customFormat="false" ht="45" hidden="false" customHeight="false" outlineLevel="2" collapsed="false">
      <c r="A562" s="42" t="s">
        <v>804</v>
      </c>
      <c r="B562" s="43" t="n">
        <v>89801</v>
      </c>
      <c r="C562" s="50" t="str">
        <f aca="false">VLOOKUP($B562,03_COMPOSIÇÕES!$A:$G,2,0)</f>
        <v>JOELHO 90 GRAUS, PVC, SERIE NORMAL, ESGOTO PREDIAL, DN 50 MM, JUNTA ELÁSTICA, FORNECIDO E INSTALADO EM PRUMADA DE ESGOTO SANITÁRIO OU VENTILAÇÃO. AF_08/2022</v>
      </c>
      <c r="D562" s="45" t="s">
        <v>59</v>
      </c>
      <c r="E562" s="51" t="str">
        <f aca="false">VLOOKUP($B562,03_COMPOSIÇÕES!$A:$G,4,0)</f>
        <v>UN</v>
      </c>
      <c r="F562" s="46" t="n">
        <v>36</v>
      </c>
      <c r="G562" s="51" t="n">
        <f aca="false">VLOOKUP($B562,03_COMPOSIÇÕES!$A:$G,6,0)</f>
        <v>8.402596</v>
      </c>
      <c r="H562" s="52" t="n">
        <f aca="false">VLOOKUP($B562,03_COMPOSIÇÕES!$A:$G,7,0)</f>
        <v>1.16901158472</v>
      </c>
      <c r="I562" s="47" t="n">
        <f aca="false">$F562*$G562</f>
        <v>302.493456</v>
      </c>
      <c r="J562" s="47" t="n">
        <f aca="false">$F562*$H562</f>
        <v>42.08441704992</v>
      </c>
      <c r="K562" s="47" t="n">
        <f aca="false">$I562*(1+BDI_MAT)</f>
        <v>364.8676066272</v>
      </c>
      <c r="L562" s="47" t="n">
        <f aca="false">$J562*(1+BDI_MDO)</f>
        <v>53.653423296943</v>
      </c>
      <c r="M562" s="47" t="n">
        <f aca="false">SUM(K562:L562)</f>
        <v>418.521029924143</v>
      </c>
      <c r="N562" s="20" t="str">
        <f aca="false">A562</f>
        <v>11.5.1.3</v>
      </c>
    </row>
    <row r="563" customFormat="false" ht="45" hidden="false" customHeight="false" outlineLevel="2" collapsed="false">
      <c r="A563" s="42" t="s">
        <v>805</v>
      </c>
      <c r="B563" s="43" t="n">
        <v>89805</v>
      </c>
      <c r="C563" s="50" t="str">
        <f aca="false">VLOOKUP($B563,03_COMPOSIÇÕES!$A:$G,2,0)</f>
        <v>JOELHO 90 GRAUS, PVC, SERIE NORMAL, ESGOTO PREDIAL, DN 75 MM, JUNTA ELÁSTICA, FORNECIDO E INSTALADO EM PRUMADA DE ESGOTO SANITÁRIO OU VENTILAÇÃO. AF_08/2022</v>
      </c>
      <c r="D563" s="45" t="s">
        <v>59</v>
      </c>
      <c r="E563" s="51" t="str">
        <f aca="false">VLOOKUP($B563,03_COMPOSIÇÕES!$A:$G,4,0)</f>
        <v>UN</v>
      </c>
      <c r="F563" s="46" t="n">
        <v>10</v>
      </c>
      <c r="G563" s="51" t="n">
        <f aca="false">VLOOKUP($B563,03_COMPOSIÇÕES!$A:$G,6,0)</f>
        <v>16.047604</v>
      </c>
      <c r="H563" s="52" t="n">
        <f aca="false">VLOOKUP($B563,03_COMPOSIÇÕES!$A:$G,7,0)</f>
        <v>4.28410367928</v>
      </c>
      <c r="I563" s="47" t="n">
        <f aca="false">$F563*$G563</f>
        <v>160.47604</v>
      </c>
      <c r="J563" s="47" t="n">
        <f aca="false">$F563*$H563</f>
        <v>42.8410367928</v>
      </c>
      <c r="K563" s="47" t="n">
        <f aca="false">$I563*(1+BDI_MAT)</f>
        <v>193.566199448</v>
      </c>
      <c r="L563" s="47" t="n">
        <f aca="false">$J563*(1+BDI_MDO)</f>
        <v>54.6180378071407</v>
      </c>
      <c r="M563" s="47" t="n">
        <f aca="false">SUM(K563:L563)</f>
        <v>248.184237255141</v>
      </c>
      <c r="N563" s="20" t="str">
        <f aca="false">A563</f>
        <v>11.5.1.4</v>
      </c>
    </row>
    <row r="564" customFormat="false" ht="45" hidden="false" customHeight="false" outlineLevel="2" collapsed="false">
      <c r="A564" s="42" t="s">
        <v>806</v>
      </c>
      <c r="B564" s="43" t="n">
        <v>89827</v>
      </c>
      <c r="C564" s="50" t="str">
        <f aca="false">VLOOKUP($B564,03_COMPOSIÇÕES!$A:$G,2,0)</f>
        <v>JUNÇÃO SIMPLES, PVC, SERIE NORMAL, ESGOTO PREDIAL, DN 50 X 50 MM, JUNTA ELÁSTICA, FORNECIDO E INSTALADO EM PRUMADA DE ESGOTO SANITÁRIO OU VENTILAÇÃO. AF_08/2022</v>
      </c>
      <c r="D564" s="45" t="s">
        <v>59</v>
      </c>
      <c r="E564" s="51" t="str">
        <f aca="false">VLOOKUP($B564,03_COMPOSIÇÕES!$A:$G,4,0)</f>
        <v>UN</v>
      </c>
      <c r="F564" s="46" t="n">
        <v>1</v>
      </c>
      <c r="G564" s="51" t="n">
        <f aca="false">VLOOKUP($B564,03_COMPOSIÇÕES!$A:$G,6,0)</f>
        <v>17.999302</v>
      </c>
      <c r="H564" s="52" t="n">
        <f aca="false">VLOOKUP($B564,03_COMPOSIÇÕES!$A:$G,7,0)</f>
        <v>1.55754604728</v>
      </c>
      <c r="I564" s="47" t="n">
        <f aca="false">$F564*$G564</f>
        <v>17.999302</v>
      </c>
      <c r="J564" s="47" t="n">
        <f aca="false">$F564*$H564</f>
        <v>1.55754604728</v>
      </c>
      <c r="K564" s="47" t="n">
        <f aca="false">$I564*(1+BDI_MAT)</f>
        <v>21.7107580724</v>
      </c>
      <c r="L564" s="47" t="n">
        <f aca="false">$J564*(1+BDI_MDO)</f>
        <v>1.98571545567727</v>
      </c>
      <c r="M564" s="47" t="n">
        <f aca="false">SUM(K564:L564)</f>
        <v>23.6964735280773</v>
      </c>
      <c r="N564" s="20" t="str">
        <f aca="false">A564</f>
        <v>11.5.1.5</v>
      </c>
    </row>
    <row r="565" customFormat="false" ht="45" hidden="false" customHeight="false" outlineLevel="2" collapsed="false">
      <c r="A565" s="42" t="s">
        <v>807</v>
      </c>
      <c r="B565" s="43" t="s">
        <v>719</v>
      </c>
      <c r="C565" s="50" t="str">
        <f aca="false">VLOOKUP($B565,03_COMPOSIÇÕES!$A:$G,2,0)</f>
        <v>JUNÇÃO SIMPLES DE REDUÇÃO, PVC, SERIE NORMAL, ESGOTO PREDIAL, DN 75 X 50 MM, JUNTA ELÁSTICA, FORNECIDO E INSTALADO EM PRUMADA DE ESGOTO SANITÁRIO OU VENTILAÇÃO.</v>
      </c>
      <c r="D565" s="45" t="s">
        <v>59</v>
      </c>
      <c r="E565" s="51" t="str">
        <f aca="false">VLOOKUP($B565,03_COMPOSIÇÕES!$A:$G,4,0)</f>
        <v>UN</v>
      </c>
      <c r="F565" s="46" t="n">
        <v>1</v>
      </c>
      <c r="G565" s="51" t="n">
        <f aca="false">VLOOKUP($B565,03_COMPOSIÇÕES!$A:$G,6,0)</f>
        <v>22.0956386666667</v>
      </c>
      <c r="H565" s="52" t="n">
        <f aca="false">VLOOKUP($B565,03_COMPOSIÇÕES!$A:$G,7,0)</f>
        <v>5.71213823904</v>
      </c>
      <c r="I565" s="47" t="n">
        <f aca="false">$F565*$G565</f>
        <v>22.0956386666667</v>
      </c>
      <c r="J565" s="47" t="n">
        <f aca="false">$F565*$H565</f>
        <v>5.71213823904</v>
      </c>
      <c r="K565" s="47" t="n">
        <f aca="false">$I565*(1+BDI_MAT)</f>
        <v>26.6517593597333</v>
      </c>
      <c r="L565" s="47" t="n">
        <f aca="false">$J565*(1+BDI_MDO)</f>
        <v>7.2824050409521</v>
      </c>
      <c r="M565" s="47" t="n">
        <f aca="false">SUM(K565:L565)</f>
        <v>33.9341644006854</v>
      </c>
      <c r="N565" s="20" t="str">
        <f aca="false">A565</f>
        <v>11.5.1.6</v>
      </c>
    </row>
    <row r="566" customFormat="false" ht="45" hidden="false" customHeight="false" outlineLevel="2" collapsed="false">
      <c r="A566" s="42" t="s">
        <v>808</v>
      </c>
      <c r="B566" s="43" t="n">
        <v>89830</v>
      </c>
      <c r="C566" s="50" t="str">
        <f aca="false">VLOOKUP($B566,03_COMPOSIÇÕES!$A:$G,2,0)</f>
        <v>JUNÇÃO SIMPLES, PVC, SERIE NORMAL, ESGOTO PREDIAL, DN 75 X 75 MM, JUNTA ELÁSTICA, FORNECIDO E INSTALADO EM PRUMADA DE ESGOTO SANITÁRIO OU VENTILAÇÃO. AF_08/2022</v>
      </c>
      <c r="D566" s="45" t="s">
        <v>59</v>
      </c>
      <c r="E566" s="51" t="str">
        <f aca="false">VLOOKUP($B566,03_COMPOSIÇÕES!$A:$G,4,0)</f>
        <v>UN</v>
      </c>
      <c r="F566" s="46" t="n">
        <v>7</v>
      </c>
      <c r="G566" s="51" t="n">
        <f aca="false">VLOOKUP($B566,03_COMPOSIÇÕES!$A:$G,6,0)</f>
        <v>29.619472</v>
      </c>
      <c r="H566" s="52" t="n">
        <f aca="false">VLOOKUP($B566,03_COMPOSIÇÕES!$A:$G,7,0)</f>
        <v>5.71213823904</v>
      </c>
      <c r="I566" s="47" t="n">
        <f aca="false">$F566*$G566</f>
        <v>207.336304</v>
      </c>
      <c r="J566" s="47" t="n">
        <f aca="false">$F566*$H566</f>
        <v>39.98496767328</v>
      </c>
      <c r="K566" s="47" t="n">
        <f aca="false">$I566*(1+BDI_MAT)</f>
        <v>250.0890498848</v>
      </c>
      <c r="L566" s="47" t="n">
        <f aca="false">$J566*(1+BDI_MDO)</f>
        <v>50.9768352866647</v>
      </c>
      <c r="M566" s="47" t="n">
        <f aca="false">SUM(K566:L566)</f>
        <v>301.065885171465</v>
      </c>
      <c r="N566" s="20" t="str">
        <f aca="false">A566</f>
        <v>11.5.1.7</v>
      </c>
    </row>
    <row r="567" customFormat="false" ht="45" hidden="false" customHeight="false" outlineLevel="2" collapsed="false">
      <c r="A567" s="42" t="s">
        <v>809</v>
      </c>
      <c r="B567" s="43" t="n">
        <v>89813</v>
      </c>
      <c r="C567" s="50" t="str">
        <f aca="false">VLOOKUP($B567,03_COMPOSIÇÕES!$A:$G,2,0)</f>
        <v>LUVA SIMPLES, PVC, SERIE NORMAL, ESGOTO PREDIAL, DN 50 MM, JUNTA ELÁSTICA, FORNECIDO E INSTALADO EM PRUMADA DE ESGOTO SANITÁRIO OU VENTILAÇÃO. AF_08/2022</v>
      </c>
      <c r="D567" s="45" t="s">
        <v>59</v>
      </c>
      <c r="E567" s="51" t="str">
        <f aca="false">VLOOKUP($B567,03_COMPOSIÇÕES!$A:$G,4,0)</f>
        <v>UN</v>
      </c>
      <c r="F567" s="46" t="n">
        <v>35</v>
      </c>
      <c r="G567" s="51" t="n">
        <f aca="false">VLOOKUP($B567,03_COMPOSIÇÕES!$A:$G,6,0)</f>
        <v>1.578773</v>
      </c>
      <c r="H567" s="52" t="n">
        <f aca="false">VLOOKUP($B567,03_COMPOSIÇÕES!$A:$G,7,0)</f>
        <v>0.77706892512</v>
      </c>
      <c r="I567" s="47" t="n">
        <f aca="false">$F567*$G567</f>
        <v>55.257055</v>
      </c>
      <c r="J567" s="47" t="n">
        <f aca="false">$F567*$H567</f>
        <v>27.1974123792</v>
      </c>
      <c r="K567" s="47" t="n">
        <f aca="false">$I567*(1+BDI_MAT)</f>
        <v>66.651059741</v>
      </c>
      <c r="L567" s="47" t="n">
        <f aca="false">$J567*(1+BDI_MDO)</f>
        <v>34.6739810422421</v>
      </c>
      <c r="M567" s="47" t="n">
        <f aca="false">SUM(K567:L567)</f>
        <v>101.325040783242</v>
      </c>
      <c r="N567" s="20" t="str">
        <f aca="false">A567</f>
        <v>11.5.1.8</v>
      </c>
    </row>
    <row r="568" customFormat="false" ht="45" hidden="false" customHeight="false" outlineLevel="2" collapsed="false">
      <c r="A568" s="42" t="s">
        <v>810</v>
      </c>
      <c r="B568" s="43" t="n">
        <v>89817</v>
      </c>
      <c r="C568" s="50" t="str">
        <f aca="false">VLOOKUP($B568,03_COMPOSIÇÕES!$A:$G,2,0)</f>
        <v>LUVA SIMPLES, PVC, SERIE NORMAL, ESGOTO PREDIAL, DN 75 MM, JUNTA ELÁSTICA, FORNECIDO E INSTALADO EM PRUMADA DE ESGOTO SANITÁRIO OU VENTILAÇÃO. AF_08/2022</v>
      </c>
      <c r="D568" s="45" t="s">
        <v>59</v>
      </c>
      <c r="E568" s="51" t="str">
        <f aca="false">VLOOKUP($B568,03_COMPOSIÇÕES!$A:$G,4,0)</f>
        <v>UN</v>
      </c>
      <c r="F568" s="46" t="n">
        <v>19</v>
      </c>
      <c r="G568" s="51" t="n">
        <f aca="false">VLOOKUP($B568,03_COMPOSIÇÕES!$A:$G,6,0)</f>
        <v>11.191819</v>
      </c>
      <c r="H568" s="52" t="n">
        <f aca="false">VLOOKUP($B568,03_COMPOSIÇÕES!$A:$G,7,0)</f>
        <v>2.85606911952</v>
      </c>
      <c r="I568" s="47" t="n">
        <f aca="false">$F568*$G568</f>
        <v>212.644561</v>
      </c>
      <c r="J568" s="47" t="n">
        <f aca="false">$F568*$H568</f>
        <v>54.26531327088</v>
      </c>
      <c r="K568" s="47" t="n">
        <f aca="false">$I568*(1+BDI_MAT)</f>
        <v>256.4918694782</v>
      </c>
      <c r="L568" s="47" t="n">
        <f aca="false">$J568*(1+BDI_MDO)</f>
        <v>69.1828478890449</v>
      </c>
      <c r="M568" s="47" t="n">
        <f aca="false">SUM(K568:L568)</f>
        <v>325.674717367245</v>
      </c>
      <c r="N568" s="20" t="str">
        <f aca="false">A568</f>
        <v>11.5.1.9</v>
      </c>
    </row>
    <row r="569" customFormat="false" ht="45" hidden="false" customHeight="false" outlineLevel="2" collapsed="false">
      <c r="A569" s="42" t="s">
        <v>811</v>
      </c>
      <c r="B569" s="43" t="n">
        <v>89549</v>
      </c>
      <c r="C569" s="50" t="str">
        <f aca="false">VLOOKUP($B569,03_COMPOSIÇÕES!$A:$G,2,0)</f>
        <v>REDUÇÃO EXCÊNTRICA, PVC, SERIE R, ÁGUA PLUVIAL, DN 75 X 50 MM, JUNTA ELÁSTICA, FORNECIDO E INSTALADO EM RAMAL DE ENCAMINHAMENTO. AF_06/2022</v>
      </c>
      <c r="D569" s="45" t="s">
        <v>59</v>
      </c>
      <c r="E569" s="51" t="str">
        <f aca="false">VLOOKUP($B569,03_COMPOSIÇÕES!$A:$G,4,0)</f>
        <v>UN</v>
      </c>
      <c r="F569" s="46" t="n">
        <v>5</v>
      </c>
      <c r="G569" s="51" t="n">
        <f aca="false">VLOOKUP($B569,03_COMPOSIÇÕES!$A:$G,6,0)</f>
        <v>17.017876</v>
      </c>
      <c r="H569" s="52" t="n">
        <f aca="false">VLOOKUP($B569,03_COMPOSIÇÕES!$A:$G,7,0)</f>
        <v>1.75862967264</v>
      </c>
      <c r="I569" s="47" t="n">
        <f aca="false">$F569*$G569</f>
        <v>85.08938</v>
      </c>
      <c r="J569" s="47" t="n">
        <f aca="false">$F569*$H569</f>
        <v>8.7931483632</v>
      </c>
      <c r="K569" s="47" t="n">
        <f aca="false">$I569*(1+BDI_MAT)</f>
        <v>102.634810156</v>
      </c>
      <c r="L569" s="47" t="n">
        <f aca="false">$J569*(1+BDI_MDO)</f>
        <v>11.2103848482437</v>
      </c>
      <c r="M569" s="47" t="n">
        <f aca="false">SUM(K569:L569)</f>
        <v>113.845195004244</v>
      </c>
      <c r="N569" s="20" t="str">
        <f aca="false">A569</f>
        <v>11.5.1.10</v>
      </c>
    </row>
    <row r="570" customFormat="false" ht="45" hidden="false" customHeight="false" outlineLevel="2" collapsed="false">
      <c r="A570" s="42" t="s">
        <v>812</v>
      </c>
      <c r="B570" s="43" t="n">
        <v>104348</v>
      </c>
      <c r="C570" s="50" t="str">
        <f aca="false">VLOOKUP($B570,03_COMPOSIÇÕES!$A:$G,2,0)</f>
        <v>TERMINAL DE VENTILAÇÃO, PVC, SÉRIE NORMAL, ESGOTO PREDIAL, DN 50 MM, JUNTA SOLDÁVEL, FORNECIDO E INSTALADO EM PRUMADA DE ESGOTO SANITÁRIO OU VENTILAÇÃO. AF_08/2022</v>
      </c>
      <c r="D570" s="45" t="s">
        <v>59</v>
      </c>
      <c r="E570" s="51" t="str">
        <f aca="false">VLOOKUP($B570,03_COMPOSIÇÕES!$A:$G,4,0)</f>
        <v>UN</v>
      </c>
      <c r="F570" s="46" t="n">
        <v>8</v>
      </c>
      <c r="G570" s="51" t="n">
        <f aca="false">VLOOKUP($B570,03_COMPOSIÇÕES!$A:$G,6,0)</f>
        <v>11.096601</v>
      </c>
      <c r="H570" s="52" t="n">
        <f aca="false">VLOOKUP($B570,03_COMPOSIÇÕES!$A:$G,7,0)</f>
        <v>0.38853446256</v>
      </c>
      <c r="I570" s="47" t="n">
        <f aca="false">$F570*$G570</f>
        <v>88.772808</v>
      </c>
      <c r="J570" s="47" t="n">
        <f aca="false">$F570*$H570</f>
        <v>3.10827570048</v>
      </c>
      <c r="K570" s="47" t="n">
        <f aca="false">$I570*(1+BDI_MAT)</f>
        <v>107.0777610096</v>
      </c>
      <c r="L570" s="47" t="n">
        <f aca="false">$J570*(1+BDI_MDO)</f>
        <v>3.96274069054195</v>
      </c>
      <c r="M570" s="47" t="n">
        <f aca="false">SUM(K570:L570)</f>
        <v>111.040501700142</v>
      </c>
      <c r="N570" s="20" t="str">
        <f aca="false">A570</f>
        <v>11.5.1.11</v>
      </c>
    </row>
    <row r="571" customFormat="false" ht="45" hidden="false" customHeight="false" outlineLevel="2" collapsed="false">
      <c r="A571" s="42" t="s">
        <v>813</v>
      </c>
      <c r="B571" s="43" t="n">
        <v>104351</v>
      </c>
      <c r="C571" s="50" t="str">
        <f aca="false">VLOOKUP($B571,03_COMPOSIÇÕES!$A:$G,2,0)</f>
        <v>TERMINAL DE VENTILAÇÃO, PVC, SÉRIE NORMAL, ESGOTO PREDIAL, DN 75 MM, JUNTA SOLDÁVEL, FORNECIDO E INSTALADO EM PRUMADA DE ESGOTO SANITÁRIO OU VENTILAÇÃO. AF_08/2022</v>
      </c>
      <c r="D571" s="45" t="s">
        <v>59</v>
      </c>
      <c r="E571" s="51" t="str">
        <f aca="false">VLOOKUP($B571,03_COMPOSIÇÕES!$A:$G,4,0)</f>
        <v>UN</v>
      </c>
      <c r="F571" s="46" t="n">
        <v>3</v>
      </c>
      <c r="G571" s="51" t="n">
        <f aca="false">VLOOKUP($B571,03_COMPOSIÇÕES!$A:$G,6,0)</f>
        <v>21.932825</v>
      </c>
      <c r="H571" s="52" t="n">
        <f aca="false">VLOOKUP($B571,03_COMPOSIÇÕES!$A:$G,7,0)</f>
        <v>1.42803455976</v>
      </c>
      <c r="I571" s="47" t="n">
        <f aca="false">$F571*$G571</f>
        <v>65.798475</v>
      </c>
      <c r="J571" s="47" t="n">
        <f aca="false">$F571*$H571</f>
        <v>4.28410367928</v>
      </c>
      <c r="K571" s="47" t="n">
        <f aca="false">$I571*(1+BDI_MAT)</f>
        <v>79.366120545</v>
      </c>
      <c r="L571" s="47" t="n">
        <f aca="false">$J571*(1+BDI_MDO)</f>
        <v>5.46180378071407</v>
      </c>
      <c r="M571" s="47" t="n">
        <f aca="false">SUM(K571:L571)</f>
        <v>84.8279243257141</v>
      </c>
      <c r="N571" s="20" t="str">
        <f aca="false">A571</f>
        <v>11.5.1.12</v>
      </c>
    </row>
    <row r="572" customFormat="false" ht="45" hidden="false" customHeight="false" outlineLevel="2" collapsed="false">
      <c r="A572" s="42" t="s">
        <v>814</v>
      </c>
      <c r="B572" s="43" t="n">
        <v>89798</v>
      </c>
      <c r="C572" s="50" t="str">
        <f aca="false">VLOOKUP($B572,03_COMPOSIÇÕES!$A:$G,2,0)</f>
        <v>TUBO PVC, SERIE NORMAL, ESGOTO PREDIAL, DN 50 MM, FORNECIDO E INSTALADO EM PRUMADA DE ESGOTO SANITÁRIO OU VENTILAÇÃO. AF_08/2022</v>
      </c>
      <c r="D572" s="45" t="s">
        <v>59</v>
      </c>
      <c r="E572" s="51" t="str">
        <f aca="false">VLOOKUP($B572,03_COMPOSIÇÕES!$A:$G,4,0)</f>
        <v>M</v>
      </c>
      <c r="F572" s="46" t="n">
        <v>95.7</v>
      </c>
      <c r="G572" s="51" t="n">
        <f aca="false">VLOOKUP($B572,03_COMPOSIÇÕES!$A:$G,6,0)</f>
        <v>12.681857</v>
      </c>
      <c r="H572" s="52" t="n">
        <f aca="false">VLOOKUP($B572,03_COMPOSIÇÕES!$A:$G,7,0)</f>
        <v>0.5601842142</v>
      </c>
      <c r="I572" s="47" t="n">
        <f aca="false">$F572*$G572</f>
        <v>1213.6537149</v>
      </c>
      <c r="J572" s="47" t="n">
        <f aca="false">$F572*$H572</f>
        <v>53.60962929894</v>
      </c>
      <c r="K572" s="47" t="n">
        <f aca="false">$I572*(1+BDI_MAT)</f>
        <v>1463.90911091238</v>
      </c>
      <c r="L572" s="47" t="n">
        <f aca="false">$J572*(1+BDI_MDO)</f>
        <v>68.3469163932186</v>
      </c>
      <c r="M572" s="47" t="n">
        <f aca="false">SUM(K572:L572)</f>
        <v>1532.2560273056</v>
      </c>
      <c r="N572" s="20" t="str">
        <f aca="false">A572</f>
        <v>11.5.1.13</v>
      </c>
    </row>
    <row r="573" customFormat="false" ht="45" hidden="false" customHeight="false" outlineLevel="2" collapsed="false">
      <c r="A573" s="42" t="s">
        <v>815</v>
      </c>
      <c r="B573" s="43" t="n">
        <v>89799</v>
      </c>
      <c r="C573" s="50" t="str">
        <f aca="false">VLOOKUP($B573,03_COMPOSIÇÕES!$A:$G,2,0)</f>
        <v>TUBO PVC, SERIE NORMAL, ESGOTO PREDIAL, DN 75 MM, FORNECIDO E INSTALADO EM PRUMADA DE ESGOTO SANITÁRIO OU VENTILAÇÃO. AF_08/2022</v>
      </c>
      <c r="D573" s="45" t="s">
        <v>59</v>
      </c>
      <c r="E573" s="51" t="str">
        <f aca="false">VLOOKUP($B573,03_COMPOSIÇÕES!$A:$G,4,0)</f>
        <v>M</v>
      </c>
      <c r="F573" s="46" t="n">
        <v>42</v>
      </c>
      <c r="G573" s="51" t="n">
        <f aca="false">VLOOKUP($B573,03_COMPOSIÇÕES!$A:$G,6,0)</f>
        <v>17.934743</v>
      </c>
      <c r="H573" s="52" t="n">
        <f aca="false">VLOOKUP($B573,03_COMPOSIÇÕES!$A:$G,7,0)</f>
        <v>5.19409228896</v>
      </c>
      <c r="I573" s="47" t="n">
        <f aca="false">$F573*$G573</f>
        <v>753.259206</v>
      </c>
      <c r="J573" s="47" t="n">
        <f aca="false">$F573*$H573</f>
        <v>218.15187613632</v>
      </c>
      <c r="K573" s="47" t="n">
        <f aca="false">$I573*(1+BDI_MAT)</f>
        <v>908.5812542772</v>
      </c>
      <c r="L573" s="47" t="n">
        <f aca="false">$J573*(1+BDI_MDO)</f>
        <v>278.121826886194</v>
      </c>
      <c r="M573" s="47" t="n">
        <f aca="false">SUM(K573:L573)</f>
        <v>1186.70308116339</v>
      </c>
      <c r="N573" s="20" t="str">
        <f aca="false">A573</f>
        <v>11.5.1.14</v>
      </c>
    </row>
    <row r="574" customFormat="false" ht="45" hidden="false" customHeight="false" outlineLevel="2" collapsed="false">
      <c r="A574" s="42" t="s">
        <v>816</v>
      </c>
      <c r="B574" s="43" t="n">
        <v>89825</v>
      </c>
      <c r="C574" s="50" t="str">
        <f aca="false">VLOOKUP($B574,03_COMPOSIÇÕES!$A:$G,2,0)</f>
        <v>TE, PVC, SERIE NORMAL, ESGOTO PREDIAL, DN 50 X 50 MM, JUNTA ELÁSTICA, FORNECIDO E INSTALADO EM PRUMADA DE ESGOTO SANITÁRIO OU VENTILAÇÃO. AF_08/2022</v>
      </c>
      <c r="D574" s="45" t="s">
        <v>59</v>
      </c>
      <c r="E574" s="51" t="str">
        <f aca="false">VLOOKUP($B574,03_COMPOSIÇÕES!$A:$G,4,0)</f>
        <v>UN</v>
      </c>
      <c r="F574" s="46" t="n">
        <v>9</v>
      </c>
      <c r="G574" s="51" t="n">
        <f aca="false">VLOOKUP($B574,03_COMPOSIÇÕES!$A:$G,6,0)</f>
        <v>15.630004</v>
      </c>
      <c r="H574" s="52" t="n">
        <f aca="false">VLOOKUP($B574,03_COMPOSIÇÕES!$A:$G,7,0)</f>
        <v>1.55754604728</v>
      </c>
      <c r="I574" s="47" t="n">
        <f aca="false">$F574*$G574</f>
        <v>140.670036</v>
      </c>
      <c r="J574" s="47" t="n">
        <f aca="false">$F574*$H574</f>
        <v>14.01791442552</v>
      </c>
      <c r="K574" s="47" t="n">
        <f aca="false">$I574*(1+BDI_MAT)</f>
        <v>169.6761974232</v>
      </c>
      <c r="L574" s="47" t="n">
        <f aca="false">$J574*(1+BDI_MDO)</f>
        <v>17.8714391010954</v>
      </c>
      <c r="M574" s="47" t="n">
        <f aca="false">SUM(K574:L574)</f>
        <v>187.547636524295</v>
      </c>
      <c r="N574" s="20" t="str">
        <f aca="false">A574</f>
        <v>11.5.1.15</v>
      </c>
    </row>
    <row r="575" customFormat="false" ht="45" hidden="false" customHeight="false" outlineLevel="2" collapsed="false">
      <c r="A575" s="42" t="s">
        <v>817</v>
      </c>
      <c r="B575" s="43" t="n">
        <v>89829</v>
      </c>
      <c r="C575" s="50" t="str">
        <f aca="false">VLOOKUP($B575,03_COMPOSIÇÕES!$A:$G,2,0)</f>
        <v>TE, PVC, SERIE NORMAL, ESGOTO PREDIAL, DN 75 X 75 MM, JUNTA ELÁSTICA, FORNECIDO E INSTALADO EM PRUMADA DE ESGOTO SANITÁRIO OU VENTILAÇÃO. AF_08/2022</v>
      </c>
      <c r="D575" s="45" t="s">
        <v>59</v>
      </c>
      <c r="E575" s="51" t="str">
        <f aca="false">VLOOKUP($B575,03_COMPOSIÇÕES!$A:$G,4,0)</f>
        <v>UN</v>
      </c>
      <c r="F575" s="46" t="n">
        <v>1</v>
      </c>
      <c r="G575" s="51" t="n">
        <f aca="false">VLOOKUP($B575,03_COMPOSIÇÕES!$A:$G,6,0)</f>
        <v>30.348972</v>
      </c>
      <c r="H575" s="52" t="n">
        <f aca="false">VLOOKUP($B575,03_COMPOSIÇÕES!$A:$G,7,0)</f>
        <v>5.71213823904</v>
      </c>
      <c r="I575" s="47" t="n">
        <f aca="false">$F575*$G575</f>
        <v>30.348972</v>
      </c>
      <c r="J575" s="47" t="n">
        <f aca="false">$F575*$H575</f>
        <v>5.71213823904</v>
      </c>
      <c r="K575" s="47" t="n">
        <f aca="false">$I575*(1+BDI_MAT)</f>
        <v>36.6069300264</v>
      </c>
      <c r="L575" s="47" t="n">
        <f aca="false">$J575*(1+BDI_MDO)</f>
        <v>7.2824050409521</v>
      </c>
      <c r="M575" s="47" t="n">
        <f aca="false">SUM(K575:L575)</f>
        <v>43.8893350673521</v>
      </c>
      <c r="N575" s="20" t="str">
        <f aca="false">A575</f>
        <v>11.5.1.16</v>
      </c>
    </row>
    <row r="576" customFormat="false" ht="15" hidden="false" customHeight="false" outlineLevel="1" collapsed="false">
      <c r="A576" s="42" t="s">
        <v>818</v>
      </c>
      <c r="B576" s="43"/>
      <c r="C576" s="50" t="s">
        <v>819</v>
      </c>
      <c r="D576" s="45"/>
      <c r="E576" s="44"/>
      <c r="F576" s="46"/>
      <c r="G576" s="51"/>
      <c r="H576" s="52"/>
      <c r="I576" s="47" t="n">
        <f aca="false">SUM(I577,I586,I618,I623,I625)</f>
        <v>29965.2169129767</v>
      </c>
      <c r="J576" s="47" t="n">
        <f aca="false">SUM(J577,J586,J618,J623,J625)</f>
        <v>5857.11178770539</v>
      </c>
      <c r="K576" s="47" t="n">
        <f aca="false">SUM(K577,K586,K618,K623,K625)</f>
        <v>36144.0446404325</v>
      </c>
      <c r="L576" s="47" t="n">
        <f aca="false">SUM(L577,L586,L618,L623,L625)</f>
        <v>7467.2318181456</v>
      </c>
      <c r="M576" s="47" t="n">
        <f aca="false">SUM(M577,M586,M618,M623,M625)</f>
        <v>43611.2764585781</v>
      </c>
      <c r="N576" s="20" t="str">
        <f aca="false">A576</f>
        <v>11.6</v>
      </c>
    </row>
    <row r="577" customFormat="false" ht="15" hidden="false" customHeight="false" outlineLevel="2" collapsed="false">
      <c r="A577" s="42" t="s">
        <v>820</v>
      </c>
      <c r="B577" s="43"/>
      <c r="C577" s="50" t="s">
        <v>669</v>
      </c>
      <c r="D577" s="45"/>
      <c r="E577" s="44"/>
      <c r="F577" s="46"/>
      <c r="G577" s="51"/>
      <c r="H577" s="52"/>
      <c r="I577" s="47" t="n">
        <f aca="false">SUBTOTAL(9,I578:I585)</f>
        <v>4888.399636</v>
      </c>
      <c r="J577" s="47" t="n">
        <f aca="false">SUBTOTAL(9,J578:J585)</f>
        <v>473.16438052104</v>
      </c>
      <c r="K577" s="47" t="n">
        <f aca="false">SUBTOTAL(9,K578:K585)</f>
        <v>5896.3876409432</v>
      </c>
      <c r="L577" s="47" t="n">
        <f aca="false">SUBTOTAL(9,L578:L585)</f>
        <v>603.237268726274</v>
      </c>
      <c r="M577" s="47" t="n">
        <f aca="false">SUBTOTAL(9,M578:M585)</f>
        <v>6499.62490966947</v>
      </c>
      <c r="N577" s="20" t="str">
        <f aca="false">A577</f>
        <v>11.6.1</v>
      </c>
    </row>
    <row r="578" customFormat="false" ht="30" hidden="false" customHeight="false" outlineLevel="3" collapsed="false">
      <c r="A578" s="42" t="s">
        <v>821</v>
      </c>
      <c r="B578" s="43" t="n">
        <v>94499</v>
      </c>
      <c r="C578" s="50" t="str">
        <f aca="false">VLOOKUP($B578,03_COMPOSIÇÕES!$A:$G,2,0)</f>
        <v>REGISTRO DE GAVETA BRUTO, LATÃO, ROSCÁVEL, 2 1/2" - FORNECIMENTO E INSTALAÇÃO. AF_08/2021</v>
      </c>
      <c r="D578" s="45" t="s">
        <v>59</v>
      </c>
      <c r="E578" s="51" t="str">
        <f aca="false">VLOOKUP($B578,03_COMPOSIÇÕES!$A:$G,4,0)</f>
        <v>UN</v>
      </c>
      <c r="F578" s="46" t="n">
        <v>2</v>
      </c>
      <c r="G578" s="51" t="n">
        <f aca="false">VLOOKUP($B578,03_COMPOSIÇÕES!$A:$G,6,0)</f>
        <v>263.610214</v>
      </c>
      <c r="H578" s="52" t="n">
        <f aca="false">VLOOKUP($B578,03_COMPOSIÇÕES!$A:$G,7,0)</f>
        <v>15.49366374384</v>
      </c>
      <c r="I578" s="47" t="n">
        <f aca="false">$F578*$G578</f>
        <v>527.220428</v>
      </c>
      <c r="J578" s="47" t="n">
        <f aca="false">$F578*$H578</f>
        <v>30.98732748768</v>
      </c>
      <c r="K578" s="47" t="n">
        <f aca="false">$I578*(1+BDI_MAT)</f>
        <v>635.9332802536</v>
      </c>
      <c r="L578" s="47" t="n">
        <f aca="false">$J578*(1+BDI_MDO)</f>
        <v>39.5057438140432</v>
      </c>
      <c r="M578" s="47" t="n">
        <f aca="false">SUM(K578:L578)</f>
        <v>675.439024067643</v>
      </c>
      <c r="N578" s="20" t="str">
        <f aca="false">A578</f>
        <v>11.6.1.1</v>
      </c>
    </row>
    <row r="579" customFormat="false" ht="45" hidden="false" customHeight="false" outlineLevel="3" collapsed="false">
      <c r="A579" s="42" t="s">
        <v>822</v>
      </c>
      <c r="B579" s="43" t="n">
        <v>94794</v>
      </c>
      <c r="C579" s="50" t="str">
        <f aca="false">VLOOKUP($B579,03_COMPOSIÇÕES!$A:$G,2,0)</f>
        <v>REGISTRO DE GAVETA BRUTO, LATÃO, ROSCÁVEL, 1 1/2", COM ACABAMENTO E CANOPLA CROMADOS - FORNECIMENTO E INSTALAÇÃO. AF_08/2021</v>
      </c>
      <c r="D579" s="45" t="s">
        <v>59</v>
      </c>
      <c r="E579" s="51" t="str">
        <f aca="false">VLOOKUP($B579,03_COMPOSIÇÕES!$A:$G,4,0)</f>
        <v>UN</v>
      </c>
      <c r="F579" s="46" t="n">
        <v>2</v>
      </c>
      <c r="G579" s="51" t="n">
        <f aca="false">VLOOKUP($B579,03_COMPOSIÇÕES!$A:$G,6,0)</f>
        <v>145.149036</v>
      </c>
      <c r="H579" s="52" t="n">
        <f aca="false">VLOOKUP($B579,03_COMPOSIÇÕES!$A:$G,7,0)</f>
        <v>12.75688152072</v>
      </c>
      <c r="I579" s="47" t="n">
        <f aca="false">$F579*$G579</f>
        <v>290.298072</v>
      </c>
      <c r="J579" s="47" t="n">
        <f aca="false">$F579*$H579</f>
        <v>25.51376304144</v>
      </c>
      <c r="K579" s="47" t="n">
        <f aca="false">$I579*(1+BDI_MAT)</f>
        <v>350.1575344464</v>
      </c>
      <c r="L579" s="47" t="n">
        <f aca="false">$J579*(1+BDI_MDO)</f>
        <v>32.5274965015319</v>
      </c>
      <c r="M579" s="47" t="n">
        <f aca="false">SUM(K579:L579)</f>
        <v>382.685030947932</v>
      </c>
      <c r="N579" s="20" t="str">
        <f aca="false">A579</f>
        <v>11.6.1.2</v>
      </c>
    </row>
    <row r="580" customFormat="false" ht="45" hidden="false" customHeight="false" outlineLevel="3" collapsed="false">
      <c r="A580" s="42" t="s">
        <v>823</v>
      </c>
      <c r="B580" s="43" t="n">
        <v>89987</v>
      </c>
      <c r="C580" s="50" t="str">
        <f aca="false">VLOOKUP($B580,03_COMPOSIÇÕES!$A:$G,2,0)</f>
        <v>REGISTRO DE GAVETA BRUTO, LATÃO, ROSCÁVEL, 3/4", COM ACABAMENTO E CANOPLA CROMADOS - FORNECIMENTO E INSTALAÇÃO. AF_08/2021</v>
      </c>
      <c r="D580" s="45" t="s">
        <v>59</v>
      </c>
      <c r="E580" s="51" t="str">
        <f aca="false">VLOOKUP($B580,03_COMPOSIÇÕES!$A:$G,4,0)</f>
        <v>UN</v>
      </c>
      <c r="F580" s="46" t="n">
        <v>30</v>
      </c>
      <c r="G580" s="51" t="n">
        <f aca="false">VLOOKUP($B580,03_COMPOSIÇÕES!$A:$G,6,0)</f>
        <v>3.18337</v>
      </c>
      <c r="H580" s="52" t="n">
        <f aca="false">VLOOKUP($B580,03_COMPOSIÇÕES!$A:$G,7,0)</f>
        <v>7.53893185248</v>
      </c>
      <c r="I580" s="47" t="n">
        <f aca="false">$F580*$G580</f>
        <v>95.5011</v>
      </c>
      <c r="J580" s="47" t="n">
        <f aca="false">$F580*$H580</f>
        <v>226.1679555744</v>
      </c>
      <c r="K580" s="47" t="n">
        <f aca="false">$I580*(1+BDI_MAT)</f>
        <v>115.19342682</v>
      </c>
      <c r="L580" s="47" t="n">
        <f aca="false">$J580*(1+BDI_MDO)</f>
        <v>288.341526561803</v>
      </c>
      <c r="M580" s="47" t="n">
        <f aca="false">SUM(K580:L580)</f>
        <v>403.534953381803</v>
      </c>
      <c r="N580" s="20" t="str">
        <f aca="false">A580</f>
        <v>11.6.1.3</v>
      </c>
    </row>
    <row r="581" customFormat="false" ht="30" hidden="false" customHeight="false" outlineLevel="3" collapsed="false">
      <c r="A581" s="42" t="s">
        <v>824</v>
      </c>
      <c r="B581" s="43" t="n">
        <v>94490</v>
      </c>
      <c r="C581" s="50" t="str">
        <f aca="false">VLOOKUP($B581,03_COMPOSIÇÕES!$A:$G,2,0)</f>
        <v>REGISTRO DE ESFERA, PVC, SOLDÁVEL, COM VOLANTE, DN 32 MM - FORNECIMENTO E INSTALAÇÃO. AF_08/2021</v>
      </c>
      <c r="D581" s="45" t="s">
        <v>59</v>
      </c>
      <c r="E581" s="51" t="str">
        <f aca="false">VLOOKUP($B581,03_COMPOSIÇÕES!$A:$G,4,0)</f>
        <v>UN</v>
      </c>
      <c r="F581" s="46" t="n">
        <v>4</v>
      </c>
      <c r="G581" s="51" t="n">
        <f aca="false">VLOOKUP($B581,03_COMPOSIÇÕES!$A:$G,6,0)</f>
        <v>26.85515</v>
      </c>
      <c r="H581" s="52" t="n">
        <f aca="false">VLOOKUP($B581,03_COMPOSIÇÕES!$A:$G,7,0)</f>
        <v>2.7095166468</v>
      </c>
      <c r="I581" s="47" t="n">
        <f aca="false">$F581*$G581</f>
        <v>107.4206</v>
      </c>
      <c r="J581" s="47" t="n">
        <f aca="false">$F581*$H581</f>
        <v>10.8380665872</v>
      </c>
      <c r="K581" s="47" t="n">
        <f aca="false">$I581*(1+BDI_MAT)</f>
        <v>129.57072772</v>
      </c>
      <c r="L581" s="47" t="n">
        <f aca="false">$J581*(1+BDI_MDO)</f>
        <v>13.8174510920213</v>
      </c>
      <c r="M581" s="47" t="n">
        <f aca="false">SUM(K581:L581)</f>
        <v>143.388178812021</v>
      </c>
      <c r="N581" s="20" t="str">
        <f aca="false">A581</f>
        <v>11.6.1.4</v>
      </c>
    </row>
    <row r="582" customFormat="false" ht="30" hidden="false" customHeight="false" outlineLevel="3" collapsed="false">
      <c r="A582" s="42" t="s">
        <v>825</v>
      </c>
      <c r="B582" s="43" t="n">
        <v>94492</v>
      </c>
      <c r="C582" s="50" t="str">
        <f aca="false">VLOOKUP($B582,03_COMPOSIÇÕES!$A:$G,2,0)</f>
        <v>REGISTRO DE ESFERA, PVC, SOLDÁVEL, COM VOLANTE, DN 50 MM - FORNECIMENTO E INSTALAÇÃO. AF_08/2021</v>
      </c>
      <c r="D582" s="45" t="s">
        <v>59</v>
      </c>
      <c r="E582" s="51" t="str">
        <f aca="false">VLOOKUP($B582,03_COMPOSIÇÕES!$A:$G,4,0)</f>
        <v>UN</v>
      </c>
      <c r="F582" s="46" t="n">
        <v>2</v>
      </c>
      <c r="G582" s="51" t="n">
        <f aca="false">VLOOKUP($B582,03_COMPOSIÇÕES!$A:$G,6,0)</f>
        <v>38.12036</v>
      </c>
      <c r="H582" s="52" t="n">
        <f aca="false">VLOOKUP($B582,03_COMPOSIÇÕES!$A:$G,7,0)</f>
        <v>3.86148724632</v>
      </c>
      <c r="I582" s="47" t="n">
        <f aca="false">$F582*$G582</f>
        <v>76.24072</v>
      </c>
      <c r="J582" s="47" t="n">
        <f aca="false">$F582*$H582</f>
        <v>7.72297449264</v>
      </c>
      <c r="K582" s="47" t="n">
        <f aca="false">$I582*(1+BDI_MAT)</f>
        <v>91.961556464</v>
      </c>
      <c r="L582" s="47" t="n">
        <f aca="false">$J582*(1+BDI_MDO)</f>
        <v>9.84602018066674</v>
      </c>
      <c r="M582" s="47" t="n">
        <f aca="false">SUM(K582:L582)</f>
        <v>101.807576644667</v>
      </c>
      <c r="N582" s="20" t="str">
        <f aca="false">A582</f>
        <v>11.6.1.5</v>
      </c>
    </row>
    <row r="583" customFormat="false" ht="30" hidden="false" customHeight="false" outlineLevel="3" collapsed="false">
      <c r="A583" s="42" t="s">
        <v>826</v>
      </c>
      <c r="B583" s="43" t="s">
        <v>827</v>
      </c>
      <c r="C583" s="50" t="str">
        <f aca="false">VLOOKUP($B583,03_COMPOSIÇÕES!$A:$G,2,0)</f>
        <v>VÁLVULA DE ESFERA BRUTA, ROSCÁVEL, 2.1/2'' - FORNECIMENTO E INSTALAÇÃO.</v>
      </c>
      <c r="D583" s="45" t="s">
        <v>59</v>
      </c>
      <c r="E583" s="51" t="str">
        <f aca="false">VLOOKUP($B583,03_COMPOSIÇÕES!$A:$G,4,0)</f>
        <v>UN</v>
      </c>
      <c r="F583" s="46" t="n">
        <v>3</v>
      </c>
      <c r="G583" s="51" t="n">
        <f aca="false">VLOOKUP($B583,03_COMPOSIÇÕES!$A:$G,6,0)</f>
        <v>627.343998666667</v>
      </c>
      <c r="H583" s="52" t="n">
        <f aca="false">VLOOKUP($B583,03_COMPOSIÇÕES!$A:$G,7,0)</f>
        <v>11.58105354192</v>
      </c>
      <c r="I583" s="47" t="n">
        <f aca="false">$F583*$G583</f>
        <v>1882.031996</v>
      </c>
      <c r="J583" s="47" t="n">
        <f aca="false">$F583*$H583</f>
        <v>34.74316062576</v>
      </c>
      <c r="K583" s="47" t="n">
        <f aca="false">$I583*(1+BDI_MAT)</f>
        <v>2270.1069935752</v>
      </c>
      <c r="L583" s="47" t="n">
        <f aca="false">$J583*(1+BDI_MDO)</f>
        <v>44.2940554817814</v>
      </c>
      <c r="M583" s="47" t="n">
        <f aca="false">SUM(K583:L583)</f>
        <v>2314.40104905698</v>
      </c>
      <c r="N583" s="20" t="str">
        <f aca="false">A583</f>
        <v>11.6.1.6</v>
      </c>
    </row>
    <row r="584" customFormat="false" ht="30" hidden="false" customHeight="false" outlineLevel="3" collapsed="false">
      <c r="A584" s="42" t="s">
        <v>828</v>
      </c>
      <c r="B584" s="43" t="n">
        <v>103018</v>
      </c>
      <c r="C584" s="50" t="str">
        <f aca="false">VLOOKUP($B584,03_COMPOSIÇÕES!$A:$G,2,0)</f>
        <v>VÁLVULA DE DESCARGA METÁLICA, BASE 1 1/4", ACABAMENTO METALICO CROMADO - FORNECIMENTO E INSTALAÇÃO. AF_08/2021</v>
      </c>
      <c r="D584" s="45" t="s">
        <v>59</v>
      </c>
      <c r="E584" s="51" t="str">
        <f aca="false">VLOOKUP($B584,03_COMPOSIÇÕES!$A:$G,4,0)</f>
        <v>UN</v>
      </c>
      <c r="F584" s="46" t="n">
        <v>8</v>
      </c>
      <c r="G584" s="51" t="n">
        <f aca="false">VLOOKUP($B584,03_COMPOSIÇÕES!$A:$G,6,0)</f>
        <v>221.464296</v>
      </c>
      <c r="H584" s="52" t="n">
        <f aca="false">VLOOKUP($B584,03_COMPOSIÇÕES!$A:$G,7,0)</f>
        <v>16.51624501344</v>
      </c>
      <c r="I584" s="47" t="n">
        <f aca="false">$F584*$G584</f>
        <v>1771.714368</v>
      </c>
      <c r="J584" s="47" t="n">
        <f aca="false">$F584*$H584</f>
        <v>132.12996010752</v>
      </c>
      <c r="K584" s="47" t="n">
        <f aca="false">$I584*(1+BDI_MAT)</f>
        <v>2137.0418706816</v>
      </c>
      <c r="L584" s="47" t="n">
        <f aca="false">$J584*(1+BDI_MDO)</f>
        <v>168.452486141077</v>
      </c>
      <c r="M584" s="47" t="n">
        <f aca="false">SUM(K584:L584)</f>
        <v>2305.49435682268</v>
      </c>
      <c r="N584" s="20" t="str">
        <f aca="false">A584</f>
        <v>11.6.1.7</v>
      </c>
    </row>
    <row r="585" customFormat="false" ht="30" hidden="false" customHeight="false" outlineLevel="3" collapsed="false">
      <c r="A585" s="42" t="s">
        <v>829</v>
      </c>
      <c r="B585" s="43" t="n">
        <v>99620</v>
      </c>
      <c r="C585" s="50" t="str">
        <f aca="false">VLOOKUP($B585,03_COMPOSIÇÕES!$A:$G,2,0)</f>
        <v>VÁLVULA DE RETENÇÃO HORIZONTAL, DE BRONZE, ROSCÁVEL, 1" - FORNECIMENTO E INSTALAÇÃO. AF_08/2021</v>
      </c>
      <c r="D585" s="45" t="s">
        <v>59</v>
      </c>
      <c r="E585" s="51" t="str">
        <f aca="false">VLOOKUP($B585,03_COMPOSIÇÕES!$A:$G,4,0)</f>
        <v>UN</v>
      </c>
      <c r="F585" s="46" t="n">
        <v>1</v>
      </c>
      <c r="G585" s="51" t="n">
        <f aca="false">VLOOKUP($B585,03_COMPOSIÇÕES!$A:$G,6,0)</f>
        <v>137.972352</v>
      </c>
      <c r="H585" s="52" t="n">
        <f aca="false">VLOOKUP($B585,03_COMPOSIÇÕES!$A:$G,7,0)</f>
        <v>5.0611726044</v>
      </c>
      <c r="I585" s="47" t="n">
        <f aca="false">$F585*$G585</f>
        <v>137.972352</v>
      </c>
      <c r="J585" s="47" t="n">
        <f aca="false">$F585*$H585</f>
        <v>5.0611726044</v>
      </c>
      <c r="K585" s="47" t="n">
        <f aca="false">$I585*(1+BDI_MAT)</f>
        <v>166.4222509824</v>
      </c>
      <c r="L585" s="47" t="n">
        <f aca="false">$J585*(1+BDI_MDO)</f>
        <v>6.45248895334956</v>
      </c>
      <c r="M585" s="47" t="n">
        <f aca="false">SUM(K585:L585)</f>
        <v>172.87473993575</v>
      </c>
      <c r="N585" s="20" t="str">
        <f aca="false">A585</f>
        <v>11.6.1.8</v>
      </c>
    </row>
    <row r="586" customFormat="false" ht="15" hidden="false" customHeight="false" outlineLevel="2" collapsed="false">
      <c r="A586" s="42" t="s">
        <v>830</v>
      </c>
      <c r="B586" s="43"/>
      <c r="C586" s="50" t="s">
        <v>678</v>
      </c>
      <c r="D586" s="45"/>
      <c r="E586" s="44"/>
      <c r="F586" s="46"/>
      <c r="G586" s="51"/>
      <c r="H586" s="52"/>
      <c r="I586" s="47" t="n">
        <f aca="false">SUBTOTAL(9,I587:I617)</f>
        <v>13959.5239735</v>
      </c>
      <c r="J586" s="47" t="n">
        <f aca="false">SUBTOTAL(9,J587:J617)</f>
        <v>4894.15603766177</v>
      </c>
      <c r="K586" s="47" t="n">
        <f aca="false">SUBTOTAL(9,K587:K617)</f>
        <v>16837.9778168357</v>
      </c>
      <c r="L586" s="47" t="n">
        <f aca="false">SUBTOTAL(9,L587:L617)</f>
        <v>6239.55953241499</v>
      </c>
      <c r="M586" s="47" t="n">
        <f aca="false">SUBTOTAL(9,M587:M617)</f>
        <v>23077.5373492507</v>
      </c>
      <c r="N586" s="20" t="str">
        <f aca="false">A586</f>
        <v>11.6.2</v>
      </c>
    </row>
    <row r="587" customFormat="false" ht="45" hidden="false" customHeight="false" outlineLevel="3" collapsed="false">
      <c r="A587" s="42" t="s">
        <v>831</v>
      </c>
      <c r="B587" s="43" t="n">
        <v>94704</v>
      </c>
      <c r="C587" s="50" t="str">
        <f aca="false">VLOOKUP($B587,03_COMPOSIÇÕES!$A:$G,2,0)</f>
        <v>ADAPTADOR COM FLANGE E ANEL DE VEDAÇÃO, PVC, SOLDÁVEL, DN 32 MM X 1", INSTALADO EM RESERVAÇÃO PREDIAL DE ÁGUA - FORNECIMENTO E INSTALAÇÃO. AF_04/2024</v>
      </c>
      <c r="D587" s="45" t="s">
        <v>59</v>
      </c>
      <c r="E587" s="51" t="str">
        <f aca="false">VLOOKUP($B587,03_COMPOSIÇÕES!$A:$G,4,0)</f>
        <v>UN</v>
      </c>
      <c r="F587" s="46" t="n">
        <v>3</v>
      </c>
      <c r="G587" s="51" t="n">
        <f aca="false">VLOOKUP($B587,03_COMPOSIÇÕES!$A:$G,6,0)</f>
        <v>21.186163</v>
      </c>
      <c r="H587" s="52" t="n">
        <f aca="false">VLOOKUP($B587,03_COMPOSIÇÕES!$A:$G,7,0)</f>
        <v>4.68627093</v>
      </c>
      <c r="I587" s="47" t="n">
        <f aca="false">$F587*$G587</f>
        <v>63.558489</v>
      </c>
      <c r="J587" s="47" t="n">
        <f aca="false">$F587*$H587</f>
        <v>14.05881279</v>
      </c>
      <c r="K587" s="47" t="n">
        <f aca="false">$I587*(1+BDI_MAT)</f>
        <v>76.6642494318</v>
      </c>
      <c r="L587" s="47" t="n">
        <f aca="false">$J587*(1+BDI_MDO)</f>
        <v>17.923580425971</v>
      </c>
      <c r="M587" s="47" t="n">
        <f aca="false">SUM(K587:L587)</f>
        <v>94.587829857771</v>
      </c>
      <c r="N587" s="20" t="str">
        <f aca="false">A587</f>
        <v>11.6.2.1</v>
      </c>
    </row>
    <row r="588" customFormat="false" ht="45" hidden="false" customHeight="false" outlineLevel="3" collapsed="false">
      <c r="A588" s="42" t="s">
        <v>832</v>
      </c>
      <c r="B588" s="43" t="n">
        <v>94706</v>
      </c>
      <c r="C588" s="50" t="str">
        <f aca="false">VLOOKUP($B588,03_COMPOSIÇÕES!$A:$G,2,0)</f>
        <v>ADAPTADOR COM FLANGE E ANEL DE VEDAÇÃO, PVC, SOLDÁVEL, DN 50 MM X 1 1/2", INSTALADO EM RESERVAÇÃO PREDIAL DE ÁGUA - FORNECIMENTO E INSTALAÇÃO. AF_04/2024</v>
      </c>
      <c r="D588" s="45" t="s">
        <v>59</v>
      </c>
      <c r="E588" s="51" t="str">
        <f aca="false">VLOOKUP($B588,03_COMPOSIÇÕES!$A:$G,4,0)</f>
        <v>UN</v>
      </c>
      <c r="F588" s="46" t="n">
        <v>2</v>
      </c>
      <c r="G588" s="51" t="n">
        <f aca="false">VLOOKUP($B588,03_COMPOSIÇÕES!$A:$G,6,0)</f>
        <v>28.694436</v>
      </c>
      <c r="H588" s="52" t="n">
        <f aca="false">VLOOKUP($B588,03_COMPOSIÇÕES!$A:$G,7,0)</f>
        <v>1.98696665856</v>
      </c>
      <c r="I588" s="47" t="n">
        <f aca="false">$F588*$G588</f>
        <v>57.388872</v>
      </c>
      <c r="J588" s="47" t="n">
        <f aca="false">$F588*$H588</f>
        <v>3.97393331712</v>
      </c>
      <c r="K588" s="47" t="n">
        <f aca="false">$I588*(1+BDI_MAT)</f>
        <v>69.2224574064</v>
      </c>
      <c r="L588" s="47" t="n">
        <f aca="false">$J588*(1+BDI_MDO)</f>
        <v>5.06636758599629</v>
      </c>
      <c r="M588" s="47" t="n">
        <f aca="false">SUM(K588:L588)</f>
        <v>74.2888249923963</v>
      </c>
      <c r="N588" s="20" t="str">
        <f aca="false">A588</f>
        <v>11.6.2.2</v>
      </c>
    </row>
    <row r="589" customFormat="false" ht="45" hidden="false" customHeight="false" outlineLevel="3" collapsed="false">
      <c r="A589" s="42" t="s">
        <v>833</v>
      </c>
      <c r="B589" s="43" t="n">
        <v>94713</v>
      </c>
      <c r="C589" s="50" t="str">
        <f aca="false">VLOOKUP($B589,03_COMPOSIÇÕES!$A:$G,2,0)</f>
        <v>ADAPTADOR COM FLANGES LIVRES, PVC, SOLDÁVEL, DN 75 MM X 2 1/2", INSTALADO EM RESERVAÇÃO PREDIAL DE ÁGUA - FORNECIMENTO E INSTALAÇÃO. AF_04/2024</v>
      </c>
      <c r="D589" s="45" t="s">
        <v>59</v>
      </c>
      <c r="E589" s="51" t="str">
        <f aca="false">VLOOKUP($B589,03_COMPOSIÇÕES!$A:$G,4,0)</f>
        <v>UN</v>
      </c>
      <c r="F589" s="46" t="n">
        <v>3</v>
      </c>
      <c r="G589" s="51" t="n">
        <f aca="false">VLOOKUP($B589,03_COMPOSIÇÕES!$A:$G,6,0)</f>
        <v>219.020739</v>
      </c>
      <c r="H589" s="52" t="n">
        <f aca="false">VLOOKUP($B589,03_COMPOSIÇÕES!$A:$G,7,0)</f>
        <v>9.29074513104</v>
      </c>
      <c r="I589" s="47" t="n">
        <f aca="false">$F589*$G589</f>
        <v>657.062217</v>
      </c>
      <c r="J589" s="47" t="n">
        <f aca="false">$F589*$H589</f>
        <v>27.87223539312</v>
      </c>
      <c r="K589" s="47" t="n">
        <f aca="false">$I589*(1+BDI_MAT)</f>
        <v>792.5484461454</v>
      </c>
      <c r="L589" s="47" t="n">
        <f aca="false">$J589*(1+BDI_MDO)</f>
        <v>35.5343129026887</v>
      </c>
      <c r="M589" s="47" t="n">
        <f aca="false">SUM(K589:L589)</f>
        <v>828.082759048089</v>
      </c>
      <c r="N589" s="20" t="str">
        <f aca="false">A589</f>
        <v>11.6.2.3</v>
      </c>
    </row>
    <row r="590" customFormat="false" ht="45" hidden="false" customHeight="false" outlineLevel="3" collapsed="false">
      <c r="A590" s="42" t="s">
        <v>834</v>
      </c>
      <c r="B590" s="43" t="n">
        <v>89429</v>
      </c>
      <c r="C590" s="50" t="str">
        <f aca="false">VLOOKUP($B590,03_COMPOSIÇÕES!$A:$G,2,0)</f>
        <v>ADAPTADOR CURTO COM BOLSA E ROSCA PARA REGISTRO, PVC, SOLDÁVEL, DN 25MM X 3/4 , INSTALADO EM RAMAL DE DISTRIBUIÇÃO DE ÁGUA - FORNECIMENTO E INSTALAÇÃO. AF_06/2022</v>
      </c>
      <c r="D590" s="45" t="s">
        <v>59</v>
      </c>
      <c r="E590" s="51" t="str">
        <f aca="false">VLOOKUP($B590,03_COMPOSIÇÕES!$A:$G,4,0)</f>
        <v>UN</v>
      </c>
      <c r="F590" s="46" t="n">
        <v>60</v>
      </c>
      <c r="G590" s="51" t="n">
        <f aca="false">VLOOKUP($B590,03_COMPOSIÇÕES!$A:$G,6,0)</f>
        <v>2.615487</v>
      </c>
      <c r="H590" s="52" t="n">
        <f aca="false">VLOOKUP($B590,03_COMPOSIÇÕES!$A:$G,7,0)</f>
        <v>2.87651830176</v>
      </c>
      <c r="I590" s="47" t="n">
        <f aca="false">$F590*$G590</f>
        <v>156.92922</v>
      </c>
      <c r="J590" s="47" t="n">
        <f aca="false">$F590*$H590</f>
        <v>172.5910981056</v>
      </c>
      <c r="K590" s="47" t="n">
        <f aca="false">$I590*(1+BDI_MAT)</f>
        <v>189.288025164</v>
      </c>
      <c r="L590" s="47" t="n">
        <f aca="false">$J590*(1+BDI_MDO)</f>
        <v>220.036390974829</v>
      </c>
      <c r="M590" s="47" t="n">
        <f aca="false">SUM(K590:L590)</f>
        <v>409.32441613883</v>
      </c>
      <c r="N590" s="20" t="str">
        <f aca="false">A590</f>
        <v>11.6.2.4</v>
      </c>
    </row>
    <row r="591" customFormat="false" ht="45" hidden="false" customHeight="false" outlineLevel="3" collapsed="false">
      <c r="A591" s="42" t="s">
        <v>835</v>
      </c>
      <c r="B591" s="43" t="n">
        <v>89553</v>
      </c>
      <c r="C591" s="50" t="str">
        <f aca="false">VLOOKUP($B591,03_COMPOSIÇÕES!$A:$G,2,0)</f>
        <v>ADAPTADOR CURTO COM BOLSA E ROSCA PARA REGISTRO, PVC, SOLDÁVEL, DN 32MM X 1 , INSTALADO EM PRUMADA DE ÁGUA - FORNECIMENTO E INSTALAÇÃO. AF_06/2022</v>
      </c>
      <c r="D591" s="45" t="s">
        <v>59</v>
      </c>
      <c r="E591" s="51" t="str">
        <f aca="false">VLOOKUP($B591,03_COMPOSIÇÕES!$A:$G,4,0)</f>
        <v>UN</v>
      </c>
      <c r="F591" s="46" t="n">
        <v>2</v>
      </c>
      <c r="G591" s="51" t="n">
        <f aca="false">VLOOKUP($B591,03_COMPOSIÇÕES!$A:$G,6,0)</f>
        <v>3.744006</v>
      </c>
      <c r="H591" s="52" t="n">
        <f aca="false">VLOOKUP($B591,03_COMPOSIÇÕES!$A:$G,7,0)</f>
        <v>1.78589524896</v>
      </c>
      <c r="I591" s="47" t="n">
        <f aca="false">$F591*$G591</f>
        <v>7.488012</v>
      </c>
      <c r="J591" s="47" t="n">
        <f aca="false">$F591*$H591</f>
        <v>3.57179049792</v>
      </c>
      <c r="K591" s="47" t="n">
        <f aca="false">$I591*(1+BDI_MAT)</f>
        <v>9.0320400744</v>
      </c>
      <c r="L591" s="47" t="n">
        <f aca="false">$J591*(1+BDI_MDO)</f>
        <v>4.55367570579821</v>
      </c>
      <c r="M591" s="47" t="n">
        <f aca="false">SUM(K591:L591)</f>
        <v>13.5857157801982</v>
      </c>
      <c r="N591" s="20" t="str">
        <f aca="false">A591</f>
        <v>11.6.2.5</v>
      </c>
    </row>
    <row r="592" customFormat="false" ht="45" hidden="false" customHeight="false" outlineLevel="3" collapsed="false">
      <c r="A592" s="42" t="s">
        <v>836</v>
      </c>
      <c r="B592" s="43" t="n">
        <v>89596</v>
      </c>
      <c r="C592" s="50" t="str">
        <f aca="false">VLOOKUP($B592,03_COMPOSIÇÕES!$A:$G,2,0)</f>
        <v>ADAPTADOR CURTO COM BOLSA E ROSCA PARA REGISTRO, PVC, SOLDÁVEL, DN 50MM X 1.1/2 , INSTALADO EM PRUMADA DE ÁGUA - FORNECIMENTO E INSTALAÇÃO. AF_06/2022</v>
      </c>
      <c r="D592" s="45" t="s">
        <v>59</v>
      </c>
      <c r="E592" s="51" t="str">
        <f aca="false">VLOOKUP($B592,03_COMPOSIÇÕES!$A:$G,4,0)</f>
        <v>UN</v>
      </c>
      <c r="F592" s="46" t="n">
        <v>4</v>
      </c>
      <c r="G592" s="51" t="n">
        <f aca="false">VLOOKUP($B592,03_COMPOSIÇÕES!$A:$G,6,0)</f>
        <v>7.52018</v>
      </c>
      <c r="H592" s="52" t="n">
        <f aca="false">VLOOKUP($B592,03_COMPOSIÇÕES!$A:$G,7,0)</f>
        <v>0.9921334878</v>
      </c>
      <c r="I592" s="47" t="n">
        <f aca="false">$F592*$G592</f>
        <v>30.08072</v>
      </c>
      <c r="J592" s="47" t="n">
        <f aca="false">$F592*$H592</f>
        <v>3.9685339512</v>
      </c>
      <c r="K592" s="47" t="n">
        <f aca="false">$I592*(1+BDI_MAT)</f>
        <v>36.283364464</v>
      </c>
      <c r="L592" s="47" t="n">
        <f aca="false">$J592*(1+BDI_MDO)</f>
        <v>5.05948393438488</v>
      </c>
      <c r="M592" s="47" t="n">
        <f aca="false">SUM(K592:L592)</f>
        <v>41.3428483983849</v>
      </c>
      <c r="N592" s="20" t="str">
        <f aca="false">A592</f>
        <v>11.6.2.6</v>
      </c>
    </row>
    <row r="593" customFormat="false" ht="45" hidden="false" customHeight="false" outlineLevel="3" collapsed="false">
      <c r="A593" s="42" t="s">
        <v>837</v>
      </c>
      <c r="B593" s="43" t="n">
        <v>89595</v>
      </c>
      <c r="C593" s="50" t="str">
        <f aca="false">VLOOKUP($B593,03_COMPOSIÇÕES!$A:$G,2,0)</f>
        <v>ADAPTADOR CURTO COM BOLSA E ROSCA PARA REGISTRO, PVC, SOLDÁVEL, DN 50MM X 1.1/4 , INSTALADO EM PRUMADA DE ÁGUA - FORNECIMENTO E INSTALAÇÃO. AF_06/2022</v>
      </c>
      <c r="D593" s="45" t="s">
        <v>59</v>
      </c>
      <c r="E593" s="51" t="str">
        <f aca="false">VLOOKUP($B593,03_COMPOSIÇÕES!$A:$G,4,0)</f>
        <v>UN</v>
      </c>
      <c r="F593" s="46" t="n">
        <v>8</v>
      </c>
      <c r="G593" s="51" t="n">
        <f aca="false">VLOOKUP($B593,03_COMPOSIÇÕES!$A:$G,6,0)</f>
        <v>11.458624</v>
      </c>
      <c r="H593" s="52" t="n">
        <f aca="false">VLOOKUP($B593,03_COMPOSIÇÕES!$A:$G,7,0)</f>
        <v>0.96108713376</v>
      </c>
      <c r="I593" s="47" t="n">
        <f aca="false">$F593*$G593</f>
        <v>91.668992</v>
      </c>
      <c r="J593" s="47" t="n">
        <f aca="false">$F593*$H593</f>
        <v>7.68869707008</v>
      </c>
      <c r="K593" s="47" t="n">
        <f aca="false">$I593*(1+BDI_MAT)</f>
        <v>110.5711381504</v>
      </c>
      <c r="L593" s="47" t="n">
        <f aca="false">$J593*(1+BDI_MDO)</f>
        <v>9.80231989464499</v>
      </c>
      <c r="M593" s="47" t="n">
        <f aca="false">SUM(K593:L593)</f>
        <v>120.373458045045</v>
      </c>
      <c r="N593" s="20" t="str">
        <f aca="false">A593</f>
        <v>11.6.2.7</v>
      </c>
    </row>
    <row r="594" customFormat="false" ht="45" hidden="false" customHeight="false" outlineLevel="3" collapsed="false">
      <c r="A594" s="42" t="s">
        <v>838</v>
      </c>
      <c r="B594" s="43" t="n">
        <v>103957</v>
      </c>
      <c r="C594" s="50" t="str">
        <f aca="false">VLOOKUP($B594,03_COMPOSIÇÕES!$A:$G,2,0)</f>
        <v>BUCHA DE REDUÇÃO, CURTA, PVC, SOLDÁVEL, DN 32 X 25 MM, INSTALADO EM PRUMADA DE ÁGUA - FORNECIMENTO E INSTALAÇÃO. AF_06/2022</v>
      </c>
      <c r="D594" s="45" t="s">
        <v>59</v>
      </c>
      <c r="E594" s="51" t="str">
        <f aca="false">VLOOKUP($B594,03_COMPOSIÇÕES!$A:$G,4,0)</f>
        <v>UN</v>
      </c>
      <c r="F594" s="46" t="n">
        <v>2</v>
      </c>
      <c r="G594" s="51" t="n">
        <f aca="false">VLOOKUP($B594,03_COMPOSIÇÕES!$A:$G,6,0)</f>
        <v>2.904006</v>
      </c>
      <c r="H594" s="52" t="n">
        <f aca="false">VLOOKUP($B594,03_COMPOSIÇÕES!$A:$G,7,0)</f>
        <v>0.70731693552</v>
      </c>
      <c r="I594" s="47" t="n">
        <f aca="false">$F594*$G594</f>
        <v>5.808012</v>
      </c>
      <c r="J594" s="47" t="n">
        <f aca="false">$F594*$H594</f>
        <v>1.41463387104</v>
      </c>
      <c r="K594" s="47" t="n">
        <f aca="false">$I594*(1+BDI_MAT)</f>
        <v>7.0056240744</v>
      </c>
      <c r="L594" s="47" t="n">
        <f aca="false">$J594*(1+BDI_MDO)</f>
        <v>1.8035167221889</v>
      </c>
      <c r="M594" s="47" t="n">
        <f aca="false">SUM(K594:L594)</f>
        <v>8.8091407965889</v>
      </c>
      <c r="N594" s="20" t="str">
        <f aca="false">A594</f>
        <v>11.6.2.8</v>
      </c>
    </row>
    <row r="595" customFormat="false" ht="45" hidden="false" customHeight="false" outlineLevel="3" collapsed="false">
      <c r="A595" s="42" t="s">
        <v>839</v>
      </c>
      <c r="B595" s="43" t="n">
        <v>103999</v>
      </c>
      <c r="C595" s="50" t="str">
        <f aca="false">VLOOKUP($B595,03_COMPOSIÇÕES!$A:$G,2,0)</f>
        <v>BUCHA DE REDUÇÃO, LONGA, PVC, SOLDÁVEL, DN 50 X 25 MM, INSTALADO EM RAMAL DE DISTRIBUIÇÃO DE ÁGUA - FORNECIMENTO E INSTALAÇÃO. AF_06/2022</v>
      </c>
      <c r="D595" s="45" t="s">
        <v>59</v>
      </c>
      <c r="E595" s="51" t="str">
        <f aca="false">VLOOKUP($B595,03_COMPOSIÇÕES!$A:$G,4,0)</f>
        <v>UN</v>
      </c>
      <c r="F595" s="46" t="n">
        <v>30</v>
      </c>
      <c r="G595" s="51" t="n">
        <f aca="false">VLOOKUP($B595,03_COMPOSIÇÕES!$A:$G,6,0)</f>
        <v>7.844792</v>
      </c>
      <c r="H595" s="52" t="n">
        <f aca="false">VLOOKUP($B595,03_COMPOSIÇÕES!$A:$G,7,0)</f>
        <v>1.64410692264</v>
      </c>
      <c r="I595" s="47" t="n">
        <f aca="false">$F595*$G595</f>
        <v>235.34376</v>
      </c>
      <c r="J595" s="47" t="n">
        <f aca="false">$F595*$H595</f>
        <v>49.3232076792</v>
      </c>
      <c r="K595" s="47" t="n">
        <f aca="false">$I595*(1+BDI_MAT)</f>
        <v>283.871643312</v>
      </c>
      <c r="L595" s="47" t="n">
        <f aca="false">$J595*(1+BDI_MDO)</f>
        <v>62.8821574702121</v>
      </c>
      <c r="M595" s="47" t="n">
        <f aca="false">SUM(K595:L595)</f>
        <v>346.753800782212</v>
      </c>
      <c r="N595" s="20" t="str">
        <f aca="false">A595</f>
        <v>11.6.2.9</v>
      </c>
    </row>
    <row r="596" customFormat="false" ht="45" hidden="false" customHeight="false" outlineLevel="3" collapsed="false">
      <c r="A596" s="42" t="s">
        <v>840</v>
      </c>
      <c r="B596" s="43" t="n">
        <v>103972</v>
      </c>
      <c r="C596" s="50" t="str">
        <f aca="false">VLOOKUP($B596,03_COMPOSIÇÕES!$A:$G,2,0)</f>
        <v>BUCHA DE REDUÇÃO, LONGA, PVC, SOLDÁVEL, DN 75 X 50 MM, INSTALADO EM PRUMADA DE ÁGUA - FORNECIMENTO E INSTALAÇÃO. AF_06/2022</v>
      </c>
      <c r="D596" s="45" t="s">
        <v>59</v>
      </c>
      <c r="E596" s="51" t="str">
        <f aca="false">VLOOKUP($B596,03_COMPOSIÇÕES!$A:$G,4,0)</f>
        <v>UN</v>
      </c>
      <c r="F596" s="46" t="n">
        <v>3</v>
      </c>
      <c r="G596" s="51" t="n">
        <f aca="false">VLOOKUP($B596,03_COMPOSIÇÕES!$A:$G,6,0)</f>
        <v>24.336495</v>
      </c>
      <c r="H596" s="52" t="n">
        <f aca="false">VLOOKUP($B596,03_COMPOSIÇÕES!$A:$G,7,0)</f>
        <v>2.1303980046</v>
      </c>
      <c r="I596" s="47" t="n">
        <f aca="false">$F596*$G596</f>
        <v>73.009485</v>
      </c>
      <c r="J596" s="47" t="n">
        <f aca="false">$F596*$H596</f>
        <v>6.3911940138</v>
      </c>
      <c r="K596" s="47" t="n">
        <f aca="false">$I596*(1+BDI_MAT)</f>
        <v>88.064040807</v>
      </c>
      <c r="L596" s="47" t="n">
        <f aca="false">$J596*(1+BDI_MDO)</f>
        <v>8.14813324819362</v>
      </c>
      <c r="M596" s="47" t="n">
        <f aca="false">SUM(K596:L596)</f>
        <v>96.2121740551936</v>
      </c>
      <c r="N596" s="20" t="str">
        <f aca="false">A596</f>
        <v>11.6.2.10</v>
      </c>
    </row>
    <row r="597" customFormat="false" ht="45" hidden="false" customHeight="false" outlineLevel="3" collapsed="false">
      <c r="A597" s="42" t="s">
        <v>841</v>
      </c>
      <c r="B597" s="43" t="n">
        <v>89409</v>
      </c>
      <c r="C597" s="50" t="str">
        <f aca="false">VLOOKUP($B597,03_COMPOSIÇÕES!$A:$G,2,0)</f>
        <v>JOELHO 45 GRAUS, PVC, SOLDÁVEL, DN 25MM, INSTALADO EM RAMAL DE DISTRIBUIÇÃO DE ÁGUA - FORNECIMENTO E INSTALAÇÃO. AF_06/2022</v>
      </c>
      <c r="D597" s="45" t="s">
        <v>59</v>
      </c>
      <c r="E597" s="51" t="str">
        <f aca="false">VLOOKUP($B597,03_COMPOSIÇÕES!$A:$G,4,0)</f>
        <v>UN</v>
      </c>
      <c r="F597" s="46" t="n">
        <v>1</v>
      </c>
      <c r="G597" s="51" t="n">
        <f aca="false">VLOOKUP($B597,03_COMPOSIÇÕES!$A:$G,6,0)</f>
        <v>4.394327</v>
      </c>
      <c r="H597" s="52" t="n">
        <f aca="false">VLOOKUP($B597,03_COMPOSIÇÕES!$A:$G,7,0)</f>
        <v>4.63173977736</v>
      </c>
      <c r="I597" s="47" t="n">
        <f aca="false">$F597*$G597</f>
        <v>4.394327</v>
      </c>
      <c r="J597" s="47" t="n">
        <f aca="false">$F597*$H597</f>
        <v>4.63173977736</v>
      </c>
      <c r="K597" s="47" t="n">
        <f aca="false">$I597*(1+BDI_MAT)</f>
        <v>5.3004372274</v>
      </c>
      <c r="L597" s="47" t="n">
        <f aca="false">$J597*(1+BDI_MDO)</f>
        <v>5.90500504215626</v>
      </c>
      <c r="M597" s="47" t="n">
        <f aca="false">SUM(K597:L597)</f>
        <v>11.2054422695563</v>
      </c>
      <c r="N597" s="20" t="str">
        <f aca="false">A597</f>
        <v>11.6.2.11</v>
      </c>
    </row>
    <row r="598" customFormat="false" ht="30" hidden="false" customHeight="false" outlineLevel="3" collapsed="false">
      <c r="A598" s="42" t="s">
        <v>842</v>
      </c>
      <c r="B598" s="43" t="n">
        <v>89502</v>
      </c>
      <c r="C598" s="50" t="str">
        <f aca="false">VLOOKUP($B598,03_COMPOSIÇÕES!$A:$G,2,0)</f>
        <v>JOELHO 45 GRAUS, PVC, SOLDÁVEL, DN 50MM, INSTALADO EM PRUMADA DE ÁGUA - FORNECIMENTO E INSTALAÇÃO. AF_06/2022</v>
      </c>
      <c r="D598" s="45" t="s">
        <v>59</v>
      </c>
      <c r="E598" s="51" t="str">
        <f aca="false">VLOOKUP($B598,03_COMPOSIÇÕES!$A:$G,4,0)</f>
        <v>UN</v>
      </c>
      <c r="F598" s="46" t="n">
        <v>5</v>
      </c>
      <c r="G598" s="51" t="n">
        <f aca="false">VLOOKUP($B598,03_COMPOSIÇÕES!$A:$G,6,0)</f>
        <v>10.881782</v>
      </c>
      <c r="H598" s="52" t="n">
        <f aca="false">VLOOKUP($B598,03_COMPOSIÇÕES!$A:$G,7,0)</f>
        <v>4.33181843784</v>
      </c>
      <c r="I598" s="47" t="n">
        <f aca="false">$F598*$G598</f>
        <v>54.40891</v>
      </c>
      <c r="J598" s="47" t="n">
        <f aca="false">$F598*$H598</f>
        <v>21.6590921892</v>
      </c>
      <c r="K598" s="47" t="n">
        <f aca="false">$I598*(1+BDI_MAT)</f>
        <v>65.628027242</v>
      </c>
      <c r="L598" s="47" t="n">
        <f aca="false">$J598*(1+BDI_MDO)</f>
        <v>27.6131766320111</v>
      </c>
      <c r="M598" s="47" t="n">
        <f aca="false">SUM(K598:L598)</f>
        <v>93.2412038740111</v>
      </c>
      <c r="N598" s="20" t="str">
        <f aca="false">A598</f>
        <v>11.6.2.12</v>
      </c>
    </row>
    <row r="599" customFormat="false" ht="30" hidden="false" customHeight="false" outlineLevel="3" collapsed="false">
      <c r="A599" s="42" t="s">
        <v>843</v>
      </c>
      <c r="B599" s="43" t="n">
        <v>89515</v>
      </c>
      <c r="C599" s="50" t="str">
        <f aca="false">VLOOKUP($B599,03_COMPOSIÇÕES!$A:$G,2,0)</f>
        <v>JOELHO 45 GRAUS, PVC, SOLDÁVEL, DN 75MM, INSTALADO EM PRUMADA DE ÁGUA - FORNECIMENTO E INSTALAÇÃO. AF_06/2022</v>
      </c>
      <c r="D599" s="45" t="s">
        <v>59</v>
      </c>
      <c r="E599" s="51" t="str">
        <f aca="false">VLOOKUP($B599,03_COMPOSIÇÕES!$A:$G,4,0)</f>
        <v>UN</v>
      </c>
      <c r="F599" s="46" t="n">
        <v>4</v>
      </c>
      <c r="G599" s="51" t="n">
        <f aca="false">VLOOKUP($B599,03_COMPOSIÇÕES!$A:$G,6,0)</f>
        <v>71.653809</v>
      </c>
      <c r="H599" s="52" t="n">
        <f aca="false">VLOOKUP($B599,03_COMPOSIÇÕES!$A:$G,7,0)</f>
        <v>6.29493993288</v>
      </c>
      <c r="I599" s="47" t="n">
        <f aca="false">$F599*$G599</f>
        <v>286.615236</v>
      </c>
      <c r="J599" s="47" t="n">
        <f aca="false">$F599*$H599</f>
        <v>25.17975973152</v>
      </c>
      <c r="K599" s="47" t="n">
        <f aca="false">$I599*(1+BDI_MAT)</f>
        <v>345.7152976632</v>
      </c>
      <c r="L599" s="47" t="n">
        <f aca="false">$J599*(1+BDI_MDO)</f>
        <v>32.1016756817148</v>
      </c>
      <c r="M599" s="47" t="n">
        <f aca="false">SUM(K599:L599)</f>
        <v>377.816973344915</v>
      </c>
      <c r="N599" s="20" t="str">
        <f aca="false">A599</f>
        <v>11.6.2.13</v>
      </c>
    </row>
    <row r="600" customFormat="false" ht="45" hidden="false" customHeight="false" outlineLevel="3" collapsed="false">
      <c r="A600" s="42" t="s">
        <v>844</v>
      </c>
      <c r="B600" s="43" t="n">
        <v>89408</v>
      </c>
      <c r="C600" s="50" t="str">
        <f aca="false">VLOOKUP($B600,03_COMPOSIÇÕES!$A:$G,2,0)</f>
        <v>JOELHO 90 GRAUS, PVC, SOLDÁVEL, DN 25MM, INSTALADO EM RAMAL DE DISTRIBUIÇÃO DE ÁGUA - FORNECIMENTO E INSTALAÇÃO. AF_06/2022</v>
      </c>
      <c r="D600" s="45" t="s">
        <v>59</v>
      </c>
      <c r="E600" s="51" t="str">
        <f aca="false">VLOOKUP($B600,03_COMPOSIÇÕES!$A:$G,4,0)</f>
        <v>UN</v>
      </c>
      <c r="F600" s="46" t="n">
        <v>63</v>
      </c>
      <c r="G600" s="51" t="n">
        <f aca="false">VLOOKUP($B600,03_COMPOSIÇÕES!$A:$G,6,0)</f>
        <v>3.238566</v>
      </c>
      <c r="H600" s="52" t="n">
        <f aca="false">VLOOKUP($B600,03_COMPOSIÇÕES!$A:$G,7,0)</f>
        <v>4.63173977736</v>
      </c>
      <c r="I600" s="47" t="n">
        <f aca="false">$F600*$G600</f>
        <v>204.029658</v>
      </c>
      <c r="J600" s="47" t="n">
        <f aca="false">$F600*$H600</f>
        <v>291.79960597368</v>
      </c>
      <c r="K600" s="47" t="n">
        <f aca="false">$I600*(1+BDI_MAT)</f>
        <v>246.1005734796</v>
      </c>
      <c r="L600" s="47" t="n">
        <f aca="false">$J600*(1+BDI_MDO)</f>
        <v>372.015317655845</v>
      </c>
      <c r="M600" s="47" t="n">
        <f aca="false">SUM(K600:L600)</f>
        <v>618.115891135445</v>
      </c>
      <c r="N600" s="20" t="str">
        <f aca="false">A600</f>
        <v>11.6.2.14</v>
      </c>
    </row>
    <row r="601" customFormat="false" ht="45" hidden="false" customHeight="false" outlineLevel="3" collapsed="false">
      <c r="A601" s="42" t="s">
        <v>845</v>
      </c>
      <c r="B601" s="43" t="n">
        <v>89413</v>
      </c>
      <c r="C601" s="50" t="str">
        <f aca="false">VLOOKUP($B601,03_COMPOSIÇÕES!$A:$G,2,0)</f>
        <v>JOELHO 90 GRAUS, PVC, SOLDÁVEL, DN 32MM, INSTALADO EM RAMAL DE DISTRIBUIÇÃO DE ÁGUA - FORNECIMENTO E INSTALAÇÃO. AF_06/2022</v>
      </c>
      <c r="D601" s="45" t="s">
        <v>59</v>
      </c>
      <c r="E601" s="51" t="str">
        <f aca="false">VLOOKUP($B601,03_COMPOSIÇÕES!$A:$G,4,0)</f>
        <v>UN</v>
      </c>
      <c r="F601" s="46" t="n">
        <v>9</v>
      </c>
      <c r="G601" s="51" t="n">
        <f aca="false">VLOOKUP($B601,03_COMPOSIÇÕES!$A:$G,6,0)</f>
        <v>5.9281</v>
      </c>
      <c r="H601" s="52" t="n">
        <f aca="false">VLOOKUP($B601,03_COMPOSIÇÕES!$A:$G,7,0)</f>
        <v>5.52468740184</v>
      </c>
      <c r="I601" s="47" t="n">
        <f aca="false">$F601*$G601</f>
        <v>53.3529</v>
      </c>
      <c r="J601" s="47" t="n">
        <f aca="false">$F601*$H601</f>
        <v>49.72218661656</v>
      </c>
      <c r="K601" s="47" t="n">
        <f aca="false">$I601*(1+BDI_MAT)</f>
        <v>64.35426798</v>
      </c>
      <c r="L601" s="47" t="n">
        <f aca="false">$J601*(1+BDI_MDO)</f>
        <v>63.3908157174523</v>
      </c>
      <c r="M601" s="47" t="n">
        <f aca="false">SUM(K601:L601)</f>
        <v>127.745083697452</v>
      </c>
      <c r="N601" s="20" t="str">
        <f aca="false">A601</f>
        <v>11.6.2.15</v>
      </c>
    </row>
    <row r="602" customFormat="false" ht="45" hidden="false" customHeight="false" outlineLevel="3" collapsed="false">
      <c r="A602" s="42" t="s">
        <v>846</v>
      </c>
      <c r="B602" s="43" t="n">
        <v>103984</v>
      </c>
      <c r="C602" s="50" t="str">
        <f aca="false">VLOOKUP($B602,03_COMPOSIÇÕES!$A:$G,2,0)</f>
        <v>JOELHO 90 GRAUS, PVC, SOLDÁVEL, DN 50MM, INSTALADO EM RAMAL DE DISTRIBUIÇÃO DE ÁGUA - FORNECIMENTO E INSTALAÇÃO. AF_06/2022</v>
      </c>
      <c r="D602" s="45" t="s">
        <v>59</v>
      </c>
      <c r="E602" s="51" t="str">
        <f aca="false">VLOOKUP($B602,03_COMPOSIÇÕES!$A:$G,4,0)</f>
        <v>UN</v>
      </c>
      <c r="F602" s="46" t="n">
        <v>87</v>
      </c>
      <c r="G602" s="51" t="n">
        <f aca="false">VLOOKUP($B602,03_COMPOSIÇÕES!$A:$G,6,0)</f>
        <v>10.750575</v>
      </c>
      <c r="H602" s="52" t="n">
        <f aca="false">VLOOKUP($B602,03_COMPOSIÇÕES!$A:$G,7,0)</f>
        <v>7.81840400976</v>
      </c>
      <c r="I602" s="47" t="n">
        <f aca="false">$F602*$G602</f>
        <v>935.300025</v>
      </c>
      <c r="J602" s="47" t="n">
        <f aca="false">$F602*$H602</f>
        <v>680.20114884912</v>
      </c>
      <c r="K602" s="47" t="n">
        <f aca="false">$I602*(1+BDI_MAT)</f>
        <v>1128.158890155</v>
      </c>
      <c r="L602" s="47" t="n">
        <f aca="false">$J602*(1+BDI_MDO)</f>
        <v>867.188444667743</v>
      </c>
      <c r="M602" s="47" t="n">
        <f aca="false">SUM(K602:L602)</f>
        <v>1995.34733482274</v>
      </c>
      <c r="N602" s="20" t="str">
        <f aca="false">A602</f>
        <v>11.6.2.16</v>
      </c>
    </row>
    <row r="603" customFormat="false" ht="30" hidden="false" customHeight="false" outlineLevel="3" collapsed="false">
      <c r="A603" s="42" t="s">
        <v>847</v>
      </c>
      <c r="B603" s="43" t="n">
        <v>89513</v>
      </c>
      <c r="C603" s="50" t="str">
        <f aca="false">VLOOKUP($B603,03_COMPOSIÇÕES!$A:$G,2,0)</f>
        <v>JOELHO 90 GRAUS, PVC, SOLDÁVEL, DN 75MM, INSTALADO EM PRUMADA DE ÁGUA - FORNECIMENTO E INSTALAÇÃO. AF_06/2022</v>
      </c>
      <c r="D603" s="45" t="s">
        <v>59</v>
      </c>
      <c r="E603" s="51" t="str">
        <f aca="false">VLOOKUP($B603,03_COMPOSIÇÕES!$A:$G,4,0)</f>
        <v>UN</v>
      </c>
      <c r="F603" s="46" t="n">
        <v>18</v>
      </c>
      <c r="G603" s="51" t="n">
        <f aca="false">VLOOKUP($B603,03_COMPOSIÇÕES!$A:$G,6,0)</f>
        <v>93.110418</v>
      </c>
      <c r="H603" s="52" t="n">
        <f aca="false">VLOOKUP($B603,03_COMPOSIÇÕES!$A:$G,7,0)</f>
        <v>6.29493993288</v>
      </c>
      <c r="I603" s="47" t="n">
        <f aca="false">$F603*$G603</f>
        <v>1675.987524</v>
      </c>
      <c r="J603" s="47" t="n">
        <f aca="false">$F603*$H603</f>
        <v>113.30891879184</v>
      </c>
      <c r="K603" s="47" t="n">
        <f aca="false">$I603*(1+BDI_MAT)</f>
        <v>2021.5761514488</v>
      </c>
      <c r="L603" s="47" t="n">
        <f aca="false">$J603*(1+BDI_MDO)</f>
        <v>144.457540567717</v>
      </c>
      <c r="M603" s="47" t="n">
        <f aca="false">SUM(K603:L603)</f>
        <v>2166.03369201652</v>
      </c>
      <c r="N603" s="20" t="str">
        <f aca="false">A603</f>
        <v>11.6.2.17</v>
      </c>
    </row>
    <row r="604" customFormat="false" ht="30" hidden="false" customHeight="false" outlineLevel="3" collapsed="false">
      <c r="A604" s="42" t="s">
        <v>848</v>
      </c>
      <c r="B604" s="43" t="n">
        <v>103995</v>
      </c>
      <c r="C604" s="50" t="str">
        <f aca="false">VLOOKUP($B604,03_COMPOSIÇÕES!$A:$G,2,0)</f>
        <v>LUVA, PVC, SOLDÁVEL, DN 50MM, INSTALADO EM RAMAL DE DISTRIBUIÇÃO DE ÁGUA - FORNECIMENTO E INSTALAÇÃO. AF_06/2022</v>
      </c>
      <c r="D604" s="45" t="s">
        <v>59</v>
      </c>
      <c r="E604" s="51" t="str">
        <f aca="false">VLOOKUP($B604,03_COMPOSIÇÕES!$A:$G,4,0)</f>
        <v>UN</v>
      </c>
      <c r="F604" s="46" t="n">
        <v>30</v>
      </c>
      <c r="G604" s="51" t="n">
        <f aca="false">VLOOKUP($B604,03_COMPOSIÇÕES!$A:$G,6,0)</f>
        <v>8.198675</v>
      </c>
      <c r="H604" s="52" t="n">
        <f aca="false">VLOOKUP($B604,03_COMPOSIÇÕES!$A:$G,7,0)</f>
        <v>5.2145414712</v>
      </c>
      <c r="I604" s="47" t="n">
        <f aca="false">$F604*$G604</f>
        <v>245.96025</v>
      </c>
      <c r="J604" s="47" t="n">
        <f aca="false">$F604*$H604</f>
        <v>156.436244136</v>
      </c>
      <c r="K604" s="47" t="n">
        <f aca="false">$I604*(1+BDI_MAT)</f>
        <v>296.67725355</v>
      </c>
      <c r="L604" s="47" t="n">
        <f aca="false">$J604*(1+BDI_MDO)</f>
        <v>199.440567648986</v>
      </c>
      <c r="M604" s="47" t="n">
        <f aca="false">SUM(K604:L604)</f>
        <v>496.117821198986</v>
      </c>
      <c r="N604" s="20" t="str">
        <f aca="false">A604</f>
        <v>11.6.2.18</v>
      </c>
    </row>
    <row r="605" customFormat="false" ht="30" hidden="false" customHeight="false" outlineLevel="3" collapsed="false">
      <c r="A605" s="42" t="s">
        <v>849</v>
      </c>
      <c r="B605" s="43" t="n">
        <v>89611</v>
      </c>
      <c r="C605" s="50" t="str">
        <f aca="false">VLOOKUP($B605,03_COMPOSIÇÕES!$A:$G,2,0)</f>
        <v>LUVA, PVC, SOLDÁVEL, DN 75MM, INSTALADO EM PRUMADA DE ÁGUA - FORNECIMENTO E INSTALAÇÃO. AF_06/2022</v>
      </c>
      <c r="D605" s="45" t="s">
        <v>59</v>
      </c>
      <c r="E605" s="51" t="str">
        <f aca="false">VLOOKUP($B605,03_COMPOSIÇÕES!$A:$G,4,0)</f>
        <v>UN</v>
      </c>
      <c r="F605" s="46" t="n">
        <v>1</v>
      </c>
      <c r="G605" s="51" t="n">
        <f aca="false">VLOOKUP($B605,03_COMPOSIÇÕES!$A:$G,6,0)</f>
        <v>25.750348</v>
      </c>
      <c r="H605" s="52" t="n">
        <f aca="false">VLOOKUP($B605,03_COMPOSIÇÕES!$A:$G,7,0)</f>
        <v>4.17163317696</v>
      </c>
      <c r="I605" s="47" t="n">
        <f aca="false">$F605*$G605</f>
        <v>25.750348</v>
      </c>
      <c r="J605" s="47" t="n">
        <f aca="false">$F605*$H605</f>
        <v>4.17163317696</v>
      </c>
      <c r="K605" s="47" t="n">
        <f aca="false">$I605*(1+BDI_MAT)</f>
        <v>31.0600697576</v>
      </c>
      <c r="L605" s="47" t="n">
        <f aca="false">$J605*(1+BDI_MDO)</f>
        <v>5.3184151373063</v>
      </c>
      <c r="M605" s="47" t="n">
        <f aca="false">SUM(K605:L605)</f>
        <v>36.3784848949063</v>
      </c>
      <c r="N605" s="20" t="str">
        <f aca="false">A605</f>
        <v>11.6.2.19</v>
      </c>
    </row>
    <row r="606" customFormat="false" ht="30" hidden="false" customHeight="false" outlineLevel="3" collapsed="false">
      <c r="A606" s="42" t="s">
        <v>850</v>
      </c>
      <c r="B606" s="43" t="n">
        <v>89402</v>
      </c>
      <c r="C606" s="50" t="str">
        <f aca="false">VLOOKUP($B606,03_COMPOSIÇÕES!$A:$G,2,0)</f>
        <v>TUBO, PVC, SOLDÁVEL, DE 25MM, INSTALADO EM RAMAL DE DISTRIBUIÇÃO DE ÁGUA - FORNECIMENTO E INSTALAÇÃO. AF_06/2022</v>
      </c>
      <c r="D606" s="45" t="s">
        <v>59</v>
      </c>
      <c r="E606" s="51" t="str">
        <f aca="false">VLOOKUP($B606,03_COMPOSIÇÕES!$A:$G,4,0)</f>
        <v>M</v>
      </c>
      <c r="F606" s="46" t="n">
        <v>148.5</v>
      </c>
      <c r="G606" s="51" t="n">
        <f aca="false">VLOOKUP($B606,03_COMPOSIÇÕES!$A:$G,6,0)</f>
        <v>5.586899</v>
      </c>
      <c r="H606" s="52" t="n">
        <f aca="false">VLOOKUP($B606,03_COMPOSIÇÕES!$A:$G,7,0)</f>
        <v>5.40540050544</v>
      </c>
      <c r="I606" s="47" t="n">
        <f aca="false">$F606*$G606</f>
        <v>829.6545015</v>
      </c>
      <c r="J606" s="47" t="n">
        <f aca="false">$F606*$H606</f>
        <v>802.70197505784</v>
      </c>
      <c r="K606" s="47" t="n">
        <f aca="false">$I606*(1+BDI_MAT)</f>
        <v>1000.7292597093</v>
      </c>
      <c r="L606" s="47" t="n">
        <f aca="false">$J606*(1+BDI_MDO)</f>
        <v>1023.36474800124</v>
      </c>
      <c r="M606" s="47" t="n">
        <f aca="false">SUM(K606:L606)</f>
        <v>2024.09400771054</v>
      </c>
      <c r="N606" s="20" t="str">
        <f aca="false">A606</f>
        <v>11.6.2.20</v>
      </c>
    </row>
    <row r="607" customFormat="false" ht="30" hidden="false" customHeight="false" outlineLevel="3" collapsed="false">
      <c r="A607" s="42" t="s">
        <v>851</v>
      </c>
      <c r="B607" s="43" t="n">
        <v>89403</v>
      </c>
      <c r="C607" s="50" t="str">
        <f aca="false">VLOOKUP($B607,03_COMPOSIÇÕES!$A:$G,2,0)</f>
        <v>TUBO, PVC, SOLDÁVEL, DE 32MM, INSTALADO EM RAMAL DE DISTRIBUIÇÃO DE ÁGUA - FORNECIMENTO E INSTALAÇÃO. AF_06/2022</v>
      </c>
      <c r="D607" s="45" t="s">
        <v>59</v>
      </c>
      <c r="E607" s="51" t="str">
        <f aca="false">VLOOKUP($B607,03_COMPOSIÇÕES!$A:$G,4,0)</f>
        <v>M</v>
      </c>
      <c r="F607" s="46" t="n">
        <v>33.4</v>
      </c>
      <c r="G607" s="51" t="n">
        <f aca="false">VLOOKUP($B607,03_COMPOSIÇÕES!$A:$G,6,0)</f>
        <v>11.602725</v>
      </c>
      <c r="H607" s="52" t="n">
        <f aca="false">VLOOKUP($B607,03_COMPOSIÇÕES!$A:$G,7,0)</f>
        <v>6.44490060264</v>
      </c>
      <c r="I607" s="47" t="n">
        <f aca="false">$F607*$G607</f>
        <v>387.531015</v>
      </c>
      <c r="J607" s="47" t="n">
        <f aca="false">$F607*$H607</f>
        <v>215.259680128176</v>
      </c>
      <c r="K607" s="47" t="n">
        <f aca="false">$I607*(1+BDI_MAT)</f>
        <v>467.439910293</v>
      </c>
      <c r="L607" s="47" t="n">
        <f aca="false">$J607*(1+BDI_MDO)</f>
        <v>274.434566195412</v>
      </c>
      <c r="M607" s="47" t="n">
        <f aca="false">SUM(K607:L607)</f>
        <v>741.874476488412</v>
      </c>
      <c r="N607" s="20" t="str">
        <f aca="false">A607</f>
        <v>11.6.2.21</v>
      </c>
    </row>
    <row r="608" customFormat="false" ht="30" hidden="false" customHeight="false" outlineLevel="3" collapsed="false">
      <c r="A608" s="42" t="s">
        <v>852</v>
      </c>
      <c r="B608" s="43" t="n">
        <v>89448</v>
      </c>
      <c r="C608" s="50" t="str">
        <f aca="false">VLOOKUP($B608,03_COMPOSIÇÕES!$A:$G,2,0)</f>
        <v>TUBO, PVC, SOLDÁVEL, DE 40MM, INSTALADO EM PRUMADA DE ÁGUA - FORNECIMENTO E INSTALAÇÃO. AF_06/2022</v>
      </c>
      <c r="D608" s="45" t="s">
        <v>59</v>
      </c>
      <c r="E608" s="51" t="str">
        <f aca="false">VLOOKUP($B608,03_COMPOSIÇÕES!$A:$G,4,0)</f>
        <v>M</v>
      </c>
      <c r="F608" s="46" t="n">
        <v>0.6</v>
      </c>
      <c r="G608" s="51" t="n">
        <f aca="false">VLOOKUP($B608,03_COMPOSIÇÕES!$A:$G,6,0)</f>
        <v>15.224775</v>
      </c>
      <c r="H608" s="52" t="n">
        <f aca="false">VLOOKUP($B608,03_COMPOSIÇÕES!$A:$G,7,0)</f>
        <v>0.96111156528</v>
      </c>
      <c r="I608" s="47" t="n">
        <f aca="false">$F608*$G608</f>
        <v>9.134865</v>
      </c>
      <c r="J608" s="47" t="n">
        <f aca="false">$F608*$H608</f>
        <v>0.576666939168</v>
      </c>
      <c r="K608" s="47" t="n">
        <f aca="false">$I608*(1+BDI_MAT)</f>
        <v>11.018474163</v>
      </c>
      <c r="L608" s="47" t="n">
        <f aca="false">$J608*(1+BDI_MDO)</f>
        <v>0.735192680745283</v>
      </c>
      <c r="M608" s="47" t="n">
        <f aca="false">SUM(K608:L608)</f>
        <v>11.7536668437453</v>
      </c>
      <c r="N608" s="20" t="str">
        <f aca="false">A608</f>
        <v>11.6.2.22</v>
      </c>
    </row>
    <row r="609" customFormat="false" ht="30" hidden="false" customHeight="false" outlineLevel="3" collapsed="false">
      <c r="A609" s="42" t="s">
        <v>853</v>
      </c>
      <c r="B609" s="43" t="n">
        <v>103979</v>
      </c>
      <c r="C609" s="50" t="str">
        <f aca="false">VLOOKUP($B609,03_COMPOSIÇÕES!$A:$G,2,0)</f>
        <v>TUBO, PVC, SOLDÁVEL, DE 50MM, INSTALADO EM RAMAL DE DISTRIBUIÇÃO DE ÁGUA - FORNECIMENTO E INSTALAÇÃO. AF_06/2022</v>
      </c>
      <c r="D609" s="45" t="s">
        <v>59</v>
      </c>
      <c r="E609" s="51" t="str">
        <f aca="false">VLOOKUP($B609,03_COMPOSIÇÕES!$A:$G,4,0)</f>
        <v>M</v>
      </c>
      <c r="F609" s="46" t="n">
        <v>213.4</v>
      </c>
      <c r="G609" s="51" t="n">
        <f aca="false">VLOOKUP($B609,03_COMPOSIÇÕES!$A:$G,6,0)</f>
        <v>19.936994</v>
      </c>
      <c r="H609" s="52" t="n">
        <f aca="false">VLOOKUP($B609,03_COMPOSIÇÕES!$A:$G,7,0)</f>
        <v>9.12374347608</v>
      </c>
      <c r="I609" s="47" t="n">
        <f aca="false">$F609*$G609</f>
        <v>4254.5545196</v>
      </c>
      <c r="J609" s="47" t="n">
        <f aca="false">$F609*$H609</f>
        <v>1947.00685779547</v>
      </c>
      <c r="K609" s="47" t="n">
        <f aca="false">$I609*(1+BDI_MAT)</f>
        <v>5131.84366154152</v>
      </c>
      <c r="L609" s="47" t="n">
        <f aca="false">$J609*(1+BDI_MDO)</f>
        <v>2482.23904300345</v>
      </c>
      <c r="M609" s="47" t="n">
        <f aca="false">SUM(K609:L609)</f>
        <v>7614.08270454497</v>
      </c>
      <c r="N609" s="20" t="str">
        <f aca="false">A609</f>
        <v>11.6.2.23</v>
      </c>
    </row>
    <row r="610" customFormat="false" ht="30" hidden="false" customHeight="false" outlineLevel="3" collapsed="false">
      <c r="A610" s="42" t="s">
        <v>854</v>
      </c>
      <c r="B610" s="43" t="n">
        <v>89451</v>
      </c>
      <c r="C610" s="50" t="str">
        <f aca="false">VLOOKUP($B610,03_COMPOSIÇÕES!$A:$G,2,0)</f>
        <v>TUBO, PVC, SOLDÁVEL, DE 75MM, INSTALADO EM PRUMADA DE ÁGUA - FORNECIMENTO E INSTALAÇÃO. AF_06/2022</v>
      </c>
      <c r="D610" s="45" t="s">
        <v>59</v>
      </c>
      <c r="E610" s="51" t="str">
        <f aca="false">VLOOKUP($B610,03_COMPOSIÇÕES!$A:$G,4,0)</f>
        <v>M</v>
      </c>
      <c r="F610" s="46" t="n">
        <v>61.8</v>
      </c>
      <c r="G610" s="51" t="n">
        <f aca="false">VLOOKUP($B610,03_COMPOSIÇÕES!$A:$G,6,0)</f>
        <v>45.038178</v>
      </c>
      <c r="H610" s="52" t="n">
        <f aca="false">VLOOKUP($B610,03_COMPOSIÇÕES!$A:$G,7,0)</f>
        <v>1.01682764664</v>
      </c>
      <c r="I610" s="47" t="n">
        <f aca="false">$F610*$G610</f>
        <v>2783.3594004</v>
      </c>
      <c r="J610" s="47" t="n">
        <f aca="false">$F610*$H610</f>
        <v>62.839948562352</v>
      </c>
      <c r="K610" s="47" t="n">
        <f aca="false">$I610*(1+BDI_MAT)</f>
        <v>3357.28810876248</v>
      </c>
      <c r="L610" s="47" t="n">
        <f aca="false">$J610*(1+BDI_MDO)</f>
        <v>80.1146504221426</v>
      </c>
      <c r="M610" s="47" t="n">
        <f aca="false">SUM(K610:L610)</f>
        <v>3437.40275918462</v>
      </c>
      <c r="N610" s="20" t="str">
        <f aca="false">A610</f>
        <v>11.6.2.24</v>
      </c>
    </row>
    <row r="611" customFormat="false" ht="30" hidden="false" customHeight="false" outlineLevel="3" collapsed="false">
      <c r="A611" s="42" t="s">
        <v>855</v>
      </c>
      <c r="B611" s="43" t="n">
        <v>89440</v>
      </c>
      <c r="C611" s="50" t="str">
        <f aca="false">VLOOKUP($B611,03_COMPOSIÇÕES!$A:$G,2,0)</f>
        <v>TE, PVC, SOLDÁVEL, DN 25MM, INSTALADO EM RAMAL DE DISTRIBUIÇÃO DE ÁGUA - FORNECIMENTO E INSTALAÇÃO. AF_06/2022</v>
      </c>
      <c r="D611" s="45" t="s">
        <v>59</v>
      </c>
      <c r="E611" s="51" t="str">
        <f aca="false">VLOOKUP($B611,03_COMPOSIÇÕES!$A:$G,4,0)</f>
        <v>UN</v>
      </c>
      <c r="F611" s="46" t="n">
        <v>2</v>
      </c>
      <c r="G611" s="51" t="n">
        <f aca="false">VLOOKUP($B611,03_COMPOSIÇÕES!$A:$G,6,0)</f>
        <v>5.330845</v>
      </c>
      <c r="H611" s="52" t="n">
        <f aca="false">VLOOKUP($B611,03_COMPOSIÇÕES!$A:$G,7,0)</f>
        <v>3.72974027472</v>
      </c>
      <c r="I611" s="47" t="n">
        <f aca="false">$F611*$G611</f>
        <v>10.66169</v>
      </c>
      <c r="J611" s="47" t="n">
        <f aca="false">$F611*$H611</f>
        <v>7.45948054944</v>
      </c>
      <c r="K611" s="47" t="n">
        <f aca="false">$I611*(1+BDI_MAT)</f>
        <v>12.860130478</v>
      </c>
      <c r="L611" s="47" t="n">
        <f aca="false">$J611*(1+BDI_MDO)</f>
        <v>9.51009175248106</v>
      </c>
      <c r="M611" s="47" t="n">
        <f aca="false">SUM(K611:L611)</f>
        <v>22.3702222304811</v>
      </c>
      <c r="N611" s="20" t="str">
        <f aca="false">A611</f>
        <v>11.6.2.25</v>
      </c>
    </row>
    <row r="612" customFormat="false" ht="30" hidden="false" customHeight="false" outlineLevel="3" collapsed="false">
      <c r="A612" s="42" t="s">
        <v>856</v>
      </c>
      <c r="B612" s="43" t="n">
        <v>89443</v>
      </c>
      <c r="C612" s="50" t="str">
        <f aca="false">VLOOKUP($B612,03_COMPOSIÇÕES!$A:$G,2,0)</f>
        <v>TE, PVC, SOLDÁVEL, DN 32MM, INSTALADO EM RAMAL DE DISTRIBUIÇÃO DE ÁGUA - FORNECIMENTO E INSTALAÇÃO. AF_06/2022</v>
      </c>
      <c r="D612" s="45" t="s">
        <v>59</v>
      </c>
      <c r="E612" s="51" t="str">
        <f aca="false">VLOOKUP($B612,03_COMPOSIÇÕES!$A:$G,4,0)</f>
        <v>UN</v>
      </c>
      <c r="F612" s="46" t="n">
        <v>1</v>
      </c>
      <c r="G612" s="51" t="n">
        <f aca="false">VLOOKUP($B612,03_COMPOSIÇÕES!$A:$G,6,0)</f>
        <v>8.952941</v>
      </c>
      <c r="H612" s="52" t="n">
        <f aca="false">VLOOKUP($B612,03_COMPOSIÇÕES!$A:$G,7,0)</f>
        <v>4.44810636516</v>
      </c>
      <c r="I612" s="47" t="n">
        <f aca="false">$F612*$G612</f>
        <v>8.952941</v>
      </c>
      <c r="J612" s="47" t="n">
        <f aca="false">$F612*$H612</f>
        <v>4.44810636516</v>
      </c>
      <c r="K612" s="47" t="n">
        <f aca="false">$I612*(1+BDI_MAT)</f>
        <v>10.7990374342</v>
      </c>
      <c r="L612" s="47" t="n">
        <f aca="false">$J612*(1+BDI_MDO)</f>
        <v>5.67089080494249</v>
      </c>
      <c r="M612" s="47" t="n">
        <f aca="false">SUM(K612:L612)</f>
        <v>16.4699282391425</v>
      </c>
      <c r="N612" s="20" t="str">
        <f aca="false">A612</f>
        <v>11.6.2.26</v>
      </c>
    </row>
    <row r="613" customFormat="false" ht="30" hidden="false" customHeight="false" outlineLevel="3" collapsed="false">
      <c r="A613" s="42" t="s">
        <v>857</v>
      </c>
      <c r="B613" s="43" t="n">
        <v>104004</v>
      </c>
      <c r="C613" s="50" t="str">
        <f aca="false">VLOOKUP($B613,03_COMPOSIÇÕES!$A:$G,2,0)</f>
        <v>TE, PVC, SOLDÁVEL, DN 50MM, INSTALADO EM RAMAL DE DISTRIBUIÇÃO DE ÁGUA - FORNECIMENTO E INSTALAÇÃO. AF_06/2022</v>
      </c>
      <c r="D613" s="45" t="s">
        <v>59</v>
      </c>
      <c r="E613" s="51" t="str">
        <f aca="false">VLOOKUP($B613,03_COMPOSIÇÕES!$A:$G,4,0)</f>
        <v>UN</v>
      </c>
      <c r="F613" s="46" t="n">
        <v>29</v>
      </c>
      <c r="G613" s="51" t="n">
        <f aca="false">VLOOKUP($B613,03_COMPOSIÇÕES!$A:$G,6,0)</f>
        <v>17.976946</v>
      </c>
      <c r="H613" s="52" t="n">
        <f aca="false">VLOOKUP($B613,03_COMPOSIÇÕES!$A:$G,7,0)</f>
        <v>6.29650965804</v>
      </c>
      <c r="I613" s="47" t="n">
        <f aca="false">$F613*$G613</f>
        <v>521.331434</v>
      </c>
      <c r="J613" s="47" t="n">
        <f aca="false">$F613*$H613</f>
        <v>182.59878008316</v>
      </c>
      <c r="K613" s="47" t="n">
        <f aca="false">$I613*(1+BDI_MAT)</f>
        <v>628.8299756908</v>
      </c>
      <c r="L613" s="47" t="n">
        <f aca="false">$J613*(1+BDI_MDO)</f>
        <v>232.795184728021</v>
      </c>
      <c r="M613" s="47" t="n">
        <f aca="false">SUM(K613:L613)</f>
        <v>861.625160418821</v>
      </c>
      <c r="N613" s="20" t="str">
        <f aca="false">A613</f>
        <v>11.6.2.27</v>
      </c>
    </row>
    <row r="614" customFormat="false" ht="30" hidden="false" customHeight="false" outlineLevel="3" collapsed="false">
      <c r="A614" s="42" t="s">
        <v>858</v>
      </c>
      <c r="B614" s="43" t="n">
        <v>89622</v>
      </c>
      <c r="C614" s="50" t="str">
        <f aca="false">VLOOKUP($B614,03_COMPOSIÇÕES!$A:$G,2,0)</f>
        <v>TÊ DE REDUÇÃO, PVC, SOLDÁVEL, DN 32MM X 25MM, INSTALADO EM PRUMADA DE ÁGUA - FORNECIMENTO E INSTALAÇÃO. AF_06/2022</v>
      </c>
      <c r="D614" s="45" t="s">
        <v>59</v>
      </c>
      <c r="E614" s="51" t="str">
        <f aca="false">VLOOKUP($B614,03_COMPOSIÇÕES!$A:$G,4,0)</f>
        <v>UN</v>
      </c>
      <c r="F614" s="46" t="n">
        <v>2</v>
      </c>
      <c r="G614" s="51" t="n">
        <f aca="false">VLOOKUP($B614,03_COMPOSIÇÕES!$A:$G,6,0)</f>
        <v>9.995179</v>
      </c>
      <c r="H614" s="52" t="n">
        <f aca="false">VLOOKUP($B614,03_COMPOSIÇÕES!$A:$G,7,0)</f>
        <v>2.15509827132</v>
      </c>
      <c r="I614" s="47" t="n">
        <f aca="false">$F614*$G614</f>
        <v>19.990358</v>
      </c>
      <c r="J614" s="47" t="n">
        <f aca="false">$F614*$H614</f>
        <v>4.31019654264</v>
      </c>
      <c r="K614" s="47" t="n">
        <f aca="false">$I614*(1+BDI_MAT)</f>
        <v>24.1123698196</v>
      </c>
      <c r="L614" s="47" t="n">
        <f aca="false">$J614*(1+BDI_MDO)</f>
        <v>5.49506957221174</v>
      </c>
      <c r="M614" s="47" t="n">
        <f aca="false">SUM(K614:L614)</f>
        <v>29.6074393918117</v>
      </c>
      <c r="N614" s="20" t="str">
        <f aca="false">A614</f>
        <v>11.6.2.28</v>
      </c>
    </row>
    <row r="615" customFormat="false" ht="45" hidden="false" customHeight="false" outlineLevel="3" collapsed="false">
      <c r="A615" s="42" t="s">
        <v>859</v>
      </c>
      <c r="B615" s="43" t="n">
        <v>104006</v>
      </c>
      <c r="C615" s="50" t="str">
        <f aca="false">VLOOKUP($B615,03_COMPOSIÇÕES!$A:$G,2,0)</f>
        <v>TÊ DE REDUÇÃO, PVC, SOLDÁVEL, DN 50MM X 25MM, INSTALADO EM RAMAL DE DISTRIBUIÇÃO DE ÁGUA - FORNECIMENTO E INSTALAÇÃO. AF_06/2022</v>
      </c>
      <c r="D615" s="45" t="s">
        <v>59</v>
      </c>
      <c r="E615" s="51" t="str">
        <f aca="false">VLOOKUP($B615,03_COMPOSIÇÕES!$A:$G,4,0)</f>
        <v>UN</v>
      </c>
      <c r="F615" s="46" t="n">
        <v>2</v>
      </c>
      <c r="G615" s="51" t="n">
        <f aca="false">VLOOKUP($B615,03_COMPOSIÇÕES!$A:$G,6,0)</f>
        <v>16.267355</v>
      </c>
      <c r="H615" s="52" t="n">
        <f aca="false">VLOOKUP($B615,03_COMPOSIÇÕES!$A:$G,7,0)</f>
        <v>4.75685969916</v>
      </c>
      <c r="I615" s="47" t="n">
        <f aca="false">$F615*$G615</f>
        <v>32.53471</v>
      </c>
      <c r="J615" s="47" t="n">
        <f aca="false">$F615*$H615</f>
        <v>9.51371939832</v>
      </c>
      <c r="K615" s="47" t="n">
        <f aca="false">$I615*(1+BDI_MAT)</f>
        <v>39.243367202</v>
      </c>
      <c r="L615" s="47" t="n">
        <f aca="false">$J615*(1+BDI_MDO)</f>
        <v>12.1290408609182</v>
      </c>
      <c r="M615" s="47" t="n">
        <f aca="false">SUM(K615:L615)</f>
        <v>51.3724080629182</v>
      </c>
      <c r="N615" s="20" t="str">
        <f aca="false">A615</f>
        <v>11.6.2.29</v>
      </c>
    </row>
    <row r="616" customFormat="false" ht="30" hidden="false" customHeight="false" outlineLevel="3" collapsed="false">
      <c r="A616" s="42" t="s">
        <v>860</v>
      </c>
      <c r="B616" s="43" t="n">
        <v>89630</v>
      </c>
      <c r="C616" s="50" t="str">
        <f aca="false">VLOOKUP($B616,03_COMPOSIÇÕES!$A:$G,2,0)</f>
        <v>TE DE REDUÇÃO, PVC, SOLDÁVEL, DN 75MM X 50MM, INSTALADO EM PRUMADA DE ÁGUA - FORNECIMENTO E INSTALAÇÃO. AF_06/2022</v>
      </c>
      <c r="D616" s="45" t="s">
        <v>59</v>
      </c>
      <c r="E616" s="51" t="str">
        <f aca="false">VLOOKUP($B616,03_COMPOSIÇÕES!$A:$G,4,0)</f>
        <v>UN</v>
      </c>
      <c r="F616" s="46" t="n">
        <v>4</v>
      </c>
      <c r="G616" s="51" t="n">
        <f aca="false">VLOOKUP($B616,03_COMPOSIÇÕES!$A:$G,6,0)</f>
        <v>51.564256</v>
      </c>
      <c r="H616" s="52" t="n">
        <f aca="false">VLOOKUP($B616,03_COMPOSIÇÕES!$A:$G,7,0)</f>
        <v>4.27520449812</v>
      </c>
      <c r="I616" s="47" t="n">
        <f aca="false">$F616*$G616</f>
        <v>206.257024</v>
      </c>
      <c r="J616" s="47" t="n">
        <f aca="false">$F616*$H616</f>
        <v>17.10081799248</v>
      </c>
      <c r="K616" s="47" t="n">
        <f aca="false">$I616*(1+BDI_MAT)</f>
        <v>248.7872223488</v>
      </c>
      <c r="L616" s="47" t="n">
        <f aca="false">$J616*(1+BDI_MDO)</f>
        <v>21.8018328586128</v>
      </c>
      <c r="M616" s="47" t="n">
        <f aca="false">SUM(K616:L616)</f>
        <v>270.589055207413</v>
      </c>
      <c r="N616" s="20" t="str">
        <f aca="false">A616</f>
        <v>11.6.2.30</v>
      </c>
    </row>
    <row r="617" customFormat="false" ht="30" hidden="false" customHeight="false" outlineLevel="3" collapsed="false">
      <c r="A617" s="42" t="s">
        <v>861</v>
      </c>
      <c r="B617" s="43" t="n">
        <v>89552</v>
      </c>
      <c r="C617" s="50" t="str">
        <f aca="false">VLOOKUP($B617,03_COMPOSIÇÕES!$A:$G,2,0)</f>
        <v>UNIÃO, PVC, SOLDÁVEL, DN 32MM, INSTALADO EM PRUMADA DE ÁGUA - FORNECIMENTO E INSTALAÇÃO. AF_06/2022</v>
      </c>
      <c r="D617" s="45" t="s">
        <v>59</v>
      </c>
      <c r="E617" s="51" t="str">
        <f aca="false">VLOOKUP($B617,03_COMPOSIÇÕES!$A:$G,4,0)</f>
        <v>UN</v>
      </c>
      <c r="F617" s="46" t="n">
        <v>2</v>
      </c>
      <c r="G617" s="51" t="n">
        <f aca="false">VLOOKUP($B617,03_COMPOSIÇÕES!$A:$G,6,0)</f>
        <v>15.712279</v>
      </c>
      <c r="H617" s="52" t="n">
        <f aca="false">VLOOKUP($B617,03_COMPOSIÇÕES!$A:$G,7,0)</f>
        <v>1.18767115812</v>
      </c>
      <c r="I617" s="47" t="n">
        <f aca="false">$F617*$G617</f>
        <v>31.424558</v>
      </c>
      <c r="J617" s="47" t="n">
        <f aca="false">$F617*$H617</f>
        <v>2.37534231624</v>
      </c>
      <c r="K617" s="47" t="n">
        <f aca="false">$I617*(1+BDI_MAT)</f>
        <v>37.9043018596</v>
      </c>
      <c r="L617" s="47" t="n">
        <f aca="false">$J617*(1+BDI_MDO)</f>
        <v>3.02832391897438</v>
      </c>
      <c r="M617" s="47" t="n">
        <f aca="false">SUM(K617:L617)</f>
        <v>40.9326257785744</v>
      </c>
      <c r="N617" s="20" t="str">
        <f aca="false">A617</f>
        <v>11.6.2.31</v>
      </c>
    </row>
    <row r="618" customFormat="false" ht="15" hidden="false" customHeight="false" outlineLevel="2" collapsed="false">
      <c r="A618" s="42" t="s">
        <v>862</v>
      </c>
      <c r="B618" s="43"/>
      <c r="C618" s="50" t="s">
        <v>863</v>
      </c>
      <c r="D618" s="45"/>
      <c r="E618" s="44"/>
      <c r="F618" s="46"/>
      <c r="G618" s="51"/>
      <c r="H618" s="52"/>
      <c r="I618" s="47" t="n">
        <f aca="false">SUBTOTAL(9,I619:I622)</f>
        <v>898.653115</v>
      </c>
      <c r="J618" s="47" t="n">
        <f aca="false">SUBTOTAL(9,J619:J622)</f>
        <v>249.2874418716</v>
      </c>
      <c r="K618" s="47" t="n">
        <f aca="false">SUBTOTAL(9,K619:K622)</f>
        <v>1083.955387313</v>
      </c>
      <c r="L618" s="47" t="n">
        <f aca="false">SUBTOTAL(9,L619:L622)</f>
        <v>317.816559642103</v>
      </c>
      <c r="M618" s="47" t="n">
        <f aca="false">SUBTOTAL(9,M619:M622)</f>
        <v>1401.7719469551</v>
      </c>
      <c r="N618" s="20" t="str">
        <f aca="false">A618</f>
        <v>11.6.3</v>
      </c>
    </row>
    <row r="619" customFormat="false" ht="45" hidden="false" customHeight="false" outlineLevel="3" collapsed="false">
      <c r="A619" s="42" t="s">
        <v>864</v>
      </c>
      <c r="B619" s="43" t="n">
        <v>89366</v>
      </c>
      <c r="C619" s="50" t="str">
        <f aca="false">VLOOKUP($B619,03_COMPOSIÇÕES!$A:$G,2,0)</f>
        <v>JOELHO 90 GRAUS COM BUCHA DE LATÃO, PVC, SOLDÁVEL, DN 25MM, X 3/4 INSTALADO EM RAMAL OU SUB-RAMAL DE ÁGUA - FORNECIMENTO E INSTALAÇÃO. AF_06/2022</v>
      </c>
      <c r="D619" s="45" t="s">
        <v>59</v>
      </c>
      <c r="E619" s="51" t="str">
        <f aca="false">VLOOKUP($B619,03_COMPOSIÇÕES!$A:$G,4,0)</f>
        <v>UN</v>
      </c>
      <c r="F619" s="46" t="n">
        <v>31</v>
      </c>
      <c r="G619" s="51" t="n">
        <f aca="false">VLOOKUP($B619,03_COMPOSIÇÕES!$A:$G,6,0)</f>
        <v>10.986125</v>
      </c>
      <c r="H619" s="52" t="n">
        <f aca="false">VLOOKUP($B619,03_COMPOSIÇÕES!$A:$G,7,0)</f>
        <v>2.91463147296</v>
      </c>
      <c r="I619" s="47" t="n">
        <f aca="false">$F619*$G619</f>
        <v>340.569875</v>
      </c>
      <c r="J619" s="47" t="n">
        <f aca="false">$F619*$H619</f>
        <v>90.35357566176</v>
      </c>
      <c r="K619" s="47" t="n">
        <f aca="false">$I619*(1+BDI_MAT)</f>
        <v>410.795383225</v>
      </c>
      <c r="L619" s="47" t="n">
        <f aca="false">$J619*(1+BDI_MDO)</f>
        <v>115.191773611178</v>
      </c>
      <c r="M619" s="47" t="n">
        <f aca="false">SUM(K619:L619)</f>
        <v>525.987156836178</v>
      </c>
      <c r="N619" s="20" t="str">
        <f aca="false">A619</f>
        <v>11.6.3.1</v>
      </c>
    </row>
    <row r="620" customFormat="false" ht="45" hidden="false" customHeight="false" outlineLevel="3" collapsed="false">
      <c r="A620" s="42" t="s">
        <v>865</v>
      </c>
      <c r="B620" s="43" t="n">
        <v>90373</v>
      </c>
      <c r="C620" s="50" t="str">
        <f aca="false">VLOOKUP($B620,03_COMPOSIÇÕES!$A:$G,2,0)</f>
        <v>JOELHO 90 GRAUS COM BUCHA DE LATÃO, PVC, SOLDÁVEL, DN 25MM, X 1/2 INSTALADO EM RAMAL OU SUB-RAMAL DE ÁGUA - FORNECIMENTO E INSTALAÇÃO. AF_06/2022</v>
      </c>
      <c r="D620" s="45" t="s">
        <v>59</v>
      </c>
      <c r="E620" s="51" t="str">
        <f aca="false">VLOOKUP($B620,03_COMPOSIÇÕES!$A:$G,4,0)</f>
        <v>UN</v>
      </c>
      <c r="F620" s="46" t="n">
        <v>24</v>
      </c>
      <c r="G620" s="51" t="n">
        <f aca="false">VLOOKUP($B620,03_COMPOSIÇÕES!$A:$G,6,0)</f>
        <v>8.12794</v>
      </c>
      <c r="H620" s="52" t="n">
        <f aca="false">VLOOKUP($B620,03_COMPOSIÇÕES!$A:$G,7,0)</f>
        <v>2.70056249472</v>
      </c>
      <c r="I620" s="47" t="n">
        <f aca="false">$F620*$G620</f>
        <v>195.07056</v>
      </c>
      <c r="J620" s="47" t="n">
        <f aca="false">$F620*$H620</f>
        <v>64.81349987328</v>
      </c>
      <c r="K620" s="47" t="n">
        <f aca="false">$I620*(1+BDI_MAT)</f>
        <v>235.294109472</v>
      </c>
      <c r="L620" s="47" t="n">
        <f aca="false">$J620*(1+BDI_MDO)</f>
        <v>82.6307309884447</v>
      </c>
      <c r="M620" s="47" t="n">
        <f aca="false">SUM(K620:L620)</f>
        <v>317.924840460445</v>
      </c>
      <c r="N620" s="20" t="str">
        <f aca="false">A620</f>
        <v>11.6.3.2</v>
      </c>
    </row>
    <row r="621" customFormat="false" ht="45" hidden="false" customHeight="false" outlineLevel="3" collapsed="false">
      <c r="A621" s="42" t="s">
        <v>866</v>
      </c>
      <c r="B621" s="43" t="n">
        <v>89396</v>
      </c>
      <c r="C621" s="50" t="str">
        <f aca="false">VLOOKUP($B621,03_COMPOSIÇÕES!$A:$G,2,0)</f>
        <v>TÊ COM BUCHA DE LATÃO NA BOLSA CENTRAL, PVC, SOLDÁVEL, DN 25MM X 1/2 , INSTALADO EM RAMAL OU SUB-RAMAL DE ÁGUA - FORNECIMENTO E INSTALAÇÃO. AF_06/2022</v>
      </c>
      <c r="D621" s="45" t="s">
        <v>59</v>
      </c>
      <c r="E621" s="51" t="str">
        <f aca="false">VLOOKUP($B621,03_COMPOSIÇÕES!$A:$G,4,0)</f>
        <v>UN</v>
      </c>
      <c r="F621" s="46" t="n">
        <v>24</v>
      </c>
      <c r="G621" s="51" t="n">
        <f aca="false">VLOOKUP($B621,03_COMPOSIÇÕES!$A:$G,6,0)</f>
        <v>13.869664</v>
      </c>
      <c r="H621" s="52" t="n">
        <f aca="false">VLOOKUP($B621,03_COMPOSIÇÕES!$A:$G,7,0)</f>
        <v>3.59800551888</v>
      </c>
      <c r="I621" s="47" t="n">
        <f aca="false">$F621*$G621</f>
        <v>332.871936</v>
      </c>
      <c r="J621" s="47" t="n">
        <f aca="false">$F621*$H621</f>
        <v>86.35213245312</v>
      </c>
      <c r="K621" s="47" t="n">
        <f aca="false">$I621*(1+BDI_MAT)</f>
        <v>401.5101292032</v>
      </c>
      <c r="L621" s="47" t="n">
        <f aca="false">$J621*(1+BDI_MDO)</f>
        <v>110.090333664483</v>
      </c>
      <c r="M621" s="47" t="n">
        <f aca="false">SUM(K621:L621)</f>
        <v>511.600462867683</v>
      </c>
      <c r="N621" s="20" t="str">
        <f aca="false">A621</f>
        <v>11.6.3.3</v>
      </c>
    </row>
    <row r="622" customFormat="false" ht="45" hidden="false" customHeight="false" outlineLevel="3" collapsed="false">
      <c r="A622" s="42" t="s">
        <v>867</v>
      </c>
      <c r="B622" s="43" t="n">
        <v>90374</v>
      </c>
      <c r="C622" s="50" t="str">
        <f aca="false">VLOOKUP($B622,03_COMPOSIÇÕES!$A:$G,2,0)</f>
        <v>TÊ COM BUCHA DE LATÃO NA BOLSA CENTRAL, PVC, SOLDÁVEL, DN 25MM X 3/4 , INSTALADO EM RAMAL OU SUB-RAMAL DE ÁGUA - FORNECIMENTO E INSTALAÇÃO. AF_06/2022</v>
      </c>
      <c r="D622" s="45" t="s">
        <v>59</v>
      </c>
      <c r="E622" s="51" t="str">
        <f aca="false">VLOOKUP($B622,03_COMPOSIÇÕES!$A:$G,4,0)</f>
        <v>UN</v>
      </c>
      <c r="F622" s="46" t="n">
        <v>2</v>
      </c>
      <c r="G622" s="51" t="n">
        <f aca="false">VLOOKUP($B622,03_COMPOSIÇÕES!$A:$G,6,0)</f>
        <v>15.070372</v>
      </c>
      <c r="H622" s="52" t="n">
        <f aca="false">VLOOKUP($B622,03_COMPOSIÇÕES!$A:$G,7,0)</f>
        <v>3.88411694172</v>
      </c>
      <c r="I622" s="47" t="n">
        <f aca="false">$F622*$G622</f>
        <v>30.140744</v>
      </c>
      <c r="J622" s="47" t="n">
        <f aca="false">$F622*$H622</f>
        <v>7.76823388344</v>
      </c>
      <c r="K622" s="47" t="n">
        <f aca="false">$I622*(1+BDI_MAT)</f>
        <v>36.3557654128</v>
      </c>
      <c r="L622" s="47" t="n">
        <f aca="false">$J622*(1+BDI_MDO)</f>
        <v>9.90372137799766</v>
      </c>
      <c r="M622" s="47" t="n">
        <f aca="false">SUM(K622:L622)</f>
        <v>46.2594867907977</v>
      </c>
      <c r="N622" s="20" t="str">
        <f aca="false">A622</f>
        <v>11.6.3.4</v>
      </c>
    </row>
    <row r="623" customFormat="false" ht="15" hidden="false" customHeight="false" outlineLevel="2" collapsed="false">
      <c r="A623" s="42" t="s">
        <v>868</v>
      </c>
      <c r="B623" s="43"/>
      <c r="C623" s="50" t="s">
        <v>869</v>
      </c>
      <c r="D623" s="45"/>
      <c r="E623" s="44"/>
      <c r="F623" s="46"/>
      <c r="G623" s="51"/>
      <c r="H623" s="52"/>
      <c r="I623" s="47" t="n">
        <f aca="false">SUBTOTAL(9,I624)</f>
        <v>10.91</v>
      </c>
      <c r="J623" s="47" t="n">
        <f aca="false">SUBTOTAL(9,J624)</f>
        <v>27.391353</v>
      </c>
      <c r="K623" s="47" t="n">
        <f aca="false">SUBTOTAL(9,K624)</f>
        <v>13.159642</v>
      </c>
      <c r="L623" s="47" t="n">
        <f aca="false">SUBTOTAL(9,L624)</f>
        <v>34.9212359397</v>
      </c>
      <c r="M623" s="47" t="n">
        <f aca="false">SUBTOTAL(9,M624)</f>
        <v>48.0808779397</v>
      </c>
      <c r="N623" s="20" t="str">
        <f aca="false">A623</f>
        <v>11.6.4</v>
      </c>
    </row>
    <row r="624" customFormat="false" ht="15" hidden="false" customHeight="false" outlineLevel="3" collapsed="false">
      <c r="A624" s="42" t="s">
        <v>870</v>
      </c>
      <c r="B624" s="43" t="s">
        <v>871</v>
      </c>
      <c r="C624" s="50" t="str">
        <f aca="false">VLOOKUP($B624,03_COMPOSIÇÕES!$A:$G,2,0)</f>
        <v>PRESSURIZADOR ULTRA PRESS UP 725 - FORNECIMENTO E INSTALAÇÃO.</v>
      </c>
      <c r="D624" s="45"/>
      <c r="E624" s="44"/>
      <c r="F624" s="46" t="n">
        <v>1</v>
      </c>
      <c r="G624" s="51" t="n">
        <f aca="false">VLOOKUP($B624,03_COMPOSIÇÕES!$A:$G,6,0)</f>
        <v>10.91</v>
      </c>
      <c r="H624" s="52" t="n">
        <f aca="false">VLOOKUP($B624,03_COMPOSIÇÕES!$A:$G,7,0)</f>
        <v>27.391353</v>
      </c>
      <c r="I624" s="47" t="n">
        <f aca="false">$F624*$G624</f>
        <v>10.91</v>
      </c>
      <c r="J624" s="47" t="n">
        <f aca="false">$F624*$H624</f>
        <v>27.391353</v>
      </c>
      <c r="K624" s="47" t="n">
        <f aca="false">$I624*(1+BDI_MAT)</f>
        <v>13.159642</v>
      </c>
      <c r="L624" s="47" t="n">
        <f aca="false">$J624*(1+BDI_MDO)</f>
        <v>34.9212359397</v>
      </c>
      <c r="M624" s="47" t="n">
        <f aca="false">SUM(K624:L624)</f>
        <v>48.0808779397</v>
      </c>
      <c r="N624" s="20" t="str">
        <f aca="false">A624</f>
        <v>11.6.4.1</v>
      </c>
    </row>
    <row r="625" customFormat="false" ht="15" hidden="false" customHeight="false" outlineLevel="2" collapsed="false">
      <c r="A625" s="42" t="s">
        <v>872</v>
      </c>
      <c r="B625" s="43"/>
      <c r="C625" s="50" t="s">
        <v>873</v>
      </c>
      <c r="D625" s="45"/>
      <c r="E625" s="44"/>
      <c r="F625" s="46"/>
      <c r="G625" s="51"/>
      <c r="H625" s="52"/>
      <c r="I625" s="47" t="n">
        <f aca="false">SUBTOTAL(9,I626)</f>
        <v>10207.7301884767</v>
      </c>
      <c r="J625" s="47" t="n">
        <f aca="false">SUBTOTAL(9,J626)</f>
        <v>213.11257465098</v>
      </c>
      <c r="K625" s="47" t="n">
        <f aca="false">SUBTOTAL(9,K626)</f>
        <v>12312.5641533406</v>
      </c>
      <c r="L625" s="47" t="n">
        <f aca="false">SUBTOTAL(9,L626)</f>
        <v>271.697221422534</v>
      </c>
      <c r="M625" s="47" t="n">
        <f aca="false">SUBTOTAL(9,M626)</f>
        <v>12584.2613747631</v>
      </c>
      <c r="N625" s="20" t="str">
        <f aca="false">A625</f>
        <v>11.6.5</v>
      </c>
    </row>
    <row r="626" customFormat="false" ht="30" hidden="false" customHeight="false" outlineLevel="2" collapsed="false">
      <c r="A626" s="42" t="s">
        <v>874</v>
      </c>
      <c r="B626" s="43" t="n">
        <v>102619</v>
      </c>
      <c r="C626" s="50" t="str">
        <f aca="false">VLOOKUP($B626,03_COMPOSIÇÕES!$A:$G,2,0)</f>
        <v>CAIXA D´ÁGUA EM POLIÉSTER REFORÇADO COM FIBRA DE VIDRO, 10000 LITROS - FORNECIMENTO E INSTALAÇÃO. AF_06/2021</v>
      </c>
      <c r="D626" s="45" t="s">
        <v>59</v>
      </c>
      <c r="E626" s="44" t="str">
        <f aca="false">IF($B626="","",IFERROR(VLOOKUP($B626,#REF!,3,0),IFERROR(VLOOKUP($B626,03_COMPOSIÇÕES!$A:$G,4,0),"")))</f>
        <v>UN</v>
      </c>
      <c r="F626" s="46" t="n">
        <v>2</v>
      </c>
      <c r="G626" s="51" t="n">
        <f aca="false">VLOOKUP($B626,03_COMPOSIÇÕES!$A:$G,6,0)</f>
        <v>5103.86509423835</v>
      </c>
      <c r="H626" s="52" t="n">
        <f aca="false">VLOOKUP($B626,03_COMPOSIÇÕES!$A:$G,7,0)</f>
        <v>106.55628732549</v>
      </c>
      <c r="I626" s="47" t="n">
        <f aca="false">$F626*$G626</f>
        <v>10207.7301884767</v>
      </c>
      <c r="J626" s="47" t="n">
        <f aca="false">$F626*$H626</f>
        <v>213.11257465098</v>
      </c>
      <c r="K626" s="47" t="n">
        <f aca="false">$I626*(1+BDI_MAT)</f>
        <v>12312.5641533406</v>
      </c>
      <c r="L626" s="47" t="n">
        <f aca="false">$J626*(1+BDI_MDO)</f>
        <v>271.697221422534</v>
      </c>
      <c r="M626" s="47" t="n">
        <f aca="false">SUM(K626:L626)</f>
        <v>12584.2613747631</v>
      </c>
      <c r="N626" s="20" t="str">
        <f aca="false">A626</f>
        <v>11.6.5.1</v>
      </c>
    </row>
    <row r="627" customFormat="false" ht="15" hidden="false" customHeight="false" outlineLevel="1" collapsed="false">
      <c r="A627" s="42" t="s">
        <v>875</v>
      </c>
      <c r="B627" s="43"/>
      <c r="C627" s="50" t="s">
        <v>876</v>
      </c>
      <c r="D627" s="45"/>
      <c r="E627" s="44"/>
      <c r="F627" s="46"/>
      <c r="G627" s="51"/>
      <c r="H627" s="52"/>
      <c r="I627" s="47" t="n">
        <f aca="false">SUBTOTAL(9,I628:I629)</f>
        <v>2216.28978716619</v>
      </c>
      <c r="J627" s="47" t="n">
        <f aca="false">SUBTOTAL(9,J628:J629)</f>
        <v>2254.40834211679</v>
      </c>
      <c r="K627" s="47" t="n">
        <f aca="false">SUBTOTAL(9,K628:K629)</f>
        <v>2673.28874127985</v>
      </c>
      <c r="L627" s="47" t="n">
        <f aca="false">SUBTOTAL(9,L628:L629)</f>
        <v>2874.1451953647</v>
      </c>
      <c r="M627" s="47" t="n">
        <f aca="false">SUBTOTAL(9,M628:M629)</f>
        <v>5547.43393664455</v>
      </c>
      <c r="N627" s="20" t="str">
        <f aca="false">A627</f>
        <v>11.7</v>
      </c>
    </row>
    <row r="628" customFormat="false" ht="60" hidden="false" customHeight="false" outlineLevel="1" collapsed="false">
      <c r="A628" s="42" t="s">
        <v>877</v>
      </c>
      <c r="B628" s="43" t="n">
        <v>90091</v>
      </c>
      <c r="C628" s="50" t="str">
        <f aca="false">VLOOKUP($B628,03_COMPOSIÇÕES!$A:$G,2,0)</f>
        <v>ESCAVAÇÃO MECANIZADA DE VALA COM PROF. ATÉ 1,5 M (MÉDIA MONTANTE E JUSANTE/UMA COMPOSIÇÃO POR TRECHO), ESCAVADEIRA (0,8 M3), LARG. DE 1,5 M A 2,5 M, EM SOLO DE 1A CATEGORIA, LOCAIS COM BAIXO NÍVEL DE INTERFERÊNCIA. AF_09/2024</v>
      </c>
      <c r="D628" s="45" t="s">
        <v>59</v>
      </c>
      <c r="E628" s="44" t="str">
        <f aca="false">IF($B628="","",IFERROR(VLOOKUP($B628,#REF!,3,0),IFERROR(VLOOKUP($B628,03_COMPOSIÇÕES!$A:$G,4,0),"")))</f>
        <v>M3</v>
      </c>
      <c r="F628" s="46" t="n">
        <v>170.73</v>
      </c>
      <c r="G628" s="51" t="n">
        <f aca="false">VLOOKUP($B628,03_COMPOSIÇÕES!$A:$G,6,0)</f>
        <v>4.825260172</v>
      </c>
      <c r="H628" s="52" t="n">
        <f aca="false">VLOOKUP($B628,03_COMPOSIÇÕES!$A:$G,7,0)</f>
        <v>1.12043945316084</v>
      </c>
      <c r="I628" s="47" t="n">
        <f aca="false">$F628*$G628</f>
        <v>823.81666916556</v>
      </c>
      <c r="J628" s="47" t="n">
        <f aca="false">$F628*$H628</f>
        <v>191.29262783815</v>
      </c>
      <c r="K628" s="47" t="n">
        <f aca="false">$I628*(1+BDI_MAT)</f>
        <v>993.687666347498</v>
      </c>
      <c r="L628" s="47" t="n">
        <f aca="false">$J628*(1+BDI_MDO)</f>
        <v>243.878971230858</v>
      </c>
      <c r="M628" s="47" t="n">
        <f aca="false">SUM(K628:L628)</f>
        <v>1237.56663757836</v>
      </c>
      <c r="N628" s="20" t="str">
        <f aca="false">A628</f>
        <v>11.7.1</v>
      </c>
    </row>
    <row r="629" customFormat="false" ht="30" hidden="false" customHeight="false" outlineLevel="1" collapsed="false">
      <c r="A629" s="42" t="s">
        <v>878</v>
      </c>
      <c r="B629" s="43" t="n">
        <v>93382</v>
      </c>
      <c r="C629" s="50" t="str">
        <f aca="false">VLOOKUP($B629,03_COMPOSIÇÕES!$A:$G,2,0)</f>
        <v>REATERRO MANUAL DE VALAS, COM COMPACTADOR DE SOLOS DE PERCUSSÃO. AF_08/2023</v>
      </c>
      <c r="D629" s="45" t="s">
        <v>59</v>
      </c>
      <c r="E629" s="44" t="str">
        <f aca="false">IF($B629="","",IFERROR(VLOOKUP($B629,#REF!,3,0),IFERROR(VLOOKUP($B629,03_COMPOSIÇÕES!$A:$G,4,0),"")))</f>
        <v>M3</v>
      </c>
      <c r="F629" s="46" t="n">
        <v>153.66</v>
      </c>
      <c r="G629" s="51" t="n">
        <f aca="false">VLOOKUP($B629,03_COMPOSIÇÕES!$A:$G,6,0)</f>
        <v>9.0620403358104</v>
      </c>
      <c r="H629" s="52" t="n">
        <f aca="false">VLOOKUP($B629,03_COMPOSIÇÕES!$A:$G,7,0)</f>
        <v>13.42649820564</v>
      </c>
      <c r="I629" s="47" t="n">
        <f aca="false">$F629*$G629</f>
        <v>1392.47311800063</v>
      </c>
      <c r="J629" s="47" t="n">
        <f aca="false">$F629*$H629</f>
        <v>2063.11571427864</v>
      </c>
      <c r="K629" s="47" t="n">
        <f aca="false">$I629*(1+BDI_MAT)</f>
        <v>1679.60107493236</v>
      </c>
      <c r="L629" s="47" t="n">
        <f aca="false">$J629*(1+BDI_MDO)</f>
        <v>2630.26622413384</v>
      </c>
      <c r="M629" s="47" t="n">
        <f aca="false">SUM(K629:L629)</f>
        <v>4309.8672990662</v>
      </c>
      <c r="N629" s="20" t="str">
        <f aca="false">A629</f>
        <v>11.7.2</v>
      </c>
    </row>
    <row r="630" customFormat="false" ht="15" hidden="false" customHeight="false" outlineLevel="0" collapsed="false">
      <c r="A630" s="42" t="n">
        <v>12</v>
      </c>
      <c r="B630" s="43"/>
      <c r="C630" s="50" t="s">
        <v>879</v>
      </c>
      <c r="D630" s="45"/>
      <c r="E630" s="44"/>
      <c r="F630" s="46"/>
      <c r="G630" s="51"/>
      <c r="H630" s="52"/>
      <c r="I630" s="47" t="n">
        <f aca="false">SUM(I631,I643,I670,I699,I702,I710,I713,I716)</f>
        <v>347821.22400898</v>
      </c>
      <c r="J630" s="47" t="n">
        <f aca="false">SUM(J631,J643,J670,J699,J702,J710,J713,J716)</f>
        <v>83231.3802735157</v>
      </c>
      <c r="K630" s="47" t="n">
        <f aca="false">SUM(K631,K643,K670,K699,K702,K710,K713,K716)</f>
        <v>419541.960399632</v>
      </c>
      <c r="L630" s="47" t="n">
        <f aca="false">SUM(L631,L643,L670,L699,L702,L710,L713,L716)</f>
        <v>106111.686710705</v>
      </c>
      <c r="M630" s="47" t="n">
        <f aca="false">SUM(M631,M643,M670,M699,M702,M710,M713,M716)</f>
        <v>525653.647110337</v>
      </c>
      <c r="N630" s="47" t="n">
        <f aca="false">SUM(N631,N643,N670,N699,N702,N710,N713,N716)</f>
        <v>0</v>
      </c>
    </row>
    <row r="631" customFormat="false" ht="15" hidden="false" customHeight="false" outlineLevel="1" collapsed="false">
      <c r="A631" s="42" t="s">
        <v>880</v>
      </c>
      <c r="B631" s="43"/>
      <c r="C631" s="50" t="s">
        <v>881</v>
      </c>
      <c r="D631" s="45"/>
      <c r="E631" s="44"/>
      <c r="F631" s="46"/>
      <c r="G631" s="51"/>
      <c r="H631" s="52"/>
      <c r="I631" s="47" t="n">
        <f aca="false">SUM(I632,I640)</f>
        <v>118452.13342</v>
      </c>
      <c r="J631" s="47" t="n">
        <f aca="false">SUM(J632,J640)</f>
        <v>25086.3540525852</v>
      </c>
      <c r="K631" s="47" t="n">
        <f aca="false">SUM(K632,K640)</f>
        <v>142876.963331204</v>
      </c>
      <c r="L631" s="47" t="n">
        <f aca="false">SUM(L632,L640)</f>
        <v>31982.5927816409</v>
      </c>
      <c r="M631" s="47" t="n">
        <f aca="false">SUM(M632,M640)</f>
        <v>174859.556112845</v>
      </c>
      <c r="N631" s="20" t="str">
        <f aca="false">A631</f>
        <v>12.1</v>
      </c>
    </row>
    <row r="632" customFormat="false" ht="15" hidden="false" customHeight="false" outlineLevel="2" collapsed="false">
      <c r="A632" s="42" t="s">
        <v>882</v>
      </c>
      <c r="B632" s="43"/>
      <c r="C632" s="50" t="s">
        <v>883</v>
      </c>
      <c r="D632" s="45"/>
      <c r="E632" s="44"/>
      <c r="F632" s="46"/>
      <c r="G632" s="51"/>
      <c r="H632" s="52"/>
      <c r="I632" s="47" t="n">
        <f aca="false">SUBTOTAL(9,I633:I639)</f>
        <v>39135.52952</v>
      </c>
      <c r="J632" s="47" t="n">
        <f aca="false">SUBTOTAL(9,J633:J639)</f>
        <v>1606.6251884652</v>
      </c>
      <c r="K632" s="47" t="n">
        <f aca="false">SUBTOTAL(9,K633:K639)</f>
        <v>47205.275707024</v>
      </c>
      <c r="L632" s="47" t="n">
        <f aca="false">SUBTOTAL(9,L633:L639)</f>
        <v>2048.28645277428</v>
      </c>
      <c r="M632" s="47" t="n">
        <f aca="false">SUBTOTAL(9,M633:M639)</f>
        <v>49253.5621597983</v>
      </c>
      <c r="N632" s="20" t="str">
        <f aca="false">A632</f>
        <v>12.1.1</v>
      </c>
    </row>
    <row r="633" customFormat="false" ht="45" hidden="false" customHeight="false" outlineLevel="3" collapsed="false">
      <c r="A633" s="53" t="s">
        <v>884</v>
      </c>
      <c r="B633" s="43" t="n">
        <v>101560</v>
      </c>
      <c r="C633" s="50" t="str">
        <f aca="false">VLOOKUP($B633,03_COMPOSIÇÕES!$A:$G,2,0)</f>
        <v>CABO DE COBRE FLEXÍVEL ISOLADO, 10 MM², 0,6/1,0 KV, PARA REDE AÉREA DE DISTRIBUIÇÃO DE ENERGIA ELÉTRICA DE BAIXA TENSÃO - FORNECIMENTO E INSTALAÇÃO. AF_07/2020</v>
      </c>
      <c r="D633" s="45" t="s">
        <v>59</v>
      </c>
      <c r="E633" s="44" t="str">
        <f aca="false">IF($B633="","",IFERROR(VLOOKUP($B633,#REF!,3,0),IFERROR(VLOOKUP($B633,03_COMPOSIÇÕES!$A:$G,4,0),"")))</f>
        <v>M</v>
      </c>
      <c r="F633" s="46" t="n">
        <v>25</v>
      </c>
      <c r="G633" s="51" t="n">
        <f aca="false">VLOOKUP($B633,03_COMPOSIÇÕES!$A:$G,6,0)</f>
        <v>10.782754</v>
      </c>
      <c r="H633" s="52" t="n">
        <f aca="false">VLOOKUP($B633,03_COMPOSIÇÕES!$A:$G,7,0)</f>
        <v>0.06082637016</v>
      </c>
      <c r="I633" s="47" t="n">
        <f aca="false">$F633*$G633</f>
        <v>269.56885</v>
      </c>
      <c r="J633" s="47" t="n">
        <f aca="false">$F633*$H633</f>
        <v>1.520659254</v>
      </c>
      <c r="K633" s="47" t="n">
        <f aca="false">$I633*(1+BDI_MAT)</f>
        <v>325.15394687</v>
      </c>
      <c r="L633" s="47" t="n">
        <f aca="false">$J633*(1+BDI_MDO)</f>
        <v>1.9386884829246</v>
      </c>
      <c r="M633" s="47" t="n">
        <f aca="false">SUM(K633:L633)</f>
        <v>327.092635352925</v>
      </c>
      <c r="N633" s="20" t="str">
        <f aca="false">A633</f>
        <v>12.1.1.1</v>
      </c>
    </row>
    <row r="634" customFormat="false" ht="45" hidden="false" customHeight="false" outlineLevel="3" collapsed="false">
      <c r="A634" s="53" t="s">
        <v>885</v>
      </c>
      <c r="B634" s="43" t="n">
        <v>101561</v>
      </c>
      <c r="C634" s="50" t="str">
        <f aca="false">VLOOKUP($B634,03_COMPOSIÇÕES!$A:$G,2,0)</f>
        <v>CABO DE COBRE FLEXÍVEL ISOLADO, 16 MM², 0,6/1,0 KV, PARA REDE AÉREA DE DISTRIBUIÇÃO DE ENERGIA ELÉTRICA DE BAIXA TENSÃO - FORNECIMENTO E INSTALAÇÃO. AF_07/2020</v>
      </c>
      <c r="D634" s="45" t="s">
        <v>59</v>
      </c>
      <c r="E634" s="44" t="str">
        <f aca="false">IF($B634="","",IFERROR(VLOOKUP($B634,#REF!,3,0),IFERROR(VLOOKUP($B634,03_COMPOSIÇÕES!$A:$G,4,0),"")))</f>
        <v>M</v>
      </c>
      <c r="F634" s="46" t="n">
        <v>190</v>
      </c>
      <c r="G634" s="51" t="n">
        <f aca="false">VLOOKUP($B634,03_COMPOSIÇÕES!$A:$G,6,0)</f>
        <v>17.162482</v>
      </c>
      <c r="H634" s="52" t="n">
        <f aca="false">VLOOKUP($B634,03_COMPOSIÇÕES!$A:$G,7,0)</f>
        <v>0.06082637016</v>
      </c>
      <c r="I634" s="47" t="n">
        <f aca="false">$F634*$G634</f>
        <v>3260.87158</v>
      </c>
      <c r="J634" s="47" t="n">
        <f aca="false">$F634*$H634</f>
        <v>11.5570103304</v>
      </c>
      <c r="K634" s="47" t="n">
        <f aca="false">$I634*(1+BDI_MAT)</f>
        <v>3933.263299796</v>
      </c>
      <c r="L634" s="47" t="n">
        <f aca="false">$J634*(1+BDI_MDO)</f>
        <v>14.734032470227</v>
      </c>
      <c r="M634" s="47" t="n">
        <f aca="false">SUM(K634:L634)</f>
        <v>3947.99733226623</v>
      </c>
      <c r="N634" s="20" t="str">
        <f aca="false">A634</f>
        <v>12.1.1.2</v>
      </c>
    </row>
    <row r="635" customFormat="false" ht="45" hidden="false" customHeight="false" outlineLevel="3" collapsed="false">
      <c r="A635" s="53" t="s">
        <v>886</v>
      </c>
      <c r="B635" s="43" t="n">
        <v>92984</v>
      </c>
      <c r="C635" s="50" t="str">
        <f aca="false">VLOOKUP($B635,03_COMPOSIÇÕES!$A:$G,2,0)</f>
        <v>CABO DE COBRE FLEXÍVEL ISOLADO, 25 MM², ANTI-CHAMA 0,6/1,0 KV, PARA REDE ENTERRADA DE DISTRIBUIÇÃO DE ENERGIA ELÉTRICA - FORNECIMENTO E INSTALAÇÃO. AF_12/2021</v>
      </c>
      <c r="D635" s="45" t="s">
        <v>59</v>
      </c>
      <c r="E635" s="44" t="str">
        <f aca="false">IF($B635="","",IFERROR(VLOOKUP($B635,#REF!,3,0),IFERROR(VLOOKUP($B635,03_COMPOSIÇÕES!$A:$G,4,0),"")))</f>
        <v>M</v>
      </c>
      <c r="F635" s="46" t="n">
        <v>60</v>
      </c>
      <c r="G635" s="51" t="n">
        <f aca="false">VLOOKUP($B635,03_COMPOSIÇÕES!$A:$G,6,0)</f>
        <v>0.948274</v>
      </c>
      <c r="H635" s="52" t="n">
        <f aca="false">VLOOKUP($B635,03_COMPOSIÇÕES!$A:$G,7,0)</f>
        <v>2.11155199488</v>
      </c>
      <c r="I635" s="47" t="n">
        <f aca="false">$F635*$G635</f>
        <v>56.89644</v>
      </c>
      <c r="J635" s="47" t="n">
        <f aca="false">$F635*$H635</f>
        <v>126.6931196928</v>
      </c>
      <c r="K635" s="47" t="n">
        <f aca="false">$I635*(1+BDI_MAT)</f>
        <v>68.628485928</v>
      </c>
      <c r="L635" s="47" t="n">
        <f aca="false">$J635*(1+BDI_MDO)</f>
        <v>161.521058296351</v>
      </c>
      <c r="M635" s="47" t="n">
        <f aca="false">SUM(K635:L635)</f>
        <v>230.149544224351</v>
      </c>
      <c r="N635" s="20" t="str">
        <f aca="false">A635</f>
        <v>12.1.1.3</v>
      </c>
    </row>
    <row r="636" customFormat="false" ht="45" hidden="false" customHeight="false" outlineLevel="3" collapsed="false">
      <c r="A636" s="53" t="s">
        <v>887</v>
      </c>
      <c r="B636" s="43" t="n">
        <v>92986</v>
      </c>
      <c r="C636" s="50" t="str">
        <f aca="false">VLOOKUP($B636,03_COMPOSIÇÕES!$A:$G,2,0)</f>
        <v>CABO DE COBRE FLEXÍVEL ISOLADO, 35 MM², ANTI-CHAMA 0,6/1,0 KV, PARA REDE ENTERRADA DE DISTRIBUIÇÃO DE ENERGIA ELÉTRICA - FORNECIMENTO E INSTALAÇÃO. AF_12/2021</v>
      </c>
      <c r="D636" s="45" t="s">
        <v>59</v>
      </c>
      <c r="E636" s="44" t="str">
        <f aca="false">IF($B636="","",IFERROR(VLOOKUP($B636,#REF!,3,0),IFERROR(VLOOKUP($B636,03_COMPOSIÇÕES!$A:$G,4,0),"")))</f>
        <v>M</v>
      </c>
      <c r="F636" s="46" t="n">
        <v>15</v>
      </c>
      <c r="G636" s="51" t="n">
        <f aca="false">VLOOKUP($B636,03_COMPOSIÇÕES!$A:$G,6,0)</f>
        <v>1.082486</v>
      </c>
      <c r="H636" s="52" t="n">
        <f aca="false">VLOOKUP($B636,03_COMPOSIÇÕES!$A:$G,7,0)</f>
        <v>2.42064430992</v>
      </c>
      <c r="I636" s="47" t="n">
        <f aca="false">$F636*$G636</f>
        <v>16.23729</v>
      </c>
      <c r="J636" s="47" t="n">
        <f aca="false">$F636*$H636</f>
        <v>36.3096646488</v>
      </c>
      <c r="K636" s="47" t="n">
        <f aca="false">$I636*(1+BDI_MAT)</f>
        <v>19.585419198</v>
      </c>
      <c r="L636" s="47" t="n">
        <f aca="false">$J636*(1+BDI_MDO)</f>
        <v>46.2911914607551</v>
      </c>
      <c r="M636" s="47" t="n">
        <f aca="false">SUM(K636:L636)</f>
        <v>65.8766106587551</v>
      </c>
      <c r="N636" s="20" t="str">
        <f aca="false">A636</f>
        <v>12.1.1.4</v>
      </c>
    </row>
    <row r="637" customFormat="false" ht="45" hidden="false" customHeight="false" outlineLevel="3" collapsed="false">
      <c r="A637" s="53" t="s">
        <v>888</v>
      </c>
      <c r="B637" s="43" t="n">
        <v>92988</v>
      </c>
      <c r="C637" s="50" t="str">
        <f aca="false">VLOOKUP($B637,03_COMPOSIÇÕES!$A:$G,2,0)</f>
        <v>CABO DE COBRE FLEXÍVEL ISOLADO, 50 MM², ANTI-CHAMA 0,6/1,0 KV, PARA REDE ENTERRADA DE DISTRIBUIÇÃO DE ENERGIA ELÉTRICA - FORNECIMENTO E INSTALAÇÃO. AF_12/2021</v>
      </c>
      <c r="D637" s="45" t="s">
        <v>59</v>
      </c>
      <c r="E637" s="44" t="str">
        <f aca="false">IF($B637="","",IFERROR(VLOOKUP($B637,#REF!,3,0),IFERROR(VLOOKUP($B637,03_COMPOSIÇÕES!$A:$G,4,0),"")))</f>
        <v>M</v>
      </c>
      <c r="F637" s="46" t="n">
        <v>150</v>
      </c>
      <c r="G637" s="51" t="n">
        <f aca="false">VLOOKUP($B637,03_COMPOSIÇÕES!$A:$G,6,0)</f>
        <v>55.4739</v>
      </c>
      <c r="H637" s="52" t="n">
        <f aca="false">VLOOKUP($B637,03_COMPOSIÇÕES!$A:$G,7,0)</f>
        <v>1.7408926632</v>
      </c>
      <c r="I637" s="47" t="n">
        <f aca="false">$F637*$G637</f>
        <v>8321.085</v>
      </c>
      <c r="J637" s="47" t="n">
        <f aca="false">$F637*$H637</f>
        <v>261.13389948</v>
      </c>
      <c r="K637" s="47" t="n">
        <f aca="false">$I637*(1+BDI_MAT)</f>
        <v>10036.892727</v>
      </c>
      <c r="L637" s="47" t="n">
        <f aca="false">$J637*(1+BDI_MDO)</f>
        <v>332.919608447052</v>
      </c>
      <c r="M637" s="47" t="n">
        <f aca="false">SUM(K637:L637)</f>
        <v>10369.8123354471</v>
      </c>
      <c r="N637" s="20" t="str">
        <f aca="false">A637</f>
        <v>12.1.1.5</v>
      </c>
    </row>
    <row r="638" customFormat="false" ht="45" hidden="false" customHeight="false" outlineLevel="3" collapsed="false">
      <c r="A638" s="53" t="s">
        <v>889</v>
      </c>
      <c r="B638" s="43" t="n">
        <v>92990</v>
      </c>
      <c r="C638" s="50" t="str">
        <f aca="false">VLOOKUP($B638,03_COMPOSIÇÕES!$A:$G,2,0)</f>
        <v>CABO DE COBRE FLEXÍVEL ISOLADO, 70 MM², ANTI-CHAMA 0,6/1,0 KV, PARA REDE ENTERRADA DE DISTRIBUIÇÃO DE ENERGIA ELÉTRICA - FORNECIMENTO E INSTALAÇÃO. AF_12/2021</v>
      </c>
      <c r="D638" s="45" t="s">
        <v>59</v>
      </c>
      <c r="E638" s="44" t="str">
        <f aca="false">IF($B638="","",IFERROR(VLOOKUP($B638,#REF!,3,0),IFERROR(VLOOKUP($B638,03_COMPOSIÇÕES!$A:$G,4,0),"")))</f>
        <v>M</v>
      </c>
      <c r="F638" s="46" t="n">
        <v>60</v>
      </c>
      <c r="G638" s="51" t="n">
        <f aca="false">VLOOKUP($B638,03_COMPOSIÇÕES!$A:$G,6,0)</f>
        <v>77.360316</v>
      </c>
      <c r="H638" s="52" t="n">
        <f aca="false">VLOOKUP($B638,03_COMPOSIÇÕES!$A:$G,7,0)</f>
        <v>3.49725799152</v>
      </c>
      <c r="I638" s="47" t="n">
        <f aca="false">$F638*$G638</f>
        <v>4641.61896</v>
      </c>
      <c r="J638" s="47" t="n">
        <f aca="false">$F638*$H638</f>
        <v>209.8354794912</v>
      </c>
      <c r="K638" s="47" t="n">
        <f aca="false">$I638*(1+BDI_MAT)</f>
        <v>5598.720789552</v>
      </c>
      <c r="L638" s="47" t="n">
        <f aca="false">$J638*(1+BDI_MDO)</f>
        <v>267.519252803331</v>
      </c>
      <c r="M638" s="47" t="n">
        <f aca="false">SUM(K638:L638)</f>
        <v>5866.24004235533</v>
      </c>
      <c r="N638" s="20" t="str">
        <f aca="false">A638</f>
        <v>12.1.1.6</v>
      </c>
    </row>
    <row r="639" customFormat="false" ht="45" hidden="false" customHeight="false" outlineLevel="3" collapsed="false">
      <c r="A639" s="53" t="s">
        <v>890</v>
      </c>
      <c r="B639" s="43" t="n">
        <v>92992</v>
      </c>
      <c r="C639" s="50" t="str">
        <f aca="false">VLOOKUP($B639,03_COMPOSIÇÕES!$A:$G,2,0)</f>
        <v>CABO DE COBRE FLEXÍVEL ISOLADO, 95 MM², ANTI-CHAMA 0,6/1,0 KV, PARA REDE ENTERRADA DE DISTRIBUIÇÃO DE ENERGIA ELÉTRICA - FORNECIMENTO E INSTALAÇÃO. AF_12/2021</v>
      </c>
      <c r="D639" s="45" t="s">
        <v>59</v>
      </c>
      <c r="E639" s="44" t="str">
        <f aca="false">IF($B639="","",IFERROR(VLOOKUP($B639,#REF!,3,0),IFERROR(VLOOKUP($B639,03_COMPOSIÇÕES!$A:$G,4,0),"")))</f>
        <v>M</v>
      </c>
      <c r="F639" s="46" t="n">
        <v>225</v>
      </c>
      <c r="G639" s="51" t="n">
        <f aca="false">VLOOKUP($B639,03_COMPOSIÇÕES!$A:$G,6,0)</f>
        <v>100.307784</v>
      </c>
      <c r="H639" s="52" t="n">
        <f aca="false">VLOOKUP($B639,03_COMPOSIÇÕES!$A:$G,7,0)</f>
        <v>4.26477935808</v>
      </c>
      <c r="I639" s="47" t="n">
        <f aca="false">$F639*$G639</f>
        <v>22569.2514</v>
      </c>
      <c r="J639" s="47" t="n">
        <f aca="false">$F639*$H639</f>
        <v>959.575355568</v>
      </c>
      <c r="K639" s="47" t="n">
        <f aca="false">$I639*(1+BDI_MAT)</f>
        <v>27223.03103868</v>
      </c>
      <c r="L639" s="47" t="n">
        <f aca="false">$J639*(1+BDI_MDO)</f>
        <v>1223.36262081364</v>
      </c>
      <c r="M639" s="47" t="n">
        <f aca="false">SUM(K639:L639)</f>
        <v>28446.3936594936</v>
      </c>
      <c r="N639" s="20" t="str">
        <f aca="false">A639</f>
        <v>12.1.1.7</v>
      </c>
    </row>
    <row r="640" customFormat="false" ht="15" hidden="false" customHeight="false" outlineLevel="2" collapsed="false">
      <c r="A640" s="42" t="s">
        <v>891</v>
      </c>
      <c r="B640" s="43"/>
      <c r="C640" s="50" t="s">
        <v>892</v>
      </c>
      <c r="D640" s="45"/>
      <c r="E640" s="44"/>
      <c r="F640" s="46"/>
      <c r="G640" s="51"/>
      <c r="H640" s="52"/>
      <c r="I640" s="47" t="n">
        <f aca="false">SUBTOTAL(9,I641:I642)</f>
        <v>79316.6039</v>
      </c>
      <c r="J640" s="47" t="n">
        <f aca="false">SUBTOTAL(9,J641:J642)</f>
        <v>23479.72886412</v>
      </c>
      <c r="K640" s="47" t="n">
        <f aca="false">SUBTOTAL(9,K641:K642)</f>
        <v>95671.68762418</v>
      </c>
      <c r="L640" s="47" t="n">
        <f aca="false">SUBTOTAL(9,L641:L642)</f>
        <v>29934.3063288666</v>
      </c>
      <c r="M640" s="47" t="n">
        <f aca="false">SUBTOTAL(9,M641:M642)</f>
        <v>125605.993953047</v>
      </c>
      <c r="N640" s="20" t="str">
        <f aca="false">A640</f>
        <v>12.1.2</v>
      </c>
    </row>
    <row r="641" customFormat="false" ht="45" hidden="false" customHeight="false" outlineLevel="2" collapsed="false">
      <c r="A641" s="53" t="s">
        <v>893</v>
      </c>
      <c r="B641" s="43" t="n">
        <v>91926</v>
      </c>
      <c r="C641" s="50" t="str">
        <f aca="false">VLOOKUP($B641,03_COMPOSIÇÕES!$A:$G,2,0)</f>
        <v>CABO DE COBRE FLEXÍVEL ISOLADO, 2,5 MM², ANTI-CHAMA 450/750 V, PARA CIRCUITOS TERMINAIS - FORNECIMENTO E INSTALAÇÃO. AF_03/2023</v>
      </c>
      <c r="D641" s="45" t="s">
        <v>59</v>
      </c>
      <c r="E641" s="44" t="str">
        <f aca="false">IF($B641="","",IFERROR(VLOOKUP($B641,#REF!,3,0),IFERROR(VLOOKUP($B641,03_COMPOSIÇÕES!$A:$G,4,0),"")))</f>
        <v>M</v>
      </c>
      <c r="F641" s="46" t="n">
        <v>21800</v>
      </c>
      <c r="G641" s="51" t="n">
        <f aca="false">VLOOKUP($B641,03_COMPOSIÇÕES!$A:$G,6,0)</f>
        <v>3.356338</v>
      </c>
      <c r="H641" s="52" t="n">
        <f aca="false">VLOOKUP($B641,03_COMPOSIÇÕES!$A:$G,7,0)</f>
        <v>1.0071547344</v>
      </c>
      <c r="I641" s="47" t="n">
        <f aca="false">$F641*$G641</f>
        <v>73168.1684</v>
      </c>
      <c r="J641" s="47" t="n">
        <f aca="false">$F641*$H641</f>
        <v>21955.97320992</v>
      </c>
      <c r="K641" s="47" t="n">
        <f aca="false">$I641*(1+BDI_MAT)</f>
        <v>88255.44472408</v>
      </c>
      <c r="L641" s="47" t="n">
        <f aca="false">$J641*(1+BDI_MDO)</f>
        <v>27991.670245327</v>
      </c>
      <c r="M641" s="47" t="n">
        <f aca="false">SUM(K641:L641)</f>
        <v>116247.114969407</v>
      </c>
      <c r="N641" s="20" t="str">
        <f aca="false">A641</f>
        <v>12.1.2.1</v>
      </c>
    </row>
    <row r="642" customFormat="false" ht="45" hidden="false" customHeight="false" outlineLevel="2" collapsed="false">
      <c r="A642" s="53" t="s">
        <v>894</v>
      </c>
      <c r="B642" s="43" t="n">
        <v>91928</v>
      </c>
      <c r="C642" s="50" t="str">
        <f aca="false">VLOOKUP($B642,03_COMPOSIÇÕES!$A:$G,2,0)</f>
        <v>CABO DE COBRE FLEXÍVEL ISOLADO, 4 MM², ANTI-CHAMA 450/750 V, PARA CIRCUITOS TERMINAIS - FORNECIMENTO E INSTALAÇÃO. AF_03/2023</v>
      </c>
      <c r="D642" s="45" t="s">
        <v>59</v>
      </c>
      <c r="E642" s="44" t="str">
        <f aca="false">IF($B642="","",IFERROR(VLOOKUP($B642,#REF!,3,0),IFERROR(VLOOKUP($B642,03_COMPOSIÇÕES!$A:$G,4,0),"")))</f>
        <v>M</v>
      </c>
      <c r="F642" s="46" t="n">
        <v>1125</v>
      </c>
      <c r="G642" s="51" t="n">
        <f aca="false">VLOOKUP($B642,03_COMPOSIÇÕES!$A:$G,6,0)</f>
        <v>5.465276</v>
      </c>
      <c r="H642" s="52" t="n">
        <f aca="false">VLOOKUP($B642,03_COMPOSIÇÕES!$A:$G,7,0)</f>
        <v>1.3544494704</v>
      </c>
      <c r="I642" s="47" t="n">
        <f aca="false">$F642*$G642</f>
        <v>6148.4355</v>
      </c>
      <c r="J642" s="47" t="n">
        <f aca="false">$F642*$H642</f>
        <v>1523.7556542</v>
      </c>
      <c r="K642" s="47" t="n">
        <f aca="false">$I642*(1+BDI_MAT)</f>
        <v>7416.2429001</v>
      </c>
      <c r="L642" s="47" t="n">
        <f aca="false">$J642*(1+BDI_MDO)</f>
        <v>1942.63608353958</v>
      </c>
      <c r="M642" s="47" t="n">
        <f aca="false">SUM(K642:L642)</f>
        <v>9358.87898363958</v>
      </c>
      <c r="N642" s="20" t="str">
        <f aca="false">A642</f>
        <v>12.1.2.2</v>
      </c>
    </row>
    <row r="643" customFormat="false" ht="15" hidden="false" customHeight="false" outlineLevel="1" collapsed="false">
      <c r="A643" s="42" t="s">
        <v>895</v>
      </c>
      <c r="B643" s="43"/>
      <c r="C643" s="50" t="s">
        <v>896</v>
      </c>
      <c r="D643" s="45"/>
      <c r="E643" s="44"/>
      <c r="F643" s="46"/>
      <c r="G643" s="51"/>
      <c r="H643" s="52"/>
      <c r="I643" s="47" t="n">
        <f aca="false">SUM(I644,I651,I658)</f>
        <v>41949.9628313776</v>
      </c>
      <c r="J643" s="47" t="n">
        <f aca="false">SUM(J644,J651,J658)</f>
        <v>42003.360849918</v>
      </c>
      <c r="K643" s="47" t="n">
        <f aca="false">SUM(K644,K651,K658)</f>
        <v>50600.0451672076</v>
      </c>
      <c r="L643" s="47" t="n">
        <f aca="false">SUM(L644,L651,L658)</f>
        <v>53550.0847475604</v>
      </c>
      <c r="M643" s="47" t="n">
        <f aca="false">SUM(M644,M651,M658)</f>
        <v>104150.129914768</v>
      </c>
      <c r="N643" s="20" t="str">
        <f aca="false">A643</f>
        <v>12.2</v>
      </c>
    </row>
    <row r="644" customFormat="false" ht="15" hidden="false" customHeight="false" outlineLevel="2" collapsed="false">
      <c r="A644" s="42" t="s">
        <v>897</v>
      </c>
      <c r="B644" s="43"/>
      <c r="C644" s="50" t="s">
        <v>898</v>
      </c>
      <c r="D644" s="45"/>
      <c r="E644" s="44"/>
      <c r="F644" s="46"/>
      <c r="G644" s="51"/>
      <c r="H644" s="52"/>
      <c r="I644" s="47" t="n">
        <f aca="false">SUBTOTAL(9,I645:I650)</f>
        <v>7459.47150804</v>
      </c>
      <c r="J644" s="47" t="n">
        <f aca="false">SUBTOTAL(9,J645:J650)</f>
        <v>10614.4310401529</v>
      </c>
      <c r="K644" s="47" t="n">
        <f aca="false">SUBTOTAL(9,K645:K650)</f>
        <v>8997.61453299785</v>
      </c>
      <c r="L644" s="47" t="n">
        <f aca="false">SUBTOTAL(9,L645:L650)</f>
        <v>13532.338133091</v>
      </c>
      <c r="M644" s="47" t="n">
        <f aca="false">SUBTOTAL(9,M645:M650)</f>
        <v>22529.9526660888</v>
      </c>
      <c r="N644" s="20" t="str">
        <f aca="false">A644</f>
        <v>12.2.1</v>
      </c>
    </row>
    <row r="645" customFormat="false" ht="30" hidden="false" customHeight="false" outlineLevel="3" collapsed="false">
      <c r="A645" s="53" t="s">
        <v>899</v>
      </c>
      <c r="B645" s="43" t="n">
        <v>91940</v>
      </c>
      <c r="C645" s="50" t="str">
        <f aca="false">VLOOKUP($B645,03_COMPOSIÇÕES!$A:$G,2,0)</f>
        <v>CAIXA RETANGULAR 4" X 2" MÉDIA (1,30 M DO PISO), PVC, INSTALADA EM PAREDE - FORNECIMENTO E INSTALAÇÃO. AF_03/2023</v>
      </c>
      <c r="D645" s="45" t="s">
        <v>59</v>
      </c>
      <c r="E645" s="44" t="str">
        <f aca="false">IF($B645="","",IFERROR(VLOOKUP($B645,#REF!,3,0),IFERROR(VLOOKUP($B645,03_COMPOSIÇÕES!$A:$G,4,0),"")))</f>
        <v>UN</v>
      </c>
      <c r="F645" s="46" t="n">
        <v>362</v>
      </c>
      <c r="G645" s="51" t="n">
        <f aca="false">VLOOKUP($B645,03_COMPOSIÇÕES!$A:$G,6,0)</f>
        <v>6.30821361</v>
      </c>
      <c r="H645" s="52" t="n">
        <f aca="false">VLOOKUP($B645,03_COMPOSIÇÕES!$A:$G,7,0)</f>
        <v>10.20827769462</v>
      </c>
      <c r="I645" s="47" t="n">
        <f aca="false">$F645*$G645</f>
        <v>2283.57332682</v>
      </c>
      <c r="J645" s="47" t="n">
        <f aca="false">$F645*$H645</f>
        <v>3695.39652545244</v>
      </c>
      <c r="K645" s="47" t="n">
        <f aca="false">$I645*(1+BDI_MAT)</f>
        <v>2754.44614681028</v>
      </c>
      <c r="L645" s="47" t="n">
        <f aca="false">$J645*(1+BDI_MDO)</f>
        <v>4711.26103029932</v>
      </c>
      <c r="M645" s="47" t="n">
        <f aca="false">SUM(K645:L645)</f>
        <v>7465.7071771096</v>
      </c>
      <c r="N645" s="20" t="str">
        <f aca="false">A645</f>
        <v>12.2.1.1</v>
      </c>
    </row>
    <row r="646" customFormat="false" ht="30" hidden="false" customHeight="false" outlineLevel="3" collapsed="false">
      <c r="A646" s="53" t="s">
        <v>900</v>
      </c>
      <c r="B646" s="43" t="n">
        <v>91943</v>
      </c>
      <c r="C646" s="50" t="str">
        <f aca="false">VLOOKUP($B646,03_COMPOSIÇÕES!$A:$G,2,0)</f>
        <v>CAIXA RETANGULAR 4" X 4" MÉDIA (1,30 M DO PISO), PVC, INSTALADA EM PAREDE - FORNECIMENTO E INSTALAÇÃO. AF_03/2023</v>
      </c>
      <c r="D646" s="45" t="s">
        <v>59</v>
      </c>
      <c r="E646" s="44" t="str">
        <f aca="false">IF($B646="","",IFERROR(VLOOKUP($B646,#REF!,3,0),IFERROR(VLOOKUP($B646,03_COMPOSIÇÕES!$A:$G,4,0),"")))</f>
        <v>UN</v>
      </c>
      <c r="F646" s="46" t="n">
        <v>36</v>
      </c>
      <c r="G646" s="51" t="n">
        <f aca="false">VLOOKUP($B646,03_COMPOSIÇÕES!$A:$G,6,0)</f>
        <v>7.1596986</v>
      </c>
      <c r="H646" s="52" t="n">
        <f aca="false">VLOOKUP($B646,03_COMPOSIÇÕES!$A:$G,7,0)</f>
        <v>10.58957272296</v>
      </c>
      <c r="I646" s="47" t="n">
        <f aca="false">$F646*$G646</f>
        <v>257.7491496</v>
      </c>
      <c r="J646" s="47" t="n">
        <f aca="false">$F646*$H646</f>
        <v>381.22461802656</v>
      </c>
      <c r="K646" s="47" t="n">
        <f aca="false">$I646*(1+BDI_MAT)</f>
        <v>310.89702424752</v>
      </c>
      <c r="L646" s="47" t="n">
        <f aca="false">$J646*(1+BDI_MDO)</f>
        <v>486.023265522061</v>
      </c>
      <c r="M646" s="47" t="n">
        <f aca="false">SUM(K646:L646)</f>
        <v>796.920289769581</v>
      </c>
      <c r="N646" s="20" t="str">
        <f aca="false">A646</f>
        <v>12.2.1.2</v>
      </c>
    </row>
    <row r="647" customFormat="false" ht="30" hidden="false" customHeight="false" outlineLevel="3" collapsed="false">
      <c r="A647" s="53" t="s">
        <v>901</v>
      </c>
      <c r="B647" s="43" t="n">
        <v>91936</v>
      </c>
      <c r="C647" s="50" t="str">
        <f aca="false">VLOOKUP($B647,03_COMPOSIÇÕES!$A:$G,2,0)</f>
        <v>CAIXA OCTOGONAL 4" X 4", PVC, INSTALADA EM LAJE - FORNECIMENTO E INSTALAÇÃO. AF_03/2023</v>
      </c>
      <c r="D647" s="45" t="s">
        <v>59</v>
      </c>
      <c r="E647" s="44" t="str">
        <f aca="false">IF($B647="","",IFERROR(VLOOKUP($B647,#REF!,3,0),IFERROR(VLOOKUP($B647,03_COMPOSIÇÕES!$A:$G,4,0),"")))</f>
        <v>UN</v>
      </c>
      <c r="F647" s="46" t="n">
        <v>631</v>
      </c>
      <c r="G647" s="51" t="n">
        <f aca="false">VLOOKUP($B647,03_COMPOSIÇÕES!$A:$G,6,0)</f>
        <v>6.44832</v>
      </c>
      <c r="H647" s="52" t="n">
        <f aca="false">VLOOKUP($B647,03_COMPOSIÇÕES!$A:$G,7,0)</f>
        <v>7.7099431392</v>
      </c>
      <c r="I647" s="47" t="n">
        <f aca="false">$F647*$G647</f>
        <v>4068.88992</v>
      </c>
      <c r="J647" s="47" t="n">
        <f aca="false">$F647*$H647</f>
        <v>4864.9741208352</v>
      </c>
      <c r="K647" s="47" t="n">
        <f aca="false">$I647*(1+BDI_MAT)</f>
        <v>4907.895021504</v>
      </c>
      <c r="L647" s="47" t="n">
        <f aca="false">$J647*(1+BDI_MDO)</f>
        <v>6202.3555066528</v>
      </c>
      <c r="M647" s="47" t="n">
        <f aca="false">SUM(K647:L647)</f>
        <v>11110.2505281568</v>
      </c>
      <c r="N647" s="20" t="str">
        <f aca="false">A647</f>
        <v>12.2.1.3</v>
      </c>
    </row>
    <row r="648" customFormat="false" ht="30" hidden="false" customHeight="false" outlineLevel="3" collapsed="false">
      <c r="A648" s="53" t="s">
        <v>902</v>
      </c>
      <c r="B648" s="43" t="n">
        <v>92868</v>
      </c>
      <c r="C648" s="50" t="str">
        <f aca="false">VLOOKUP($B648,03_COMPOSIÇÕES!$A:$G,2,0)</f>
        <v>CAIXA RETANGULAR 4" X 2" MÉDIA (1,30 M DO PISO), METÁLICA, INSTALADA EM PAREDE - FORNECIMENTO E INSTALAÇÃO. AF_03/2023</v>
      </c>
      <c r="D648" s="45" t="s">
        <v>59</v>
      </c>
      <c r="E648" s="44" t="str">
        <f aca="false">IF($B648="","",IFERROR(VLOOKUP($B648,#REF!,3,0),IFERROR(VLOOKUP($B648,03_COMPOSIÇÕES!$A:$G,4,0),"")))</f>
        <v>UN</v>
      </c>
      <c r="F648" s="46" t="n">
        <v>3</v>
      </c>
      <c r="G648" s="51" t="n">
        <f aca="false">VLOOKUP($B648,03_COMPOSIÇÕES!$A:$G,6,0)</f>
        <v>5.78239854</v>
      </c>
      <c r="H648" s="52" t="n">
        <f aca="false">VLOOKUP($B648,03_COMPOSIÇÕES!$A:$G,7,0)</f>
        <v>10.20827769462</v>
      </c>
      <c r="I648" s="47" t="n">
        <f aca="false">$F648*$G648</f>
        <v>17.34719562</v>
      </c>
      <c r="J648" s="47" t="n">
        <f aca="false">$F648*$H648</f>
        <v>30.62483308386</v>
      </c>
      <c r="K648" s="47" t="n">
        <f aca="false">$I648*(1+BDI_MAT)</f>
        <v>20.924187356844</v>
      </c>
      <c r="L648" s="47" t="n">
        <f aca="false">$J648*(1+BDI_MDO)</f>
        <v>39.0435996986131</v>
      </c>
      <c r="M648" s="47" t="n">
        <f aca="false">SUM(K648:L648)</f>
        <v>59.9677870554571</v>
      </c>
      <c r="N648" s="20" t="str">
        <f aca="false">A648</f>
        <v>12.2.1.4</v>
      </c>
    </row>
    <row r="649" customFormat="false" ht="30" hidden="false" customHeight="false" outlineLevel="3" collapsed="false">
      <c r="A649" s="53" t="s">
        <v>903</v>
      </c>
      <c r="B649" s="43" t="s">
        <v>904</v>
      </c>
      <c r="C649" s="50" t="str">
        <f aca="false">VLOOKUP($B649,03_COMPOSIÇÕES!$A:$G,2,0)</f>
        <v>CURVA 90 GRAUS PARA ELETRODUTO, AÇO GALVANIZADO, DN 25 MM (1"), APARENTE - FORNECIMENTO E INSTALAÇÃO.</v>
      </c>
      <c r="D649" s="45" t="s">
        <v>59</v>
      </c>
      <c r="E649" s="44" t="str">
        <f aca="false">IF($B649="","",IFERROR(VLOOKUP($B649,#REF!,3,0),IFERROR(VLOOKUP($B649,03_COMPOSIÇÕES!$A:$G,4,0),"")))</f>
        <v>UN</v>
      </c>
      <c r="F649" s="46" t="n">
        <v>1</v>
      </c>
      <c r="G649" s="51" t="n">
        <f aca="false">VLOOKUP($B649,03_COMPOSIÇÕES!$A:$G,6,0)</f>
        <v>7.768216</v>
      </c>
      <c r="H649" s="52" t="n">
        <f aca="false">VLOOKUP($B649,03_COMPOSIÇÕES!$A:$G,7,0)</f>
        <v>7.04313724608</v>
      </c>
      <c r="I649" s="47" t="n">
        <f aca="false">$F649*$G649</f>
        <v>7.768216</v>
      </c>
      <c r="J649" s="47" t="n">
        <f aca="false">$F649*$H649</f>
        <v>7.04313724608</v>
      </c>
      <c r="K649" s="47" t="n">
        <f aca="false">$I649*(1+BDI_MAT)</f>
        <v>9.3700221392</v>
      </c>
      <c r="L649" s="47" t="n">
        <f aca="false">$J649*(1+BDI_MDO)</f>
        <v>8.97929567502739</v>
      </c>
      <c r="M649" s="47" t="n">
        <f aca="false">SUM(K649:L649)</f>
        <v>18.3493178142274</v>
      </c>
      <c r="N649" s="20" t="str">
        <f aca="false">A649</f>
        <v>12.2.1.5</v>
      </c>
    </row>
    <row r="650" customFormat="false" ht="45" hidden="false" customHeight="false" outlineLevel="3" collapsed="false">
      <c r="A650" s="53" t="s">
        <v>905</v>
      </c>
      <c r="B650" s="43" t="n">
        <v>91884</v>
      </c>
      <c r="C650" s="50" t="str">
        <f aca="false">VLOOKUP($B650,03_COMPOSIÇÕES!$A:$G,2,0)</f>
        <v>LUVA PARA ELETRODUTO, PVC, ROSCÁVEL, DN 25 MM (3/4"), PARA CIRCUITOS TERMINAIS, INSTALADA EM PAREDE - FORNECIMENTO E INSTALAÇÃO. AF_03/2023</v>
      </c>
      <c r="D650" s="45" t="s">
        <v>59</v>
      </c>
      <c r="E650" s="44" t="str">
        <f aca="false">IF($B650="","",IFERROR(VLOOKUP($B650,#REF!,3,0),IFERROR(VLOOKUP($B650,03_COMPOSIÇÕES!$A:$G,4,0),"")))</f>
        <v>UN</v>
      </c>
      <c r="F650" s="46" t="n">
        <v>239</v>
      </c>
      <c r="G650" s="51" t="n">
        <f aca="false">VLOOKUP($B650,03_COMPOSIÇÕES!$A:$G,6,0)</f>
        <v>3.4483</v>
      </c>
      <c r="H650" s="52" t="n">
        <f aca="false">VLOOKUP($B650,03_COMPOSIÇÕES!$A:$G,7,0)</f>
        <v>6.8417062992</v>
      </c>
      <c r="I650" s="47" t="n">
        <f aca="false">$F650*$G650</f>
        <v>824.1437</v>
      </c>
      <c r="J650" s="47" t="n">
        <f aca="false">$F650*$H650</f>
        <v>1635.1678055088</v>
      </c>
      <c r="K650" s="47" t="n">
        <f aca="false">$I650*(1+BDI_MAT)</f>
        <v>994.08213094</v>
      </c>
      <c r="L650" s="47" t="n">
        <f aca="false">$J650*(1+BDI_MDO)</f>
        <v>2084.67543524317</v>
      </c>
      <c r="M650" s="47" t="n">
        <f aca="false">SUM(K650:L650)</f>
        <v>3078.75756618317</v>
      </c>
      <c r="N650" s="20" t="str">
        <f aca="false">A650</f>
        <v>12.2.1.6</v>
      </c>
    </row>
    <row r="651" customFormat="false" ht="15" hidden="false" customHeight="false" outlineLevel="2" collapsed="false">
      <c r="A651" s="42" t="s">
        <v>906</v>
      </c>
      <c r="B651" s="43"/>
      <c r="C651" s="50" t="s">
        <v>907</v>
      </c>
      <c r="D651" s="45"/>
      <c r="E651" s="44"/>
      <c r="F651" s="46"/>
      <c r="G651" s="51"/>
      <c r="H651" s="52"/>
      <c r="I651" s="47" t="n">
        <f aca="false">SUBTOTAL(9,I652:I657)</f>
        <v>25829.4623766667</v>
      </c>
      <c r="J651" s="47" t="n">
        <f aca="false">SUBTOTAL(9,J652:J657)</f>
        <v>29440.0563348984</v>
      </c>
      <c r="K651" s="47" t="n">
        <f aca="false">SUBTOTAL(9,K652:K657)</f>
        <v>31155.4975187353</v>
      </c>
      <c r="L651" s="47" t="n">
        <f aca="false">SUBTOTAL(9,L652:L657)</f>
        <v>37533.127821362</v>
      </c>
      <c r="M651" s="47" t="n">
        <f aca="false">SUBTOTAL(9,M652:M657)</f>
        <v>68688.6253400973</v>
      </c>
      <c r="N651" s="20" t="str">
        <f aca="false">A651</f>
        <v>12.2.2</v>
      </c>
    </row>
    <row r="652" customFormat="false" ht="45" hidden="false" customHeight="false" outlineLevel="3" collapsed="false">
      <c r="A652" s="53" t="s">
        <v>908</v>
      </c>
      <c r="B652" s="43" t="n">
        <v>91835</v>
      </c>
      <c r="C652" s="50" t="str">
        <f aca="false">VLOOKUP($B652,03_COMPOSIÇÕES!$A:$G,2,0)</f>
        <v>ELETRODUTO FLEXÍVEL CORRUGADO REFORÇADO, PVC, DN 25 MM (3/4"), PARA CIRCUITOS TERMINAIS, INSTALADO EM FORRO - FORNECIMENTO E INSTALAÇÃO. AF_03/2023</v>
      </c>
      <c r="D652" s="45" t="s">
        <v>59</v>
      </c>
      <c r="E652" s="44" t="str">
        <f aca="false">IF($B652="","",IFERROR(VLOOKUP($B652,#REF!,3,0),IFERROR(VLOOKUP($B652,03_COMPOSIÇÕES!$A:$G,4,0),"")))</f>
        <v>M</v>
      </c>
      <c r="F652" s="46" t="n">
        <v>3200</v>
      </c>
      <c r="G652" s="51" t="n">
        <f aca="false">VLOOKUP($B652,03_COMPOSIÇÕES!$A:$G,6,0)</f>
        <v>6.660764</v>
      </c>
      <c r="H652" s="52" t="n">
        <f aca="false">VLOOKUP($B652,03_COMPOSIÇÕES!$A:$G,7,0)</f>
        <v>8.15966966184</v>
      </c>
      <c r="I652" s="47" t="n">
        <f aca="false">$F652*$G652</f>
        <v>21314.4448</v>
      </c>
      <c r="J652" s="47" t="n">
        <f aca="false">$F652*$H652</f>
        <v>26110.942917888</v>
      </c>
      <c r="K652" s="47" t="n">
        <f aca="false">$I652*(1+BDI_MAT)</f>
        <v>25709.48331776</v>
      </c>
      <c r="L652" s="47" t="n">
        <f aca="false">$J652*(1+BDI_MDO)</f>
        <v>33288.8411260154</v>
      </c>
      <c r="M652" s="47" t="n">
        <f aca="false">SUM(K652:L652)</f>
        <v>58998.3244437754</v>
      </c>
      <c r="N652" s="20" t="str">
        <f aca="false">A652</f>
        <v>12.2.2.1</v>
      </c>
    </row>
    <row r="653" customFormat="false" ht="45" hidden="false" customHeight="false" outlineLevel="3" collapsed="false">
      <c r="A653" s="53" t="s">
        <v>909</v>
      </c>
      <c r="B653" s="43" t="n">
        <v>91837</v>
      </c>
      <c r="C653" s="50" t="str">
        <f aca="false">VLOOKUP($B653,03_COMPOSIÇÕES!$A:$G,2,0)</f>
        <v>ELETRODUTO FLEXÍVEL CORRUGADO REFORÇADO, PVC, DN 32 MM (1"), PARA CIRCUITOS TERMINAIS, INSTALADO EM FORRO - FORNECIMENTO E INSTALAÇÃO. AF_03/2023</v>
      </c>
      <c r="D653" s="45" t="s">
        <v>59</v>
      </c>
      <c r="E653" s="44" t="str">
        <f aca="false">IF($B653="","",IFERROR(VLOOKUP($B653,#REF!,3,0),IFERROR(VLOOKUP($B653,03_COMPOSIÇÕES!$A:$G,4,0),"")))</f>
        <v>M</v>
      </c>
      <c r="F653" s="46" t="n">
        <v>300</v>
      </c>
      <c r="G653" s="51" t="n">
        <f aca="false">VLOOKUP($B653,03_COMPOSIÇÕES!$A:$G,6,0)</f>
        <v>10.116884</v>
      </c>
      <c r="H653" s="52" t="n">
        <f aca="false">VLOOKUP($B653,03_COMPOSIÇÕES!$A:$G,7,0)</f>
        <v>8.64588229224</v>
      </c>
      <c r="I653" s="47" t="n">
        <f aca="false">$F653*$G653</f>
        <v>3035.0652</v>
      </c>
      <c r="J653" s="47" t="n">
        <f aca="false">$F653*$H653</f>
        <v>2593.764687672</v>
      </c>
      <c r="K653" s="47" t="n">
        <f aca="false">$I653*(1+BDI_MAT)</f>
        <v>3660.89564424</v>
      </c>
      <c r="L653" s="47" t="n">
        <f aca="false">$J653*(1+BDI_MDO)</f>
        <v>3306.79060031303</v>
      </c>
      <c r="M653" s="47" t="n">
        <f aca="false">SUM(K653:L653)</f>
        <v>6967.68624455303</v>
      </c>
      <c r="N653" s="20" t="str">
        <f aca="false">A653</f>
        <v>12.2.2.2</v>
      </c>
    </row>
    <row r="654" customFormat="false" ht="45" hidden="false" customHeight="false" outlineLevel="3" collapsed="false">
      <c r="A654" s="53" t="s">
        <v>910</v>
      </c>
      <c r="B654" s="43" t="n">
        <v>97667</v>
      </c>
      <c r="C654" s="50" t="str">
        <f aca="false">VLOOKUP($B654,03_COMPOSIÇÕES!$A:$G,2,0)</f>
        <v>ELETRODUTO FLEXÍVEL CORRUGADO, PEAD, DN 50 (1 1/2"), PARA REDE ENTERRADA DE DISTRIBUIÇÃO DE ENERGIA ELÉTRICA - FORNECIMENTO E INSTALAÇÃO. AF_12/2021</v>
      </c>
      <c r="D654" s="45" t="s">
        <v>59</v>
      </c>
      <c r="E654" s="44" t="str">
        <f aca="false">IF($B654="","",IFERROR(VLOOKUP($B654,#REF!,3,0),IFERROR(VLOOKUP($B654,03_COMPOSIÇÕES!$A:$G,4,0),"")))</f>
        <v>M</v>
      </c>
      <c r="F654" s="46" t="n">
        <v>10</v>
      </c>
      <c r="G654" s="51" t="n">
        <f aca="false">VLOOKUP($B654,03_COMPOSIÇÕES!$A:$G,6,0)</f>
        <v>5.028376</v>
      </c>
      <c r="H654" s="52" t="n">
        <f aca="false">VLOOKUP($B654,03_COMPOSIÇÕES!$A:$G,7,0)</f>
        <v>0.92432680704</v>
      </c>
      <c r="I654" s="47" t="n">
        <f aca="false">$F654*$G654</f>
        <v>50.28376</v>
      </c>
      <c r="J654" s="47" t="n">
        <f aca="false">$F654*$H654</f>
        <v>9.2432680704</v>
      </c>
      <c r="K654" s="47" t="n">
        <f aca="false">$I654*(1+BDI_MAT)</f>
        <v>60.652271312</v>
      </c>
      <c r="L654" s="47" t="n">
        <f aca="false">$J654*(1+BDI_MDO)</f>
        <v>11.784242462953</v>
      </c>
      <c r="M654" s="47" t="n">
        <f aca="false">SUM(K654:L654)</f>
        <v>72.436513774953</v>
      </c>
      <c r="N654" s="20" t="str">
        <f aca="false">A654</f>
        <v>12.2.2.3</v>
      </c>
    </row>
    <row r="655" customFormat="false" ht="45" hidden="false" customHeight="false" outlineLevel="3" collapsed="false">
      <c r="A655" s="53" t="s">
        <v>911</v>
      </c>
      <c r="B655" s="43" t="n">
        <v>91840</v>
      </c>
      <c r="C655" s="50" t="str">
        <f aca="false">VLOOKUP($B655,03_COMPOSIÇÕES!$A:$G,2,0)</f>
        <v>ELETRODUTO FLEXÍVEL CORRUGADO, PEAD, DN 40 MM (1 1/4"), PARA CIRCUITOS TERMINAIS, INSTALADO EM FORRO - FORNECIMENTO E INSTALAÇÃO. AF_03/2023</v>
      </c>
      <c r="D655" s="45" t="s">
        <v>59</v>
      </c>
      <c r="E655" s="44" t="str">
        <f aca="false">IF($B655="","",IFERROR(VLOOKUP($B655,#REF!,3,0),IFERROR(VLOOKUP($B655,03_COMPOSIÇÕES!$A:$G,4,0),"")))</f>
        <v>M</v>
      </c>
      <c r="F655" s="46" t="n">
        <v>50</v>
      </c>
      <c r="G655" s="51" t="n">
        <f aca="false">VLOOKUP($B655,03_COMPOSIÇÕES!$A:$G,6,0)</f>
        <v>9.530545</v>
      </c>
      <c r="H655" s="52" t="n">
        <f aca="false">VLOOKUP($B655,03_COMPOSIÇÕES!$A:$G,7,0)</f>
        <v>9.27101281704</v>
      </c>
      <c r="I655" s="47" t="n">
        <f aca="false">$F655*$G655</f>
        <v>476.52725</v>
      </c>
      <c r="J655" s="47" t="n">
        <f aca="false">$F655*$H655</f>
        <v>463.550640852</v>
      </c>
      <c r="K655" s="47" t="n">
        <f aca="false">$I655*(1+BDI_MAT)</f>
        <v>574.78716895</v>
      </c>
      <c r="L655" s="47" t="n">
        <f aca="false">$J655*(1+BDI_MDO)</f>
        <v>590.980712022215</v>
      </c>
      <c r="M655" s="47" t="n">
        <f aca="false">SUM(K655:L655)</f>
        <v>1165.76788097221</v>
      </c>
      <c r="N655" s="20" t="str">
        <f aca="false">A655</f>
        <v>12.2.2.4</v>
      </c>
    </row>
    <row r="656" customFormat="false" ht="45" hidden="false" customHeight="false" outlineLevel="3" collapsed="false">
      <c r="A656" s="53" t="s">
        <v>912</v>
      </c>
      <c r="B656" s="43" t="n">
        <v>97668</v>
      </c>
      <c r="C656" s="50" t="str">
        <f aca="false">VLOOKUP($B656,03_COMPOSIÇÕES!$A:$G,2,0)</f>
        <v>ELETRODUTO FLEXÍVEL CORRUGADO, PEAD, DN 63 (2"), PARA REDE ENTERRADA DE DISTRIBUIÇÃO DE ENERGIA ELÉTRICA - FORNECIMENTO E INSTALAÇÃO. AF_12/2021</v>
      </c>
      <c r="D656" s="45" t="s">
        <v>59</v>
      </c>
      <c r="E656" s="44" t="str">
        <f aca="false">IF($B656="","",IFERROR(VLOOKUP($B656,#REF!,3,0),IFERROR(VLOOKUP($B656,03_COMPOSIÇÕES!$A:$G,4,0),"")))</f>
        <v>M</v>
      </c>
      <c r="F656" s="46" t="n">
        <v>10</v>
      </c>
      <c r="G656" s="51" t="n">
        <f aca="false">VLOOKUP($B656,03_COMPOSIÇÕES!$A:$G,6,0)</f>
        <v>6.95092</v>
      </c>
      <c r="H656" s="52" t="n">
        <f aca="false">VLOOKUP($B656,03_COMPOSIÇÕES!$A:$G,7,0)</f>
        <v>3.2819352552</v>
      </c>
      <c r="I656" s="47" t="n">
        <f aca="false">$F656*$G656</f>
        <v>69.5092</v>
      </c>
      <c r="J656" s="47" t="n">
        <f aca="false">$F656*$H656</f>
        <v>32.819352552</v>
      </c>
      <c r="K656" s="47" t="n">
        <f aca="false">$I656*(1+BDI_MAT)</f>
        <v>83.84199704</v>
      </c>
      <c r="L656" s="47" t="n">
        <f aca="false">$J656*(1+BDI_MDO)</f>
        <v>41.8413925685448</v>
      </c>
      <c r="M656" s="47" t="n">
        <f aca="false">SUM(K656:L656)</f>
        <v>125.683389608545</v>
      </c>
      <c r="N656" s="20" t="str">
        <f aca="false">A656</f>
        <v>12.2.2.5</v>
      </c>
    </row>
    <row r="657" customFormat="false" ht="45" hidden="false" customHeight="false" outlineLevel="3" collapsed="false">
      <c r="A657" s="53" t="s">
        <v>913</v>
      </c>
      <c r="B657" s="43" t="s">
        <v>914</v>
      </c>
      <c r="C657" s="50" t="str">
        <f aca="false">VLOOKUP($B657,03_COMPOSIÇÕES!$A:$G,2,0)</f>
        <v>ELETRODUTO FLEXÍVEL CORRUGADO, PEAD, DN 80 (2.1/2"), PARA REDE ENTERRADA DE DISTRIBUIÇÃO DE ENERGIA ELÉTRICA - FORNECIMENTO E INSTALAÇÃO.</v>
      </c>
      <c r="D657" s="45" t="s">
        <v>59</v>
      </c>
      <c r="E657" s="44" t="str">
        <f aca="false">IF($B657="","",IFERROR(VLOOKUP($B657,#REF!,3,0),IFERROR(VLOOKUP($B657,03_COMPOSIÇÕES!$A:$G,4,0),"")))</f>
        <v>M</v>
      </c>
      <c r="F657" s="46" t="n">
        <v>70</v>
      </c>
      <c r="G657" s="51" t="n">
        <f aca="false">VLOOKUP($B657,03_COMPOSIÇÕES!$A:$G,6,0)</f>
        <v>12.6233166666667</v>
      </c>
      <c r="H657" s="52" t="n">
        <f aca="false">VLOOKUP($B657,03_COMPOSIÇÕES!$A:$G,7,0)</f>
        <v>3.2819352552</v>
      </c>
      <c r="I657" s="47" t="n">
        <f aca="false">$F657*$G657</f>
        <v>883.632166666667</v>
      </c>
      <c r="J657" s="47" t="n">
        <f aca="false">$F657*$H657</f>
        <v>229.735467864</v>
      </c>
      <c r="K657" s="47" t="n">
        <f aca="false">$I657*(1+BDI_MAT)</f>
        <v>1065.83711943333</v>
      </c>
      <c r="L657" s="47" t="n">
        <f aca="false">$J657*(1+BDI_MDO)</f>
        <v>292.889747979814</v>
      </c>
      <c r="M657" s="47" t="n">
        <f aca="false">SUM(K657:L657)</f>
        <v>1358.72686741315</v>
      </c>
      <c r="N657" s="20" t="str">
        <f aca="false">A657</f>
        <v>12.2.2.6</v>
      </c>
    </row>
    <row r="658" customFormat="false" ht="15" hidden="false" customHeight="false" outlineLevel="2" collapsed="false">
      <c r="A658" s="42" t="s">
        <v>915</v>
      </c>
      <c r="B658" s="43"/>
      <c r="C658" s="50" t="s">
        <v>916</v>
      </c>
      <c r="D658" s="45"/>
      <c r="E658" s="44"/>
      <c r="F658" s="46"/>
      <c r="G658" s="51"/>
      <c r="H658" s="52"/>
      <c r="I658" s="47" t="n">
        <f aca="false">SUBTOTAL(9,I659:I669)</f>
        <v>8661.02894667091</v>
      </c>
      <c r="J658" s="47" t="n">
        <f aca="false">SUBTOTAL(9,J659:J669)</f>
        <v>1948.87347486664</v>
      </c>
      <c r="K658" s="47" t="n">
        <f aca="false">SUBTOTAL(9,K659:K669)</f>
        <v>10446.9331154745</v>
      </c>
      <c r="L658" s="47" t="n">
        <f aca="false">SUBTOTAL(9,L659:L669)</f>
        <v>2484.61879310748</v>
      </c>
      <c r="M658" s="47" t="n">
        <f aca="false">SUBTOTAL(9,M659:M669)</f>
        <v>12931.5519085819</v>
      </c>
      <c r="N658" s="20" t="str">
        <f aca="false">A658</f>
        <v>12.2.3</v>
      </c>
    </row>
    <row r="659" customFormat="false" ht="45" hidden="false" customHeight="false" outlineLevel="2" collapsed="false">
      <c r="A659" s="53" t="s">
        <v>917</v>
      </c>
      <c r="B659" s="43" t="s">
        <v>918</v>
      </c>
      <c r="C659" s="50" t="str">
        <f aca="false">VLOOKUP($B659,03_COMPOSIÇÕES!$A:$G,2,0)</f>
        <v>CURVA HORIZONTAL 45º PARA ELETROCALHA, LISA OU PERFURADA EM AÇO GALVANIZADO, LARGURA DE 100MM E ALTURA DE 50MM - FORNECIMENTO E INSTALAÇÃO.</v>
      </c>
      <c r="D659" s="45" t="s">
        <v>59</v>
      </c>
      <c r="E659" s="44" t="str">
        <f aca="false">IF($B659="","",IFERROR(VLOOKUP($B659,#REF!,3,0),IFERROR(VLOOKUP($B659,03_COMPOSIÇÕES!$A:$G,4,0),"")))</f>
        <v>UN</v>
      </c>
      <c r="F659" s="46" t="n">
        <v>4</v>
      </c>
      <c r="G659" s="51" t="n">
        <f aca="false">VLOOKUP($B659,03_COMPOSIÇÕES!$A:$G,6,0)</f>
        <v>32.5902266666667</v>
      </c>
      <c r="H659" s="52" t="n">
        <f aca="false">VLOOKUP($B659,03_COMPOSIÇÕES!$A:$G,7,0)</f>
        <v>13.3187531256</v>
      </c>
      <c r="I659" s="47" t="n">
        <f aca="false">$F659*$G659</f>
        <v>130.360906666667</v>
      </c>
      <c r="J659" s="47" t="n">
        <f aca="false">$F659*$H659</f>
        <v>53.2750125024</v>
      </c>
      <c r="K659" s="47" t="n">
        <f aca="false">$I659*(1+BDI_MAT)</f>
        <v>157.241325621333</v>
      </c>
      <c r="L659" s="47" t="n">
        <f aca="false">$J659*(1+BDI_MDO)</f>
        <v>67.9203134393098</v>
      </c>
      <c r="M659" s="47" t="n">
        <f aca="false">SUM(K659:L659)</f>
        <v>225.161639060643</v>
      </c>
      <c r="N659" s="20" t="str">
        <f aca="false">A659</f>
        <v>12.2.3.1</v>
      </c>
    </row>
    <row r="660" customFormat="false" ht="45" hidden="false" customHeight="false" outlineLevel="2" collapsed="false">
      <c r="A660" s="53" t="s">
        <v>919</v>
      </c>
      <c r="B660" s="43" t="s">
        <v>920</v>
      </c>
      <c r="C660" s="50" t="str">
        <f aca="false">VLOOKUP($B660,03_COMPOSIÇÕES!$A:$G,2,0)</f>
        <v>CURVA HORIZONTAL 45º PARA ELETROCALHA, LISA OU PERFURADA EM AÇO GALVANIZADO, LARGURA DE 50MM E ALTURA DE 50MM - FORNECIMENTO E INSTALAÇÃO.</v>
      </c>
      <c r="D660" s="45" t="s">
        <v>59</v>
      </c>
      <c r="E660" s="44" t="str">
        <f aca="false">IF($B660="","",IFERROR(VLOOKUP($B660,#REF!,3,0),IFERROR(VLOOKUP($B660,03_COMPOSIÇÕES!$A:$G,4,0),"")))</f>
        <v>UN</v>
      </c>
      <c r="F660" s="46" t="n">
        <v>1</v>
      </c>
      <c r="G660" s="51" t="n">
        <f aca="false">VLOOKUP($B660,03_COMPOSIÇÕES!$A:$G,6,0)</f>
        <v>30.75637</v>
      </c>
      <c r="H660" s="52" t="n">
        <f aca="false">VLOOKUP($B660,03_COMPOSIÇÕES!$A:$G,7,0)</f>
        <v>13.3187531256</v>
      </c>
      <c r="I660" s="47" t="n">
        <f aca="false">$F660*$G660</f>
        <v>30.75637</v>
      </c>
      <c r="J660" s="47" t="n">
        <f aca="false">$F660*$H660</f>
        <v>13.3187531256</v>
      </c>
      <c r="K660" s="47" t="n">
        <f aca="false">$I660*(1+BDI_MAT)</f>
        <v>37.098333494</v>
      </c>
      <c r="L660" s="47" t="n">
        <f aca="false">$J660*(1+BDI_MDO)</f>
        <v>16.9800783598274</v>
      </c>
      <c r="M660" s="47" t="n">
        <f aca="false">SUM(K660:L660)</f>
        <v>54.0784118538275</v>
      </c>
      <c r="N660" s="20" t="str">
        <f aca="false">A660</f>
        <v>12.2.3.2</v>
      </c>
    </row>
    <row r="661" customFormat="false" ht="45" hidden="false" customHeight="false" outlineLevel="2" collapsed="false">
      <c r="A661" s="53" t="s">
        <v>921</v>
      </c>
      <c r="B661" s="43" t="s">
        <v>922</v>
      </c>
      <c r="C661" s="50" t="str">
        <f aca="false">VLOOKUP($B661,03_COMPOSIÇÕES!$A:$G,2,0)</f>
        <v>CURVA HORIZONTAL 90º PARA ELETROCALHA, LISA OU PERFURADA EM AÇO GALVANIZADO, LARGURA DE 100MM E ALTURA DE 50MM - FORNECIMENTO E INSTALAÇÃO.</v>
      </c>
      <c r="D661" s="45" t="s">
        <v>59</v>
      </c>
      <c r="E661" s="44" t="str">
        <f aca="false">IF($B661="","",IFERROR(VLOOKUP($B661,#REF!,3,0),IFERROR(VLOOKUP($B661,03_COMPOSIÇÕES!$A:$G,4,0),"")))</f>
        <v>UN</v>
      </c>
      <c r="F661" s="46" t="n">
        <v>2</v>
      </c>
      <c r="G661" s="51" t="n">
        <f aca="false">VLOOKUP($B661,03_COMPOSIÇÕES!$A:$G,6,0)</f>
        <v>36.6100933333333</v>
      </c>
      <c r="H661" s="52" t="n">
        <f aca="false">VLOOKUP($B661,03_COMPOSIÇÕES!$A:$G,7,0)</f>
        <v>13.3187531256</v>
      </c>
      <c r="I661" s="47" t="n">
        <f aca="false">$F661*$G661</f>
        <v>73.2201866666667</v>
      </c>
      <c r="J661" s="47" t="n">
        <f aca="false">$F661*$H661</f>
        <v>26.6375062512</v>
      </c>
      <c r="K661" s="47" t="n">
        <f aca="false">$I661*(1+BDI_MAT)</f>
        <v>88.3181891573333</v>
      </c>
      <c r="L661" s="47" t="n">
        <f aca="false">$J661*(1+BDI_MDO)</f>
        <v>33.9601567196549</v>
      </c>
      <c r="M661" s="47" t="n">
        <f aca="false">SUM(K661:L661)</f>
        <v>122.278345876988</v>
      </c>
      <c r="N661" s="20" t="str">
        <f aca="false">A661</f>
        <v>12.2.3.3</v>
      </c>
    </row>
    <row r="662" customFormat="false" ht="45" hidden="false" customHeight="false" outlineLevel="2" collapsed="false">
      <c r="A662" s="53" t="s">
        <v>923</v>
      </c>
      <c r="B662" s="43" t="s">
        <v>924</v>
      </c>
      <c r="C662" s="50" t="str">
        <f aca="false">VLOOKUP($B662,03_COMPOSIÇÕES!$A:$G,2,0)</f>
        <v>CURVA HORIZONTAL 90º PARA ELETROCALHA, LISA OU PERFURADA EM AÇO GALVANIZADO, LARGURA DE 50MM E ALTURA DE 50MM - FORNECIMENTO E INSTALAÇÃO.</v>
      </c>
      <c r="D662" s="45" t="s">
        <v>59</v>
      </c>
      <c r="E662" s="44" t="str">
        <f aca="false">IF($B662="","",IFERROR(VLOOKUP($B662,#REF!,3,0),IFERROR(VLOOKUP($B662,03_COMPOSIÇÕES!$A:$G,4,0),"")))</f>
        <v>UN</v>
      </c>
      <c r="F662" s="46" t="n">
        <v>2</v>
      </c>
      <c r="G662" s="51" t="n">
        <f aca="false">VLOOKUP($B662,03_COMPOSIÇÕES!$A:$G,6,0)</f>
        <v>38.1600733333333</v>
      </c>
      <c r="H662" s="52" t="n">
        <f aca="false">VLOOKUP($B662,03_COMPOSIÇÕES!$A:$G,7,0)</f>
        <v>13.3187531256</v>
      </c>
      <c r="I662" s="47" t="n">
        <f aca="false">$F662*$G662</f>
        <v>76.3201466666667</v>
      </c>
      <c r="J662" s="47" t="n">
        <f aca="false">$F662*$H662</f>
        <v>26.6375062512</v>
      </c>
      <c r="K662" s="47" t="n">
        <f aca="false">$I662*(1+BDI_MAT)</f>
        <v>92.0573609093333</v>
      </c>
      <c r="L662" s="47" t="n">
        <f aca="false">$J662*(1+BDI_MDO)</f>
        <v>33.9601567196549</v>
      </c>
      <c r="M662" s="47" t="n">
        <f aca="false">SUM(K662:L662)</f>
        <v>126.017517628988</v>
      </c>
      <c r="N662" s="20" t="str">
        <f aca="false">A662</f>
        <v>12.2.3.4</v>
      </c>
    </row>
    <row r="663" customFormat="false" ht="45" hidden="false" customHeight="false" outlineLevel="2" collapsed="false">
      <c r="A663" s="53" t="s">
        <v>925</v>
      </c>
      <c r="B663" s="43" t="s">
        <v>926</v>
      </c>
      <c r="C663" s="50" t="str">
        <f aca="false">VLOOKUP($B663,03_COMPOSIÇÕES!$A:$G,2,0)</f>
        <v>CURVA VERTICAL INTERNA 90º PARA ELETROCALHA, LISA OU PERFURADA EM AÇO GALVANIZADO, LARGURA DE 100MM E ALTURA DE 50MM - FORNECIMENTO E INSTALAÇÃO.</v>
      </c>
      <c r="D663" s="45" t="s">
        <v>59</v>
      </c>
      <c r="E663" s="44" t="str">
        <f aca="false">IF($B663="","",IFERROR(VLOOKUP($B663,#REF!,3,0),IFERROR(VLOOKUP($B663,03_COMPOSIÇÕES!$A:$G,4,0),"")))</f>
        <v>UN</v>
      </c>
      <c r="F663" s="46" t="n">
        <v>1</v>
      </c>
      <c r="G663" s="51" t="n">
        <f aca="false">VLOOKUP($B663,03_COMPOSIÇÕES!$A:$G,6,0)</f>
        <v>39.6998466666667</v>
      </c>
      <c r="H663" s="52" t="n">
        <f aca="false">VLOOKUP($B663,03_COMPOSIÇÕES!$A:$G,7,0)</f>
        <v>5.2749900372</v>
      </c>
      <c r="I663" s="47" t="n">
        <f aca="false">$F663*$G663</f>
        <v>39.6998466666667</v>
      </c>
      <c r="J663" s="47" t="n">
        <f aca="false">$F663*$H663</f>
        <v>5.2749900372</v>
      </c>
      <c r="K663" s="47" t="n">
        <f aca="false">$I663*(1+BDI_MAT)</f>
        <v>47.8859550493333</v>
      </c>
      <c r="L663" s="47" t="n">
        <f aca="false">$J663*(1+BDI_MDO)</f>
        <v>6.72508479842628</v>
      </c>
      <c r="M663" s="47" t="n">
        <f aca="false">SUM(K663:L663)</f>
        <v>54.6110398477596</v>
      </c>
      <c r="N663" s="20" t="str">
        <f aca="false">A663</f>
        <v>12.2.3.5</v>
      </c>
    </row>
    <row r="664" customFormat="false" ht="45" hidden="false" customHeight="false" outlineLevel="2" collapsed="false">
      <c r="A664" s="53" t="s">
        <v>927</v>
      </c>
      <c r="B664" s="43" t="s">
        <v>928</v>
      </c>
      <c r="C664" s="50" t="str">
        <f aca="false">VLOOKUP($B664,03_COMPOSIÇÕES!$A:$G,2,0)</f>
        <v>TÊ HORIZONTAL 90º, PARA ELETROCALHA, LISA OU PERFURADA EM AÇO GALVANIZADO, LARGURA DE 100MM E ALTURA DE 50MM - FORNECIMENTO E INSTALAÇÃO.</v>
      </c>
      <c r="D664" s="45" t="s">
        <v>59</v>
      </c>
      <c r="E664" s="44" t="str">
        <f aca="false">IF($B664="","",IFERROR(VLOOKUP($B664,#REF!,3,0),IFERROR(VLOOKUP($B664,03_COMPOSIÇÕES!$A:$G,4,0),"")))</f>
        <v>UN</v>
      </c>
      <c r="F664" s="46" t="n">
        <v>2</v>
      </c>
      <c r="G664" s="51" t="n">
        <f aca="false">VLOOKUP($B664,03_COMPOSIÇÕES!$A:$G,6,0)</f>
        <v>62.8337373333333</v>
      </c>
      <c r="H664" s="52" t="n">
        <f aca="false">VLOOKUP($B664,03_COMPOSIÇÕES!$A:$G,7,0)</f>
        <v>17.75717985168</v>
      </c>
      <c r="I664" s="47" t="n">
        <f aca="false">$F664*$G664</f>
        <v>125.667474666667</v>
      </c>
      <c r="J664" s="47" t="n">
        <f aca="false">$F664*$H664</f>
        <v>35.51435970336</v>
      </c>
      <c r="K664" s="47" t="n">
        <f aca="false">$I664*(1+BDI_MAT)</f>
        <v>151.580107942933</v>
      </c>
      <c r="L664" s="47" t="n">
        <f aca="false">$J664*(1+BDI_MDO)</f>
        <v>45.2772571858137</v>
      </c>
      <c r="M664" s="47" t="n">
        <f aca="false">SUM(K664:L664)</f>
        <v>196.857365128747</v>
      </c>
      <c r="N664" s="20" t="str">
        <f aca="false">A664</f>
        <v>12.2.3.6</v>
      </c>
    </row>
    <row r="665" customFormat="false" ht="45" hidden="false" customHeight="false" outlineLevel="2" collapsed="false">
      <c r="A665" s="53" t="s">
        <v>929</v>
      </c>
      <c r="B665" s="43" t="s">
        <v>930</v>
      </c>
      <c r="C665" s="50" t="str">
        <f aca="false">VLOOKUP($B665,03_COMPOSIÇÕES!$A:$G,2,0)</f>
        <v>TÊ HORIZONTAL 90º, PARA ELETROCALHA, LISA OU PERFURADA EM AÇO GALVANIZADO, LARGURA DE 50MM E ALTURA DE 50MM - FORNECIMENTO E INSTALAÇÃO.</v>
      </c>
      <c r="D665" s="45" t="s">
        <v>59</v>
      </c>
      <c r="E665" s="44" t="str">
        <f aca="false">IF($B665="","",IFERROR(VLOOKUP($B665,#REF!,3,0),IFERROR(VLOOKUP($B665,03_COMPOSIÇÕES!$A:$G,4,0),"")))</f>
        <v>UN</v>
      </c>
      <c r="F665" s="46" t="n">
        <v>2</v>
      </c>
      <c r="G665" s="51" t="n">
        <f aca="false">VLOOKUP($B665,03_COMPOSIÇÕES!$A:$G,6,0)</f>
        <v>39.2833813333333</v>
      </c>
      <c r="H665" s="52" t="n">
        <f aca="false">VLOOKUP($B665,03_COMPOSIÇÕES!$A:$G,7,0)</f>
        <v>13.05133617888</v>
      </c>
      <c r="I665" s="47" t="n">
        <f aca="false">$F665*$G665</f>
        <v>78.5667626666667</v>
      </c>
      <c r="J665" s="47" t="n">
        <f aca="false">$F665*$H665</f>
        <v>26.10267235776</v>
      </c>
      <c r="K665" s="47" t="n">
        <f aca="false">$I665*(1+BDI_MAT)</f>
        <v>94.7672291285334</v>
      </c>
      <c r="L665" s="47" t="n">
        <f aca="false">$J665*(1+BDI_MDO)</f>
        <v>33.2782969889082</v>
      </c>
      <c r="M665" s="47" t="n">
        <f aca="false">SUM(K665:L665)</f>
        <v>128.045526117442</v>
      </c>
      <c r="N665" s="20" t="str">
        <f aca="false">A665</f>
        <v>12.2.3.7</v>
      </c>
    </row>
    <row r="666" customFormat="false" ht="45" hidden="false" customHeight="false" outlineLevel="2" collapsed="false">
      <c r="A666" s="53" t="s">
        <v>931</v>
      </c>
      <c r="B666" s="43" t="s">
        <v>932</v>
      </c>
      <c r="C666" s="50" t="str">
        <f aca="false">VLOOKUP($B666,03_COMPOSIÇÕES!$A:$G,2,0)</f>
        <v>TÊ HORIZONTAL 90º, PARA ELETROCALHA, LISA OU PERFURADA EM AÇO GALVANIZADO, LARGURA DE 150MM E ALTURA DE 50MM - FORNECIMENTO E INSTALAÇÃO.</v>
      </c>
      <c r="D666" s="45" t="s">
        <v>59</v>
      </c>
      <c r="E666" s="44" t="str">
        <f aca="false">IF($B666="","",IFERROR(VLOOKUP($B666,#REF!,3,0),IFERROR(VLOOKUP($B666,03_COMPOSIÇÕES!$A:$G,4,0),"")))</f>
        <v>UN</v>
      </c>
      <c r="F666" s="46" t="n">
        <v>2</v>
      </c>
      <c r="G666" s="51" t="n">
        <f aca="false">VLOOKUP($B666,03_COMPOSIÇÕES!$A:$G,6,0)</f>
        <v>82.4384146666667</v>
      </c>
      <c r="H666" s="52" t="n">
        <f aca="false">VLOOKUP($B666,03_COMPOSIÇÕES!$A:$G,7,0)</f>
        <v>22.46649647184</v>
      </c>
      <c r="I666" s="47" t="n">
        <f aca="false">$F666*$G666</f>
        <v>164.876829333333</v>
      </c>
      <c r="J666" s="47" t="n">
        <f aca="false">$F666*$H666</f>
        <v>44.93299294368</v>
      </c>
      <c r="K666" s="47" t="n">
        <f aca="false">$I666*(1+BDI_MAT)</f>
        <v>198.874431541867</v>
      </c>
      <c r="L666" s="47" t="n">
        <f aca="false">$J666*(1+BDI_MDO)</f>
        <v>57.2850727038976</v>
      </c>
      <c r="M666" s="47" t="n">
        <f aca="false">SUM(K666:L666)</f>
        <v>256.159504245764</v>
      </c>
      <c r="N666" s="20" t="str">
        <f aca="false">A666</f>
        <v>12.2.3.8</v>
      </c>
    </row>
    <row r="667" customFormat="false" ht="45" hidden="false" customHeight="false" outlineLevel="2" collapsed="false">
      <c r="A667" s="53" t="s">
        <v>933</v>
      </c>
      <c r="B667" s="43" t="s">
        <v>934</v>
      </c>
      <c r="C667" s="50" t="str">
        <f aca="false">VLOOKUP($B667,03_COMPOSIÇÕES!$A:$G,2,0)</f>
        <v>ELETROCALHA LISA OU PERFURADA EM AÇO GALVANIZADO, LARGURA 150MM E ALTURA 50MM, INCLUSIVE EMENDA, TAMPA E FIXAÇÃO - FORNECIMENTO E INSTALAÇÃO.</v>
      </c>
      <c r="D667" s="45" t="s">
        <v>59</v>
      </c>
      <c r="E667" s="44" t="str">
        <f aca="false">IF($B667="","",IFERROR(VLOOKUP($B667,#REF!,3,0),IFERROR(VLOOKUP($B667,03_COMPOSIÇÕES!$A:$G,4,0),"")))</f>
        <v>M</v>
      </c>
      <c r="F667" s="46" t="n">
        <v>48.45</v>
      </c>
      <c r="G667" s="51" t="n">
        <f aca="false">VLOOKUP($B667,03_COMPOSIÇÕES!$A:$G,6,0)</f>
        <v>82.1659901284444</v>
      </c>
      <c r="H667" s="52" t="n">
        <f aca="false">VLOOKUP($B667,03_COMPOSIÇÕES!$A:$G,7,0)</f>
        <v>5.3175226806</v>
      </c>
      <c r="I667" s="47" t="n">
        <f aca="false">$F667*$G667</f>
        <v>3980.94222172313</v>
      </c>
      <c r="J667" s="47" t="n">
        <f aca="false">$F667*$H667</f>
        <v>257.63397387507</v>
      </c>
      <c r="K667" s="47" t="n">
        <f aca="false">$I667*(1+BDI_MAT)</f>
        <v>4801.81250784244</v>
      </c>
      <c r="L667" s="47" t="n">
        <f aca="false">$J667*(1+BDI_MDO)</f>
        <v>328.457553293327</v>
      </c>
      <c r="M667" s="47" t="n">
        <f aca="false">SUM(K667:L667)</f>
        <v>5130.27006113577</v>
      </c>
      <c r="N667" s="20" t="str">
        <f aca="false">A667</f>
        <v>12.2.3.9</v>
      </c>
    </row>
    <row r="668" customFormat="false" ht="45" hidden="false" customHeight="false" outlineLevel="2" collapsed="false">
      <c r="A668" s="53" t="s">
        <v>935</v>
      </c>
      <c r="B668" s="43" t="s">
        <v>936</v>
      </c>
      <c r="C668" s="50" t="str">
        <f aca="false">VLOOKUP($B668,03_COMPOSIÇÕES!$A:$G,2,0)</f>
        <v>ELETROCALHA LISA OU PERFURADA EM AÇO GALVANIZADO, LARGURA 100MM E ALTURA 50MM, INCLUSIVE EMENDA, TAMPA E FIXAÇÃO - FORNECIMENTO E INSTALAÇÃO.</v>
      </c>
      <c r="D668" s="45" t="s">
        <v>59</v>
      </c>
      <c r="E668" s="44" t="str">
        <f aca="false">IF($B668="","",IFERROR(VLOOKUP($B668,#REF!,3,0),IFERROR(VLOOKUP($B668,03_COMPOSIÇÕES!$A:$G,4,0),"")))</f>
        <v>M</v>
      </c>
      <c r="F668" s="46" t="n">
        <v>19.03</v>
      </c>
      <c r="G668" s="51" t="n">
        <f aca="false">VLOOKUP($B668,03_COMPOSIÇÕES!$A:$G,6,0)</f>
        <v>44.2504641111111</v>
      </c>
      <c r="H668" s="52" t="n">
        <f aca="false">VLOOKUP($B668,03_COMPOSIÇÕES!$A:$G,7,0)</f>
        <v>21.1020946716</v>
      </c>
      <c r="I668" s="47" t="n">
        <f aca="false">$F668*$G668</f>
        <v>842.086332034445</v>
      </c>
      <c r="J668" s="47" t="n">
        <f aca="false">$F668*$H668</f>
        <v>401.572861600548</v>
      </c>
      <c r="K668" s="47" t="n">
        <f aca="false">$I668*(1+BDI_MAT)</f>
        <v>1015.72453369995</v>
      </c>
      <c r="L668" s="47" t="n">
        <f aca="false">$J668*(1+BDI_MDO)</f>
        <v>511.965241254539</v>
      </c>
      <c r="M668" s="47" t="n">
        <f aca="false">SUM(K668:L668)</f>
        <v>1527.68977495449</v>
      </c>
      <c r="N668" s="20" t="str">
        <f aca="false">A668</f>
        <v>12.2.3.10</v>
      </c>
    </row>
    <row r="669" customFormat="false" ht="45" hidden="false" customHeight="false" outlineLevel="2" collapsed="false">
      <c r="A669" s="53" t="s">
        <v>937</v>
      </c>
      <c r="B669" s="43" t="s">
        <v>938</v>
      </c>
      <c r="C669" s="50" t="str">
        <f aca="false">VLOOKUP($B669,03_COMPOSIÇÕES!$A:$G,2,0)</f>
        <v>ELETROCALHA LISA OU PERFURADA EM AÇO GALVANIZADO, LARGURA 50MM E ALTURA 50MM, INCLUSIVE EMENDA, TAMPA E FIXAÇÃO - FORNECIMENTO E INSTALAÇÃO.</v>
      </c>
      <c r="D669" s="45" t="s">
        <v>59</v>
      </c>
      <c r="E669" s="44" t="str">
        <f aca="false">IF($B669="","",IFERROR(VLOOKUP($B669,#REF!,3,0),IFERROR(VLOOKUP($B669,03_COMPOSIÇÕES!$A:$G,4,0),"")))</f>
        <v>M</v>
      </c>
      <c r="F669" s="46" t="n">
        <v>61.86</v>
      </c>
      <c r="G669" s="51" t="n">
        <f aca="false">VLOOKUP($B669,03_COMPOSIÇÕES!$A:$G,6,0)</f>
        <v>50.4127363333333</v>
      </c>
      <c r="H669" s="52" t="n">
        <f aca="false">VLOOKUP($B669,03_COMPOSIÇÕES!$A:$G,7,0)</f>
        <v>17.1026971584</v>
      </c>
      <c r="I669" s="47" t="n">
        <f aca="false">$F669*$G669</f>
        <v>3118.53186958</v>
      </c>
      <c r="J669" s="47" t="n">
        <f aca="false">$F669*$H669</f>
        <v>1057.97284621862</v>
      </c>
      <c r="K669" s="47" t="n">
        <f aca="false">$I669*(1+BDI_MAT)</f>
        <v>3761.5731410874</v>
      </c>
      <c r="L669" s="47" t="n">
        <f aca="false">$J669*(1+BDI_MDO)</f>
        <v>1348.80958164412</v>
      </c>
      <c r="M669" s="47" t="n">
        <f aca="false">SUM(K669:L669)</f>
        <v>5110.38272273152</v>
      </c>
      <c r="N669" s="20" t="str">
        <f aca="false">A669</f>
        <v>12.2.3.11</v>
      </c>
    </row>
    <row r="670" customFormat="false" ht="15" hidden="false" customHeight="false" outlineLevel="1" collapsed="false">
      <c r="A670" s="42" t="s">
        <v>939</v>
      </c>
      <c r="B670" s="43"/>
      <c r="C670" s="50" t="s">
        <v>940</v>
      </c>
      <c r="D670" s="45"/>
      <c r="E670" s="44"/>
      <c r="F670" s="46"/>
      <c r="G670" s="51"/>
      <c r="H670" s="52"/>
      <c r="I670" s="47" t="n">
        <f aca="false">SUM(I671,I686,I688)</f>
        <v>16286.770828</v>
      </c>
      <c r="J670" s="47" t="n">
        <f aca="false">SUM(J671,J686,J688)</f>
        <v>6310.06492195656</v>
      </c>
      <c r="K670" s="47" t="n">
        <f aca="false">SUM(K671,K686,K688)</f>
        <v>19645.1029727336</v>
      </c>
      <c r="L670" s="47" t="n">
        <f aca="false">SUM(L671,L686,L688)</f>
        <v>8044.70176900242</v>
      </c>
      <c r="M670" s="47" t="n">
        <f aca="false">SUM(M671,M686,M688)</f>
        <v>27689.804741736</v>
      </c>
      <c r="N670" s="20" t="str">
        <f aca="false">A670</f>
        <v>12.3</v>
      </c>
    </row>
    <row r="671" customFormat="false" ht="15" hidden="false" customHeight="false" outlineLevel="2" collapsed="false">
      <c r="A671" s="42" t="s">
        <v>941</v>
      </c>
      <c r="B671" s="43"/>
      <c r="C671" s="50" t="s">
        <v>942</v>
      </c>
      <c r="D671" s="45"/>
      <c r="E671" s="44"/>
      <c r="F671" s="46"/>
      <c r="G671" s="51"/>
      <c r="H671" s="52"/>
      <c r="I671" s="47" t="n">
        <f aca="false">SUM(I672)</f>
        <v>6536.06046666667</v>
      </c>
      <c r="J671" s="47" t="n">
        <f aca="false">SUM(J672)</f>
        <v>5430.6217708464</v>
      </c>
      <c r="K671" s="47" t="n">
        <f aca="false">SUM(K672)</f>
        <v>7883.79613489333</v>
      </c>
      <c r="L671" s="47" t="n">
        <f aca="false">SUM(L672)</f>
        <v>6923.49969565207</v>
      </c>
      <c r="M671" s="47" t="n">
        <f aca="false">SUM(M672)</f>
        <v>14807.2958305454</v>
      </c>
      <c r="N671" s="20" t="str">
        <f aca="false">A671</f>
        <v>12.3.1</v>
      </c>
    </row>
    <row r="672" customFormat="false" ht="15" hidden="false" customHeight="false" outlineLevel="3" collapsed="false">
      <c r="A672" s="42" t="s">
        <v>943</v>
      </c>
      <c r="B672" s="43"/>
      <c r="C672" s="50" t="s">
        <v>944</v>
      </c>
      <c r="D672" s="45"/>
      <c r="E672" s="44"/>
      <c r="F672" s="46"/>
      <c r="G672" s="51"/>
      <c r="H672" s="52"/>
      <c r="I672" s="47" t="n">
        <f aca="false">SUBTOTAL(9,I673:I685)</f>
        <v>6536.06046666667</v>
      </c>
      <c r="J672" s="47" t="n">
        <f aca="false">SUBTOTAL(9,J673:J685)</f>
        <v>5430.6217708464</v>
      </c>
      <c r="K672" s="47" t="n">
        <f aca="false">SUBTOTAL(9,K673:K685)</f>
        <v>7883.79613489333</v>
      </c>
      <c r="L672" s="47" t="n">
        <f aca="false">SUBTOTAL(9,L673:L685)</f>
        <v>6923.49969565207</v>
      </c>
      <c r="M672" s="47" t="n">
        <f aca="false">SUBTOTAL(9,M673:M685)</f>
        <v>14807.2958305454</v>
      </c>
      <c r="N672" s="20" t="str">
        <f aca="false">A672</f>
        <v>12.3.1.1</v>
      </c>
    </row>
    <row r="673" customFormat="false" ht="45" hidden="false" customHeight="false" outlineLevel="4" collapsed="false">
      <c r="A673" s="53" t="s">
        <v>945</v>
      </c>
      <c r="B673" s="43" t="n">
        <v>91963</v>
      </c>
      <c r="C673" s="50" t="str">
        <f aca="false">VLOOKUP($B673,03_COMPOSIÇÕES!$A:$G,2,0)</f>
        <v>INTERRUPTOR SIMPLES (1 MÓDULO) COM INTERRUPTOR PARALELO (2 MÓDULOS), 10A/250V, INCLUINDO SUPORTE E PLACA - FORNECIMENTO E INSTALAÇÃO. AF_03/2023</v>
      </c>
      <c r="D673" s="45" t="s">
        <v>59</v>
      </c>
      <c r="E673" s="44" t="str">
        <f aca="false">IF($B673="","",IFERROR(VLOOKUP($B673,#REF!,3,0),IFERROR(VLOOKUP($B673,03_COMPOSIÇÕES!$A:$G,4,0),"")))</f>
        <v>UN</v>
      </c>
      <c r="F673" s="46" t="n">
        <v>1</v>
      </c>
      <c r="G673" s="51" t="n">
        <f aca="false">VLOOKUP($B673,03_COMPOSIÇÕES!$A:$G,6,0)</f>
        <v>39.33452</v>
      </c>
      <c r="H673" s="52" t="n">
        <f aca="false">VLOOKUP($B673,03_COMPOSIÇÕES!$A:$G,7,0)</f>
        <v>30.1799125584</v>
      </c>
      <c r="I673" s="47" t="n">
        <f aca="false">$F673*$G673</f>
        <v>39.33452</v>
      </c>
      <c r="J673" s="47" t="n">
        <f aca="false">$F673*$H673</f>
        <v>30.1799125584</v>
      </c>
      <c r="K673" s="47" t="n">
        <f aca="false">$I673*(1+BDI_MAT)</f>
        <v>47.445298024</v>
      </c>
      <c r="L673" s="47" t="n">
        <f aca="false">$J673*(1+BDI_MDO)</f>
        <v>38.4763705207042</v>
      </c>
      <c r="M673" s="47" t="n">
        <f aca="false">SUM(K673:L673)</f>
        <v>85.9216685447042</v>
      </c>
      <c r="N673" s="20" t="str">
        <f aca="false">A673</f>
        <v>12.3.1.1.1</v>
      </c>
    </row>
    <row r="674" customFormat="false" ht="30" hidden="false" customHeight="false" outlineLevel="4" collapsed="false">
      <c r="A674" s="53" t="s">
        <v>946</v>
      </c>
      <c r="B674" s="43" t="n">
        <v>91979</v>
      </c>
      <c r="C674" s="50" t="str">
        <f aca="false">VLOOKUP($B674,03_COMPOSIÇÕES!$A:$G,2,0)</f>
        <v>INTERRUPTOR INTERMEDIÁRIO (1 MÓDULO), 10A/250V, INCLUINDO SUPORTE E PLACA - FORNECIMENTO E INSTALAÇÃO. AF_03/2023</v>
      </c>
      <c r="D674" s="45" t="s">
        <v>59</v>
      </c>
      <c r="E674" s="44" t="str">
        <f aca="false">IF($B674="","",IFERROR(VLOOKUP($B674,#REF!,3,0),IFERROR(VLOOKUP($B674,03_COMPOSIÇÕES!$A:$G,4,0),"")))</f>
        <v>UN</v>
      </c>
      <c r="F674" s="46" t="n">
        <v>5</v>
      </c>
      <c r="G674" s="51" t="n">
        <f aca="false">VLOOKUP($B674,03_COMPOSIÇÕES!$A:$G,6,0)</f>
        <v>29.0624</v>
      </c>
      <c r="H674" s="52" t="n">
        <f aca="false">VLOOKUP($B674,03_COMPOSIÇÕES!$A:$G,7,0)</f>
        <v>11.116543512</v>
      </c>
      <c r="I674" s="47" t="n">
        <f aca="false">$F674*$G674</f>
        <v>145.312</v>
      </c>
      <c r="J674" s="47" t="n">
        <f aca="false">$F674*$H674</f>
        <v>55.58271756</v>
      </c>
      <c r="K674" s="47" t="n">
        <f aca="false">$I674*(1+BDI_MAT)</f>
        <v>175.2753344</v>
      </c>
      <c r="L674" s="47" t="n">
        <f aca="false">$J674*(1+BDI_MDO)</f>
        <v>70.862406617244</v>
      </c>
      <c r="M674" s="47" t="n">
        <f aca="false">SUM(K674:L674)</f>
        <v>246.137741017244</v>
      </c>
      <c r="N674" s="20" t="str">
        <f aca="false">A674</f>
        <v>12.3.1.1.2</v>
      </c>
    </row>
    <row r="675" customFormat="false" ht="30" hidden="false" customHeight="false" outlineLevel="4" collapsed="false">
      <c r="A675" s="53" t="s">
        <v>947</v>
      </c>
      <c r="B675" s="43" t="n">
        <v>91955</v>
      </c>
      <c r="C675" s="50" t="str">
        <f aca="false">VLOOKUP($B675,03_COMPOSIÇÕES!$A:$G,2,0)</f>
        <v>INTERRUPTOR PARALELO (1 MÓDULO), 10A/250V, INCLUINDO SUPORTE E PLACA - FORNECIMENTO E INSTALAÇÃO. AF_03/2023</v>
      </c>
      <c r="D675" s="45" t="s">
        <v>59</v>
      </c>
      <c r="E675" s="44" t="str">
        <f aca="false">IF($B675="","",IFERROR(VLOOKUP($B675,#REF!,3,0),IFERROR(VLOOKUP($B675,03_COMPOSIÇÕES!$A:$G,4,0),"")))</f>
        <v>UN</v>
      </c>
      <c r="F675" s="46" t="n">
        <v>17</v>
      </c>
      <c r="G675" s="51" t="n">
        <f aca="false">VLOOKUP($B675,03_COMPOSIÇÕES!$A:$G,6,0)</f>
        <v>18.7306</v>
      </c>
      <c r="H675" s="52" t="n">
        <f aca="false">VLOOKUP($B675,03_COMPOSIÇÕES!$A:$G,7,0)</f>
        <v>15.454615752</v>
      </c>
      <c r="I675" s="47" t="n">
        <f aca="false">$F675*$G675</f>
        <v>318.4202</v>
      </c>
      <c r="J675" s="47" t="n">
        <f aca="false">$F675*$H675</f>
        <v>262.728467784</v>
      </c>
      <c r="K675" s="47" t="n">
        <f aca="false">$I675*(1+BDI_MAT)</f>
        <v>384.07844524</v>
      </c>
      <c r="L675" s="47" t="n">
        <f aca="false">$J675*(1+BDI_MDO)</f>
        <v>334.952523577822</v>
      </c>
      <c r="M675" s="47" t="n">
        <f aca="false">SUM(K675:L675)</f>
        <v>719.030968817822</v>
      </c>
      <c r="N675" s="20" t="str">
        <f aca="false">A675</f>
        <v>12.3.1.1.3</v>
      </c>
    </row>
    <row r="676" customFormat="false" ht="30" hidden="false" customHeight="false" outlineLevel="4" collapsed="false">
      <c r="A676" s="53" t="s">
        <v>948</v>
      </c>
      <c r="B676" s="43" t="n">
        <v>91961</v>
      </c>
      <c r="C676" s="50" t="str">
        <f aca="false">VLOOKUP($B676,03_COMPOSIÇÕES!$A:$G,2,0)</f>
        <v>INTERRUPTOR PARALELO (2 MÓDULOS), 10A/250V, INCLUINDO SUPORTE E PLACA - FORNECIMENTO E INSTALAÇÃO. AF_03/2023</v>
      </c>
      <c r="D676" s="45" t="s">
        <v>59</v>
      </c>
      <c r="E676" s="44" t="str">
        <f aca="false">IF($B676="","",IFERROR(VLOOKUP($B676,#REF!,3,0),IFERROR(VLOOKUP($B676,03_COMPOSIÇÕES!$A:$G,4,0),"")))</f>
        <v>UN</v>
      </c>
      <c r="F676" s="46" t="n">
        <v>20</v>
      </c>
      <c r="G676" s="51" t="n">
        <f aca="false">VLOOKUP($B676,03_COMPOSIÇÕES!$A:$G,6,0)</f>
        <v>25.968</v>
      </c>
      <c r="H676" s="52" t="n">
        <f aca="false">VLOOKUP($B676,03_COMPOSIÇÕES!$A:$G,7,0)</f>
        <v>9.62840424</v>
      </c>
      <c r="I676" s="47" t="n">
        <f aca="false">$F676*$G676</f>
        <v>519.36</v>
      </c>
      <c r="J676" s="47" t="n">
        <f aca="false">$F676*$H676</f>
        <v>192.5680848</v>
      </c>
      <c r="K676" s="47" t="n">
        <f aca="false">$I676*(1+BDI_MAT)</f>
        <v>626.452032</v>
      </c>
      <c r="L676" s="47" t="n">
        <f aca="false">$J676*(1+BDI_MDO)</f>
        <v>245.50505131152</v>
      </c>
      <c r="M676" s="47" t="n">
        <f aca="false">SUM(K676:L676)</f>
        <v>871.95708331152</v>
      </c>
      <c r="N676" s="20" t="str">
        <f aca="false">A676</f>
        <v>12.3.1.1.4</v>
      </c>
    </row>
    <row r="677" customFormat="false" ht="45" hidden="false" customHeight="false" outlineLevel="4" collapsed="false">
      <c r="A677" s="53" t="s">
        <v>949</v>
      </c>
      <c r="B677" s="43" t="n">
        <v>91957</v>
      </c>
      <c r="C677" s="50" t="str">
        <f aca="false">VLOOKUP($B677,03_COMPOSIÇÕES!$A:$G,2,0)</f>
        <v>INTERRUPTOR SIMPLES (1 MÓDULO) COM INTERRUPTOR PARALELO (1 MÓDULO), 10A/250V, INCLUINDO SUPORTE E PLACA - FORNECIMENTO E INSTALAÇÃO. AF_03/2023</v>
      </c>
      <c r="D677" s="45" t="s">
        <v>59</v>
      </c>
      <c r="E677" s="44" t="str">
        <f aca="false">IF($B677="","",IFERROR(VLOOKUP($B677,#REF!,3,0),IFERROR(VLOOKUP($B677,03_COMPOSIÇÕES!$A:$G,4,0),"")))</f>
        <v>UN</v>
      </c>
      <c r="F677" s="46" t="n">
        <v>1</v>
      </c>
      <c r="G677" s="51" t="n">
        <f aca="false">VLOOKUP($B677,03_COMPOSIÇÕES!$A:$G,6,0)</f>
        <v>21.27912</v>
      </c>
      <c r="H677" s="52" t="n">
        <f aca="false">VLOOKUP($B677,03_COMPOSIÇÕES!$A:$G,7,0)</f>
        <v>21.3238967904</v>
      </c>
      <c r="I677" s="47" t="n">
        <f aca="false">$F677*$G677</f>
        <v>21.27912</v>
      </c>
      <c r="J677" s="47" t="n">
        <f aca="false">$F677*$H677</f>
        <v>21.3238967904</v>
      </c>
      <c r="K677" s="47" t="n">
        <f aca="false">$I677*(1+BDI_MAT)</f>
        <v>25.666874544</v>
      </c>
      <c r="L677" s="47" t="n">
        <f aca="false">$J677*(1+BDI_MDO)</f>
        <v>27.185836018081</v>
      </c>
      <c r="M677" s="47" t="n">
        <f aca="false">SUM(K677:L677)</f>
        <v>52.852710562081</v>
      </c>
      <c r="N677" s="20" t="str">
        <f aca="false">A677</f>
        <v>12.3.1.1.5</v>
      </c>
    </row>
    <row r="678" customFormat="false" ht="30" hidden="false" customHeight="false" outlineLevel="4" collapsed="false">
      <c r="A678" s="53" t="s">
        <v>950</v>
      </c>
      <c r="B678" s="43" t="n">
        <v>91953</v>
      </c>
      <c r="C678" s="50" t="str">
        <f aca="false">VLOOKUP($B678,03_COMPOSIÇÕES!$A:$G,2,0)</f>
        <v>INTERRUPTOR SIMPLES (1 MÓDULO), 10A/250V, INCLUINDO SUPORTE E PLACA - FORNECIMENTO E INSTALAÇÃO. AF_03/2023</v>
      </c>
      <c r="D678" s="45" t="s">
        <v>59</v>
      </c>
      <c r="E678" s="44" t="str">
        <f aca="false">IF($B678="","",IFERROR(VLOOKUP($B678,#REF!,3,0),IFERROR(VLOOKUP($B678,03_COMPOSIÇÕES!$A:$G,4,0),"")))</f>
        <v>UN</v>
      </c>
      <c r="F678" s="46" t="n">
        <v>50</v>
      </c>
      <c r="G678" s="51" t="n">
        <f aca="false">VLOOKUP($B678,03_COMPOSIÇÕES!$A:$G,6,0)</f>
        <v>9.4088</v>
      </c>
      <c r="H678" s="52" t="n">
        <f aca="false">VLOOKUP($B678,03_COMPOSIÇÕES!$A:$G,7,0)</f>
        <v>12.502610496</v>
      </c>
      <c r="I678" s="47" t="n">
        <f aca="false">$F678*$G678</f>
        <v>470.44</v>
      </c>
      <c r="J678" s="47" t="n">
        <f aca="false">$F678*$H678</f>
        <v>625.1305248</v>
      </c>
      <c r="K678" s="47" t="n">
        <f aca="false">$I678*(1+BDI_MAT)</f>
        <v>567.444728</v>
      </c>
      <c r="L678" s="47" t="n">
        <f aca="false">$J678*(1+BDI_MDO)</f>
        <v>796.97890606752</v>
      </c>
      <c r="M678" s="47" t="n">
        <f aca="false">SUM(K678:L678)</f>
        <v>1364.42363406752</v>
      </c>
      <c r="N678" s="20" t="str">
        <f aca="false">A678</f>
        <v>12.3.1.1.6</v>
      </c>
    </row>
    <row r="679" customFormat="false" ht="45" hidden="false" customHeight="false" outlineLevel="4" collapsed="false">
      <c r="A679" s="53" t="s">
        <v>951</v>
      </c>
      <c r="B679" s="43" t="n">
        <v>92029</v>
      </c>
      <c r="C679" s="50" t="str">
        <f aca="false">VLOOKUP($B679,03_COMPOSIÇÕES!$A:$G,2,0)</f>
        <v>INTERRUPTOR PARALELO (1 MÓDULO) COM 1 TOMADA DE EMBUTIR 2P+T 10 A, INCLUINDO SUPORTE E PLACA - FORNECIMENTO E INSTALAÇÃO. AF_03/2023</v>
      </c>
      <c r="D679" s="45" t="s">
        <v>59</v>
      </c>
      <c r="E679" s="44" t="str">
        <f aca="false">IF($B679="","",IFERROR(VLOOKUP($B679,#REF!,3,0),IFERROR(VLOOKUP($B679,03_COMPOSIÇÕES!$A:$G,4,0),"")))</f>
        <v>UN</v>
      </c>
      <c r="F679" s="46" t="n">
        <v>3</v>
      </c>
      <c r="G679" s="51" t="n">
        <f aca="false">VLOOKUP($B679,03_COMPOSIÇÕES!$A:$G,6,0)</f>
        <v>21.566</v>
      </c>
      <c r="H679" s="52" t="n">
        <f aca="false">VLOOKUP($B679,03_COMPOSIÇÕES!$A:$G,7,0)</f>
        <v>24.31063152</v>
      </c>
      <c r="I679" s="47" t="n">
        <f aca="false">$F679*$G679</f>
        <v>64.698</v>
      </c>
      <c r="J679" s="47" t="n">
        <f aca="false">$F679*$H679</f>
        <v>72.93189456</v>
      </c>
      <c r="K679" s="47" t="n">
        <f aca="false">$I679*(1+BDI_MAT)</f>
        <v>78.0387276</v>
      </c>
      <c r="L679" s="47" t="n">
        <f aca="false">$J679*(1+BDI_MDO)</f>
        <v>92.980872374544</v>
      </c>
      <c r="M679" s="47" t="n">
        <f aca="false">SUM(K679:L679)</f>
        <v>171.019599974544</v>
      </c>
      <c r="N679" s="20" t="str">
        <f aca="false">A679</f>
        <v>12.3.1.1.7</v>
      </c>
    </row>
    <row r="680" customFormat="false" ht="45" hidden="false" customHeight="false" outlineLevel="4" collapsed="false">
      <c r="A680" s="53" t="s">
        <v>952</v>
      </c>
      <c r="B680" s="43" t="n">
        <v>92023</v>
      </c>
      <c r="C680" s="50" t="str">
        <f aca="false">VLOOKUP($B680,03_COMPOSIÇÕES!$A:$G,2,0)</f>
        <v>INTERRUPTOR SIMPLES (1 MÓDULO) COM 1 TOMADA DE EMBUTIR 2P+T 10 A, INCLUINDO SUPORTE E PLACA - FORNECIMENTO E INSTALAÇÃO. AF_03/2023</v>
      </c>
      <c r="D680" s="45" t="s">
        <v>59</v>
      </c>
      <c r="E680" s="44" t="str">
        <f aca="false">IF($B680="","",IFERROR(VLOOKUP($B680,#REF!,3,0),IFERROR(VLOOKUP($B680,03_COMPOSIÇÕES!$A:$G,4,0),"")))</f>
        <v>UN</v>
      </c>
      <c r="F680" s="46" t="n">
        <v>3</v>
      </c>
      <c r="G680" s="51" t="n">
        <f aca="false">VLOOKUP($B680,03_COMPOSIÇÕES!$A:$G,6,0)</f>
        <v>23.81912</v>
      </c>
      <c r="H680" s="52" t="n">
        <f aca="false">VLOOKUP($B680,03_COMPOSIÇÕES!$A:$G,7,0)</f>
        <v>21.3238967904</v>
      </c>
      <c r="I680" s="47" t="n">
        <f aca="false">$F680*$G680</f>
        <v>71.45736</v>
      </c>
      <c r="J680" s="47" t="n">
        <f aca="false">$F680*$H680</f>
        <v>63.9716903712</v>
      </c>
      <c r="K680" s="47" t="n">
        <f aca="false">$I680*(1+BDI_MAT)</f>
        <v>86.191867632</v>
      </c>
      <c r="L680" s="47" t="n">
        <f aca="false">$J680*(1+BDI_MDO)</f>
        <v>81.5575080542429</v>
      </c>
      <c r="M680" s="47" t="n">
        <f aca="false">SUM(K680:L680)</f>
        <v>167.749375686243</v>
      </c>
      <c r="N680" s="20" t="str">
        <f aca="false">A680</f>
        <v>12.3.1.1.8</v>
      </c>
    </row>
    <row r="681" customFormat="false" ht="30" hidden="false" customHeight="false" outlineLevel="4" collapsed="false">
      <c r="A681" s="53" t="s">
        <v>953</v>
      </c>
      <c r="B681" s="43" t="n">
        <v>92004</v>
      </c>
      <c r="C681" s="50" t="str">
        <f aca="false">VLOOKUP($B681,03_COMPOSIÇÕES!$A:$G,2,0)</f>
        <v>TOMADA MÉDIA DE EMBUTIR (2 MÓDULOS), 2P+T 10 A, INCLUINDO SUPORTE E PLACA - FORNECIMENTO E INSTALAÇÃO. AF_03/2023</v>
      </c>
      <c r="D681" s="45" t="s">
        <v>59</v>
      </c>
      <c r="E681" s="44" t="str">
        <f aca="false">IF($B681="","",IFERROR(VLOOKUP($B681,#REF!,3,0),IFERROR(VLOOKUP($B681,03_COMPOSIÇÕES!$A:$G,4,0),"")))</f>
        <v>UN</v>
      </c>
      <c r="F681" s="46" t="n">
        <v>76</v>
      </c>
      <c r="G681" s="51" t="n">
        <f aca="false">VLOOKUP($B681,03_COMPOSIÇÕES!$A:$G,6,0)</f>
        <v>27.77</v>
      </c>
      <c r="H681" s="52" t="n">
        <f aca="false">VLOOKUP($B681,03_COMPOSIÇÕES!$A:$G,7,0)</f>
        <v>24.31063152</v>
      </c>
      <c r="I681" s="47" t="n">
        <f aca="false">$F681*$G681</f>
        <v>2110.52</v>
      </c>
      <c r="J681" s="47" t="n">
        <f aca="false">$F681*$H681</f>
        <v>1847.60799552</v>
      </c>
      <c r="K681" s="47" t="n">
        <f aca="false">$I681*(1+BDI_MAT)</f>
        <v>2545.709224</v>
      </c>
      <c r="L681" s="47" t="n">
        <f aca="false">$J681*(1+BDI_MDO)</f>
        <v>2355.51543348845</v>
      </c>
      <c r="M681" s="47" t="n">
        <f aca="false">SUM(K681:L681)</f>
        <v>4901.22465748845</v>
      </c>
      <c r="N681" s="20" t="str">
        <f aca="false">A681</f>
        <v>12.3.1.1.9</v>
      </c>
    </row>
    <row r="682" customFormat="false" ht="30" hidden="false" customHeight="false" outlineLevel="4" collapsed="false">
      <c r="A682" s="53" t="s">
        <v>954</v>
      </c>
      <c r="B682" s="43" t="n">
        <v>92013</v>
      </c>
      <c r="C682" s="50" t="str">
        <f aca="false">VLOOKUP($B682,03_COMPOSIÇÕES!$A:$G,2,0)</f>
        <v>TOMADA MÉDIA DE EMBUTIR (3 MÓDULOS), 2P+T 20 A, INCLUINDO SUPORTE E PLACA - FORNECIMENTO E INSTALAÇÃO. AF_03/2023</v>
      </c>
      <c r="D682" s="45" t="s">
        <v>59</v>
      </c>
      <c r="E682" s="44" t="str">
        <f aca="false">IF($B682="","",IFERROR(VLOOKUP($B682,#REF!,3,0),IFERROR(VLOOKUP($B682,03_COMPOSIÇÕES!$A:$G,4,0),"")))</f>
        <v>UN</v>
      </c>
      <c r="F682" s="46" t="n">
        <v>1</v>
      </c>
      <c r="G682" s="51" t="n">
        <f aca="false">VLOOKUP($B682,03_COMPOSIÇÕES!$A:$G,6,0)</f>
        <v>44.2106</v>
      </c>
      <c r="H682" s="52" t="n">
        <f aca="false">VLOOKUP($B682,03_COMPOSIÇÕES!$A:$G,7,0)</f>
        <v>33.1319178144</v>
      </c>
      <c r="I682" s="47" t="n">
        <f aca="false">$F682*$G682</f>
        <v>44.2106</v>
      </c>
      <c r="J682" s="47" t="n">
        <f aca="false">$F682*$H682</f>
        <v>33.1319178144</v>
      </c>
      <c r="K682" s="47" t="n">
        <f aca="false">$I682*(1+BDI_MAT)</f>
        <v>53.32682572</v>
      </c>
      <c r="L682" s="47" t="n">
        <f aca="false">$J682*(1+BDI_MDO)</f>
        <v>42.2398820215786</v>
      </c>
      <c r="M682" s="47" t="n">
        <f aca="false">SUM(K682:L682)</f>
        <v>95.5667077415786</v>
      </c>
      <c r="N682" s="20" t="str">
        <f aca="false">A682</f>
        <v>12.3.1.1.10</v>
      </c>
    </row>
    <row r="683" customFormat="false" ht="30" hidden="false" customHeight="false" outlineLevel="4" collapsed="false">
      <c r="A683" s="53" t="s">
        <v>955</v>
      </c>
      <c r="B683" s="43" t="n">
        <v>91996</v>
      </c>
      <c r="C683" s="50" t="str">
        <f aca="false">VLOOKUP($B683,03_COMPOSIÇÕES!$A:$G,2,0)</f>
        <v>TOMADA MÉDIA DE EMBUTIR (1 MÓDULO), 2P+T 10 A, INCLUINDO SUPORTE E PLACA - FORNECIMENTO E INSTALAÇÃO. AF_03/2023</v>
      </c>
      <c r="D683" s="45" t="s">
        <v>59</v>
      </c>
      <c r="E683" s="44" t="str">
        <f aca="false">IF($B683="","",IFERROR(VLOOKUP($B683,#REF!,3,0),IFERROR(VLOOKUP($B683,03_COMPOSIÇÕES!$A:$G,4,0),"")))</f>
        <v>UN</v>
      </c>
      <c r="F683" s="46" t="n">
        <v>133</v>
      </c>
      <c r="G683" s="51" t="n">
        <f aca="false">VLOOKUP($B683,03_COMPOSIÇÕES!$A:$G,6,0)</f>
        <v>17.1955</v>
      </c>
      <c r="H683" s="52" t="n">
        <f aca="false">VLOOKUP($B683,03_COMPOSIÇÕES!$A:$G,7,0)</f>
        <v>15.454615752</v>
      </c>
      <c r="I683" s="47" t="n">
        <f aca="false">$F683*$G683</f>
        <v>2287.0015</v>
      </c>
      <c r="J683" s="47" t="n">
        <f aca="false">$F683*$H683</f>
        <v>2055.463895016</v>
      </c>
      <c r="K683" s="47" t="n">
        <f aca="false">$I683*(1+BDI_MAT)</f>
        <v>2758.5812093</v>
      </c>
      <c r="L683" s="47" t="n">
        <f aca="false">$J683*(1+BDI_MDO)</f>
        <v>2620.5109197559</v>
      </c>
      <c r="M683" s="47" t="n">
        <f aca="false">SUM(K683:L683)</f>
        <v>5379.0921290559</v>
      </c>
      <c r="N683" s="20" t="str">
        <f aca="false">A683</f>
        <v>12.3.1.1.11</v>
      </c>
    </row>
    <row r="684" customFormat="false" ht="30" hidden="false" customHeight="false" outlineLevel="4" collapsed="false">
      <c r="A684" s="53" t="s">
        <v>956</v>
      </c>
      <c r="B684" s="43" t="n">
        <v>91997</v>
      </c>
      <c r="C684" s="50" t="str">
        <f aca="false">VLOOKUP($B684,03_COMPOSIÇÕES!$A:$G,2,0)</f>
        <v>TOMADA MÉDIA DE EMBUTIR (1 MÓDULO), 2P+T 20 A, INCLUINDO SUPORTE E PLACA - FORNECIMENTO E INSTALAÇÃO. AF_03/2023</v>
      </c>
      <c r="D684" s="45" t="s">
        <v>59</v>
      </c>
      <c r="E684" s="44" t="str">
        <f aca="false">IF($B684="","",IFERROR(VLOOKUP($B684,#REF!,3,0),IFERROR(VLOOKUP($B684,03_COMPOSIÇÕES!$A:$G,4,0),"")))</f>
        <v>UN</v>
      </c>
      <c r="F684" s="46" t="n">
        <v>6</v>
      </c>
      <c r="G684" s="51" t="n">
        <f aca="false">VLOOKUP($B684,03_COMPOSIÇÕES!$A:$G,6,0)</f>
        <v>19.1555</v>
      </c>
      <c r="H684" s="52" t="n">
        <f aca="false">VLOOKUP($B684,03_COMPOSIÇÕES!$A:$G,7,0)</f>
        <v>15.454615752</v>
      </c>
      <c r="I684" s="47" t="n">
        <f aca="false">$F684*$G684</f>
        <v>114.933</v>
      </c>
      <c r="J684" s="47" t="n">
        <f aca="false">$F684*$H684</f>
        <v>92.727694512</v>
      </c>
      <c r="K684" s="47" t="n">
        <f aca="false">$I684*(1+BDI_MAT)</f>
        <v>138.6321846</v>
      </c>
      <c r="L684" s="47" t="n">
        <f aca="false">$J684*(1+BDI_MDO)</f>
        <v>118.218537733349</v>
      </c>
      <c r="M684" s="47" t="n">
        <f aca="false">SUM(K684:L684)</f>
        <v>256.850722333349</v>
      </c>
      <c r="N684" s="20" t="str">
        <f aca="false">A684</f>
        <v>12.3.1.1.12</v>
      </c>
    </row>
    <row r="685" customFormat="false" ht="30" hidden="false" customHeight="false" outlineLevel="4" collapsed="false">
      <c r="A685" s="53" t="s">
        <v>957</v>
      </c>
      <c r="B685" s="43" t="s">
        <v>958</v>
      </c>
      <c r="C685" s="50" t="str">
        <f aca="false">VLOOKUP($B685,03_COMPOSIÇÕES!$A:$G,2,0)</f>
        <v>TOMADA USB MÉDIA DE EMBUTIR (1 MÓDULO), 2A, INCLUINDO SUPORTE E PLACA - FORNECIMENTO E INSTALAÇÃO.</v>
      </c>
      <c r="D685" s="45" t="s">
        <v>59</v>
      </c>
      <c r="E685" s="44" t="str">
        <f aca="false">IF($B685="","",IFERROR(VLOOKUP($B685,#REF!,3,0),IFERROR(VLOOKUP($B685,03_COMPOSIÇÕES!$A:$G,4,0),"")))</f>
        <v>UN</v>
      </c>
      <c r="F685" s="46" t="n">
        <v>5</v>
      </c>
      <c r="G685" s="51" t="n">
        <f aca="false">VLOOKUP($B685,03_COMPOSIÇÕES!$A:$G,6,0)</f>
        <v>65.8188333333333</v>
      </c>
      <c r="H685" s="52" t="n">
        <f aca="false">VLOOKUP($B685,03_COMPOSIÇÕES!$A:$G,7,0)</f>
        <v>15.454615752</v>
      </c>
      <c r="I685" s="47" t="n">
        <f aca="false">$F685*$G685</f>
        <v>329.094166666667</v>
      </c>
      <c r="J685" s="47" t="n">
        <f aca="false">$F685*$H685</f>
        <v>77.27307876</v>
      </c>
      <c r="K685" s="47" t="n">
        <f aca="false">$I685*(1+BDI_MAT)</f>
        <v>396.953383833333</v>
      </c>
      <c r="L685" s="47" t="n">
        <f aca="false">$J685*(1+BDI_MDO)</f>
        <v>98.515448111124</v>
      </c>
      <c r="M685" s="47" t="n">
        <f aca="false">SUM(K685:L685)</f>
        <v>495.468831944457</v>
      </c>
      <c r="N685" s="20" t="str">
        <f aca="false">A685</f>
        <v>12.3.1.1.13</v>
      </c>
    </row>
    <row r="686" customFormat="false" ht="15" hidden="false" customHeight="false" outlineLevel="2" collapsed="false">
      <c r="A686" s="42" t="s">
        <v>959</v>
      </c>
      <c r="B686" s="43"/>
      <c r="C686" s="50" t="s">
        <v>960</v>
      </c>
      <c r="D686" s="45"/>
      <c r="E686" s="44"/>
      <c r="F686" s="46"/>
      <c r="G686" s="51"/>
      <c r="H686" s="52"/>
      <c r="I686" s="47" t="n">
        <f aca="false">SUBTOTAL(9,I687)</f>
        <v>1183.62885333333</v>
      </c>
      <c r="J686" s="47" t="n">
        <f aca="false">SUBTOTAL(9,J687)</f>
        <v>136.9730438784</v>
      </c>
      <c r="K686" s="47" t="n">
        <f aca="false">SUBTOTAL(9,K687)</f>
        <v>1427.69312289067</v>
      </c>
      <c r="L686" s="47" t="n">
        <f aca="false">SUBTOTAL(9,L687)</f>
        <v>174.626933640572</v>
      </c>
      <c r="M686" s="47" t="n">
        <f aca="false">SUBTOTAL(9,M687)</f>
        <v>1602.32005653124</v>
      </c>
      <c r="N686" s="20" t="str">
        <f aca="false">A686</f>
        <v>12.3.2</v>
      </c>
    </row>
    <row r="687" customFormat="false" ht="30" hidden="false" customHeight="false" outlineLevel="3" collapsed="false">
      <c r="A687" s="53" t="s">
        <v>961</v>
      </c>
      <c r="B687" s="43" t="s">
        <v>962</v>
      </c>
      <c r="C687" s="50" t="str">
        <f aca="false">VLOOKUP($B687,03_COMPOSIÇÕES!$A:$G,2,0)</f>
        <v>INTERRUPTOR AUTOMÁTICO POR PRESENÇA 1200W RESISTIVO - FORNECIMENTO E INSTALAÇÃO.</v>
      </c>
      <c r="D687" s="45" t="s">
        <v>59</v>
      </c>
      <c r="E687" s="44" t="str">
        <f aca="false">IF($B687="","",IFERROR(VLOOKUP($B687,#REF!,3,0),IFERROR(VLOOKUP($B687,03_COMPOSIÇÕES!$A:$G,4,0),"")))</f>
        <v>UN</v>
      </c>
      <c r="F687" s="46" t="n">
        <v>17</v>
      </c>
      <c r="G687" s="51" t="n">
        <f aca="false">VLOOKUP($B687,03_COMPOSIÇÕES!$A:$G,6,0)</f>
        <v>69.6252266666667</v>
      </c>
      <c r="H687" s="52" t="n">
        <f aca="false">VLOOKUP($B687,03_COMPOSIÇÕES!$A:$G,7,0)</f>
        <v>8.0572378752</v>
      </c>
      <c r="I687" s="47" t="n">
        <f aca="false">$F687*$G687</f>
        <v>1183.62885333333</v>
      </c>
      <c r="J687" s="47" t="n">
        <f aca="false">$F687*$H687</f>
        <v>136.9730438784</v>
      </c>
      <c r="K687" s="47" t="n">
        <f aca="false">$I687*(1+BDI_MAT)</f>
        <v>1427.69312289067</v>
      </c>
      <c r="L687" s="47" t="n">
        <f aca="false">$J687*(1+BDI_MDO)</f>
        <v>174.626933640572</v>
      </c>
      <c r="M687" s="47" t="n">
        <f aca="false">SUM(K687:L687)</f>
        <v>1602.32005653124</v>
      </c>
      <c r="N687" s="20" t="str">
        <f aca="false">A687</f>
        <v>12.3.2.1</v>
      </c>
    </row>
    <row r="688" customFormat="false" ht="15" hidden="false" customHeight="false" outlineLevel="2" collapsed="false">
      <c r="A688" s="42" t="s">
        <v>963</v>
      </c>
      <c r="B688" s="43"/>
      <c r="C688" s="50" t="s">
        <v>964</v>
      </c>
      <c r="D688" s="45"/>
      <c r="E688" s="44"/>
      <c r="F688" s="46"/>
      <c r="G688" s="51"/>
      <c r="H688" s="52"/>
      <c r="I688" s="47" t="n">
        <f aca="false">SUBTOTAL(9,I689:I698)</f>
        <v>8567.081508</v>
      </c>
      <c r="J688" s="47" t="n">
        <f aca="false">SUBTOTAL(9,J689:J698)</f>
        <v>742.47010723176</v>
      </c>
      <c r="K688" s="47" t="n">
        <f aca="false">SUBTOTAL(9,K689:K698)</f>
        <v>10333.6137149496</v>
      </c>
      <c r="L688" s="47" t="n">
        <f aca="false">SUBTOTAL(9,L689:L698)</f>
        <v>946.575139709771</v>
      </c>
      <c r="M688" s="47" t="n">
        <f aca="false">SUBTOTAL(9,M689:M698)</f>
        <v>11280.1888546594</v>
      </c>
      <c r="N688" s="20" t="str">
        <f aca="false">A688</f>
        <v>12.3.3</v>
      </c>
    </row>
    <row r="689" customFormat="false" ht="30" hidden="false" customHeight="false" outlineLevel="2" collapsed="false">
      <c r="A689" s="53" t="s">
        <v>965</v>
      </c>
      <c r="B689" s="43" t="n">
        <v>93653</v>
      </c>
      <c r="C689" s="50" t="str">
        <f aca="false">VLOOKUP($B689,03_COMPOSIÇÕES!$A:$G,2,0)</f>
        <v>DISJUNTOR MONOPOLAR TIPO DIN, CORRENTE NOMINAL DE 10A - FORNECIMENTO E INSTALAÇÃO. AF_10/2020</v>
      </c>
      <c r="D689" s="45" t="s">
        <v>59</v>
      </c>
      <c r="E689" s="44" t="str">
        <f aca="false">IF($B689="","",IFERROR(VLOOKUP($B689,#REF!,3,0),IFERROR(VLOOKUP($B689,03_COMPOSIÇÕES!$A:$G,4,0),"")))</f>
        <v>UN</v>
      </c>
      <c r="F689" s="46" t="n">
        <v>106</v>
      </c>
      <c r="G689" s="51" t="n">
        <f aca="false">VLOOKUP($B689,03_COMPOSIÇÕES!$A:$G,6,0)</f>
        <v>10.020144</v>
      </c>
      <c r="H689" s="52" t="n">
        <f aca="false">VLOOKUP($B689,03_COMPOSIÇÕES!$A:$G,7,0)</f>
        <v>1.22247747072</v>
      </c>
      <c r="I689" s="47" t="n">
        <f aca="false">$F689*$G689</f>
        <v>1062.135264</v>
      </c>
      <c r="J689" s="47" t="n">
        <f aca="false">$F689*$H689</f>
        <v>129.58261189632</v>
      </c>
      <c r="K689" s="47" t="n">
        <f aca="false">$I689*(1+BDI_MAT)</f>
        <v>1281.1475554368</v>
      </c>
      <c r="L689" s="47" t="n">
        <f aca="false">$J689*(1+BDI_MDO)</f>
        <v>165.204871906618</v>
      </c>
      <c r="M689" s="47" t="n">
        <f aca="false">SUM(K689:L689)</f>
        <v>1446.35242734342</v>
      </c>
      <c r="N689" s="20" t="str">
        <f aca="false">A689</f>
        <v>12.3.3.1</v>
      </c>
    </row>
    <row r="690" customFormat="false" ht="30" hidden="false" customHeight="false" outlineLevel="2" collapsed="false">
      <c r="A690" s="53" t="s">
        <v>966</v>
      </c>
      <c r="B690" s="43" t="n">
        <v>93654</v>
      </c>
      <c r="C690" s="50" t="str">
        <f aca="false">VLOOKUP($B690,03_COMPOSIÇÕES!$A:$G,2,0)</f>
        <v>DISJUNTOR MONOPOLAR TIPO DIN, CORRENTE NOMINAL DE 16A - FORNECIMENTO E INSTALAÇÃO. AF_10/2020</v>
      </c>
      <c r="D690" s="45" t="s">
        <v>59</v>
      </c>
      <c r="E690" s="44" t="str">
        <f aca="false">IF($B690="","",IFERROR(VLOOKUP($B690,#REF!,3,0),IFERROR(VLOOKUP($B690,03_COMPOSIÇÕES!$A:$G,4,0),"")))</f>
        <v>UN</v>
      </c>
      <c r="F690" s="46" t="n">
        <v>3</v>
      </c>
      <c r="G690" s="51" t="n">
        <f aca="false">VLOOKUP($B690,03_COMPOSIÇÕES!$A:$G,6,0)</f>
        <v>10.307808</v>
      </c>
      <c r="H690" s="52" t="n">
        <f aca="false">VLOOKUP($B690,03_COMPOSIÇÕES!$A:$G,7,0)</f>
        <v>0.65473148832</v>
      </c>
      <c r="I690" s="47" t="n">
        <f aca="false">$F690*$G690</f>
        <v>30.923424</v>
      </c>
      <c r="J690" s="47" t="n">
        <f aca="false">$F690*$H690</f>
        <v>1.96419446496</v>
      </c>
      <c r="K690" s="47" t="n">
        <f aca="false">$I690*(1+BDI_MAT)</f>
        <v>37.2998340288</v>
      </c>
      <c r="L690" s="47" t="n">
        <f aca="false">$J690*(1+BDI_MDO)</f>
        <v>2.5041515233775</v>
      </c>
      <c r="M690" s="47" t="n">
        <f aca="false">SUM(K690:L690)</f>
        <v>39.8039855521775</v>
      </c>
      <c r="N690" s="20" t="str">
        <f aca="false">A690</f>
        <v>12.3.3.2</v>
      </c>
    </row>
    <row r="691" customFormat="false" ht="30" hidden="false" customHeight="false" outlineLevel="2" collapsed="false">
      <c r="A691" s="53" t="s">
        <v>967</v>
      </c>
      <c r="B691" s="43" t="n">
        <v>93655</v>
      </c>
      <c r="C691" s="50" t="str">
        <f aca="false">VLOOKUP($B691,03_COMPOSIÇÕES!$A:$G,2,0)</f>
        <v>DISJUNTOR MONOPOLAR TIPO DIN, CORRENTE NOMINAL DE 20A - FORNECIMENTO E INSTALAÇÃO. AF_10/2020</v>
      </c>
      <c r="D691" s="45" t="s">
        <v>59</v>
      </c>
      <c r="E691" s="44" t="str">
        <f aca="false">IF($B691="","",IFERROR(VLOOKUP($B691,#REF!,3,0),IFERROR(VLOOKUP($B691,03_COMPOSIÇÕES!$A:$G,4,0),"")))</f>
        <v>UN</v>
      </c>
      <c r="F691" s="46" t="n">
        <v>13</v>
      </c>
      <c r="G691" s="51" t="n">
        <f aca="false">VLOOKUP($B691,03_COMPOSIÇÕES!$A:$G,6,0)</f>
        <v>10.899804</v>
      </c>
      <c r="H691" s="52" t="n">
        <f aca="false">VLOOKUP($B691,03_COMPOSIÇÕES!$A:$G,7,0)</f>
        <v>2.30256409968</v>
      </c>
      <c r="I691" s="47" t="n">
        <f aca="false">$F691*$G691</f>
        <v>141.697452</v>
      </c>
      <c r="J691" s="47" t="n">
        <f aca="false">$F691*$H691</f>
        <v>29.93333329584</v>
      </c>
      <c r="K691" s="47" t="n">
        <f aca="false">$I691*(1+BDI_MAT)</f>
        <v>170.9154666024</v>
      </c>
      <c r="L691" s="47" t="n">
        <f aca="false">$J691*(1+BDI_MDO)</f>
        <v>38.1620066188664</v>
      </c>
      <c r="M691" s="47" t="n">
        <f aca="false">SUM(K691:L691)</f>
        <v>209.077473221266</v>
      </c>
      <c r="N691" s="20" t="str">
        <f aca="false">A691</f>
        <v>12.3.3.3</v>
      </c>
    </row>
    <row r="692" customFormat="false" ht="30" hidden="false" customHeight="false" outlineLevel="2" collapsed="false">
      <c r="A692" s="53" t="s">
        <v>968</v>
      </c>
      <c r="B692" s="43" t="n">
        <v>93667</v>
      </c>
      <c r="C692" s="50" t="str">
        <f aca="false">VLOOKUP($B692,03_COMPOSIÇÕES!$A:$G,2,0)</f>
        <v>DISJUNTOR TRIPOLAR TIPO DIN, CORRENTE NOMINAL DE 10A - FORNECIMENTO E INSTALAÇÃO. AF_10/2020</v>
      </c>
      <c r="D692" s="45" t="s">
        <v>59</v>
      </c>
      <c r="E692" s="44" t="str">
        <f aca="false">IF($B692="","",IFERROR(VLOOKUP($B692,#REF!,3,0),IFERROR(VLOOKUP($B692,03_COMPOSIÇÕES!$A:$G,4,0),"")))</f>
        <v>UN</v>
      </c>
      <c r="F692" s="46" t="n">
        <v>2</v>
      </c>
      <c r="G692" s="51" t="n">
        <f aca="false">VLOOKUP($B692,03_COMPOSIÇÕES!$A:$G,6,0)</f>
        <v>64.58645</v>
      </c>
      <c r="H692" s="52" t="n">
        <f aca="false">VLOOKUP($B692,03_COMPOSIÇÕES!$A:$G,7,0)</f>
        <v>3.6639594648</v>
      </c>
      <c r="I692" s="47" t="n">
        <f aca="false">$F692*$G692</f>
        <v>129.1729</v>
      </c>
      <c r="J692" s="47" t="n">
        <f aca="false">$F692*$H692</f>
        <v>7.3279189296</v>
      </c>
      <c r="K692" s="47" t="n">
        <f aca="false">$I692*(1+BDI_MAT)</f>
        <v>155.80835198</v>
      </c>
      <c r="L692" s="47" t="n">
        <f aca="false">$J692*(1+BDI_MDO)</f>
        <v>9.34236384334704</v>
      </c>
      <c r="M692" s="47" t="n">
        <f aca="false">SUM(K692:L692)</f>
        <v>165.150715823347</v>
      </c>
      <c r="N692" s="20" t="str">
        <f aca="false">A692</f>
        <v>12.3.3.4</v>
      </c>
    </row>
    <row r="693" customFormat="false" ht="30" hidden="false" customHeight="false" outlineLevel="2" collapsed="false">
      <c r="A693" s="53" t="s">
        <v>969</v>
      </c>
      <c r="B693" s="43" t="n">
        <v>93673</v>
      </c>
      <c r="C693" s="50" t="str">
        <f aca="false">VLOOKUP($B693,03_COMPOSIÇÕES!$A:$G,2,0)</f>
        <v>DISJUNTOR TRIPOLAR TIPO DIN, CORRENTE NOMINAL DE 50A - FORNECIMENTO E INSTALAÇÃO. AF_10/2020</v>
      </c>
      <c r="D693" s="45" t="s">
        <v>59</v>
      </c>
      <c r="E693" s="44" t="str">
        <f aca="false">IF($B693="","",IFERROR(VLOOKUP($B693,#REF!,3,0),IFERROR(VLOOKUP($B693,03_COMPOSIÇÕES!$A:$G,4,0),"")))</f>
        <v>UN</v>
      </c>
      <c r="F693" s="46" t="n">
        <v>12</v>
      </c>
      <c r="G693" s="51" t="n">
        <f aca="false">VLOOKUP($B693,03_COMPOSIÇÕES!$A:$G,6,0)</f>
        <v>68.530916</v>
      </c>
      <c r="H693" s="52" t="n">
        <f aca="false">VLOOKUP($B693,03_COMPOSIÇÕES!$A:$G,7,0)</f>
        <v>19.71592216272</v>
      </c>
      <c r="I693" s="47" t="n">
        <f aca="false">$F693*$G693</f>
        <v>822.370992</v>
      </c>
      <c r="J693" s="47" t="n">
        <f aca="false">$F693*$H693</f>
        <v>236.59106595264</v>
      </c>
      <c r="K693" s="47" t="n">
        <f aca="false">$I693*(1+BDI_MAT)</f>
        <v>991.9438905504</v>
      </c>
      <c r="L693" s="47" t="n">
        <f aca="false">$J693*(1+BDI_MDO)</f>
        <v>301.629949983021</v>
      </c>
      <c r="M693" s="47" t="n">
        <f aca="false">SUM(K693:L693)</f>
        <v>1293.57384053342</v>
      </c>
      <c r="N693" s="20" t="str">
        <f aca="false">A693</f>
        <v>12.3.3.5</v>
      </c>
    </row>
    <row r="694" customFormat="false" ht="30" hidden="false" customHeight="false" outlineLevel="2" collapsed="false">
      <c r="A694" s="53" t="s">
        <v>970</v>
      </c>
      <c r="B694" s="43" t="s">
        <v>971</v>
      </c>
      <c r="C694" s="50" t="str">
        <f aca="false">VLOOKUP($B694,03_COMPOSIÇÕES!$A:$G,2,0)</f>
        <v>DISJUNTOR TRIPOLAR TIPO DIN, CORRENTE NOMINAL DE 63A - FORNECIMENTO E INSTALAÇÃO.</v>
      </c>
      <c r="D694" s="45" t="s">
        <v>59</v>
      </c>
      <c r="E694" s="44" t="str">
        <f aca="false">IF($B694="","",IFERROR(VLOOKUP($B694,#REF!,3,0),IFERROR(VLOOKUP($B694,03_COMPOSIÇÕES!$A:$G,4,0),"")))</f>
        <v>UN</v>
      </c>
      <c r="F694" s="46" t="n">
        <v>5</v>
      </c>
      <c r="G694" s="51" t="n">
        <f aca="false">VLOOKUP($B694,03_COMPOSIÇÕES!$A:$G,6,0)</f>
        <v>86.460916</v>
      </c>
      <c r="H694" s="52" t="n">
        <f aca="false">VLOOKUP($B694,03_COMPOSIÇÕES!$A:$G,7,0)</f>
        <v>11.90728632408</v>
      </c>
      <c r="I694" s="47" t="n">
        <f aca="false">$F694*$G694</f>
        <v>432.30458</v>
      </c>
      <c r="J694" s="47" t="n">
        <f aca="false">$F694*$H694</f>
        <v>59.5364316204</v>
      </c>
      <c r="K694" s="47" t="n">
        <f aca="false">$I694*(1+BDI_MAT)</f>
        <v>521.445784396</v>
      </c>
      <c r="L694" s="47" t="n">
        <f aca="false">$J694*(1+BDI_MDO)</f>
        <v>75.9029966728479</v>
      </c>
      <c r="M694" s="47" t="n">
        <f aca="false">SUM(K694:L694)</f>
        <v>597.348781068848</v>
      </c>
      <c r="N694" s="20" t="str">
        <f aca="false">A694</f>
        <v>12.3.3.6</v>
      </c>
    </row>
    <row r="695" customFormat="false" ht="30" hidden="false" customHeight="false" outlineLevel="2" collapsed="false">
      <c r="A695" s="53" t="s">
        <v>972</v>
      </c>
      <c r="B695" s="43" t="n">
        <v>101895</v>
      </c>
      <c r="C695" s="50" t="str">
        <f aca="false">VLOOKUP($B695,03_COMPOSIÇÕES!$A:$G,2,0)</f>
        <v>DISJUNTOR TERMOMAGNÉTICO TRIPOLAR , CORRENTE NOMINAL DE 125A - FORNECIMENTO E INSTALAÇÃO. AF_10/2020</v>
      </c>
      <c r="D695" s="45" t="s">
        <v>59</v>
      </c>
      <c r="E695" s="44" t="str">
        <f aca="false">IF($B695="","",IFERROR(VLOOKUP($B695,#REF!,3,0),IFERROR(VLOOKUP($B695,03_COMPOSIÇÕES!$A:$G,4,0),"")))</f>
        <v>UN</v>
      </c>
      <c r="F695" s="46" t="n">
        <v>2</v>
      </c>
      <c r="G695" s="51" t="n">
        <f aca="false">VLOOKUP($B695,03_COMPOSIÇÕES!$A:$G,6,0)</f>
        <v>364.063856</v>
      </c>
      <c r="H695" s="52" t="n">
        <f aca="false">VLOOKUP($B695,03_COMPOSIÇÕES!$A:$G,7,0)</f>
        <v>18.20043498624</v>
      </c>
      <c r="I695" s="47" t="n">
        <f aca="false">$F695*$G695</f>
        <v>728.127712</v>
      </c>
      <c r="J695" s="47" t="n">
        <f aca="false">$F695*$H695</f>
        <v>36.40086997248</v>
      </c>
      <c r="K695" s="47" t="n">
        <f aca="false">$I695*(1+BDI_MAT)</f>
        <v>878.2676462144</v>
      </c>
      <c r="L695" s="47" t="n">
        <f aca="false">$J695*(1+BDI_MDO)</f>
        <v>46.4074691279148</v>
      </c>
      <c r="M695" s="47" t="n">
        <f aca="false">SUM(K695:L695)</f>
        <v>924.675115342315</v>
      </c>
      <c r="N695" s="20" t="str">
        <f aca="false">A695</f>
        <v>12.3.3.7</v>
      </c>
    </row>
    <row r="696" customFormat="false" ht="30" hidden="false" customHeight="false" outlineLevel="2" collapsed="false">
      <c r="A696" s="53" t="s">
        <v>973</v>
      </c>
      <c r="B696" s="43" t="n">
        <v>101897</v>
      </c>
      <c r="C696" s="50" t="str">
        <f aca="false">VLOOKUP($B696,03_COMPOSIÇÕES!$A:$G,2,0)</f>
        <v>DISJUNTOR TERMOMAGNÉTICO TRIPOLAR , CORRENTE NOMINAL DE 250A - FORNECIMENTO E INSTALAÇÃO. AF_10/2020</v>
      </c>
      <c r="D696" s="45" t="s">
        <v>59</v>
      </c>
      <c r="E696" s="44" t="str">
        <f aca="false">IF($B696="","",IFERROR(VLOOKUP($B696,#REF!,3,0),IFERROR(VLOOKUP($B696,03_COMPOSIÇÕES!$A:$G,4,0),"")))</f>
        <v>UN</v>
      </c>
      <c r="F696" s="46" t="n">
        <v>2</v>
      </c>
      <c r="G696" s="51" t="n">
        <f aca="false">VLOOKUP($B696,03_COMPOSIÇÕES!$A:$G,6,0)</f>
        <v>928.773856</v>
      </c>
      <c r="H696" s="52" t="n">
        <f aca="false">VLOOKUP($B696,03_COMPOSIÇÕES!$A:$G,7,0)</f>
        <v>45.95403946752</v>
      </c>
      <c r="I696" s="47" t="n">
        <f aca="false">$F696*$G696</f>
        <v>1857.547712</v>
      </c>
      <c r="J696" s="47" t="n">
        <f aca="false">$F696*$H696</f>
        <v>91.90807893504</v>
      </c>
      <c r="K696" s="47" t="n">
        <f aca="false">$I696*(1+BDI_MAT)</f>
        <v>2240.5740502144</v>
      </c>
      <c r="L696" s="47" t="n">
        <f aca="false">$J696*(1+BDI_MDO)</f>
        <v>117.173609834283</v>
      </c>
      <c r="M696" s="47" t="n">
        <f aca="false">SUM(K696:L696)</f>
        <v>2357.74766004868</v>
      </c>
      <c r="N696" s="20" t="str">
        <f aca="false">A696</f>
        <v>12.3.3.8</v>
      </c>
    </row>
    <row r="697" customFormat="false" ht="30" hidden="false" customHeight="false" outlineLevel="2" collapsed="false">
      <c r="A697" s="53" t="s">
        <v>974</v>
      </c>
      <c r="B697" s="43" t="s">
        <v>975</v>
      </c>
      <c r="C697" s="50" t="str">
        <f aca="false">VLOOKUP($B697,03_COMPOSIÇÕES!$A:$G,2,0)</f>
        <v>DISPOSITIVO BIPOLAR DR, SENSIBILIDADE DE 30 MA, CORRENTE NOMINAL DE 25A - FORNECIMENTO E INSTALAÇÃO.</v>
      </c>
      <c r="D697" s="45" t="s">
        <v>59</v>
      </c>
      <c r="E697" s="44" t="str">
        <f aca="false">IF($B697="","",IFERROR(VLOOKUP($B697,#REF!,3,0),IFERROR(VLOOKUP($B697,03_COMPOSIÇÕES!$A:$G,4,0),"")))</f>
        <v>UN</v>
      </c>
      <c r="F697" s="46" t="n">
        <v>14</v>
      </c>
      <c r="G697" s="51" t="n">
        <f aca="false">VLOOKUP($B697,03_COMPOSIÇÕES!$A:$G,6,0)</f>
        <v>137.207904</v>
      </c>
      <c r="H697" s="52" t="n">
        <f aca="false">VLOOKUP($B697,03_COMPOSIÇÕES!$A:$G,7,0)</f>
        <v>6.90421935168</v>
      </c>
      <c r="I697" s="47" t="n">
        <f aca="false">$F697*$G697</f>
        <v>1920.910656</v>
      </c>
      <c r="J697" s="47" t="n">
        <f aca="false">$F697*$H697</f>
        <v>96.65907092352</v>
      </c>
      <c r="K697" s="47" t="n">
        <f aca="false">$I697*(1+BDI_MAT)</f>
        <v>2317.0024332672</v>
      </c>
      <c r="L697" s="47" t="n">
        <f aca="false">$J697*(1+BDI_MDO)</f>
        <v>123.230649520396</v>
      </c>
      <c r="M697" s="47" t="n">
        <f aca="false">SUM(K697:L697)</f>
        <v>2440.2330827876</v>
      </c>
      <c r="N697" s="20" t="str">
        <f aca="false">A697</f>
        <v>12.3.3.9</v>
      </c>
    </row>
    <row r="698" customFormat="false" ht="30" hidden="false" customHeight="false" outlineLevel="2" collapsed="false">
      <c r="A698" s="53" t="s">
        <v>976</v>
      </c>
      <c r="B698" s="43" t="s">
        <v>977</v>
      </c>
      <c r="C698" s="50" t="str">
        <f aca="false">VLOOKUP($B698,03_COMPOSIÇÕES!$A:$G,2,0)</f>
        <v>DISPOSITIVO DPS CLASSE II, 1 POLO, TENSÃO MÁXIMA DE 275 V, CORRENTE MÁXIMA DE 80 KA - FORNECIMENTO E INSTALAÇÃO.</v>
      </c>
      <c r="D698" s="45" t="s">
        <v>59</v>
      </c>
      <c r="E698" s="44" t="str">
        <f aca="false">IF($B698="","",IFERROR(VLOOKUP($B698,#REF!,3,0),IFERROR(VLOOKUP($B698,03_COMPOSIÇÕES!$A:$G,4,0),"")))</f>
        <v>UN</v>
      </c>
      <c r="F698" s="46" t="n">
        <v>8</v>
      </c>
      <c r="G698" s="51" t="n">
        <f aca="false">VLOOKUP($B698,03_COMPOSIÇÕES!$A:$G,6,0)</f>
        <v>180.236352</v>
      </c>
      <c r="H698" s="52" t="n">
        <f aca="false">VLOOKUP($B698,03_COMPOSIÇÕES!$A:$G,7,0)</f>
        <v>6.57081640512</v>
      </c>
      <c r="I698" s="47" t="n">
        <f aca="false">$F698*$G698</f>
        <v>1441.890816</v>
      </c>
      <c r="J698" s="47" t="n">
        <f aca="false">$F698*$H698</f>
        <v>52.56653124096</v>
      </c>
      <c r="K698" s="47" t="n">
        <f aca="false">$I698*(1+BDI_MAT)</f>
        <v>1739.2087022592</v>
      </c>
      <c r="L698" s="47" t="n">
        <f aca="false">$J698*(1+BDI_MDO)</f>
        <v>67.0170706790999</v>
      </c>
      <c r="M698" s="47" t="n">
        <f aca="false">SUM(K698:L698)</f>
        <v>1806.2257729383</v>
      </c>
      <c r="N698" s="20" t="str">
        <f aca="false">A698</f>
        <v>12.3.3.10</v>
      </c>
    </row>
    <row r="699" customFormat="false" ht="15" hidden="false" customHeight="false" outlineLevel="1" collapsed="false">
      <c r="A699" s="42" t="s">
        <v>978</v>
      </c>
      <c r="B699" s="43"/>
      <c r="C699" s="50" t="s">
        <v>979</v>
      </c>
      <c r="D699" s="45"/>
      <c r="E699" s="44"/>
      <c r="F699" s="46"/>
      <c r="G699" s="51"/>
      <c r="H699" s="52"/>
      <c r="I699" s="47" t="n">
        <f aca="false">SUBTOTAL(9,I700:I701)</f>
        <v>18256.3005415025</v>
      </c>
      <c r="J699" s="47" t="n">
        <f aca="false">SUBTOTAL(9,J700:J701)</f>
        <v>301.40555208876</v>
      </c>
      <c r="K699" s="47" t="n">
        <f aca="false">SUBTOTAL(9,K700:K701)</f>
        <v>22020.7497131603</v>
      </c>
      <c r="L699" s="47" t="n">
        <f aca="false">SUBTOTAL(9,L700:L701)</f>
        <v>384.26193835796</v>
      </c>
      <c r="M699" s="47" t="n">
        <f aca="false">SUBTOTAL(9,M700:M701)</f>
        <v>22405.0116515183</v>
      </c>
      <c r="N699" s="20" t="str">
        <f aca="false">A699</f>
        <v>12.4</v>
      </c>
    </row>
    <row r="700" customFormat="false" ht="45" hidden="false" customHeight="false" outlineLevel="2" collapsed="false">
      <c r="A700" s="53" t="s">
        <v>980</v>
      </c>
      <c r="B700" s="43" t="s">
        <v>981</v>
      </c>
      <c r="C700" s="50" t="str">
        <f aca="false">VLOOKUP($B700,03_COMPOSIÇÕES!$A:$G,2,0)</f>
        <v>QUADRO DE DISTRIBUIÇÃO DE ENERGIA EM CHAPA DE AÇO GALVANIZADO, DE EMBUTIR, COM BARRAMENTO TRIFÁSICO, PARA 50 DISJUNTORES DIN 225A - FORNECIMENTO E INSTALAÇÃO.</v>
      </c>
      <c r="D700" s="45" t="s">
        <v>59</v>
      </c>
      <c r="E700" s="44" t="str">
        <f aca="false">IF($B700="","",IFERROR(VLOOKUP($B700,#REF!,3,0),IFERROR(VLOOKUP($B700,03_COMPOSIÇÕES!$A:$G,4,0),"")))</f>
        <v>UN</v>
      </c>
      <c r="F700" s="46" t="n">
        <v>7</v>
      </c>
      <c r="G700" s="51" t="n">
        <f aca="false">VLOOKUP($B700,03_COMPOSIÇÕES!$A:$G,6,0)</f>
        <v>1452.0458611625</v>
      </c>
      <c r="H700" s="52" t="n">
        <f aca="false">VLOOKUP($B700,03_COMPOSIÇÕES!$A:$G,7,0)</f>
        <v>30.910140847125</v>
      </c>
      <c r="I700" s="47" t="n">
        <f aca="false">$F700*$G700</f>
        <v>10164.3210281375</v>
      </c>
      <c r="J700" s="47" t="n">
        <f aca="false">$F700*$H700</f>
        <v>216.370985929875</v>
      </c>
      <c r="K700" s="47" t="n">
        <f aca="false">$I700*(1+BDI_MAT)</f>
        <v>12260.2040241395</v>
      </c>
      <c r="L700" s="47" t="n">
        <f aca="false">$J700*(1+BDI_MDO)</f>
        <v>275.851369961998</v>
      </c>
      <c r="M700" s="47" t="n">
        <f aca="false">SUM(K700:L700)</f>
        <v>12536.0553941015</v>
      </c>
      <c r="N700" s="20" t="str">
        <f aca="false">A700</f>
        <v>12.4.1</v>
      </c>
    </row>
    <row r="701" customFormat="false" ht="45" hidden="false" customHeight="false" outlineLevel="2" collapsed="false">
      <c r="A701" s="53" t="s">
        <v>982</v>
      </c>
      <c r="B701" s="43" t="s">
        <v>983</v>
      </c>
      <c r="C701" s="50" t="str">
        <f aca="false">VLOOKUP($B701,03_COMPOSIÇÕES!$A:$G,2,0)</f>
        <v>QUADRO DE DISTRIBUIÇÃO DE ENERGIA EM CHAPA DE AÇO GALVANIZADO, DE EMBUTIR, COM BARRAMENTO TRIFÁSICO, PARA 70 DISJUNTORES DIN 250A - FORNECIMENTO E INSTALAÇÃO.</v>
      </c>
      <c r="D701" s="45" t="s">
        <v>59</v>
      </c>
      <c r="E701" s="44" t="str">
        <f aca="false">IF($B701="","",IFERROR(VLOOKUP($B701,#REF!,3,0),IFERROR(VLOOKUP($B701,03_COMPOSIÇÕES!$A:$G,4,0),"")))</f>
        <v>UN</v>
      </c>
      <c r="F701" s="46" t="n">
        <v>3</v>
      </c>
      <c r="G701" s="51" t="n">
        <f aca="false">VLOOKUP($B701,03_COMPOSIÇÕES!$A:$G,6,0)</f>
        <v>2697.326504455</v>
      </c>
      <c r="H701" s="52" t="n">
        <f aca="false">VLOOKUP($B701,03_COMPOSIÇÕES!$A:$G,7,0)</f>
        <v>28.344855386295</v>
      </c>
      <c r="I701" s="47" t="n">
        <f aca="false">$F701*$G701</f>
        <v>8091.979513365</v>
      </c>
      <c r="J701" s="47" t="n">
        <f aca="false">$F701*$H701</f>
        <v>85.034566158885</v>
      </c>
      <c r="K701" s="47" t="n">
        <f aca="false">$I701*(1+BDI_MAT)</f>
        <v>9760.54568902086</v>
      </c>
      <c r="L701" s="47" t="n">
        <f aca="false">$J701*(1+BDI_MDO)</f>
        <v>108.410568395962</v>
      </c>
      <c r="M701" s="47" t="n">
        <f aca="false">SUM(K701:L701)</f>
        <v>9868.95625741682</v>
      </c>
      <c r="N701" s="20" t="str">
        <f aca="false">A701</f>
        <v>12.4.2</v>
      </c>
    </row>
    <row r="702" customFormat="false" ht="15" hidden="false" customHeight="false" outlineLevel="1" collapsed="false">
      <c r="A702" s="42" t="s">
        <v>984</v>
      </c>
      <c r="B702" s="43"/>
      <c r="C702" s="50" t="s">
        <v>985</v>
      </c>
      <c r="D702" s="45"/>
      <c r="E702" s="44"/>
      <c r="F702" s="46"/>
      <c r="G702" s="51"/>
      <c r="H702" s="52"/>
      <c r="I702" s="47" t="n">
        <f aca="false">SUBTOTAL(9,I703:I709)</f>
        <v>87544.254515452</v>
      </c>
      <c r="J702" s="47" t="n">
        <f aca="false">SUBTOTAL(9,J703:J709)</f>
        <v>4253.92196516558</v>
      </c>
      <c r="K702" s="47" t="n">
        <f aca="false">SUBTOTAL(9,K703:K709)</f>
        <v>105595.879796538</v>
      </c>
      <c r="L702" s="47" t="n">
        <f aca="false">SUBTOTAL(9,L703:L709)</f>
        <v>5423.3251133896</v>
      </c>
      <c r="M702" s="47" t="n">
        <f aca="false">SUBTOTAL(9,M703:M709)</f>
        <v>111019.204909928</v>
      </c>
      <c r="N702" s="20" t="str">
        <f aca="false">A702</f>
        <v>12.5</v>
      </c>
    </row>
    <row r="703" customFormat="false" ht="30" hidden="false" customHeight="false" outlineLevel="1" collapsed="false">
      <c r="A703" s="42" t="s">
        <v>986</v>
      </c>
      <c r="B703" s="43" t="s">
        <v>987</v>
      </c>
      <c r="C703" s="50" t="str">
        <f aca="false">VLOOKUP($B703,03_COMPOSIÇÕES!$A:$G,2,0)</f>
        <v>LUMINÁRIA TIPO CALHA, DE EMBUTIR, COM 2 LÂMPADAS TUBULARES LED DE 9 W, 6500 K - FORNECIMENTO E INSTALAÇÃO.</v>
      </c>
      <c r="D703" s="45" t="s">
        <v>59</v>
      </c>
      <c r="E703" s="44" t="str">
        <f aca="false">IF($B703="","",IFERROR(VLOOKUP($B703,#REF!,3,0),IFERROR(VLOOKUP($B703,03_COMPOSIÇÕES!$A:$G,4,0),"")))</f>
        <v>UN</v>
      </c>
      <c r="F703" s="46" t="n">
        <v>51</v>
      </c>
      <c r="G703" s="51" t="n">
        <f aca="false">VLOOKUP($B703,03_COMPOSIÇÕES!$A:$G,6,0)</f>
        <v>82.4280826666667</v>
      </c>
      <c r="H703" s="52" t="n">
        <f aca="false">VLOOKUP($B703,03_COMPOSIÇÕES!$A:$G,7,0)</f>
        <v>6.81674838</v>
      </c>
      <c r="I703" s="47" t="n">
        <f aca="false">$F703*$G703</f>
        <v>4203.832216</v>
      </c>
      <c r="J703" s="47" t="n">
        <f aca="false">$F703*$H703</f>
        <v>347.65416738</v>
      </c>
      <c r="K703" s="47" t="n">
        <f aca="false">$I703*(1+BDI_MAT)</f>
        <v>5070.6624189392</v>
      </c>
      <c r="L703" s="47" t="n">
        <f aca="false">$J703*(1+BDI_MDO)</f>
        <v>443.224297992762</v>
      </c>
      <c r="M703" s="47" t="n">
        <f aca="false">SUM(K703:L703)</f>
        <v>5513.88671693196</v>
      </c>
      <c r="N703" s="20" t="str">
        <f aca="false">A703</f>
        <v>12.5.1</v>
      </c>
    </row>
    <row r="704" customFormat="false" ht="30" hidden="false" customHeight="false" outlineLevel="1" collapsed="false">
      <c r="A704" s="42" t="s">
        <v>988</v>
      </c>
      <c r="B704" s="43" t="s">
        <v>989</v>
      </c>
      <c r="C704" s="50" t="str">
        <f aca="false">VLOOKUP($B704,03_COMPOSIÇÕES!$A:$G,2,0)</f>
        <v>LUMINÁRIA TIPO CALHA, DE EMBUTIR, COM 4 LÂMPADAS TUBULARES LED DE 9 W, 6500 K - FORNECIMENTO E INSTALAÇÃO.</v>
      </c>
      <c r="D704" s="45" t="s">
        <v>59</v>
      </c>
      <c r="E704" s="44" t="str">
        <f aca="false">IF($B704="","",IFERROR(VLOOKUP($B704,#REF!,3,0),IFERROR(VLOOKUP($B704,03_COMPOSIÇÕES!$A:$G,4,0),"")))</f>
        <v>UN</v>
      </c>
      <c r="F704" s="46" t="n">
        <v>329</v>
      </c>
      <c r="G704" s="51" t="n">
        <f aca="false">VLOOKUP($B704,03_COMPOSIÇÕES!$A:$G,6,0)</f>
        <v>205.094749333333</v>
      </c>
      <c r="H704" s="52" t="n">
        <f aca="false">VLOOKUP($B704,03_COMPOSIÇÕES!$A:$G,7,0)</f>
        <v>1.86240847728</v>
      </c>
      <c r="I704" s="47" t="n">
        <f aca="false">$F704*$G704</f>
        <v>67476.1725306667</v>
      </c>
      <c r="J704" s="47" t="n">
        <f aca="false">$F704*$H704</f>
        <v>612.73238902512</v>
      </c>
      <c r="K704" s="47" t="n">
        <f aca="false">$I704*(1+BDI_MAT)</f>
        <v>81389.7593064901</v>
      </c>
      <c r="L704" s="47" t="n">
        <f aca="false">$J704*(1+BDI_MDO)</f>
        <v>781.172522768125</v>
      </c>
      <c r="M704" s="47" t="n">
        <f aca="false">SUM(K704:L704)</f>
        <v>82170.9318292583</v>
      </c>
      <c r="N704" s="20" t="str">
        <f aca="false">A704</f>
        <v>12.5.2</v>
      </c>
    </row>
    <row r="705" customFormat="false" ht="30" hidden="false" customHeight="false" outlineLevel="1" collapsed="false">
      <c r="A705" s="42" t="s">
        <v>990</v>
      </c>
      <c r="B705" s="43" t="s">
        <v>991</v>
      </c>
      <c r="C705" s="50" t="str">
        <f aca="false">VLOOKUP($B705,03_COMPOSIÇÕES!$A:$G,2,0)</f>
        <v>LUMINÁRIA TIPO PLAFON REDONDA, DE EMBUTIR, COM LED DE 9 W, 4000 K - FORNECIMENTO E INSTALAÇÃO.</v>
      </c>
      <c r="D705" s="45" t="s">
        <v>59</v>
      </c>
      <c r="E705" s="44" t="str">
        <f aca="false">IF($B705="","",IFERROR(VLOOKUP($B705,#REF!,3,0),IFERROR(VLOOKUP($B705,03_COMPOSIÇÕES!$A:$G,4,0),"")))</f>
        <v>UN</v>
      </c>
      <c r="F705" s="46" t="n">
        <v>196</v>
      </c>
      <c r="G705" s="51" t="n">
        <f aca="false">VLOOKUP($B705,03_COMPOSIÇÕES!$A:$G,6,0)</f>
        <v>23.8337773333333</v>
      </c>
      <c r="H705" s="52" t="n">
        <f aca="false">VLOOKUP($B705,03_COMPOSIÇÕES!$A:$G,7,0)</f>
        <v>11.26276828848</v>
      </c>
      <c r="I705" s="47" t="n">
        <f aca="false">$F705*$G705</f>
        <v>4671.42035733333</v>
      </c>
      <c r="J705" s="47" t="n">
        <f aca="false">$F705*$H705</f>
        <v>2207.50258454208</v>
      </c>
      <c r="K705" s="47" t="n">
        <f aca="false">$I705*(1+BDI_MAT)</f>
        <v>5634.66723501547</v>
      </c>
      <c r="L705" s="47" t="n">
        <f aca="false">$J705*(1+BDI_MDO)</f>
        <v>2814.3450450327</v>
      </c>
      <c r="M705" s="47" t="n">
        <f aca="false">SUM(K705:L705)</f>
        <v>8449.01228004816</v>
      </c>
      <c r="N705" s="20" t="str">
        <f aca="false">A705</f>
        <v>12.5.3</v>
      </c>
    </row>
    <row r="706" customFormat="false" ht="30" hidden="false" customHeight="false" outlineLevel="1" collapsed="false">
      <c r="A706" s="42" t="s">
        <v>992</v>
      </c>
      <c r="B706" s="43" t="s">
        <v>993</v>
      </c>
      <c r="C706" s="50" t="str">
        <f aca="false">VLOOKUP($B706,03_COMPOSIÇÕES!$A:$G,2,0)</f>
        <v>LUMINÁRIA TIPO PLAFON CIRCULAR, DE SOBREPOR, COM LED DE 12 W, 4000 K - FORNECIMENTO E INSTALAÇÃO.</v>
      </c>
      <c r="D706" s="45" t="s">
        <v>59</v>
      </c>
      <c r="E706" s="44" t="str">
        <f aca="false">IF($B706="","",IFERROR(VLOOKUP($B706,#REF!,3,0),IFERROR(VLOOKUP($B706,03_COMPOSIÇÕES!$A:$G,4,0),"")))</f>
        <v>UN</v>
      </c>
      <c r="F706" s="46" t="n">
        <v>9</v>
      </c>
      <c r="G706" s="51" t="n">
        <f aca="false">VLOOKUP($B706,03_COMPOSIÇÕES!$A:$G,6,0)</f>
        <v>13.245215828</v>
      </c>
      <c r="H706" s="52" t="n">
        <f aca="false">VLOOKUP($B706,03_COMPOSIÇÕES!$A:$G,7,0)</f>
        <v>12.206859389989</v>
      </c>
      <c r="I706" s="47" t="n">
        <f aca="false">$F706*$G706</f>
        <v>119.206942452</v>
      </c>
      <c r="J706" s="47" t="n">
        <f aca="false">$F706*$H706</f>
        <v>109.861734509901</v>
      </c>
      <c r="K706" s="47" t="n">
        <f aca="false">$I706*(1+BDI_MAT)</f>
        <v>143.787413985602</v>
      </c>
      <c r="L706" s="47" t="n">
        <f aca="false">$J706*(1+BDI_MDO)</f>
        <v>140.062725326672</v>
      </c>
      <c r="M706" s="47" t="n">
        <f aca="false">SUM(K706:L706)</f>
        <v>283.850139312275</v>
      </c>
      <c r="N706" s="20" t="str">
        <f aca="false">A706</f>
        <v>12.5.4</v>
      </c>
    </row>
    <row r="707" customFormat="false" ht="30" hidden="false" customHeight="false" outlineLevel="1" collapsed="false">
      <c r="A707" s="42" t="s">
        <v>994</v>
      </c>
      <c r="B707" s="43" t="s">
        <v>995</v>
      </c>
      <c r="C707" s="50" t="str">
        <f aca="false">VLOOKUP($B707,03_COMPOSIÇÕES!$A:$G,2,0)</f>
        <v>LUMINÁRIA TIPO CALHA, DE SOBREPOR, COM 2 LÂMPADAS TUBULARES LED DE 20 W - FORNECIMENTO E INSTALAÇÃO.</v>
      </c>
      <c r="D707" s="45" t="s">
        <v>59</v>
      </c>
      <c r="E707" s="44" t="str">
        <f aca="false">IF($B707="","",IFERROR(VLOOKUP($B707,#REF!,3,0),IFERROR(VLOOKUP($B707,03_COMPOSIÇÕES!$A:$G,4,0),"")))</f>
        <v>UN</v>
      </c>
      <c r="F707" s="46" t="n">
        <v>61</v>
      </c>
      <c r="G707" s="51" t="n">
        <f aca="false">VLOOKUP($B707,03_COMPOSIÇÕES!$A:$G,6,0)</f>
        <v>153.630514333333</v>
      </c>
      <c r="H707" s="52" t="n">
        <f aca="false">VLOOKUP($B707,03_COMPOSIÇÕES!$A:$G,7,0)</f>
        <v>11.0673434244</v>
      </c>
      <c r="I707" s="47" t="n">
        <f aca="false">$F707*$G707</f>
        <v>9371.46137433333</v>
      </c>
      <c r="J707" s="47" t="n">
        <f aca="false">$F707*$H707</f>
        <v>675.1079488884</v>
      </c>
      <c r="K707" s="47" t="n">
        <f aca="false">$I707*(1+BDI_MAT)</f>
        <v>11303.8567097209</v>
      </c>
      <c r="L707" s="47" t="n">
        <f aca="false">$J707*(1+BDI_MDO)</f>
        <v>860.695124037821</v>
      </c>
      <c r="M707" s="47" t="n">
        <f aca="false">SUM(K707:L707)</f>
        <v>12164.5518337587</v>
      </c>
      <c r="N707" s="20" t="str">
        <f aca="false">A707</f>
        <v>12.5.5</v>
      </c>
    </row>
    <row r="708" customFormat="false" ht="30" hidden="false" customHeight="false" outlineLevel="1" collapsed="false">
      <c r="A708" s="42" t="s">
        <v>996</v>
      </c>
      <c r="B708" s="43" t="s">
        <v>997</v>
      </c>
      <c r="C708" s="50" t="str">
        <f aca="false">VLOOKUP($B708,03_COMPOSIÇÕES!$A:$G,2,0)</f>
        <v>LUMINÁRIA ARANDELA TIPO TARTARUGA, DE SOBREPOR, COM 1 LÂMPADA LED DE 15 W, 6500 K - FORNECIMENTO E INSTALAÇÃO.</v>
      </c>
      <c r="D708" s="45" t="s">
        <v>59</v>
      </c>
      <c r="E708" s="44" t="str">
        <f aca="false">IF($B708="","",IFERROR(VLOOKUP($B708,#REF!,3,0),IFERROR(VLOOKUP($B708,03_COMPOSIÇÕES!$A:$G,4,0),"")))</f>
        <v>UN</v>
      </c>
      <c r="F708" s="46" t="n">
        <v>17</v>
      </c>
      <c r="G708" s="51" t="n">
        <f aca="false">VLOOKUP($B708,03_COMPOSIÇÕES!$A:$G,6,0)</f>
        <v>92.8150893333333</v>
      </c>
      <c r="H708" s="52" t="n">
        <f aca="false">VLOOKUP($B708,03_COMPOSIÇÕES!$A:$G,7,0)</f>
        <v>14.7360330684</v>
      </c>
      <c r="I708" s="47" t="n">
        <f aca="false">$F708*$G708</f>
        <v>1577.85651866667</v>
      </c>
      <c r="J708" s="47" t="n">
        <f aca="false">$F708*$H708</f>
        <v>250.5125621628</v>
      </c>
      <c r="K708" s="47" t="n">
        <f aca="false">$I708*(1+BDI_MAT)</f>
        <v>1903.21053281573</v>
      </c>
      <c r="L708" s="47" t="n">
        <f aca="false">$J708*(1+BDI_MDO)</f>
        <v>319.378465501354</v>
      </c>
      <c r="M708" s="47" t="n">
        <f aca="false">SUM(K708:L708)</f>
        <v>2222.58899831709</v>
      </c>
      <c r="N708" s="20" t="str">
        <f aca="false">A708</f>
        <v>12.5.6</v>
      </c>
    </row>
    <row r="709" customFormat="false" ht="30" hidden="false" customHeight="false" outlineLevel="1" collapsed="false">
      <c r="A709" s="42" t="s">
        <v>998</v>
      </c>
      <c r="B709" s="43" t="s">
        <v>999</v>
      </c>
      <c r="C709" s="50" t="str">
        <f aca="false">VLOOKUP($B709,03_COMPOSIÇÕES!$A:$G,2,0)</f>
        <v>REFLETOR DE SOBREPOR, LED 50 W, 6500 K - FORNECIMENTO E INSTALAÇÃO.</v>
      </c>
      <c r="D709" s="45" t="s">
        <v>59</v>
      </c>
      <c r="E709" s="44" t="str">
        <f aca="false">IF($B709="","",IFERROR(VLOOKUP($B709,#REF!,3,0),IFERROR(VLOOKUP($B709,03_COMPOSIÇÕES!$A:$G,4,0),"")))</f>
        <v>UN</v>
      </c>
      <c r="F709" s="46" t="n">
        <v>4</v>
      </c>
      <c r="G709" s="51" t="n">
        <f aca="false">VLOOKUP($B709,03_COMPOSIÇÕES!$A:$G,6,0)</f>
        <v>31.076144</v>
      </c>
      <c r="H709" s="52" t="n">
        <f aca="false">VLOOKUP($B709,03_COMPOSIÇÕES!$A:$G,7,0)</f>
        <v>12.63764466432</v>
      </c>
      <c r="I709" s="47" t="n">
        <f aca="false">$F709*$G709</f>
        <v>124.304576</v>
      </c>
      <c r="J709" s="47" t="n">
        <f aca="false">$F709*$H709</f>
        <v>50.55057865728</v>
      </c>
      <c r="K709" s="47" t="n">
        <f aca="false">$I709*(1+BDI_MAT)</f>
        <v>149.9361795712</v>
      </c>
      <c r="L709" s="47" t="n">
        <f aca="false">$J709*(1+BDI_MDO)</f>
        <v>64.4469327301663</v>
      </c>
      <c r="M709" s="47" t="n">
        <f aca="false">SUM(K709:L709)</f>
        <v>214.383112301366</v>
      </c>
      <c r="N709" s="20" t="str">
        <f aca="false">A709</f>
        <v>12.5.7</v>
      </c>
    </row>
    <row r="710" customFormat="false" ht="15" hidden="false" customHeight="false" outlineLevel="1" collapsed="false">
      <c r="A710" s="42" t="s">
        <v>1000</v>
      </c>
      <c r="B710" s="43"/>
      <c r="C710" s="50" t="s">
        <v>607</v>
      </c>
      <c r="D710" s="45"/>
      <c r="E710" s="44"/>
      <c r="F710" s="46"/>
      <c r="G710" s="51"/>
      <c r="H710" s="52"/>
      <c r="I710" s="47" t="n">
        <f aca="false">SUBTOTAL(9,I711:I712)</f>
        <v>55470.7466666667</v>
      </c>
      <c r="J710" s="47" t="n">
        <f aca="false">SUBTOTAL(9,J711:J712)</f>
        <v>610.603364</v>
      </c>
      <c r="K710" s="47" t="n">
        <f aca="false">SUBTOTAL(9,K711:K712)</f>
        <v>66908.8146293333</v>
      </c>
      <c r="L710" s="47" t="n">
        <f aca="false">SUBTOTAL(9,L711:L712)</f>
        <v>778.4582287636</v>
      </c>
      <c r="M710" s="47" t="n">
        <f aca="false">SUBTOTAL(9,M711:M712)</f>
        <v>67687.2728580969</v>
      </c>
      <c r="N710" s="20" t="str">
        <f aca="false">A710</f>
        <v>12.6</v>
      </c>
    </row>
    <row r="711" customFormat="false" ht="15" hidden="false" customHeight="false" outlineLevel="1" collapsed="false">
      <c r="A711" s="42" t="s">
        <v>1001</v>
      </c>
      <c r="B711" s="43" t="s">
        <v>1002</v>
      </c>
      <c r="C711" s="50" t="str">
        <f aca="false">VLOOKUP($B711,03_COMPOSIÇÕES!$A:$G,2,0)</f>
        <v>NOBREAK 20 KVA - FORNECIMENTO E INSTALAÇÃO.</v>
      </c>
      <c r="D711" s="45" t="s">
        <v>59</v>
      </c>
      <c r="E711" s="44" t="str">
        <f aca="false">IF($B711="","",IFERROR(VLOOKUP($B711,#REF!,3,0),IFERROR(VLOOKUP($B711,03_COMPOSIÇÕES!$A:$G,4,0),"")))</f>
        <v>UN</v>
      </c>
      <c r="F711" s="46" t="n">
        <v>1</v>
      </c>
      <c r="G711" s="51" t="n">
        <f aca="false">VLOOKUP($B711,03_COMPOSIÇÕES!$A:$G,6,0)</f>
        <v>46523.3166666667</v>
      </c>
      <c r="H711" s="52" t="n">
        <f aca="false">VLOOKUP($B711,03_COMPOSIÇÕES!$A:$G,7,0)</f>
        <v>86.823684</v>
      </c>
      <c r="I711" s="47" t="n">
        <f aca="false">$F711*$G711</f>
        <v>46523.3166666667</v>
      </c>
      <c r="J711" s="47" t="n">
        <f aca="false">$F711*$H711</f>
        <v>86.823684</v>
      </c>
      <c r="K711" s="47" t="n">
        <f aca="false">$I711*(1+BDI_MAT)</f>
        <v>56116.4245633333</v>
      </c>
      <c r="L711" s="47" t="n">
        <f aca="false">$J711*(1+BDI_MDO)</f>
        <v>110.6915147316</v>
      </c>
      <c r="M711" s="47" t="n">
        <f aca="false">SUM(K711:L711)</f>
        <v>56227.1160780649</v>
      </c>
      <c r="N711" s="20" t="str">
        <f aca="false">A711</f>
        <v>12.6.1</v>
      </c>
    </row>
    <row r="712" customFormat="false" ht="30" hidden="false" customHeight="false" outlineLevel="1" collapsed="false">
      <c r="A712" s="42" t="s">
        <v>1003</v>
      </c>
      <c r="B712" s="43" t="s">
        <v>1004</v>
      </c>
      <c r="C712" s="50" t="str">
        <f aca="false">VLOOKUP($B712,03_COMPOSIÇÕES!$A:$G,2,0)</f>
        <v>GERADOR DE ENERGIA A DIESEL, 7,5 KVA, TRIFÁSICO - FORNECIMENTO E INSTALAÇÃO.</v>
      </c>
      <c r="D712" s="45" t="s">
        <v>59</v>
      </c>
      <c r="E712" s="44" t="str">
        <f aca="false">IF($B712="","",IFERROR(VLOOKUP($B712,#REF!,3,0),IFERROR(VLOOKUP($B712,03_COMPOSIÇÕES!$A:$G,4,0),"")))</f>
        <v>UN</v>
      </c>
      <c r="F712" s="46" t="n">
        <v>1</v>
      </c>
      <c r="G712" s="51" t="n">
        <f aca="false">VLOOKUP($B712,03_COMPOSIÇÕES!$A:$G,6,0)</f>
        <v>8947.43</v>
      </c>
      <c r="H712" s="52" t="n">
        <f aca="false">VLOOKUP($B712,03_COMPOSIÇÕES!$A:$G,7,0)</f>
        <v>523.77968</v>
      </c>
      <c r="I712" s="47" t="n">
        <f aca="false">$F712*$G712</f>
        <v>8947.43</v>
      </c>
      <c r="J712" s="47" t="n">
        <f aca="false">$F712*$H712</f>
        <v>523.77968</v>
      </c>
      <c r="K712" s="47" t="n">
        <f aca="false">$I712*(1+BDI_MAT)</f>
        <v>10792.390066</v>
      </c>
      <c r="L712" s="47" t="n">
        <f aca="false">$J712*(1+BDI_MDO)</f>
        <v>667.766714032</v>
      </c>
      <c r="M712" s="47" t="n">
        <f aca="false">SUM(K712:L712)</f>
        <v>11460.156780032</v>
      </c>
      <c r="N712" s="20" t="str">
        <f aca="false">A712</f>
        <v>12.6.2</v>
      </c>
    </row>
    <row r="713" customFormat="false" ht="15" hidden="false" customHeight="false" outlineLevel="1" collapsed="false">
      <c r="A713" s="42" t="s">
        <v>1005</v>
      </c>
      <c r="B713" s="43"/>
      <c r="C713" s="58" t="s">
        <v>688</v>
      </c>
      <c r="D713" s="45"/>
      <c r="E713" s="44"/>
      <c r="F713" s="46"/>
      <c r="G713" s="51"/>
      <c r="H713" s="52"/>
      <c r="I713" s="47" t="n">
        <f aca="false">SUBTOTAL(9,I714:I715)</f>
        <v>1867.7381819814</v>
      </c>
      <c r="J713" s="47" t="n">
        <f aca="false">SUBTOTAL(9,J714:J715)</f>
        <v>250.372671139193</v>
      </c>
      <c r="K713" s="47" t="n">
        <f aca="false">SUBTOTAL(9,K714:K715)</f>
        <v>2252.86579510596</v>
      </c>
      <c r="L713" s="47" t="n">
        <f aca="false">SUBTOTAL(9,L714:L715)</f>
        <v>319.200118435358</v>
      </c>
      <c r="M713" s="47" t="n">
        <f aca="false">SUBTOTAL(9,M714:M715)</f>
        <v>2572.06591354132</v>
      </c>
      <c r="N713" s="20" t="str">
        <f aca="false">A713</f>
        <v>12.7</v>
      </c>
    </row>
    <row r="714" customFormat="false" ht="45" hidden="false" customHeight="false" outlineLevel="1" collapsed="false">
      <c r="A714" s="42" t="s">
        <v>1006</v>
      </c>
      <c r="B714" s="43" t="n">
        <v>97881</v>
      </c>
      <c r="C714" s="50" t="str">
        <f aca="false">VLOOKUP($B714,03_COMPOSIÇÕES!$A:$G,2,0)</f>
        <v>CAIXA ENTERRADA ELÉTRICA RETANGULAR, EM CONCRETO PRÉ-MOLDADO, FUNDO COM BRITA, DIMENSÕES INTERNAS: 0,3X0,3X0,3 M. AF_12/2020</v>
      </c>
      <c r="D714" s="45" t="s">
        <v>59</v>
      </c>
      <c r="E714" s="44" t="str">
        <f aca="false">IF($B714="","",IFERROR(VLOOKUP($B714,#REF!,3,0),IFERROR(VLOOKUP($B714,03_COMPOSIÇÕES!$A:$G,4,0),"")))</f>
        <v>UN</v>
      </c>
      <c r="F714" s="46" t="n">
        <v>5</v>
      </c>
      <c r="G714" s="51" t="n">
        <f aca="false">VLOOKUP($B714,03_COMPOSIÇÕES!$A:$G,6,0)</f>
        <v>115.76125043628</v>
      </c>
      <c r="H714" s="52" t="n">
        <f aca="false">VLOOKUP($B714,03_COMPOSIÇÕES!$A:$G,7,0)</f>
        <v>18.5789001700331</v>
      </c>
      <c r="I714" s="47" t="n">
        <f aca="false">$F714*$G714</f>
        <v>578.8062521814</v>
      </c>
      <c r="J714" s="47" t="n">
        <f aca="false">$F714*$H714</f>
        <v>92.8945008501655</v>
      </c>
      <c r="K714" s="47" t="n">
        <f aca="false">$I714*(1+BDI_MAT)</f>
        <v>698.156101381205</v>
      </c>
      <c r="L714" s="47" t="n">
        <f aca="false">$J714*(1+BDI_MDO)</f>
        <v>118.431199133876</v>
      </c>
      <c r="M714" s="47" t="n">
        <f aca="false">SUM(K714:L714)</f>
        <v>816.587300515081</v>
      </c>
      <c r="N714" s="20" t="str">
        <f aca="false">A714</f>
        <v>12.7.1</v>
      </c>
    </row>
    <row r="715" customFormat="false" ht="30" hidden="false" customHeight="false" outlineLevel="1" collapsed="false">
      <c r="A715" s="42" t="s">
        <v>1007</v>
      </c>
      <c r="B715" s="43" t="n">
        <v>101798</v>
      </c>
      <c r="C715" s="50" t="str">
        <f aca="false">VLOOKUP($B715,03_COMPOSIÇÕES!$A:$G,2,0)</f>
        <v>TAMPA PARA CAIXA TIPO R1, EM FERRO FUNDIDO, DIMENSÕES INTERNAS: 0,40 X 0,60 M - FORNECIMENTO E INSTALAÇÃO. AF_12/2020</v>
      </c>
      <c r="D715" s="45" t="s">
        <v>59</v>
      </c>
      <c r="E715" s="44" t="str">
        <f aca="false">IF($B715="","",IFERROR(VLOOKUP($B715,#REF!,3,0),IFERROR(VLOOKUP($B715,03_COMPOSIÇÕES!$A:$G,4,0),"")))</f>
        <v>UN</v>
      </c>
      <c r="F715" s="46" t="n">
        <v>5</v>
      </c>
      <c r="G715" s="51" t="n">
        <f aca="false">VLOOKUP($B715,03_COMPOSIÇÕES!$A:$G,6,0)</f>
        <v>257.78638596</v>
      </c>
      <c r="H715" s="52" t="n">
        <f aca="false">VLOOKUP($B715,03_COMPOSIÇÕES!$A:$G,7,0)</f>
        <v>31.4956340578056</v>
      </c>
      <c r="I715" s="47" t="n">
        <f aca="false">$F715*$G715</f>
        <v>1288.9319298</v>
      </c>
      <c r="J715" s="47" t="n">
        <f aca="false">$F715*$H715</f>
        <v>157.478170289028</v>
      </c>
      <c r="K715" s="47" t="n">
        <f aca="false">$I715*(1+BDI_MAT)</f>
        <v>1554.70969372476</v>
      </c>
      <c r="L715" s="47" t="n">
        <f aca="false">$J715*(1+BDI_MDO)</f>
        <v>200.768919301482</v>
      </c>
      <c r="M715" s="47" t="n">
        <f aca="false">SUM(K715:L715)</f>
        <v>1755.47861302624</v>
      </c>
      <c r="N715" s="20" t="str">
        <f aca="false">A715</f>
        <v>12.7.2</v>
      </c>
    </row>
    <row r="716" customFormat="false" ht="15" hidden="false" customHeight="false" outlineLevel="1" collapsed="false">
      <c r="A716" s="42" t="s">
        <v>1008</v>
      </c>
      <c r="B716" s="43"/>
      <c r="C716" s="58" t="s">
        <v>1009</v>
      </c>
      <c r="D716" s="45"/>
      <c r="E716" s="44"/>
      <c r="F716" s="46"/>
      <c r="G716" s="51"/>
      <c r="H716" s="52"/>
      <c r="I716" s="47" t="n">
        <f aca="false">SUBTOTAL(9,I717:I719)</f>
        <v>7993.317024</v>
      </c>
      <c r="J716" s="47" t="n">
        <f aca="false">SUBTOTAL(9,J717:J719)</f>
        <v>4415.2968966624</v>
      </c>
      <c r="K716" s="47" t="n">
        <f aca="false">SUBTOTAL(9,K717:K719)</f>
        <v>9641.5389943488</v>
      </c>
      <c r="L716" s="47" t="n">
        <f aca="false">SUBTOTAL(9,L717:L719)</f>
        <v>5629.06201355489</v>
      </c>
      <c r="M716" s="47" t="n">
        <f aca="false">SUBTOTAL(9,M717:M719)</f>
        <v>15270.6010079037</v>
      </c>
      <c r="N716" s="20" t="str">
        <f aca="false">A716</f>
        <v>12.8</v>
      </c>
    </row>
    <row r="717" customFormat="false" ht="30" hidden="false" customHeight="false" outlineLevel="1" collapsed="false">
      <c r="A717" s="42" t="s">
        <v>1010</v>
      </c>
      <c r="B717" s="43" t="s">
        <v>1011</v>
      </c>
      <c r="C717" s="50" t="str">
        <f aca="false">VLOOKUP($B717,03_COMPOSIÇÕES!$A:$G,2,0)</f>
        <v>CABO DE COBRE FLEXÍVEL, 3 VIAS, 2,5 MM², ANTI-CHAMA 0,6/1,0 KV, PARA CIRCUITOS TERMINAIS - FORNECIMENTO E INSTALAÇÃO.</v>
      </c>
      <c r="D717" s="45" t="s">
        <v>59</v>
      </c>
      <c r="E717" s="44" t="str">
        <f aca="false">IF($B717="","",IFERROR(VLOOKUP($B717,#REF!,3,0),IFERROR(VLOOKUP($B717,03_COMPOSIÇÕES!$A:$G,4,0),"")))</f>
        <v>M</v>
      </c>
      <c r="F717" s="46" t="n">
        <v>252</v>
      </c>
      <c r="G717" s="51" t="n">
        <f aca="false">VLOOKUP($B717,03_COMPOSIÇÕES!$A:$G,6,0)</f>
        <v>11.627522</v>
      </c>
      <c r="H717" s="52" t="n">
        <f aca="false">VLOOKUP($B717,03_COMPOSIÇÕES!$A:$G,7,0)</f>
        <v>1.0071547344</v>
      </c>
      <c r="I717" s="47" t="n">
        <f aca="false">$F717*$G717</f>
        <v>2930.135544</v>
      </c>
      <c r="J717" s="47" t="n">
        <f aca="false">$F717*$H717</f>
        <v>253.8029930688</v>
      </c>
      <c r="K717" s="47" t="n">
        <f aca="false">$I717*(1+BDI_MAT)</f>
        <v>3534.3294931728</v>
      </c>
      <c r="L717" s="47" t="n">
        <f aca="false">$J717*(1+BDI_MDO)</f>
        <v>323.573435863413</v>
      </c>
      <c r="M717" s="47" t="n">
        <f aca="false">SUM(K717:L717)</f>
        <v>3857.90292903621</v>
      </c>
      <c r="N717" s="20" t="str">
        <f aca="false">A717</f>
        <v>12.8.1</v>
      </c>
    </row>
    <row r="718" customFormat="false" ht="30" hidden="false" customHeight="false" outlineLevel="1" collapsed="false">
      <c r="A718" s="42" t="s">
        <v>1012</v>
      </c>
      <c r="B718" s="43" t="s">
        <v>1013</v>
      </c>
      <c r="C718" s="50" t="str">
        <f aca="false">VLOOKUP($B718,03_COMPOSIÇÕES!$A:$G,2,0)</f>
        <v>PLUGUE TOMADA MACHO 3 PINOS 10A 90° - FORNECIMENTO E INSTALAÇÃO.</v>
      </c>
      <c r="D718" s="45" t="s">
        <v>59</v>
      </c>
      <c r="E718" s="44" t="str">
        <f aca="false">IF($B718="","",IFERROR(VLOOKUP($B718,#REF!,3,0),IFERROR(VLOOKUP($B718,03_COMPOSIÇÕES!$A:$G,4,0),"")))</f>
        <v>UN</v>
      </c>
      <c r="F718" s="46" t="n">
        <v>126</v>
      </c>
      <c r="G718" s="51" t="n">
        <f aca="false">VLOOKUP($B718,03_COMPOSIÇÕES!$A:$G,6,0)</f>
        <v>17.65374</v>
      </c>
      <c r="H718" s="52" t="n">
        <f aca="false">VLOOKUP($B718,03_COMPOSIÇÕES!$A:$G,7,0)</f>
        <v>11.0092431312</v>
      </c>
      <c r="I718" s="47" t="n">
        <f aca="false">$F718*$G718</f>
        <v>2224.37124</v>
      </c>
      <c r="J718" s="47" t="n">
        <f aca="false">$F718*$H718</f>
        <v>1387.1646345312</v>
      </c>
      <c r="K718" s="47" t="n">
        <f aca="false">$I718*(1+BDI_MAT)</f>
        <v>2683.036589688</v>
      </c>
      <c r="L718" s="47" t="n">
        <f aca="false">$J718*(1+BDI_MDO)</f>
        <v>1768.49619256383</v>
      </c>
      <c r="M718" s="47" t="n">
        <f aca="false">SUM(K718:L718)</f>
        <v>4451.53278225183</v>
      </c>
      <c r="N718" s="20" t="str">
        <f aca="false">A718</f>
        <v>12.8.2</v>
      </c>
    </row>
    <row r="719" customFormat="false" ht="30" hidden="false" customHeight="false" outlineLevel="1" collapsed="false">
      <c r="A719" s="42" t="s">
        <v>1014</v>
      </c>
      <c r="B719" s="43" t="n">
        <v>91994</v>
      </c>
      <c r="C719" s="50" t="str">
        <f aca="false">VLOOKUP($B719,03_COMPOSIÇÕES!$A:$G,2,0)</f>
        <v>TOMADA MÉDIA DE EMBUTIR (1 MÓDULO), 2P+T 10 A, SEM SUPORTE E SEM PLACA - FORNECIMENTO E INSTALAÇÃO. AF_03/2023</v>
      </c>
      <c r="D719" s="45" t="s">
        <v>59</v>
      </c>
      <c r="E719" s="44" t="str">
        <f aca="false">IF($B719="","",IFERROR(VLOOKUP($B719,#REF!,3,0),IFERROR(VLOOKUP($B719,03_COMPOSIÇÕES!$A:$G,4,0),"")))</f>
        <v>UN</v>
      </c>
      <c r="F719" s="46" t="n">
        <v>252</v>
      </c>
      <c r="G719" s="51" t="n">
        <f aca="false">VLOOKUP($B719,03_COMPOSIÇÕES!$A:$G,6,0)</f>
        <v>11.26512</v>
      </c>
      <c r="H719" s="52" t="n">
        <f aca="false">VLOOKUP($B719,03_COMPOSIÇÕES!$A:$G,7,0)</f>
        <v>11.0092431312</v>
      </c>
      <c r="I719" s="47" t="n">
        <f aca="false">$F719*$G719</f>
        <v>2838.81024</v>
      </c>
      <c r="J719" s="47" t="n">
        <f aca="false">$F719*$H719</f>
        <v>2774.3292690624</v>
      </c>
      <c r="K719" s="47" t="n">
        <f aca="false">$I719*(1+BDI_MAT)</f>
        <v>3424.172911488</v>
      </c>
      <c r="L719" s="47" t="n">
        <f aca="false">$J719*(1+BDI_MDO)</f>
        <v>3536.99238512765</v>
      </c>
      <c r="M719" s="47" t="n">
        <f aca="false">SUM(K719:L719)</f>
        <v>6961.16529661565</v>
      </c>
      <c r="N719" s="20" t="str">
        <f aca="false">A719</f>
        <v>12.8.3</v>
      </c>
    </row>
    <row r="720" customFormat="false" ht="15" hidden="false" customHeight="false" outlineLevel="0" collapsed="false">
      <c r="A720" s="42" t="n">
        <v>13</v>
      </c>
      <c r="B720" s="43"/>
      <c r="C720" s="50" t="s">
        <v>1015</v>
      </c>
      <c r="D720" s="45"/>
      <c r="E720" s="44"/>
      <c r="F720" s="46"/>
      <c r="G720" s="51"/>
      <c r="H720" s="52"/>
      <c r="I720" s="47" t="n">
        <f aca="false">SUM(I721,I732,I734,I736,I738,I740,I746,I752,I754,I763)</f>
        <v>146303.787240611</v>
      </c>
      <c r="J720" s="47" t="n">
        <f aca="false">SUM(J721,J732,J734,J736,J738,J740,J746,J752,J754,J763)</f>
        <v>39877.5638171065</v>
      </c>
      <c r="K720" s="47" t="n">
        <f aca="false">SUM(K721,K732,K734,K736,K738,K740,K746,K752,K754,K763)</f>
        <v>176471.628169625</v>
      </c>
      <c r="L720" s="47" t="n">
        <f aca="false">SUM(L721,L732,L734,L736,L738,L740,L746,L752,L754,L763)</f>
        <v>50839.9061104291</v>
      </c>
      <c r="M720" s="47" t="n">
        <f aca="false">SUM(M721,M732,M734,M736,M738,M740,M746,M752,M754,M763)</f>
        <v>227311.534280054</v>
      </c>
      <c r="N720" s="20" t="n">
        <f aca="false">A720</f>
        <v>13</v>
      </c>
    </row>
    <row r="721" customFormat="false" ht="15" hidden="false" customHeight="false" outlineLevel="1" collapsed="false">
      <c r="A721" s="42" t="s">
        <v>1016</v>
      </c>
      <c r="B721" s="43"/>
      <c r="C721" s="50" t="s">
        <v>1017</v>
      </c>
      <c r="D721" s="45"/>
      <c r="E721" s="44"/>
      <c r="F721" s="46"/>
      <c r="G721" s="51"/>
      <c r="H721" s="52"/>
      <c r="I721" s="47" t="n">
        <f aca="false">SUM(I722,I724,I728,I730)</f>
        <v>36583.1811266667</v>
      </c>
      <c r="J721" s="47" t="n">
        <f aca="false">SUM(J722,J724,J728,J730)</f>
        <v>11163.0773345112</v>
      </c>
      <c r="K721" s="47" t="n">
        <f aca="false">SUM(K722,K724,K728,K730)</f>
        <v>44126.6330749853</v>
      </c>
      <c r="L721" s="47" t="n">
        <f aca="false">SUM(L722,L724,L728,L730)</f>
        <v>14231.8072937683</v>
      </c>
      <c r="M721" s="47" t="n">
        <f aca="false">SUM(M722,M724,M728,M730)</f>
        <v>58358.4403687537</v>
      </c>
      <c r="N721" s="20" t="str">
        <f aca="false">A721</f>
        <v>13.1</v>
      </c>
    </row>
    <row r="722" customFormat="false" ht="15" hidden="false" customHeight="false" outlineLevel="2" collapsed="false">
      <c r="A722" s="42" t="s">
        <v>1018</v>
      </c>
      <c r="B722" s="43"/>
      <c r="C722" s="50" t="s">
        <v>1019</v>
      </c>
      <c r="D722" s="45"/>
      <c r="E722" s="44"/>
      <c r="F722" s="46"/>
      <c r="G722" s="51"/>
      <c r="H722" s="52"/>
      <c r="I722" s="47" t="n">
        <f aca="false">SUBTOTAL(9,I723)</f>
        <v>11359.19056</v>
      </c>
      <c r="J722" s="47" t="n">
        <f aca="false">SUBTOTAL(9,J723)</f>
        <v>2139.9607042848</v>
      </c>
      <c r="K722" s="47" t="n">
        <f aca="false">SUBTOTAL(9,K723)</f>
        <v>13701.455653472</v>
      </c>
      <c r="L722" s="47" t="n">
        <f aca="false">SUBTOTAL(9,L723)</f>
        <v>2728.23590189269</v>
      </c>
      <c r="M722" s="47" t="n">
        <f aca="false">SUBTOTAL(9,M723)</f>
        <v>16429.6915553647</v>
      </c>
      <c r="N722" s="20" t="str">
        <f aca="false">A722</f>
        <v>13.1.1</v>
      </c>
    </row>
    <row r="723" customFormat="false" ht="15" hidden="false" customHeight="false" outlineLevel="3" collapsed="false">
      <c r="A723" s="42" t="s">
        <v>1020</v>
      </c>
      <c r="B723" s="43" t="s">
        <v>1021</v>
      </c>
      <c r="C723" s="50" t="str">
        <f aca="false">VLOOKUP($B723,03_COMPOSIÇÕES!$A:$G,2,0)</f>
        <v>SWITCH, 48 PORTAS, CATEGORIA 6 - FORNECIMENTO E INSTALAÇÃO.</v>
      </c>
      <c r="D723" s="45" t="s">
        <v>59</v>
      </c>
      <c r="E723" s="44" t="str">
        <f aca="false">IF($B723="","",IFERROR(VLOOKUP($B723,#REF!,3,0),IFERROR(VLOOKUP($B723,03_COMPOSIÇÕES!$A:$G,4,0),"")))</f>
        <v>UN</v>
      </c>
      <c r="F723" s="46" t="n">
        <v>5</v>
      </c>
      <c r="G723" s="51" t="n">
        <f aca="false">VLOOKUP($B723,03_COMPOSIÇÕES!$A:$G,6,0)</f>
        <v>2271.838112</v>
      </c>
      <c r="H723" s="52" t="n">
        <f aca="false">VLOOKUP($B723,03_COMPOSIÇÕES!$A:$G,7,0)</f>
        <v>427.99214085696</v>
      </c>
      <c r="I723" s="47" t="n">
        <f aca="false">$F723*$G723</f>
        <v>11359.19056</v>
      </c>
      <c r="J723" s="47" t="n">
        <f aca="false">$F723*$H723</f>
        <v>2139.9607042848</v>
      </c>
      <c r="K723" s="47" t="n">
        <f aca="false">$I723*(1+BDI_MAT)</f>
        <v>13701.455653472</v>
      </c>
      <c r="L723" s="47" t="n">
        <f aca="false">$J723*(1+BDI_MDO)</f>
        <v>2728.23590189269</v>
      </c>
      <c r="M723" s="47" t="n">
        <f aca="false">SUM(K723:L723)</f>
        <v>16429.6915553647</v>
      </c>
      <c r="N723" s="20" t="str">
        <f aca="false">A723</f>
        <v>13.1.1.1</v>
      </c>
    </row>
    <row r="724" customFormat="false" ht="15" hidden="false" customHeight="false" outlineLevel="2" collapsed="false">
      <c r="A724" s="42" t="s">
        <v>1022</v>
      </c>
      <c r="B724" s="43"/>
      <c r="C724" s="50" t="s">
        <v>1023</v>
      </c>
      <c r="D724" s="45"/>
      <c r="E724" s="44"/>
      <c r="F724" s="46"/>
      <c r="G724" s="51"/>
      <c r="H724" s="52"/>
      <c r="I724" s="47" t="n">
        <f aca="false">SUBTOTAL(9,I725:I727)</f>
        <v>22084.04182</v>
      </c>
      <c r="J724" s="47" t="n">
        <f aca="false">SUBTOTAL(9,J725:J727)</f>
        <v>8900.6605063128</v>
      </c>
      <c r="K724" s="47" t="n">
        <f aca="false">SUBTOTAL(9,K725:K727)</f>
        <v>26637.771243284</v>
      </c>
      <c r="L724" s="47" t="n">
        <f aca="false">SUBTOTAL(9,L725:L727)</f>
        <v>11347.4520794982</v>
      </c>
      <c r="M724" s="47" t="n">
        <f aca="false">SUBTOTAL(9,M725:M727)</f>
        <v>37985.2233227822</v>
      </c>
      <c r="N724" s="20" t="str">
        <f aca="false">A724</f>
        <v>13.1.2</v>
      </c>
    </row>
    <row r="725" customFormat="false" ht="30" hidden="false" customHeight="false" outlineLevel="3" collapsed="false">
      <c r="A725" s="42" t="s">
        <v>1024</v>
      </c>
      <c r="B725" s="43" t="s">
        <v>1025</v>
      </c>
      <c r="C725" s="50" t="str">
        <f aca="false">VLOOKUP($B725,03_COMPOSIÇÕES!$A:$G,2,0)</f>
        <v>CONECTOR MACHO DE REDE RJ45, CAT 6 - FORNECIMENTO E INSTALAÇÃO.</v>
      </c>
      <c r="D725" s="45" t="s">
        <v>59</v>
      </c>
      <c r="E725" s="44" t="str">
        <f aca="false">IF($B725="","",IFERROR(VLOOKUP($B725,#REF!,3,0),IFERROR(VLOOKUP($B725,03_COMPOSIÇÕES!$A:$G,4,0),"")))</f>
        <v>UN</v>
      </c>
      <c r="F725" s="46" t="n">
        <v>914</v>
      </c>
      <c r="G725" s="51" t="n">
        <f aca="false">VLOOKUP($B725,03_COMPOSIÇÕES!$A:$G,6,0)</f>
        <v>6.559496</v>
      </c>
      <c r="H725" s="52" t="n">
        <f aca="false">VLOOKUP($B725,03_COMPOSIÇÕES!$A:$G,7,0)</f>
        <v>7.16121745632</v>
      </c>
      <c r="I725" s="47" t="n">
        <f aca="false">$F725*$G725</f>
        <v>5995.379344</v>
      </c>
      <c r="J725" s="47" t="n">
        <f aca="false">$F725*$H725</f>
        <v>6545.35275507648</v>
      </c>
      <c r="K725" s="47" t="n">
        <f aca="false">$I725*(1+BDI_MAT)</f>
        <v>7231.6265647328</v>
      </c>
      <c r="L725" s="47" t="n">
        <f aca="false">$J725*(1+BDI_MDO)</f>
        <v>8344.670227447</v>
      </c>
      <c r="M725" s="47" t="n">
        <f aca="false">SUM(K725:L725)</f>
        <v>15576.2967921798</v>
      </c>
      <c r="N725" s="20" t="str">
        <f aca="false">A725</f>
        <v>13.1.2.1</v>
      </c>
    </row>
    <row r="726" customFormat="false" ht="30" hidden="false" customHeight="false" outlineLevel="3" collapsed="false">
      <c r="A726" s="42" t="s">
        <v>1026</v>
      </c>
      <c r="B726" s="43" t="n">
        <v>98304</v>
      </c>
      <c r="C726" s="50" t="str">
        <f aca="false">VLOOKUP($B726,03_COMPOSIÇÕES!$A:$G,2,0)</f>
        <v>PATCH PANEL 48 PORTAS, CATEGORIA 6 - FORNECIMENTO E INSTALAÇÃO. AF_11/2019</v>
      </c>
      <c r="D726" s="45" t="s">
        <v>59</v>
      </c>
      <c r="E726" s="44" t="str">
        <f aca="false">IF($B726="","",IFERROR(VLOOKUP($B726,#REF!,3,0),IFERROR(VLOOKUP($B726,03_COMPOSIÇÕES!$A:$G,4,0),"")))</f>
        <v>UN</v>
      </c>
      <c r="F726" s="46" t="n">
        <v>5</v>
      </c>
      <c r="G726" s="51" t="n">
        <f aca="false">VLOOKUP($B726,03_COMPOSIÇÕES!$A:$G,6,0)</f>
        <v>3199.031184</v>
      </c>
      <c r="H726" s="52" t="n">
        <f aca="false">VLOOKUP($B726,03_COMPOSIÇÕES!$A:$G,7,0)</f>
        <v>427.99214085696</v>
      </c>
      <c r="I726" s="47" t="n">
        <f aca="false">$F726*$G726</f>
        <v>15995.15592</v>
      </c>
      <c r="J726" s="47" t="n">
        <f aca="false">$F726*$H726</f>
        <v>2139.9607042848</v>
      </c>
      <c r="K726" s="47" t="n">
        <f aca="false">$I726*(1+BDI_MAT)</f>
        <v>19293.357070704</v>
      </c>
      <c r="L726" s="47" t="n">
        <f aca="false">$J726*(1+BDI_MDO)</f>
        <v>2728.23590189269</v>
      </c>
      <c r="M726" s="47" t="n">
        <f aca="false">SUM(K726:L726)</f>
        <v>22021.5929725967</v>
      </c>
      <c r="N726" s="20" t="str">
        <f aca="false">A726</f>
        <v>13.1.2.2</v>
      </c>
    </row>
    <row r="727" customFormat="false" ht="30" hidden="false" customHeight="false" outlineLevel="3" collapsed="false">
      <c r="A727" s="42" t="s">
        <v>1027</v>
      </c>
      <c r="B727" s="43" t="n">
        <v>98302</v>
      </c>
      <c r="C727" s="50" t="str">
        <f aca="false">VLOOKUP($B727,03_COMPOSIÇÕES!$A:$G,2,0)</f>
        <v>PATCH PANEL 24 PORTAS, CATEGORIA 6 - FORNECIMENTO E INSTALAÇÃO. AF_11/2019</v>
      </c>
      <c r="D727" s="45" t="s">
        <v>59</v>
      </c>
      <c r="E727" s="44" t="str">
        <f aca="false">IF($B727="","",IFERROR(VLOOKUP($B727,#REF!,3,0),IFERROR(VLOOKUP($B727,03_COMPOSIÇÕES!$A:$G,4,0),"")))</f>
        <v>UN</v>
      </c>
      <c r="F727" s="46" t="n">
        <v>1</v>
      </c>
      <c r="G727" s="51" t="n">
        <f aca="false">VLOOKUP($B727,03_COMPOSIÇÕES!$A:$G,6,0)</f>
        <v>93.506556</v>
      </c>
      <c r="H727" s="52" t="n">
        <f aca="false">VLOOKUP($B727,03_COMPOSIÇÕES!$A:$G,7,0)</f>
        <v>215.34704695152</v>
      </c>
      <c r="I727" s="47" t="n">
        <f aca="false">$F727*$G727</f>
        <v>93.506556</v>
      </c>
      <c r="J727" s="47" t="n">
        <f aca="false">$F727*$H727</f>
        <v>215.34704695152</v>
      </c>
      <c r="K727" s="47" t="n">
        <f aca="false">$I727*(1+BDI_MAT)</f>
        <v>112.7876078472</v>
      </c>
      <c r="L727" s="47" t="n">
        <f aca="false">$J727*(1+BDI_MDO)</f>
        <v>274.545950158493</v>
      </c>
      <c r="M727" s="47" t="n">
        <f aca="false">SUM(K727:L727)</f>
        <v>387.333558005693</v>
      </c>
      <c r="N727" s="20" t="str">
        <f aca="false">A727</f>
        <v>13.1.2.3</v>
      </c>
    </row>
    <row r="728" customFormat="false" ht="15" hidden="false" customHeight="false" outlineLevel="2" collapsed="false">
      <c r="A728" s="42" t="s">
        <v>1028</v>
      </c>
      <c r="B728" s="43"/>
      <c r="C728" s="50" t="s">
        <v>1029</v>
      </c>
      <c r="D728" s="45"/>
      <c r="E728" s="44"/>
      <c r="F728" s="46"/>
      <c r="G728" s="51"/>
      <c r="H728" s="52"/>
      <c r="I728" s="47" t="n">
        <f aca="false">SUBTOTAL(9,I729)</f>
        <v>3102.24874666667</v>
      </c>
      <c r="J728" s="47" t="n">
        <f aca="false">SUBTOTAL(9,J729)</f>
        <v>35.6324399136</v>
      </c>
      <c r="K728" s="47" t="n">
        <f aca="false">SUBTOTAL(9,K729)</f>
        <v>3741.93243822933</v>
      </c>
      <c r="L728" s="47" t="n">
        <f aca="false">SUBTOTAL(9,L729)</f>
        <v>45.4277976458486</v>
      </c>
      <c r="M728" s="47" t="n">
        <f aca="false">SUBTOTAL(9,M729)</f>
        <v>3787.36023587518</v>
      </c>
      <c r="N728" s="20" t="str">
        <f aca="false">A728</f>
        <v>13.1.3</v>
      </c>
    </row>
    <row r="729" customFormat="false" ht="30" hidden="false" customHeight="false" outlineLevel="3" collapsed="false">
      <c r="A729" s="42" t="s">
        <v>1030</v>
      </c>
      <c r="B729" s="43" t="s">
        <v>1031</v>
      </c>
      <c r="C729" s="50" t="str">
        <f aca="false">VLOOKUP($B729,03_COMPOSIÇÕES!$A:$G,2,0)</f>
        <v>RACK EM COLUNA 44U PARA SERVIDOR, INCLUSOS FILTRO DE LINHA E NOBREAK - FORNECIMENTO E INSTALAÇÃO.</v>
      </c>
      <c r="D729" s="45" t="s">
        <v>59</v>
      </c>
      <c r="E729" s="44" t="str">
        <f aca="false">IF($B729="","",IFERROR(VLOOKUP($B729,#REF!,3,0),IFERROR(VLOOKUP($B729,03_COMPOSIÇÕES!$A:$G,4,0),"")))</f>
        <v>UN</v>
      </c>
      <c r="F729" s="46" t="n">
        <v>1</v>
      </c>
      <c r="G729" s="51" t="n">
        <f aca="false">VLOOKUP($B729,03_COMPOSIÇÕES!$A:$G,6,0)</f>
        <v>3102.24874666667</v>
      </c>
      <c r="H729" s="52" t="n">
        <f aca="false">VLOOKUP($B729,03_COMPOSIÇÕES!$A:$G,7,0)</f>
        <v>35.6324399136</v>
      </c>
      <c r="I729" s="47" t="n">
        <f aca="false">$F729*$G729</f>
        <v>3102.24874666667</v>
      </c>
      <c r="J729" s="47" t="n">
        <f aca="false">$F729*$H729</f>
        <v>35.6324399136</v>
      </c>
      <c r="K729" s="47" t="n">
        <f aca="false">$I729*(1+BDI_MAT)</f>
        <v>3741.93243822933</v>
      </c>
      <c r="L729" s="47" t="n">
        <f aca="false">$J729*(1+BDI_MDO)</f>
        <v>45.4277976458486</v>
      </c>
      <c r="M729" s="47" t="n">
        <f aca="false">SUM(K729:L729)</f>
        <v>3787.36023587518</v>
      </c>
      <c r="N729" s="20" t="str">
        <f aca="false">A729</f>
        <v>13.1.3.1</v>
      </c>
    </row>
    <row r="730" customFormat="false" ht="15" hidden="false" customHeight="false" outlineLevel="2" collapsed="false">
      <c r="A730" s="42" t="s">
        <v>1032</v>
      </c>
      <c r="B730" s="43"/>
      <c r="C730" s="50" t="s">
        <v>1033</v>
      </c>
      <c r="D730" s="45"/>
      <c r="E730" s="44"/>
      <c r="F730" s="46"/>
      <c r="G730" s="51"/>
      <c r="H730" s="52"/>
      <c r="I730" s="47" t="n">
        <f aca="false">SUBTOTAL(9,I731)</f>
        <v>37.7</v>
      </c>
      <c r="J730" s="47" t="n">
        <f aca="false">SUBTOTAL(9,J731)</f>
        <v>86.823684</v>
      </c>
      <c r="K730" s="47" t="n">
        <f aca="false">SUBTOTAL(9,K731)</f>
        <v>45.47374</v>
      </c>
      <c r="L730" s="47" t="n">
        <f aca="false">SUBTOTAL(9,L731)</f>
        <v>110.6915147316</v>
      </c>
      <c r="M730" s="47" t="n">
        <f aca="false">SUBTOTAL(9,M731)</f>
        <v>156.1652547316</v>
      </c>
      <c r="N730" s="20" t="str">
        <f aca="false">A730</f>
        <v>13.1.4</v>
      </c>
    </row>
    <row r="731" customFormat="false" ht="30" hidden="false" customHeight="false" outlineLevel="2" collapsed="false">
      <c r="A731" s="42" t="s">
        <v>1034</v>
      </c>
      <c r="B731" s="43" t="s">
        <v>1035</v>
      </c>
      <c r="C731" s="50" t="str">
        <f aca="false">VLOOKUP($B731,03_COMPOSIÇÕES!$A:$G,2,0)</f>
        <v>DISTRIBUIDOR INTERNO ÓPTICO - D.I.O. PARA 24 FIBRAS MULTIMODO, COM CONCETORES LC - FORNECIMENTO E INSTALAÇÃO.</v>
      </c>
      <c r="D731" s="45" t="s">
        <v>59</v>
      </c>
      <c r="E731" s="44" t="str">
        <f aca="false">IF($B731="","",IFERROR(VLOOKUP($B731,#REF!,3,0),IFERROR(VLOOKUP($B731,03_COMPOSIÇÕES!$A:$G,4,0),"")))</f>
        <v>UN</v>
      </c>
      <c r="F731" s="46" t="n">
        <v>1</v>
      </c>
      <c r="G731" s="51" t="n">
        <f aca="false">VLOOKUP($B731,03_COMPOSIÇÕES!$A:$G,6,0)</f>
        <v>37.7</v>
      </c>
      <c r="H731" s="52" t="n">
        <f aca="false">VLOOKUP($B731,03_COMPOSIÇÕES!$A:$G,7,0)</f>
        <v>86.823684</v>
      </c>
      <c r="I731" s="47" t="n">
        <f aca="false">$F731*$G731</f>
        <v>37.7</v>
      </c>
      <c r="J731" s="47" t="n">
        <f aca="false">$F731*$H731</f>
        <v>86.823684</v>
      </c>
      <c r="K731" s="47" t="n">
        <f aca="false">$I731*(1+BDI_MAT)</f>
        <v>45.47374</v>
      </c>
      <c r="L731" s="47" t="n">
        <f aca="false">$J731*(1+BDI_MDO)</f>
        <v>110.6915147316</v>
      </c>
      <c r="M731" s="47" t="n">
        <f aca="false">SUM(K731:L731)</f>
        <v>156.1652547316</v>
      </c>
      <c r="N731" s="20" t="str">
        <f aca="false">A731</f>
        <v>13.1.4.1</v>
      </c>
    </row>
    <row r="732" customFormat="false" ht="15" hidden="false" customHeight="false" outlineLevel="1" collapsed="false">
      <c r="A732" s="42" t="s">
        <v>1036</v>
      </c>
      <c r="B732" s="43"/>
      <c r="C732" s="50" t="s">
        <v>1037</v>
      </c>
      <c r="D732" s="45"/>
      <c r="E732" s="44"/>
      <c r="F732" s="46"/>
      <c r="G732" s="51"/>
      <c r="H732" s="52"/>
      <c r="I732" s="47" t="n">
        <f aca="false">SUBTOTAL(9,I733)</f>
        <v>920.99918706</v>
      </c>
      <c r="J732" s="47" t="n">
        <f aca="false">SUBTOTAL(9,J733)</f>
        <v>1490.40854341452</v>
      </c>
      <c r="K732" s="47" t="n">
        <f aca="false">SUBTOTAL(9,K733)</f>
        <v>1110.90921943177</v>
      </c>
      <c r="L732" s="47" t="n">
        <f aca="false">SUBTOTAL(9,L733)</f>
        <v>1900.12185199917</v>
      </c>
      <c r="M732" s="47" t="n">
        <f aca="false">SUBTOTAL(9,M733)</f>
        <v>3011.03107143094</v>
      </c>
      <c r="N732" s="20" t="str">
        <f aca="false">A732</f>
        <v>13.2</v>
      </c>
    </row>
    <row r="733" customFormat="false" ht="30" hidden="false" customHeight="false" outlineLevel="2" collapsed="false">
      <c r="A733" s="42" t="s">
        <v>1038</v>
      </c>
      <c r="B733" s="43" t="n">
        <v>91940</v>
      </c>
      <c r="C733" s="50" t="str">
        <f aca="false">VLOOKUP($B733,03_COMPOSIÇÕES!$A:$G,2,0)</f>
        <v>CAIXA RETANGULAR 4" X 2" MÉDIA (1,30 M DO PISO), PVC, INSTALADA EM PAREDE - FORNECIMENTO E INSTALAÇÃO. AF_03/2023</v>
      </c>
      <c r="D733" s="45" t="s">
        <v>59</v>
      </c>
      <c r="E733" s="44" t="str">
        <f aca="false">IF($B733="","",IFERROR(VLOOKUP($B733,#REF!,3,0),IFERROR(VLOOKUP($B733,03_COMPOSIÇÕES!$A:$G,4,0),"")))</f>
        <v>UN</v>
      </c>
      <c r="F733" s="46" t="n">
        <v>146</v>
      </c>
      <c r="G733" s="51" t="n">
        <f aca="false">VLOOKUP($B733,03_COMPOSIÇÕES!$A:$G,6,0)</f>
        <v>6.30821361</v>
      </c>
      <c r="H733" s="52" t="n">
        <f aca="false">VLOOKUP($B733,03_COMPOSIÇÕES!$A:$G,7,0)</f>
        <v>10.20827769462</v>
      </c>
      <c r="I733" s="47" t="n">
        <f aca="false">$F733*$G733</f>
        <v>920.99918706</v>
      </c>
      <c r="J733" s="47" t="n">
        <f aca="false">$F733*$H733</f>
        <v>1490.40854341452</v>
      </c>
      <c r="K733" s="47" t="n">
        <f aca="false">$I733*(1+BDI_MAT)</f>
        <v>1110.90921943177</v>
      </c>
      <c r="L733" s="47" t="n">
        <f aca="false">$J733*(1+BDI_MDO)</f>
        <v>1900.12185199917</v>
      </c>
      <c r="M733" s="47" t="n">
        <f aca="false">SUM(K733:L733)</f>
        <v>3011.03107143094</v>
      </c>
      <c r="N733" s="20" t="str">
        <f aca="false">A733</f>
        <v>13.2.1</v>
      </c>
    </row>
    <row r="734" customFormat="false" ht="15" hidden="false" customHeight="false" outlineLevel="1" collapsed="false">
      <c r="A734" s="42" t="s">
        <v>1039</v>
      </c>
      <c r="B734" s="43"/>
      <c r="C734" s="50" t="s">
        <v>881</v>
      </c>
      <c r="D734" s="45"/>
      <c r="E734" s="44"/>
      <c r="F734" s="46"/>
      <c r="G734" s="51"/>
      <c r="H734" s="52"/>
      <c r="I734" s="47" t="n">
        <f aca="false">SUBTOTAL(9,I735)</f>
        <v>1040.23348</v>
      </c>
      <c r="J734" s="47" t="n">
        <f aca="false">SUBTOTAL(9,J735)</f>
        <v>2395.6738184016</v>
      </c>
      <c r="K734" s="47" t="n">
        <f aca="false">SUBTOTAL(9,K735)</f>
        <v>1254.729623576</v>
      </c>
      <c r="L734" s="47" t="n">
        <f aca="false">SUBTOTAL(9,L735)</f>
        <v>3054.2445510802</v>
      </c>
      <c r="M734" s="47" t="n">
        <f aca="false">SUBTOTAL(9,M735)</f>
        <v>4308.9741746562</v>
      </c>
      <c r="N734" s="20" t="str">
        <f aca="false">A734</f>
        <v>13.3</v>
      </c>
    </row>
    <row r="735" customFormat="false" ht="30" hidden="false" customHeight="false" outlineLevel="2" collapsed="false">
      <c r="A735" s="42" t="s">
        <v>1040</v>
      </c>
      <c r="B735" s="43" t="s">
        <v>1041</v>
      </c>
      <c r="C735" s="50" t="str">
        <f aca="false">VLOOKUP($B735,03_COMPOSIÇÕES!$A:$G,2,0)</f>
        <v>CABO ELETRÔNICO CATEGORIA 6, INSTALADO EM EDIFICAÇÃO INSTITUCIONAL - FORNECIMENTO E INSTALAÇÃO.</v>
      </c>
      <c r="D735" s="45" t="s">
        <v>59</v>
      </c>
      <c r="E735" s="44" t="str">
        <f aca="false">IF($B735="","",IFERROR(VLOOKUP($B735,#REF!,3,0),IFERROR(VLOOKUP($B735,03_COMPOSIÇÕES!$A:$G,4,0),"")))</f>
        <v>M</v>
      </c>
      <c r="F735" s="46" t="n">
        <v>12542</v>
      </c>
      <c r="G735" s="51" t="n">
        <f aca="false">VLOOKUP($B735,03_COMPOSIÇÕES!$A:$G,6,0)</f>
        <v>0.08294</v>
      </c>
      <c r="H735" s="52" t="n">
        <f aca="false">VLOOKUP($B735,03_COMPOSIÇÕES!$A:$G,7,0)</f>
        <v>0.1910121048</v>
      </c>
      <c r="I735" s="47" t="n">
        <f aca="false">$F735*$G735</f>
        <v>1040.23348</v>
      </c>
      <c r="J735" s="47" t="n">
        <f aca="false">$F735*$H735</f>
        <v>2395.6738184016</v>
      </c>
      <c r="K735" s="47" t="n">
        <f aca="false">$I735*(1+BDI_MAT)</f>
        <v>1254.729623576</v>
      </c>
      <c r="L735" s="47" t="n">
        <f aca="false">$J735*(1+BDI_MDO)</f>
        <v>3054.2445510802</v>
      </c>
      <c r="M735" s="47" t="n">
        <f aca="false">SUM(K735:L735)</f>
        <v>4308.9741746562</v>
      </c>
      <c r="N735" s="20" t="str">
        <f aca="false">A735</f>
        <v>13.3.1</v>
      </c>
    </row>
    <row r="736" customFormat="false" ht="15" hidden="false" customHeight="false" outlineLevel="1" collapsed="false">
      <c r="A736" s="42" t="s">
        <v>1042</v>
      </c>
      <c r="B736" s="43"/>
      <c r="C736" s="50" t="s">
        <v>688</v>
      </c>
      <c r="D736" s="45"/>
      <c r="E736" s="44"/>
      <c r="F736" s="46"/>
      <c r="G736" s="51"/>
      <c r="H736" s="52"/>
      <c r="I736" s="47" t="n">
        <f aca="false">SUBTOTAL(9,I737:I737)</f>
        <v>293.5491</v>
      </c>
      <c r="J736" s="47" t="n">
        <f aca="false">SUBTOTAL(9,J737:J737)</f>
        <v>59.93969141616</v>
      </c>
      <c r="K736" s="47" t="n">
        <f aca="false">SUBTOTAL(9,K737:K737)</f>
        <v>354.07892442</v>
      </c>
      <c r="L736" s="47" t="n">
        <f aca="false">SUBTOTAL(9,L737:L737)</f>
        <v>76.4171125864624</v>
      </c>
      <c r="M736" s="47" t="n">
        <f aca="false">SUBTOTAL(9,M737:M737)</f>
        <v>430.496037006462</v>
      </c>
      <c r="N736" s="20" t="str">
        <f aca="false">A736</f>
        <v>13.4</v>
      </c>
    </row>
    <row r="737" customFormat="false" ht="30" hidden="false" customHeight="false" outlineLevel="2" collapsed="false">
      <c r="A737" s="42" t="s">
        <v>1043</v>
      </c>
      <c r="B737" s="43" t="s">
        <v>1044</v>
      </c>
      <c r="C737" s="50" t="str">
        <f aca="false">VLOOKUP($B737,03_COMPOSIÇÕES!$A:$G,2,0)</f>
        <v>CAIXA DE PASSAGEM PARA TELEFONE 20X20CM, DE EMBUTIR - FORNECIMENTO E INSTALACAO.</v>
      </c>
      <c r="D737" s="45" t="s">
        <v>59</v>
      </c>
      <c r="E737" s="44" t="str">
        <f aca="false">IF($B737="","",IFERROR(VLOOKUP($B737,#REF!,3,0),IFERROR(VLOOKUP($B737,03_COMPOSIÇÕES!$A:$G,4,0),"")))</f>
        <v>UN</v>
      </c>
      <c r="F737" s="46" t="n">
        <v>4</v>
      </c>
      <c r="G737" s="51" t="n">
        <f aca="false">VLOOKUP($B737,03_COMPOSIÇÕES!$A:$G,6,0)</f>
        <v>73.387275</v>
      </c>
      <c r="H737" s="52" t="n">
        <f aca="false">VLOOKUP($B737,03_COMPOSIÇÕES!$A:$G,7,0)</f>
        <v>14.98492285404</v>
      </c>
      <c r="I737" s="47" t="n">
        <f aca="false">$F737*$G737</f>
        <v>293.5491</v>
      </c>
      <c r="J737" s="47" t="n">
        <f aca="false">$F737*$H737</f>
        <v>59.93969141616</v>
      </c>
      <c r="K737" s="47" t="n">
        <f aca="false">$I737*(1+BDI_MAT)</f>
        <v>354.07892442</v>
      </c>
      <c r="L737" s="47" t="n">
        <f aca="false">$J737*(1+BDI_MDO)</f>
        <v>76.4171125864624</v>
      </c>
      <c r="M737" s="47" t="n">
        <f aca="false">SUM(K737:L737)</f>
        <v>430.496037006462</v>
      </c>
      <c r="N737" s="20" t="str">
        <f aca="false">A737</f>
        <v>13.4.1</v>
      </c>
    </row>
    <row r="738" customFormat="false" ht="15" hidden="false" customHeight="false" outlineLevel="1" collapsed="false">
      <c r="A738" s="42" t="s">
        <v>1045</v>
      </c>
      <c r="B738" s="43"/>
      <c r="C738" s="50" t="s">
        <v>940</v>
      </c>
      <c r="D738" s="45"/>
      <c r="E738" s="44"/>
      <c r="F738" s="46"/>
      <c r="G738" s="51"/>
      <c r="H738" s="52"/>
      <c r="I738" s="47" t="n">
        <f aca="false">SUBTOTAL(9,I739)</f>
        <v>4539.02437333333</v>
      </c>
      <c r="J738" s="47" t="n">
        <f aca="false">SUBTOTAL(9,J739)</f>
        <v>501.2852219424</v>
      </c>
      <c r="K738" s="47" t="n">
        <f aca="false">SUBTOTAL(9,K739)</f>
        <v>5474.97119911467</v>
      </c>
      <c r="L738" s="47" t="n">
        <f aca="false">SUBTOTAL(9,L739)</f>
        <v>639.088529454366</v>
      </c>
      <c r="M738" s="47" t="n">
        <f aca="false">SUBTOTAL(9,M739)</f>
        <v>6114.05972856903</v>
      </c>
      <c r="N738" s="20" t="str">
        <f aca="false">A738</f>
        <v>13.5</v>
      </c>
    </row>
    <row r="739" customFormat="false" ht="15" hidden="false" customHeight="false" outlineLevel="2" collapsed="false">
      <c r="A739" s="42" t="s">
        <v>1046</v>
      </c>
      <c r="B739" s="43" t="s">
        <v>1047</v>
      </c>
      <c r="C739" s="50" t="str">
        <f aca="false">VLOOKUP($B739,03_COMPOSIÇÕES!$A:$G,2,0)</f>
        <v>TOMADA DE REDE 2xRJ45, CAT6 - FORNECIMENTO E INSTALAÇÃO.</v>
      </c>
      <c r="D739" s="45" t="s">
        <v>59</v>
      </c>
      <c r="E739" s="44" t="str">
        <f aca="false">IF($B739="","",IFERROR(VLOOKUP($B739,#REF!,3,0),IFERROR(VLOOKUP($B739,03_COMPOSIÇÕES!$A:$G,4,0),"")))</f>
        <v>UN</v>
      </c>
      <c r="F739" s="46" t="n">
        <v>70</v>
      </c>
      <c r="G739" s="51" t="n">
        <f aca="false">VLOOKUP($B739,03_COMPOSIÇÕES!$A:$G,6,0)</f>
        <v>64.8432053333333</v>
      </c>
      <c r="H739" s="52" t="n">
        <f aca="false">VLOOKUP($B739,03_COMPOSIÇÕES!$A:$G,7,0)</f>
        <v>7.16121745632</v>
      </c>
      <c r="I739" s="47" t="n">
        <f aca="false">$F739*$G739</f>
        <v>4539.02437333333</v>
      </c>
      <c r="J739" s="47" t="n">
        <f aca="false">$F739*$H739</f>
        <v>501.2852219424</v>
      </c>
      <c r="K739" s="47" t="n">
        <f aca="false">$I739*(1+BDI_MAT)</f>
        <v>5474.97119911467</v>
      </c>
      <c r="L739" s="47" t="n">
        <f aca="false">$J739*(1+BDI_MDO)</f>
        <v>639.088529454366</v>
      </c>
      <c r="M739" s="47" t="n">
        <f aca="false">SUM(K739:L739)</f>
        <v>6114.05972856903</v>
      </c>
      <c r="N739" s="20" t="str">
        <f aca="false">A739</f>
        <v>13.5.1</v>
      </c>
    </row>
    <row r="740" customFormat="false" ht="15" hidden="false" customHeight="false" outlineLevel="1" collapsed="false">
      <c r="A740" s="42" t="s">
        <v>1048</v>
      </c>
      <c r="B740" s="43"/>
      <c r="C740" s="50" t="s">
        <v>916</v>
      </c>
      <c r="D740" s="45"/>
      <c r="E740" s="44"/>
      <c r="F740" s="46"/>
      <c r="G740" s="51"/>
      <c r="H740" s="52"/>
      <c r="I740" s="47" t="n">
        <f aca="false">SUBTOTAL(9,I741:I745)</f>
        <v>14103.7955032178</v>
      </c>
      <c r="J740" s="47" t="n">
        <f aca="false">SUBTOTAL(9,J741:J745)</f>
        <v>1129.19859956448</v>
      </c>
      <c r="K740" s="47" t="n">
        <f aca="false">SUBTOTAL(9,K741:K745)</f>
        <v>17011.9981359813</v>
      </c>
      <c r="L740" s="47" t="n">
        <f aca="false">SUBTOTAL(9,L741:L745)</f>
        <v>1439.61529458476</v>
      </c>
      <c r="M740" s="47" t="n">
        <f aca="false">SUBTOTAL(9,M741:M745)</f>
        <v>18451.613430566</v>
      </c>
      <c r="N740" s="20" t="str">
        <f aca="false">A740</f>
        <v>13.6</v>
      </c>
    </row>
    <row r="741" customFormat="false" ht="45" hidden="false" customHeight="false" outlineLevel="2" collapsed="false">
      <c r="A741" s="42" t="s">
        <v>1049</v>
      </c>
      <c r="B741" s="43" t="s">
        <v>934</v>
      </c>
      <c r="C741" s="50" t="str">
        <f aca="false">VLOOKUP($B741,03_COMPOSIÇÕES!$A:$G,2,0)</f>
        <v>ELETROCALHA LISA OU PERFURADA EM AÇO GALVANIZADO, LARGURA 150MM E ALTURA 50MM, INCLUSIVE EMENDA, TAMPA E FIXAÇÃO - FORNECIMENTO E INSTALAÇÃO.</v>
      </c>
      <c r="D741" s="45" t="s">
        <v>59</v>
      </c>
      <c r="E741" s="44" t="str">
        <f aca="false">IF($B741="","",IFERROR(VLOOKUP($B741,#REF!,3,0),IFERROR(VLOOKUP($B741,03_COMPOSIÇÕES!$A:$G,4,0),"")))</f>
        <v>M</v>
      </c>
      <c r="F741" s="46" t="n">
        <v>160</v>
      </c>
      <c r="G741" s="51" t="n">
        <f aca="false">VLOOKUP($B741,03_COMPOSIÇÕES!$A:$G,6,0)</f>
        <v>82.1659901284444</v>
      </c>
      <c r="H741" s="52" t="n">
        <f aca="false">VLOOKUP($B741,03_COMPOSIÇÕES!$A:$G,7,0)</f>
        <v>5.3175226806</v>
      </c>
      <c r="I741" s="47" t="n">
        <f aca="false">$F741*$G741</f>
        <v>13146.5584205511</v>
      </c>
      <c r="J741" s="47" t="n">
        <f aca="false">$F741*$H741</f>
        <v>850.803628896</v>
      </c>
      <c r="K741" s="47" t="n">
        <f aca="false">$I741*(1+BDI_MAT)</f>
        <v>15857.3787668687</v>
      </c>
      <c r="L741" s="47" t="n">
        <f aca="false">$J741*(1+BDI_MDO)</f>
        <v>1084.68954647951</v>
      </c>
      <c r="M741" s="47" t="n">
        <f aca="false">SUM(K741:L741)</f>
        <v>16942.0683133483</v>
      </c>
      <c r="N741" s="20" t="str">
        <f aca="false">A741</f>
        <v>13.6.1</v>
      </c>
    </row>
    <row r="742" customFormat="false" ht="45" hidden="false" customHeight="false" outlineLevel="2" collapsed="false">
      <c r="A742" s="42" t="s">
        <v>1050</v>
      </c>
      <c r="B742" s="43" t="s">
        <v>932</v>
      </c>
      <c r="C742" s="50" t="str">
        <f aca="false">VLOOKUP($B742,03_COMPOSIÇÕES!$A:$G,2,0)</f>
        <v>TÊ HORIZONTAL 90º, PARA ELETROCALHA, LISA OU PERFURADA EM AÇO GALVANIZADO, LARGURA DE 150MM E ALTURA DE 50MM - FORNECIMENTO E INSTALAÇÃO.</v>
      </c>
      <c r="D742" s="45" t="s">
        <v>59</v>
      </c>
      <c r="E742" s="44" t="str">
        <f aca="false">IF($B742="","",IFERROR(VLOOKUP($B742,#REF!,3,0),IFERROR(VLOOKUP($B742,03_COMPOSIÇÕES!$A:$G,4,0),"")))</f>
        <v>UN</v>
      </c>
      <c r="F742" s="46" t="n">
        <v>4</v>
      </c>
      <c r="G742" s="51" t="n">
        <f aca="false">VLOOKUP($B742,03_COMPOSIÇÕES!$A:$G,6,0)</f>
        <v>82.4384146666667</v>
      </c>
      <c r="H742" s="52" t="n">
        <f aca="false">VLOOKUP($B742,03_COMPOSIÇÕES!$A:$G,7,0)</f>
        <v>22.46649647184</v>
      </c>
      <c r="I742" s="47" t="n">
        <f aca="false">$F742*$G742</f>
        <v>329.753658666667</v>
      </c>
      <c r="J742" s="47" t="n">
        <f aca="false">$F742*$H742</f>
        <v>89.86598588736</v>
      </c>
      <c r="K742" s="47" t="n">
        <f aca="false">$I742*(1+BDI_MAT)</f>
        <v>397.748863083733</v>
      </c>
      <c r="L742" s="47" t="n">
        <f aca="false">$J742*(1+BDI_MDO)</f>
        <v>114.570145407795</v>
      </c>
      <c r="M742" s="47" t="n">
        <f aca="false">SUM(K742:L742)</f>
        <v>512.319008491529</v>
      </c>
      <c r="N742" s="20" t="str">
        <f aca="false">A742</f>
        <v>13.6.2</v>
      </c>
    </row>
    <row r="743" customFormat="false" ht="45" hidden="false" customHeight="false" outlineLevel="2" collapsed="false">
      <c r="A743" s="42" t="s">
        <v>1051</v>
      </c>
      <c r="B743" s="43" t="s">
        <v>1052</v>
      </c>
      <c r="C743" s="50" t="str">
        <f aca="false">VLOOKUP($B743,03_COMPOSIÇÕES!$A:$G,2,0)</f>
        <v>CURVA DE INVERSÃO 90º, PARA ELETROCALHA, LISA OU PERFURADA EM AÇO GALVANIZADO, LARGURA DE 150MM E ALTURA DE 50MM - FORNECIMENTO E INSTALAÇÃO.</v>
      </c>
      <c r="D743" s="45" t="s">
        <v>59</v>
      </c>
      <c r="E743" s="44" t="str">
        <f aca="false">IF($B743="","",IFERROR(VLOOKUP($B743,#REF!,3,0),IFERROR(VLOOKUP($B743,03_COMPOSIÇÕES!$A:$G,4,0),"")))</f>
        <v>UN</v>
      </c>
      <c r="F743" s="46" t="n">
        <v>3</v>
      </c>
      <c r="G743" s="51" t="n">
        <f aca="false">VLOOKUP($B743,03_COMPOSIÇÕES!$A:$G,6,0)</f>
        <v>64.8384213333334</v>
      </c>
      <c r="H743" s="52" t="n">
        <f aca="false">VLOOKUP($B743,03_COMPOSIÇÕES!$A:$G,7,0)</f>
        <v>6.67385962464</v>
      </c>
      <c r="I743" s="47" t="n">
        <f aca="false">$F743*$G743</f>
        <v>194.515264</v>
      </c>
      <c r="J743" s="47" t="n">
        <f aca="false">$F743*$H743</f>
        <v>20.02157887392</v>
      </c>
      <c r="K743" s="47" t="n">
        <f aca="false">$I743*(1+BDI_MAT)</f>
        <v>234.6243114368</v>
      </c>
      <c r="L743" s="47" t="n">
        <f aca="false">$J743*(1+BDI_MDO)</f>
        <v>25.5255109063606</v>
      </c>
      <c r="M743" s="47" t="n">
        <f aca="false">SUM(K743:L743)</f>
        <v>260.149822343161</v>
      </c>
      <c r="N743" s="20" t="str">
        <f aca="false">A743</f>
        <v>13.6.3</v>
      </c>
    </row>
    <row r="744" customFormat="false" ht="45" hidden="false" customHeight="false" outlineLevel="2" collapsed="false">
      <c r="A744" s="42" t="s">
        <v>1053</v>
      </c>
      <c r="B744" s="43" t="s">
        <v>1054</v>
      </c>
      <c r="C744" s="50" t="str">
        <f aca="false">VLOOKUP($B744,03_COMPOSIÇÕES!$A:$G,2,0)</f>
        <v>CURVA HORIZONTAL 90º, PARA ELETROCALHA, LISA OU PERFURADA EM AÇO GALVANIZADO, LARGURA DE 150MM E ALTURA DE 50MM - FORNECIMENTO E INSTALAÇÃO.</v>
      </c>
      <c r="D744" s="45" t="s">
        <v>59</v>
      </c>
      <c r="E744" s="44" t="str">
        <f aca="false">IF($B744="","",IFERROR(VLOOKUP($B744,#REF!,3,0),IFERROR(VLOOKUP($B744,03_COMPOSIÇÕES!$A:$G,4,0),"")))</f>
        <v>UN</v>
      </c>
      <c r="F744" s="46" t="n">
        <v>5</v>
      </c>
      <c r="G744" s="51" t="n">
        <f aca="false">VLOOKUP($B744,03_COMPOSIÇÕES!$A:$G,6,0)</f>
        <v>38.556816</v>
      </c>
      <c r="H744" s="52" t="n">
        <f aca="false">VLOOKUP($B744,03_COMPOSIÇÕES!$A:$G,7,0)</f>
        <v>16.85074059072</v>
      </c>
      <c r="I744" s="47" t="n">
        <f aca="false">$F744*$G744</f>
        <v>192.78408</v>
      </c>
      <c r="J744" s="47" t="n">
        <f aca="false">$F744*$H744</f>
        <v>84.2537029536</v>
      </c>
      <c r="K744" s="47" t="n">
        <f aca="false">$I744*(1+BDI_MAT)</f>
        <v>232.536157296</v>
      </c>
      <c r="L744" s="47" t="n">
        <f aca="false">$J744*(1+BDI_MDO)</f>
        <v>107.415045895545</v>
      </c>
      <c r="M744" s="47" t="n">
        <f aca="false">SUM(K744:L744)</f>
        <v>339.951203191545</v>
      </c>
      <c r="N744" s="20" t="str">
        <f aca="false">A744</f>
        <v>13.6.4</v>
      </c>
    </row>
    <row r="745" customFormat="false" ht="45" hidden="false" customHeight="false" outlineLevel="2" collapsed="false">
      <c r="A745" s="42" t="s">
        <v>1055</v>
      </c>
      <c r="B745" s="43" t="s">
        <v>1056</v>
      </c>
      <c r="C745" s="50" t="str">
        <f aca="false">VLOOKUP($B745,03_COMPOSIÇÕES!$A:$G,2,0)</f>
        <v>CURVA HORIZONTAL 45º, PARA ELETROCALHA, LISA OU PERFURADA EM AÇO GALVANIZADO, LARGURA DE 150MM E ALTURA DE 50MM - FORNECIMENTO E INSTALAÇÃO.</v>
      </c>
      <c r="D745" s="45" t="s">
        <v>59</v>
      </c>
      <c r="E745" s="44" t="str">
        <f aca="false">IF($B745="","",IFERROR(VLOOKUP($B745,#REF!,3,0),IFERROR(VLOOKUP($B745,03_COMPOSIÇÕES!$A:$G,4,0),"")))</f>
        <v>UN</v>
      </c>
      <c r="F745" s="46" t="n">
        <v>5</v>
      </c>
      <c r="G745" s="51" t="n">
        <f aca="false">VLOOKUP($B745,03_COMPOSIÇÕES!$A:$G,6,0)</f>
        <v>48.036816</v>
      </c>
      <c r="H745" s="52" t="n">
        <f aca="false">VLOOKUP($B745,03_COMPOSIÇÕES!$A:$G,7,0)</f>
        <v>16.85074059072</v>
      </c>
      <c r="I745" s="47" t="n">
        <f aca="false">$F745*$G745</f>
        <v>240.18408</v>
      </c>
      <c r="J745" s="47" t="n">
        <f aca="false">$F745*$H745</f>
        <v>84.2537029536</v>
      </c>
      <c r="K745" s="47" t="n">
        <f aca="false">$I745*(1+BDI_MAT)</f>
        <v>289.710037296</v>
      </c>
      <c r="L745" s="47" t="n">
        <f aca="false">$J745*(1+BDI_MDO)</f>
        <v>107.415045895545</v>
      </c>
      <c r="M745" s="47" t="n">
        <f aca="false">SUM(K745:L745)</f>
        <v>397.125083191545</v>
      </c>
      <c r="N745" s="20" t="str">
        <f aca="false">A745</f>
        <v>13.6.5</v>
      </c>
    </row>
    <row r="746" customFormat="false" ht="15" hidden="false" customHeight="false" outlineLevel="1" collapsed="false">
      <c r="A746" s="42" t="s">
        <v>1057</v>
      </c>
      <c r="B746" s="43"/>
      <c r="C746" s="50" t="s">
        <v>907</v>
      </c>
      <c r="D746" s="45"/>
      <c r="E746" s="44"/>
      <c r="F746" s="46"/>
      <c r="G746" s="51"/>
      <c r="H746" s="52"/>
      <c r="I746" s="47" t="n">
        <f aca="false">SUBTOTAL(9,I747:I751)</f>
        <v>4870.830165</v>
      </c>
      <c r="J746" s="47" t="n">
        <f aca="false">SUBTOTAL(9,J747:J751)</f>
        <v>6096.2152528692</v>
      </c>
      <c r="K746" s="47" t="n">
        <f aca="false">SUBTOTAL(9,K747:K751)</f>
        <v>5875.195345023</v>
      </c>
      <c r="L746" s="47" t="n">
        <f aca="false">SUBTOTAL(9,L747:L751)</f>
        <v>7772.06482588294</v>
      </c>
      <c r="M746" s="47" t="n">
        <f aca="false">SUBTOTAL(9,M747:M751)</f>
        <v>13647.2601709059</v>
      </c>
      <c r="N746" s="20" t="str">
        <f aca="false">A746</f>
        <v>13.7</v>
      </c>
    </row>
    <row r="747" customFormat="false" ht="45" hidden="false" customHeight="false" outlineLevel="2" collapsed="false">
      <c r="A747" s="42" t="s">
        <v>1058</v>
      </c>
      <c r="B747" s="43" t="n">
        <v>91839</v>
      </c>
      <c r="C747" s="50" t="str">
        <f aca="false">VLOOKUP($B747,03_COMPOSIÇÕES!$A:$G,2,0)</f>
        <v>ELETRODUTO FLEXÍVEL LISO, PEAD, DN 32 MM (1"), PARA CIRCUITOS TERMINAIS, INSTALADO EM FORRO - FORNECIMENTO E INSTALAÇÃO. AF_03/2023</v>
      </c>
      <c r="D747" s="45" t="s">
        <v>59</v>
      </c>
      <c r="E747" s="44" t="str">
        <f aca="false">IF($B747="","",IFERROR(VLOOKUP($B747,#REF!,3,0),IFERROR(VLOOKUP($B747,03_COMPOSIÇÕES!$A:$G,4,0),"")))</f>
        <v>M</v>
      </c>
      <c r="F747" s="46" t="n">
        <v>60</v>
      </c>
      <c r="G747" s="51" t="n">
        <f aca="false">VLOOKUP($B747,03_COMPOSIÇÕES!$A:$G,6,0)</f>
        <v>8.369291</v>
      </c>
      <c r="H747" s="52" t="n">
        <f aca="false">VLOOKUP($B747,03_COMPOSIÇÕES!$A:$G,7,0)</f>
        <v>8.64588229224</v>
      </c>
      <c r="I747" s="47" t="n">
        <f aca="false">$F747*$G747</f>
        <v>502.15746</v>
      </c>
      <c r="J747" s="47" t="n">
        <f aca="false">$F747*$H747</f>
        <v>518.7529375344</v>
      </c>
      <c r="K747" s="47" t="n">
        <f aca="false">$I747*(1+BDI_MAT)</f>
        <v>605.702328252</v>
      </c>
      <c r="L747" s="47" t="n">
        <f aca="false">$J747*(1+BDI_MDO)</f>
        <v>661.358120062607</v>
      </c>
      <c r="M747" s="47" t="n">
        <f aca="false">SUM(K747:L747)</f>
        <v>1267.06044831461</v>
      </c>
      <c r="N747" s="20" t="str">
        <f aca="false">A747</f>
        <v>13.7.1</v>
      </c>
    </row>
    <row r="748" customFormat="false" ht="45" hidden="false" customHeight="false" outlineLevel="2" collapsed="false">
      <c r="A748" s="42" t="s">
        <v>1059</v>
      </c>
      <c r="B748" s="43" t="n">
        <v>97669</v>
      </c>
      <c r="C748" s="50" t="str">
        <f aca="false">VLOOKUP($B748,03_COMPOSIÇÕES!$A:$G,2,0)</f>
        <v>ELETRODUTO FLEXÍVEL CORRUGADO, PEAD, DN 90 (3"), PARA REDE ENTERRADA DE DISTRIBUIÇÃO DE ENERGIA ELÉTRICA - FORNECIMENTO E INSTALAÇÃO. AF_12/2021</v>
      </c>
      <c r="D748" s="45" t="s">
        <v>59</v>
      </c>
      <c r="E748" s="44" t="str">
        <f aca="false">IF($B748="","",IFERROR(VLOOKUP($B748,#REF!,3,0),IFERROR(VLOOKUP($B748,03_COMPOSIÇÕES!$A:$G,4,0),"")))</f>
        <v>M</v>
      </c>
      <c r="F748" s="46" t="n">
        <v>50</v>
      </c>
      <c r="G748" s="51" t="n">
        <f aca="false">VLOOKUP($B748,03_COMPOSIÇÕES!$A:$G,6,0)</f>
        <v>10.352588</v>
      </c>
      <c r="H748" s="52" t="n">
        <f aca="false">VLOOKUP($B748,03_COMPOSIÇÕES!$A:$G,7,0)</f>
        <v>5.24762346096</v>
      </c>
      <c r="I748" s="47" t="n">
        <f aca="false">$F748*$G748</f>
        <v>517.6294</v>
      </c>
      <c r="J748" s="47" t="n">
        <f aca="false">$F748*$H748</f>
        <v>262.381173048</v>
      </c>
      <c r="K748" s="47" t="n">
        <f aca="false">$I748*(1+BDI_MAT)</f>
        <v>624.36458228</v>
      </c>
      <c r="L748" s="47" t="n">
        <f aca="false">$J748*(1+BDI_MDO)</f>
        <v>334.509757518895</v>
      </c>
      <c r="M748" s="47" t="n">
        <f aca="false">SUM(K748:L748)</f>
        <v>958.874339798895</v>
      </c>
      <c r="N748" s="20" t="str">
        <f aca="false">A748</f>
        <v>13.7.2</v>
      </c>
    </row>
    <row r="749" customFormat="false" ht="45" hidden="false" customHeight="false" outlineLevel="2" collapsed="false">
      <c r="A749" s="42" t="s">
        <v>1060</v>
      </c>
      <c r="B749" s="43" t="n">
        <v>91837</v>
      </c>
      <c r="C749" s="50" t="str">
        <f aca="false">VLOOKUP($B749,03_COMPOSIÇÕES!$A:$G,2,0)</f>
        <v>ELETRODUTO FLEXÍVEL CORRUGADO REFORÇADO, PVC, DN 32 MM (1"), PARA CIRCUITOS TERMINAIS, INSTALADO EM FORRO - FORNECIMENTO E INSTALAÇÃO. AF_03/2023</v>
      </c>
      <c r="D749" s="45" t="s">
        <v>59</v>
      </c>
      <c r="E749" s="44" t="str">
        <f aca="false">IF($B749="","",IFERROR(VLOOKUP($B749,#REF!,3,0),IFERROR(VLOOKUP($B749,03_COMPOSIÇÕES!$A:$G,4,0),"")))</f>
        <v>M</v>
      </c>
      <c r="F749" s="46" t="n">
        <v>50</v>
      </c>
      <c r="G749" s="51" t="n">
        <f aca="false">VLOOKUP($B749,03_COMPOSIÇÕES!$A:$G,6,0)</f>
        <v>10.116884</v>
      </c>
      <c r="H749" s="52" t="n">
        <f aca="false">VLOOKUP($B749,03_COMPOSIÇÕES!$A:$G,7,0)</f>
        <v>8.64588229224</v>
      </c>
      <c r="I749" s="47" t="n">
        <f aca="false">$F749*$G749</f>
        <v>505.8442</v>
      </c>
      <c r="J749" s="47" t="n">
        <f aca="false">$F749*$H749</f>
        <v>432.294114612</v>
      </c>
      <c r="K749" s="47" t="n">
        <f aca="false">$I749*(1+BDI_MAT)</f>
        <v>610.14927404</v>
      </c>
      <c r="L749" s="47" t="n">
        <f aca="false">$J749*(1+BDI_MDO)</f>
        <v>551.131766718839</v>
      </c>
      <c r="M749" s="47" t="n">
        <f aca="false">SUM(K749:L749)</f>
        <v>1161.28104075884</v>
      </c>
      <c r="N749" s="20" t="str">
        <f aca="false">A749</f>
        <v>13.7.3</v>
      </c>
    </row>
    <row r="750" customFormat="false" ht="45" hidden="false" customHeight="false" outlineLevel="2" collapsed="false">
      <c r="A750" s="42" t="s">
        <v>1061</v>
      </c>
      <c r="B750" s="43" t="n">
        <v>91840</v>
      </c>
      <c r="C750" s="50" t="str">
        <f aca="false">VLOOKUP($B750,03_COMPOSIÇÕES!$A:$G,2,0)</f>
        <v>ELETRODUTO FLEXÍVEL CORRUGADO, PEAD, DN 40 MM (1 1/4"), PARA CIRCUITOS TERMINAIS, INSTALADO EM FORRO - FORNECIMENTO E INSTALAÇÃO. AF_03/2023</v>
      </c>
      <c r="D750" s="45" t="s">
        <v>59</v>
      </c>
      <c r="E750" s="44" t="str">
        <f aca="false">IF($B750="","",IFERROR(VLOOKUP($B750,#REF!,3,0),IFERROR(VLOOKUP($B750,03_COMPOSIÇÕES!$A:$G,4,0),"")))</f>
        <v>M</v>
      </c>
      <c r="F750" s="46" t="n">
        <v>25</v>
      </c>
      <c r="G750" s="51" t="n">
        <f aca="false">VLOOKUP($B750,03_COMPOSIÇÕES!$A:$G,6,0)</f>
        <v>9.530545</v>
      </c>
      <c r="H750" s="52" t="n">
        <f aca="false">VLOOKUP($B750,03_COMPOSIÇÕES!$A:$G,7,0)</f>
        <v>9.27101281704</v>
      </c>
      <c r="I750" s="47" t="n">
        <f aca="false">$F750*$G750</f>
        <v>238.263625</v>
      </c>
      <c r="J750" s="47" t="n">
        <f aca="false">$F750*$H750</f>
        <v>231.775320426</v>
      </c>
      <c r="K750" s="47" t="n">
        <f aca="false">$I750*(1+BDI_MAT)</f>
        <v>287.393584475</v>
      </c>
      <c r="L750" s="47" t="n">
        <f aca="false">$J750*(1+BDI_MDO)</f>
        <v>295.490356011107</v>
      </c>
      <c r="M750" s="47" t="n">
        <f aca="false">SUM(K750:L750)</f>
        <v>582.883940486107</v>
      </c>
      <c r="N750" s="20" t="str">
        <f aca="false">A750</f>
        <v>13.7.4</v>
      </c>
    </row>
    <row r="751" customFormat="false" ht="45" hidden="false" customHeight="false" outlineLevel="2" collapsed="false">
      <c r="A751" s="42" t="s">
        <v>1062</v>
      </c>
      <c r="B751" s="43" t="n">
        <v>91834</v>
      </c>
      <c r="C751" s="50" t="str">
        <f aca="false">VLOOKUP($B751,03_COMPOSIÇÕES!$A:$G,2,0)</f>
        <v>ELETRODUTO FLEXÍVEL CORRUGADO, PVC, DN 25 MM (3/4"), PARA CIRCUITOS TERMINAIS, INSTALADO EM FORRO - FORNECIMENTO E INSTALAÇÃO. AF_03/2023</v>
      </c>
      <c r="D751" s="45" t="s">
        <v>59</v>
      </c>
      <c r="E751" s="44" t="str">
        <f aca="false">IF($B751="","",IFERROR(VLOOKUP($B751,#REF!,3,0),IFERROR(VLOOKUP($B751,03_COMPOSIÇÕES!$A:$G,4,0),"")))</f>
        <v>M</v>
      </c>
      <c r="F751" s="46" t="n">
        <v>570</v>
      </c>
      <c r="G751" s="51" t="n">
        <f aca="false">VLOOKUP($B751,03_COMPOSIÇÕES!$A:$G,6,0)</f>
        <v>5.450764</v>
      </c>
      <c r="H751" s="52" t="n">
        <f aca="false">VLOOKUP($B751,03_COMPOSIÇÕES!$A:$G,7,0)</f>
        <v>8.15966966184</v>
      </c>
      <c r="I751" s="47" t="n">
        <f aca="false">$F751*$G751</f>
        <v>3106.93548</v>
      </c>
      <c r="J751" s="47" t="n">
        <f aca="false">$F751*$H751</f>
        <v>4651.0117072488</v>
      </c>
      <c r="K751" s="47" t="n">
        <f aca="false">$I751*(1+BDI_MAT)</f>
        <v>3747.585575976</v>
      </c>
      <c r="L751" s="47" t="n">
        <f aca="false">$J751*(1+BDI_MDO)</f>
        <v>5929.5748255715</v>
      </c>
      <c r="M751" s="47" t="n">
        <f aca="false">SUM(K751:L751)</f>
        <v>9677.16040154749</v>
      </c>
      <c r="N751" s="20" t="str">
        <f aca="false">A751</f>
        <v>13.7.6</v>
      </c>
    </row>
    <row r="752" customFormat="false" ht="15" hidden="false" customHeight="false" outlineLevel="1" collapsed="false">
      <c r="A752" s="42" t="s">
        <v>1063</v>
      </c>
      <c r="B752" s="43"/>
      <c r="C752" s="50" t="s">
        <v>607</v>
      </c>
      <c r="D752" s="45"/>
      <c r="E752" s="44"/>
      <c r="F752" s="46"/>
      <c r="G752" s="51"/>
      <c r="H752" s="52"/>
      <c r="I752" s="47" t="n">
        <f aca="false">SUBTOTAL(9,I753)</f>
        <v>44580.4769366667</v>
      </c>
      <c r="J752" s="47" t="n">
        <f aca="false">SUBTOTAL(9,J753)</f>
        <v>4132.6401527892</v>
      </c>
      <c r="K752" s="47" t="n">
        <f aca="false">SUBTOTAL(9,K753)</f>
        <v>53772.9712810073</v>
      </c>
      <c r="L752" s="47" t="n">
        <f aca="false">SUBTOTAL(9,L753)</f>
        <v>5268.70293079095</v>
      </c>
      <c r="M752" s="47" t="n">
        <f aca="false">SUBTOTAL(9,M753)</f>
        <v>59041.6742117983</v>
      </c>
      <c r="N752" s="20" t="str">
        <f aca="false">A752</f>
        <v>13.8</v>
      </c>
    </row>
    <row r="753" customFormat="false" ht="30" hidden="false" customHeight="false" outlineLevel="1" collapsed="false">
      <c r="A753" s="42" t="s">
        <v>1064</v>
      </c>
      <c r="B753" s="43" t="s">
        <v>1065</v>
      </c>
      <c r="C753" s="50" t="str">
        <f aca="false">VLOOKUP($B753,03_COMPOSIÇÕES!$A:$G,2,0)</f>
        <v>CÂMERA IP VIP 3430 B RESOLUÇÃO 4MP INFRAVERMELHP 30M POE - FORNECIMENTO E INSTALAÇÃO.</v>
      </c>
      <c r="D753" s="45" t="s">
        <v>59</v>
      </c>
      <c r="E753" s="44" t="str">
        <f aca="false">IF($B753="","",IFERROR(VLOOKUP($B753,#REF!,3,0),IFERROR(VLOOKUP($B753,03_COMPOSIÇÕES!$A:$G,4,0),"")))</f>
        <v>UN</v>
      </c>
      <c r="F753" s="46" t="n">
        <v>65</v>
      </c>
      <c r="G753" s="51" t="n">
        <f aca="false">VLOOKUP($B753,03_COMPOSIÇÕES!$A:$G,6,0)</f>
        <v>685.853491333333</v>
      </c>
      <c r="H753" s="52" t="n">
        <f aca="false">VLOOKUP($B753,03_COMPOSIÇÕES!$A:$G,7,0)</f>
        <v>63.57907927368</v>
      </c>
      <c r="I753" s="47" t="n">
        <f aca="false">$F753*$G753</f>
        <v>44580.4769366667</v>
      </c>
      <c r="J753" s="47" t="n">
        <f aca="false">$F753*$H753</f>
        <v>4132.6401527892</v>
      </c>
      <c r="K753" s="47" t="n">
        <f aca="false">$I753*(1+BDI_MAT)</f>
        <v>53772.9712810073</v>
      </c>
      <c r="L753" s="47" t="n">
        <f aca="false">$J753*(1+BDI_MDO)</f>
        <v>5268.70293079095</v>
      </c>
      <c r="M753" s="47" t="n">
        <f aca="false">SUM(K753:L753)</f>
        <v>59041.6742117983</v>
      </c>
      <c r="N753" s="20" t="str">
        <f aca="false">A753</f>
        <v>13.8.1</v>
      </c>
    </row>
    <row r="754" customFormat="false" ht="15" hidden="false" customHeight="false" outlineLevel="1" collapsed="false">
      <c r="A754" s="42" t="s">
        <v>1066</v>
      </c>
      <c r="B754" s="43"/>
      <c r="C754" s="50" t="s">
        <v>1067</v>
      </c>
      <c r="D754" s="45"/>
      <c r="E754" s="44"/>
      <c r="F754" s="46"/>
      <c r="G754" s="51"/>
      <c r="H754" s="52"/>
      <c r="I754" s="47" t="n">
        <f aca="false">SUBTOTAL(9,I755:I762)</f>
        <v>38200.6473686667</v>
      </c>
      <c r="J754" s="47" t="n">
        <f aca="false">SUBTOTAL(9,J755:J762)</f>
        <v>7088.67081619776</v>
      </c>
      <c r="K754" s="47" t="n">
        <f aca="false">SUBTOTAL(9,K755:K762)</f>
        <v>46077.6208560857</v>
      </c>
      <c r="L754" s="47" t="n">
        <f aca="false">SUBTOTAL(9,L755:L762)</f>
        <v>9037.34642357052</v>
      </c>
      <c r="M754" s="47" t="n">
        <f aca="false">SUBTOTAL(9,M755:M762)</f>
        <v>55114.9672796563</v>
      </c>
      <c r="N754" s="20" t="str">
        <f aca="false">A754</f>
        <v>13.9</v>
      </c>
    </row>
    <row r="755" customFormat="false" ht="30" hidden="false" customHeight="false" outlineLevel="2" collapsed="false">
      <c r="A755" s="42" t="s">
        <v>1068</v>
      </c>
      <c r="B755" s="43" t="s">
        <v>1069</v>
      </c>
      <c r="C755" s="50" t="str">
        <f aca="false">VLOOKUP($B755,03_COMPOSIÇÕES!$A:$G,2,0)</f>
        <v>CABO BALANCEADO PARA MICROFONE COM CONECTOR XLR MACHO E FEMEA - COMPRIMENTO DE 50M.</v>
      </c>
      <c r="D755" s="45" t="s">
        <v>59</v>
      </c>
      <c r="E755" s="44" t="str">
        <f aca="false">IF($B755="","",IFERROR(VLOOKUP($B755,#REF!,3,0),IFERROR(VLOOKUP($B755,03_COMPOSIÇÕES!$A:$G,4,0),"")))</f>
        <v>UN</v>
      </c>
      <c r="F755" s="46" t="n">
        <v>15</v>
      </c>
      <c r="G755" s="51" t="n">
        <f aca="false">VLOOKUP($B755,03_COMPOSIÇÕES!$A:$G,6,0)</f>
        <v>1404.36306666667</v>
      </c>
      <c r="H755" s="52" t="n">
        <f aca="false">VLOOKUP($B755,03_COMPOSIÇÕES!$A:$G,7,0)</f>
        <v>225.7415784</v>
      </c>
      <c r="I755" s="47" t="n">
        <f aca="false">$F755*$G755</f>
        <v>21065.446</v>
      </c>
      <c r="J755" s="47" t="n">
        <f aca="false">$F755*$H755</f>
        <v>3386.123676</v>
      </c>
      <c r="K755" s="47" t="n">
        <f aca="false">$I755*(1+BDI_MAT)</f>
        <v>25409.1409652</v>
      </c>
      <c r="L755" s="47" t="n">
        <f aca="false">$J755*(1+BDI_MDO)</f>
        <v>4316.9690745324</v>
      </c>
      <c r="M755" s="47" t="n">
        <f aca="false">SUM(K755:L755)</f>
        <v>29726.1100397324</v>
      </c>
      <c r="N755" s="20" t="str">
        <f aca="false">A755</f>
        <v>13.9.1</v>
      </c>
    </row>
    <row r="756" customFormat="false" ht="30" hidden="false" customHeight="false" outlineLevel="2" collapsed="false">
      <c r="A756" s="42" t="s">
        <v>1070</v>
      </c>
      <c r="B756" s="43" t="s">
        <v>1071</v>
      </c>
      <c r="C756" s="50" t="str">
        <f aca="false">VLOOKUP($B756,03_COMPOSIÇÕES!$A:$G,2,0)</f>
        <v>MESA DE SOM 12 CANAIS REF. BEHRINGER - FORNECIMENTO E INSTALAÇÃO</v>
      </c>
      <c r="D756" s="45" t="s">
        <v>59</v>
      </c>
      <c r="E756" s="44" t="str">
        <f aca="false">IF($B756="","",IFERROR(VLOOKUP($B756,#REF!,3,0),IFERROR(VLOOKUP($B756,03_COMPOSIÇÕES!$A:$G,4,0),"")))</f>
        <v>UN</v>
      </c>
      <c r="F756" s="46" t="n">
        <v>1</v>
      </c>
      <c r="G756" s="51" t="n">
        <f aca="false">VLOOKUP($B756,03_COMPOSIÇÕES!$A:$G,6,0)</f>
        <v>3233.72333333333</v>
      </c>
      <c r="H756" s="52" t="n">
        <f aca="false">VLOOKUP($B756,03_COMPOSIÇÕES!$A:$G,7,0)</f>
        <v>69.4589472</v>
      </c>
      <c r="I756" s="47" t="n">
        <f aca="false">$F756*$G756</f>
        <v>3233.72333333333</v>
      </c>
      <c r="J756" s="47" t="n">
        <f aca="false">$F756*$H756</f>
        <v>69.4589472</v>
      </c>
      <c r="K756" s="47" t="n">
        <f aca="false">$I756*(1+BDI_MAT)</f>
        <v>3900.51708466667</v>
      </c>
      <c r="L756" s="47" t="n">
        <f aca="false">$J756*(1+BDI_MDO)</f>
        <v>88.55321178528</v>
      </c>
      <c r="M756" s="47" t="n">
        <f aca="false">SUM(K756:L756)</f>
        <v>3989.07029645195</v>
      </c>
      <c r="N756" s="20" t="str">
        <f aca="false">A756</f>
        <v>13.9.2</v>
      </c>
    </row>
    <row r="757" customFormat="false" ht="30" hidden="false" customHeight="false" outlineLevel="2" collapsed="false">
      <c r="A757" s="42" t="s">
        <v>1072</v>
      </c>
      <c r="B757" s="43" t="s">
        <v>1073</v>
      </c>
      <c r="C757" s="50" t="str">
        <f aca="false">VLOOKUP($B757,03_COMPOSIÇÕES!$A:$G,2,0)</f>
        <v>ARANDELA DE SOM REDONDA BRANCA, DE EMBUTIR - FORNECIMENTO E INSTALAÇÃO.</v>
      </c>
      <c r="D757" s="45" t="s">
        <v>59</v>
      </c>
      <c r="E757" s="44" t="str">
        <f aca="false">IF($B757="","",IFERROR(VLOOKUP($B757,#REF!,3,0),IFERROR(VLOOKUP($B757,03_COMPOSIÇÕES!$A:$G,4,0),"")))</f>
        <v>UN</v>
      </c>
      <c r="F757" s="46" t="n">
        <v>11</v>
      </c>
      <c r="G757" s="51" t="n">
        <f aca="false">VLOOKUP($B757,03_COMPOSIÇÕES!$A:$G,6,0)</f>
        <v>527.362946</v>
      </c>
      <c r="H757" s="52" t="n">
        <f aca="false">VLOOKUP($B757,03_COMPOSIÇÕES!$A:$G,7,0)</f>
        <v>11.26276828848</v>
      </c>
      <c r="I757" s="47" t="n">
        <f aca="false">$F757*$G757</f>
        <v>5800.992406</v>
      </c>
      <c r="J757" s="47" t="n">
        <f aca="false">$F757*$H757</f>
        <v>123.89045117328</v>
      </c>
      <c r="K757" s="47" t="n">
        <f aca="false">$I757*(1+BDI_MAT)</f>
        <v>6997.1570401172</v>
      </c>
      <c r="L757" s="47" t="n">
        <f aca="false">$J757*(1+BDI_MDO)</f>
        <v>157.947936200815</v>
      </c>
      <c r="M757" s="47" t="n">
        <f aca="false">SUM(K757:L757)</f>
        <v>7155.10497631801</v>
      </c>
      <c r="N757" s="20" t="str">
        <f aca="false">A757</f>
        <v>13.9.3</v>
      </c>
    </row>
    <row r="758" customFormat="false" ht="15" hidden="false" customHeight="false" outlineLevel="2" collapsed="false">
      <c r="A758" s="42" t="s">
        <v>1074</v>
      </c>
      <c r="B758" s="43" t="s">
        <v>1075</v>
      </c>
      <c r="C758" s="50" t="str">
        <f aca="false">VLOOKUP($B758,03_COMPOSIÇÕES!$A:$G,2,0)</f>
        <v>CABO CRISTAL, 2 x 2,5 MM² - FORNECIMENTO E INSTALAÇÃO.</v>
      </c>
      <c r="D758" s="45" t="s">
        <v>59</v>
      </c>
      <c r="E758" s="44" t="str">
        <f aca="false">IF($B758="","",IFERROR(VLOOKUP($B758,#REF!,3,0),IFERROR(VLOOKUP($B758,03_COMPOSIÇÕES!$A:$G,4,0),"")))</f>
        <v>M</v>
      </c>
      <c r="F758" s="46" t="n">
        <v>160</v>
      </c>
      <c r="G758" s="51" t="n">
        <f aca="false">VLOOKUP($B758,03_COMPOSIÇÕES!$A:$G,6,0)</f>
        <v>4.85092886666667</v>
      </c>
      <c r="H758" s="52" t="n">
        <f aca="false">VLOOKUP($B758,03_COMPOSIÇÕES!$A:$G,7,0)</f>
        <v>1.0071547344</v>
      </c>
      <c r="I758" s="47" t="n">
        <f aca="false">$F758*$G758</f>
        <v>776.148618666667</v>
      </c>
      <c r="J758" s="47" t="n">
        <f aca="false">$F758*$H758</f>
        <v>161.144757504</v>
      </c>
      <c r="K758" s="47" t="n">
        <f aca="false">$I758*(1+BDI_MAT)</f>
        <v>936.190463835733</v>
      </c>
      <c r="L758" s="47" t="n">
        <f aca="false">$J758*(1+BDI_MDO)</f>
        <v>205.44345134185</v>
      </c>
      <c r="M758" s="47" t="n">
        <f aca="false">SUM(K758:L758)</f>
        <v>1141.63391517758</v>
      </c>
      <c r="N758" s="20" t="str">
        <f aca="false">A758</f>
        <v>13.9.4</v>
      </c>
    </row>
    <row r="759" customFormat="false" ht="45" hidden="false" customHeight="false" outlineLevel="2" collapsed="false">
      <c r="A759" s="42" t="s">
        <v>1076</v>
      </c>
      <c r="B759" s="43" t="n">
        <v>91835</v>
      </c>
      <c r="C759" s="50" t="str">
        <f aca="false">VLOOKUP($B759,03_COMPOSIÇÕES!$A:$G,2,0)</f>
        <v>ELETRODUTO FLEXÍVEL CORRUGADO REFORÇADO, PVC, DN 25 MM (3/4"), PARA CIRCUITOS TERMINAIS, INSTALADO EM FORRO - FORNECIMENTO E INSTALAÇÃO. AF_03/2023</v>
      </c>
      <c r="D759" s="45" t="s">
        <v>59</v>
      </c>
      <c r="E759" s="44" t="str">
        <f aca="false">IF($B759="","",IFERROR(VLOOKUP($B759,#REF!,3,0),IFERROR(VLOOKUP($B759,03_COMPOSIÇÕES!$A:$G,4,0),"")))</f>
        <v>M</v>
      </c>
      <c r="F759" s="46" t="n">
        <v>150</v>
      </c>
      <c r="G759" s="51" t="n">
        <f aca="false">VLOOKUP($B759,03_COMPOSIÇÕES!$A:$G,6,0)</f>
        <v>6.660764</v>
      </c>
      <c r="H759" s="52" t="n">
        <f aca="false">VLOOKUP($B759,03_COMPOSIÇÕES!$A:$G,7,0)</f>
        <v>8.15966966184</v>
      </c>
      <c r="I759" s="47" t="n">
        <f aca="false">$F759*$G759</f>
        <v>999.1146</v>
      </c>
      <c r="J759" s="47" t="n">
        <f aca="false">$F759*$H759</f>
        <v>1223.950449276</v>
      </c>
      <c r="K759" s="47" t="n">
        <f aca="false">$I759*(1+BDI_MAT)</f>
        <v>1205.13203052</v>
      </c>
      <c r="L759" s="47" t="n">
        <f aca="false">$J759*(1+BDI_MDO)</f>
        <v>1560.41442778197</v>
      </c>
      <c r="M759" s="47" t="n">
        <f aca="false">SUM(K759:L759)</f>
        <v>2765.54645830197</v>
      </c>
      <c r="N759" s="20" t="str">
        <f aca="false">A759</f>
        <v>13.9.5</v>
      </c>
    </row>
    <row r="760" customFormat="false" ht="45" hidden="false" customHeight="false" outlineLevel="2" collapsed="false">
      <c r="A760" s="42" t="s">
        <v>1077</v>
      </c>
      <c r="B760" s="43" t="s">
        <v>1078</v>
      </c>
      <c r="C760" s="50" t="str">
        <f aca="false">VLOOKUP($B760,03_COMPOSIÇÕES!$A:$G,2,0)</f>
        <v>CURVA DE INVERSÃO 90º PARA ELETROCALHA, LISA OU PERFURADA EM AÇO GALVANIZADO, LARGURA DE 50MM E ALTURA DE 50MM - FORNECIMENTO E INSTALAÇÃO.</v>
      </c>
      <c r="D760" s="45" t="s">
        <v>59</v>
      </c>
      <c r="E760" s="44" t="str">
        <f aca="false">IF($B760="","",IFERROR(VLOOKUP($B760,#REF!,3,0),IFERROR(VLOOKUP($B760,03_COMPOSIÇÕES!$A:$G,4,0),"")))</f>
        <v>UN</v>
      </c>
      <c r="F760" s="46" t="n">
        <v>2</v>
      </c>
      <c r="G760" s="51" t="n">
        <f aca="false">VLOOKUP($B760,03_COMPOSIÇÕES!$A:$G,6,0)</f>
        <v>59.2802626666667</v>
      </c>
      <c r="H760" s="52" t="n">
        <f aca="false">VLOOKUP($B760,03_COMPOSIÇÕES!$A:$G,7,0)</f>
        <v>9.78676566048</v>
      </c>
      <c r="I760" s="47" t="n">
        <f aca="false">$F760*$G760</f>
        <v>118.560525333333</v>
      </c>
      <c r="J760" s="47" t="n">
        <f aca="false">$F760*$H760</f>
        <v>19.57353132096</v>
      </c>
      <c r="K760" s="47" t="n">
        <f aca="false">$I760*(1+BDI_MAT)</f>
        <v>143.007705657067</v>
      </c>
      <c r="L760" s="47" t="n">
        <f aca="false">$J760*(1+BDI_MDO)</f>
        <v>24.9542950810919</v>
      </c>
      <c r="M760" s="47" t="n">
        <f aca="false">SUM(K760:L760)</f>
        <v>167.962000738159</v>
      </c>
      <c r="N760" s="20" t="str">
        <f aca="false">A760</f>
        <v>13.9.6</v>
      </c>
    </row>
    <row r="761" customFormat="false" ht="45" hidden="false" customHeight="false" outlineLevel="2" collapsed="false">
      <c r="A761" s="42" t="s">
        <v>1079</v>
      </c>
      <c r="B761" s="43" t="s">
        <v>930</v>
      </c>
      <c r="C761" s="50" t="str">
        <f aca="false">VLOOKUP($B761,03_COMPOSIÇÕES!$A:$G,2,0)</f>
        <v>TÊ HORIZONTAL 90º, PARA ELETROCALHA, LISA OU PERFURADA EM AÇO GALVANIZADO, LARGURA DE 50MM E ALTURA DE 50MM - FORNECIMENTO E INSTALAÇÃO.</v>
      </c>
      <c r="D761" s="45" t="s">
        <v>59</v>
      </c>
      <c r="E761" s="44" t="str">
        <f aca="false">IF($B761="","",IFERROR(VLOOKUP($B761,#REF!,3,0),IFERROR(VLOOKUP($B761,03_COMPOSIÇÕES!$A:$G,4,0),"")))</f>
        <v>UN</v>
      </c>
      <c r="F761" s="46" t="n">
        <v>4</v>
      </c>
      <c r="G761" s="51" t="n">
        <f aca="false">VLOOKUP($B761,03_COMPOSIÇÕES!$A:$G,6,0)</f>
        <v>39.2833813333333</v>
      </c>
      <c r="H761" s="52" t="n">
        <f aca="false">VLOOKUP($B761,03_COMPOSIÇÕES!$A:$G,7,0)</f>
        <v>13.05133617888</v>
      </c>
      <c r="I761" s="47" t="n">
        <f aca="false">$F761*$G761</f>
        <v>157.133525333333</v>
      </c>
      <c r="J761" s="47" t="n">
        <f aca="false">$F761*$H761</f>
        <v>52.20534471552</v>
      </c>
      <c r="K761" s="47" t="n">
        <f aca="false">$I761*(1+BDI_MAT)</f>
        <v>189.534458257067</v>
      </c>
      <c r="L761" s="47" t="n">
        <f aca="false">$J761*(1+BDI_MDO)</f>
        <v>66.5565939778165</v>
      </c>
      <c r="M761" s="47" t="n">
        <f aca="false">SUM(K761:L761)</f>
        <v>256.091052234883</v>
      </c>
      <c r="N761" s="20" t="str">
        <f aca="false">A761</f>
        <v>13.9.7</v>
      </c>
    </row>
    <row r="762" customFormat="false" ht="45" hidden="false" customHeight="false" outlineLevel="2" collapsed="false">
      <c r="A762" s="42" t="s">
        <v>1080</v>
      </c>
      <c r="B762" s="43" t="s">
        <v>938</v>
      </c>
      <c r="C762" s="50" t="str">
        <f aca="false">VLOOKUP($B762,03_COMPOSIÇÕES!$A:$G,2,0)</f>
        <v>ELETROCALHA LISA OU PERFURADA EM AÇO GALVANIZADO, LARGURA 50MM E ALTURA 50MM, INCLUSIVE EMENDA, TAMPA E FIXAÇÃO - FORNECIMENTO E INSTALAÇÃO.</v>
      </c>
      <c r="D762" s="45" t="s">
        <v>59</v>
      </c>
      <c r="E762" s="44" t="str">
        <f aca="false">IF($B762="","",IFERROR(VLOOKUP($B762,#REF!,3,0),IFERROR(VLOOKUP($B762,03_COMPOSIÇÕES!$A:$G,4,0),"")))</f>
        <v>M</v>
      </c>
      <c r="F762" s="46" t="n">
        <v>120</v>
      </c>
      <c r="G762" s="51" t="n">
        <f aca="false">VLOOKUP($B762,03_COMPOSIÇÕES!$A:$G,6,0)</f>
        <v>50.4127363333333</v>
      </c>
      <c r="H762" s="52" t="n">
        <f aca="false">VLOOKUP($B762,03_COMPOSIÇÕES!$A:$G,7,0)</f>
        <v>17.1026971584</v>
      </c>
      <c r="I762" s="47" t="n">
        <f aca="false">$F762*$G762</f>
        <v>6049.52836</v>
      </c>
      <c r="J762" s="47" t="n">
        <f aca="false">$F762*$H762</f>
        <v>2052.323659008</v>
      </c>
      <c r="K762" s="47" t="n">
        <f aca="false">$I762*(1+BDI_MAT)</f>
        <v>7296.941107832</v>
      </c>
      <c r="L762" s="47" t="n">
        <f aca="false">$J762*(1+BDI_MDO)</f>
        <v>2616.5074328693</v>
      </c>
      <c r="M762" s="47" t="n">
        <f aca="false">SUM(K762:L762)</f>
        <v>9913.4485407013</v>
      </c>
      <c r="N762" s="20" t="str">
        <f aca="false">A762</f>
        <v>13.9.8</v>
      </c>
    </row>
    <row r="763" customFormat="false" ht="15" hidden="false" customHeight="false" outlineLevel="1" collapsed="false">
      <c r="A763" s="42" t="s">
        <v>1081</v>
      </c>
      <c r="B763" s="43"/>
      <c r="C763" s="58" t="s">
        <v>1082</v>
      </c>
      <c r="D763" s="45"/>
      <c r="E763" s="44"/>
      <c r="F763" s="46"/>
      <c r="G763" s="51"/>
      <c r="H763" s="52"/>
      <c r="I763" s="47" t="n">
        <f aca="false">SUBTOTAL(9,I764)</f>
        <v>1171.05</v>
      </c>
      <c r="J763" s="47" t="n">
        <f aca="false">SUBTOTAL(9,J764)</f>
        <v>5820.454386</v>
      </c>
      <c r="K763" s="47" t="n">
        <f aca="false">SUBTOTAL(9,K764)</f>
        <v>1412.52051</v>
      </c>
      <c r="L763" s="47" t="n">
        <f aca="false">SUBTOTAL(9,L764)</f>
        <v>7420.4972967114</v>
      </c>
      <c r="M763" s="47" t="n">
        <f aca="false">SUBTOTAL(9,M764)</f>
        <v>8833.0178067114</v>
      </c>
      <c r="N763" s="20" t="str">
        <f aca="false">A763</f>
        <v>13.10</v>
      </c>
    </row>
    <row r="764" customFormat="false" ht="15" hidden="false" customHeight="false" outlineLevel="2" collapsed="false">
      <c r="A764" s="42" t="s">
        <v>1083</v>
      </c>
      <c r="B764" s="43" t="s">
        <v>1084</v>
      </c>
      <c r="C764" s="50" t="str">
        <f aca="false">VLOOKUP($B764,03_COMPOSIÇÕES!$A:$G,2,0)</f>
        <v>CERTIFICAÇÃO DE REDE PARA CABEAMENTO ESTRUTURADO, CAT6.</v>
      </c>
      <c r="D764" s="45" t="s">
        <v>59</v>
      </c>
      <c r="E764" s="44" t="str">
        <f aca="false">IF($B764="","",IFERROR(VLOOKUP($B764,#REF!,3,0),IFERROR(VLOOKUP($B764,03_COMPOSIÇÕES!$A:$G,4,0),"")))</f>
        <v>UN</v>
      </c>
      <c r="F764" s="46" t="n">
        <v>185</v>
      </c>
      <c r="G764" s="51" t="n">
        <f aca="false">VLOOKUP($B764,03_COMPOSIÇÕES!$A:$G,6,0)</f>
        <v>6.33</v>
      </c>
      <c r="H764" s="52" t="n">
        <f aca="false">VLOOKUP($B764,03_COMPOSIÇÕES!$A:$G,7,0)</f>
        <v>31.4619156</v>
      </c>
      <c r="I764" s="47" t="n">
        <f aca="false">$F764*$G764</f>
        <v>1171.05</v>
      </c>
      <c r="J764" s="47" t="n">
        <f aca="false">$F764*$H764</f>
        <v>5820.454386</v>
      </c>
      <c r="K764" s="47" t="n">
        <f aca="false">$I764*(1+BDI_MAT)</f>
        <v>1412.52051</v>
      </c>
      <c r="L764" s="47" t="n">
        <f aca="false">$J764*(1+BDI_MDO)</f>
        <v>7420.4972967114</v>
      </c>
      <c r="M764" s="47" t="n">
        <f aca="false">SUM(K764:L764)</f>
        <v>8833.0178067114</v>
      </c>
      <c r="N764" s="20" t="str">
        <f aca="false">A764</f>
        <v>13.10.1</v>
      </c>
    </row>
    <row r="765" customFormat="false" ht="15" hidden="false" customHeight="false" outlineLevel="0" collapsed="false">
      <c r="A765" s="42" t="n">
        <v>14</v>
      </c>
      <c r="B765" s="43"/>
      <c r="C765" s="50" t="s">
        <v>1085</v>
      </c>
      <c r="D765" s="45"/>
      <c r="E765" s="44"/>
      <c r="F765" s="46"/>
      <c r="G765" s="51"/>
      <c r="H765" s="52"/>
      <c r="I765" s="47" t="n">
        <f aca="false">SUM(I766,I769,I777,I782,I786)</f>
        <v>64249.4204075506</v>
      </c>
      <c r="J765" s="47" t="n">
        <f aca="false">SUM(J766,J769,J777,J782,J786)</f>
        <v>13893.202975115</v>
      </c>
      <c r="K765" s="47" t="n">
        <f aca="false">SUM(K766,K769,K777,K782,K786)</f>
        <v>77497.6508955875</v>
      </c>
      <c r="L765" s="47" t="n">
        <f aca="false">SUM(L766,L769,L777,L782,L786)</f>
        <v>17712.4444729741</v>
      </c>
      <c r="M765" s="47" t="n">
        <f aca="false">SUM(M766,M769,M777,M782,M786)</f>
        <v>95210.0953685616</v>
      </c>
      <c r="N765" s="20" t="n">
        <f aca="false">A765</f>
        <v>14</v>
      </c>
    </row>
    <row r="766" customFormat="false" ht="15" hidden="false" customHeight="false" outlineLevel="1" collapsed="false">
      <c r="A766" s="42" t="s">
        <v>1086</v>
      </c>
      <c r="B766" s="43"/>
      <c r="C766" s="50" t="s">
        <v>1087</v>
      </c>
      <c r="D766" s="45"/>
      <c r="E766" s="44"/>
      <c r="F766" s="46"/>
      <c r="G766" s="51"/>
      <c r="H766" s="52"/>
      <c r="I766" s="47" t="n">
        <f aca="false">SUBTOTAL(9,I767:I768)</f>
        <v>526.124159045457</v>
      </c>
      <c r="J766" s="47" t="n">
        <f aca="false">SUBTOTAL(9,J767:J768)</f>
        <v>1024.36726972805</v>
      </c>
      <c r="K766" s="47" t="n">
        <f aca="false">SUBTOTAL(9,K767:K768)</f>
        <v>634.61096064063</v>
      </c>
      <c r="L766" s="47" t="n">
        <f aca="false">SUBTOTAL(9,L767:L768)</f>
        <v>1305.96583217629</v>
      </c>
      <c r="M766" s="47" t="n">
        <f aca="false">SUBTOTAL(9,M767:M768)</f>
        <v>1940.57679281692</v>
      </c>
      <c r="N766" s="20" t="str">
        <f aca="false">A766</f>
        <v>14.1</v>
      </c>
    </row>
    <row r="767" customFormat="false" ht="15" hidden="false" customHeight="false" outlineLevel="2" collapsed="false">
      <c r="A767" s="42" t="s">
        <v>1088</v>
      </c>
      <c r="B767" s="43" t="n">
        <v>93358</v>
      </c>
      <c r="C767" s="50" t="str">
        <f aca="false">VLOOKUP($B767,03_COMPOSIÇÕES!$A:$G,2,0)</f>
        <v>ESCAVAÇÃO MANUAL DE VALA. AF_09/2024</v>
      </c>
      <c r="D767" s="45" t="s">
        <v>59</v>
      </c>
      <c r="E767" s="44" t="str">
        <f aca="false">IF($B767="","",IFERROR(VLOOKUP($B767,#REF!,3,0),IFERROR(VLOOKUP($B767,03_COMPOSIÇÕES!$A:$G,4,0),"")))</f>
        <v>M3</v>
      </c>
      <c r="F767" s="46" t="n">
        <v>15.98</v>
      </c>
      <c r="G767" s="51" t="n">
        <f aca="false">VLOOKUP($B767,03_COMPOSIÇÕES!$A:$G,6,0)</f>
        <v>23.695042533</v>
      </c>
      <c r="H767" s="52" t="n">
        <f aca="false">VLOOKUP($B767,03_COMPOSIÇÕES!$A:$G,7,0)</f>
        <v>52.313194954818</v>
      </c>
      <c r="I767" s="47" t="n">
        <f aca="false">$F767*$G767</f>
        <v>378.64677967734</v>
      </c>
      <c r="J767" s="47" t="n">
        <f aca="false">$F767*$H767</f>
        <v>835.964855377992</v>
      </c>
      <c r="K767" s="47" t="n">
        <f aca="false">$I767*(1+BDI_MAT)</f>
        <v>456.723745646807</v>
      </c>
      <c r="L767" s="47" t="n">
        <f aca="false">$J767*(1+BDI_MDO)</f>
        <v>1065.7715941214</v>
      </c>
      <c r="M767" s="47" t="n">
        <f aca="false">SUM(K767:L767)</f>
        <v>1522.49533976821</v>
      </c>
      <c r="N767" s="20" t="str">
        <f aca="false">A767</f>
        <v>14.1.1</v>
      </c>
    </row>
    <row r="768" customFormat="false" ht="15" hidden="false" customHeight="false" outlineLevel="2" collapsed="false">
      <c r="A768" s="42" t="s">
        <v>1089</v>
      </c>
      <c r="B768" s="43" t="n">
        <v>104737</v>
      </c>
      <c r="C768" s="50" t="str">
        <f aca="false">VLOOKUP($B768,03_COMPOSIÇÕES!$A:$G,2,0)</f>
        <v>REATERRO MANUAL DE VALAS, COM PLACA VIBRATÓRIA. AF_08/2023</v>
      </c>
      <c r="D768" s="45" t="s">
        <v>59</v>
      </c>
      <c r="E768" s="44" t="str">
        <f aca="false">IF($B768="","",IFERROR(VLOOKUP($B768,#REF!,3,0),IFERROR(VLOOKUP($B768,03_COMPOSIÇÕES!$A:$G,4,0),"")))</f>
        <v>M3</v>
      </c>
      <c r="F768" s="46" t="n">
        <v>15.98</v>
      </c>
      <c r="G768" s="51" t="n">
        <f aca="false">VLOOKUP($B768,03_COMPOSIÇÕES!$A:$G,6,0)</f>
        <v>9.2288723008834</v>
      </c>
      <c r="H768" s="52" t="n">
        <f aca="false">VLOOKUP($B768,03_COMPOSIÇÕES!$A:$G,7,0)</f>
        <v>11.7898882572</v>
      </c>
      <c r="I768" s="47" t="n">
        <f aca="false">$F768*$G768</f>
        <v>147.477379368117</v>
      </c>
      <c r="J768" s="47" t="n">
        <f aca="false">$F768*$H768</f>
        <v>188.402414350056</v>
      </c>
      <c r="K768" s="47" t="n">
        <f aca="false">$I768*(1+BDI_MAT)</f>
        <v>177.887214993822</v>
      </c>
      <c r="L768" s="47" t="n">
        <f aca="false">$J768*(1+BDI_MDO)</f>
        <v>240.194238054886</v>
      </c>
      <c r="M768" s="47" t="n">
        <f aca="false">SUM(K768:L768)</f>
        <v>418.081453048709</v>
      </c>
      <c r="N768" s="20" t="str">
        <f aca="false">A768</f>
        <v>14.1.2</v>
      </c>
    </row>
    <row r="769" customFormat="false" ht="15" hidden="false" customHeight="false" outlineLevel="1" collapsed="false">
      <c r="A769" s="42" t="s">
        <v>1090</v>
      </c>
      <c r="B769" s="43"/>
      <c r="C769" s="50" t="s">
        <v>1091</v>
      </c>
      <c r="D769" s="45"/>
      <c r="E769" s="44"/>
      <c r="F769" s="46"/>
      <c r="G769" s="51"/>
      <c r="H769" s="52"/>
      <c r="I769" s="47" t="n">
        <f aca="false">SUBTOTAL(9,I770:I776)</f>
        <v>23161.7239528337</v>
      </c>
      <c r="J769" s="47" t="n">
        <f aca="false">SUBTOTAL(9,J770:J776)</f>
        <v>6558.51519470078</v>
      </c>
      <c r="K769" s="47" t="n">
        <f aca="false">SUBTOTAL(9,K770:K776)</f>
        <v>27937.671431908</v>
      </c>
      <c r="L769" s="47" t="n">
        <f aca="false">SUBTOTAL(9,L770:L776)</f>
        <v>8361.45102172403</v>
      </c>
      <c r="M769" s="47" t="n">
        <f aca="false">SUBTOTAL(9,M770:M776)</f>
        <v>36299.1224536321</v>
      </c>
      <c r="N769" s="20" t="str">
        <f aca="false">A769</f>
        <v>14.2</v>
      </c>
    </row>
    <row r="770" customFormat="false" ht="15" hidden="false" customHeight="false" outlineLevel="2" collapsed="false">
      <c r="A770" s="42" t="s">
        <v>1092</v>
      </c>
      <c r="B770" s="43" t="n">
        <v>104746</v>
      </c>
      <c r="C770" s="50" t="str">
        <f aca="false">VLOOKUP($B770,03_COMPOSIÇÕES!$A:$G,2,0)</f>
        <v>MINI CAPTOR PARA SPDA - FORNECIMENTO E INSTALAÇÃO. AF_08/2023</v>
      </c>
      <c r="D770" s="45" t="s">
        <v>59</v>
      </c>
      <c r="E770" s="44" t="str">
        <f aca="false">IF($B770="","",IFERROR(VLOOKUP($B770,#REF!,3,0),IFERROR(VLOOKUP($B770,03_COMPOSIÇÕES!$A:$G,4,0),"")))</f>
        <v>UN</v>
      </c>
      <c r="F770" s="46" t="n">
        <v>65</v>
      </c>
      <c r="G770" s="51" t="n">
        <f aca="false">VLOOKUP($B770,03_COMPOSIÇÕES!$A:$G,6,0)</f>
        <v>19.70782</v>
      </c>
      <c r="H770" s="52" t="n">
        <f aca="false">VLOOKUP($B770,03_COMPOSIÇÕES!$A:$G,7,0)</f>
        <v>2.6203014396</v>
      </c>
      <c r="I770" s="47" t="n">
        <f aca="false">$F770*$G770</f>
        <v>1281.0083</v>
      </c>
      <c r="J770" s="47" t="n">
        <f aca="false">$F770*$H770</f>
        <v>170.319593574</v>
      </c>
      <c r="K770" s="47" t="n">
        <f aca="false">$I770*(1+BDI_MAT)</f>
        <v>1545.15221146</v>
      </c>
      <c r="L770" s="47" t="n">
        <f aca="false">$J770*(1+BDI_MDO)</f>
        <v>217.140449847493</v>
      </c>
      <c r="M770" s="47" t="n">
        <f aca="false">SUM(K770:L770)</f>
        <v>1762.29266130749</v>
      </c>
      <c r="N770" s="20" t="str">
        <f aca="false">A770</f>
        <v>14.2.1</v>
      </c>
    </row>
    <row r="771" customFormat="false" ht="30" hidden="false" customHeight="false" outlineLevel="2" collapsed="false">
      <c r="A771" s="42" t="s">
        <v>1093</v>
      </c>
      <c r="B771" s="43" t="s">
        <v>1094</v>
      </c>
      <c r="C771" s="50" t="str">
        <f aca="false">VLOOKUP($B771,03_COMPOSIÇÕES!$A:$G,2,0)</f>
        <v>FITA DE ALUMÍNIO 70 MM² PARA SPDA - FORNECIMENTO E INSTALAÇÃO.</v>
      </c>
      <c r="D771" s="45" t="s">
        <v>59</v>
      </c>
      <c r="E771" s="44" t="str">
        <f aca="false">IF($B771="","",IFERROR(VLOOKUP($B771,#REF!,3,0),IFERROR(VLOOKUP($B771,03_COMPOSIÇÕES!$A:$G,4,0),"")))</f>
        <v>M</v>
      </c>
      <c r="F771" s="46" t="n">
        <v>331.14</v>
      </c>
      <c r="G771" s="51" t="n">
        <f aca="false">VLOOKUP($B771,03_COMPOSIÇÕES!$A:$G,6,0)</f>
        <v>62.153049</v>
      </c>
      <c r="H771" s="52" t="n">
        <f aca="false">VLOOKUP($B771,03_COMPOSIÇÕES!$A:$G,7,0)</f>
        <v>18.30590553456</v>
      </c>
      <c r="I771" s="47" t="n">
        <f aca="false">$F771*$G771</f>
        <v>20581.36064586</v>
      </c>
      <c r="J771" s="47" t="n">
        <f aca="false">$F771*$H771</f>
        <v>6061.8175587142</v>
      </c>
      <c r="K771" s="47" t="n">
        <f aca="false">$I771*(1+BDI_MAT)</f>
        <v>24825.2372110363</v>
      </c>
      <c r="L771" s="47" t="n">
        <f aca="false">$J771*(1+BDI_MDO)</f>
        <v>7728.21120560473</v>
      </c>
      <c r="M771" s="47" t="n">
        <f aca="false">SUM(K771:L771)</f>
        <v>32553.4484166411</v>
      </c>
      <c r="N771" s="20" t="str">
        <f aca="false">A771</f>
        <v>14.2.2</v>
      </c>
    </row>
    <row r="772" customFormat="false" ht="30" hidden="false" customHeight="false" outlineLevel="2" collapsed="false">
      <c r="A772" s="42" t="s">
        <v>1095</v>
      </c>
      <c r="B772" s="43" t="s">
        <v>1096</v>
      </c>
      <c r="C772" s="50" t="str">
        <f aca="false">VLOOKUP($B772,03_COMPOSIÇÕES!$A:$G,2,0)</f>
        <v>CURVA 90° VERTICAL DE FITA DE ALUMÍNIO 70 MM² PARA SPDA - FORNECIMENTO E INSTALAÇÃO.</v>
      </c>
      <c r="D772" s="45" t="s">
        <v>59</v>
      </c>
      <c r="E772" s="44" t="str">
        <f aca="false">IF($B772="","",IFERROR(VLOOKUP($B772,#REF!,3,0),IFERROR(VLOOKUP($B772,03_COMPOSIÇÕES!$A:$G,4,0),"")))</f>
        <v>UN</v>
      </c>
      <c r="F772" s="46" t="n">
        <v>6</v>
      </c>
      <c r="G772" s="51" t="n">
        <f aca="false">VLOOKUP($B772,03_COMPOSIÇÕES!$A:$G,6,0)</f>
        <v>21.618668</v>
      </c>
      <c r="H772" s="52" t="n">
        <f aca="false">VLOOKUP($B772,03_COMPOSIÇÕES!$A:$G,7,0)</f>
        <v>18.30590553456</v>
      </c>
      <c r="I772" s="47" t="n">
        <f aca="false">$F772*$G772</f>
        <v>129.712008</v>
      </c>
      <c r="J772" s="47" t="n">
        <f aca="false">$F772*$H772</f>
        <v>109.83543320736</v>
      </c>
      <c r="K772" s="47" t="n">
        <f aca="false">$I772*(1+BDI_MAT)</f>
        <v>156.4586240496</v>
      </c>
      <c r="L772" s="47" t="n">
        <f aca="false">$J772*(1+BDI_MDO)</f>
        <v>140.029193796063</v>
      </c>
      <c r="M772" s="47" t="n">
        <f aca="false">SUM(K772:L772)</f>
        <v>296.487817845663</v>
      </c>
      <c r="N772" s="20" t="str">
        <f aca="false">A772</f>
        <v>14.2.3</v>
      </c>
    </row>
    <row r="773" customFormat="false" ht="30" hidden="false" customHeight="false" outlineLevel="2" collapsed="false">
      <c r="A773" s="42" t="s">
        <v>1097</v>
      </c>
      <c r="B773" s="43" t="n">
        <v>96989</v>
      </c>
      <c r="C773" s="50" t="str">
        <f aca="false">VLOOKUP($B773,03_COMPOSIÇÕES!$A:$G,2,0)</f>
        <v>CAPTOR TIPO FRANKLIN PARA SPDA - FORNECIMENTO E INSTALAÇÃO. AF_08/2023</v>
      </c>
      <c r="D773" s="45" t="s">
        <v>59</v>
      </c>
      <c r="E773" s="44" t="str">
        <f aca="false">IF($B773="","",IFERROR(VLOOKUP($B773,#REF!,3,0),IFERROR(VLOOKUP($B773,03_COMPOSIÇÕES!$A:$G,4,0),"")))</f>
        <v>UN</v>
      </c>
      <c r="F773" s="46" t="n">
        <v>2</v>
      </c>
      <c r="G773" s="51" t="n">
        <f aca="false">VLOOKUP($B773,03_COMPOSIÇÕES!$A:$G,6,0)</f>
        <v>140.096024</v>
      </c>
      <c r="H773" s="52" t="n">
        <f aca="false">VLOOKUP($B773,03_COMPOSIÇÕES!$A:$G,7,0)</f>
        <v>4.67458714656</v>
      </c>
      <c r="I773" s="47" t="n">
        <f aca="false">$F773*$G773</f>
        <v>280.192048</v>
      </c>
      <c r="J773" s="47" t="n">
        <f aca="false">$F773*$H773</f>
        <v>9.34917429312</v>
      </c>
      <c r="K773" s="47" t="n">
        <f aca="false">$I773*(1+BDI_MAT)</f>
        <v>337.9676482976</v>
      </c>
      <c r="L773" s="47" t="n">
        <f aca="false">$J773*(1+BDI_MDO)</f>
        <v>11.9192623062987</v>
      </c>
      <c r="M773" s="47" t="n">
        <f aca="false">SUM(K773:L773)</f>
        <v>349.886910603899</v>
      </c>
      <c r="N773" s="20" t="str">
        <f aca="false">A773</f>
        <v>14.2.4</v>
      </c>
    </row>
    <row r="774" customFormat="false" ht="30" hidden="false" customHeight="false" outlineLevel="2" collapsed="false">
      <c r="A774" s="42" t="s">
        <v>1098</v>
      </c>
      <c r="B774" s="43" t="n">
        <v>96987</v>
      </c>
      <c r="C774" s="50" t="str">
        <f aca="false">VLOOKUP($B774,03_COMPOSIÇÕES!$A:$G,2,0)</f>
        <v>BASE METÁLICA PARA MASTRO 1 ½" PARA SPDA - FORNECIMENTO E INSTALAÇÃO. AF_08/2023</v>
      </c>
      <c r="D774" s="45" t="s">
        <v>59</v>
      </c>
      <c r="E774" s="44" t="str">
        <f aca="false">IF($B774="","",IFERROR(VLOOKUP($B774,#REF!,3,0),IFERROR(VLOOKUP($B774,03_COMPOSIÇÕES!$A:$G,4,0),"")))</f>
        <v>UN</v>
      </c>
      <c r="F774" s="46" t="n">
        <v>2</v>
      </c>
      <c r="G774" s="51" t="n">
        <f aca="false">VLOOKUP($B774,03_COMPOSIÇÕES!$A:$G,6,0)</f>
        <v>79.383042</v>
      </c>
      <c r="H774" s="52" t="n">
        <f aca="false">VLOOKUP($B774,03_COMPOSIÇÕES!$A:$G,7,0)</f>
        <v>41.01898126896</v>
      </c>
      <c r="I774" s="47" t="n">
        <f aca="false">$F774*$G774</f>
        <v>158.766084</v>
      </c>
      <c r="J774" s="47" t="n">
        <f aca="false">$F774*$H774</f>
        <v>82.03796253792</v>
      </c>
      <c r="K774" s="47" t="n">
        <f aca="false">$I774*(1+BDI_MAT)</f>
        <v>191.5036505208</v>
      </c>
      <c r="L774" s="47" t="n">
        <f aca="false">$J774*(1+BDI_MDO)</f>
        <v>104.590198439594</v>
      </c>
      <c r="M774" s="47" t="n">
        <f aca="false">SUM(K774:L774)</f>
        <v>296.093848960394</v>
      </c>
      <c r="N774" s="20" t="str">
        <f aca="false">A774</f>
        <v>14.2.5</v>
      </c>
    </row>
    <row r="775" customFormat="false" ht="30" hidden="false" customHeight="false" outlineLevel="2" collapsed="false">
      <c r="A775" s="42" t="s">
        <v>1099</v>
      </c>
      <c r="B775" s="43" t="n">
        <v>96988</v>
      </c>
      <c r="C775" s="50" t="str">
        <f aca="false">VLOOKUP($B775,03_COMPOSIÇÕES!$A:$G,2,0)</f>
        <v>MASTRO 1 ½", COM 3 METROS, PARA SPDA - FORNECIMENTO E INSTALAÇÃO. AF_08/2023</v>
      </c>
      <c r="D775" s="45" t="s">
        <v>59</v>
      </c>
      <c r="E775" s="44" t="str">
        <f aca="false">IF($B775="","",IFERROR(VLOOKUP($B775,#REF!,3,0),IFERROR(VLOOKUP($B775,03_COMPOSIÇÕES!$A:$G,4,0),"")))</f>
        <v>UN</v>
      </c>
      <c r="F775" s="46" t="n">
        <v>2</v>
      </c>
      <c r="G775" s="51" t="n">
        <f aca="false">VLOOKUP($B775,03_COMPOSIÇÕES!$A:$G,6,0)</f>
        <v>167.727074</v>
      </c>
      <c r="H775" s="52" t="n">
        <f aca="false">VLOOKUP($B775,03_COMPOSIÇÕES!$A:$G,7,0)</f>
        <v>5.78940324912</v>
      </c>
      <c r="I775" s="47" t="n">
        <f aca="false">$F775*$G775</f>
        <v>335.454148</v>
      </c>
      <c r="J775" s="47" t="n">
        <f aca="false">$F775*$H775</f>
        <v>11.57880649824</v>
      </c>
      <c r="K775" s="47" t="n">
        <f aca="false">$I775*(1+BDI_MAT)</f>
        <v>404.6247933176</v>
      </c>
      <c r="L775" s="47" t="n">
        <f aca="false">$J775*(1+BDI_MDO)</f>
        <v>14.7618204046062</v>
      </c>
      <c r="M775" s="47" t="n">
        <f aca="false">SUM(K775:L775)</f>
        <v>419.386613722206</v>
      </c>
      <c r="N775" s="20" t="str">
        <f aca="false">A775</f>
        <v>14.2.6</v>
      </c>
    </row>
    <row r="776" customFormat="false" ht="30" hidden="false" customHeight="false" outlineLevel="2" collapsed="false">
      <c r="A776" s="42" t="s">
        <v>1100</v>
      </c>
      <c r="B776" s="43" t="n">
        <v>96973</v>
      </c>
      <c r="C776" s="50" t="str">
        <f aca="false">VLOOKUP($B776,03_COMPOSIÇÕES!$A:$G,2,0)</f>
        <v>CORDOALHA DE COBRE NU 35 MM², NÃO ENTERRADA, COM ISOLADOR - FORNECIMENTO E INSTALAÇÃO. AF_08/2023</v>
      </c>
      <c r="D776" s="45" t="s">
        <v>59</v>
      </c>
      <c r="E776" s="44" t="str">
        <f aca="false">IF($B776="","",IFERROR(VLOOKUP($B776,#REF!,3,0),IFERROR(VLOOKUP($B776,03_COMPOSIÇÕES!$A:$G,4,0),"")))</f>
        <v>M</v>
      </c>
      <c r="F776" s="46" t="n">
        <v>7.18</v>
      </c>
      <c r="G776" s="51" t="n">
        <f aca="false">VLOOKUP($B776,03_COMPOSIÇÕES!$A:$G,6,0)</f>
        <v>55.0460611384</v>
      </c>
      <c r="H776" s="52" t="n">
        <f aca="false">VLOOKUP($B776,03_COMPOSIÇÕES!$A:$G,7,0)</f>
        <v>15.8184771414967</v>
      </c>
      <c r="I776" s="47" t="n">
        <f aca="false">$F776*$G776</f>
        <v>395.230718973712</v>
      </c>
      <c r="J776" s="47" t="n">
        <f aca="false">$F776*$H776</f>
        <v>113.576665875946</v>
      </c>
      <c r="K776" s="47" t="n">
        <f aca="false">$I776*(1+BDI_MAT)</f>
        <v>476.727293226091</v>
      </c>
      <c r="L776" s="47" t="n">
        <f aca="false">$J776*(1+BDI_MDO)</f>
        <v>144.798891325244</v>
      </c>
      <c r="M776" s="47" t="n">
        <f aca="false">SUM(K776:L776)</f>
        <v>621.526184551335</v>
      </c>
      <c r="N776" s="20" t="str">
        <f aca="false">A776</f>
        <v>14.2.7</v>
      </c>
    </row>
    <row r="777" customFormat="false" ht="15" hidden="false" customHeight="false" outlineLevel="1" collapsed="false">
      <c r="A777" s="42" t="s">
        <v>1101</v>
      </c>
      <c r="B777" s="43"/>
      <c r="C777" s="50" t="s">
        <v>1102</v>
      </c>
      <c r="D777" s="45"/>
      <c r="E777" s="44"/>
      <c r="F777" s="46"/>
      <c r="G777" s="51"/>
      <c r="H777" s="52"/>
      <c r="I777" s="47" t="n">
        <f aca="false">SUBTOTAL(9,I778:I781)</f>
        <v>32090.1618674667</v>
      </c>
      <c r="J777" s="47" t="n">
        <f aca="false">SUBTOTAL(9,J778:J781)</f>
        <v>5723.39809102997</v>
      </c>
      <c r="K777" s="47" t="n">
        <f aca="false">SUBTOTAL(9,K778:K781)</f>
        <v>38707.1532445383</v>
      </c>
      <c r="L777" s="47" t="n">
        <f aca="false">SUBTOTAL(9,L778:L781)</f>
        <v>7296.7602262541</v>
      </c>
      <c r="M777" s="47" t="n">
        <f aca="false">SUBTOTAL(9,M778:M781)</f>
        <v>46003.9134707924</v>
      </c>
      <c r="N777" s="20" t="str">
        <f aca="false">A777</f>
        <v>14.3</v>
      </c>
    </row>
    <row r="778" customFormat="false" ht="30" hidden="false" customHeight="false" outlineLevel="2" collapsed="false">
      <c r="A778" s="42" t="s">
        <v>1103</v>
      </c>
      <c r="B778" s="43" t="s">
        <v>1104</v>
      </c>
      <c r="C778" s="50" t="str">
        <f aca="false">VLOOKUP($B778,03_COMPOSIÇÕES!$A:$G,2,0)</f>
        <v>CAIXA DE EQUIPOTENCIALIZAÇÃO, DE SOBREPOR, 5 TERMINAIS - FORNECIMENTO E INSTALACAO.</v>
      </c>
      <c r="D778" s="45" t="s">
        <v>59</v>
      </c>
      <c r="E778" s="44" t="str">
        <f aca="false">IF($B778="","",IFERROR(VLOOKUP($B778,#REF!,3,0),IFERROR(VLOOKUP($B778,03_COMPOSIÇÕES!$A:$G,4,0),"")))</f>
        <v>UN</v>
      </c>
      <c r="F778" s="46" t="n">
        <v>2</v>
      </c>
      <c r="G778" s="51" t="n">
        <f aca="false">VLOOKUP($B778,03_COMPOSIÇÕES!$A:$G,6,0)</f>
        <v>257.285893333333</v>
      </c>
      <c r="H778" s="52" t="n">
        <f aca="false">VLOOKUP($B778,03_COMPOSIÇÕES!$A:$G,7,0)</f>
        <v>12.0163978656</v>
      </c>
      <c r="I778" s="47" t="n">
        <f aca="false">$F778*$G778</f>
        <v>514.571786666667</v>
      </c>
      <c r="J778" s="47" t="n">
        <f aca="false">$F778*$H778</f>
        <v>24.0327957312</v>
      </c>
      <c r="K778" s="47" t="n">
        <f aca="false">$I778*(1+BDI_MAT)</f>
        <v>620.676489077333</v>
      </c>
      <c r="L778" s="47" t="n">
        <f aca="false">$J778*(1+BDI_MDO)</f>
        <v>30.6394112777069</v>
      </c>
      <c r="M778" s="47" t="n">
        <f aca="false">SUM(K778:L778)</f>
        <v>651.31590035504</v>
      </c>
      <c r="N778" s="20" t="str">
        <f aca="false">A778</f>
        <v>14.3.1</v>
      </c>
    </row>
    <row r="779" customFormat="false" ht="30" hidden="false" customHeight="false" outlineLevel="2" collapsed="false">
      <c r="A779" s="42" t="s">
        <v>1105</v>
      </c>
      <c r="B779" s="43" t="s">
        <v>1106</v>
      </c>
      <c r="C779" s="50" t="str">
        <f aca="false">VLOOKUP($B779,03_COMPOSIÇÕES!$A:$G,2,0)</f>
        <v>EMENDA L EM AÇO GAVANIZADO 200X200 MM, Ø3/8", COM CONECTORES TIPO CLIP</v>
      </c>
      <c r="D779" s="45" t="s">
        <v>59</v>
      </c>
      <c r="E779" s="44" t="str">
        <f aca="false">IF($B779="","",IFERROR(VLOOKUP($B779,#REF!,3,0),IFERROR(VLOOKUP($B779,03_COMPOSIÇÕES!$A:$G,4,0),"")))</f>
        <v>UN</v>
      </c>
      <c r="F779" s="46" t="n">
        <v>99</v>
      </c>
      <c r="G779" s="51" t="n">
        <f aca="false">VLOOKUP($B779,03_COMPOSIÇÕES!$A:$G,6,0)</f>
        <v>27.074188</v>
      </c>
      <c r="H779" s="52" t="n">
        <f aca="false">VLOOKUP($B779,03_COMPOSIÇÕES!$A:$G,7,0)</f>
        <v>6.9168937416</v>
      </c>
      <c r="I779" s="47" t="n">
        <f aca="false">$F779*$G779</f>
        <v>2680.344612</v>
      </c>
      <c r="J779" s="47" t="n">
        <f aca="false">$F779*$H779</f>
        <v>684.7724804184</v>
      </c>
      <c r="K779" s="47" t="n">
        <f aca="false">$I779*(1+BDI_MAT)</f>
        <v>3233.0316709944</v>
      </c>
      <c r="L779" s="47" t="n">
        <f aca="false">$J779*(1+BDI_MDO)</f>
        <v>873.016435285418</v>
      </c>
      <c r="M779" s="47" t="n">
        <f aca="false">SUM(K779:L779)</f>
        <v>4106.04810627982</v>
      </c>
      <c r="N779" s="20" t="str">
        <f aca="false">A779</f>
        <v>14.3.2</v>
      </c>
    </row>
    <row r="780" customFormat="false" ht="15" hidden="false" customHeight="false" outlineLevel="2" collapsed="false">
      <c r="A780" s="42" t="s">
        <v>1107</v>
      </c>
      <c r="B780" s="43" t="s">
        <v>1108</v>
      </c>
      <c r="C780" s="50" t="str">
        <f aca="false">VLOOKUP($B780,03_COMPOSIÇÕES!$A:$G,2,0)</f>
        <v>CONECTOR ATERRINSERT, PARA SPDA - FORNECIMENTO E INSTALAÇÃO.</v>
      </c>
      <c r="D780" s="45" t="s">
        <v>59</v>
      </c>
      <c r="E780" s="44" t="str">
        <f aca="false">IF($B780="","",IFERROR(VLOOKUP($B780,#REF!,3,0),IFERROR(VLOOKUP($B780,03_COMPOSIÇÕES!$A:$G,4,0),"")))</f>
        <v>UN</v>
      </c>
      <c r="F780" s="46" t="n">
        <v>81</v>
      </c>
      <c r="G780" s="51" t="n">
        <f aca="false">VLOOKUP($B780,03_COMPOSIÇÕES!$A:$G,6,0)</f>
        <v>58.7699193333333</v>
      </c>
      <c r="H780" s="52" t="n">
        <f aca="false">VLOOKUP($B780,03_COMPOSIÇÕES!$A:$G,7,0)</f>
        <v>6.47010093168</v>
      </c>
      <c r="I780" s="47" t="n">
        <f aca="false">$F780*$G780</f>
        <v>4760.363466</v>
      </c>
      <c r="J780" s="47" t="n">
        <f aca="false">$F780*$H780</f>
        <v>524.07817546608</v>
      </c>
      <c r="K780" s="47" t="n">
        <f aca="false">$I780*(1+BDI_MAT)</f>
        <v>5741.9504126892</v>
      </c>
      <c r="L780" s="47" t="n">
        <f aca="false">$J780*(1+BDI_MDO)</f>
        <v>668.147265901705</v>
      </c>
      <c r="M780" s="47" t="n">
        <f aca="false">SUM(K780:L780)</f>
        <v>6410.09767859091</v>
      </c>
      <c r="N780" s="20" t="str">
        <f aca="false">A780</f>
        <v>14.3.3</v>
      </c>
    </row>
    <row r="781" customFormat="false" ht="30" hidden="false" customHeight="false" outlineLevel="2" collapsed="false">
      <c r="A781" s="42" t="s">
        <v>1109</v>
      </c>
      <c r="B781" s="43" t="s">
        <v>1110</v>
      </c>
      <c r="C781" s="50" t="str">
        <f aca="false">VLOOKUP($B781,03_COMPOSIÇÕES!$A:$G,2,0)</f>
        <v>BARRA REDONDA DE AÇO, Ø10 MM, BARRAS DE 3M, COM CONECTORES TIPO CLIP.</v>
      </c>
      <c r="D781" s="45" t="s">
        <v>59</v>
      </c>
      <c r="E781" s="44" t="str">
        <f aca="false">IF($B781="","",IFERROR(VLOOKUP($B781,#REF!,3,0),IFERROR(VLOOKUP($B781,03_COMPOSIÇÕES!$A:$G,4,0),"")))</f>
        <v>UN</v>
      </c>
      <c r="F781" s="46" t="n">
        <v>426.9</v>
      </c>
      <c r="G781" s="51" t="n">
        <f aca="false">VLOOKUP($B781,03_COMPOSIÇÕES!$A:$G,6,0)</f>
        <v>56.535212</v>
      </c>
      <c r="H781" s="52" t="n">
        <f aca="false">VLOOKUP($B781,03_COMPOSIÇÕES!$A:$G,7,0)</f>
        <v>10.51889116752</v>
      </c>
      <c r="I781" s="47" t="n">
        <f aca="false">$F781*$G781</f>
        <v>24134.8820028</v>
      </c>
      <c r="J781" s="47" t="n">
        <f aca="false">$F781*$H781</f>
        <v>4490.51463941429</v>
      </c>
      <c r="K781" s="47" t="n">
        <f aca="false">$I781*(1+BDI_MAT)</f>
        <v>29111.4946717774</v>
      </c>
      <c r="L781" s="47" t="n">
        <f aca="false">$J781*(1+BDI_MDO)</f>
        <v>5724.95711378928</v>
      </c>
      <c r="M781" s="47" t="n">
        <f aca="false">SUM(K781:L781)</f>
        <v>34836.4517855666</v>
      </c>
      <c r="N781" s="20" t="str">
        <f aca="false">A781</f>
        <v>14.3.4</v>
      </c>
    </row>
    <row r="782" customFormat="false" ht="15" hidden="false" customHeight="false" outlineLevel="1" collapsed="false">
      <c r="A782" s="42" t="s">
        <v>1111</v>
      </c>
      <c r="B782" s="43"/>
      <c r="C782" s="50" t="s">
        <v>1112</v>
      </c>
      <c r="D782" s="45"/>
      <c r="E782" s="44"/>
      <c r="F782" s="46"/>
      <c r="G782" s="51"/>
      <c r="H782" s="52"/>
      <c r="I782" s="47" t="n">
        <f aca="false">SUBTOTAL(9,I783:I785)</f>
        <v>8274.69683620475</v>
      </c>
      <c r="J782" s="47" t="n">
        <f aca="false">SUBTOTAL(9,J783:J785)</f>
        <v>583.366787518951</v>
      </c>
      <c r="K782" s="47" t="n">
        <f aca="false">SUBTOTAL(9,K783:K785)</f>
        <v>9980.93932383017</v>
      </c>
      <c r="L782" s="47" t="n">
        <f aca="false">SUBTOTAL(9,L783:L785)</f>
        <v>743.73431740791</v>
      </c>
      <c r="M782" s="47" t="n">
        <f aca="false">SUBTOTAL(9,M783:M785)</f>
        <v>10724.6736412381</v>
      </c>
      <c r="N782" s="20" t="str">
        <f aca="false">A782</f>
        <v>14.4</v>
      </c>
    </row>
    <row r="783" customFormat="false" ht="30" hidden="false" customHeight="false" outlineLevel="2" collapsed="false">
      <c r="A783" s="42" t="s">
        <v>1113</v>
      </c>
      <c r="B783" s="43" t="n">
        <v>98111</v>
      </c>
      <c r="C783" s="50" t="str">
        <f aca="false">VLOOKUP($B783,03_COMPOSIÇÕES!$A:$G,2,0)</f>
        <v>CAIXA DE INSPEÇÃO PARA ATERRAMENTO, CIRCULAR, EM POLIETILENO, DIÂMETRO INTERNO = 0,3 M. AF_12/2020</v>
      </c>
      <c r="D783" s="45" t="s">
        <v>59</v>
      </c>
      <c r="E783" s="44" t="str">
        <f aca="false">IF($B783="","",IFERROR(VLOOKUP($B783,#REF!,3,0),IFERROR(VLOOKUP($B783,03_COMPOSIÇÕES!$A:$G,4,0),"")))</f>
        <v>UN</v>
      </c>
      <c r="F783" s="46" t="n">
        <v>5</v>
      </c>
      <c r="G783" s="51" t="n">
        <f aca="false">VLOOKUP($B783,03_COMPOSIÇÕES!$A:$G,6,0)</f>
        <v>50.9465660569504</v>
      </c>
      <c r="H783" s="52" t="n">
        <f aca="false">VLOOKUP($B783,03_COMPOSIÇÕES!$A:$G,7,0)</f>
        <v>5.47948788246089</v>
      </c>
      <c r="I783" s="47" t="n">
        <f aca="false">$F783*$G783</f>
        <v>254.732830284752</v>
      </c>
      <c r="J783" s="47" t="n">
        <f aca="false">$F783*$H783</f>
        <v>27.3974394123044</v>
      </c>
      <c r="K783" s="47" t="n">
        <f aca="false">$I783*(1+BDI_MAT)</f>
        <v>307.258739889468</v>
      </c>
      <c r="L783" s="47" t="n">
        <f aca="false">$J783*(1+BDI_MDO)</f>
        <v>34.9289955067469</v>
      </c>
      <c r="M783" s="47" t="n">
        <f aca="false">SUM(K783:L783)</f>
        <v>342.187735396215</v>
      </c>
      <c r="N783" s="20" t="str">
        <f aca="false">A783</f>
        <v>14.4.1</v>
      </c>
    </row>
    <row r="784" customFormat="false" ht="30" hidden="false" customHeight="false" outlineLevel="2" collapsed="false">
      <c r="A784" s="42" t="s">
        <v>1114</v>
      </c>
      <c r="B784" s="43" t="n">
        <v>96977</v>
      </c>
      <c r="C784" s="50" t="str">
        <f aca="false">VLOOKUP($B784,03_COMPOSIÇÕES!$A:$G,2,0)</f>
        <v>CORDOALHA DE COBRE NU 50 MM², ENTERRADA - FORNECIMENTO E INSTALAÇÃO. AF_08/2023</v>
      </c>
      <c r="D784" s="45" t="s">
        <v>59</v>
      </c>
      <c r="E784" s="44" t="str">
        <f aca="false">IF($B784="","",IFERROR(VLOOKUP($B784,#REF!,3,0),IFERROR(VLOOKUP($B784,03_COMPOSIÇÕES!$A:$G,4,0),"")))</f>
        <v>M</v>
      </c>
      <c r="F784" s="46" t="n">
        <v>106.54</v>
      </c>
      <c r="G784" s="51" t="n">
        <f aca="false">VLOOKUP($B784,03_COMPOSIÇÕES!$A:$G,6,0)</f>
        <v>59.435648</v>
      </c>
      <c r="H784" s="52" t="n">
        <f aca="false">VLOOKUP($B784,03_COMPOSIÇÕES!$A:$G,7,0)</f>
        <v>1.14954557616</v>
      </c>
      <c r="I784" s="47" t="n">
        <f aca="false">$F784*$G784</f>
        <v>6332.27393792</v>
      </c>
      <c r="J784" s="47" t="n">
        <f aca="false">$F784*$H784</f>
        <v>122.472585684086</v>
      </c>
      <c r="K784" s="47" t="n">
        <f aca="false">$I784*(1+BDI_MAT)</f>
        <v>7637.9888239191</v>
      </c>
      <c r="L784" s="47" t="n">
        <f aca="false">$J784*(1+BDI_MDO)</f>
        <v>156.140299488642</v>
      </c>
      <c r="M784" s="47" t="n">
        <f aca="false">SUM(K784:L784)</f>
        <v>7794.12912340775</v>
      </c>
      <c r="N784" s="20" t="str">
        <f aca="false">A784</f>
        <v>14.4.2</v>
      </c>
    </row>
    <row r="785" customFormat="false" ht="30" hidden="false" customHeight="false" outlineLevel="2" collapsed="false">
      <c r="A785" s="42" t="s">
        <v>1115</v>
      </c>
      <c r="B785" s="43" t="n">
        <v>104754</v>
      </c>
      <c r="C785" s="50" t="str">
        <f aca="false">VLOOKUP($B785,03_COMPOSIÇÕES!$A:$G,2,0)</f>
        <v>CONECTOR SPLIT-BOLT, PARA SPDA, PARA CABOS ATÉ 70 MM2 - FORNECIMENTO E INSTALAÇÃO. AF_08/2023</v>
      </c>
      <c r="D785" s="45" t="s">
        <v>59</v>
      </c>
      <c r="E785" s="44" t="str">
        <f aca="false">IF($B785="","",IFERROR(VLOOKUP($B785,#REF!,3,0),IFERROR(VLOOKUP($B785,03_COMPOSIÇÕES!$A:$G,4,0),"")))</f>
        <v>UN</v>
      </c>
      <c r="F785" s="46" t="n">
        <v>67</v>
      </c>
      <c r="G785" s="51" t="n">
        <f aca="false">VLOOKUP($B785,03_COMPOSIÇÕES!$A:$G,6,0)</f>
        <v>25.189404</v>
      </c>
      <c r="H785" s="52" t="n">
        <f aca="false">VLOOKUP($B785,03_COMPOSIÇÕES!$A:$G,7,0)</f>
        <v>6.47010093168</v>
      </c>
      <c r="I785" s="47" t="n">
        <f aca="false">$F785*$G785</f>
        <v>1687.690068</v>
      </c>
      <c r="J785" s="47" t="n">
        <f aca="false">$F785*$H785</f>
        <v>433.49676242256</v>
      </c>
      <c r="K785" s="47" t="n">
        <f aca="false">$I785*(1+BDI_MAT)</f>
        <v>2035.6917600216</v>
      </c>
      <c r="L785" s="47" t="n">
        <f aca="false">$J785*(1+BDI_MDO)</f>
        <v>552.665022412522</v>
      </c>
      <c r="M785" s="47" t="n">
        <f aca="false">SUM(K785:L785)</f>
        <v>2588.35678243412</v>
      </c>
      <c r="N785" s="20" t="str">
        <f aca="false">A785</f>
        <v>14.4.3</v>
      </c>
    </row>
    <row r="786" customFormat="false" ht="15" hidden="false" customHeight="false" outlineLevel="1" collapsed="false">
      <c r="A786" s="42" t="s">
        <v>1116</v>
      </c>
      <c r="B786" s="43"/>
      <c r="C786" s="50" t="s">
        <v>1117</v>
      </c>
      <c r="D786" s="45"/>
      <c r="E786" s="44"/>
      <c r="F786" s="46"/>
      <c r="G786" s="51"/>
      <c r="H786" s="52"/>
      <c r="I786" s="47" t="n">
        <f aca="false">SUBTOTAL(9,I787:I788)</f>
        <v>196.713592</v>
      </c>
      <c r="J786" s="47" t="n">
        <f aca="false">SUBTOTAL(9,J787:J788)</f>
        <v>3.5556321372</v>
      </c>
      <c r="K786" s="47" t="n">
        <f aca="false">SUBTOTAL(9,K787:K788)</f>
        <v>237.2759346704</v>
      </c>
      <c r="L786" s="47" t="n">
        <f aca="false">SUBTOTAL(9,L787:L788)</f>
        <v>4.53307541171628</v>
      </c>
      <c r="M786" s="47" t="n">
        <f aca="false">SUBTOTAL(9,M787:M788)</f>
        <v>241.809010082116</v>
      </c>
      <c r="N786" s="20" t="str">
        <f aca="false">A786</f>
        <v>14.5</v>
      </c>
    </row>
    <row r="787" customFormat="false" ht="30" hidden="false" customHeight="false" outlineLevel="1" collapsed="false">
      <c r="A787" s="42" t="s">
        <v>1118</v>
      </c>
      <c r="B787" s="43" t="s">
        <v>1119</v>
      </c>
      <c r="C787" s="50" t="str">
        <f aca="false">VLOOKUP($B787,03_COMPOSIÇÕES!$A:$G,2,0)</f>
        <v>DISPOSITIVO DPS CLASSE II, 1 POLO, TENSÃO MÁXIMA DE 275 V, CORRENTE MÁXIMA DE 30 KA - FORNECIMENTO E INSTALAÇÃO.</v>
      </c>
      <c r="D787" s="45" t="s">
        <v>59</v>
      </c>
      <c r="E787" s="44" t="str">
        <f aca="false">IF($B787="","",IFERROR(VLOOKUP($B787,#REF!,3,0),IFERROR(VLOOKUP($B787,03_COMPOSIÇÕES!$A:$G,4,0),"")))</f>
        <v>UN</v>
      </c>
      <c r="F787" s="46" t="n">
        <v>1</v>
      </c>
      <c r="G787" s="51" t="n">
        <f aca="false">VLOOKUP($B787,03_COMPOSIÇÕES!$A:$G,6,0)</f>
        <v>85.263788</v>
      </c>
      <c r="H787" s="52" t="n">
        <f aca="false">VLOOKUP($B787,03_COMPOSIÇÕES!$A:$G,7,0)</f>
        <v>1.25306803752</v>
      </c>
      <c r="I787" s="47" t="n">
        <f aca="false">$F787*$G787</f>
        <v>85.263788</v>
      </c>
      <c r="J787" s="47" t="n">
        <f aca="false">$F787*$H787</f>
        <v>1.25306803752</v>
      </c>
      <c r="K787" s="47" t="n">
        <f aca="false">$I787*(1+BDI_MAT)</f>
        <v>102.8451810856</v>
      </c>
      <c r="L787" s="47" t="n">
        <f aca="false">$J787*(1+BDI_MDO)</f>
        <v>1.59753644103425</v>
      </c>
      <c r="M787" s="47" t="n">
        <f aca="false">SUM(K787:L787)</f>
        <v>104.442717526634</v>
      </c>
      <c r="N787" s="20" t="str">
        <f aca="false">A787</f>
        <v>14.5.1</v>
      </c>
    </row>
    <row r="788" customFormat="false" ht="30" hidden="false" customHeight="false" outlineLevel="1" collapsed="false">
      <c r="A788" s="42" t="s">
        <v>1120</v>
      </c>
      <c r="B788" s="43" t="s">
        <v>1121</v>
      </c>
      <c r="C788" s="50" t="str">
        <f aca="false">VLOOKUP($B788,03_COMPOSIÇÕES!$A:$G,2,0)</f>
        <v>DISPOSITIVO DPS CLASSE I, 1 POLO, TENSÃO MÁXIMA DE 275 V, CORRENTE MÁXIMA DE 12,5/60 KA - FORNECIMENTO E INSTALAÇÃO.</v>
      </c>
      <c r="D788" s="45" t="s">
        <v>59</v>
      </c>
      <c r="E788" s="44" t="str">
        <f aca="false">IF($B788="","",IFERROR(VLOOKUP($B788,#REF!,3,0),IFERROR(VLOOKUP($B788,03_COMPOSIÇÕES!$A:$G,4,0),"")))</f>
        <v>UN</v>
      </c>
      <c r="F788" s="46" t="n">
        <v>1</v>
      </c>
      <c r="G788" s="51" t="n">
        <f aca="false">VLOOKUP($B788,03_COMPOSIÇÕES!$A:$G,6,0)</f>
        <v>111.449804</v>
      </c>
      <c r="H788" s="52" t="n">
        <f aca="false">VLOOKUP($B788,03_COMPOSIÇÕES!$A:$G,7,0)</f>
        <v>2.30256409968</v>
      </c>
      <c r="I788" s="47" t="n">
        <f aca="false">$F788*$G788</f>
        <v>111.449804</v>
      </c>
      <c r="J788" s="47" t="n">
        <f aca="false">$F788*$H788</f>
        <v>2.30256409968</v>
      </c>
      <c r="K788" s="47" t="n">
        <f aca="false">$I788*(1+BDI_MAT)</f>
        <v>134.4307535848</v>
      </c>
      <c r="L788" s="47" t="n">
        <f aca="false">$J788*(1+BDI_MDO)</f>
        <v>2.93553897068203</v>
      </c>
      <c r="M788" s="47" t="n">
        <f aca="false">SUM(K788:L788)</f>
        <v>137.366292555482</v>
      </c>
      <c r="N788" s="20" t="str">
        <f aca="false">A788</f>
        <v>14.5.2</v>
      </c>
    </row>
    <row r="789" customFormat="false" ht="15" hidden="false" customHeight="false" outlineLevel="0" collapsed="false">
      <c r="A789" s="42" t="n">
        <v>15</v>
      </c>
      <c r="B789" s="43"/>
      <c r="C789" s="50" t="s">
        <v>1122</v>
      </c>
      <c r="D789" s="45"/>
      <c r="E789" s="44"/>
      <c r="F789" s="46"/>
      <c r="G789" s="51"/>
      <c r="H789" s="52"/>
      <c r="I789" s="47" t="n">
        <f aca="false">SUM(I790,I794,I804,I806,I834,I847,I849,I852)</f>
        <v>47999.1246498471</v>
      </c>
      <c r="J789" s="47" t="n">
        <f aca="false">SUM(J790,J794,J804,J806,J834,J847,J849,J852)</f>
        <v>6517.08212411859</v>
      </c>
      <c r="K789" s="47" t="n">
        <f aca="false">SUM(K790,K794,K804,K806,K834,K847,K849,K852)</f>
        <v>57896.5441526456</v>
      </c>
      <c r="L789" s="47" t="n">
        <f aca="false">SUM(L790,L794,L804,L806,L834,L847,L849,L852)</f>
        <v>8308.62800003879</v>
      </c>
      <c r="M789" s="47" t="n">
        <f aca="false">SUM(M790,M794,M804,M806,M834,M847,M849,M852)</f>
        <v>66205.1721526844</v>
      </c>
      <c r="N789" s="20" t="n">
        <f aca="false">A789</f>
        <v>15</v>
      </c>
    </row>
    <row r="790" customFormat="false" ht="15" hidden="false" customHeight="false" outlineLevel="1" collapsed="false">
      <c r="A790" s="42" t="s">
        <v>1123</v>
      </c>
      <c r="B790" s="43"/>
      <c r="C790" s="50" t="s">
        <v>1124</v>
      </c>
      <c r="D790" s="45"/>
      <c r="E790" s="44"/>
      <c r="F790" s="46"/>
      <c r="G790" s="51"/>
      <c r="H790" s="52"/>
      <c r="I790" s="47" t="n">
        <f aca="false">SUBTOTAL(9,I791:I793)</f>
        <v>2454.19488877333</v>
      </c>
      <c r="J790" s="47" t="n">
        <f aca="false">SUBTOTAL(9,J791:J793)</f>
        <v>182.9676570804</v>
      </c>
      <c r="K790" s="47" t="n">
        <f aca="false">SUBTOTAL(9,K791:K793)</f>
        <v>2960.24987483839</v>
      </c>
      <c r="L790" s="47" t="n">
        <f aca="false">SUBTOTAL(9,L791:L793)</f>
        <v>233.265466011802</v>
      </c>
      <c r="M790" s="47" t="n">
        <f aca="false">SUBTOTAL(9,M791:M793)</f>
        <v>3193.5153408502</v>
      </c>
      <c r="N790" s="20" t="str">
        <f aca="false">A790</f>
        <v>15.1</v>
      </c>
    </row>
    <row r="791" customFormat="false" ht="30" hidden="false" customHeight="false" outlineLevel="2" collapsed="false">
      <c r="A791" s="42" t="s">
        <v>1125</v>
      </c>
      <c r="B791" s="43" t="n">
        <v>97599</v>
      </c>
      <c r="C791" s="50" t="str">
        <f aca="false">VLOOKUP($B791,03_COMPOSIÇÕES!$A:$G,2,0)</f>
        <v>LUMINÁRIA DE EMERGÊNCIA, COM 30 LÂMPADAS LED DE 2 W, SEM REATOR - FORNECIMENTO E INSTALAÇÃO. AF_09/2024</v>
      </c>
      <c r="D791" s="45" t="s">
        <v>59</v>
      </c>
      <c r="E791" s="44" t="str">
        <f aca="false">IF($B791="","",IFERROR(VLOOKUP($B791,#REF!,3,0),IFERROR(VLOOKUP($B791,03_COMPOSIÇÕES!$A:$G,4,0),"")))</f>
        <v>UN</v>
      </c>
      <c r="F791" s="46" t="n">
        <v>30</v>
      </c>
      <c r="G791" s="51" t="n">
        <f aca="false">VLOOKUP($B791,03_COMPOSIÇÕES!$A:$G,6,0)</f>
        <v>13.296687748</v>
      </c>
      <c r="H791" s="52" t="n">
        <f aca="false">VLOOKUP($B791,03_COMPOSIÇÕES!$A:$G,7,0)</f>
        <v>3.7020187356</v>
      </c>
      <c r="I791" s="47" t="n">
        <f aca="false">$F791*$G791</f>
        <v>398.90063244</v>
      </c>
      <c r="J791" s="47" t="n">
        <f aca="false">$F791*$H791</f>
        <v>111.060562068</v>
      </c>
      <c r="K791" s="47" t="n">
        <f aca="false">$I791*(1+BDI_MAT)</f>
        <v>481.153942849128</v>
      </c>
      <c r="L791" s="47" t="n">
        <f aca="false">$J791*(1+BDI_MDO)</f>
        <v>141.591110580493</v>
      </c>
      <c r="M791" s="47" t="n">
        <f aca="false">SUM(K791:L791)</f>
        <v>622.745053429621</v>
      </c>
      <c r="N791" s="20" t="str">
        <f aca="false">A791</f>
        <v>15.1.1</v>
      </c>
    </row>
    <row r="792" customFormat="false" ht="30" hidden="false" customHeight="false" outlineLevel="2" collapsed="false">
      <c r="A792" s="42" t="s">
        <v>1126</v>
      </c>
      <c r="B792" s="43" t="s">
        <v>1127</v>
      </c>
      <c r="C792" s="50" t="str">
        <f aca="false">VLOOKUP($B792,03_COMPOSIÇÕES!$A:$G,2,0)</f>
        <v>LUMINÁRIA DE EMERGÊNCIA, 300 LUMENS - FORNECIMENTO E INSTALAÇÃO.</v>
      </c>
      <c r="D792" s="45" t="s">
        <v>59</v>
      </c>
      <c r="E792" s="44" t="str">
        <f aca="false">IF($B792="","",IFERROR(VLOOKUP($B792,#REF!,3,0),IFERROR(VLOOKUP($B792,03_COMPOSIÇÕES!$A:$G,4,0),"")))</f>
        <v>UN</v>
      </c>
      <c r="F792" s="46" t="n">
        <v>11</v>
      </c>
      <c r="G792" s="51" t="n">
        <f aca="false">VLOOKUP($B792,03_COMPOSIÇÕES!$A:$G,6,0)</f>
        <v>120.810718333333</v>
      </c>
      <c r="H792" s="52" t="n">
        <f aca="false">VLOOKUP($B792,03_COMPOSIÇÕES!$A:$G,7,0)</f>
        <v>4.79380633416</v>
      </c>
      <c r="I792" s="47" t="n">
        <f aca="false">$F792*$G792</f>
        <v>1328.91790166667</v>
      </c>
      <c r="J792" s="47" t="n">
        <f aca="false">$F792*$H792</f>
        <v>52.73186967576</v>
      </c>
      <c r="K792" s="47" t="n">
        <f aca="false">$I792*(1+BDI_MAT)</f>
        <v>1602.94077299033</v>
      </c>
      <c r="L792" s="47" t="n">
        <f aca="false">$J792*(1+BDI_MDO)</f>
        <v>67.2278606496264</v>
      </c>
      <c r="M792" s="47" t="n">
        <f aca="false">SUM(K792:L792)</f>
        <v>1670.16863363996</v>
      </c>
      <c r="N792" s="20" t="str">
        <f aca="false">A792</f>
        <v>15.1.2</v>
      </c>
    </row>
    <row r="793" customFormat="false" ht="30" hidden="false" customHeight="false" outlineLevel="2" collapsed="false">
      <c r="A793" s="42" t="s">
        <v>1128</v>
      </c>
      <c r="B793" s="43" t="s">
        <v>1129</v>
      </c>
      <c r="C793" s="50" t="str">
        <f aca="false">VLOOKUP($B793,03_COMPOSIÇÕES!$A:$G,2,0)</f>
        <v>LUMINÁRIA DE EMERGÊNCIA, 600 LUMENS, TIPO FAROLETE - FORNECIMENTO E INSTALAÇÃO.</v>
      </c>
      <c r="D793" s="45" t="s">
        <v>59</v>
      </c>
      <c r="E793" s="44" t="str">
        <f aca="false">IF($B793="","",IFERROR(VLOOKUP($B793,#REF!,3,0),IFERROR(VLOOKUP($B793,03_COMPOSIÇÕES!$A:$G,4,0),"")))</f>
        <v>UN</v>
      </c>
      <c r="F793" s="46" t="n">
        <v>4</v>
      </c>
      <c r="G793" s="51" t="n">
        <f aca="false">VLOOKUP($B793,03_COMPOSIÇÕES!$A:$G,6,0)</f>
        <v>181.594088666667</v>
      </c>
      <c r="H793" s="52" t="n">
        <f aca="false">VLOOKUP($B793,03_COMPOSIÇÕES!$A:$G,7,0)</f>
        <v>4.79380633416</v>
      </c>
      <c r="I793" s="47" t="n">
        <f aca="false">$F793*$G793</f>
        <v>726.376354666667</v>
      </c>
      <c r="J793" s="47" t="n">
        <f aca="false">$F793*$H793</f>
        <v>19.17522533664</v>
      </c>
      <c r="K793" s="47" t="n">
        <f aca="false">$I793*(1+BDI_MAT)</f>
        <v>876.155158998933</v>
      </c>
      <c r="L793" s="47" t="n">
        <f aca="false">$J793*(1+BDI_MDO)</f>
        <v>24.4464947816823</v>
      </c>
      <c r="M793" s="47" t="n">
        <f aca="false">SUM(K793:L793)</f>
        <v>900.601653780615</v>
      </c>
      <c r="N793" s="20" t="str">
        <f aca="false">A793</f>
        <v>15.1.3</v>
      </c>
    </row>
    <row r="794" customFormat="false" ht="15" hidden="false" customHeight="false" outlineLevel="1" collapsed="false">
      <c r="A794" s="42" t="s">
        <v>1130</v>
      </c>
      <c r="B794" s="43"/>
      <c r="C794" s="50" t="s">
        <v>1131</v>
      </c>
      <c r="D794" s="45"/>
      <c r="E794" s="44"/>
      <c r="F794" s="46"/>
      <c r="G794" s="51"/>
      <c r="H794" s="52"/>
      <c r="I794" s="47" t="n">
        <f aca="false">SUBTOTAL(9,I795:I803)</f>
        <v>850.09306</v>
      </c>
      <c r="J794" s="47" t="n">
        <f aca="false">SUBTOTAL(9,J795:J803)</f>
        <v>145.46994</v>
      </c>
      <c r="K794" s="47" t="n">
        <f aca="false">SUBTOTAL(9,K795:K803)</f>
        <v>1025.382248972</v>
      </c>
      <c r="L794" s="47" t="n">
        <f aca="false">SUBTOTAL(9,L795:L803)</f>
        <v>185.459626506</v>
      </c>
      <c r="M794" s="47" t="n">
        <f aca="false">SUBTOTAL(9,M795:M803)</f>
        <v>1210.841875478</v>
      </c>
      <c r="N794" s="20" t="str">
        <f aca="false">A794</f>
        <v>15.2</v>
      </c>
    </row>
    <row r="795" customFormat="false" ht="15" hidden="false" customHeight="false" outlineLevel="2" collapsed="false">
      <c r="A795" s="42" t="s">
        <v>1132</v>
      </c>
      <c r="B795" s="43" t="s">
        <v>1133</v>
      </c>
      <c r="C795" s="50" t="str">
        <f aca="false">VLOOKUP($B795,03_COMPOSIÇÕES!$A:$G,2,0)</f>
        <v>PLACA FOTOLUMINESCENTE - 15X20CM.</v>
      </c>
      <c r="D795" s="45" t="s">
        <v>59</v>
      </c>
      <c r="E795" s="44" t="str">
        <f aca="false">IF($B795="","",IFERROR(VLOOKUP($B795,#REF!,3,0),IFERROR(VLOOKUP($B795,03_COMPOSIÇÕES!$A:$G,4,0),"")))</f>
        <v>UN</v>
      </c>
      <c r="F795" s="46" t="n">
        <v>2</v>
      </c>
      <c r="G795" s="51" t="n">
        <f aca="false">VLOOKUP($B795,03_COMPOSIÇÕES!$A:$G,6,0)</f>
        <v>14.2185</v>
      </c>
      <c r="H795" s="52" t="n">
        <f aca="false">VLOOKUP($B795,03_COMPOSIÇÕES!$A:$G,7,0)</f>
        <v>2.644908</v>
      </c>
      <c r="I795" s="47" t="n">
        <f aca="false">$F795*$G795</f>
        <v>28.437</v>
      </c>
      <c r="J795" s="47" t="n">
        <f aca="false">$F795*$H795</f>
        <v>5.289816</v>
      </c>
      <c r="K795" s="47" t="n">
        <f aca="false">$I795*(1+BDI_MAT)</f>
        <v>34.3007094</v>
      </c>
      <c r="L795" s="47" t="n">
        <f aca="false">$J795*(1+BDI_MDO)</f>
        <v>6.7439864184</v>
      </c>
      <c r="M795" s="47" t="n">
        <f aca="false">SUM(K795:L795)</f>
        <v>41.0446958184</v>
      </c>
      <c r="N795" s="20" t="str">
        <f aca="false">A795</f>
        <v>15.2.1</v>
      </c>
    </row>
    <row r="796" customFormat="false" ht="15" hidden="false" customHeight="false" outlineLevel="2" collapsed="false">
      <c r="A796" s="42" t="s">
        <v>1134</v>
      </c>
      <c r="B796" s="43" t="s">
        <v>1135</v>
      </c>
      <c r="C796" s="50" t="str">
        <f aca="false">VLOOKUP($B796,03_COMPOSIÇÕES!$A:$G,2,0)</f>
        <v>PLACA FOTOLUMINESCENTE - 24X12CM.</v>
      </c>
      <c r="D796" s="45" t="s">
        <v>59</v>
      </c>
      <c r="E796" s="44" t="str">
        <f aca="false">IF($B796="","",IFERROR(VLOOKUP($B796,#REF!,3,0),IFERROR(VLOOKUP($B796,03_COMPOSIÇÕES!$A:$G,4,0),"")))</f>
        <v>UN</v>
      </c>
      <c r="F796" s="46" t="n">
        <v>35</v>
      </c>
      <c r="G796" s="51" t="n">
        <f aca="false">VLOOKUP($B796,03_COMPOSIÇÕES!$A:$G,6,0)</f>
        <v>13.96</v>
      </c>
      <c r="H796" s="52" t="n">
        <f aca="false">VLOOKUP($B796,03_COMPOSIÇÕES!$A:$G,7,0)</f>
        <v>2.644908</v>
      </c>
      <c r="I796" s="47" t="n">
        <f aca="false">$F796*$G796</f>
        <v>488.6</v>
      </c>
      <c r="J796" s="47" t="n">
        <f aca="false">$F796*$H796</f>
        <v>92.57178</v>
      </c>
      <c r="K796" s="47" t="n">
        <f aca="false">$I796*(1+BDI_MAT)</f>
        <v>589.34932</v>
      </c>
      <c r="L796" s="47" t="n">
        <f aca="false">$J796*(1+BDI_MDO)</f>
        <v>118.019762322</v>
      </c>
      <c r="M796" s="47" t="n">
        <f aca="false">SUM(K796:L796)</f>
        <v>707.369082322</v>
      </c>
      <c r="N796" s="20" t="str">
        <f aca="false">A796</f>
        <v>15.2.2</v>
      </c>
    </row>
    <row r="797" customFormat="false" ht="15" hidden="false" customHeight="false" outlineLevel="2" collapsed="false">
      <c r="A797" s="42" t="s">
        <v>1136</v>
      </c>
      <c r="B797" s="43" t="s">
        <v>1137</v>
      </c>
      <c r="C797" s="50" t="str">
        <f aca="false">VLOOKUP($B797,03_COMPOSIÇÕES!$A:$G,2,0)</f>
        <v>PLACA FOTOLUMINESCENTE - 30X15CM.</v>
      </c>
      <c r="D797" s="45" t="s">
        <v>59</v>
      </c>
      <c r="E797" s="44" t="str">
        <f aca="false">IF($B797="","",IFERROR(VLOOKUP($B797,#REF!,3,0),IFERROR(VLOOKUP($B797,03_COMPOSIÇÕES!$A:$G,4,0),"")))</f>
        <v>UN</v>
      </c>
      <c r="F797" s="46" t="n">
        <v>2</v>
      </c>
      <c r="G797" s="51" t="n">
        <f aca="false">VLOOKUP($B797,03_COMPOSIÇÕES!$A:$G,6,0)</f>
        <v>21.00275</v>
      </c>
      <c r="H797" s="52" t="n">
        <f aca="false">VLOOKUP($B797,03_COMPOSIÇÕES!$A:$G,7,0)</f>
        <v>0</v>
      </c>
      <c r="I797" s="47" t="n">
        <f aca="false">$F797*$G797</f>
        <v>42.0055</v>
      </c>
      <c r="J797" s="47" t="n">
        <f aca="false">$F797*$H797</f>
        <v>0</v>
      </c>
      <c r="K797" s="47" t="n">
        <f aca="false">$I797*(1+BDI_MAT)</f>
        <v>50.6670341</v>
      </c>
      <c r="L797" s="47" t="n">
        <f aca="false">$J797*(1+BDI_MDO)</f>
        <v>0</v>
      </c>
      <c r="M797" s="47" t="n">
        <f aca="false">SUM(K797:L797)</f>
        <v>50.6670341</v>
      </c>
      <c r="N797" s="20" t="str">
        <f aca="false">A797</f>
        <v>15.2.3</v>
      </c>
    </row>
    <row r="798" customFormat="false" ht="15" hidden="false" customHeight="false" outlineLevel="2" collapsed="false">
      <c r="A798" s="42" t="s">
        <v>1138</v>
      </c>
      <c r="B798" s="43" t="s">
        <v>1139</v>
      </c>
      <c r="C798" s="50" t="str">
        <f aca="false">VLOOKUP($B798,03_COMPOSIÇÕES!$A:$G,2,0)</f>
        <v>PLACA FOTOLUMINESCENTE - 40X20CM.</v>
      </c>
      <c r="D798" s="45" t="s">
        <v>59</v>
      </c>
      <c r="E798" s="44" t="str">
        <f aca="false">IF($B798="","",IFERROR(VLOOKUP($B798,#REF!,3,0),IFERROR(VLOOKUP($B798,03_COMPOSIÇÕES!$A:$G,4,0),"")))</f>
        <v>UN</v>
      </c>
      <c r="F798" s="46" t="n">
        <v>1</v>
      </c>
      <c r="G798" s="51" t="n">
        <f aca="false">VLOOKUP($B798,03_COMPOSIÇÕES!$A:$G,6,0)</f>
        <v>29.444</v>
      </c>
      <c r="H798" s="52" t="n">
        <f aca="false">VLOOKUP($B798,03_COMPOSIÇÕES!$A:$G,7,0)</f>
        <v>2.644908</v>
      </c>
      <c r="I798" s="47" t="n">
        <f aca="false">$F798*$G798</f>
        <v>29.444</v>
      </c>
      <c r="J798" s="47" t="n">
        <f aca="false">$F798*$H798</f>
        <v>2.644908</v>
      </c>
      <c r="K798" s="47" t="n">
        <f aca="false">$I798*(1+BDI_MAT)</f>
        <v>35.5153528</v>
      </c>
      <c r="L798" s="47" t="n">
        <f aca="false">$J798*(1+BDI_MDO)</f>
        <v>3.3719932092</v>
      </c>
      <c r="M798" s="47" t="n">
        <f aca="false">SUM(K798:L798)</f>
        <v>38.8873460092</v>
      </c>
      <c r="N798" s="20" t="str">
        <f aca="false">A798</f>
        <v>15.2.4</v>
      </c>
    </row>
    <row r="799" customFormat="false" ht="15" hidden="false" customHeight="false" outlineLevel="2" collapsed="false">
      <c r="A799" s="42" t="s">
        <v>1140</v>
      </c>
      <c r="B799" s="43" t="s">
        <v>1141</v>
      </c>
      <c r="C799" s="50" t="str">
        <f aca="false">VLOOKUP($B799,03_COMPOSIÇÕES!$A:$G,2,0)</f>
        <v>PLACA FOTOLUMINESCENTE - 60X30CM.</v>
      </c>
      <c r="D799" s="45" t="s">
        <v>59</v>
      </c>
      <c r="E799" s="44" t="str">
        <f aca="false">IF($B799="","",IFERROR(VLOOKUP($B799,#REF!,3,0),IFERROR(VLOOKUP($B799,03_COMPOSIÇÕES!$A:$G,4,0),"")))</f>
        <v>UN</v>
      </c>
      <c r="F799" s="46" t="n">
        <v>1</v>
      </c>
      <c r="G799" s="51" t="n">
        <f aca="false">VLOOKUP($B799,03_COMPOSIÇÕES!$A:$G,6,0)</f>
        <v>64.116</v>
      </c>
      <c r="H799" s="52" t="n">
        <f aca="false">VLOOKUP($B799,03_COMPOSIÇÕES!$A:$G,7,0)</f>
        <v>2.644908</v>
      </c>
      <c r="I799" s="47" t="n">
        <f aca="false">$F799*$G799</f>
        <v>64.116</v>
      </c>
      <c r="J799" s="47" t="n">
        <f aca="false">$F799*$H799</f>
        <v>2.644908</v>
      </c>
      <c r="K799" s="47" t="n">
        <f aca="false">$I799*(1+BDI_MAT)</f>
        <v>77.3367192</v>
      </c>
      <c r="L799" s="47" t="n">
        <f aca="false">$J799*(1+BDI_MDO)</f>
        <v>3.3719932092</v>
      </c>
      <c r="M799" s="47" t="n">
        <f aca="false">SUM(K799:L799)</f>
        <v>80.7087124092</v>
      </c>
      <c r="N799" s="20" t="str">
        <f aca="false">A799</f>
        <v>15.2.5</v>
      </c>
    </row>
    <row r="800" customFormat="false" ht="30" hidden="false" customHeight="false" outlineLevel="2" collapsed="false">
      <c r="A800" s="42" t="s">
        <v>1142</v>
      </c>
      <c r="B800" s="43" t="s">
        <v>1143</v>
      </c>
      <c r="C800" s="50" t="str">
        <f aca="false">VLOOKUP($B800,03_COMPOSIÇÕES!$A:$G,2,0)</f>
        <v>PLACA FOTOLUMINESCENTE DE SINALIZAÇÃO EM PVC, COM PICTOGRAMA DE EXTINTOR - 15X15CM.</v>
      </c>
      <c r="D800" s="45" t="s">
        <v>59</v>
      </c>
      <c r="E800" s="44" t="str">
        <f aca="false">IF($B800="","",IFERROR(VLOOKUP($B800,#REF!,3,0),IFERROR(VLOOKUP($B800,03_COMPOSIÇÕES!$A:$G,4,0),"")))</f>
        <v>UN</v>
      </c>
      <c r="F800" s="46" t="n">
        <v>7</v>
      </c>
      <c r="G800" s="51" t="n">
        <f aca="false">VLOOKUP($B800,03_COMPOSIÇÕES!$A:$G,6,0)</f>
        <v>11.48408</v>
      </c>
      <c r="H800" s="52" t="n">
        <f aca="false">VLOOKUP($B800,03_COMPOSIÇÕES!$A:$G,7,0)</f>
        <v>2.644908</v>
      </c>
      <c r="I800" s="47" t="n">
        <f aca="false">$F800*$G800</f>
        <v>80.38856</v>
      </c>
      <c r="J800" s="47" t="n">
        <f aca="false">$F800*$H800</f>
        <v>18.514356</v>
      </c>
      <c r="K800" s="47" t="n">
        <f aca="false">$I800*(1+BDI_MAT)</f>
        <v>96.964681072</v>
      </c>
      <c r="L800" s="47" t="n">
        <f aca="false">$J800*(1+BDI_MDO)</f>
        <v>23.6039524644</v>
      </c>
      <c r="M800" s="47" t="n">
        <f aca="false">SUM(K800:L800)</f>
        <v>120.5686335364</v>
      </c>
      <c r="N800" s="20" t="str">
        <f aca="false">A800</f>
        <v>15.2.6</v>
      </c>
    </row>
    <row r="801" customFormat="false" ht="30" hidden="false" customHeight="false" outlineLevel="2" collapsed="false">
      <c r="A801" s="42" t="s">
        <v>1144</v>
      </c>
      <c r="B801" s="43" t="s">
        <v>1145</v>
      </c>
      <c r="C801" s="50" t="str">
        <f aca="false">VLOOKUP($B801,03_COMPOSIÇÕES!$A:$G,2,0)</f>
        <v>PLACA FOTOLUMINESCENTE DE SINALIZAÇÃO EM PVC, COM PICTOGRAMA DE ALARME - 20X20CM.</v>
      </c>
      <c r="D801" s="45" t="s">
        <v>59</v>
      </c>
      <c r="E801" s="44" t="str">
        <f aca="false">IF($B801="","",IFERROR(VLOOKUP($B801,#REF!,3,0),IFERROR(VLOOKUP($B801,03_COMPOSIÇÕES!$A:$G,4,0),"")))</f>
        <v>UN</v>
      </c>
      <c r="F801" s="46" t="n">
        <v>3</v>
      </c>
      <c r="G801" s="51" t="n">
        <f aca="false">VLOOKUP($B801,03_COMPOSIÇÕES!$A:$G,6,0)</f>
        <v>18.716</v>
      </c>
      <c r="H801" s="52" t="n">
        <f aca="false">VLOOKUP($B801,03_COMPOSIÇÕES!$A:$G,7,0)</f>
        <v>2.644908</v>
      </c>
      <c r="I801" s="47" t="n">
        <f aca="false">$F801*$G801</f>
        <v>56.148</v>
      </c>
      <c r="J801" s="47" t="n">
        <f aca="false">$F801*$H801</f>
        <v>7.934724</v>
      </c>
      <c r="K801" s="47" t="n">
        <f aca="false">$I801*(1+BDI_MAT)</f>
        <v>67.7257176</v>
      </c>
      <c r="L801" s="47" t="n">
        <f aca="false">$J801*(1+BDI_MDO)</f>
        <v>10.1159796276</v>
      </c>
      <c r="M801" s="47" t="n">
        <f aca="false">SUM(K801:L801)</f>
        <v>77.8416972276</v>
      </c>
      <c r="N801" s="20" t="str">
        <f aca="false">A801</f>
        <v>15.2.7</v>
      </c>
    </row>
    <row r="802" customFormat="false" ht="30" hidden="false" customHeight="false" outlineLevel="2" collapsed="false">
      <c r="A802" s="42" t="s">
        <v>1146</v>
      </c>
      <c r="B802" s="43" t="s">
        <v>1147</v>
      </c>
      <c r="C802" s="50" t="str">
        <f aca="false">VLOOKUP($B802,03_COMPOSIÇÕES!$A:$G,2,0)</f>
        <v>PLACA FOTOLUMINESCENTE DE SINALIZAÇÃO EM PVC, COM PICTOGRAMA DE ALARME - 20X30CM</v>
      </c>
      <c r="D802" s="45" t="s">
        <v>59</v>
      </c>
      <c r="E802" s="44" t="str">
        <f aca="false">IF($B802="","",IFERROR(VLOOKUP($B802,#REF!,3,0),IFERROR(VLOOKUP($B802,03_COMPOSIÇÕES!$A:$G,4,0),"")))</f>
        <v>UN</v>
      </c>
      <c r="F802" s="46" t="n">
        <v>3</v>
      </c>
      <c r="G802" s="51" t="n">
        <f aca="false">VLOOKUP($B802,03_COMPOSIÇÕES!$A:$G,6,0)</f>
        <v>1.484</v>
      </c>
      <c r="H802" s="52" t="n">
        <f aca="false">VLOOKUP($B802,03_COMPOSIÇÕES!$A:$G,7,0)</f>
        <v>2.644908</v>
      </c>
      <c r="I802" s="47" t="n">
        <f aca="false">$F802*$G802</f>
        <v>4.452</v>
      </c>
      <c r="J802" s="47" t="n">
        <f aca="false">$F802*$H802</f>
        <v>7.934724</v>
      </c>
      <c r="K802" s="47" t="n">
        <f aca="false">$I802*(1+BDI_MAT)</f>
        <v>5.3700024</v>
      </c>
      <c r="L802" s="47" t="n">
        <f aca="false">$J802*(1+BDI_MDO)</f>
        <v>10.1159796276</v>
      </c>
      <c r="M802" s="47" t="n">
        <f aca="false">SUM(K802:L802)</f>
        <v>15.4859820276</v>
      </c>
      <c r="N802" s="20" t="str">
        <f aca="false">A802</f>
        <v>15.2.8</v>
      </c>
    </row>
    <row r="803" customFormat="false" ht="30" hidden="false" customHeight="false" outlineLevel="2" collapsed="false">
      <c r="A803" s="42" t="s">
        <v>1148</v>
      </c>
      <c r="B803" s="43" t="s">
        <v>1149</v>
      </c>
      <c r="C803" s="50" t="str">
        <f aca="false">VLOOKUP($B803,03_COMPOSIÇÕES!$A:$G,2,0)</f>
        <v>PLACA FOTOLUMINESCENTE DE SINALIZAÇÃO EM PVC, COM PICTOGRAMAS DE HIDRANTE - 20X20CM.</v>
      </c>
      <c r="D803" s="45" t="s">
        <v>59</v>
      </c>
      <c r="E803" s="44" t="str">
        <f aca="false">IF($B803="","",IFERROR(VLOOKUP($B803,#REF!,3,0),IFERROR(VLOOKUP($B803,03_COMPOSIÇÕES!$A:$G,4,0),"")))</f>
        <v>UN</v>
      </c>
      <c r="F803" s="46" t="n">
        <v>3</v>
      </c>
      <c r="G803" s="51" t="n">
        <f aca="false">VLOOKUP($B803,03_COMPOSIÇÕES!$A:$G,6,0)</f>
        <v>18.834</v>
      </c>
      <c r="H803" s="52" t="n">
        <f aca="false">VLOOKUP($B803,03_COMPOSIÇÕES!$A:$G,7,0)</f>
        <v>2.644908</v>
      </c>
      <c r="I803" s="47" t="n">
        <f aca="false">$F803*$G803</f>
        <v>56.502</v>
      </c>
      <c r="J803" s="47" t="n">
        <f aca="false">$F803*$H803</f>
        <v>7.934724</v>
      </c>
      <c r="K803" s="47" t="n">
        <f aca="false">$I803*(1+BDI_MAT)</f>
        <v>68.1527124</v>
      </c>
      <c r="L803" s="47" t="n">
        <f aca="false">$J803*(1+BDI_MDO)</f>
        <v>10.1159796276</v>
      </c>
      <c r="M803" s="47" t="n">
        <f aca="false">SUM(K803:L803)</f>
        <v>78.2686920276</v>
      </c>
      <c r="N803" s="20" t="str">
        <f aca="false">A803</f>
        <v>15.2.9</v>
      </c>
    </row>
    <row r="804" customFormat="false" ht="15" hidden="false" customHeight="false" outlineLevel="1" collapsed="false">
      <c r="A804" s="42" t="s">
        <v>1150</v>
      </c>
      <c r="B804" s="43"/>
      <c r="C804" s="50" t="s">
        <v>1151</v>
      </c>
      <c r="D804" s="45"/>
      <c r="E804" s="44"/>
      <c r="F804" s="46"/>
      <c r="G804" s="51"/>
      <c r="H804" s="52"/>
      <c r="I804" s="47" t="n">
        <f aca="false">SUBTOTAL(9,I805:I805)</f>
        <v>240.264666666667</v>
      </c>
      <c r="J804" s="47" t="n">
        <f aca="false">SUBTOTAL(9,J805:J805)</f>
        <v>7.934724</v>
      </c>
      <c r="K804" s="47" t="n">
        <f aca="false">SUBTOTAL(9,K805:K805)</f>
        <v>289.807240933333</v>
      </c>
      <c r="L804" s="47" t="n">
        <f aca="false">SUBTOTAL(9,L805:L805)</f>
        <v>10.1159796276</v>
      </c>
      <c r="M804" s="47" t="n">
        <f aca="false">SUBTOTAL(9,M805:M805)</f>
        <v>299.923220560933</v>
      </c>
      <c r="N804" s="20" t="str">
        <f aca="false">A804</f>
        <v>15.3</v>
      </c>
    </row>
    <row r="805" customFormat="false" ht="15" hidden="false" customHeight="false" outlineLevel="2" collapsed="false">
      <c r="A805" s="42" t="s">
        <v>1152</v>
      </c>
      <c r="B805" s="43" t="s">
        <v>1153</v>
      </c>
      <c r="C805" s="50" t="str">
        <f aca="false">VLOOKUP($B805,03_COMPOSIÇÕES!$A:$G,2,0)</f>
        <v>ABRIGO PARA EXTINTOR EXTERNO - FORNECIMENTO E INSTALAÇÃO.</v>
      </c>
      <c r="D805" s="45" t="s">
        <v>59</v>
      </c>
      <c r="E805" s="44" t="str">
        <f aca="false">IF($B805="","",IFERROR(VLOOKUP($B805,#REF!,3,0),IFERROR(VLOOKUP($B805,03_COMPOSIÇÕES!$A:$G,4,0),"")))</f>
        <v>UN</v>
      </c>
      <c r="F805" s="46" t="n">
        <v>1</v>
      </c>
      <c r="G805" s="51" t="n">
        <f aca="false">VLOOKUP($B805,03_COMPOSIÇÕES!$A:$G,6,0)</f>
        <v>240.264666666667</v>
      </c>
      <c r="H805" s="52" t="n">
        <f aca="false">VLOOKUP($B805,03_COMPOSIÇÕES!$A:$G,7,0)</f>
        <v>7.934724</v>
      </c>
      <c r="I805" s="47" t="n">
        <f aca="false">$F805*$G805</f>
        <v>240.264666666667</v>
      </c>
      <c r="J805" s="47" t="n">
        <f aca="false">$F805*$H805</f>
        <v>7.934724</v>
      </c>
      <c r="K805" s="47" t="n">
        <f aca="false">$I805*(1+BDI_MAT)</f>
        <v>289.807240933333</v>
      </c>
      <c r="L805" s="47" t="n">
        <f aca="false">$J805*(1+BDI_MDO)</f>
        <v>10.1159796276</v>
      </c>
      <c r="M805" s="47" t="n">
        <f aca="false">SUM(K805:L805)</f>
        <v>299.923220560933</v>
      </c>
      <c r="N805" s="20" t="str">
        <f aca="false">A805</f>
        <v>15.3.1</v>
      </c>
    </row>
    <row r="806" customFormat="false" ht="15" hidden="false" customHeight="false" outlineLevel="1" collapsed="false">
      <c r="A806" s="42" t="s">
        <v>1154</v>
      </c>
      <c r="B806" s="43"/>
      <c r="C806" s="50" t="s">
        <v>1155</v>
      </c>
      <c r="D806" s="45"/>
      <c r="E806" s="44"/>
      <c r="F806" s="46"/>
      <c r="G806" s="51"/>
      <c r="H806" s="52"/>
      <c r="I806" s="47" t="n">
        <f aca="false">SUM(I807,I810,I828,I831)</f>
        <v>38529.0393938</v>
      </c>
      <c r="J806" s="47" t="n">
        <f aca="false">SUM(J807,J810,J828,J831)</f>
        <v>3860.71345374468</v>
      </c>
      <c r="K806" s="47" t="n">
        <f aca="false">SUM(K807,K810,K828,K831)</f>
        <v>46473.7273168016</v>
      </c>
      <c r="L806" s="47" t="n">
        <f aca="false">SUM(L807,L810,L828,L831)</f>
        <v>4922.02358217909</v>
      </c>
      <c r="M806" s="47" t="n">
        <f aca="false">SUM(M807,M810,M828,M831)</f>
        <v>51395.7508989807</v>
      </c>
      <c r="N806" s="20" t="str">
        <f aca="false">A806</f>
        <v>15.4</v>
      </c>
    </row>
    <row r="807" customFormat="false" ht="15" hidden="false" customHeight="false" outlineLevel="2" collapsed="false">
      <c r="A807" s="42" t="s">
        <v>1156</v>
      </c>
      <c r="B807" s="43"/>
      <c r="C807" s="50" t="s">
        <v>1157</v>
      </c>
      <c r="D807" s="45"/>
      <c r="E807" s="44"/>
      <c r="F807" s="46"/>
      <c r="G807" s="51"/>
      <c r="H807" s="52"/>
      <c r="I807" s="47" t="n">
        <f aca="false">SUBTOTAL(9,I808:I809)</f>
        <v>9074.0200728</v>
      </c>
      <c r="J807" s="47" t="n">
        <f aca="false">SUBTOTAL(9,J808:J809)</f>
        <v>485.96195711844</v>
      </c>
      <c r="K807" s="47" t="n">
        <f aca="false">SUBTOTAL(9,K808:K809)</f>
        <v>10945.0830118114</v>
      </c>
      <c r="L807" s="47" t="n">
        <f aca="false">SUBTOTAL(9,L808:L809)</f>
        <v>619.552899130299</v>
      </c>
      <c r="M807" s="47" t="n">
        <f aca="false">SUBTOTAL(9,M808:M809)</f>
        <v>11564.6359109417</v>
      </c>
      <c r="N807" s="20" t="str">
        <f aca="false">A807</f>
        <v>15.4.1</v>
      </c>
    </row>
    <row r="808" customFormat="false" ht="60" hidden="false" customHeight="false" outlineLevel="3" collapsed="false">
      <c r="A808" s="42" t="s">
        <v>1158</v>
      </c>
      <c r="B808" s="43" t="s">
        <v>1159</v>
      </c>
      <c r="C808" s="50" t="str">
        <f aca="false">VLOOKUP($B808,03_COMPOSIÇÕES!$A:$G,2,0)</f>
        <v>ABRIGO PARA HIDRANTE, 75X45X17CM, DE SOBREPOR, COM REGISTRO GLOBO ANGULAR 45 GRAUS 2 1/2", ADAPTADOR STORZ 2 1/2", 2 MANGUEIRAS DE INCÊNDIO 15M 2 1/2" E ESGUICHO EM LATÃO 2 1/2" - FORNECIMENTO E INSTALAÇÃO.</v>
      </c>
      <c r="D808" s="45" t="s">
        <v>59</v>
      </c>
      <c r="E808" s="44" t="str">
        <f aca="false">IF($B808="","",IFERROR(VLOOKUP($B808,#REF!,3,0),IFERROR(VLOOKUP($B808,03_COMPOSIÇÕES!$A:$G,4,0),"")))</f>
        <v>UN</v>
      </c>
      <c r="F808" s="46" t="n">
        <v>3</v>
      </c>
      <c r="G808" s="51" t="n">
        <f aca="false">VLOOKUP($B808,03_COMPOSIÇÕES!$A:$G,6,0)</f>
        <v>2646.1736576</v>
      </c>
      <c r="H808" s="52" t="n">
        <f aca="false">VLOOKUP($B808,03_COMPOSIÇÕES!$A:$G,7,0)</f>
        <v>82.88025423948</v>
      </c>
      <c r="I808" s="47" t="n">
        <f aca="false">$F808*$G808</f>
        <v>7938.5209728</v>
      </c>
      <c r="J808" s="47" t="n">
        <f aca="false">$F808*$H808</f>
        <v>248.64076271844</v>
      </c>
      <c r="K808" s="47" t="n">
        <f aca="false">$I808*(1+BDI_MAT)</f>
        <v>9575.44399739136</v>
      </c>
      <c r="L808" s="47" t="n">
        <f aca="false">$J808*(1+BDI_MDO)</f>
        <v>316.992108389739</v>
      </c>
      <c r="M808" s="47" t="n">
        <f aca="false">SUM(K808:L808)</f>
        <v>9892.4361057811</v>
      </c>
      <c r="N808" s="20" t="str">
        <f aca="false">A808</f>
        <v>15.4.1.1</v>
      </c>
    </row>
    <row r="809" customFormat="false" ht="15" hidden="false" customHeight="false" outlineLevel="3" collapsed="false">
      <c r="A809" s="42" t="s">
        <v>1160</v>
      </c>
      <c r="B809" s="43" t="s">
        <v>1161</v>
      </c>
      <c r="C809" s="50" t="str">
        <f aca="false">VLOOKUP($B809,03_COMPOSIÇÕES!$A:$G,2,0)</f>
        <v>HIDRANTE DE PASSEIO 60X90X60.</v>
      </c>
      <c r="D809" s="45" t="s">
        <v>59</v>
      </c>
      <c r="E809" s="44" t="str">
        <f aca="false">IF($B809="","",IFERROR(VLOOKUP($B809,#REF!,3,0),IFERROR(VLOOKUP($B809,03_COMPOSIÇÕES!$A:$G,4,0),"")))</f>
        <v>UN</v>
      </c>
      <c r="F809" s="46" t="n">
        <v>1</v>
      </c>
      <c r="G809" s="51" t="n">
        <f aca="false">VLOOKUP($B809,03_COMPOSIÇÕES!$A:$G,6,0)</f>
        <v>1135.4991</v>
      </c>
      <c r="H809" s="52" t="n">
        <f aca="false">VLOOKUP($B809,03_COMPOSIÇÕES!$A:$G,7,0)</f>
        <v>237.3211944</v>
      </c>
      <c r="I809" s="47" t="n">
        <f aca="false">$F809*$G809</f>
        <v>1135.4991</v>
      </c>
      <c r="J809" s="47" t="n">
        <f aca="false">$F809*$H809</f>
        <v>237.3211944</v>
      </c>
      <c r="K809" s="47" t="n">
        <f aca="false">$I809*(1+BDI_MAT)</f>
        <v>1369.63901442</v>
      </c>
      <c r="L809" s="47" t="n">
        <f aca="false">$J809*(1+BDI_MDO)</f>
        <v>302.56079074056</v>
      </c>
      <c r="M809" s="47" t="n">
        <f aca="false">SUM(K809:L809)</f>
        <v>1672.19980516056</v>
      </c>
      <c r="N809" s="20" t="str">
        <f aca="false">A809</f>
        <v>15.4.1.2</v>
      </c>
    </row>
    <row r="810" customFormat="false" ht="15" hidden="false" customHeight="false" outlineLevel="2" collapsed="false">
      <c r="A810" s="42" t="s">
        <v>1162</v>
      </c>
      <c r="B810" s="43"/>
      <c r="C810" s="50" t="s">
        <v>1163</v>
      </c>
      <c r="D810" s="45"/>
      <c r="E810" s="44"/>
      <c r="F810" s="46"/>
      <c r="G810" s="51"/>
      <c r="H810" s="52"/>
      <c r="I810" s="47" t="n">
        <f aca="false">SUBTOTAL(9,I811:I827)</f>
        <v>7407.07046333333</v>
      </c>
      <c r="J810" s="47" t="n">
        <f aca="false">SUBTOTAL(9,J811:J827)</f>
        <v>2225.23520394912</v>
      </c>
      <c r="K810" s="47" t="n">
        <f aca="false">SUBTOTAL(9,K811:K827)</f>
        <v>8934.40839287267</v>
      </c>
      <c r="L810" s="47" t="n">
        <f aca="false">SUBTOTAL(9,L811:L827)</f>
        <v>2836.95236151473</v>
      </c>
      <c r="M810" s="47" t="n">
        <f aca="false">SUBTOTAL(9,M811:M827)</f>
        <v>11771.3607543874</v>
      </c>
      <c r="N810" s="20" t="str">
        <f aca="false">A810</f>
        <v>15.4.2</v>
      </c>
    </row>
    <row r="811" customFormat="false" ht="45" hidden="false" customHeight="false" outlineLevel="3" collapsed="false">
      <c r="A811" s="42" t="s">
        <v>1164</v>
      </c>
      <c r="B811" s="43" t="n">
        <v>92390</v>
      </c>
      <c r="C811" s="50" t="str">
        <f aca="false">VLOOKUP($B811,03_COMPOSIÇÕES!$A:$G,2,0)</f>
        <v>JOELHO 90 GRAUS, EM FERRO GALVANIZADO, DN 65 (2 1/2"), CONEXÃO ROSQUEADA, INSTALADO EM REDE DE ALIMENTAÇÃO PARA HIDRANTE - FORNECIMENTO E INSTALAÇÃO. AF_10/2020</v>
      </c>
      <c r="D811" s="45" t="s">
        <v>59</v>
      </c>
      <c r="E811" s="44" t="str">
        <f aca="false">IF($B811="","",IFERROR(VLOOKUP($B811,#REF!,3,0),IFERROR(VLOOKUP($B811,03_COMPOSIÇÕES!$A:$G,4,0),"")))</f>
        <v>UN</v>
      </c>
      <c r="F811" s="46" t="n">
        <v>21</v>
      </c>
      <c r="G811" s="51" t="n">
        <f aca="false">VLOOKUP($B811,03_COMPOSIÇÕES!$A:$G,6,0)</f>
        <v>15.87049</v>
      </c>
      <c r="H811" s="52" t="n">
        <f aca="false">VLOOKUP($B811,03_COMPOSIÇÕES!$A:$G,7,0)</f>
        <v>37.6264953216</v>
      </c>
      <c r="I811" s="47" t="n">
        <f aca="false">$F811*$G811</f>
        <v>333.28029</v>
      </c>
      <c r="J811" s="47" t="n">
        <f aca="false">$F811*$H811</f>
        <v>790.1564017536</v>
      </c>
      <c r="K811" s="47" t="n">
        <f aca="false">$I811*(1+BDI_MAT)</f>
        <v>402.002685798</v>
      </c>
      <c r="L811" s="47" t="n">
        <f aca="false">$J811*(1+BDI_MDO)</f>
        <v>1007.37039659566</v>
      </c>
      <c r="M811" s="47" t="n">
        <f aca="false">SUM(K811:L811)</f>
        <v>1409.37308239366</v>
      </c>
      <c r="N811" s="20" t="str">
        <f aca="false">A811</f>
        <v>15.4.2.1</v>
      </c>
    </row>
    <row r="812" customFormat="false" ht="45" hidden="false" customHeight="false" outlineLevel="3" collapsed="false">
      <c r="A812" s="42" t="s">
        <v>1165</v>
      </c>
      <c r="B812" s="43" t="n">
        <v>92636</v>
      </c>
      <c r="C812" s="50" t="str">
        <f aca="false">VLOOKUP($B812,03_COMPOSIÇÕES!$A:$G,2,0)</f>
        <v>JOELHO 90 GRAUS, EM FERRO GALVANIZADO, CONEXÃO ROSQUEADA, DN 80 (3"), INSTALADO EM REDE DE ALIMENTAÇÃO PARA HIDRANTE - FORNECIMENTO E INSTALAÇÃO. AF_10/2020</v>
      </c>
      <c r="D812" s="45" t="s">
        <v>59</v>
      </c>
      <c r="E812" s="44" t="str">
        <f aca="false">IF($B812="","",IFERROR(VLOOKUP($B812,#REF!,3,0),IFERROR(VLOOKUP($B812,03_COMPOSIÇÕES!$A:$G,4,0),"")))</f>
        <v>UN</v>
      </c>
      <c r="F812" s="46" t="n">
        <v>2</v>
      </c>
      <c r="G812" s="51" t="n">
        <f aca="false">VLOOKUP($B812,03_COMPOSIÇÕES!$A:$G,6,0)</f>
        <v>160.65851</v>
      </c>
      <c r="H812" s="52" t="n">
        <f aca="false">VLOOKUP($B812,03_COMPOSIÇÕES!$A:$G,7,0)</f>
        <v>42.3298072368</v>
      </c>
      <c r="I812" s="47" t="n">
        <f aca="false">$F812*$G812</f>
        <v>321.31702</v>
      </c>
      <c r="J812" s="47" t="n">
        <f aca="false">$F812*$H812</f>
        <v>84.6596144736</v>
      </c>
      <c r="K812" s="47" t="n">
        <f aca="false">$I812*(1+BDI_MAT)</f>
        <v>387.572589524</v>
      </c>
      <c r="L812" s="47" t="n">
        <f aca="false">$J812*(1+BDI_MDO)</f>
        <v>107.932542492393</v>
      </c>
      <c r="M812" s="47" t="n">
        <f aca="false">SUM(K812:L812)</f>
        <v>495.505132016393</v>
      </c>
      <c r="N812" s="20" t="str">
        <f aca="false">A812</f>
        <v>15.4.2.2</v>
      </c>
    </row>
    <row r="813" customFormat="false" ht="45" hidden="false" customHeight="false" outlineLevel="3" collapsed="false">
      <c r="A813" s="42" t="s">
        <v>1166</v>
      </c>
      <c r="B813" s="43" t="n">
        <v>92635</v>
      </c>
      <c r="C813" s="50" t="str">
        <f aca="false">VLOOKUP($B813,03_COMPOSIÇÕES!$A:$G,2,0)</f>
        <v>JOELHO 45 GRAUS, EM FERRO GALVANIZADO, CONEXÃO ROSQUEADA, DN 80 (3"), INSTALADO EM REDE DE ALIMENTAÇÃO PARA HIDRANTE - FORNECIMENTO E INSTALAÇÃO. AF_10/2020</v>
      </c>
      <c r="D813" s="45" t="s">
        <v>59</v>
      </c>
      <c r="E813" s="44" t="str">
        <f aca="false">IF($B813="","",IFERROR(VLOOKUP($B813,#REF!,3,0),IFERROR(VLOOKUP($B813,03_COMPOSIÇÕES!$A:$G,4,0),"")))</f>
        <v>UN</v>
      </c>
      <c r="F813" s="46" t="n">
        <v>2</v>
      </c>
      <c r="G813" s="51" t="n">
        <f aca="false">VLOOKUP($B813,03_COMPOSIÇÕES!$A:$G,6,0)</f>
        <v>178.94511</v>
      </c>
      <c r="H813" s="52" t="n">
        <f aca="false">VLOOKUP($B813,03_COMPOSIÇÕES!$A:$G,7,0)</f>
        <v>42.3298072368</v>
      </c>
      <c r="I813" s="47" t="n">
        <f aca="false">$F813*$G813</f>
        <v>357.89022</v>
      </c>
      <c r="J813" s="47" t="n">
        <f aca="false">$F813*$H813</f>
        <v>84.6596144736</v>
      </c>
      <c r="K813" s="47" t="n">
        <f aca="false">$I813*(1+BDI_MAT)</f>
        <v>431.687183364</v>
      </c>
      <c r="L813" s="47" t="n">
        <f aca="false">$J813*(1+BDI_MDO)</f>
        <v>107.932542492393</v>
      </c>
      <c r="M813" s="47" t="n">
        <f aca="false">SUM(K813:L813)</f>
        <v>539.619725856393</v>
      </c>
      <c r="N813" s="20" t="str">
        <f aca="false">A813</f>
        <v>15.4.2.3</v>
      </c>
    </row>
    <row r="814" customFormat="false" ht="45" hidden="false" customHeight="false" outlineLevel="3" collapsed="false">
      <c r="A814" s="42" t="s">
        <v>1167</v>
      </c>
      <c r="B814" s="43" t="n">
        <v>92642</v>
      </c>
      <c r="C814" s="50" t="str">
        <f aca="false">VLOOKUP($B814,03_COMPOSIÇÕES!$A:$G,2,0)</f>
        <v>TÊ, EM FERRO GALVANIZADO, CONEXÃO ROSQUEADA, DN 65 (2 1/2"), INSTALADO EM REDE DE ALIMENTAÇÃO PARA HIDRANTE - FORNECIMENTO E INSTALAÇÃO. AF_10/2020</v>
      </c>
      <c r="D814" s="45" t="s">
        <v>59</v>
      </c>
      <c r="E814" s="44" t="str">
        <f aca="false">IF($B814="","",IFERROR(VLOOKUP($B814,#REF!,3,0),IFERROR(VLOOKUP($B814,03_COMPOSIÇÕES!$A:$G,4,0),"")))</f>
        <v>UN</v>
      </c>
      <c r="F814" s="46" t="n">
        <v>5</v>
      </c>
      <c r="G814" s="51" t="n">
        <f aca="false">VLOOKUP($B814,03_COMPOSIÇÕES!$A:$G,6,0)</f>
        <v>158.58474</v>
      </c>
      <c r="H814" s="52" t="n">
        <f aca="false">VLOOKUP($B814,03_COMPOSIÇÕES!$A:$G,7,0)</f>
        <v>50.1345784584</v>
      </c>
      <c r="I814" s="47" t="n">
        <f aca="false">$F814*$G814</f>
        <v>792.9237</v>
      </c>
      <c r="J814" s="47" t="n">
        <f aca="false">$F814*$H814</f>
        <v>250.672892292</v>
      </c>
      <c r="K814" s="47" t="n">
        <f aca="false">$I814*(1+BDI_MAT)</f>
        <v>956.42456694</v>
      </c>
      <c r="L814" s="47" t="n">
        <f aca="false">$J814*(1+BDI_MDO)</f>
        <v>319.582870383071</v>
      </c>
      <c r="M814" s="47" t="n">
        <f aca="false">SUM(K814:L814)</f>
        <v>1276.00743732307</v>
      </c>
      <c r="N814" s="20" t="str">
        <f aca="false">A814</f>
        <v>15.4.2.4</v>
      </c>
    </row>
    <row r="815" customFormat="false" ht="45" hidden="false" customHeight="false" outlineLevel="3" collapsed="false">
      <c r="A815" s="42" t="s">
        <v>1168</v>
      </c>
      <c r="B815" s="43" t="n">
        <v>92644</v>
      </c>
      <c r="C815" s="50" t="str">
        <f aca="false">VLOOKUP($B815,03_COMPOSIÇÕES!$A:$G,2,0)</f>
        <v>TÊ, EM FERRO GALVANIZADO, CONEXÃO ROSQUEADA, DN 80 (3"), INSTALADO EM REDE DE ALIMENTAÇÃO PARA HIDRANTE - FORNECIMENTO E INSTALAÇÃO. AF_10/2020</v>
      </c>
      <c r="D815" s="45" t="s">
        <v>59</v>
      </c>
      <c r="E815" s="44" t="str">
        <f aca="false">IF($B815="","",IFERROR(VLOOKUP($B815,#REF!,3,0),IFERROR(VLOOKUP($B815,03_COMPOSIÇÕES!$A:$G,4,0),"")))</f>
        <v>UN</v>
      </c>
      <c r="F815" s="46" t="n">
        <v>3</v>
      </c>
      <c r="G815" s="51" t="n">
        <f aca="false">VLOOKUP($B815,03_COMPOSIÇÕES!$A:$G,6,0)</f>
        <v>201.3703</v>
      </c>
      <c r="H815" s="52" t="n">
        <f aca="false">VLOOKUP($B815,03_COMPOSIÇÕES!$A:$G,7,0)</f>
        <v>22.3533749088</v>
      </c>
      <c r="I815" s="47" t="n">
        <f aca="false">$F815*$G815</f>
        <v>604.1109</v>
      </c>
      <c r="J815" s="47" t="n">
        <f aca="false">$F815*$H815</f>
        <v>67.0601247264</v>
      </c>
      <c r="K815" s="47" t="n">
        <f aca="false">$I815*(1+BDI_MAT)</f>
        <v>728.67856758</v>
      </c>
      <c r="L815" s="47" t="n">
        <f aca="false">$J815*(1+BDI_MDO)</f>
        <v>85.4949530136874</v>
      </c>
      <c r="M815" s="47" t="n">
        <f aca="false">SUM(K815:L815)</f>
        <v>814.173520593687</v>
      </c>
      <c r="N815" s="20" t="str">
        <f aca="false">A815</f>
        <v>15.4.2.5</v>
      </c>
    </row>
    <row r="816" customFormat="false" ht="45" hidden="false" customHeight="false" outlineLevel="3" collapsed="false">
      <c r="A816" s="42" t="s">
        <v>1169</v>
      </c>
      <c r="B816" s="43" t="n">
        <v>92377</v>
      </c>
      <c r="C816" s="50" t="str">
        <f aca="false">VLOOKUP($B816,03_COMPOSIÇÕES!$A:$G,2,0)</f>
        <v>NIPLE, EM FERRO GALVANIZADO, DN 65 (2 1/2"), CONEXÃO ROSQUEADA, INSTALADO EM REDE DE ALIMENTAÇÃO PARA HIDRANTE - FORNECIMENTO E INSTALAÇÃO. AF_10/2020</v>
      </c>
      <c r="D816" s="45" t="s">
        <v>59</v>
      </c>
      <c r="E816" s="44" t="str">
        <f aca="false">IF($B816="","",IFERROR(VLOOKUP($B816,#REF!,3,0),IFERROR(VLOOKUP($B816,03_COMPOSIÇÕES!$A:$G,4,0),"")))</f>
        <v>UN</v>
      </c>
      <c r="F816" s="46" t="n">
        <v>12</v>
      </c>
      <c r="G816" s="51" t="n">
        <f aca="false">VLOOKUP($B816,03_COMPOSIÇÕES!$A:$G,6,0)</f>
        <v>10.82153</v>
      </c>
      <c r="H816" s="52" t="n">
        <f aca="false">VLOOKUP($B816,03_COMPOSIÇÕES!$A:$G,7,0)</f>
        <v>25.0843302144</v>
      </c>
      <c r="I816" s="47" t="n">
        <f aca="false">$F816*$G816</f>
        <v>129.85836</v>
      </c>
      <c r="J816" s="47" t="n">
        <f aca="false">$F816*$H816</f>
        <v>301.0119625728</v>
      </c>
      <c r="K816" s="47" t="n">
        <f aca="false">$I816*(1+BDI_MAT)</f>
        <v>156.635153832</v>
      </c>
      <c r="L816" s="47" t="n">
        <f aca="false">$J816*(1+BDI_MDO)</f>
        <v>383.760151084063</v>
      </c>
      <c r="M816" s="47" t="n">
        <f aca="false">SUM(K816:L816)</f>
        <v>540.395304916063</v>
      </c>
      <c r="N816" s="20" t="str">
        <f aca="false">A816</f>
        <v>15.4.2.6</v>
      </c>
    </row>
    <row r="817" customFormat="false" ht="45" hidden="false" customHeight="false" outlineLevel="3" collapsed="false">
      <c r="A817" s="42" t="s">
        <v>1170</v>
      </c>
      <c r="B817" s="43" t="n">
        <v>92379</v>
      </c>
      <c r="C817" s="50" t="str">
        <f aca="false">VLOOKUP($B817,03_COMPOSIÇÕES!$A:$G,2,0)</f>
        <v>NIPLE, EM FERRO GALVANIZADO, DN 80 (3"), CONEXÃO ROSQUEADA, INSTALADO EM REDE DE ALIMENTAÇÃO PARA HIDRANTE - FORNECIMENTO E INSTALAÇÃO. AF_10/2020</v>
      </c>
      <c r="D817" s="45" t="s">
        <v>59</v>
      </c>
      <c r="E817" s="44" t="str">
        <f aca="false">IF($B817="","",IFERROR(VLOOKUP($B817,#REF!,3,0),IFERROR(VLOOKUP($B817,03_COMPOSIÇÕES!$A:$G,4,0),"")))</f>
        <v>UN</v>
      </c>
      <c r="F817" s="46" t="n">
        <v>8</v>
      </c>
      <c r="G817" s="51" t="n">
        <f aca="false">VLOOKUP($B817,03_COMPOSIÇÕES!$A:$G,6,0)</f>
        <v>109.4068</v>
      </c>
      <c r="H817" s="52" t="n">
        <f aca="false">VLOOKUP($B817,03_COMPOSIÇÕES!$A:$G,7,0)</f>
        <v>28.2198714912</v>
      </c>
      <c r="I817" s="47" t="n">
        <f aca="false">$F817*$G817</f>
        <v>875.2544</v>
      </c>
      <c r="J817" s="47" t="n">
        <f aca="false">$F817*$H817</f>
        <v>225.7589719296</v>
      </c>
      <c r="K817" s="47" t="n">
        <f aca="false">$I817*(1+BDI_MAT)</f>
        <v>1055.73185728</v>
      </c>
      <c r="L817" s="47" t="n">
        <f aca="false">$J817*(1+BDI_MDO)</f>
        <v>287.820113313047</v>
      </c>
      <c r="M817" s="47" t="n">
        <f aca="false">SUM(K817:L817)</f>
        <v>1343.55197059305</v>
      </c>
      <c r="N817" s="20" t="str">
        <f aca="false">A817</f>
        <v>15.4.2.7</v>
      </c>
    </row>
    <row r="818" customFormat="false" ht="30" hidden="false" customHeight="false" outlineLevel="3" collapsed="false">
      <c r="A818" s="42" t="s">
        <v>1171</v>
      </c>
      <c r="B818" s="43" t="n">
        <v>94499</v>
      </c>
      <c r="C818" s="50" t="str">
        <f aca="false">VLOOKUP($B818,03_COMPOSIÇÕES!$A:$G,2,0)</f>
        <v>REGISTRO DE GAVETA BRUTO, LATÃO, ROSCÁVEL, 2 1/2" - FORNECIMENTO E INSTALAÇÃO. AF_08/2021</v>
      </c>
      <c r="D818" s="45" t="s">
        <v>59</v>
      </c>
      <c r="E818" s="44" t="str">
        <f aca="false">IF($B818="","",IFERROR(VLOOKUP($B818,#REF!,3,0),IFERROR(VLOOKUP($B818,03_COMPOSIÇÕES!$A:$G,4,0),"")))</f>
        <v>UN</v>
      </c>
      <c r="F818" s="46" t="n">
        <v>3</v>
      </c>
      <c r="G818" s="51" t="n">
        <f aca="false">VLOOKUP($B818,03_COMPOSIÇÕES!$A:$G,6,0)</f>
        <v>263.610214</v>
      </c>
      <c r="H818" s="52" t="n">
        <f aca="false">VLOOKUP($B818,03_COMPOSIÇÕES!$A:$G,7,0)</f>
        <v>15.49366374384</v>
      </c>
      <c r="I818" s="47" t="n">
        <f aca="false">$F818*$G818</f>
        <v>790.830642</v>
      </c>
      <c r="J818" s="47" t="n">
        <f aca="false">$F818*$H818</f>
        <v>46.48099123152</v>
      </c>
      <c r="K818" s="47" t="n">
        <f aca="false">$I818*(1+BDI_MAT)</f>
        <v>953.8999203804</v>
      </c>
      <c r="L818" s="47" t="n">
        <f aca="false">$J818*(1+BDI_MDO)</f>
        <v>59.2586157210649</v>
      </c>
      <c r="M818" s="47" t="n">
        <f aca="false">SUM(K818:L818)</f>
        <v>1013.15853610146</v>
      </c>
      <c r="N818" s="20" t="str">
        <f aca="false">A818</f>
        <v>15.4.2.8</v>
      </c>
    </row>
    <row r="819" customFormat="false" ht="30" hidden="false" customHeight="false" outlineLevel="3" collapsed="false">
      <c r="A819" s="42" t="s">
        <v>1172</v>
      </c>
      <c r="B819" s="43" t="n">
        <v>94500</v>
      </c>
      <c r="C819" s="50" t="str">
        <f aca="false">VLOOKUP($B819,03_COMPOSIÇÕES!$A:$G,2,0)</f>
        <v>REGISTRO DE GAVETA BRUTO, LATÃO, ROSCÁVEL, 3" - FORNECIMENTO E INSTALAÇÃO. AF_08/2021</v>
      </c>
      <c r="D819" s="45" t="s">
        <v>59</v>
      </c>
      <c r="E819" s="44" t="str">
        <f aca="false">IF($B819="","",IFERROR(VLOOKUP($B819,#REF!,3,0),IFERROR(VLOOKUP($B819,03_COMPOSIÇÕES!$A:$G,4,0),"")))</f>
        <v>UN</v>
      </c>
      <c r="F819" s="46" t="n">
        <v>4</v>
      </c>
      <c r="G819" s="51" t="n">
        <f aca="false">VLOOKUP($B819,03_COMPOSIÇÕES!$A:$G,6,0)</f>
        <v>319.036404</v>
      </c>
      <c r="H819" s="52" t="n">
        <f aca="false">VLOOKUP($B819,03_COMPOSIÇÕES!$A:$G,7,0)</f>
        <v>19.4096821428</v>
      </c>
      <c r="I819" s="47" t="n">
        <f aca="false">$F819*$G819</f>
        <v>1276.145616</v>
      </c>
      <c r="J819" s="47" t="n">
        <f aca="false">$F819*$H819</f>
        <v>77.6387285712</v>
      </c>
      <c r="K819" s="47" t="n">
        <f aca="false">$I819*(1+BDI_MAT)</f>
        <v>1539.2868420192</v>
      </c>
      <c r="L819" s="47" t="n">
        <f aca="false">$J819*(1+BDI_MDO)</f>
        <v>98.9816150554229</v>
      </c>
      <c r="M819" s="47" t="n">
        <f aca="false">SUM(K819:L819)</f>
        <v>1638.26845707462</v>
      </c>
      <c r="N819" s="20" t="str">
        <f aca="false">A819</f>
        <v>15.4.2.9</v>
      </c>
    </row>
    <row r="820" customFormat="false" ht="45" hidden="false" customHeight="false" outlineLevel="3" collapsed="false">
      <c r="A820" s="42" t="s">
        <v>1173</v>
      </c>
      <c r="B820" s="43" t="n">
        <v>92936</v>
      </c>
      <c r="C820" s="50" t="str">
        <f aca="false">VLOOKUP($B820,03_COMPOSIÇÕES!$A:$G,2,0)</f>
        <v>LUVA DE REDUÇÃO, EM FERRO GALVANIZADO, 3" X 2 1/2", CONEXÃO ROSQUEADA, INSTALADO EM REDE DE ALIMENTAÇÃO PARA HIDRANTE - FORNECIMENTO E INSTALAÇÃO. AF_10/2020</v>
      </c>
      <c r="D820" s="45" t="s">
        <v>59</v>
      </c>
      <c r="E820" s="44" t="str">
        <f aca="false">IF($B820="","",IFERROR(VLOOKUP($B820,#REF!,3,0),IFERROR(VLOOKUP($B820,03_COMPOSIÇÕES!$A:$G,4,0),"")))</f>
        <v>UN</v>
      </c>
      <c r="F820" s="46" t="n">
        <v>1</v>
      </c>
      <c r="G820" s="51" t="n">
        <f aca="false">VLOOKUP($B820,03_COMPOSIÇÕES!$A:$G,6,0)</f>
        <v>126.69587</v>
      </c>
      <c r="H820" s="52" t="n">
        <f aca="false">VLOOKUP($B820,03_COMPOSIÇÕES!$A:$G,7,0)</f>
        <v>11.1766874544</v>
      </c>
      <c r="I820" s="47" t="n">
        <f aca="false">$F820*$G820</f>
        <v>126.69587</v>
      </c>
      <c r="J820" s="47" t="n">
        <f aca="false">$F820*$H820</f>
        <v>11.1766874544</v>
      </c>
      <c r="K820" s="47" t="n">
        <f aca="false">$I820*(1+BDI_MAT)</f>
        <v>152.820558394</v>
      </c>
      <c r="L820" s="47" t="n">
        <f aca="false">$J820*(1+BDI_MDO)</f>
        <v>14.2491588356146</v>
      </c>
      <c r="M820" s="47" t="n">
        <f aca="false">SUM(K820:L820)</f>
        <v>167.069717229615</v>
      </c>
      <c r="N820" s="20" t="str">
        <f aca="false">A820</f>
        <v>15.4.2.10</v>
      </c>
    </row>
    <row r="821" customFormat="false" ht="30" hidden="false" customHeight="false" outlineLevel="3" collapsed="false">
      <c r="A821" s="42" t="s">
        <v>1174</v>
      </c>
      <c r="B821" s="43" t="n">
        <v>99624</v>
      </c>
      <c r="C821" s="50" t="str">
        <f aca="false">VLOOKUP($B821,03_COMPOSIÇÕES!$A:$G,2,0)</f>
        <v>VÁLVULA DE RETENÇÃO HORIZONTAL, DE BRONZE, ROSCÁVEL, 2 1/2" - FORNECIMENTO E INSTALAÇÃO. AF_08/2021</v>
      </c>
      <c r="D821" s="45" t="s">
        <v>59</v>
      </c>
      <c r="E821" s="44" t="str">
        <f aca="false">IF($B821="","",IFERROR(VLOOKUP($B821,#REF!,3,0),IFERROR(VLOOKUP($B821,03_COMPOSIÇÕES!$A:$G,4,0),"")))</f>
        <v>UN</v>
      </c>
      <c r="F821" s="46" t="n">
        <v>3</v>
      </c>
      <c r="G821" s="51" t="n">
        <f aca="false">VLOOKUP($B821,03_COMPOSIÇÕES!$A:$G,6,0)</f>
        <v>6.660214</v>
      </c>
      <c r="H821" s="52" t="n">
        <f aca="false">VLOOKUP($B821,03_COMPOSIÇÕES!$A:$G,7,0)</f>
        <v>15.49366374384</v>
      </c>
      <c r="I821" s="47" t="n">
        <f aca="false">$F821*$G821</f>
        <v>19.980642</v>
      </c>
      <c r="J821" s="47" t="n">
        <f aca="false">$F821*$H821</f>
        <v>46.48099123152</v>
      </c>
      <c r="K821" s="47" t="n">
        <f aca="false">$I821*(1+BDI_MAT)</f>
        <v>24.1006503804</v>
      </c>
      <c r="L821" s="47" t="n">
        <f aca="false">$J821*(1+BDI_MDO)</f>
        <v>59.2586157210649</v>
      </c>
      <c r="M821" s="47" t="n">
        <f aca="false">SUM(K821:L821)</f>
        <v>83.3592661014648</v>
      </c>
      <c r="N821" s="20" t="str">
        <f aca="false">A821</f>
        <v>15.4.2.11</v>
      </c>
    </row>
    <row r="822" customFormat="false" ht="45" hidden="false" customHeight="false" outlineLevel="3" collapsed="false">
      <c r="A822" s="42" t="s">
        <v>1175</v>
      </c>
      <c r="B822" s="43" t="n">
        <v>92896</v>
      </c>
      <c r="C822" s="50" t="str">
        <f aca="false">VLOOKUP($B822,03_COMPOSIÇÕES!$A:$G,2,0)</f>
        <v>UNIÃO, EM FERRO GALVANIZADO, DN 65 (2 1/2"), CONEXÃO ROSQUEADA, INSTALADO EM REDE DE ALIMENTAÇÃO PARA HIDRANTE - FORNECIMENTO E INSTALAÇÃO. AF_10/2020</v>
      </c>
      <c r="D822" s="45" t="s">
        <v>59</v>
      </c>
      <c r="E822" s="44" t="str">
        <f aca="false">IF($B822="","",IFERROR(VLOOKUP($B822,#REF!,3,0),IFERROR(VLOOKUP($B822,03_COMPOSIÇÕES!$A:$G,4,0),"")))</f>
        <v>UN</v>
      </c>
      <c r="F822" s="46" t="n">
        <v>2</v>
      </c>
      <c r="G822" s="51" t="n">
        <f aca="false">VLOOKUP($B822,03_COMPOSIÇÕES!$A:$G,6,0)</f>
        <v>198.07305</v>
      </c>
      <c r="H822" s="52" t="n">
        <f aca="false">VLOOKUP($B822,03_COMPOSIÇÕES!$A:$G,7,0)</f>
        <v>25.0843302144</v>
      </c>
      <c r="I822" s="47" t="n">
        <f aca="false">$F822*$G822</f>
        <v>396.1461</v>
      </c>
      <c r="J822" s="47" t="n">
        <f aca="false">$F822*$H822</f>
        <v>50.1686604288</v>
      </c>
      <c r="K822" s="47" t="n">
        <f aca="false">$I822*(1+BDI_MAT)</f>
        <v>477.83142582</v>
      </c>
      <c r="L822" s="47" t="n">
        <f aca="false">$J822*(1+BDI_MDO)</f>
        <v>63.9600251806771</v>
      </c>
      <c r="M822" s="47" t="n">
        <f aca="false">SUM(K822:L822)</f>
        <v>541.791451000677</v>
      </c>
      <c r="N822" s="20" t="str">
        <f aca="false">A822</f>
        <v>15.4.2.12</v>
      </c>
    </row>
    <row r="823" customFormat="false" ht="45" hidden="false" customHeight="false" outlineLevel="3" collapsed="false">
      <c r="A823" s="42" t="s">
        <v>1176</v>
      </c>
      <c r="B823" s="43" t="s">
        <v>1177</v>
      </c>
      <c r="C823" s="50" t="str">
        <f aca="false">VLOOKUP($B823,03_COMPOSIÇÕES!$A:$G,2,0)</f>
        <v>JUNTA DE EXPANSÃO FLANGEADA, 2.1/2" + 2 FLANGES 2.1/2" COM CONEXÃO ROSQUEADA, INSTALADO EM REDE DE ALIMENTAÇÃO PARA HIDRANTE - FORNECIMENTO E INSTALAÇÃO.</v>
      </c>
      <c r="D823" s="45" t="s">
        <v>59</v>
      </c>
      <c r="E823" s="44" t="str">
        <f aca="false">IF($B823="","",IFERROR(VLOOKUP($B823,#REF!,3,0),IFERROR(VLOOKUP($B823,03_COMPOSIÇÕES!$A:$G,4,0),"")))</f>
        <v>UN</v>
      </c>
      <c r="F823" s="46" t="n">
        <v>2</v>
      </c>
      <c r="G823" s="51" t="n">
        <f aca="false">VLOOKUP($B823,03_COMPOSIÇÕES!$A:$G,6,0)</f>
        <v>586.110207666667</v>
      </c>
      <c r="H823" s="52" t="n">
        <f aca="false">VLOOKUP($B823,03_COMPOSIÇÕES!$A:$G,7,0)</f>
        <v>8.1833070846</v>
      </c>
      <c r="I823" s="47" t="n">
        <f aca="false">$F823*$G823</f>
        <v>1172.22041533333</v>
      </c>
      <c r="J823" s="47" t="n">
        <f aca="false">$F823*$H823</f>
        <v>16.3666141692</v>
      </c>
      <c r="K823" s="47" t="n">
        <f aca="false">$I823*(1+BDI_MAT)</f>
        <v>1413.93226497507</v>
      </c>
      <c r="L823" s="47" t="n">
        <f aca="false">$J823*(1+BDI_MDO)</f>
        <v>20.8657964043131</v>
      </c>
      <c r="M823" s="47" t="n">
        <f aca="false">SUM(K823:L823)</f>
        <v>1434.79806137938</v>
      </c>
      <c r="N823" s="20" t="str">
        <f aca="false">A823</f>
        <v>15.4.2.13</v>
      </c>
    </row>
    <row r="824" customFormat="false" ht="30" hidden="false" customHeight="false" outlineLevel="3" collapsed="false">
      <c r="A824" s="42" t="s">
        <v>1178</v>
      </c>
      <c r="B824" s="43" t="n">
        <v>101917</v>
      </c>
      <c r="C824" s="50" t="str">
        <f aca="false">VLOOKUP($B824,03_COMPOSIÇÕES!$A:$G,2,0)</f>
        <v>MANÔMETRO 0 A 200 PSI (0 A 14 KGF/CM2), D = 50MM - FORNECIMENTO E INSTALAÇÃO. AF_10/2020</v>
      </c>
      <c r="D824" s="45" t="s">
        <v>59</v>
      </c>
      <c r="E824" s="44" t="str">
        <f aca="false">IF($B824="","",IFERROR(VLOOKUP($B824,#REF!,3,0),IFERROR(VLOOKUP($B824,03_COMPOSIÇÕES!$A:$G,4,0),"")))</f>
        <v>UN</v>
      </c>
      <c r="F824" s="46" t="n">
        <v>1</v>
      </c>
      <c r="G824" s="51" t="n">
        <f aca="false">VLOOKUP($B824,03_COMPOSIÇÕES!$A:$G,6,0)</f>
        <v>145.26156</v>
      </c>
      <c r="H824" s="52" t="n">
        <f aca="false">VLOOKUP($B824,03_COMPOSIÇÕES!$A:$G,7,0)</f>
        <v>17.3519373708</v>
      </c>
      <c r="I824" s="47" t="n">
        <f aca="false">$F824*$G824</f>
        <v>145.26156</v>
      </c>
      <c r="J824" s="47" t="n">
        <f aca="false">$F824*$H824</f>
        <v>17.3519373708</v>
      </c>
      <c r="K824" s="47" t="n">
        <f aca="false">$I824*(1+BDI_MAT)</f>
        <v>175.214493672</v>
      </c>
      <c r="L824" s="47" t="n">
        <f aca="false">$J824*(1+BDI_MDO)</f>
        <v>22.1219849540329</v>
      </c>
      <c r="M824" s="47" t="n">
        <f aca="false">SUM(K824:L824)</f>
        <v>197.336478626033</v>
      </c>
      <c r="N824" s="20" t="str">
        <f aca="false">A824</f>
        <v>15.4.2.14</v>
      </c>
    </row>
    <row r="825" customFormat="false" ht="15" hidden="false" customHeight="false" outlineLevel="3" collapsed="false">
      <c r="A825" s="42" t="s">
        <v>1179</v>
      </c>
      <c r="B825" s="43" t="s">
        <v>1180</v>
      </c>
      <c r="C825" s="50" t="str">
        <f aca="false">VLOOKUP($B825,03_COMPOSIÇÕES!$A:$G,2,0)</f>
        <v>FORNECIMENTO E INSTALAÇÃO DE FLUXOSTATO.</v>
      </c>
      <c r="D825" s="45" t="s">
        <v>59</v>
      </c>
      <c r="E825" s="44" t="str">
        <f aca="false">IF($B825="","",IFERROR(VLOOKUP($B825,#REF!,3,0),IFERROR(VLOOKUP($B825,03_COMPOSIÇÕES!$A:$G,4,0),"")))</f>
        <v>un</v>
      </c>
      <c r="F825" s="46" t="n">
        <v>2</v>
      </c>
      <c r="G825" s="51" t="n">
        <f aca="false">VLOOKUP($B825,03_COMPOSIÇÕES!$A:$G,6,0)</f>
        <v>13.72</v>
      </c>
      <c r="H825" s="52" t="n">
        <f aca="false">VLOOKUP($B825,03_COMPOSIÇÕES!$A:$G,7,0)</f>
        <v>34.0819704</v>
      </c>
      <c r="I825" s="47" t="n">
        <f aca="false">$F825*$G825</f>
        <v>27.44</v>
      </c>
      <c r="J825" s="47" t="n">
        <f aca="false">$F825*$H825</f>
        <v>68.1639408</v>
      </c>
      <c r="K825" s="47" t="n">
        <f aca="false">$I825*(1+BDI_MAT)</f>
        <v>33.098128</v>
      </c>
      <c r="L825" s="47" t="n">
        <f aca="false">$J825*(1+BDI_MDO)</f>
        <v>86.90220812592</v>
      </c>
      <c r="M825" s="47" t="n">
        <f aca="false">SUM(K825:L825)</f>
        <v>120.00033612592</v>
      </c>
      <c r="N825" s="20" t="str">
        <f aca="false">A825</f>
        <v>15.4.2.15</v>
      </c>
    </row>
    <row r="826" customFormat="false" ht="30" hidden="false" customHeight="false" outlineLevel="3" collapsed="false">
      <c r="A826" s="42" t="s">
        <v>1181</v>
      </c>
      <c r="B826" s="43" t="s">
        <v>1182</v>
      </c>
      <c r="C826" s="50" t="str">
        <f aca="false">VLOOKUP($B826,03_COMPOSIÇÕES!$A:$G,2,0)</f>
        <v>VÁLVULA REDUTORA DE PRESSÃO 2 1/2", INSTALADO EM REDE DE ALIMENTAÇÃO PARA HIDRANTE - FORNECIMENTO E INSTALAÇÃO.</v>
      </c>
      <c r="D826" s="45" t="s">
        <v>59</v>
      </c>
      <c r="E826" s="44" t="str">
        <f aca="false">IF($B826="","",IFERROR(VLOOKUP($B826,#REF!,3,0),IFERROR(VLOOKUP($B826,03_COMPOSIÇÕES!$A:$G,4,0),"")))</f>
        <v>UN</v>
      </c>
      <c r="F826" s="46" t="n">
        <v>2</v>
      </c>
      <c r="G826" s="51" t="n">
        <f aca="false">VLOOKUP($B826,03_COMPOSIÇÕES!$A:$G,6,0)</f>
        <v>6.660214</v>
      </c>
      <c r="H826" s="52" t="n">
        <f aca="false">VLOOKUP($B826,03_COMPOSIÇÕES!$A:$G,7,0)</f>
        <v>15.49366374384</v>
      </c>
      <c r="I826" s="47" t="n">
        <f aca="false">$F826*$G826</f>
        <v>13.320428</v>
      </c>
      <c r="J826" s="47" t="n">
        <f aca="false">$F826*$H826</f>
        <v>30.98732748768</v>
      </c>
      <c r="K826" s="47" t="n">
        <f aca="false">$I826*(1+BDI_MAT)</f>
        <v>16.0671002536</v>
      </c>
      <c r="L826" s="47" t="n">
        <f aca="false">$J826*(1+BDI_MDO)</f>
        <v>39.5057438140432</v>
      </c>
      <c r="M826" s="47" t="n">
        <f aca="false">SUM(K826:L826)</f>
        <v>55.5728440676432</v>
      </c>
      <c r="N826" s="20" t="str">
        <f aca="false">A826</f>
        <v>15.4.2.16</v>
      </c>
    </row>
    <row r="827" customFormat="false" ht="45" hidden="false" customHeight="false" outlineLevel="3" collapsed="false">
      <c r="A827" s="42" t="s">
        <v>1183</v>
      </c>
      <c r="B827" s="43" t="s">
        <v>1184</v>
      </c>
      <c r="C827" s="50" t="str">
        <f aca="false">VLOOKUP($B827,03_COMPOSIÇÕES!$A:$G,2,0)</f>
        <v>FLANGE, EM FERRO GALVANIZADO, DN 80 (3"), CONEXÃO ROSQUEADA, INSTALADO EM REDE DE ALIMENTAÇÃO PARA HIDRANTE - FORNECIMENTO E INSTALAÇÃO.</v>
      </c>
      <c r="D827" s="45" t="s">
        <v>59</v>
      </c>
      <c r="E827" s="44" t="str">
        <f aca="false">IF($B827="","",IFERROR(VLOOKUP($B827,#REF!,3,0),IFERROR(VLOOKUP($B827,03_COMPOSIÇÕES!$A:$G,4,0),"")))</f>
        <v>UN</v>
      </c>
      <c r="F827" s="46" t="n">
        <v>2</v>
      </c>
      <c r="G827" s="51" t="n">
        <f aca="false">VLOOKUP($B827,03_COMPOSIÇÕES!$A:$G,6,0)</f>
        <v>12.19715</v>
      </c>
      <c r="H827" s="52" t="n">
        <f aca="false">VLOOKUP($B827,03_COMPOSIÇÕES!$A:$G,7,0)</f>
        <v>28.2198714912</v>
      </c>
      <c r="I827" s="47" t="n">
        <f aca="false">$F827*$G827</f>
        <v>24.3943</v>
      </c>
      <c r="J827" s="47" t="n">
        <f aca="false">$F827*$H827</f>
        <v>56.4397429824</v>
      </c>
      <c r="K827" s="47" t="n">
        <f aca="false">$I827*(1+BDI_MAT)</f>
        <v>29.42440466</v>
      </c>
      <c r="L827" s="47" t="n">
        <f aca="false">$J827*(1+BDI_MDO)</f>
        <v>71.9550283282618</v>
      </c>
      <c r="M827" s="47" t="n">
        <f aca="false">SUM(K827:L827)</f>
        <v>101.379432988262</v>
      </c>
      <c r="N827" s="20" t="str">
        <f aca="false">A827</f>
        <v>15.4.2.17</v>
      </c>
    </row>
    <row r="828" customFormat="false" ht="15" hidden="false" customHeight="false" outlineLevel="2" collapsed="false">
      <c r="A828" s="42" t="s">
        <v>1185</v>
      </c>
      <c r="B828" s="43"/>
      <c r="C828" s="50" t="s">
        <v>1186</v>
      </c>
      <c r="D828" s="45"/>
      <c r="E828" s="44"/>
      <c r="F828" s="46"/>
      <c r="G828" s="51"/>
      <c r="H828" s="52"/>
      <c r="I828" s="47" t="n">
        <f aca="false">SUBTOTAL(9,I829:I830)</f>
        <v>9715.380199</v>
      </c>
      <c r="J828" s="47" t="n">
        <f aca="false">SUBTOTAL(9,J829:J830)</f>
        <v>783.85805362368</v>
      </c>
      <c r="K828" s="47" t="n">
        <f aca="false">SUBTOTAL(9,K829:K830)</f>
        <v>11718.6915960338</v>
      </c>
      <c r="L828" s="47" t="n">
        <f aca="false">SUBTOTAL(9,L829:L830)</f>
        <v>999.34063256483</v>
      </c>
      <c r="M828" s="47" t="n">
        <f aca="false">SUBTOTAL(9,M829:M830)</f>
        <v>12718.0322285986</v>
      </c>
      <c r="N828" s="20" t="str">
        <f aca="false">A828</f>
        <v>15.4.3</v>
      </c>
    </row>
    <row r="829" customFormat="false" ht="45" hidden="false" customHeight="false" outlineLevel="3" collapsed="false">
      <c r="A829" s="42" t="s">
        <v>1187</v>
      </c>
      <c r="B829" s="43" t="n">
        <v>92367</v>
      </c>
      <c r="C829" s="50" t="str">
        <f aca="false">VLOOKUP($B829,03_COMPOSIÇÕES!$A:$G,2,0)</f>
        <v>TUBO DE AÇO GALVANIZADO COM COSTURA, CLASSE MÉDIA, DN 65 (2 1/2"), CONEXÃO ROSQUEADA, INSTALADO EM REDE DE ALIMENTAÇÃO PARA HIDRANTE - FORNECIMENTO E INSTALAÇÃO. AF_10/2020</v>
      </c>
      <c r="D829" s="45" t="s">
        <v>59</v>
      </c>
      <c r="E829" s="44" t="str">
        <f aca="false">IF($B829="","",IFERROR(VLOOKUP($B829,#REF!,3,0),IFERROR(VLOOKUP($B829,03_COMPOSIÇÕES!$A:$G,4,0),"")))</f>
        <v>M</v>
      </c>
      <c r="F829" s="46" t="n">
        <v>85.2</v>
      </c>
      <c r="G829" s="51" t="n">
        <f aca="false">VLOOKUP($B829,03_COMPOSIÇÕES!$A:$G,6,0)</f>
        <v>101.69418</v>
      </c>
      <c r="H829" s="52" t="n">
        <f aca="false">VLOOKUP($B829,03_COMPOSIÇÕES!$A:$G,7,0)</f>
        <v>8.350082748</v>
      </c>
      <c r="I829" s="47" t="n">
        <f aca="false">$F829*$G829</f>
        <v>8664.344136</v>
      </c>
      <c r="J829" s="47" t="n">
        <f aca="false">$F829*$H829</f>
        <v>711.4270501296</v>
      </c>
      <c r="K829" s="47" t="n">
        <f aca="false">$I829*(1+BDI_MAT)</f>
        <v>10450.9318968432</v>
      </c>
      <c r="L829" s="47" t="n">
        <f aca="false">$J829*(1+BDI_MDO)</f>
        <v>906.998346210227</v>
      </c>
      <c r="M829" s="47" t="n">
        <f aca="false">SUM(K829:L829)</f>
        <v>11357.9302430534</v>
      </c>
      <c r="N829" s="20" t="str">
        <f aca="false">A829</f>
        <v>15.4.3.1</v>
      </c>
    </row>
    <row r="830" customFormat="false" ht="45" hidden="false" customHeight="false" outlineLevel="3" collapsed="false">
      <c r="A830" s="42" t="s">
        <v>1188</v>
      </c>
      <c r="B830" s="43" t="n">
        <v>92368</v>
      </c>
      <c r="C830" s="50" t="str">
        <f aca="false">VLOOKUP($B830,03_COMPOSIÇÕES!$A:$G,2,0)</f>
        <v>TUBO DE AÇO GALVANIZADO COM COSTURA, CLASSE MÉDIA, DN 80 (3"), CONEXÃO ROSQUEADA, INSTALADO EM REDE DE ALIMENTAÇÃO PARA HIDRANTE - FORNECIMENTO E INSTALAÇÃO. AF_10/2020</v>
      </c>
      <c r="D830" s="45" t="s">
        <v>59</v>
      </c>
      <c r="E830" s="44" t="str">
        <f aca="false">IF($B830="","",IFERROR(VLOOKUP($B830,#REF!,3,0),IFERROR(VLOOKUP($B830,03_COMPOSIÇÕES!$A:$G,4,0),"")))</f>
        <v>M</v>
      </c>
      <c r="F830" s="46" t="n">
        <v>7.7</v>
      </c>
      <c r="G830" s="51" t="n">
        <f aca="false">VLOOKUP($B830,03_COMPOSIÇÕES!$A:$G,6,0)</f>
        <v>136.49819</v>
      </c>
      <c r="H830" s="52" t="n">
        <f aca="false">VLOOKUP($B830,03_COMPOSIÇÕES!$A:$G,7,0)</f>
        <v>9.4066238304</v>
      </c>
      <c r="I830" s="47" t="n">
        <f aca="false">$F830*$G830</f>
        <v>1051.036063</v>
      </c>
      <c r="J830" s="47" t="n">
        <f aca="false">$F830*$H830</f>
        <v>72.43100349408</v>
      </c>
      <c r="K830" s="47" t="n">
        <f aca="false">$I830*(1+BDI_MAT)</f>
        <v>1267.7596991906</v>
      </c>
      <c r="L830" s="47" t="n">
        <f aca="false">$J830*(1+BDI_MDO)</f>
        <v>92.3422863546026</v>
      </c>
      <c r="M830" s="47" t="n">
        <f aca="false">SUM(K830:L830)</f>
        <v>1360.1019855452</v>
      </c>
      <c r="N830" s="20" t="str">
        <f aca="false">A830</f>
        <v>15.4.3.2</v>
      </c>
    </row>
    <row r="831" customFormat="false" ht="15" hidden="false" customHeight="false" outlineLevel="2" collapsed="false">
      <c r="A831" s="42" t="s">
        <v>1189</v>
      </c>
      <c r="B831" s="43"/>
      <c r="C831" s="50" t="s">
        <v>1190</v>
      </c>
      <c r="D831" s="45"/>
      <c r="E831" s="44"/>
      <c r="F831" s="46"/>
      <c r="G831" s="51"/>
      <c r="H831" s="52"/>
      <c r="I831" s="47" t="n">
        <f aca="false">SUBTOTAL(9,I832:I833)</f>
        <v>12332.5686586667</v>
      </c>
      <c r="J831" s="47" t="n">
        <f aca="false">SUBTOTAL(9,J832:J833)</f>
        <v>365.65823905344</v>
      </c>
      <c r="K831" s="47" t="n">
        <f aca="false">SUBTOTAL(9,K832:K833)</f>
        <v>14875.5443160837</v>
      </c>
      <c r="L831" s="47" t="n">
        <f aca="false">SUBTOTAL(9,L832:L833)</f>
        <v>466.177688969231</v>
      </c>
      <c r="M831" s="47" t="n">
        <f aca="false">SUBTOTAL(9,M832:M833)</f>
        <v>15341.722005053</v>
      </c>
      <c r="N831" s="20" t="str">
        <f aca="false">A831</f>
        <v>15.4.4</v>
      </c>
    </row>
    <row r="832" customFormat="false" ht="30" hidden="false" customHeight="false" outlineLevel="2" collapsed="false">
      <c r="A832" s="42" t="s">
        <v>1191</v>
      </c>
      <c r="B832" s="43" t="s">
        <v>1192</v>
      </c>
      <c r="C832" s="50" t="str">
        <f aca="false">VLOOKUP($B832,03_COMPOSIÇÕES!$A:$G,2,0)</f>
        <v>BOMBA CENTRÍFUGA, TRIFÁSICA, 7,5 CV , HM 45,82 MCA, Q 24 M3/H - FORNECIMENTO E INSTALAÇÃO.</v>
      </c>
      <c r="D832" s="45" t="s">
        <v>59</v>
      </c>
      <c r="E832" s="44" t="str">
        <f aca="false">IF($B832="","",IFERROR(VLOOKUP($B832,#REF!,3,0),IFERROR(VLOOKUP($B832,03_COMPOSIÇÕES!$A:$G,4,0),"")))</f>
        <v>UN</v>
      </c>
      <c r="F832" s="46" t="n">
        <v>2</v>
      </c>
      <c r="G832" s="51" t="n">
        <f aca="false">VLOOKUP($B832,03_COMPOSIÇÕES!$A:$G,6,0)</f>
        <v>4600.7232</v>
      </c>
      <c r="H832" s="52" t="n">
        <f aca="false">VLOOKUP($B832,03_COMPOSIÇÕES!$A:$G,7,0)</f>
        <v>134.0793574344</v>
      </c>
      <c r="I832" s="47" t="n">
        <f aca="false">$F832*$G832</f>
        <v>9201.4464</v>
      </c>
      <c r="J832" s="47" t="n">
        <f aca="false">$F832*$H832</f>
        <v>268.1587148688</v>
      </c>
      <c r="K832" s="47" t="n">
        <f aca="false">$I832*(1+BDI_MAT)</f>
        <v>11098.78464768</v>
      </c>
      <c r="L832" s="47" t="n">
        <f aca="false">$J832*(1+BDI_MDO)</f>
        <v>341.875545586233</v>
      </c>
      <c r="M832" s="47" t="n">
        <f aca="false">SUM(K832:L832)</f>
        <v>11440.6601932662</v>
      </c>
      <c r="N832" s="20" t="str">
        <f aca="false">A832</f>
        <v>15.4.4.1</v>
      </c>
    </row>
    <row r="833" customFormat="false" ht="30" hidden="false" customHeight="false" outlineLevel="2" collapsed="false">
      <c r="A833" s="42" t="s">
        <v>1193</v>
      </c>
      <c r="B833" s="43" t="s">
        <v>1194</v>
      </c>
      <c r="C833" s="50" t="str">
        <f aca="false">VLOOKUP($B833,03_COMPOSIÇÕES!$A:$G,2,0)</f>
        <v>INSTALAÇÃO DE QUADRO ELÉTRICO PARA BOMBAS TRIFÁSICAS DE 10 CV - FORNECIMENTO E INSTALAÇÃO.</v>
      </c>
      <c r="D833" s="45" t="s">
        <v>59</v>
      </c>
      <c r="E833" s="44" t="str">
        <f aca="false">IF($B833="","",IFERROR(VLOOKUP($B833,#REF!,3,0),IFERROR(VLOOKUP($B833,03_COMPOSIÇÕES!$A:$G,4,0),"")))</f>
        <v>UN</v>
      </c>
      <c r="F833" s="46" t="n">
        <v>2</v>
      </c>
      <c r="G833" s="51" t="n">
        <f aca="false">VLOOKUP($B833,03_COMPOSIÇÕES!$A:$G,6,0)</f>
        <v>1565.56112933333</v>
      </c>
      <c r="H833" s="52" t="n">
        <f aca="false">VLOOKUP($B833,03_COMPOSIÇÕES!$A:$G,7,0)</f>
        <v>48.74976209232</v>
      </c>
      <c r="I833" s="47" t="n">
        <f aca="false">$F833*$G833</f>
        <v>3131.12225866667</v>
      </c>
      <c r="J833" s="47" t="n">
        <f aca="false">$F833*$H833</f>
        <v>97.49952418464</v>
      </c>
      <c r="K833" s="47" t="n">
        <f aca="false">$I833*(1+BDI_MAT)</f>
        <v>3776.75966840373</v>
      </c>
      <c r="L833" s="47" t="n">
        <f aca="false">$J833*(1+BDI_MDO)</f>
        <v>124.302143382998</v>
      </c>
      <c r="M833" s="47" t="n">
        <f aca="false">SUM(K833:L833)</f>
        <v>3901.06181178673</v>
      </c>
      <c r="N833" s="20" t="str">
        <f aca="false">A833</f>
        <v>15.4.4.2</v>
      </c>
    </row>
    <row r="834" customFormat="false" ht="15" hidden="false" customHeight="false" outlineLevel="1" collapsed="false">
      <c r="A834" s="42" t="s">
        <v>1195</v>
      </c>
      <c r="B834" s="43"/>
      <c r="C834" s="50" t="s">
        <v>1196</v>
      </c>
      <c r="D834" s="45"/>
      <c r="E834" s="44"/>
      <c r="F834" s="46"/>
      <c r="G834" s="51"/>
      <c r="H834" s="52"/>
      <c r="I834" s="47" t="n">
        <f aca="false">SUM(I835,I840)</f>
        <v>4943.15433813333</v>
      </c>
      <c r="J834" s="47" t="n">
        <f aca="false">SUM(J835,J840)</f>
        <v>1600.94111261424</v>
      </c>
      <c r="K834" s="47" t="n">
        <f aca="false">SUM(K835,K840)</f>
        <v>5962.43276265643</v>
      </c>
      <c r="L834" s="47" t="n">
        <f aca="false">SUM(L835,L840)</f>
        <v>2041.03982447189</v>
      </c>
      <c r="M834" s="47" t="n">
        <f aca="false">SUM(M835,M840)</f>
        <v>8003.47258712832</v>
      </c>
      <c r="N834" s="20" t="str">
        <f aca="false">A834</f>
        <v>15.5</v>
      </c>
    </row>
    <row r="835" customFormat="false" ht="15" hidden="false" customHeight="false" outlineLevel="2" collapsed="false">
      <c r="A835" s="42" t="s">
        <v>1197</v>
      </c>
      <c r="B835" s="43"/>
      <c r="C835" s="50" t="s">
        <v>607</v>
      </c>
      <c r="D835" s="45"/>
      <c r="E835" s="44"/>
      <c r="F835" s="46"/>
      <c r="G835" s="51"/>
      <c r="H835" s="52"/>
      <c r="I835" s="47" t="n">
        <f aca="false">SUBTOTAL(9,I836:I839)</f>
        <v>1760.69133333333</v>
      </c>
      <c r="J835" s="47" t="n">
        <f aca="false">SUBTOTAL(9,J836:J839)</f>
        <v>163.36545216</v>
      </c>
      <c r="K835" s="47" t="n">
        <f aca="false">SUBTOTAL(9,K836:K839)</f>
        <v>2123.74588626667</v>
      </c>
      <c r="L835" s="47" t="n">
        <f aca="false">SUBTOTAL(9,L836:L839)</f>
        <v>208.274614958784</v>
      </c>
      <c r="M835" s="47" t="n">
        <f aca="false">SUBTOTAL(9,M836:M839)</f>
        <v>2332.02050122545</v>
      </c>
      <c r="N835" s="20" t="str">
        <f aca="false">A835</f>
        <v>15.5.1</v>
      </c>
    </row>
    <row r="836" customFormat="false" ht="30" hidden="false" customHeight="false" outlineLevel="3" collapsed="false">
      <c r="A836" s="42" t="s">
        <v>1198</v>
      </c>
      <c r="B836" s="43" t="s">
        <v>1199</v>
      </c>
      <c r="C836" s="50" t="str">
        <f aca="false">VLOOKUP($B836,03_COMPOSIÇÕES!$A:$G,2,0)</f>
        <v>CENTRAL DE ALARME ENDEREÇÁVEL CIE 1060 INTELBRAS - FORNECIMENTO E INSTALAÇÃO.</v>
      </c>
      <c r="D836" s="45" t="s">
        <v>59</v>
      </c>
      <c r="E836" s="44" t="str">
        <f aca="false">IF($B836="","",IFERROR(VLOOKUP($B836,#REF!,3,0),IFERROR(VLOOKUP($B836,03_COMPOSIÇÕES!$A:$G,4,0),"")))</f>
        <v>UN</v>
      </c>
      <c r="F836" s="46" t="n">
        <v>1</v>
      </c>
      <c r="G836" s="51" t="n">
        <f aca="false">VLOOKUP($B836,03_COMPOSIÇÕES!$A:$G,6,0)</f>
        <v>853.136666666667</v>
      </c>
      <c r="H836" s="52" t="n">
        <f aca="false">VLOOKUP($B836,03_COMPOSIÇÕES!$A:$G,7,0)</f>
        <v>20.9746104</v>
      </c>
      <c r="I836" s="47" t="n">
        <f aca="false">$F836*$G836</f>
        <v>853.136666666667</v>
      </c>
      <c r="J836" s="47" t="n">
        <f aca="false">$F836*$H836</f>
        <v>20.9746104</v>
      </c>
      <c r="K836" s="47" t="n">
        <f aca="false">$I836*(1+BDI_MAT)</f>
        <v>1029.05344733333</v>
      </c>
      <c r="L836" s="47" t="n">
        <f aca="false">$J836*(1+BDI_MDO)</f>
        <v>26.74053079896</v>
      </c>
      <c r="M836" s="47" t="n">
        <f aca="false">SUM(K836:L836)</f>
        <v>1055.79397813229</v>
      </c>
      <c r="N836" s="20" t="str">
        <f aca="false">A836</f>
        <v>15.5.1.1</v>
      </c>
    </row>
    <row r="837" customFormat="false" ht="30" hidden="false" customHeight="false" outlineLevel="3" collapsed="false">
      <c r="A837" s="42" t="s">
        <v>1200</v>
      </c>
      <c r="B837" s="43" t="s">
        <v>1201</v>
      </c>
      <c r="C837" s="50" t="str">
        <f aca="false">VLOOKUP($B837,03_COMPOSIÇÕES!$A:$G,2,0)</f>
        <v>ACIONADOR MANUAL, BOTOEIRA "APERTE AQUI", ENDEREÇÁVEL - FORNECIMENTO E INSTALAÇÃO.</v>
      </c>
      <c r="D837" s="45" t="s">
        <v>59</v>
      </c>
      <c r="E837" s="44" t="str">
        <f aca="false">IF($B837="","",IFERROR(VLOOKUP($B837,#REF!,3,0),IFERROR(VLOOKUP($B837,03_COMPOSIÇÕES!$A:$G,4,0),"")))</f>
        <v>UN</v>
      </c>
      <c r="F837" s="46" t="n">
        <v>3</v>
      </c>
      <c r="G837" s="51" t="n">
        <f aca="false">VLOOKUP($B837,03_COMPOSIÇÕES!$A:$G,6,0)</f>
        <v>113.2</v>
      </c>
      <c r="H837" s="52" t="n">
        <f aca="false">VLOOKUP($B837,03_COMPOSIÇÕES!$A:$G,7,0)</f>
        <v>17.3647368</v>
      </c>
      <c r="I837" s="47" t="n">
        <f aca="false">$F837*$G837</f>
        <v>339.6</v>
      </c>
      <c r="J837" s="47" t="n">
        <f aca="false">$F837*$H837</f>
        <v>52.0942104</v>
      </c>
      <c r="K837" s="47" t="n">
        <f aca="false">$I837*(1+BDI_MAT)</f>
        <v>409.62552</v>
      </c>
      <c r="L837" s="47" t="n">
        <f aca="false">$J837*(1+BDI_MDO)</f>
        <v>66.41490883896</v>
      </c>
      <c r="M837" s="47" t="n">
        <f aca="false">SUM(K837:L837)</f>
        <v>476.04042883896</v>
      </c>
      <c r="N837" s="20" t="str">
        <f aca="false">A837</f>
        <v>15.5.1.2</v>
      </c>
    </row>
    <row r="838" customFormat="false" ht="30" hidden="false" customHeight="false" outlineLevel="3" collapsed="false">
      <c r="A838" s="42" t="s">
        <v>1202</v>
      </c>
      <c r="B838" s="43" t="s">
        <v>1203</v>
      </c>
      <c r="C838" s="50" t="str">
        <f aca="false">VLOOKUP($B838,03_COMPOSIÇÕES!$A:$G,2,0)</f>
        <v>SIRENE DE ALARME AUDIOVISUAL ENDEREÇÁVEL - FORNECIMENTO E INSTALAÇÃO.</v>
      </c>
      <c r="D838" s="45" t="s">
        <v>59</v>
      </c>
      <c r="E838" s="44" t="str">
        <f aca="false">IF($B838="","",IFERROR(VLOOKUP($B838,#REF!,3,0),IFERROR(VLOOKUP($B838,03_COMPOSIÇÕES!$A:$G,4,0),"")))</f>
        <v>un</v>
      </c>
      <c r="F838" s="46" t="n">
        <v>3</v>
      </c>
      <c r="G838" s="51" t="n">
        <f aca="false">VLOOKUP($B838,03_COMPOSIÇÕES!$A:$G,6,0)</f>
        <v>139.336</v>
      </c>
      <c r="H838" s="52" t="n">
        <f aca="false">VLOOKUP($B838,03_COMPOSIÇÕES!$A:$G,7,0)</f>
        <v>24.31063152</v>
      </c>
      <c r="I838" s="47" t="n">
        <f aca="false">$F838*$G838</f>
        <v>418.008</v>
      </c>
      <c r="J838" s="47" t="n">
        <f aca="false">$F838*$H838</f>
        <v>72.93189456</v>
      </c>
      <c r="K838" s="47" t="n">
        <f aca="false">$I838*(1+BDI_MAT)</f>
        <v>504.2012496</v>
      </c>
      <c r="L838" s="47" t="n">
        <f aca="false">$J838*(1+BDI_MDO)</f>
        <v>92.980872374544</v>
      </c>
      <c r="M838" s="47" t="n">
        <f aca="false">SUM(K838:L838)</f>
        <v>597.182121974544</v>
      </c>
      <c r="N838" s="20" t="str">
        <f aca="false">A838</f>
        <v>15.5.1.3</v>
      </c>
    </row>
    <row r="839" customFormat="false" ht="30" hidden="false" customHeight="false" outlineLevel="3" collapsed="false">
      <c r="A839" s="42" t="s">
        <v>1204</v>
      </c>
      <c r="B839" s="43" t="s">
        <v>1205</v>
      </c>
      <c r="C839" s="50" t="str">
        <f aca="false">VLOOKUP($B839,03_COMPOSIÇÕES!$A:$G,2,0)</f>
        <v>DETECTOR DE TEMPERATURA TERMOVELOCIMÉTRICO ENDEREÇÁVEL - FORNECEIMENTO E INSTALAÇÃO.</v>
      </c>
      <c r="D839" s="45" t="s">
        <v>59</v>
      </c>
      <c r="E839" s="44" t="str">
        <f aca="false">IF($B839="","",IFERROR(VLOOKUP($B839,#REF!,3,0),IFERROR(VLOOKUP($B839,03_COMPOSIÇÕES!$A:$G,4,0),"")))</f>
        <v>un</v>
      </c>
      <c r="F839" s="46" t="n">
        <v>1</v>
      </c>
      <c r="G839" s="51" t="n">
        <f aca="false">VLOOKUP($B839,03_COMPOSIÇÕES!$A:$G,6,0)</f>
        <v>149.946666666667</v>
      </c>
      <c r="H839" s="52" t="n">
        <f aca="false">VLOOKUP($B839,03_COMPOSIÇÕES!$A:$G,7,0)</f>
        <v>17.3647368</v>
      </c>
      <c r="I839" s="47" t="n">
        <f aca="false">$F839*$G839</f>
        <v>149.946666666667</v>
      </c>
      <c r="J839" s="47" t="n">
        <f aca="false">$F839*$H839</f>
        <v>17.3647368</v>
      </c>
      <c r="K839" s="47" t="n">
        <f aca="false">$I839*(1+BDI_MAT)</f>
        <v>180.865669333333</v>
      </c>
      <c r="L839" s="47" t="n">
        <f aca="false">$J839*(1+BDI_MDO)</f>
        <v>22.13830294632</v>
      </c>
      <c r="M839" s="47" t="n">
        <f aca="false">SUM(K839:L839)</f>
        <v>203.003972279653</v>
      </c>
      <c r="N839" s="20" t="str">
        <f aca="false">A839</f>
        <v>15.5.1.4</v>
      </c>
    </row>
    <row r="840" customFormat="false" ht="15" hidden="false" customHeight="false" outlineLevel="2" collapsed="false">
      <c r="A840" s="42" t="s">
        <v>1206</v>
      </c>
      <c r="B840" s="43"/>
      <c r="C840" s="50" t="s">
        <v>1207</v>
      </c>
      <c r="D840" s="45"/>
      <c r="E840" s="44"/>
      <c r="F840" s="46"/>
      <c r="G840" s="51"/>
      <c r="H840" s="52"/>
      <c r="I840" s="47" t="n">
        <f aca="false">SUBTOTAL(9,I841:I846)</f>
        <v>3182.4630048</v>
      </c>
      <c r="J840" s="47" t="n">
        <f aca="false">SUBTOTAL(9,J841:J846)</f>
        <v>1437.57566045424</v>
      </c>
      <c r="K840" s="47" t="n">
        <f aca="false">SUBTOTAL(9,K841:K846)</f>
        <v>3838.68687638976</v>
      </c>
      <c r="L840" s="47" t="n">
        <f aca="false">SUBTOTAL(9,L841:L846)</f>
        <v>1832.76520951311</v>
      </c>
      <c r="M840" s="47" t="n">
        <f aca="false">SUBTOTAL(9,M841:M846)</f>
        <v>5671.45208590287</v>
      </c>
      <c r="N840" s="20" t="str">
        <f aca="false">A840</f>
        <v>15.5.2</v>
      </c>
    </row>
    <row r="841" customFormat="false" ht="45" hidden="false" customHeight="false" outlineLevel="2" collapsed="false">
      <c r="A841" s="42" t="s">
        <v>1208</v>
      </c>
      <c r="B841" s="43" t="n">
        <v>91863</v>
      </c>
      <c r="C841" s="50" t="str">
        <f aca="false">VLOOKUP($B841,03_COMPOSIÇÕES!$A:$G,2,0)</f>
        <v>ELETRODUTO RÍGIDO ROSCÁVEL, PVC, DN 25 MM (3/4"), PARA CIRCUITOS TERMINAIS, INSTALADO EM FORRO - FORNECIMENTO E INSTALAÇÃO. AF_03/2023</v>
      </c>
      <c r="D841" s="45" t="s">
        <v>59</v>
      </c>
      <c r="E841" s="44" t="str">
        <f aca="false">IF($B841="","",IFERROR(VLOOKUP($B841,#REF!,3,0),IFERROR(VLOOKUP($B841,03_COMPOSIÇÕES!$A:$G,4,0),"")))</f>
        <v>M</v>
      </c>
      <c r="F841" s="46" t="n">
        <v>147.1</v>
      </c>
      <c r="G841" s="51" t="n">
        <f aca="false">VLOOKUP($B841,03_COMPOSIÇÕES!$A:$G,6,0)</f>
        <v>5.6375</v>
      </c>
      <c r="H841" s="52" t="n">
        <f aca="false">VLOOKUP($B841,03_COMPOSIÇÕES!$A:$G,7,0)</f>
        <v>4.1328073584</v>
      </c>
      <c r="I841" s="47" t="n">
        <f aca="false">$F841*$G841</f>
        <v>829.27625</v>
      </c>
      <c r="J841" s="47" t="n">
        <f aca="false">$F841*$H841</f>
        <v>607.93596242064</v>
      </c>
      <c r="K841" s="47" t="n">
        <f aca="false">$I841*(1+BDI_MAT)</f>
        <v>1000.27301275</v>
      </c>
      <c r="L841" s="47" t="n">
        <f aca="false">$J841*(1+BDI_MDO)</f>
        <v>775.057558490074</v>
      </c>
      <c r="M841" s="47" t="n">
        <f aca="false">SUM(K841:L841)</f>
        <v>1775.33057124007</v>
      </c>
      <c r="N841" s="20" t="str">
        <f aca="false">A841</f>
        <v>15.5.2.1</v>
      </c>
    </row>
    <row r="842" customFormat="false" ht="30" hidden="false" customHeight="false" outlineLevel="2" collapsed="false">
      <c r="A842" s="42" t="s">
        <v>1209</v>
      </c>
      <c r="B842" s="43" t="n">
        <v>95817</v>
      </c>
      <c r="C842" s="50" t="str">
        <f aca="false">VLOOKUP($B842,03_COMPOSIÇÕES!$A:$G,2,0)</f>
        <v>CONDULETE DE PVC, TIPO X, PARA ELETRODUTO DE PVC SOLDÁVEL DN 25 MM (3/4"), APARENTE - FORNECIMENTO E INSTALAÇÃO. AF_10/2022</v>
      </c>
      <c r="D842" s="45" t="s">
        <v>59</v>
      </c>
      <c r="E842" s="44" t="str">
        <f aca="false">IF($B842="","",IFERROR(VLOOKUP($B842,#REF!,3,0),IFERROR(VLOOKUP($B842,03_COMPOSIÇÕES!$A:$G,4,0),"")))</f>
        <v>UN</v>
      </c>
      <c r="F842" s="46" t="n">
        <v>26</v>
      </c>
      <c r="G842" s="51" t="n">
        <f aca="false">VLOOKUP($B842,03_COMPOSIÇÕES!$A:$G,6,0)</f>
        <v>14.5511</v>
      </c>
      <c r="H842" s="52" t="n">
        <f aca="false">VLOOKUP($B842,03_COMPOSIÇÕES!$A:$G,7,0)</f>
        <v>15.5935336464</v>
      </c>
      <c r="I842" s="47" t="n">
        <f aca="false">$F842*$G842</f>
        <v>378.3286</v>
      </c>
      <c r="J842" s="47" t="n">
        <f aca="false">$F842*$H842</f>
        <v>405.4318748064</v>
      </c>
      <c r="K842" s="47" t="n">
        <f aca="false">$I842*(1+BDI_MAT)</f>
        <v>456.33995732</v>
      </c>
      <c r="L842" s="47" t="n">
        <f aca="false">$J842*(1+BDI_MDO)</f>
        <v>516.885097190679</v>
      </c>
      <c r="M842" s="47" t="n">
        <f aca="false">SUM(K842:L842)</f>
        <v>973.225054510679</v>
      </c>
      <c r="N842" s="20" t="str">
        <f aca="false">A842</f>
        <v>15.5.2.2</v>
      </c>
    </row>
    <row r="843" customFormat="false" ht="45" hidden="false" customHeight="false" outlineLevel="2" collapsed="false">
      <c r="A843" s="42" t="s">
        <v>1210</v>
      </c>
      <c r="B843" s="43" t="n">
        <v>91890</v>
      </c>
      <c r="C843" s="50" t="str">
        <f aca="false">VLOOKUP($B843,03_COMPOSIÇÕES!$A:$G,2,0)</f>
        <v>CURVA 90 GRAUS PARA ELETRODUTO, PVC, ROSCÁVEL, DN 25 MM (3/4"), PARA CIRCUITOS TERMINAIS, INSTALADA EM FORRO - FORNECIMENTO E INSTALAÇÃO. AF_03/2023</v>
      </c>
      <c r="D843" s="45" t="s">
        <v>59</v>
      </c>
      <c r="E843" s="44" t="str">
        <f aca="false">IF($B843="","",IFERROR(VLOOKUP($B843,#REF!,3,0),IFERROR(VLOOKUP($B843,03_COMPOSIÇÕES!$A:$G,4,0),"")))</f>
        <v>UN</v>
      </c>
      <c r="F843" s="46" t="n">
        <v>11</v>
      </c>
      <c r="G843" s="51" t="n">
        <f aca="false">VLOOKUP($B843,03_COMPOSIÇÕES!$A:$G,6,0)</f>
        <v>3.10648</v>
      </c>
      <c r="H843" s="52" t="n">
        <f aca="false">VLOOKUP($B843,03_COMPOSIÇÕES!$A:$G,7,0)</f>
        <v>7.1542715616</v>
      </c>
      <c r="I843" s="47" t="n">
        <f aca="false">$F843*$G843</f>
        <v>34.17128</v>
      </c>
      <c r="J843" s="47" t="n">
        <f aca="false">$F843*$H843</f>
        <v>78.6969871776</v>
      </c>
      <c r="K843" s="47" t="n">
        <f aca="false">$I843*(1+BDI_MAT)</f>
        <v>41.217397936</v>
      </c>
      <c r="L843" s="47" t="n">
        <f aca="false">$J843*(1+BDI_MDO)</f>
        <v>100.330788952722</v>
      </c>
      <c r="M843" s="47" t="n">
        <f aca="false">SUM(K843:L843)</f>
        <v>141.548186888722</v>
      </c>
      <c r="N843" s="20" t="str">
        <f aca="false">A843</f>
        <v>15.5.2.3</v>
      </c>
    </row>
    <row r="844" customFormat="false" ht="45" hidden="false" customHeight="false" outlineLevel="2" collapsed="false">
      <c r="A844" s="42" t="s">
        <v>1211</v>
      </c>
      <c r="B844" s="43" t="n">
        <v>91924</v>
      </c>
      <c r="C844" s="50" t="str">
        <f aca="false">VLOOKUP($B844,03_COMPOSIÇÕES!$A:$G,2,0)</f>
        <v>CABO DE COBRE FLEXÍVEL ISOLADO, 1,5 MM², ANTI-CHAMA 450/750 V, PARA CIRCUITOS TERMINAIS - FORNECIMENTO E INSTALAÇÃO. AF_03/2023</v>
      </c>
      <c r="D844" s="45" t="s">
        <v>59</v>
      </c>
      <c r="E844" s="44" t="str">
        <f aca="false">IF($B844="","",IFERROR(VLOOKUP($B844,#REF!,3,0),IFERROR(VLOOKUP($B844,03_COMPOSIÇÕES!$A:$G,4,0),"")))</f>
        <v>M</v>
      </c>
      <c r="F844" s="46" t="n">
        <v>347.1</v>
      </c>
      <c r="G844" s="51" t="n">
        <f aca="false">VLOOKUP($B844,03_COMPOSIÇÕES!$A:$G,6,0)</f>
        <v>2.244746</v>
      </c>
      <c r="H844" s="52" t="n">
        <f aca="false">VLOOKUP($B844,03_COMPOSIÇÕES!$A:$G,7,0)</f>
        <v>0.4824160392</v>
      </c>
      <c r="I844" s="47" t="n">
        <f aca="false">$F844*$G844</f>
        <v>779.1513366</v>
      </c>
      <c r="J844" s="47" t="n">
        <f aca="false">$F844*$H844</f>
        <v>167.44660720632</v>
      </c>
      <c r="K844" s="47" t="n">
        <f aca="false">$I844*(1+BDI_MAT)</f>
        <v>939.81234220692</v>
      </c>
      <c r="L844" s="47" t="n">
        <f aca="false">$J844*(1+BDI_MDO)</f>
        <v>213.477679527337</v>
      </c>
      <c r="M844" s="47" t="n">
        <f aca="false">SUM(K844:L844)</f>
        <v>1153.29002173426</v>
      </c>
      <c r="N844" s="20" t="str">
        <f aca="false">A844</f>
        <v>15.5.2.4</v>
      </c>
    </row>
    <row r="845" customFormat="false" ht="45" hidden="false" customHeight="false" outlineLevel="2" collapsed="false">
      <c r="A845" s="42" t="s">
        <v>1212</v>
      </c>
      <c r="B845" s="43" t="n">
        <v>91928</v>
      </c>
      <c r="C845" s="50" t="str">
        <f aca="false">VLOOKUP($B845,03_COMPOSIÇÕES!$A:$G,2,0)</f>
        <v>CABO DE COBRE FLEXÍVEL ISOLADO, 4 MM², ANTI-CHAMA 450/750 V, PARA CIRCUITOS TERMINAIS - FORNECIMENTO E INSTALAÇÃO. AF_03/2023</v>
      </c>
      <c r="D845" s="45" t="s">
        <v>59</v>
      </c>
      <c r="E845" s="44" t="str">
        <f aca="false">IF($B845="","",IFERROR(VLOOKUP($B845,#REF!,3,0),IFERROR(VLOOKUP($B845,03_COMPOSIÇÕES!$A:$G,4,0),"")))</f>
        <v>M</v>
      </c>
      <c r="F845" s="46" t="n">
        <v>115.7</v>
      </c>
      <c r="G845" s="51" t="n">
        <f aca="false">VLOOKUP($B845,03_COMPOSIÇÕES!$A:$G,6,0)</f>
        <v>5.465276</v>
      </c>
      <c r="H845" s="52" t="n">
        <f aca="false">VLOOKUP($B845,03_COMPOSIÇÕES!$A:$G,7,0)</f>
        <v>1.3544494704</v>
      </c>
      <c r="I845" s="47" t="n">
        <f aca="false">$F845*$G845</f>
        <v>632.3324332</v>
      </c>
      <c r="J845" s="47" t="n">
        <f aca="false">$F845*$H845</f>
        <v>156.70980372528</v>
      </c>
      <c r="K845" s="47" t="n">
        <f aca="false">$I845*(1+BDI_MAT)</f>
        <v>762.71938092584</v>
      </c>
      <c r="L845" s="47" t="n">
        <f aca="false">$J845*(1+BDI_MDO)</f>
        <v>199.78932876936</v>
      </c>
      <c r="M845" s="47" t="n">
        <f aca="false">SUM(K845:L845)</f>
        <v>962.5087096952</v>
      </c>
      <c r="N845" s="20" t="str">
        <f aca="false">A845</f>
        <v>15.5.2.5</v>
      </c>
    </row>
    <row r="846" customFormat="false" ht="45" hidden="false" customHeight="false" outlineLevel="2" collapsed="false">
      <c r="A846" s="42" t="s">
        <v>1213</v>
      </c>
      <c r="B846" s="43" t="s">
        <v>1214</v>
      </c>
      <c r="C846" s="50" t="str">
        <f aca="false">VLOOKUP($B846,03_COMPOSIÇÕES!$A:$G,2,0)</f>
        <v>CABO DE COBRE FLEXÍVEL MULTIPOLAR,3 VIAS, 1,5 MM², ANTI-CHAMA 450/750 V, PARA CIRCUITOS TERMINAIS - FORNECIMENTO E INSTALAÇÃO.</v>
      </c>
      <c r="D846" s="45" t="s">
        <v>59</v>
      </c>
      <c r="E846" s="44" t="str">
        <f aca="false">IF($B846="","",IFERROR(VLOOKUP($B846,#REF!,3,0),IFERROR(VLOOKUP($B846,03_COMPOSIÇÕES!$A:$G,4,0),"")))</f>
        <v>M</v>
      </c>
      <c r="F846" s="46" t="n">
        <v>67.5</v>
      </c>
      <c r="G846" s="51" t="n">
        <f aca="false">VLOOKUP($B846,03_COMPOSIÇÕES!$A:$G,6,0)</f>
        <v>7.840046</v>
      </c>
      <c r="H846" s="52" t="n">
        <f aca="false">VLOOKUP($B846,03_COMPOSIÇÕES!$A:$G,7,0)</f>
        <v>0.3163618536</v>
      </c>
      <c r="I846" s="47" t="n">
        <f aca="false">$F846*$G846</f>
        <v>529.203105</v>
      </c>
      <c r="J846" s="47" t="n">
        <f aca="false">$F846*$H846</f>
        <v>21.354425118</v>
      </c>
      <c r="K846" s="47" t="n">
        <f aca="false">$I846*(1+BDI_MAT)</f>
        <v>638.324785251</v>
      </c>
      <c r="L846" s="47" t="n">
        <f aca="false">$J846*(1+BDI_MDO)</f>
        <v>27.2247565829382</v>
      </c>
      <c r="M846" s="47" t="n">
        <f aca="false">SUM(K846:L846)</f>
        <v>665.549541833938</v>
      </c>
      <c r="N846" s="20" t="str">
        <f aca="false">A846</f>
        <v>15.5.2.6</v>
      </c>
    </row>
    <row r="847" customFormat="false" ht="15" hidden="false" customHeight="false" outlineLevel="1" collapsed="false">
      <c r="A847" s="42" t="s">
        <v>1215</v>
      </c>
      <c r="B847" s="43"/>
      <c r="C847" s="50" t="s">
        <v>471</v>
      </c>
      <c r="D847" s="45"/>
      <c r="E847" s="44"/>
      <c r="F847" s="46"/>
      <c r="G847" s="51"/>
      <c r="H847" s="52"/>
      <c r="I847" s="47" t="n">
        <f aca="false">SUBTOTAL(9,I848)</f>
        <v>458.59031988</v>
      </c>
      <c r="J847" s="47" t="n">
        <f aca="false">SUBTOTAL(9,J848)</f>
        <v>537.500996629834</v>
      </c>
      <c r="K847" s="47" t="n">
        <f aca="false">SUBTOTAL(9,K848)</f>
        <v>553.151643839256</v>
      </c>
      <c r="L847" s="47" t="n">
        <f aca="false">SUBTOTAL(9,L848)</f>
        <v>685.260020603375</v>
      </c>
      <c r="M847" s="47" t="n">
        <f aca="false">SUBTOTAL(9,M848)</f>
        <v>1238.41166444263</v>
      </c>
      <c r="N847" s="20" t="str">
        <f aca="false">A847</f>
        <v>15.6</v>
      </c>
    </row>
    <row r="848" customFormat="false" ht="60" hidden="false" customHeight="false" outlineLevel="2" collapsed="false">
      <c r="A848" s="42" t="s">
        <v>1216</v>
      </c>
      <c r="B848" s="43" t="n">
        <v>100758</v>
      </c>
      <c r="C848" s="50" t="str">
        <f aca="false">VLOOKUP($B848,03_COMPOSIÇÕES!$A:$G,2,0)</f>
        <v>PINTURA COM TINTA ALQUÍDICA DE ACABAMENTO (ESMALTE SINTÉTICO ACETINADO) APLICADA A ROLO OU PINCEL SOBRE SUPERFÍCIES METÁLICAS (EXCETO PERFIL) EXECUTADO EM OBRA (02 DEMÃOS). AF_01/2020</v>
      </c>
      <c r="D848" s="45" t="s">
        <v>59</v>
      </c>
      <c r="E848" s="44" t="str">
        <f aca="false">IF($B848="","",IFERROR(VLOOKUP($B848,#REF!,3,0),IFERROR(VLOOKUP($B848,03_COMPOSIÇÕES!$A:$G,4,0),"")))</f>
        <v>M2</v>
      </c>
      <c r="F848" s="46" t="n">
        <v>19.32</v>
      </c>
      <c r="G848" s="51" t="n">
        <f aca="false">VLOOKUP($B848,03_COMPOSIÇÕES!$A:$G,6,0)</f>
        <v>23.736559</v>
      </c>
      <c r="H848" s="52" t="n">
        <f aca="false">VLOOKUP($B848,03_COMPOSIÇÕES!$A:$G,7,0)</f>
        <v>27.82096255848</v>
      </c>
      <c r="I848" s="47" t="n">
        <f aca="false">$F848*$G848</f>
        <v>458.59031988</v>
      </c>
      <c r="J848" s="47" t="n">
        <f aca="false">$F848*$H848</f>
        <v>537.500996629834</v>
      </c>
      <c r="K848" s="47" t="n">
        <f aca="false">$I848*(1+BDI_MAT)</f>
        <v>553.151643839256</v>
      </c>
      <c r="L848" s="47" t="n">
        <f aca="false">$J848*(1+BDI_MDO)</f>
        <v>685.260020603375</v>
      </c>
      <c r="M848" s="47" t="n">
        <f aca="false">SUM(K848:L848)</f>
        <v>1238.41166444263</v>
      </c>
      <c r="N848" s="20" t="str">
        <f aca="false">A848</f>
        <v>15.6.1</v>
      </c>
    </row>
    <row r="849" customFormat="false" ht="15" hidden="false" customHeight="false" outlineLevel="1" collapsed="false">
      <c r="A849" s="42" t="s">
        <v>1217</v>
      </c>
      <c r="B849" s="43"/>
      <c r="C849" s="50" t="s">
        <v>876</v>
      </c>
      <c r="D849" s="45"/>
      <c r="E849" s="44"/>
      <c r="F849" s="46"/>
      <c r="G849" s="51"/>
      <c r="H849" s="52"/>
      <c r="I849" s="47" t="n">
        <f aca="false">SUBTOTAL(9,I850:I851)</f>
        <v>17.8957890537649</v>
      </c>
      <c r="J849" s="47" t="n">
        <f aca="false">SUBTOTAL(9,J850:J851)</f>
        <v>18.1950642203556</v>
      </c>
      <c r="K849" s="47" t="n">
        <f aca="false">SUBTOTAL(9,K850:K851)</f>
        <v>21.5859007566512</v>
      </c>
      <c r="L849" s="47" t="n">
        <f aca="false">SUBTOTAL(9,L850:L851)</f>
        <v>23.1968873745313</v>
      </c>
      <c r="M849" s="47" t="n">
        <f aca="false">SUBTOTAL(9,M850:M851)</f>
        <v>44.7827881311825</v>
      </c>
      <c r="N849" s="20" t="str">
        <f aca="false">A849</f>
        <v>15.7</v>
      </c>
    </row>
    <row r="850" customFormat="false" ht="60" hidden="false" customHeight="false" outlineLevel="2" collapsed="false">
      <c r="A850" s="42" t="s">
        <v>1218</v>
      </c>
      <c r="B850" s="43" t="n">
        <v>90091</v>
      </c>
      <c r="C850" s="50" t="str">
        <f aca="false">VLOOKUP($B850,03_COMPOSIÇÕES!$A:$G,2,0)</f>
        <v>ESCAVAÇÃO MECANIZADA DE VALA COM PROF. ATÉ 1,5 M (MÉDIA MONTANTE E JUSANTE/UMA COMPOSIÇÃO POR TRECHO), ESCAVADEIRA (0,8 M3), LARG. DE 1,5 M A 2,5 M, EM SOLO DE 1A CATEGORIA, LOCAIS COM BAIXO NÍVEL DE INTERFERÊNCIA. AF_09/2024</v>
      </c>
      <c r="D850" s="45" t="s">
        <v>59</v>
      </c>
      <c r="E850" s="44" t="str">
        <f aca="false">IF($B850="","",IFERROR(VLOOKUP($B850,#REF!,3,0),IFERROR(VLOOKUP($B850,03_COMPOSIÇÕES!$A:$G,4,0),"")))</f>
        <v>M3</v>
      </c>
      <c r="F850" s="46" t="n">
        <v>1.38</v>
      </c>
      <c r="G850" s="51" t="n">
        <f aca="false">VLOOKUP($B850,03_COMPOSIÇÕES!$A:$G,6,0)</f>
        <v>4.825260172</v>
      </c>
      <c r="H850" s="52" t="n">
        <f aca="false">VLOOKUP($B850,03_COMPOSIÇÕES!$A:$G,7,0)</f>
        <v>1.12043945316084</v>
      </c>
      <c r="I850" s="47" t="n">
        <f aca="false">$F850*$G850</f>
        <v>6.65885903736</v>
      </c>
      <c r="J850" s="47" t="n">
        <f aca="false">$F850*$H850</f>
        <v>1.54620644536196</v>
      </c>
      <c r="K850" s="47" t="n">
        <f aca="false">$I850*(1+BDI_MAT)</f>
        <v>8.03191577086363</v>
      </c>
      <c r="L850" s="47" t="n">
        <f aca="false">$J850*(1+BDI_MDO)</f>
        <v>1.97125859719196</v>
      </c>
      <c r="M850" s="47" t="n">
        <f aca="false">SUM(K850:L850)</f>
        <v>10.0031743680556</v>
      </c>
      <c r="N850" s="20" t="str">
        <f aca="false">A850</f>
        <v>15.7.1</v>
      </c>
    </row>
    <row r="851" customFormat="false" ht="30" hidden="false" customHeight="false" outlineLevel="2" collapsed="false">
      <c r="A851" s="42" t="s">
        <v>1219</v>
      </c>
      <c r="B851" s="43" t="n">
        <v>93382</v>
      </c>
      <c r="C851" s="50" t="str">
        <f aca="false">VLOOKUP($B851,03_COMPOSIÇÕES!$A:$G,2,0)</f>
        <v>REATERRO MANUAL DE VALAS, COM COMPACTADOR DE SOLOS DE PERCUSSÃO. AF_08/2023</v>
      </c>
      <c r="D851" s="45" t="s">
        <v>59</v>
      </c>
      <c r="E851" s="44" t="str">
        <f aca="false">IF($B851="","",IFERROR(VLOOKUP($B851,#REF!,3,0),IFERROR(VLOOKUP($B851,03_COMPOSIÇÕES!$A:$G,4,0),"")))</f>
        <v>M3</v>
      </c>
      <c r="F851" s="46" t="n">
        <v>1.24</v>
      </c>
      <c r="G851" s="51" t="n">
        <f aca="false">VLOOKUP($B851,03_COMPOSIÇÕES!$A:$G,6,0)</f>
        <v>9.0620403358104</v>
      </c>
      <c r="H851" s="52" t="n">
        <f aca="false">VLOOKUP($B851,03_COMPOSIÇÕES!$A:$G,7,0)</f>
        <v>13.42649820564</v>
      </c>
      <c r="I851" s="47" t="n">
        <f aca="false">$F851*$G851</f>
        <v>11.2369300164049</v>
      </c>
      <c r="J851" s="47" t="n">
        <f aca="false">$F851*$H851</f>
        <v>16.6488577749936</v>
      </c>
      <c r="K851" s="47" t="n">
        <f aca="false">$I851*(1+BDI_MAT)</f>
        <v>13.5539849857876</v>
      </c>
      <c r="L851" s="47" t="n">
        <f aca="false">$J851*(1+BDI_MDO)</f>
        <v>21.2256287773393</v>
      </c>
      <c r="M851" s="47" t="n">
        <f aca="false">SUM(K851:L851)</f>
        <v>34.7796137631269</v>
      </c>
      <c r="N851" s="20" t="str">
        <f aca="false">A851</f>
        <v>15.7.2</v>
      </c>
    </row>
    <row r="852" customFormat="false" ht="15" hidden="false" customHeight="false" outlineLevel="1" collapsed="false">
      <c r="A852" s="42" t="s">
        <v>1220</v>
      </c>
      <c r="B852" s="43"/>
      <c r="C852" s="50" t="s">
        <v>1221</v>
      </c>
      <c r="D852" s="45"/>
      <c r="E852" s="44"/>
      <c r="F852" s="46"/>
      <c r="G852" s="51"/>
      <c r="H852" s="52"/>
      <c r="I852" s="47" t="n">
        <f aca="false">SUBTOTAL(9,I853:I857)</f>
        <v>505.89219354</v>
      </c>
      <c r="J852" s="47" t="n">
        <f aca="false">SUBTOTAL(9,J853:J857)</f>
        <v>163.359175829082</v>
      </c>
      <c r="K852" s="47" t="n">
        <f aca="false">SUBTOTAL(9,K853:K857)</f>
        <v>610.207163847948</v>
      </c>
      <c r="L852" s="47" t="n">
        <f aca="false">SUBTOTAL(9,L853:L857)</f>
        <v>208.266613264497</v>
      </c>
      <c r="M852" s="47" t="n">
        <f aca="false">SUBTOTAL(9,M853:M857)</f>
        <v>818.473777112444</v>
      </c>
      <c r="N852" s="20" t="str">
        <f aca="false">A852</f>
        <v>15.8</v>
      </c>
    </row>
    <row r="853" customFormat="false" ht="30" hidden="false" customHeight="false" outlineLevel="1" collapsed="false">
      <c r="A853" s="42" t="s">
        <v>1222</v>
      </c>
      <c r="B853" s="43" t="n">
        <v>95248</v>
      </c>
      <c r="C853" s="50" t="str">
        <f aca="false">VLOOKUP($B853,03_COMPOSIÇÕES!$A:$G,2,0)</f>
        <v>VÁLVULA DE ESFERA BRUTA, BRONZE, ROSCÁVEL, 1/2" - FORNECIMENTO E INSTALAÇÃO. AF_08/2021</v>
      </c>
      <c r="D853" s="45" t="s">
        <v>59</v>
      </c>
      <c r="E853" s="44" t="str">
        <f aca="false">IF($B853="","",IFERROR(VLOOKUP($B853,#REF!,3,0),IFERROR(VLOOKUP($B853,03_COMPOSIÇÕES!$A:$G,4,0),"")))</f>
        <v>UN</v>
      </c>
      <c r="F853" s="46" t="n">
        <v>2</v>
      </c>
      <c r="G853" s="51" t="n">
        <f aca="false">VLOOKUP($B853,03_COMPOSIÇÕES!$A:$G,6,0)</f>
        <v>47.644152</v>
      </c>
      <c r="H853" s="52" t="n">
        <f aca="false">VLOOKUP($B853,03_COMPOSIÇÕES!$A:$G,7,0)</f>
        <v>2.45049367176</v>
      </c>
      <c r="I853" s="47" t="n">
        <f aca="false">$F853*$G853</f>
        <v>95.288304</v>
      </c>
      <c r="J853" s="47" t="n">
        <f aca="false">$F853*$H853</f>
        <v>4.90098734352</v>
      </c>
      <c r="K853" s="47" t="n">
        <f aca="false">$I853*(1+BDI_MAT)</f>
        <v>114.9367522848</v>
      </c>
      <c r="L853" s="47" t="n">
        <f aca="false">$J853*(1+BDI_MDO)</f>
        <v>6.24826876425365</v>
      </c>
      <c r="M853" s="47" t="n">
        <f aca="false">SUM(K853:L853)</f>
        <v>121.185021049054</v>
      </c>
      <c r="N853" s="20" t="str">
        <f aca="false">A853</f>
        <v>15.8.1</v>
      </c>
    </row>
    <row r="854" customFormat="false" ht="30" hidden="false" customHeight="false" outlineLevel="1" collapsed="false">
      <c r="A854" s="42" t="s">
        <v>1223</v>
      </c>
      <c r="B854" s="43" t="n">
        <v>100804</v>
      </c>
      <c r="C854" s="50" t="str">
        <f aca="false">VLOOKUP($B854,03_COMPOSIÇÕES!$A:$G,2,0)</f>
        <v>TUBO, PEX, MULTICAMADA, DN 20, INSTALADO EM RAMAL INTERNO DE INSTALAÇÕES DE GÁS - FORNECIMENTO E INSTALAÇÃO. AF_01/2020</v>
      </c>
      <c r="D854" s="45" t="s">
        <v>59</v>
      </c>
      <c r="E854" s="44" t="str">
        <f aca="false">IF($B854="","",IFERROR(VLOOKUP($B854,#REF!,3,0),IFERROR(VLOOKUP($B854,03_COMPOSIÇÕES!$A:$G,4,0),"")))</f>
        <v>M</v>
      </c>
      <c r="F854" s="46" t="n">
        <v>16.61</v>
      </c>
      <c r="G854" s="51" t="n">
        <f aca="false">VLOOKUP($B854,03_COMPOSIÇÕES!$A:$G,6,0)</f>
        <v>15.845714</v>
      </c>
      <c r="H854" s="52" t="n">
        <f aca="false">VLOOKUP($B854,03_COMPOSIÇÕES!$A:$G,7,0)</f>
        <v>5.7961643442</v>
      </c>
      <c r="I854" s="47" t="n">
        <f aca="false">$F854*$G854</f>
        <v>263.19730954</v>
      </c>
      <c r="J854" s="47" t="n">
        <f aca="false">$F854*$H854</f>
        <v>96.274289757162</v>
      </c>
      <c r="K854" s="47" t="n">
        <f aca="false">$I854*(1+BDI_MAT)</f>
        <v>317.468594767148</v>
      </c>
      <c r="L854" s="47" t="n">
        <f aca="false">$J854*(1+BDI_MDO)</f>
        <v>122.740092011406</v>
      </c>
      <c r="M854" s="47" t="n">
        <f aca="false">SUM(K854:L854)</f>
        <v>440.208686778554</v>
      </c>
      <c r="N854" s="20" t="str">
        <f aca="false">A854</f>
        <v>15.8.2</v>
      </c>
    </row>
    <row r="855" customFormat="false" ht="45" hidden="false" customHeight="false" outlineLevel="1" collapsed="false">
      <c r="A855" s="42" t="s">
        <v>1224</v>
      </c>
      <c r="B855" s="43" t="n">
        <v>96852</v>
      </c>
      <c r="C855" s="50" t="str">
        <f aca="false">VLOOKUP($B855,03_COMPOSIÇÕES!$A:$G,2,0)</f>
        <v>JOELHO 90 GRAUS, PARA INSTALAÇÕES EM PEX ÁGUA, DN 20 MM, CONEXÃO POR CRIMPAGEM - FORNECIMENTO E INSTALAÇÃO. AF_02/2023</v>
      </c>
      <c r="D855" s="45" t="s">
        <v>59</v>
      </c>
      <c r="E855" s="44" t="str">
        <f aca="false">IF($B855="","",IFERROR(VLOOKUP($B855,#REF!,3,0),IFERROR(VLOOKUP($B855,03_COMPOSIÇÕES!$A:$G,4,0),"")))</f>
        <v>UN</v>
      </c>
      <c r="F855" s="46" t="n">
        <v>7</v>
      </c>
      <c r="G855" s="51" t="n">
        <f aca="false">VLOOKUP($B855,03_COMPOSIÇÕES!$A:$G,6,0)</f>
        <v>14.833804</v>
      </c>
      <c r="H855" s="52" t="n">
        <f aca="false">VLOOKUP($B855,03_COMPOSIÇÕES!$A:$G,7,0)</f>
        <v>5.58768407616</v>
      </c>
      <c r="I855" s="47" t="n">
        <f aca="false">$F855*$G855</f>
        <v>103.836628</v>
      </c>
      <c r="J855" s="47" t="n">
        <f aca="false">$F855*$H855</f>
        <v>39.11378853312</v>
      </c>
      <c r="K855" s="47" t="n">
        <f aca="false">$I855*(1+BDI_MAT)</f>
        <v>125.2477406936</v>
      </c>
      <c r="L855" s="47" t="n">
        <f aca="false">$J855*(1+BDI_MDO)</f>
        <v>49.8661690008747</v>
      </c>
      <c r="M855" s="47" t="n">
        <f aca="false">SUM(K855:L855)</f>
        <v>175.113909694475</v>
      </c>
      <c r="N855" s="20" t="str">
        <f aca="false">A855</f>
        <v>15.8.3</v>
      </c>
    </row>
    <row r="856" customFormat="false" ht="45" hidden="false" customHeight="false" outlineLevel="1" collapsed="false">
      <c r="A856" s="42" t="s">
        <v>1225</v>
      </c>
      <c r="B856" s="43" t="n">
        <v>96827</v>
      </c>
      <c r="C856" s="50" t="str">
        <f aca="false">VLOOKUP($B856,03_COMPOSIÇÕES!$A:$G,2,0)</f>
        <v>CONEXÃO FIXA, ROSCA FÊMEA, PARA INSTALAÇÕES EM PEX ÁGUA, DN 20MM X 1/2", CONEXÃO POR CRIMPAGEM - FORNECIMENTO E INSTALAÇÃO. AF_02/2023</v>
      </c>
      <c r="D856" s="45" t="s">
        <v>59</v>
      </c>
      <c r="E856" s="44" t="str">
        <f aca="false">IF($B856="","",IFERROR(VLOOKUP($B856,#REF!,3,0),IFERROR(VLOOKUP($B856,03_COMPOSIÇÕES!$A:$G,4,0),"")))</f>
        <v>UN</v>
      </c>
      <c r="F856" s="46" t="n">
        <v>2</v>
      </c>
      <c r="G856" s="51" t="n">
        <f aca="false">VLOOKUP($B856,03_COMPOSIÇÕES!$A:$G,6,0)</f>
        <v>12.940356</v>
      </c>
      <c r="H856" s="52" t="n">
        <f aca="false">VLOOKUP($B856,03_COMPOSIÇÕES!$A:$G,7,0)</f>
        <v>5.63887421844</v>
      </c>
      <c r="I856" s="47" t="n">
        <f aca="false">$F856*$G856</f>
        <v>25.880712</v>
      </c>
      <c r="J856" s="47" t="n">
        <f aca="false">$F856*$H856</f>
        <v>11.27774843688</v>
      </c>
      <c r="K856" s="47" t="n">
        <f aca="false">$I856*(1+BDI_MAT)</f>
        <v>31.2173148144</v>
      </c>
      <c r="L856" s="47" t="n">
        <f aca="false">$J856*(1+BDI_MDO)</f>
        <v>14.3780014821783</v>
      </c>
      <c r="M856" s="47" t="n">
        <f aca="false">SUM(K856:L856)</f>
        <v>45.5953162965783</v>
      </c>
      <c r="N856" s="20" t="str">
        <f aca="false">A856</f>
        <v>15.8.4</v>
      </c>
    </row>
    <row r="857" customFormat="false" ht="45" hidden="false" customHeight="false" outlineLevel="1" collapsed="false">
      <c r="A857" s="42" t="s">
        <v>1226</v>
      </c>
      <c r="B857" s="43" t="n">
        <v>92692</v>
      </c>
      <c r="C857" s="50" t="str">
        <f aca="false">VLOOKUP($B857,03_COMPOSIÇÕES!$A:$G,2,0)</f>
        <v>NIPLE, EM FERRO GALVANIZADO, CONEXÃO ROSQUEADA, DN 15 (1/2"), INSTALADO EM RAMAIS E SUB-RAMAIS DE GÁS - FORNECIMENTO E INSTALAÇÃO. AF_10/2020</v>
      </c>
      <c r="D857" s="45" t="s">
        <v>59</v>
      </c>
      <c r="E857" s="44" t="str">
        <f aca="false">IF($B857="","",IFERROR(VLOOKUP($B857,#REF!,3,0),IFERROR(VLOOKUP($B857,03_COMPOSIÇÕES!$A:$G,4,0),"")))</f>
        <v>UN</v>
      </c>
      <c r="F857" s="46" t="n">
        <v>2</v>
      </c>
      <c r="G857" s="51" t="n">
        <f aca="false">VLOOKUP($B857,03_COMPOSIÇÕES!$A:$G,6,0)</f>
        <v>8.84462</v>
      </c>
      <c r="H857" s="52" t="n">
        <f aca="false">VLOOKUP($B857,03_COMPOSIÇÕES!$A:$G,7,0)</f>
        <v>5.8961808792</v>
      </c>
      <c r="I857" s="47" t="n">
        <f aca="false">$F857*$G857</f>
        <v>17.68924</v>
      </c>
      <c r="J857" s="47" t="n">
        <f aca="false">$F857*$H857</f>
        <v>11.7923617584</v>
      </c>
      <c r="K857" s="47" t="n">
        <f aca="false">$I857*(1+BDI_MAT)</f>
        <v>21.336761288</v>
      </c>
      <c r="L857" s="47" t="n">
        <f aca="false">$J857*(1+BDI_MDO)</f>
        <v>15.0340820057842</v>
      </c>
      <c r="M857" s="47" t="n">
        <f aca="false">SUM(K857:L857)</f>
        <v>36.3708432937842</v>
      </c>
      <c r="N857" s="20" t="str">
        <f aca="false">A857</f>
        <v>15.8.5</v>
      </c>
    </row>
    <row r="858" customFormat="false" ht="15" hidden="false" customHeight="false" outlineLevel="0" collapsed="false">
      <c r="A858" s="42" t="n">
        <v>16</v>
      </c>
      <c r="B858" s="43"/>
      <c r="C858" s="50" t="s">
        <v>1227</v>
      </c>
      <c r="D858" s="45"/>
      <c r="E858" s="44"/>
      <c r="F858" s="46"/>
      <c r="G858" s="51"/>
      <c r="H858" s="52"/>
      <c r="I858" s="47" t="n">
        <f aca="false">SUM(I859,I908)</f>
        <v>606055.789658869</v>
      </c>
      <c r="J858" s="47" t="n">
        <f aca="false">SUM(J859,J908)</f>
        <v>25652.5710080023</v>
      </c>
      <c r="K858" s="47" t="n">
        <f aca="false">SUM(K859,K908)</f>
        <v>702065.883699387</v>
      </c>
      <c r="L858" s="47" t="n">
        <f aca="false">SUM(L859,L908)</f>
        <v>32704.4627781022</v>
      </c>
      <c r="M858" s="47" t="n">
        <f aca="false">SUM(M859,M908)</f>
        <v>734770.346477489</v>
      </c>
      <c r="N858" s="20" t="n">
        <f aca="false">A858</f>
        <v>16</v>
      </c>
    </row>
    <row r="859" customFormat="false" ht="15" hidden="false" customHeight="false" outlineLevel="1" collapsed="false">
      <c r="A859" s="42" t="s">
        <v>1228</v>
      </c>
      <c r="B859" s="43"/>
      <c r="C859" s="50" t="s">
        <v>1229</v>
      </c>
      <c r="D859" s="45"/>
      <c r="E859" s="44"/>
      <c r="F859" s="46"/>
      <c r="G859" s="51"/>
      <c r="H859" s="52"/>
      <c r="I859" s="47" t="n">
        <f aca="false">SUM(I860,I877,I882,I906)</f>
        <v>560942.409420082</v>
      </c>
      <c r="J859" s="47" t="n">
        <f aca="false">SUM(J860,J877,J882,J906)</f>
        <v>15172.5900793066</v>
      </c>
      <c r="K859" s="47" t="n">
        <f aca="false">SUM(K860,K877,K882,K906)</f>
        <v>648902.18670566</v>
      </c>
      <c r="L859" s="47" t="n">
        <f aca="false">SUM(L860,L877,L882,L906)</f>
        <v>19343.535092108</v>
      </c>
      <c r="M859" s="47" t="n">
        <f aca="false">SUM(M860,M877,M882,M906)</f>
        <v>668245.721797768</v>
      </c>
      <c r="N859" s="20" t="str">
        <f aca="false">A859</f>
        <v>16.1</v>
      </c>
    </row>
    <row r="860" customFormat="false" ht="15" hidden="false" customHeight="false" outlineLevel="2" collapsed="false">
      <c r="A860" s="42" t="s">
        <v>1230</v>
      </c>
      <c r="B860" s="43"/>
      <c r="C860" s="50" t="s">
        <v>607</v>
      </c>
      <c r="D860" s="45"/>
      <c r="E860" s="44"/>
      <c r="F860" s="46"/>
      <c r="G860" s="51"/>
      <c r="H860" s="52"/>
      <c r="I860" s="47" t="n">
        <f aca="false">SUBTOTAL(9,I861:I876)</f>
        <v>511169.756107506</v>
      </c>
      <c r="J860" s="47" t="n">
        <f aca="false">SUBTOTAL(9,J861:J876)</f>
        <v>6851.91996077622</v>
      </c>
      <c r="K860" s="47" t="n">
        <f aca="false">SUBTOTAL(9,K861:K876)</f>
        <v>588866.41228003</v>
      </c>
      <c r="L860" s="47" t="n">
        <f aca="false">SUBTOTAL(9,L861:L876)</f>
        <v>8735.51275799361</v>
      </c>
      <c r="M860" s="47" t="n">
        <f aca="false">SUBTOTAL(9,M861:M876)</f>
        <v>597601.925038024</v>
      </c>
      <c r="N860" s="20" t="str">
        <f aca="false">A860</f>
        <v>16.1.1</v>
      </c>
    </row>
    <row r="861" customFormat="false" ht="30" hidden="false" customHeight="false" outlineLevel="3" collapsed="false">
      <c r="A861" s="42" t="s">
        <v>1231</v>
      </c>
      <c r="B861" s="43" t="n">
        <v>103246</v>
      </c>
      <c r="C861" s="50" t="str">
        <f aca="false">VLOOKUP($B861,03_COMPOSIÇÕES!$A:$G,2,0)</f>
        <v>AR CONDICIONADO SPLIT ON/OFF, HI-WALL (PAREDE), 9000 BTUS/H, CICLO QUENTE/FRIO - FORNECIMENTO E INSTALAÇÃO. AF_11/2021_PE</v>
      </c>
      <c r="D861" s="45" t="s">
        <v>59</v>
      </c>
      <c r="E861" s="44" t="str">
        <f aca="false">IF($B861="","",IFERROR(VLOOKUP($B861,#REF!,3,0),IFERROR(VLOOKUP($B861,03_COMPOSIÇÕES!$A:$G,4,0),"")))</f>
        <v>UN</v>
      </c>
      <c r="F861" s="46" t="n">
        <v>5</v>
      </c>
      <c r="G861" s="51" t="n">
        <f aca="false">VLOOKUP($B861,03_COMPOSIÇÕES!$A:$G,6,0)</f>
        <v>2125.18414</v>
      </c>
      <c r="H861" s="52" t="n">
        <f aca="false">VLOOKUP($B861,03_COMPOSIÇÕES!$A:$G,7,0)</f>
        <v>80.49007275066</v>
      </c>
      <c r="I861" s="47" t="n">
        <f aca="false">$F861*$G861</f>
        <v>10625.9207</v>
      </c>
      <c r="J861" s="47" t="n">
        <f aca="false">$F861*$H861</f>
        <v>402.4503637533</v>
      </c>
      <c r="K861" s="47" t="n">
        <f aca="false">$I861*(1+BDI_DIF)</f>
        <v>12240.5006632432</v>
      </c>
      <c r="L861" s="47" t="n">
        <f aca="false">$J861*(1+BDI_MDO)</f>
        <v>513.083968749082</v>
      </c>
      <c r="M861" s="47" t="n">
        <f aca="false">SUM(K861:L861)</f>
        <v>12753.5846319923</v>
      </c>
      <c r="N861" s="20" t="str">
        <f aca="false">A861</f>
        <v>*16.1.1.1</v>
      </c>
    </row>
    <row r="862" customFormat="false" ht="30" hidden="false" customHeight="false" outlineLevel="3" collapsed="false">
      <c r="A862" s="42" t="s">
        <v>1232</v>
      </c>
      <c r="B862" s="43" t="n">
        <v>103249</v>
      </c>
      <c r="C862" s="50" t="str">
        <f aca="false">VLOOKUP($B862,03_COMPOSIÇÕES!$A:$G,2,0)</f>
        <v>AR CONDICIONADO SPLIT ON/OFF, HI-WALL (PAREDE), 12000 BTUS/H, CICLO QUENTE/FRIO - FORNECIMENTO E INSTALAÇÃO. AF_11/2021_PE</v>
      </c>
      <c r="D862" s="45" t="s">
        <v>59</v>
      </c>
      <c r="E862" s="44" t="str">
        <f aca="false">IF($B862="","",IFERROR(VLOOKUP($B862,#REF!,3,0),IFERROR(VLOOKUP($B862,03_COMPOSIÇÕES!$A:$G,4,0),"")))</f>
        <v>UN</v>
      </c>
      <c r="F862" s="46" t="n">
        <v>1</v>
      </c>
      <c r="G862" s="51" t="n">
        <f aca="false">VLOOKUP($B862,03_COMPOSIÇÕES!$A:$G,6,0)</f>
        <v>2438.934252</v>
      </c>
      <c r="H862" s="52" t="n">
        <f aca="false">VLOOKUP($B862,03_COMPOSIÇÕES!$A:$G,7,0)</f>
        <v>80.49007275066</v>
      </c>
      <c r="I862" s="47" t="n">
        <f aca="false">$F862*$G862</f>
        <v>2438.934252</v>
      </c>
      <c r="J862" s="47" t="n">
        <f aca="false">$F862*$H862</f>
        <v>80.49007275066</v>
      </c>
      <c r="K862" s="47" t="n">
        <f aca="false">$I862*(1+BDI_DIF)</f>
        <v>2809.52372712631</v>
      </c>
      <c r="L862" s="47" t="n">
        <f aca="false">$J862*(1+BDI_MDO)</f>
        <v>102.616793749816</v>
      </c>
      <c r="M862" s="47" t="n">
        <f aca="false">SUM(K862:L862)</f>
        <v>2912.14052087613</v>
      </c>
      <c r="N862" s="20" t="str">
        <f aca="false">A862</f>
        <v>*16.1.1.2</v>
      </c>
    </row>
    <row r="863" customFormat="false" ht="30" hidden="false" customHeight="false" outlineLevel="3" collapsed="false">
      <c r="A863" s="42" t="s">
        <v>1233</v>
      </c>
      <c r="B863" s="43" t="n">
        <v>103252</v>
      </c>
      <c r="C863" s="50" t="str">
        <f aca="false">VLOOKUP($B863,03_COMPOSIÇÕES!$A:$G,2,0)</f>
        <v>AR CONDICIONADO SPLIT ON/OFF, HI-WALL (PAREDE), 18000 BTUS/H, CICLO QUENTE/FRIO - FORNECIMENTO E INSTALAÇÃO. AF_11/2021_PE</v>
      </c>
      <c r="D863" s="45" t="s">
        <v>59</v>
      </c>
      <c r="E863" s="44" t="str">
        <f aca="false">IF($B863="","",IFERROR(VLOOKUP($B863,#REF!,3,0),IFERROR(VLOOKUP($B863,03_COMPOSIÇÕES!$A:$G,4,0),"")))</f>
        <v>UN</v>
      </c>
      <c r="F863" s="46" t="n">
        <v>4</v>
      </c>
      <c r="G863" s="51" t="n">
        <f aca="false">VLOOKUP($B863,03_COMPOSIÇÕES!$A:$G,6,0)</f>
        <v>3530.77711</v>
      </c>
      <c r="H863" s="52" t="n">
        <f aca="false">VLOOKUP($B863,03_COMPOSIÇÕES!$A:$G,7,0)</f>
        <v>87.0302792277</v>
      </c>
      <c r="I863" s="47" t="n">
        <f aca="false">$F863*$G863</f>
        <v>14123.10844</v>
      </c>
      <c r="J863" s="47" t="n">
        <f aca="false">$F863*$H863</f>
        <v>348.1211169108</v>
      </c>
      <c r="K863" s="47" t="n">
        <f aca="false">$I863*(1+BDI_DIF)</f>
        <v>16269.076638872</v>
      </c>
      <c r="L863" s="47" t="n">
        <f aca="false">$J863*(1+BDI_MDO)</f>
        <v>443.819611949579</v>
      </c>
      <c r="M863" s="47" t="n">
        <f aca="false">SUM(K863:L863)</f>
        <v>16712.8962508216</v>
      </c>
      <c r="N863" s="20" t="str">
        <f aca="false">A863</f>
        <v>*16.1.1.3</v>
      </c>
    </row>
    <row r="864" customFormat="false" ht="30" hidden="false" customHeight="false" outlineLevel="3" collapsed="false">
      <c r="A864" s="42" t="s">
        <v>1234</v>
      </c>
      <c r="B864" s="43" t="n">
        <v>103255</v>
      </c>
      <c r="C864" s="50" t="str">
        <f aca="false">VLOOKUP($B864,03_COMPOSIÇÕES!$A:$G,2,0)</f>
        <v>AR CONDICIONADO SPLIT ON/OFF, HI-WALL (PAREDE), 24000 BTUS/H, CICLO QUENTE/FRIO - FORNECIMENTO E INSTALAÇÃO. AF_11/2021_PE</v>
      </c>
      <c r="D864" s="45" t="s">
        <v>59</v>
      </c>
      <c r="E864" s="44" t="str">
        <f aca="false">IF($B864="","",IFERROR(VLOOKUP($B864,#REF!,3,0),IFERROR(VLOOKUP($B864,03_COMPOSIÇÕES!$A:$G,4,0),"")))</f>
        <v>UN</v>
      </c>
      <c r="F864" s="46" t="n">
        <v>3</v>
      </c>
      <c r="G864" s="51" t="n">
        <f aca="false">VLOOKUP($B864,03_COMPOSIÇÕES!$A:$G,6,0)</f>
        <v>4693.080725</v>
      </c>
      <c r="H864" s="52" t="n">
        <f aca="false">VLOOKUP($B864,03_COMPOSIÇÕES!$A:$G,7,0)</f>
        <v>90.84195019665</v>
      </c>
      <c r="I864" s="47" t="n">
        <f aca="false">$F864*$G864</f>
        <v>14079.242175</v>
      </c>
      <c r="J864" s="47" t="n">
        <f aca="false">$F864*$H864</f>
        <v>272.52585058995</v>
      </c>
      <c r="K864" s="47" t="n">
        <f aca="false">$I864*(1+BDI_DIF)</f>
        <v>16218.5450133323</v>
      </c>
      <c r="L864" s="47" t="n">
        <f aca="false">$J864*(1+BDI_MDO)</f>
        <v>347.443206917127</v>
      </c>
      <c r="M864" s="47" t="n">
        <f aca="false">SUM(K864:L864)</f>
        <v>16565.9882202494</v>
      </c>
      <c r="N864" s="20" t="str">
        <f aca="false">A864</f>
        <v>*16.1.1.4</v>
      </c>
    </row>
    <row r="865" customFormat="false" ht="30" hidden="false" customHeight="false" outlineLevel="3" collapsed="false">
      <c r="A865" s="42" t="s">
        <v>1235</v>
      </c>
      <c r="B865" s="65" t="s">
        <v>1236</v>
      </c>
      <c r="C865" s="50" t="str">
        <f aca="false">VLOOKUP($B865,03_COMPOSIÇÕES!$A:$G,2,0)</f>
        <v>AR CONDICIONADO SPLIT ON/OFF, CASSETE (TETO), 4 VIAS 30000 BTU/H - FORNECIMENTO E INSTALAÇÃO.</v>
      </c>
      <c r="D865" s="45" t="s">
        <v>59</v>
      </c>
      <c r="E865" s="44" t="str">
        <f aca="false">IF($B865="","",IFERROR(VLOOKUP($B865,#REF!,3,0),IFERROR(VLOOKUP($B865,03_COMPOSIÇÕES!$A:$G,4,0),"")))</f>
        <v>UN</v>
      </c>
      <c r="F865" s="46" t="n">
        <v>2</v>
      </c>
      <c r="G865" s="51" t="n">
        <f aca="false">VLOOKUP($B865,03_COMPOSIÇÕES!$A:$G,6,0)</f>
        <v>16109.9385783333</v>
      </c>
      <c r="H865" s="52" t="n">
        <f aca="false">VLOOKUP($B865,03_COMPOSIÇÕES!$A:$G,7,0)</f>
        <v>98.51254216635</v>
      </c>
      <c r="I865" s="47" t="n">
        <f aca="false">$F865*$G865</f>
        <v>32219.8771566667</v>
      </c>
      <c r="J865" s="47" t="n">
        <f aca="false">$F865*$H865</f>
        <v>197.0250843327</v>
      </c>
      <c r="K865" s="47" t="n">
        <f aca="false">$I865*(1+BDI_DIF)</f>
        <v>37115.6005056384</v>
      </c>
      <c r="L865" s="47" t="n">
        <f aca="false">$J865*(1+BDI_MDO)</f>
        <v>251.187280015759</v>
      </c>
      <c r="M865" s="47" t="n">
        <f aca="false">SUM(K865:L865)</f>
        <v>37366.7877856542</v>
      </c>
      <c r="N865" s="20" t="str">
        <f aca="false">A865</f>
        <v>*16.1.1.5</v>
      </c>
    </row>
    <row r="866" customFormat="false" ht="30" hidden="false" customHeight="false" outlineLevel="3" collapsed="false">
      <c r="A866" s="42" t="s">
        <v>1237</v>
      </c>
      <c r="B866" s="43" t="s">
        <v>1238</v>
      </c>
      <c r="C866" s="50" t="str">
        <f aca="false">VLOOKUP($B866,03_COMPOSIÇÕES!$A:$G,2,0)</f>
        <v>AR CONDICIONADO SPLIT ON/OFF, CASSETE (TETO), 4 VIAS 41000 BTU/H - FORNECIMENTO E INSTALAÇÃO.</v>
      </c>
      <c r="D866" s="45" t="s">
        <v>59</v>
      </c>
      <c r="E866" s="44" t="str">
        <f aca="false">IF($B866="","",IFERROR(VLOOKUP($B866,#REF!,3,0),IFERROR(VLOOKUP($B866,03_COMPOSIÇÕES!$A:$G,4,0),"")))</f>
        <v>UN</v>
      </c>
      <c r="F866" s="46" t="n">
        <v>8</v>
      </c>
      <c r="G866" s="51" t="n">
        <f aca="false">VLOOKUP($B866,03_COMPOSIÇÕES!$A:$G,6,0)</f>
        <v>20046.2945201839</v>
      </c>
      <c r="H866" s="52" t="n">
        <f aca="false">VLOOKUP($B866,03_COMPOSIÇÕES!$A:$G,7,0)</f>
        <v>209.56985261334</v>
      </c>
      <c r="I866" s="47" t="n">
        <f aca="false">$F866*$G866</f>
        <v>160370.356161471</v>
      </c>
      <c r="J866" s="47" t="n">
        <f aca="false">$F866*$H866</f>
        <v>1676.55882090672</v>
      </c>
      <c r="K866" s="47" t="n">
        <f aca="false">$I866*(1+BDI_DIF)</f>
        <v>184738.198823472</v>
      </c>
      <c r="L866" s="47" t="n">
        <f aca="false">$J866*(1+BDI_MDO)</f>
        <v>2137.44484077398</v>
      </c>
      <c r="M866" s="47" t="n">
        <f aca="false">SUM(K866:L866)</f>
        <v>186875.643664246</v>
      </c>
      <c r="N866" s="20" t="str">
        <f aca="false">A866</f>
        <v>*16.1.1.6</v>
      </c>
    </row>
    <row r="867" customFormat="false" ht="30" hidden="false" customHeight="false" outlineLevel="3" collapsed="false">
      <c r="A867" s="42" t="s">
        <v>1239</v>
      </c>
      <c r="B867" s="43" t="s">
        <v>1240</v>
      </c>
      <c r="C867" s="50" t="str">
        <f aca="false">VLOOKUP($B867,03_COMPOSIÇÕES!$A:$G,2,0)</f>
        <v>AR CONDICIONADO SPLIT INVERTER, PISO TETO, 45000 BTU/H, CICLO QUENTE/FRIO - FORNECIMENTO E INSTALAÇÃO.</v>
      </c>
      <c r="D867" s="45" t="s">
        <v>59</v>
      </c>
      <c r="E867" s="44" t="str">
        <f aca="false">IF($B867="","",IFERROR(VLOOKUP($B867,#REF!,3,0),IFERROR(VLOOKUP($B867,03_COMPOSIÇÕES!$A:$G,4,0),"")))</f>
        <v>UN</v>
      </c>
      <c r="F867" s="46" t="n">
        <v>2</v>
      </c>
      <c r="G867" s="51" t="n">
        <f aca="false">VLOOKUP($B867,03_COMPOSIÇÕES!$A:$G,6,0)</f>
        <v>15249.7333585172</v>
      </c>
      <c r="H867" s="52" t="n">
        <f aca="false">VLOOKUP($B867,03_COMPOSIÇÕES!$A:$G,7,0)</f>
        <v>194.59222786476</v>
      </c>
      <c r="I867" s="47" t="n">
        <f aca="false">$F867*$G867</f>
        <v>30499.4667170344</v>
      </c>
      <c r="J867" s="47" t="n">
        <f aca="false">$F867*$H867</f>
        <v>389.18445572952</v>
      </c>
      <c r="K867" s="47" t="n">
        <f aca="false">$I867*(1+BDI_DIF)</f>
        <v>35133.7783443486</v>
      </c>
      <c r="L867" s="47" t="n">
        <f aca="false">$J867*(1+BDI_MDO)</f>
        <v>496.171262609565</v>
      </c>
      <c r="M867" s="47" t="n">
        <f aca="false">SUM(K867:L867)</f>
        <v>35629.9496069582</v>
      </c>
      <c r="N867" s="20" t="str">
        <f aca="false">A867</f>
        <v>*16.1.1.7</v>
      </c>
    </row>
    <row r="868" customFormat="false" ht="45" hidden="false" customHeight="false" outlineLevel="3" collapsed="false">
      <c r="A868" s="42" t="s">
        <v>1241</v>
      </c>
      <c r="B868" s="43" t="s">
        <v>1242</v>
      </c>
      <c r="C868" s="50" t="str">
        <f aca="false">VLOOKUP($B868,03_COMPOSIÇÕES!$A:$G,2,0)</f>
        <v>AR CONDICIONADO MULTI-SPLIT EVAPORADORAS HIWALL 9000 + 9000 BTU/H, CONDENSADORA 18000 BTUS/H - FORNECIMENTO E INSTALAÇÃO.</v>
      </c>
      <c r="D868" s="45" t="s">
        <v>59</v>
      </c>
      <c r="E868" s="44" t="str">
        <f aca="false">IF($B868="","",IFERROR(VLOOKUP($B868,#REF!,3,0),IFERROR(VLOOKUP($B868,03_COMPOSIÇÕES!$A:$G,4,0),"")))</f>
        <v>UN</v>
      </c>
      <c r="F868" s="46" t="n">
        <v>1</v>
      </c>
      <c r="G868" s="51" t="n">
        <f aca="false">VLOOKUP($B868,03_COMPOSIÇÕES!$A:$G,6,0)</f>
        <v>10054.5216133333</v>
      </c>
      <c r="H868" s="52" t="n">
        <f aca="false">VLOOKUP($B868,03_COMPOSIÇÕES!$A:$G,7,0)</f>
        <v>96.7320326934</v>
      </c>
      <c r="I868" s="47" t="n">
        <f aca="false">$F868*$G868</f>
        <v>10054.5216133333</v>
      </c>
      <c r="J868" s="47" t="n">
        <f aca="false">$F868*$H868</f>
        <v>96.7320326934</v>
      </c>
      <c r="K868" s="47" t="n">
        <f aca="false">$I868*(1+BDI_DIF)</f>
        <v>11582.2790279811</v>
      </c>
      <c r="L868" s="47" t="n">
        <f aca="false">$J868*(1+BDI_MDO)</f>
        <v>123.323668480816</v>
      </c>
      <c r="M868" s="47" t="n">
        <f aca="false">SUM(K868:L868)</f>
        <v>11705.6026964619</v>
      </c>
      <c r="N868" s="20" t="str">
        <f aca="false">A868</f>
        <v>*16.1.1.8</v>
      </c>
    </row>
    <row r="869" customFormat="false" ht="45" hidden="false" customHeight="false" outlineLevel="3" collapsed="false">
      <c r="A869" s="42" t="s">
        <v>1243</v>
      </c>
      <c r="B869" s="43" t="s">
        <v>1244</v>
      </c>
      <c r="C869" s="50" t="str">
        <f aca="false">VLOOKUP($B869,03_COMPOSIÇÕES!$A:$G,2,0)</f>
        <v>AR CONDICIONADO MULTI-SPLIT ON/OFF, EVAPORADORAS CASSETE 4V 12000 + 12000 BTU/H, CONDENSADORA 18000 BTUS/H - FORNECIMENTO E INSTALAÇÃO.</v>
      </c>
      <c r="D869" s="45" t="s">
        <v>59</v>
      </c>
      <c r="E869" s="44" t="str">
        <f aca="false">IF($B869="","",IFERROR(VLOOKUP($B869,#REF!,3,0),IFERROR(VLOOKUP($B869,03_COMPOSIÇÕES!$A:$G,4,0),"")))</f>
        <v>UN</v>
      </c>
      <c r="F869" s="46" t="n">
        <v>2</v>
      </c>
      <c r="G869" s="51" t="n">
        <f aca="false">VLOOKUP($B869,03_COMPOSIÇÕES!$A:$G,6,0)</f>
        <v>16749.7381826667</v>
      </c>
      <c r="H869" s="52" t="n">
        <f aca="false">VLOOKUP($B869,03_COMPOSIÇÕES!$A:$G,7,0)</f>
        <v>273.96428207778</v>
      </c>
      <c r="I869" s="47" t="n">
        <f aca="false">$F869*$G869</f>
        <v>33499.4763653333</v>
      </c>
      <c r="J869" s="47" t="n">
        <f aca="false">$F869*$H869</f>
        <v>547.92856415556</v>
      </c>
      <c r="K869" s="47" t="n">
        <f aca="false">$I869*(1+BDI_DIF)</f>
        <v>38589.6313594891</v>
      </c>
      <c r="L869" s="47" t="n">
        <f aca="false">$J869*(1+BDI_MDO)</f>
        <v>698.554126441924</v>
      </c>
      <c r="M869" s="47" t="n">
        <f aca="false">SUM(K869:L869)</f>
        <v>39288.185485931</v>
      </c>
      <c r="N869" s="20" t="str">
        <f aca="false">A869</f>
        <v>*16.1.1.9</v>
      </c>
    </row>
    <row r="870" customFormat="false" ht="45" hidden="false" customHeight="false" outlineLevel="3" collapsed="false">
      <c r="A870" s="42" t="s">
        <v>1245</v>
      </c>
      <c r="B870" s="43" t="s">
        <v>1246</v>
      </c>
      <c r="C870" s="50" t="str">
        <f aca="false">VLOOKUP($B870,03_COMPOSIÇÕES!$A:$G,2,0)</f>
        <v>AR CONDICIONADO MULTI-SPLIT ON/OFF, EVAPORADORAS CASSETE 1V 12000 + CASSETE 4V 12000 BTUS/H, CONDENSADORA 18000 BTUS/H - FORNECIMENTO E INSTALAÇÃO.</v>
      </c>
      <c r="D870" s="45" t="s">
        <v>59</v>
      </c>
      <c r="E870" s="44" t="str">
        <f aca="false">IF($B870="","",IFERROR(VLOOKUP($B870,#REF!,3,0),IFERROR(VLOOKUP($B870,03_COMPOSIÇÕES!$A:$G,4,0),"")))</f>
        <v>UN</v>
      </c>
      <c r="F870" s="46" t="n">
        <v>1</v>
      </c>
      <c r="G870" s="51" t="n">
        <f aca="false">VLOOKUP($B870,03_COMPOSIÇÕES!$A:$G,6,0)</f>
        <v>17969.843312</v>
      </c>
      <c r="H870" s="52" t="n">
        <f aca="false">VLOOKUP($B870,03_COMPOSIÇÕES!$A:$G,7,0)</f>
        <v>273.96428207778</v>
      </c>
      <c r="I870" s="47" t="n">
        <f aca="false">$F870*$G870</f>
        <v>17969.843312</v>
      </c>
      <c r="J870" s="47" t="n">
        <f aca="false">$F870*$H870</f>
        <v>273.96428207778</v>
      </c>
      <c r="K870" s="47" t="n">
        <f aca="false">$I870*(1+BDI_DIF)</f>
        <v>20700.3124895251</v>
      </c>
      <c r="L870" s="47" t="n">
        <f aca="false">$J870*(1+BDI_MDO)</f>
        <v>349.277063220962</v>
      </c>
      <c r="M870" s="47" t="n">
        <f aca="false">SUM(K870:L870)</f>
        <v>21049.589552746</v>
      </c>
      <c r="N870" s="20" t="str">
        <f aca="false">A870</f>
        <v>*16.1.1.10</v>
      </c>
    </row>
    <row r="871" customFormat="false" ht="45" hidden="false" customHeight="false" outlineLevel="3" collapsed="false">
      <c r="A871" s="42" t="s">
        <v>1247</v>
      </c>
      <c r="B871" s="43" t="s">
        <v>1248</v>
      </c>
      <c r="C871" s="50" t="str">
        <f aca="false">VLOOKUP($B871,03_COMPOSIÇÕES!$A:$G,2,0)</f>
        <v>AR CONDICIONADO MULTI-SPLIT ON/OFF, EVAPORADORAS CASSETE 4V 18000 + HIWALL 9000 BTUS/H, CONDENSADORA 18000 BTUS/H - FORNECIMENTO E INSTALAÇÃO.</v>
      </c>
      <c r="D871" s="45" t="s">
        <v>59</v>
      </c>
      <c r="E871" s="44" t="str">
        <f aca="false">IF($B871="","",IFERROR(VLOOKUP($B871,#REF!,3,0),IFERROR(VLOOKUP($B871,03_COMPOSIÇÕES!$A:$G,4,0),"")))</f>
        <v>UN</v>
      </c>
      <c r="F871" s="46" t="n">
        <v>1</v>
      </c>
      <c r="G871" s="51" t="n">
        <f aca="false">VLOOKUP($B871,03_COMPOSIÇÕES!$A:$G,6,0)</f>
        <v>16308.36565</v>
      </c>
      <c r="H871" s="52" t="n">
        <f aca="false">VLOOKUP($B871,03_COMPOSIÇÕES!$A:$G,7,0)</f>
        <v>217.47221378955</v>
      </c>
      <c r="I871" s="47" t="n">
        <f aca="false">$F871*$G871</f>
        <v>16308.36565</v>
      </c>
      <c r="J871" s="47" t="n">
        <f aca="false">$F871*$H871</f>
        <v>217.47221378955</v>
      </c>
      <c r="K871" s="47" t="n">
        <f aca="false">$I871*(1+BDI_DIF)</f>
        <v>18786.377782326</v>
      </c>
      <c r="L871" s="47" t="n">
        <f aca="false">$J871*(1+BDI_MDO)</f>
        <v>277.255325360297</v>
      </c>
      <c r="M871" s="47" t="n">
        <f aca="false">SUM(K871:L871)</f>
        <v>19063.6331076863</v>
      </c>
      <c r="N871" s="20" t="str">
        <f aca="false">A871</f>
        <v>*16.1.1.11</v>
      </c>
    </row>
    <row r="872" customFormat="false" ht="45" hidden="false" customHeight="false" outlineLevel="3" collapsed="false">
      <c r="A872" s="42" t="s">
        <v>1249</v>
      </c>
      <c r="B872" s="43" t="s">
        <v>1250</v>
      </c>
      <c r="C872" s="50" t="str">
        <f aca="false">VLOOKUP($B872,03_COMPOSIÇÕES!$A:$G,2,0)</f>
        <v>AR CONDICIONADO MULTI-SPLIT ON/OFF, EVAPORADORAS CASSETE 1V 12000 + CASSETE 4V 18000 BTUS/H, CONDENSADORA 18000 BTUS/H - FORNECIMENTO E INSTALAÇÃO.</v>
      </c>
      <c r="D872" s="45" t="s">
        <v>59</v>
      </c>
      <c r="E872" s="44" t="str">
        <f aca="false">IF($B872="","",IFERROR(VLOOKUP($B872,#REF!,3,0),IFERROR(VLOOKUP($B872,03_COMPOSIÇÕES!$A:$G,4,0),"")))</f>
        <v>UN</v>
      </c>
      <c r="F872" s="46" t="n">
        <v>1</v>
      </c>
      <c r="G872" s="51" t="n">
        <f aca="false">VLOOKUP($B872,03_COMPOSIÇÕES!$A:$G,6,0)</f>
        <v>20467.0969873333</v>
      </c>
      <c r="H872" s="52" t="n">
        <f aca="false">VLOOKUP($B872,03_COMPOSIÇÕES!$A:$G,7,0)</f>
        <v>273.96428207778</v>
      </c>
      <c r="I872" s="47" t="n">
        <f aca="false">$F872*$G872</f>
        <v>20467.0969873333</v>
      </c>
      <c r="J872" s="47" t="n">
        <f aca="false">$F872*$H872</f>
        <v>273.96428207778</v>
      </c>
      <c r="K872" s="47" t="n">
        <f aca="false">$I872*(1+BDI_DIF)</f>
        <v>23577.0171189135</v>
      </c>
      <c r="L872" s="47" t="n">
        <f aca="false">$J872*(1+BDI_MDO)</f>
        <v>349.277063220962</v>
      </c>
      <c r="M872" s="47" t="n">
        <f aca="false">SUM(K872:L872)</f>
        <v>23926.2941821345</v>
      </c>
      <c r="N872" s="20" t="str">
        <f aca="false">A872</f>
        <v>*16.1.1.12</v>
      </c>
    </row>
    <row r="873" customFormat="false" ht="45" hidden="false" customHeight="false" outlineLevel="3" collapsed="false">
      <c r="A873" s="42" t="s">
        <v>1251</v>
      </c>
      <c r="B873" s="43" t="s">
        <v>1252</v>
      </c>
      <c r="C873" s="50" t="str">
        <f aca="false">VLOOKUP($B873,03_COMPOSIÇÕES!$A:$G,2,0)</f>
        <v>AR CONDICIONADO MULTI-SPLIT ON/OFF, EVAPORADORAS CASSETE 1V 18000 + CASSETE 4V 18000 BTUS/H, CONDENSADORA 24000 BTUS/H - FORNECIMENTO E INSTALAÇÃO.</v>
      </c>
      <c r="D873" s="45" t="s">
        <v>59</v>
      </c>
      <c r="E873" s="44" t="str">
        <f aca="false">IF($B873="","",IFERROR(VLOOKUP($B873,#REF!,3,0),IFERROR(VLOOKUP($B873,03_COMPOSIÇÕES!$A:$G,4,0),"")))</f>
        <v>UN</v>
      </c>
      <c r="F873" s="46" t="n">
        <v>1</v>
      </c>
      <c r="G873" s="51" t="n">
        <f aca="false">VLOOKUP($B873,03_COMPOSIÇÕES!$A:$G,6,0)</f>
        <v>25654.61302</v>
      </c>
      <c r="H873" s="52" t="n">
        <f aca="false">VLOOKUP($B873,03_COMPOSIÇÕES!$A:$G,7,0)</f>
        <v>164.6235429111</v>
      </c>
      <c r="I873" s="47" t="n">
        <f aca="false">$F873*$G873</f>
        <v>25654.61302</v>
      </c>
      <c r="J873" s="47" t="n">
        <f aca="false">$F873*$H873</f>
        <v>164.6235429111</v>
      </c>
      <c r="K873" s="47" t="n">
        <f aca="false">$I873*(1+BDI_DIF)</f>
        <v>29552.7622078488</v>
      </c>
      <c r="L873" s="47" t="n">
        <f aca="false">$J873*(1+BDI_MDO)</f>
        <v>209.878554857361</v>
      </c>
      <c r="M873" s="47" t="n">
        <f aca="false">SUM(K873:L873)</f>
        <v>29762.6407627062</v>
      </c>
      <c r="N873" s="20" t="str">
        <f aca="false">A873</f>
        <v>*16.1.1.13</v>
      </c>
    </row>
    <row r="874" customFormat="false" ht="45" hidden="false" customHeight="false" outlineLevel="3" collapsed="false">
      <c r="A874" s="42" t="s">
        <v>1253</v>
      </c>
      <c r="B874" s="43" t="s">
        <v>1254</v>
      </c>
      <c r="C874" s="50" t="str">
        <f aca="false">VLOOKUP($B874,03_COMPOSIÇÕES!$A:$G,2,0)</f>
        <v>AR CONDICIONADO MULTI-SPLIT ON/OFF, EVAPORADORAS CASSETE 1V 12000 + CASSETE 4V 20000 BTUS/H, CONDENSADORA 24000 BTUS/H - FORNECIMENTO E INSTALAÇÃO.</v>
      </c>
      <c r="D874" s="45" t="s">
        <v>59</v>
      </c>
      <c r="E874" s="44" t="str">
        <f aca="false">IF($B874="","",IFERROR(VLOOKUP($B874,#REF!,3,0),IFERROR(VLOOKUP($B874,03_COMPOSIÇÕES!$A:$G,4,0),"")))</f>
        <v>UN</v>
      </c>
      <c r="F874" s="46" t="n">
        <v>3</v>
      </c>
      <c r="G874" s="51" t="n">
        <f aca="false">VLOOKUP($B874,03_COMPOSIÇÕES!$A:$G,6,0)</f>
        <v>22166.443312</v>
      </c>
      <c r="H874" s="52" t="n">
        <f aca="false">VLOOKUP($B874,03_COMPOSIÇÕES!$A:$G,7,0)</f>
        <v>273.96428207778</v>
      </c>
      <c r="I874" s="47" t="n">
        <f aca="false">$F874*$G874</f>
        <v>66499.329936</v>
      </c>
      <c r="J874" s="47" t="n">
        <f aca="false">$F874*$H874</f>
        <v>821.89284623334</v>
      </c>
      <c r="K874" s="47" t="n">
        <f aca="false">$I874*(1+BDI_DIF)</f>
        <v>76603.7235895087</v>
      </c>
      <c r="L874" s="47" t="n">
        <f aca="false">$J874*(1+BDI_MDO)</f>
        <v>1047.83118966289</v>
      </c>
      <c r="M874" s="47" t="n">
        <f aca="false">SUM(K874:L874)</f>
        <v>77651.5547791716</v>
      </c>
      <c r="N874" s="20" t="str">
        <f aca="false">A874</f>
        <v>*16.1.1.14</v>
      </c>
    </row>
    <row r="875" customFormat="false" ht="45" hidden="false" customHeight="false" outlineLevel="3" collapsed="false">
      <c r="A875" s="42" t="s">
        <v>1255</v>
      </c>
      <c r="B875" s="43" t="s">
        <v>1256</v>
      </c>
      <c r="C875" s="50" t="str">
        <f aca="false">VLOOKUP($B875,03_COMPOSIÇÕES!$A:$G,2,0)</f>
        <v>AR CONDICIONADO MULTI-SPLIT ON/OFF, EVAPORADORAS CASSETE 4V 20000 + 12000 + 12000 BTUS/H, CONDENSADORA 28000 BTUS/H - FORNECIMENTO E INSTALAÇÃO.</v>
      </c>
      <c r="D875" s="45" t="s">
        <v>59</v>
      </c>
      <c r="E875" s="44" t="str">
        <f aca="false">IF($B875="","",IFERROR(VLOOKUP($B875,#REF!,3,0),IFERROR(VLOOKUP($B875,03_COMPOSIÇÕES!$A:$G,4,0),"")))</f>
        <v>UN</v>
      </c>
      <c r="F875" s="46" t="n">
        <v>2</v>
      </c>
      <c r="G875" s="51" t="n">
        <f aca="false">VLOOKUP($B875,03_COMPOSIÇÕES!$A:$G,6,0)</f>
        <v>27942.1016346667</v>
      </c>
      <c r="H875" s="52" t="n">
        <f aca="false">VLOOKUP($B875,03_COMPOSIÇÕES!$A:$G,7,0)</f>
        <v>410.94642311667</v>
      </c>
      <c r="I875" s="47" t="n">
        <f aca="false">$F875*$G875</f>
        <v>55884.2032693333</v>
      </c>
      <c r="J875" s="47" t="n">
        <f aca="false">$F875*$H875</f>
        <v>821.89284623334</v>
      </c>
      <c r="K875" s="47" t="n">
        <f aca="false">$I875*(1+BDI_DIF)</f>
        <v>64375.6570838229</v>
      </c>
      <c r="L875" s="47" t="n">
        <f aca="false">$J875*(1+BDI_MDO)</f>
        <v>1047.83118966289</v>
      </c>
      <c r="M875" s="47" t="n">
        <f aca="false">SUM(K875:L875)</f>
        <v>65423.4882734857</v>
      </c>
      <c r="N875" s="20" t="str">
        <f aca="false">A875</f>
        <v>*16.1.1.15</v>
      </c>
    </row>
    <row r="876" customFormat="false" ht="30" hidden="false" customHeight="false" outlineLevel="3" collapsed="false">
      <c r="A876" s="42" t="s">
        <v>1257</v>
      </c>
      <c r="B876" s="43" t="s">
        <v>1258</v>
      </c>
      <c r="C876" s="50" t="str">
        <f aca="false">VLOOKUP($B876,03_COMPOSIÇÕES!$A:$G,2,0)</f>
        <v>CAIXA DE PASSAGEM PARA AR CONDICIONADO - FORNECIMENTO E INSTALAÇÃO. AF_08/2022</v>
      </c>
      <c r="D876" s="45" t="s">
        <v>59</v>
      </c>
      <c r="E876" s="44" t="str">
        <f aca="false">IF($B876="","",IFERROR(VLOOKUP($B876,#REF!,3,0),IFERROR(VLOOKUP($B876,03_COMPOSIÇÕES!$A:$G,4,0),"")))</f>
        <v>UN</v>
      </c>
      <c r="F876" s="46" t="n">
        <v>16</v>
      </c>
      <c r="G876" s="51" t="n">
        <f aca="false">VLOOKUP($B876,03_COMPOSIÇÕES!$A:$G,6,0)</f>
        <v>29.712522</v>
      </c>
      <c r="H876" s="52" t="n">
        <f aca="false">VLOOKUP($B876,03_COMPOSIÇÕES!$A:$G,7,0)</f>
        <v>16.69334910192</v>
      </c>
      <c r="I876" s="47" t="n">
        <f aca="false">$F876*$G876</f>
        <v>475.400352</v>
      </c>
      <c r="J876" s="47" t="n">
        <f aca="false">$F876*$H876</f>
        <v>267.09358563072</v>
      </c>
      <c r="K876" s="47" t="n">
        <f aca="false">$I876*(1+BDI_MAT)</f>
        <v>573.4279045824</v>
      </c>
      <c r="L876" s="47" t="n">
        <f aca="false">$J876*(1+BDI_MDO)</f>
        <v>340.517612320605</v>
      </c>
      <c r="M876" s="47" t="n">
        <f aca="false">SUM(K876:L876)</f>
        <v>913.945516903005</v>
      </c>
      <c r="N876" s="20" t="str">
        <f aca="false">A876</f>
        <v>*16.1.1.16</v>
      </c>
    </row>
    <row r="877" customFormat="false" ht="15" hidden="false" customHeight="false" outlineLevel="2" collapsed="false">
      <c r="A877" s="42" t="s">
        <v>1259</v>
      </c>
      <c r="B877" s="43"/>
      <c r="C877" s="50" t="s">
        <v>1260</v>
      </c>
      <c r="D877" s="45"/>
      <c r="E877" s="44"/>
      <c r="F877" s="46"/>
      <c r="G877" s="51"/>
      <c r="H877" s="52"/>
      <c r="I877" s="47" t="n">
        <f aca="false">SUBTOTAL(9,I878:I881)</f>
        <v>35150.42538519</v>
      </c>
      <c r="J877" s="47" t="n">
        <f aca="false">SUBTOTAL(9,J878:J881)</f>
        <v>3639.9824819516</v>
      </c>
      <c r="K877" s="47" t="n">
        <f aca="false">SUBTOTAL(9,K878:K881)</f>
        <v>42398.4430996162</v>
      </c>
      <c r="L877" s="47" t="n">
        <f aca="false">SUBTOTAL(9,L878:L881)</f>
        <v>4640.6136662401</v>
      </c>
      <c r="M877" s="47" t="n">
        <f aca="false">SUBTOTAL(9,M878:M881)</f>
        <v>47039.0567658563</v>
      </c>
      <c r="N877" s="20" t="str">
        <f aca="false">A877</f>
        <v>16.1.2</v>
      </c>
    </row>
    <row r="878" customFormat="false" ht="45" hidden="false" customHeight="false" outlineLevel="3" collapsed="false">
      <c r="A878" s="42" t="s">
        <v>1261</v>
      </c>
      <c r="B878" s="43" t="n">
        <v>103291</v>
      </c>
      <c r="C878" s="50" t="str">
        <f aca="false">VLOOKUP($B878,03_COMPOSIÇÕES!$A:$G,2,0)</f>
        <v>TUBO EM COBRE FLEXÍVEL, DN 1/2", COM ISOLAMENTO, INSTALADO EM FORRO, PARA RAMAL DE ALIMENTAÇÃO DE AR CONDICIONADO, INCLUSO FIXADOR. AF_11/2021</v>
      </c>
      <c r="D878" s="45" t="s">
        <v>59</v>
      </c>
      <c r="E878" s="44" t="str">
        <f aca="false">IF($B878="","",IFERROR(VLOOKUP($B878,#REF!,3,0),IFERROR(VLOOKUP($B878,03_COMPOSIÇÕES!$A:$G,4,0),"")))</f>
        <v>M</v>
      </c>
      <c r="F878" s="46" t="n">
        <v>205.83</v>
      </c>
      <c r="G878" s="51" t="n">
        <f aca="false">VLOOKUP($B878,03_COMPOSIÇÕES!$A:$G,6,0)</f>
        <v>57.629789</v>
      </c>
      <c r="H878" s="52" t="n">
        <f aca="false">VLOOKUP($B878,03_COMPOSIÇÕES!$A:$G,7,0)</f>
        <v>3.76515376296</v>
      </c>
      <c r="I878" s="47" t="n">
        <f aca="false">$F878*$G878</f>
        <v>11861.93946987</v>
      </c>
      <c r="J878" s="47" t="n">
        <f aca="false">$F878*$H878</f>
        <v>774.981599030057</v>
      </c>
      <c r="K878" s="47" t="n">
        <f aca="false">$I878*(1+BDI_MAT)</f>
        <v>14307.8713885572</v>
      </c>
      <c r="L878" s="47" t="n">
        <f aca="false">$J878*(1+BDI_MDO)</f>
        <v>988.024040603419</v>
      </c>
      <c r="M878" s="47" t="n">
        <f aca="false">SUM(K878:L878)</f>
        <v>15295.8954291606</v>
      </c>
      <c r="N878" s="20" t="str">
        <f aca="false">A878</f>
        <v>16.1.2.1</v>
      </c>
    </row>
    <row r="879" customFormat="false" ht="45" hidden="false" customHeight="false" outlineLevel="3" collapsed="false">
      <c r="A879" s="42" t="s">
        <v>1262</v>
      </c>
      <c r="B879" s="43" t="n">
        <v>103289</v>
      </c>
      <c r="C879" s="50" t="str">
        <f aca="false">VLOOKUP($B879,03_COMPOSIÇÕES!$A:$G,2,0)</f>
        <v>TUBO EM COBRE FLEXÍVEL, DN 1/4", COM ISOLAMENTO, INSTALADO EM FORRO, PARA RAMAL DE ALIMENTAÇÃO DE AR CONDICIONADO, INCLUSO FIXADOR. AF_11/2021</v>
      </c>
      <c r="D879" s="45" t="s">
        <v>59</v>
      </c>
      <c r="E879" s="44" t="str">
        <f aca="false">IF($B879="","",IFERROR(VLOOKUP($B879,#REF!,3,0),IFERROR(VLOOKUP($B879,03_COMPOSIÇÕES!$A:$G,4,0),"")))</f>
        <v>M</v>
      </c>
      <c r="F879" s="46" t="n">
        <v>389.69</v>
      </c>
      <c r="G879" s="51" t="n">
        <f aca="false">VLOOKUP($B879,03_COMPOSIÇÕES!$A:$G,6,0)</f>
        <v>27.968618</v>
      </c>
      <c r="H879" s="52" t="n">
        <f aca="false">VLOOKUP($B879,03_COMPOSIÇÕES!$A:$G,7,0)</f>
        <v>3.35617011816</v>
      </c>
      <c r="I879" s="47" t="n">
        <f aca="false">$F879*$G879</f>
        <v>10899.09074842</v>
      </c>
      <c r="J879" s="47" t="n">
        <f aca="false">$F879*$H879</f>
        <v>1307.86593334577</v>
      </c>
      <c r="K879" s="47" t="n">
        <f aca="false">$I879*(1+BDI_MAT)</f>
        <v>13146.4832607442</v>
      </c>
      <c r="L879" s="47" t="n">
        <f aca="false">$J879*(1+BDI_MDO)</f>
        <v>1667.39827842252</v>
      </c>
      <c r="M879" s="47" t="n">
        <f aca="false">SUM(K879:L879)</f>
        <v>14813.8815391667</v>
      </c>
      <c r="N879" s="20" t="str">
        <f aca="false">A879</f>
        <v>16.1.2.2</v>
      </c>
    </row>
    <row r="880" customFormat="false" ht="45" hidden="false" customHeight="false" outlineLevel="3" collapsed="false">
      <c r="A880" s="42" t="s">
        <v>1263</v>
      </c>
      <c r="B880" s="43" t="n">
        <v>103290</v>
      </c>
      <c r="C880" s="50" t="str">
        <f aca="false">VLOOKUP($B880,03_COMPOSIÇÕES!$A:$G,2,0)</f>
        <v>TUBO EM COBRE FLEXÍVEL, DN 3/8", COM ISOLAMENTO, INSTALADO EM FORRO, PARA RAMAL DE ALIMENTAÇÃO DE AR CONDICIONADO, INCLUSO FIXADOR. AF_11/2021</v>
      </c>
      <c r="D880" s="45" t="s">
        <v>59</v>
      </c>
      <c r="E880" s="44" t="str">
        <f aca="false">IF($B880="","",IFERROR(VLOOKUP($B880,#REF!,3,0),IFERROR(VLOOKUP($B880,03_COMPOSIÇÕES!$A:$G,4,0),"")))</f>
        <v>M</v>
      </c>
      <c r="F880" s="46" t="n">
        <v>304.8</v>
      </c>
      <c r="G880" s="51" t="n">
        <f aca="false">VLOOKUP($B880,03_COMPOSIÇÕES!$A:$G,6,0)</f>
        <v>12.710968</v>
      </c>
      <c r="H880" s="52" t="n">
        <f aca="false">VLOOKUP($B880,03_COMPOSIÇÕES!$A:$G,7,0)</f>
        <v>3.56066194056</v>
      </c>
      <c r="I880" s="47" t="n">
        <f aca="false">$F880*$G880</f>
        <v>3874.3030464</v>
      </c>
      <c r="J880" s="47" t="n">
        <f aca="false">$F880*$H880</f>
        <v>1085.28975948269</v>
      </c>
      <c r="K880" s="47" t="n">
        <f aca="false">$I880*(1+BDI_MAT)</f>
        <v>4673.18433456768</v>
      </c>
      <c r="L880" s="47" t="n">
        <f aca="false">$J880*(1+BDI_MDO)</f>
        <v>1383.63591436448</v>
      </c>
      <c r="M880" s="47" t="n">
        <f aca="false">SUM(K880:L880)</f>
        <v>6056.82024893216</v>
      </c>
      <c r="N880" s="20" t="str">
        <f aca="false">A880</f>
        <v>16.1.2.3</v>
      </c>
    </row>
    <row r="881" customFormat="false" ht="45" hidden="false" customHeight="false" outlineLevel="3" collapsed="false">
      <c r="A881" s="42" t="s">
        <v>1264</v>
      </c>
      <c r="B881" s="43" t="n">
        <v>103292</v>
      </c>
      <c r="C881" s="50" t="str">
        <f aca="false">VLOOKUP($B881,03_COMPOSIÇÕES!$A:$G,2,0)</f>
        <v>TUBO EM COBRE FLEXÍVEL, DN 5/8", COM ISOLAMENTO, INSTALADO EM FORRO, PARA RAMAL DE ALIMENTAÇÃO DE AR CONDICIONADO, INCLUSO FIXADOR. AF_11/2021</v>
      </c>
      <c r="D881" s="45" t="s">
        <v>59</v>
      </c>
      <c r="E881" s="44" t="str">
        <f aca="false">IF($B881="","",IFERROR(VLOOKUP($B881,#REF!,3,0),IFERROR(VLOOKUP($B881,03_COMPOSIÇÕES!$A:$G,4,0),"")))</f>
        <v>M</v>
      </c>
      <c r="F881" s="46" t="n">
        <v>120.94</v>
      </c>
      <c r="G881" s="51" t="n">
        <f aca="false">VLOOKUP($B881,03_COMPOSIÇÕES!$A:$G,6,0)</f>
        <v>70.407575</v>
      </c>
      <c r="H881" s="52" t="n">
        <f aca="false">VLOOKUP($B881,03_COMPOSIÇÕES!$A:$G,7,0)</f>
        <v>3.90148164456</v>
      </c>
      <c r="I881" s="47" t="n">
        <f aca="false">$F881*$G881</f>
        <v>8515.0921205</v>
      </c>
      <c r="J881" s="47" t="n">
        <f aca="false">$F881*$H881</f>
        <v>471.845190093086</v>
      </c>
      <c r="K881" s="47" t="n">
        <f aca="false">$I881*(1+BDI_MAT)</f>
        <v>10270.9041157471</v>
      </c>
      <c r="L881" s="47" t="n">
        <f aca="false">$J881*(1+BDI_MDO)</f>
        <v>601.555432849676</v>
      </c>
      <c r="M881" s="47" t="n">
        <f aca="false">SUM(K881:L881)</f>
        <v>10872.4595485968</v>
      </c>
      <c r="N881" s="20" t="str">
        <f aca="false">A881</f>
        <v>16.1.2.4</v>
      </c>
    </row>
    <row r="882" customFormat="false" ht="15" hidden="false" customHeight="false" outlineLevel="2" collapsed="false">
      <c r="A882" s="42" t="s">
        <v>1265</v>
      </c>
      <c r="B882" s="43"/>
      <c r="C882" s="50" t="s">
        <v>1266</v>
      </c>
      <c r="D882" s="45"/>
      <c r="E882" s="44"/>
      <c r="F882" s="46"/>
      <c r="G882" s="51"/>
      <c r="H882" s="52"/>
      <c r="I882" s="47" t="n">
        <f aca="false">SUM(I883,I887)</f>
        <v>7527.72696958</v>
      </c>
      <c r="J882" s="47" t="n">
        <f aca="false">SUM(J883,J887)</f>
        <v>4167.20993833963</v>
      </c>
      <c r="K882" s="47" t="n">
        <f aca="false">SUM(K883,K887)</f>
        <v>9079.9442707074</v>
      </c>
      <c r="L882" s="47" t="n">
        <f aca="false">SUM(L883,L887)</f>
        <v>5312.77595038919</v>
      </c>
      <c r="M882" s="47" t="n">
        <f aca="false">SUM(M883,M887)</f>
        <v>14392.7202210966</v>
      </c>
      <c r="N882" s="20" t="str">
        <f aca="false">A882</f>
        <v>16.1.3</v>
      </c>
    </row>
    <row r="883" customFormat="false" ht="15" hidden="false" customHeight="false" outlineLevel="3" collapsed="false">
      <c r="A883" s="42" t="s">
        <v>1267</v>
      </c>
      <c r="B883" s="43"/>
      <c r="C883" s="50" t="s">
        <v>1186</v>
      </c>
      <c r="D883" s="45"/>
      <c r="E883" s="44"/>
      <c r="F883" s="46"/>
      <c r="G883" s="51"/>
      <c r="H883" s="52"/>
      <c r="I883" s="47" t="n">
        <f aca="false">SUBTOTAL(9,I884:I886)</f>
        <v>4947.16009258</v>
      </c>
      <c r="J883" s="47" t="n">
        <f aca="false">SUBTOTAL(9,J884:J886)</f>
        <v>2930.63021208211</v>
      </c>
      <c r="K883" s="47" t="n">
        <f aca="false">SUBTOTAL(9,K884:K886)</f>
        <v>5967.26450367</v>
      </c>
      <c r="L883" s="47" t="n">
        <f aca="false">SUBTOTAL(9,L884:L886)</f>
        <v>3736.26045738348</v>
      </c>
      <c r="M883" s="47" t="n">
        <f aca="false">SUBTOTAL(9,M884:M886)</f>
        <v>9703.52496105348</v>
      </c>
      <c r="N883" s="20" t="str">
        <f aca="false">A883</f>
        <v>16.1.3.1</v>
      </c>
    </row>
    <row r="884" customFormat="false" ht="30" hidden="false" customHeight="false" outlineLevel="4" collapsed="false">
      <c r="A884" s="42" t="s">
        <v>1268</v>
      </c>
      <c r="B884" s="43" t="n">
        <v>89865</v>
      </c>
      <c r="C884" s="50" t="str">
        <f aca="false">VLOOKUP($B884,03_COMPOSIÇÕES!$A:$G,2,0)</f>
        <v>TUBO, PVC, SOLDÁVEL, DE 25MM, INSTALADO EM DRENO DE AR-CONDICIONADO - FORNECIMENTO E INSTALAÇÃO. AF_08/2022</v>
      </c>
      <c r="D884" s="45" t="s">
        <v>59</v>
      </c>
      <c r="E884" s="44" t="str">
        <f aca="false">IF($B884="","",IFERROR(VLOOKUP($B884,#REF!,3,0),IFERROR(VLOOKUP($B884,03_COMPOSIÇÕES!$A:$G,4,0),"")))</f>
        <v>M</v>
      </c>
      <c r="F884" s="46" t="n">
        <v>219.82</v>
      </c>
      <c r="G884" s="51" t="n">
        <f aca="false">VLOOKUP($B884,03_COMPOSIÇÕES!$A:$G,6,0)</f>
        <v>7.633079</v>
      </c>
      <c r="H884" s="52" t="n">
        <f aca="false">VLOOKUP($B884,03_COMPOSIÇÕES!$A:$G,7,0)</f>
        <v>8.69771884608</v>
      </c>
      <c r="I884" s="47" t="n">
        <f aca="false">$F884*$G884</f>
        <v>1677.90342578</v>
      </c>
      <c r="J884" s="47" t="n">
        <f aca="false">$F884*$H884</f>
        <v>1911.93255674531</v>
      </c>
      <c r="K884" s="47" t="n">
        <f aca="false">$I884*(1+BDI_MAT)</f>
        <v>2023.88711217584</v>
      </c>
      <c r="L884" s="47" t="n">
        <f aca="false">$J884*(1+BDI_MDO)</f>
        <v>2437.52281659459</v>
      </c>
      <c r="M884" s="47" t="n">
        <f aca="false">SUM(K884:L884)</f>
        <v>4461.40992877043</v>
      </c>
      <c r="N884" s="20" t="str">
        <f aca="false">A884</f>
        <v>16.1.3.1.1</v>
      </c>
    </row>
    <row r="885" customFormat="false" ht="30" hidden="false" customHeight="false" outlineLevel="4" collapsed="false">
      <c r="A885" s="42" t="s">
        <v>1269</v>
      </c>
      <c r="B885" s="43" t="n">
        <v>89448</v>
      </c>
      <c r="C885" s="50" t="str">
        <f aca="false">VLOOKUP($B885,03_COMPOSIÇÕES!$A:$G,2,0)</f>
        <v>TUBO, PVC, SOLDÁVEL, DE 40MM, INSTALADO EM PRUMADA DE ÁGUA - FORNECIMENTO E INSTALAÇÃO. AF_06/2022</v>
      </c>
      <c r="D885" s="45" t="s">
        <v>59</v>
      </c>
      <c r="E885" s="44" t="str">
        <f aca="false">IF($B885="","",IFERROR(VLOOKUP($B885,#REF!,3,0),IFERROR(VLOOKUP($B885,03_COMPOSIÇÕES!$A:$G,4,0),"")))</f>
        <v>M</v>
      </c>
      <c r="F885" s="46" t="n">
        <v>49.73</v>
      </c>
      <c r="G885" s="51" t="n">
        <f aca="false">VLOOKUP($B885,03_COMPOSIÇÕES!$A:$G,6,0)</f>
        <v>15.224775</v>
      </c>
      <c r="H885" s="52" t="n">
        <f aca="false">VLOOKUP($B885,03_COMPOSIÇÕES!$A:$G,7,0)</f>
        <v>0.96111156528</v>
      </c>
      <c r="I885" s="47" t="n">
        <f aca="false">$F885*$G885</f>
        <v>757.12806075</v>
      </c>
      <c r="J885" s="47" t="n">
        <f aca="false">$F885*$H885</f>
        <v>47.7960781413744</v>
      </c>
      <c r="K885" s="47" t="n">
        <f aca="false">$I885*(1+BDI_MAT)</f>
        <v>913.24786687665</v>
      </c>
      <c r="L885" s="47" t="n">
        <f aca="false">$J885*(1+BDI_MDO)</f>
        <v>60.9352200224382</v>
      </c>
      <c r="M885" s="47" t="n">
        <f aca="false">SUM(K885:L885)</f>
        <v>974.183086899088</v>
      </c>
      <c r="N885" s="20" t="str">
        <f aca="false">A885</f>
        <v>16.1.3.1.2</v>
      </c>
    </row>
    <row r="886" customFormat="false" ht="30" hidden="false" customHeight="false" outlineLevel="4" collapsed="false">
      <c r="A886" s="42" t="s">
        <v>1270</v>
      </c>
      <c r="B886" s="43" t="n">
        <v>89509</v>
      </c>
      <c r="C886" s="50" t="str">
        <f aca="false">VLOOKUP($B886,03_COMPOSIÇÕES!$A:$G,2,0)</f>
        <v>TUBO PVC, SÉRIE R, ÁGUA PLUVIAL, DN 50 MM, FORNECIDO E INSTALADO EM RAMAL DE ENCAMINHAMENTO. AF_06/2022</v>
      </c>
      <c r="D886" s="45" t="s">
        <v>59</v>
      </c>
      <c r="E886" s="44" t="str">
        <f aca="false">IF($B886="","",IFERROR(VLOOKUP($B886,#REF!,3,0),IFERROR(VLOOKUP($B886,03_COMPOSIÇÕES!$A:$G,4,0),"")))</f>
        <v>M</v>
      </c>
      <c r="F886" s="46" t="n">
        <v>150.17</v>
      </c>
      <c r="G886" s="51" t="n">
        <f aca="false">VLOOKUP($B886,03_COMPOSIÇÕES!$A:$G,6,0)</f>
        <v>16.728565</v>
      </c>
      <c r="H886" s="52" t="n">
        <f aca="false">VLOOKUP($B886,03_COMPOSIÇÕES!$A:$G,7,0)</f>
        <v>6.46534978488</v>
      </c>
      <c r="I886" s="47" t="n">
        <f aca="false">$F886*$G886</f>
        <v>2512.12860605</v>
      </c>
      <c r="J886" s="47" t="n">
        <f aca="false">$F886*$H886</f>
        <v>970.90157719543</v>
      </c>
      <c r="K886" s="47" t="n">
        <f aca="false">$I886*(1+BDI_MAT)</f>
        <v>3030.12952461751</v>
      </c>
      <c r="L886" s="47" t="n">
        <f aca="false">$J886*(1+BDI_MDO)</f>
        <v>1237.80242076645</v>
      </c>
      <c r="M886" s="47" t="n">
        <f aca="false">SUM(K886:L886)</f>
        <v>4267.93194538396</v>
      </c>
      <c r="N886" s="20" t="str">
        <f aca="false">A886</f>
        <v>16.1.3.1.3</v>
      </c>
    </row>
    <row r="887" customFormat="false" ht="15" hidden="false" customHeight="false" outlineLevel="3" collapsed="false">
      <c r="A887" s="42" t="s">
        <v>1271</v>
      </c>
      <c r="B887" s="43"/>
      <c r="C887" s="50" t="s">
        <v>1272</v>
      </c>
      <c r="D887" s="45"/>
      <c r="E887" s="44"/>
      <c r="F887" s="46"/>
      <c r="G887" s="51"/>
      <c r="H887" s="52"/>
      <c r="I887" s="47" t="n">
        <f aca="false">SUBTOTAL(9,I888:I905)</f>
        <v>2580.566877</v>
      </c>
      <c r="J887" s="47" t="n">
        <f aca="false">SUBTOTAL(9,J888:J905)</f>
        <v>1236.57972625752</v>
      </c>
      <c r="K887" s="47" t="n">
        <f aca="false">SUBTOTAL(9,K888:K905)</f>
        <v>3112.6797670374</v>
      </c>
      <c r="L887" s="47" t="n">
        <f aca="false">SUBTOTAL(9,L888:L905)</f>
        <v>1576.51549300571</v>
      </c>
      <c r="M887" s="47" t="n">
        <f aca="false">SUBTOTAL(9,M888:M905)</f>
        <v>4689.19526004311</v>
      </c>
      <c r="N887" s="20" t="str">
        <f aca="false">A887</f>
        <v>16.1.3.2</v>
      </c>
    </row>
    <row r="888" customFormat="false" ht="45" hidden="false" customHeight="false" outlineLevel="3" collapsed="false">
      <c r="A888" s="42" t="s">
        <v>1273</v>
      </c>
      <c r="B888" s="43" t="n">
        <v>103957</v>
      </c>
      <c r="C888" s="50" t="str">
        <f aca="false">VLOOKUP($B888,03_COMPOSIÇÕES!$A:$G,2,0)</f>
        <v>BUCHA DE REDUÇÃO, CURTA, PVC, SOLDÁVEL, DN 32 X 25 MM, INSTALADO EM PRUMADA DE ÁGUA - FORNECIMENTO E INSTALAÇÃO. AF_06/2022</v>
      </c>
      <c r="D888" s="45" t="s">
        <v>59</v>
      </c>
      <c r="E888" s="44" t="str">
        <f aca="false">IF($B888="","",IFERROR(VLOOKUP($B888,#REF!,3,0),IFERROR(VLOOKUP($B888,03_COMPOSIÇÕES!$A:$G,4,0),"")))</f>
        <v>UN</v>
      </c>
      <c r="F888" s="46" t="n">
        <v>2</v>
      </c>
      <c r="G888" s="51" t="n">
        <f aca="false">VLOOKUP($B888,03_COMPOSIÇÕES!$A:$G,6,0)</f>
        <v>2.904006</v>
      </c>
      <c r="H888" s="52" t="n">
        <f aca="false">VLOOKUP($B888,03_COMPOSIÇÕES!$A:$G,7,0)</f>
        <v>0.70731693552</v>
      </c>
      <c r="I888" s="47" t="n">
        <f aca="false">$F888*$G888</f>
        <v>5.808012</v>
      </c>
      <c r="J888" s="47" t="n">
        <f aca="false">$F888*$H888</f>
        <v>1.41463387104</v>
      </c>
      <c r="K888" s="47" t="n">
        <f aca="false">$I888*(1+BDI_MAT)</f>
        <v>7.0056240744</v>
      </c>
      <c r="L888" s="47" t="n">
        <f aca="false">$J888*(1+BDI_MDO)</f>
        <v>1.8035167221889</v>
      </c>
      <c r="M888" s="47" t="n">
        <f aca="false">SUM(K888:L888)</f>
        <v>8.8091407965889</v>
      </c>
      <c r="N888" s="20" t="str">
        <f aca="false">A888</f>
        <v>16.1.3.2.1</v>
      </c>
    </row>
    <row r="889" customFormat="false" ht="45" hidden="false" customHeight="false" outlineLevel="3" collapsed="false">
      <c r="A889" s="42" t="s">
        <v>1274</v>
      </c>
      <c r="B889" s="43" t="n">
        <v>103958</v>
      </c>
      <c r="C889" s="50" t="str">
        <f aca="false">VLOOKUP($B889,03_COMPOSIÇÕES!$A:$G,2,0)</f>
        <v>BUCHA DE REDUÇÃO, CURTA, PVC, SOLDÁVEL, DN 50 X 40 MM, INSTALADO EM PRUMADA DE ÁGUA - FORNECIMENTO E INSTALAÇÃO. AF_06/2022</v>
      </c>
      <c r="D889" s="45" t="s">
        <v>59</v>
      </c>
      <c r="E889" s="44" t="str">
        <f aca="false">IF($B889="","",IFERROR(VLOOKUP($B889,#REF!,3,0),IFERROR(VLOOKUP($B889,03_COMPOSIÇÕES!$A:$G,4,0),"")))</f>
        <v>UN</v>
      </c>
      <c r="F889" s="46" t="n">
        <v>5</v>
      </c>
      <c r="G889" s="51" t="n">
        <f aca="false">VLOOKUP($B889,03_COMPOSIÇÕES!$A:$G,6,0)</f>
        <v>6.854629</v>
      </c>
      <c r="H889" s="52" t="n">
        <f aca="false">VLOOKUP($B889,03_COMPOSIÇÕES!$A:$G,7,0)</f>
        <v>2.62771991784</v>
      </c>
      <c r="I889" s="47" t="n">
        <f aca="false">$F889*$G889</f>
        <v>34.273145</v>
      </c>
      <c r="J889" s="47" t="n">
        <f aca="false">$F889*$H889</f>
        <v>13.1385995892</v>
      </c>
      <c r="K889" s="47" t="n">
        <f aca="false">$I889*(1+BDI_MAT)</f>
        <v>41.340267499</v>
      </c>
      <c r="L889" s="47" t="n">
        <f aca="false">$J889*(1+BDI_MDO)</f>
        <v>16.7504006162711</v>
      </c>
      <c r="M889" s="47" t="n">
        <f aca="false">SUM(K889:L889)</f>
        <v>58.0906681152711</v>
      </c>
      <c r="N889" s="20" t="str">
        <f aca="false">A889</f>
        <v>16.1.3.2.2</v>
      </c>
    </row>
    <row r="890" customFormat="false" ht="45" hidden="false" customHeight="false" outlineLevel="3" collapsed="false">
      <c r="A890" s="42" t="s">
        <v>1275</v>
      </c>
      <c r="B890" s="43" t="n">
        <v>105233</v>
      </c>
      <c r="C890" s="50" t="str">
        <f aca="false">VLOOKUP($B890,03_COMPOSIÇÕES!$A:$G,2,0)</f>
        <v>BUCHA DE REDUÇÃO PVC, SOLDÁVEL, LONGA, DN 40 X 25 MM, INSTALADO EM RESERVAÇÃO PREDIAL DE ÁGUA - FORNECIMENTO E INSTALAÇÃO. AF_04/2024</v>
      </c>
      <c r="D890" s="45" t="s">
        <v>59</v>
      </c>
      <c r="E890" s="44" t="str">
        <f aca="false">IF($B890="","",IFERROR(VLOOKUP($B890,#REF!,3,0),IFERROR(VLOOKUP($B890,03_COMPOSIÇÕES!$A:$G,4,0),"")))</f>
        <v>UN</v>
      </c>
      <c r="F890" s="46" t="n">
        <v>1</v>
      </c>
      <c r="G890" s="51" t="n">
        <f aca="false">VLOOKUP($B890,03_COMPOSIÇÕES!$A:$G,6,0)</f>
        <v>5.003431</v>
      </c>
      <c r="H890" s="52" t="n">
        <f aca="false">VLOOKUP($B890,03_COMPOSIÇÕES!$A:$G,7,0)</f>
        <v>1.79611984008</v>
      </c>
      <c r="I890" s="47" t="n">
        <f aca="false">$F890*$G890</f>
        <v>5.003431</v>
      </c>
      <c r="J890" s="47" t="n">
        <f aca="false">$F890*$H890</f>
        <v>1.79611984008</v>
      </c>
      <c r="K890" s="47" t="n">
        <f aca="false">$I890*(1+BDI_MAT)</f>
        <v>6.0351384722</v>
      </c>
      <c r="L890" s="47" t="n">
        <f aca="false">$J890*(1+BDI_MDO)</f>
        <v>2.28987318411799</v>
      </c>
      <c r="M890" s="47" t="n">
        <f aca="false">SUM(K890:L890)</f>
        <v>8.32501165631799</v>
      </c>
      <c r="N890" s="20" t="str">
        <f aca="false">A890</f>
        <v>16.1.3.2.3</v>
      </c>
    </row>
    <row r="891" customFormat="false" ht="45" hidden="false" customHeight="false" outlineLevel="3" collapsed="false">
      <c r="A891" s="42" t="s">
        <v>1276</v>
      </c>
      <c r="B891" s="43" t="n">
        <v>105234</v>
      </c>
      <c r="C891" s="50" t="str">
        <f aca="false">VLOOKUP($B891,03_COMPOSIÇÕES!$A:$G,2,0)</f>
        <v>BUCHA DE REDUÇÃO PVC, SOLDÁVEL, LONGA, DN 50 X 25 MM, INSTALADO EM RESERVAÇÃO PREDIAL DE ÁGUA - FORNECIMENTO E INSTALAÇÃO. AF_04/2024</v>
      </c>
      <c r="D891" s="45" t="s">
        <v>59</v>
      </c>
      <c r="E891" s="44" t="str">
        <f aca="false">IF($B891="","",IFERROR(VLOOKUP($B891,#REF!,3,0),IFERROR(VLOOKUP($B891,03_COMPOSIÇÕES!$A:$G,4,0),"")))</f>
        <v>UN</v>
      </c>
      <c r="F891" s="46" t="n">
        <v>17</v>
      </c>
      <c r="G891" s="51" t="n">
        <f aca="false">VLOOKUP($B891,03_COMPOSIÇÕES!$A:$G,6,0)</f>
        <v>7.0071</v>
      </c>
      <c r="H891" s="52" t="n">
        <f aca="false">VLOOKUP($B891,03_COMPOSIÇÕES!$A:$G,7,0)</f>
        <v>2.24600184936</v>
      </c>
      <c r="I891" s="47" t="n">
        <f aca="false">$F891*$G891</f>
        <v>119.1207</v>
      </c>
      <c r="J891" s="47" t="n">
        <f aca="false">$F891*$H891</f>
        <v>38.18203143912</v>
      </c>
      <c r="K891" s="47" t="n">
        <f aca="false">$I891*(1+BDI_MAT)</f>
        <v>143.68338834</v>
      </c>
      <c r="L891" s="47" t="n">
        <f aca="false">$J891*(1+BDI_MDO)</f>
        <v>48.6782718817341</v>
      </c>
      <c r="M891" s="47" t="n">
        <f aca="false">SUM(K891:L891)</f>
        <v>192.361660221734</v>
      </c>
      <c r="N891" s="20" t="str">
        <f aca="false">A891</f>
        <v>16.1.3.2.4</v>
      </c>
    </row>
    <row r="892" customFormat="false" ht="45" hidden="false" customHeight="false" outlineLevel="3" collapsed="false">
      <c r="A892" s="42" t="s">
        <v>1277</v>
      </c>
      <c r="B892" s="43" t="n">
        <v>89802</v>
      </c>
      <c r="C892" s="50" t="str">
        <f aca="false">VLOOKUP($B892,03_COMPOSIÇÕES!$A:$G,2,0)</f>
        <v>JOELHO 45 GRAUS, PVC, SERIE NORMAL, ESGOTO PREDIAL, DN 50 MM, JUNTA ELÁSTICA, FORNECIDO E INSTALADO EM PRUMADA DE ESGOTO SANITÁRIO OU VENTILAÇÃO. AF_08/2022</v>
      </c>
      <c r="D892" s="45" t="s">
        <v>59</v>
      </c>
      <c r="E892" s="44" t="str">
        <f aca="false">IF($B892="","",IFERROR(VLOOKUP($B892,#REF!,3,0),IFERROR(VLOOKUP($B892,03_COMPOSIÇÕES!$A:$G,4,0),"")))</f>
        <v>UN</v>
      </c>
      <c r="F892" s="46" t="n">
        <v>16</v>
      </c>
      <c r="G892" s="51" t="n">
        <f aca="false">VLOOKUP($B892,03_COMPOSIÇÕES!$A:$G,6,0)</f>
        <v>5.802596</v>
      </c>
      <c r="H892" s="52" t="n">
        <f aca="false">VLOOKUP($B892,03_COMPOSIÇÕES!$A:$G,7,0)</f>
        <v>1.16901158472</v>
      </c>
      <c r="I892" s="47" t="n">
        <f aca="false">$F892*$G892</f>
        <v>92.841536</v>
      </c>
      <c r="J892" s="47" t="n">
        <f aca="false">$F892*$H892</f>
        <v>18.70418535552</v>
      </c>
      <c r="K892" s="47" t="n">
        <f aca="false">$I892*(1+BDI_MAT)</f>
        <v>111.9854607232</v>
      </c>
      <c r="L892" s="47" t="n">
        <f aca="false">$J892*(1+BDI_MDO)</f>
        <v>23.8459659097524</v>
      </c>
      <c r="M892" s="47" t="n">
        <f aca="false">SUM(K892:L892)</f>
        <v>135.831426632952</v>
      </c>
      <c r="N892" s="20" t="str">
        <f aca="false">A892</f>
        <v>16.1.3.2.5</v>
      </c>
    </row>
    <row r="893" customFormat="false" ht="45" hidden="false" customHeight="false" outlineLevel="3" collapsed="false">
      <c r="A893" s="42" t="s">
        <v>1278</v>
      </c>
      <c r="B893" s="43" t="n">
        <v>89409</v>
      </c>
      <c r="C893" s="50" t="str">
        <f aca="false">VLOOKUP($B893,03_COMPOSIÇÕES!$A:$G,2,0)</f>
        <v>JOELHO 45 GRAUS, PVC, SOLDÁVEL, DN 25MM, INSTALADO EM RAMAL DE DISTRIBUIÇÃO DE ÁGUA - FORNECIMENTO E INSTALAÇÃO. AF_06/2022</v>
      </c>
      <c r="D893" s="45" t="s">
        <v>59</v>
      </c>
      <c r="E893" s="44" t="str">
        <f aca="false">IF($B893="","",IFERROR(VLOOKUP($B893,#REF!,3,0),IFERROR(VLOOKUP($B893,03_COMPOSIÇÕES!$A:$G,4,0),"")))</f>
        <v>UN</v>
      </c>
      <c r="F893" s="46" t="n">
        <v>50</v>
      </c>
      <c r="G893" s="51" t="n">
        <f aca="false">VLOOKUP($B893,03_COMPOSIÇÕES!$A:$G,6,0)</f>
        <v>4.394327</v>
      </c>
      <c r="H893" s="52" t="n">
        <f aca="false">VLOOKUP($B893,03_COMPOSIÇÕES!$A:$G,7,0)</f>
        <v>4.63173977736</v>
      </c>
      <c r="I893" s="47" t="n">
        <f aca="false">$F893*$G893</f>
        <v>219.71635</v>
      </c>
      <c r="J893" s="47" t="n">
        <f aca="false">$F893*$H893</f>
        <v>231.586988868</v>
      </c>
      <c r="K893" s="47" t="n">
        <f aca="false">$I893*(1+BDI_MAT)</f>
        <v>265.02186137</v>
      </c>
      <c r="L893" s="47" t="n">
        <f aca="false">$J893*(1+BDI_MDO)</f>
        <v>295.250252107813</v>
      </c>
      <c r="M893" s="47" t="n">
        <f aca="false">SUM(K893:L893)</f>
        <v>560.272113477813</v>
      </c>
      <c r="N893" s="20" t="str">
        <f aca="false">A893</f>
        <v>16.1.3.2.6</v>
      </c>
    </row>
    <row r="894" customFormat="false" ht="45" hidden="false" customHeight="false" outlineLevel="3" collapsed="false">
      <c r="A894" s="42" t="s">
        <v>1279</v>
      </c>
      <c r="B894" s="43" t="n">
        <v>103981</v>
      </c>
      <c r="C894" s="50" t="str">
        <f aca="false">VLOOKUP($B894,03_COMPOSIÇÕES!$A:$G,2,0)</f>
        <v>JOELHO 45 GRAUS, PVC, SOLDÁVEL, DN 40MM, INSTALADO EM RAMAL DE DISTRIBUIÇÃO DE ÁGUA - FORNECIMENTO E INSTALAÇÃO. AF_06/2022</v>
      </c>
      <c r="D894" s="45" t="s">
        <v>59</v>
      </c>
      <c r="E894" s="44" t="str">
        <f aca="false">IF($B894="","",IFERROR(VLOOKUP($B894,#REF!,3,0),IFERROR(VLOOKUP($B894,03_COMPOSIÇÕES!$A:$G,4,0),"")))</f>
        <v>UN</v>
      </c>
      <c r="F894" s="46" t="n">
        <v>6</v>
      </c>
      <c r="G894" s="51" t="n">
        <f aca="false">VLOOKUP($B894,03_COMPOSIÇÕES!$A:$G,6,0)</f>
        <v>9.912355</v>
      </c>
      <c r="H894" s="52" t="n">
        <f aca="false">VLOOKUP($B894,03_COMPOSIÇÕES!$A:$G,7,0)</f>
        <v>6.5437383168</v>
      </c>
      <c r="I894" s="47" t="n">
        <f aca="false">$F894*$G894</f>
        <v>59.47413</v>
      </c>
      <c r="J894" s="47" t="n">
        <f aca="false">$F894*$H894</f>
        <v>39.2624299008</v>
      </c>
      <c r="K894" s="47" t="n">
        <f aca="false">$I894*(1+BDI_MAT)</f>
        <v>71.737695606</v>
      </c>
      <c r="L894" s="47" t="n">
        <f aca="false">$J894*(1+BDI_MDO)</f>
        <v>50.0556718805299</v>
      </c>
      <c r="M894" s="47" t="n">
        <f aca="false">SUM(K894:L894)</f>
        <v>121.79336748653</v>
      </c>
      <c r="N894" s="20" t="str">
        <f aca="false">A894</f>
        <v>16.1.3.2.7</v>
      </c>
    </row>
    <row r="895" customFormat="false" ht="45" hidden="false" customHeight="false" outlineLevel="3" collapsed="false">
      <c r="A895" s="42" t="s">
        <v>1280</v>
      </c>
      <c r="B895" s="43" t="n">
        <v>89518</v>
      </c>
      <c r="C895" s="50" t="str">
        <f aca="false">VLOOKUP($B895,03_COMPOSIÇÕES!$A:$G,2,0)</f>
        <v>JOELHO 90 GRAUS, PVC, SERIE R, ÁGUA PLUVIAL, DN 50 MM, JUNTA ELÁSTICA, FORNECIDO E INSTALADO EM RAMAL DE ENCAMINHAMENTO. AF_06/2022</v>
      </c>
      <c r="D895" s="45" t="s">
        <v>59</v>
      </c>
      <c r="E895" s="44" t="str">
        <f aca="false">IF($B895="","",IFERROR(VLOOKUP($B895,#REF!,3,0),IFERROR(VLOOKUP($B895,03_COMPOSIÇÕES!$A:$G,4,0),"")))</f>
        <v>UN</v>
      </c>
      <c r="F895" s="46" t="n">
        <v>88</v>
      </c>
      <c r="G895" s="51" t="n">
        <f aca="false">VLOOKUP($B895,03_COMPOSIÇÕES!$A:$G,6,0)</f>
        <v>11.642804</v>
      </c>
      <c r="H895" s="52" t="n">
        <f aca="false">VLOOKUP($B895,03_COMPOSIÇÕES!$A:$G,7,0)</f>
        <v>2.06877560328</v>
      </c>
      <c r="I895" s="47" t="n">
        <f aca="false">$F895*$G895</f>
        <v>1024.566752</v>
      </c>
      <c r="J895" s="47" t="n">
        <f aca="false">$F895*$H895</f>
        <v>182.05225308864</v>
      </c>
      <c r="K895" s="47" t="n">
        <f aca="false">$I895*(1+BDI_MAT)</f>
        <v>1235.8324162624</v>
      </c>
      <c r="L895" s="47" t="n">
        <f aca="false">$J895*(1+BDI_MDO)</f>
        <v>232.098417462707</v>
      </c>
      <c r="M895" s="47" t="n">
        <f aca="false">SUM(K895:L895)</f>
        <v>1467.93083372511</v>
      </c>
      <c r="N895" s="20" t="str">
        <f aca="false">A895</f>
        <v>16.1.3.2.8</v>
      </c>
    </row>
    <row r="896" customFormat="false" ht="30" hidden="false" customHeight="false" outlineLevel="3" collapsed="false">
      <c r="A896" s="42" t="s">
        <v>1281</v>
      </c>
      <c r="B896" s="43" t="n">
        <v>89866</v>
      </c>
      <c r="C896" s="50" t="str">
        <f aca="false">VLOOKUP($B896,03_COMPOSIÇÕES!$A:$G,2,0)</f>
        <v>JOELHO 90 GRAUS, PVC, SOLDÁVEL, DN 25MM, INSTALADO EM DRENO DE AR-CONDICIONADO - FORNECIMENTO E INSTALAÇÃO. AF_08/2022</v>
      </c>
      <c r="D896" s="45" t="s">
        <v>59</v>
      </c>
      <c r="E896" s="44" t="str">
        <f aca="false">IF($B896="","",IFERROR(VLOOKUP($B896,#REF!,3,0),IFERROR(VLOOKUP($B896,03_COMPOSIÇÕES!$A:$G,4,0),"")))</f>
        <v>UN</v>
      </c>
      <c r="F896" s="46" t="n">
        <v>100</v>
      </c>
      <c r="G896" s="51" t="n">
        <f aca="false">VLOOKUP($B896,03_COMPOSIÇÕES!$A:$G,6,0)</f>
        <v>3.28179</v>
      </c>
      <c r="H896" s="52" t="n">
        <f aca="false">VLOOKUP($B896,03_COMPOSIÇÕES!$A:$G,7,0)</f>
        <v>3.76946592624</v>
      </c>
      <c r="I896" s="47" t="n">
        <f aca="false">$F896*$G896</f>
        <v>328.179</v>
      </c>
      <c r="J896" s="47" t="n">
        <f aca="false">$F896*$H896</f>
        <v>376.946592624</v>
      </c>
      <c r="K896" s="47" t="n">
        <f aca="false">$I896*(1+BDI_MAT)</f>
        <v>395.8495098</v>
      </c>
      <c r="L896" s="47" t="n">
        <f aca="false">$J896*(1+BDI_MDO)</f>
        <v>480.569210936338</v>
      </c>
      <c r="M896" s="47" t="n">
        <f aca="false">SUM(K896:L896)</f>
        <v>876.418720736338</v>
      </c>
      <c r="N896" s="20" t="str">
        <f aca="false">A896</f>
        <v>16.1.3.2.9</v>
      </c>
    </row>
    <row r="897" customFormat="false" ht="30" hidden="false" customHeight="false" outlineLevel="3" collapsed="false">
      <c r="A897" s="42" t="s">
        <v>1282</v>
      </c>
      <c r="B897" s="43" t="n">
        <v>89497</v>
      </c>
      <c r="C897" s="50" t="str">
        <f aca="false">VLOOKUP($B897,03_COMPOSIÇÕES!$A:$G,2,0)</f>
        <v>JOELHO 90 GRAUS, PVC, SOLDÁVEL, DN 40MM, INSTALADO EM PRUMADA DE ÁGUA - FORNECIMENTO E INSTALAÇÃO. AF_06/2022</v>
      </c>
      <c r="D897" s="45" t="s">
        <v>59</v>
      </c>
      <c r="E897" s="44" t="str">
        <f aca="false">IF($B897="","",IFERROR(VLOOKUP($B897,#REF!,3,0),IFERROR(VLOOKUP($B897,03_COMPOSIÇÕES!$A:$G,4,0),"")))</f>
        <v>UN</v>
      </c>
      <c r="F897" s="46" t="n">
        <v>15</v>
      </c>
      <c r="G897" s="51" t="n">
        <f aca="false">VLOOKUP($B897,03_COMPOSIÇÕES!$A:$G,6,0)</f>
        <v>9.084275</v>
      </c>
      <c r="H897" s="52" t="n">
        <f aca="false">VLOOKUP($B897,03_COMPOSIÇÕES!$A:$G,7,0)</f>
        <v>3.56838230088</v>
      </c>
      <c r="I897" s="47" t="n">
        <f aca="false">$F897*$G897</f>
        <v>136.264125</v>
      </c>
      <c r="J897" s="47" t="n">
        <f aca="false">$F897*$H897</f>
        <v>53.5257345132</v>
      </c>
      <c r="K897" s="47" t="n">
        <f aca="false">$I897*(1+BDI_MAT)</f>
        <v>164.361787575</v>
      </c>
      <c r="L897" s="47" t="n">
        <f aca="false">$J897*(1+BDI_MDO)</f>
        <v>68.2399589308787</v>
      </c>
      <c r="M897" s="47" t="n">
        <f aca="false">SUM(K897:L897)</f>
        <v>232.601746505879</v>
      </c>
      <c r="N897" s="20" t="str">
        <f aca="false">A897</f>
        <v>16.1.3.2.10</v>
      </c>
    </row>
    <row r="898" customFormat="false" ht="45" hidden="false" customHeight="false" outlineLevel="3" collapsed="false">
      <c r="A898" s="42" t="s">
        <v>1283</v>
      </c>
      <c r="B898" s="43" t="n">
        <v>90373</v>
      </c>
      <c r="C898" s="50" t="str">
        <f aca="false">VLOOKUP($B898,03_COMPOSIÇÕES!$A:$G,2,0)</f>
        <v>JOELHO 90 GRAUS COM BUCHA DE LATÃO, PVC, SOLDÁVEL, DN 25MM, X 1/2 INSTALADO EM RAMAL OU SUB-RAMAL DE ÁGUA - FORNECIMENTO E INSTALAÇÃO. AF_06/2022</v>
      </c>
      <c r="D898" s="45" t="s">
        <v>59</v>
      </c>
      <c r="E898" s="44" t="str">
        <f aca="false">IF($B898="","",IFERROR(VLOOKUP($B898,#REF!,3,0),IFERROR(VLOOKUP($B898,03_COMPOSIÇÕES!$A:$G,4,0),"")))</f>
        <v>UN</v>
      </c>
      <c r="F898" s="46" t="n">
        <v>3</v>
      </c>
      <c r="G898" s="51" t="n">
        <f aca="false">VLOOKUP($B898,03_COMPOSIÇÕES!$A:$G,6,0)</f>
        <v>8.12794</v>
      </c>
      <c r="H898" s="52" t="n">
        <f aca="false">VLOOKUP($B898,03_COMPOSIÇÕES!$A:$G,7,0)</f>
        <v>2.70056249472</v>
      </c>
      <c r="I898" s="47" t="n">
        <f aca="false">$F898*$G898</f>
        <v>24.38382</v>
      </c>
      <c r="J898" s="47" t="n">
        <f aca="false">$F898*$H898</f>
        <v>8.10168748416</v>
      </c>
      <c r="K898" s="47" t="n">
        <f aca="false">$I898*(1+BDI_MAT)</f>
        <v>29.411763684</v>
      </c>
      <c r="L898" s="47" t="n">
        <f aca="false">$J898*(1+BDI_MDO)</f>
        <v>10.3288413735556</v>
      </c>
      <c r="M898" s="47" t="n">
        <f aca="false">SUM(K898:L898)</f>
        <v>39.7406050575556</v>
      </c>
      <c r="N898" s="20" t="str">
        <f aca="false">A898</f>
        <v>16.1.3.2.11</v>
      </c>
    </row>
    <row r="899" customFormat="false" ht="45" hidden="false" customHeight="false" outlineLevel="3" collapsed="false">
      <c r="A899" s="42" t="s">
        <v>1284</v>
      </c>
      <c r="B899" s="43" t="n">
        <v>89827</v>
      </c>
      <c r="C899" s="50" t="str">
        <f aca="false">VLOOKUP($B899,03_COMPOSIÇÕES!$A:$G,2,0)</f>
        <v>JUNÇÃO SIMPLES, PVC, SERIE NORMAL, ESGOTO PREDIAL, DN 50 X 50 MM, JUNTA ELÁSTICA, FORNECIDO E INSTALADO EM PRUMADA DE ESGOTO SANITÁRIO OU VENTILAÇÃO. AF_08/2022</v>
      </c>
      <c r="D899" s="45" t="s">
        <v>59</v>
      </c>
      <c r="E899" s="44" t="str">
        <f aca="false">IF($B899="","",IFERROR(VLOOKUP($B899,#REF!,3,0),IFERROR(VLOOKUP($B899,03_COMPOSIÇÕES!$A:$G,4,0),"")))</f>
        <v>UN</v>
      </c>
      <c r="F899" s="46" t="n">
        <v>6</v>
      </c>
      <c r="G899" s="51" t="n">
        <f aca="false">VLOOKUP($B899,03_COMPOSIÇÕES!$A:$G,6,0)</f>
        <v>17.999302</v>
      </c>
      <c r="H899" s="52" t="n">
        <f aca="false">VLOOKUP($B899,03_COMPOSIÇÕES!$A:$G,7,0)</f>
        <v>1.55754604728</v>
      </c>
      <c r="I899" s="47" t="n">
        <f aca="false">$F899*$G899</f>
        <v>107.995812</v>
      </c>
      <c r="J899" s="47" t="n">
        <f aca="false">$F899*$H899</f>
        <v>9.34527628368</v>
      </c>
      <c r="K899" s="47" t="n">
        <f aca="false">$I899*(1+BDI_MAT)</f>
        <v>130.2645484344</v>
      </c>
      <c r="L899" s="47" t="n">
        <f aca="false">$J899*(1+BDI_MDO)</f>
        <v>11.9142927340636</v>
      </c>
      <c r="M899" s="47" t="n">
        <f aca="false">SUM(K899:L899)</f>
        <v>142.178841168464</v>
      </c>
      <c r="N899" s="20" t="str">
        <f aca="false">A899</f>
        <v>16.1.3.2.12</v>
      </c>
    </row>
    <row r="900" customFormat="false" ht="45" hidden="false" customHeight="false" outlineLevel="3" collapsed="false">
      <c r="A900" s="42" t="s">
        <v>1285</v>
      </c>
      <c r="B900" s="43" t="n">
        <v>89813</v>
      </c>
      <c r="C900" s="50" t="str">
        <f aca="false">VLOOKUP($B900,03_COMPOSIÇÕES!$A:$G,2,0)</f>
        <v>LUVA SIMPLES, PVC, SERIE NORMAL, ESGOTO PREDIAL, DN 50 MM, JUNTA ELÁSTICA, FORNECIDO E INSTALADO EM PRUMADA DE ESGOTO SANITÁRIO OU VENTILAÇÃO. AF_08/2022</v>
      </c>
      <c r="D900" s="45" t="s">
        <v>59</v>
      </c>
      <c r="E900" s="44" t="str">
        <f aca="false">IF($B900="","",IFERROR(VLOOKUP($B900,#REF!,3,0),IFERROR(VLOOKUP($B900,03_COMPOSIÇÕES!$A:$G,4,0),"")))</f>
        <v>UN</v>
      </c>
      <c r="F900" s="46" t="n">
        <v>108</v>
      </c>
      <c r="G900" s="51" t="n">
        <f aca="false">VLOOKUP($B900,03_COMPOSIÇÕES!$A:$G,6,0)</f>
        <v>1.578773</v>
      </c>
      <c r="H900" s="52" t="n">
        <f aca="false">VLOOKUP($B900,03_COMPOSIÇÕES!$A:$G,7,0)</f>
        <v>0.77706892512</v>
      </c>
      <c r="I900" s="47" t="n">
        <f aca="false">$F900*$G900</f>
        <v>170.507484</v>
      </c>
      <c r="J900" s="47" t="n">
        <f aca="false">$F900*$H900</f>
        <v>83.92344391296</v>
      </c>
      <c r="K900" s="47" t="n">
        <f aca="false">$I900*(1+BDI_MAT)</f>
        <v>205.6661272008</v>
      </c>
      <c r="L900" s="47" t="n">
        <f aca="false">$J900*(1+BDI_MDO)</f>
        <v>106.993998644633</v>
      </c>
      <c r="M900" s="47" t="n">
        <f aca="false">SUM(K900:L900)</f>
        <v>312.660125845433</v>
      </c>
      <c r="N900" s="20" t="str">
        <f aca="false">A900</f>
        <v>16.1.3.2.13</v>
      </c>
    </row>
    <row r="901" customFormat="false" ht="30" hidden="false" customHeight="false" outlineLevel="3" collapsed="false">
      <c r="A901" s="42" t="s">
        <v>1286</v>
      </c>
      <c r="B901" s="43" t="n">
        <v>89868</v>
      </c>
      <c r="C901" s="50" t="str">
        <f aca="false">VLOOKUP($B901,03_COMPOSIÇÕES!$A:$G,2,0)</f>
        <v>LUVA, PVC, SOLDÁVEL, DN 25MM, INSTALADO EM DRENO DE AR-CONDICIONADO - FORNECIMENTO E INSTALAÇÃO. AF_08/2022</v>
      </c>
      <c r="D901" s="45" t="s">
        <v>59</v>
      </c>
      <c r="E901" s="44" t="str">
        <f aca="false">IF($B901="","",IFERROR(VLOOKUP($B901,#REF!,3,0),IFERROR(VLOOKUP($B901,03_COMPOSIÇÕES!$A:$G,4,0),"")))</f>
        <v>UN</v>
      </c>
      <c r="F901" s="46" t="n">
        <v>13</v>
      </c>
      <c r="G901" s="51" t="n">
        <f aca="false">VLOOKUP($B901,03_COMPOSIÇÕES!$A:$G,6,0)</f>
        <v>2.293682</v>
      </c>
      <c r="H901" s="52" t="n">
        <f aca="false">VLOOKUP($B901,03_COMPOSIÇÕES!$A:$G,7,0)</f>
        <v>2.51184121848</v>
      </c>
      <c r="I901" s="47" t="n">
        <f aca="false">$F901*$G901</f>
        <v>29.817866</v>
      </c>
      <c r="J901" s="47" t="n">
        <f aca="false">$F901*$H901</f>
        <v>32.65393584024</v>
      </c>
      <c r="K901" s="47" t="n">
        <f aca="false">$I901*(1+BDI_MAT)</f>
        <v>35.9663099692</v>
      </c>
      <c r="L901" s="47" t="n">
        <f aca="false">$J901*(1+BDI_MDO)</f>
        <v>41.630502802722</v>
      </c>
      <c r="M901" s="47" t="n">
        <f aca="false">SUM(K901:L901)</f>
        <v>77.596812771922</v>
      </c>
      <c r="N901" s="20" t="str">
        <f aca="false">A901</f>
        <v>16.1.3.2.14</v>
      </c>
    </row>
    <row r="902" customFormat="false" ht="45" hidden="false" customHeight="false" outlineLevel="3" collapsed="false">
      <c r="A902" s="42" t="s">
        <v>1287</v>
      </c>
      <c r="B902" s="43" t="n">
        <v>89825</v>
      </c>
      <c r="C902" s="50" t="str">
        <f aca="false">VLOOKUP($B902,03_COMPOSIÇÕES!$A:$G,2,0)</f>
        <v>TE, PVC, SERIE NORMAL, ESGOTO PREDIAL, DN 50 X 50 MM, JUNTA ELÁSTICA, FORNECIDO E INSTALADO EM PRUMADA DE ESGOTO SANITÁRIO OU VENTILAÇÃO. AF_08/2022</v>
      </c>
      <c r="D902" s="45" t="s">
        <v>59</v>
      </c>
      <c r="E902" s="44" t="str">
        <f aca="false">IF($B902="","",IFERROR(VLOOKUP($B902,#REF!,3,0),IFERROR(VLOOKUP($B902,03_COMPOSIÇÕES!$A:$G,4,0),"")))</f>
        <v>UN</v>
      </c>
      <c r="F902" s="46" t="n">
        <v>2</v>
      </c>
      <c r="G902" s="51" t="n">
        <f aca="false">VLOOKUP($B902,03_COMPOSIÇÕES!$A:$G,6,0)</f>
        <v>15.630004</v>
      </c>
      <c r="H902" s="52" t="n">
        <f aca="false">VLOOKUP($B902,03_COMPOSIÇÕES!$A:$G,7,0)</f>
        <v>1.55754604728</v>
      </c>
      <c r="I902" s="47" t="n">
        <f aca="false">$F902*$G902</f>
        <v>31.260008</v>
      </c>
      <c r="J902" s="47" t="n">
        <f aca="false">$F902*$H902</f>
        <v>3.11509209456</v>
      </c>
      <c r="K902" s="47" t="n">
        <f aca="false">$I902*(1+BDI_MAT)</f>
        <v>37.7058216496</v>
      </c>
      <c r="L902" s="47" t="n">
        <f aca="false">$J902*(1+BDI_MDO)</f>
        <v>3.97143091135454</v>
      </c>
      <c r="M902" s="47" t="n">
        <f aca="false">SUM(K902:L902)</f>
        <v>41.6772525609545</v>
      </c>
      <c r="N902" s="20" t="str">
        <f aca="false">A902</f>
        <v>16.1.3.2.15</v>
      </c>
    </row>
    <row r="903" customFormat="false" ht="30" hidden="false" customHeight="false" outlineLevel="3" collapsed="false">
      <c r="A903" s="42" t="s">
        <v>1288</v>
      </c>
      <c r="B903" s="43" t="n">
        <v>89624</v>
      </c>
      <c r="C903" s="50" t="str">
        <f aca="false">VLOOKUP($B903,03_COMPOSIÇÕES!$A:$G,2,0)</f>
        <v>TÊ DE REDUÇÃO, PVC, SOLDÁVEL, DN 40MM X 32MM, INSTALADO EM PRUMADA DE ÁGUA - FORNECIMENTO E INSTALAÇÃO. AF_06/2022</v>
      </c>
      <c r="D903" s="45" t="s">
        <v>59</v>
      </c>
      <c r="E903" s="44" t="str">
        <f aca="false">IF($B903="","",IFERROR(VLOOKUP($B903,#REF!,3,0),IFERROR(VLOOKUP($B903,03_COMPOSIÇÕES!$A:$G,4,0),"")))</f>
        <v>UN</v>
      </c>
      <c r="F903" s="46" t="n">
        <v>2</v>
      </c>
      <c r="G903" s="51" t="n">
        <f aca="false">VLOOKUP($B903,03_COMPOSIÇÕES!$A:$G,6,0)</f>
        <v>12.862296</v>
      </c>
      <c r="H903" s="52" t="n">
        <f aca="false">VLOOKUP($B903,03_COMPOSIÇÕES!$A:$G,7,0)</f>
        <v>4.35226762008</v>
      </c>
      <c r="I903" s="47" t="n">
        <f aca="false">$F903*$G903</f>
        <v>25.724592</v>
      </c>
      <c r="J903" s="47" t="n">
        <f aca="false">$F903*$H903</f>
        <v>8.70453524016</v>
      </c>
      <c r="K903" s="47" t="n">
        <f aca="false">$I903*(1+BDI_MAT)</f>
        <v>31.0290028704</v>
      </c>
      <c r="L903" s="47" t="n">
        <f aca="false">$J903*(1+BDI_MDO)</f>
        <v>11.09741197768</v>
      </c>
      <c r="M903" s="47" t="n">
        <f aca="false">SUM(K903:L903)</f>
        <v>42.12641484808</v>
      </c>
      <c r="N903" s="20" t="str">
        <f aca="false">A903</f>
        <v>16.1.3.2.16</v>
      </c>
    </row>
    <row r="904" customFormat="false" ht="30" hidden="false" customHeight="false" outlineLevel="3" collapsed="false">
      <c r="A904" s="42" t="s">
        <v>1289</v>
      </c>
      <c r="B904" s="43" t="n">
        <v>89869</v>
      </c>
      <c r="C904" s="50" t="str">
        <f aca="false">VLOOKUP($B904,03_COMPOSIÇÕES!$A:$G,2,0)</f>
        <v>TE, PVC, SOLDÁVEL, DN 25MM, INSTALADO EM DRENO DE AR-CONDICIONADO - FORNECIMENTO E INSTALAÇÃO. AF_08/2022</v>
      </c>
      <c r="D904" s="45" t="s">
        <v>59</v>
      </c>
      <c r="E904" s="44" t="str">
        <f aca="false">IF($B904="","",IFERROR(VLOOKUP($B904,#REF!,3,0),IFERROR(VLOOKUP($B904,03_COMPOSIÇÕES!$A:$G,4,0),"")))</f>
        <v>UN</v>
      </c>
      <c r="F904" s="46" t="n">
        <v>21</v>
      </c>
      <c r="G904" s="51" t="n">
        <f aca="false">VLOOKUP($B904,03_COMPOSIÇÕES!$A:$G,6,0)</f>
        <v>4.359266</v>
      </c>
      <c r="H904" s="52" t="n">
        <f aca="false">VLOOKUP($B904,03_COMPOSIÇÕES!$A:$G,7,0)</f>
        <v>5.02368243696</v>
      </c>
      <c r="I904" s="47" t="n">
        <f aca="false">$F904*$G904</f>
        <v>91.544586</v>
      </c>
      <c r="J904" s="47" t="n">
        <f aca="false">$F904*$H904</f>
        <v>105.49733117616</v>
      </c>
      <c r="K904" s="47" t="n">
        <f aca="false">$I904*(1+BDI_MAT)</f>
        <v>110.4210796332</v>
      </c>
      <c r="L904" s="47" t="n">
        <f aca="false">$J904*(1+BDI_MDO)</f>
        <v>134.498547516486</v>
      </c>
      <c r="M904" s="47" t="n">
        <f aca="false">SUM(K904:L904)</f>
        <v>244.919627149686</v>
      </c>
      <c r="N904" s="20" t="str">
        <f aca="false">A904</f>
        <v>16.1.3.2.17</v>
      </c>
    </row>
    <row r="905" customFormat="false" ht="30" hidden="false" customHeight="false" outlineLevel="3" collapsed="false">
      <c r="A905" s="42" t="s">
        <v>1290</v>
      </c>
      <c r="B905" s="43" t="n">
        <v>89623</v>
      </c>
      <c r="C905" s="50" t="str">
        <f aca="false">VLOOKUP($B905,03_COMPOSIÇÕES!$A:$G,2,0)</f>
        <v>TE, PVC, SOLDÁVEL, DN 40MM, INSTALADO EM PRUMADA DE ÁGUA - FORNECIMENTO E INSTALAÇÃO. AF_06/2022</v>
      </c>
      <c r="D905" s="45" t="s">
        <v>59</v>
      </c>
      <c r="E905" s="44" t="str">
        <f aca="false">IF($B905="","",IFERROR(VLOOKUP($B905,#REF!,3,0),IFERROR(VLOOKUP($B905,03_COMPOSIÇÕES!$A:$G,4,0),"")))</f>
        <v>UN</v>
      </c>
      <c r="F905" s="46" t="n">
        <v>6</v>
      </c>
      <c r="G905" s="51" t="n">
        <f aca="false">VLOOKUP($B905,03_COMPOSIÇÕES!$A:$G,6,0)</f>
        <v>12.347588</v>
      </c>
      <c r="H905" s="52" t="n">
        <f aca="false">VLOOKUP($B905,03_COMPOSIÇÕES!$A:$G,7,0)</f>
        <v>4.771475856</v>
      </c>
      <c r="I905" s="47" t="n">
        <f aca="false">$F905*$G905</f>
        <v>74.085528</v>
      </c>
      <c r="J905" s="47" t="n">
        <f aca="false">$F905*$H905</f>
        <v>28.628855136</v>
      </c>
      <c r="K905" s="47" t="n">
        <f aca="false">$I905*(1+BDI_MAT)</f>
        <v>89.3619638736</v>
      </c>
      <c r="L905" s="47" t="n">
        <f aca="false">$J905*(1+BDI_MDO)</f>
        <v>36.4989274128864</v>
      </c>
      <c r="M905" s="47" t="n">
        <f aca="false">SUM(K905:L905)</f>
        <v>125.860891286486</v>
      </c>
      <c r="N905" s="20" t="str">
        <f aca="false">A905</f>
        <v>16.1.3.2.18</v>
      </c>
    </row>
    <row r="906" customFormat="false" ht="15" hidden="false" customHeight="false" outlineLevel="2" collapsed="false">
      <c r="A906" s="42" t="s">
        <v>1291</v>
      </c>
      <c r="B906" s="43"/>
      <c r="C906" s="50" t="s">
        <v>1292</v>
      </c>
      <c r="D906" s="45"/>
      <c r="E906" s="44"/>
      <c r="F906" s="46"/>
      <c r="G906" s="51"/>
      <c r="H906" s="52"/>
      <c r="I906" s="47" t="n">
        <f aca="false">SUBTOTAL(9,I907)</f>
        <v>7094.50095780667</v>
      </c>
      <c r="J906" s="47" t="n">
        <f aca="false">SUBTOTAL(9,J907)</f>
        <v>513.477698239152</v>
      </c>
      <c r="K906" s="47" t="n">
        <f aca="false">SUBTOTAL(9,K907)</f>
        <v>8557.3870553064</v>
      </c>
      <c r="L906" s="47" t="n">
        <f aca="false">SUBTOTAL(9,L907)</f>
        <v>654.632717485095</v>
      </c>
      <c r="M906" s="47" t="n">
        <f aca="false">SUBTOTAL(9,M907)</f>
        <v>9212.0197727915</v>
      </c>
      <c r="N906" s="20" t="str">
        <f aca="false">A906</f>
        <v>16.1.4</v>
      </c>
    </row>
    <row r="907" customFormat="false" ht="30" hidden="false" customHeight="false" outlineLevel="2" collapsed="false">
      <c r="A907" s="42" t="s">
        <v>1293</v>
      </c>
      <c r="B907" s="43" t="s">
        <v>1294</v>
      </c>
      <c r="C907" s="50" t="str">
        <f aca="false">VLOOKUP($B907,03_COMPOSIÇÕES!$A:$G,2,0)</f>
        <v>CABO DE COBRE FLEXÍVEL TETRAPOLAR, 2,5 MM², ANTI-CHAMA 0,6/1,0 KV, PARA CIRCUITOS TERMINAIS - FORNECIMENTO E INSTALAÇÃO.</v>
      </c>
      <c r="D907" s="45" t="s">
        <v>59</v>
      </c>
      <c r="E907" s="44" t="str">
        <f aca="false">IF($B907="","",IFERROR(VLOOKUP($B907,#REF!,3,0),IFERROR(VLOOKUP($B907,03_COMPOSIÇÕES!$A:$G,4,0),"")))</f>
        <v>M</v>
      </c>
      <c r="F907" s="46" t="n">
        <v>509.83</v>
      </c>
      <c r="G907" s="51" t="n">
        <f aca="false">VLOOKUP($B907,03_COMPOSIÇÕES!$A:$G,6,0)</f>
        <v>13.9154246666667</v>
      </c>
      <c r="H907" s="52" t="n">
        <f aca="false">VLOOKUP($B907,03_COMPOSIÇÕES!$A:$G,7,0)</f>
        <v>1.0071547344</v>
      </c>
      <c r="I907" s="47" t="n">
        <f aca="false">$F907*$G907</f>
        <v>7094.50095780667</v>
      </c>
      <c r="J907" s="47" t="n">
        <f aca="false">$F907*$H907</f>
        <v>513.477698239152</v>
      </c>
      <c r="K907" s="47" t="n">
        <f aca="false">$I907*(1+BDI_MAT)</f>
        <v>8557.3870553064</v>
      </c>
      <c r="L907" s="47" t="n">
        <f aca="false">$J907*(1+BDI_MDO)</f>
        <v>654.632717485095</v>
      </c>
      <c r="M907" s="47" t="n">
        <f aca="false">SUM(K907:L907)</f>
        <v>9212.0197727915</v>
      </c>
      <c r="N907" s="20" t="str">
        <f aca="false">A907</f>
        <v>16.1.4.1</v>
      </c>
    </row>
    <row r="908" customFormat="false" ht="15" hidden="false" customHeight="false" outlineLevel="1" collapsed="false">
      <c r="A908" s="42" t="s">
        <v>1295</v>
      </c>
      <c r="B908" s="43"/>
      <c r="C908" s="50" t="s">
        <v>1296</v>
      </c>
      <c r="D908" s="45"/>
      <c r="E908" s="44"/>
      <c r="F908" s="46"/>
      <c r="G908" s="51"/>
      <c r="H908" s="52"/>
      <c r="I908" s="47" t="n">
        <f aca="false">SUM(I909,I914,I918)</f>
        <v>45113.3802387867</v>
      </c>
      <c r="J908" s="47" t="n">
        <f aca="false">SUM(J909,J914,J918)</f>
        <v>10479.9809286957</v>
      </c>
      <c r="K908" s="47" t="n">
        <f aca="false">SUM(K909,K914,K918)</f>
        <v>53163.6969937271</v>
      </c>
      <c r="L908" s="47" t="n">
        <f aca="false">SUM(L909,L914,L918)</f>
        <v>13360.9276859942</v>
      </c>
      <c r="M908" s="47" t="n">
        <f aca="false">SUM(M909,M914,M918)</f>
        <v>66524.6246797213</v>
      </c>
      <c r="N908" s="20" t="str">
        <f aca="false">A908</f>
        <v>16.2</v>
      </c>
    </row>
    <row r="909" customFormat="false" ht="15" hidden="false" customHeight="false" outlineLevel="1" collapsed="false">
      <c r="A909" s="42" t="s">
        <v>1297</v>
      </c>
      <c r="B909" s="43"/>
      <c r="C909" s="50" t="s">
        <v>1298</v>
      </c>
      <c r="D909" s="45"/>
      <c r="E909" s="44"/>
      <c r="F909" s="46"/>
      <c r="G909" s="51"/>
      <c r="H909" s="52"/>
      <c r="I909" s="47" t="n">
        <f aca="false">SUBTOTAL(9,I910:I913)</f>
        <v>3799.81337066667</v>
      </c>
      <c r="J909" s="47" t="n">
        <f aca="false">SUBTOTAL(9,J910:J913)</f>
        <v>3564.95754719322</v>
      </c>
      <c r="K909" s="47" t="n">
        <f aca="false">SUBTOTAL(9,K910:K913)</f>
        <v>4583.33488769813</v>
      </c>
      <c r="L909" s="47" t="n">
        <f aca="false">SUBTOTAL(9,L910:L913)</f>
        <v>4544.96437691664</v>
      </c>
      <c r="M909" s="47" t="n">
        <f aca="false">SUBTOTAL(9,M910:M913)</f>
        <v>9128.29926461477</v>
      </c>
      <c r="N909" s="20" t="str">
        <f aca="false">A909</f>
        <v>16.2.1</v>
      </c>
    </row>
    <row r="910" customFormat="false" ht="30" hidden="false" customHeight="false" outlineLevel="2" collapsed="false">
      <c r="A910" s="42" t="s">
        <v>1299</v>
      </c>
      <c r="B910" s="43" t="s">
        <v>1300</v>
      </c>
      <c r="C910" s="50" t="str">
        <f aca="false">VLOOKUP($B910,03_COMPOSIÇÕES!$A:$G,2,0)</f>
        <v>DIFUSOR PARA SISTEMA DE RENOVAÇÃO DE AR, Ø100 MM - FORNECIMENTO E INSTALAÇÃO.</v>
      </c>
      <c r="D910" s="45" t="s">
        <v>59</v>
      </c>
      <c r="E910" s="44" t="str">
        <f aca="false">IF($B910="","",IFERROR(VLOOKUP($B910,#REF!,3,0),IFERROR(VLOOKUP($B910,03_COMPOSIÇÕES!$A:$G,4,0),"")))</f>
        <v>UN</v>
      </c>
      <c r="F910" s="46" t="n">
        <v>28</v>
      </c>
      <c r="G910" s="51" t="n">
        <f aca="false">VLOOKUP($B910,03_COMPOSIÇÕES!$A:$G,6,0)</f>
        <v>64.2358866666667</v>
      </c>
      <c r="H910" s="52" t="n">
        <f aca="false">VLOOKUP($B910,03_COMPOSIÇÕES!$A:$G,7,0)</f>
        <v>45.12604490118</v>
      </c>
      <c r="I910" s="47" t="n">
        <f aca="false">$F910*$G910</f>
        <v>1798.60482666667</v>
      </c>
      <c r="J910" s="47" t="n">
        <f aca="false">$F910*$H910</f>
        <v>1263.52925723304</v>
      </c>
      <c r="K910" s="47" t="n">
        <f aca="false">$I910*(1+BDI_MAT)</f>
        <v>2169.47714192533</v>
      </c>
      <c r="L910" s="47" t="n">
        <f aca="false">$J910*(1+BDI_MDO)</f>
        <v>1610.8734500464</v>
      </c>
      <c r="M910" s="47" t="n">
        <f aca="false">SUM(K910:L910)</f>
        <v>3780.35059197174</v>
      </c>
      <c r="N910" s="20" t="str">
        <f aca="false">A910</f>
        <v>16.2.1.1</v>
      </c>
    </row>
    <row r="911" customFormat="false" ht="30" hidden="false" customHeight="false" outlineLevel="2" collapsed="false">
      <c r="A911" s="42" t="s">
        <v>1301</v>
      </c>
      <c r="B911" s="43" t="s">
        <v>1302</v>
      </c>
      <c r="C911" s="50" t="str">
        <f aca="false">VLOOKUP($B911,03_COMPOSIÇÕES!$A:$G,2,0)</f>
        <v>DIFUSOR PARA SISTEMA DE RENOVAÇÃO DE AR, Ø150 MM - FORNECIMENTO E INSTALAÇÃO.</v>
      </c>
      <c r="D911" s="45" t="s">
        <v>59</v>
      </c>
      <c r="E911" s="44" t="str">
        <f aca="false">IF($B911="","",IFERROR(VLOOKUP($B911,#REF!,3,0),IFERROR(VLOOKUP($B911,03_COMPOSIÇÕES!$A:$G,4,0),"")))</f>
        <v>UN</v>
      </c>
      <c r="F911" s="46" t="n">
        <v>6</v>
      </c>
      <c r="G911" s="51" t="n">
        <f aca="false">VLOOKUP($B911,03_COMPOSIÇÕES!$A:$G,6,0)</f>
        <v>88.0856073333333</v>
      </c>
      <c r="H911" s="52" t="n">
        <f aca="false">VLOOKUP($B911,03_COMPOSIÇÕES!$A:$G,7,0)</f>
        <v>45.12604490118</v>
      </c>
      <c r="I911" s="47" t="n">
        <f aca="false">$F911*$G911</f>
        <v>528.513644</v>
      </c>
      <c r="J911" s="47" t="n">
        <f aca="false">$F911*$H911</f>
        <v>270.75626940708</v>
      </c>
      <c r="K911" s="47" t="n">
        <f aca="false">$I911*(1+BDI_MAT)</f>
        <v>637.4931573928</v>
      </c>
      <c r="L911" s="47" t="n">
        <f aca="false">$J911*(1+BDI_MDO)</f>
        <v>345.187167867086</v>
      </c>
      <c r="M911" s="47" t="n">
        <f aca="false">SUM(K911:L911)</f>
        <v>982.680325259886</v>
      </c>
      <c r="N911" s="20" t="str">
        <f aca="false">A911</f>
        <v>16.2.1.2</v>
      </c>
    </row>
    <row r="912" customFormat="false" ht="30" hidden="false" customHeight="false" outlineLevel="2" collapsed="false">
      <c r="A912" s="42" t="s">
        <v>1303</v>
      </c>
      <c r="B912" s="43" t="s">
        <v>1304</v>
      </c>
      <c r="C912" s="50" t="str">
        <f aca="false">VLOOKUP($B912,03_COMPOSIÇÕES!$A:$G,2,0)</f>
        <v>GRELHA PARA SISTEMA DE RENOVAÇÃO DE AR, Ø150 MM - FORNECIMENTO E INSTALAÇÃO.</v>
      </c>
      <c r="D912" s="45" t="s">
        <v>59</v>
      </c>
      <c r="E912" s="44" t="str">
        <f aca="false">IF($B912="","",IFERROR(VLOOKUP($B912,#REF!,3,0),IFERROR(VLOOKUP($B912,03_COMPOSIÇÕES!$A:$G,4,0),"")))</f>
        <v>UN</v>
      </c>
      <c r="F912" s="46" t="n">
        <v>38</v>
      </c>
      <c r="G912" s="51" t="n">
        <f aca="false">VLOOKUP($B912,03_COMPOSIÇÕES!$A:$G,6,0)</f>
        <v>31.4478866666667</v>
      </c>
      <c r="H912" s="52" t="n">
        <f aca="false">VLOOKUP($B912,03_COMPOSIÇÕES!$A:$G,7,0)</f>
        <v>45.12604490118</v>
      </c>
      <c r="I912" s="47" t="n">
        <f aca="false">$F912*$G912</f>
        <v>1195.01969333333</v>
      </c>
      <c r="J912" s="47" t="n">
        <f aca="false">$F912*$H912</f>
        <v>1714.78970624484</v>
      </c>
      <c r="K912" s="47" t="n">
        <f aca="false">$I912*(1+BDI_MAT)</f>
        <v>1441.43275409867</v>
      </c>
      <c r="L912" s="47" t="n">
        <f aca="false">$J912*(1+BDI_MDO)</f>
        <v>2186.18539649155</v>
      </c>
      <c r="M912" s="47" t="n">
        <f aca="false">SUM(K912:L912)</f>
        <v>3627.61815059021</v>
      </c>
      <c r="N912" s="20" t="str">
        <f aca="false">A912</f>
        <v>16.2.1.3</v>
      </c>
    </row>
    <row r="913" customFormat="false" ht="30" hidden="false" customHeight="false" outlineLevel="2" collapsed="false">
      <c r="A913" s="42" t="s">
        <v>1305</v>
      </c>
      <c r="B913" s="43" t="s">
        <v>1306</v>
      </c>
      <c r="C913" s="50" t="str">
        <f aca="false">VLOOKUP($B913,03_COMPOSIÇÕES!$A:$G,2,0)</f>
        <v>GRELHA PARA SISTEMA DE RENOVAÇÃO DE AR, Ø200 MM - FORNECIMENTO E INSTALAÇÃO.</v>
      </c>
      <c r="D913" s="45" t="s">
        <v>59</v>
      </c>
      <c r="E913" s="44" t="str">
        <f aca="false">IF($B913="","",IFERROR(VLOOKUP($B913,#REF!,3,0),IFERROR(VLOOKUP($B913,03_COMPOSIÇÕES!$A:$G,4,0),"")))</f>
        <v>UN</v>
      </c>
      <c r="F913" s="46" t="n">
        <v>7</v>
      </c>
      <c r="G913" s="51" t="n">
        <f aca="false">VLOOKUP($B913,03_COMPOSIÇÕES!$A:$G,6,0)</f>
        <v>39.6678866666667</v>
      </c>
      <c r="H913" s="52" t="n">
        <f aca="false">VLOOKUP($B913,03_COMPOSIÇÕES!$A:$G,7,0)</f>
        <v>45.12604490118</v>
      </c>
      <c r="I913" s="47" t="n">
        <f aca="false">$F913*$G913</f>
        <v>277.675206666667</v>
      </c>
      <c r="J913" s="47" t="n">
        <f aca="false">$F913*$H913</f>
        <v>315.88231430826</v>
      </c>
      <c r="K913" s="47" t="n">
        <f aca="false">$I913*(1+BDI_MAT)</f>
        <v>334.931834281333</v>
      </c>
      <c r="L913" s="47" t="n">
        <f aca="false">$J913*(1+BDI_MDO)</f>
        <v>402.718362511601</v>
      </c>
      <c r="M913" s="47" t="n">
        <f aca="false">SUM(K913:L913)</f>
        <v>737.650196792934</v>
      </c>
      <c r="N913" s="20" t="str">
        <f aca="false">A913</f>
        <v>16.2.1.4</v>
      </c>
    </row>
    <row r="914" customFormat="false" ht="15" hidden="false" customHeight="false" outlineLevel="1" collapsed="false">
      <c r="A914" s="42" t="s">
        <v>1307</v>
      </c>
      <c r="B914" s="43"/>
      <c r="C914" s="50" t="s">
        <v>607</v>
      </c>
      <c r="D914" s="45"/>
      <c r="E914" s="44"/>
      <c r="F914" s="46"/>
      <c r="G914" s="51"/>
      <c r="H914" s="52"/>
      <c r="I914" s="47" t="n">
        <f aca="false">SUBTOTAL(9,I915:I917)</f>
        <v>23078.34</v>
      </c>
      <c r="J914" s="47" t="n">
        <f aca="false">SUBTOTAL(9,J915:J917)</f>
        <v>403.6834512</v>
      </c>
      <c r="K914" s="47" t="n">
        <f aca="false">SUBTOTAL(9,K915:K917)</f>
        <v>26585.0314577026</v>
      </c>
      <c r="L914" s="47" t="n">
        <f aca="false">SUBTOTAL(9,L915:L917)</f>
        <v>514.65603193488</v>
      </c>
      <c r="M914" s="47" t="n">
        <f aca="false">SUBTOTAL(9,M915:M917)</f>
        <v>27099.6874896375</v>
      </c>
      <c r="N914" s="20" t="str">
        <f aca="false">A914</f>
        <v>16.2.2</v>
      </c>
    </row>
    <row r="915" customFormat="false" ht="45" hidden="false" customHeight="false" outlineLevel="2" collapsed="false">
      <c r="A915" s="42" t="s">
        <v>1308</v>
      </c>
      <c r="B915" s="43" t="s">
        <v>1309</v>
      </c>
      <c r="C915" s="50" t="str">
        <f aca="false">VLOOKUP($B915,03_COMPOSIÇÕES!$A:$G,2,0)</f>
        <v>EXAUSTOR PARA SISTEMA DE RENOVAÇÃO DE AR, VAZÃO MÁXIMA 902 M3/H, MODELO MAX S PRO 200. REF. SICFLUX OU SIMILAR - FORNECIMENTO E INSTALAÇÃO.</v>
      </c>
      <c r="D915" s="45" t="s">
        <v>59</v>
      </c>
      <c r="E915" s="44" t="str">
        <f aca="false">IF($B915="","",IFERROR(VLOOKUP($B915,#REF!,3,0),IFERROR(VLOOKUP($B915,03_COMPOSIÇÕES!$A:$G,4,0),"")))</f>
        <v>UN</v>
      </c>
      <c r="F915" s="46" t="n">
        <v>7</v>
      </c>
      <c r="G915" s="51" t="n">
        <f aca="false">VLOOKUP($B915,03_COMPOSIÇÕES!$A:$G,6,0)</f>
        <v>819.54</v>
      </c>
      <c r="H915" s="52" t="n">
        <f aca="false">VLOOKUP($B915,03_COMPOSIÇÕES!$A:$G,7,0)</f>
        <v>34.7294736</v>
      </c>
      <c r="I915" s="47" t="n">
        <f aca="false">$F915*$G915</f>
        <v>5736.78</v>
      </c>
      <c r="J915" s="47" t="n">
        <f aca="false">$F915*$H915</f>
        <v>243.1063152</v>
      </c>
      <c r="K915" s="47" t="n">
        <f aca="false">$I915*(1+BDI_DIF)</f>
        <v>6608.4682332403</v>
      </c>
      <c r="L915" s="47" t="n">
        <f aca="false">$J915*(1+BDI_MDO)</f>
        <v>309.93624124848</v>
      </c>
      <c r="M915" s="47" t="n">
        <f aca="false">SUM(K915:L915)</f>
        <v>6918.40447448878</v>
      </c>
      <c r="N915" s="20" t="str">
        <f aca="false">A915</f>
        <v>*16.2.2.1</v>
      </c>
    </row>
    <row r="916" customFormat="false" ht="45" hidden="false" customHeight="false" outlineLevel="2" collapsed="false">
      <c r="A916" s="42" t="s">
        <v>1310</v>
      </c>
      <c r="B916" s="43" t="s">
        <v>1311</v>
      </c>
      <c r="C916" s="50" t="str">
        <f aca="false">VLOOKUP($B916,03_COMPOSIÇÕES!$A:$G,2,0)</f>
        <v>GABINETE DE VENTILAÇÃO PARA SISTEMA DE RENOVAÇÃO DE AR, VAZÃO MÁXIMA 218 M3/H, MODELO FH125 - G4/M5. REF. SICFLUX, OU SIMILAR - FORNECIMENTO E INSTALAÇÃO.</v>
      </c>
      <c r="D916" s="45" t="s">
        <v>59</v>
      </c>
      <c r="E916" s="44" t="str">
        <f aca="false">IF($B916="","",IFERROR(VLOOKUP($B916,#REF!,3,0),IFERROR(VLOOKUP($B916,03_COMPOSIÇÕES!$A:$G,4,0),"")))</f>
        <v>UN</v>
      </c>
      <c r="F916" s="46" t="n">
        <v>1</v>
      </c>
      <c r="G916" s="51" t="n">
        <f aca="false">VLOOKUP($B916,03_COMPOSIÇÕES!$A:$G,6,0)</f>
        <v>15.08</v>
      </c>
      <c r="H916" s="52" t="n">
        <f aca="false">VLOOKUP($B916,03_COMPOSIÇÕES!$A:$G,7,0)</f>
        <v>34.7294736</v>
      </c>
      <c r="I916" s="47" t="n">
        <f aca="false">$F916*$G916</f>
        <v>15.08</v>
      </c>
      <c r="J916" s="47" t="n">
        <f aca="false">$F916*$H916</f>
        <v>34.7294736</v>
      </c>
      <c r="K916" s="47" t="n">
        <f aca="false">$I916*(1+BDI_DIF)</f>
        <v>17.3713652880647</v>
      </c>
      <c r="L916" s="47" t="n">
        <f aca="false">$J916*(1+BDI_MDO)</f>
        <v>44.27660589264</v>
      </c>
      <c r="M916" s="47" t="n">
        <f aca="false">SUM(K916:L916)</f>
        <v>61.6479711807047</v>
      </c>
      <c r="N916" s="20" t="str">
        <f aca="false">A916</f>
        <v>*16.2.2.2</v>
      </c>
    </row>
    <row r="917" customFormat="false" ht="45" hidden="false" customHeight="false" outlineLevel="2" collapsed="false">
      <c r="A917" s="42" t="s">
        <v>1312</v>
      </c>
      <c r="B917" s="43" t="s">
        <v>1313</v>
      </c>
      <c r="C917" s="50" t="str">
        <f aca="false">VLOOKUP($B917,03_COMPOSIÇÕES!$A:$G,2,0)</f>
        <v>GABINETE DE VENTILAÇÃO PARA SISTEMA DE RENOVAÇÃO DE AR, VAZÃO MÁXIMA 430 M3/H, MODELO FH150 - G4/F8. REF. SICFLUX, OU SIMILAR - FORNECIMENTO E INSTALAÇÃO.</v>
      </c>
      <c r="D917" s="45" t="s">
        <v>59</v>
      </c>
      <c r="E917" s="44" t="str">
        <f aca="false">IF($B917="","",IFERROR(VLOOKUP($B917,#REF!,3,0),IFERROR(VLOOKUP($B917,03_COMPOSIÇÕES!$A:$G,4,0),"")))</f>
        <v>UN</v>
      </c>
      <c r="F917" s="46" t="n">
        <v>6</v>
      </c>
      <c r="G917" s="51" t="n">
        <f aca="false">VLOOKUP($B917,03_COMPOSIÇÕES!$A:$G,6,0)</f>
        <v>2887.74666666667</v>
      </c>
      <c r="H917" s="52" t="n">
        <f aca="false">VLOOKUP($B917,03_COMPOSIÇÕES!$A:$G,7,0)</f>
        <v>20.9746104</v>
      </c>
      <c r="I917" s="47" t="n">
        <f aca="false">$F917*$G917</f>
        <v>17326.48</v>
      </c>
      <c r="J917" s="47" t="n">
        <f aca="false">$F917*$H917</f>
        <v>125.8476624</v>
      </c>
      <c r="K917" s="47" t="n">
        <f aca="false">$I917*(1+BDI_DIF)</f>
        <v>19959.1918591742</v>
      </c>
      <c r="L917" s="47" t="n">
        <f aca="false">$J917*(1+BDI_MDO)</f>
        <v>160.44318479376</v>
      </c>
      <c r="M917" s="47" t="n">
        <f aca="false">SUM(K917:L917)</f>
        <v>20119.635043968</v>
      </c>
      <c r="N917" s="20" t="str">
        <f aca="false">A917</f>
        <v>*16.2.2.3</v>
      </c>
    </row>
    <row r="918" customFormat="false" ht="15" hidden="false" customHeight="false" outlineLevel="1" collapsed="false">
      <c r="A918" s="42" t="s">
        <v>1314</v>
      </c>
      <c r="B918" s="43"/>
      <c r="C918" s="50" t="s">
        <v>1315</v>
      </c>
      <c r="D918" s="45"/>
      <c r="E918" s="44"/>
      <c r="F918" s="46"/>
      <c r="G918" s="51"/>
      <c r="H918" s="52"/>
      <c r="I918" s="47" t="n">
        <f aca="false">SUBTOTAL(9,I919:I922)</f>
        <v>18235.22686812</v>
      </c>
      <c r="J918" s="47" t="n">
        <f aca="false">SUBTOTAL(9,J919:J922)</f>
        <v>6511.33993030252</v>
      </c>
      <c r="K918" s="47" t="n">
        <f aca="false">SUBTOTAL(9,K919:K922)</f>
        <v>21995.3306483263</v>
      </c>
      <c r="L918" s="47" t="n">
        <f aca="false">SUBTOTAL(9,L919:L922)</f>
        <v>8301.30727714269</v>
      </c>
      <c r="M918" s="47" t="n">
        <f aca="false">SUBTOTAL(9,M919:M922)</f>
        <v>30296.637925469</v>
      </c>
      <c r="N918" s="20" t="str">
        <f aca="false">A918</f>
        <v>16.2.3</v>
      </c>
    </row>
    <row r="919" customFormat="false" ht="30" hidden="false" customHeight="false" outlineLevel="1" collapsed="false">
      <c r="A919" s="42" t="s">
        <v>1316</v>
      </c>
      <c r="B919" s="43" t="s">
        <v>1317</v>
      </c>
      <c r="C919" s="50" t="str">
        <f aca="false">VLOOKUP($B919,03_COMPOSIÇÕES!$A:$G,2,0)</f>
        <v>INSTALAÇÃO DE DUTO FLEXÍVEL CIRCULAR PARA SISTEMA DE RENOVAÇÃO DE AR, EM ALUMÍNIO DN 100 MM.</v>
      </c>
      <c r="D919" s="45" t="s">
        <v>59</v>
      </c>
      <c r="E919" s="44" t="str">
        <f aca="false">IF($B919="","",IFERROR(VLOOKUP($B919,#REF!,3,0),IFERROR(VLOOKUP($B919,03_COMPOSIÇÕES!$A:$G,4,0),"")))</f>
        <v>M</v>
      </c>
      <c r="F919" s="46" t="n">
        <v>33.67</v>
      </c>
      <c r="G919" s="51" t="n">
        <f aca="false">VLOOKUP($B919,03_COMPOSIÇÕES!$A:$G,6,0)</f>
        <v>21.165847</v>
      </c>
      <c r="H919" s="52" t="n">
        <f aca="false">VLOOKUP($B919,03_COMPOSIÇÕES!$A:$G,7,0)</f>
        <v>20.94070834653</v>
      </c>
      <c r="I919" s="47" t="n">
        <f aca="false">$F919*$G919</f>
        <v>712.65406849</v>
      </c>
      <c r="J919" s="47" t="n">
        <f aca="false">$F919*$H919</f>
        <v>705.073650027665</v>
      </c>
      <c r="K919" s="47" t="n">
        <f aca="false">$I919*(1+BDI_MAT)</f>
        <v>859.603337412638</v>
      </c>
      <c r="L919" s="47" t="n">
        <f aca="false">$J919*(1+BDI_MDO)</f>
        <v>898.89839642027</v>
      </c>
      <c r="M919" s="47" t="n">
        <f aca="false">SUM(K919:L919)</f>
        <v>1758.50173383291</v>
      </c>
      <c r="N919" s="20" t="str">
        <f aca="false">A919</f>
        <v>16.2.3.1</v>
      </c>
    </row>
    <row r="920" customFormat="false" ht="30" hidden="false" customHeight="false" outlineLevel="1" collapsed="false">
      <c r="A920" s="42" t="s">
        <v>1318</v>
      </c>
      <c r="B920" s="43" t="s">
        <v>1319</v>
      </c>
      <c r="C920" s="50" t="str">
        <f aca="false">VLOOKUP($B920,03_COMPOSIÇÕES!$A:$G,2,0)</f>
        <v>INSTALAÇÃO DE DUTO FLEXÍVEL CIRCULAR PARA SISTEMA DE RENOVAÇÃO DE AR, DN 150 MM.</v>
      </c>
      <c r="D920" s="45" t="s">
        <v>59</v>
      </c>
      <c r="E920" s="44" t="str">
        <f aca="false">IF($B920="","",IFERROR(VLOOKUP($B920,#REF!,3,0),IFERROR(VLOOKUP($B920,03_COMPOSIÇÕES!$A:$G,4,0),"")))</f>
        <v>M</v>
      </c>
      <c r="F920" s="46" t="n">
        <v>40.53</v>
      </c>
      <c r="G920" s="51" t="n">
        <f aca="false">VLOOKUP($B920,03_COMPOSIÇÕES!$A:$G,6,0)</f>
        <v>28.670657</v>
      </c>
      <c r="H920" s="52" t="n">
        <f aca="false">VLOOKUP($B920,03_COMPOSIÇÕES!$A:$G,7,0)</f>
        <v>22.67389629136</v>
      </c>
      <c r="I920" s="47" t="n">
        <f aca="false">$F920*$G920</f>
        <v>1162.02172821</v>
      </c>
      <c r="J920" s="47" t="n">
        <f aca="false">$F920*$H920</f>
        <v>918.973016688821</v>
      </c>
      <c r="K920" s="47" t="n">
        <f aca="false">$I920*(1+BDI_MAT)</f>
        <v>1401.6306085669</v>
      </c>
      <c r="L920" s="47" t="n">
        <f aca="false">$J920*(1+BDI_MDO)</f>
        <v>1171.59869897658</v>
      </c>
      <c r="M920" s="47" t="n">
        <f aca="false">SUM(K920:L920)</f>
        <v>2573.22930754348</v>
      </c>
      <c r="N920" s="20" t="str">
        <f aca="false">A920</f>
        <v>16.2.3.2</v>
      </c>
    </row>
    <row r="921" customFormat="false" ht="45" hidden="false" customHeight="false" outlineLevel="1" collapsed="false">
      <c r="A921" s="42" t="s">
        <v>1320</v>
      </c>
      <c r="B921" s="43" t="s">
        <v>1321</v>
      </c>
      <c r="C921" s="50" t="str">
        <f aca="false">VLOOKUP($B921,03_COMPOSIÇÕES!$A:$G,2,0)</f>
        <v>INSTALAÇÃO DE DUTO PARA SISTEMA DE RENOVAÇÃO DE AR, EM CHAPA GALVANIZADA BITOLA 22, SEM ISOLAMENTO - FORNECIMENTO E INSTALAÇÃO.</v>
      </c>
      <c r="D921" s="45" t="s">
        <v>59</v>
      </c>
      <c r="E921" s="44" t="str">
        <f aca="false">IF($B921="","",IFERROR(VLOOKUP($B921,#REF!,3,0),IFERROR(VLOOKUP($B921,03_COMPOSIÇÕES!$A:$G,4,0),"")))</f>
        <v>M2</v>
      </c>
      <c r="F921" s="46" t="n">
        <v>124.36</v>
      </c>
      <c r="G921" s="51" t="n">
        <f aca="false">VLOOKUP($B921,03_COMPOSIÇÕES!$A:$G,6,0)</f>
        <v>119.203863</v>
      </c>
      <c r="H921" s="52" t="n">
        <f aca="false">VLOOKUP($B921,03_COMPOSIÇÕES!$A:$G,7,0)</f>
        <v>32.1306172524</v>
      </c>
      <c r="I921" s="47" t="n">
        <f aca="false">$F921*$G921</f>
        <v>14824.19240268</v>
      </c>
      <c r="J921" s="47" t="n">
        <f aca="false">$F921*$H921</f>
        <v>3995.76356150846</v>
      </c>
      <c r="K921" s="47" t="n">
        <f aca="false">$I921*(1+BDI_MAT)</f>
        <v>17880.9408761126</v>
      </c>
      <c r="L921" s="47" t="n">
        <f aca="false">$J921*(1+BDI_MDO)</f>
        <v>5094.19896456714</v>
      </c>
      <c r="M921" s="47" t="n">
        <f aca="false">SUM(K921:L921)</f>
        <v>22975.1398406798</v>
      </c>
      <c r="N921" s="20" t="str">
        <f aca="false">A921</f>
        <v>16.2.3.3</v>
      </c>
    </row>
    <row r="922" customFormat="false" ht="45" hidden="false" customHeight="false" outlineLevel="1" collapsed="false">
      <c r="A922" s="42" t="s">
        <v>1322</v>
      </c>
      <c r="B922" s="43" t="s">
        <v>1323</v>
      </c>
      <c r="C922" s="50" t="str">
        <f aca="false">VLOOKUP($B922,03_COMPOSIÇÕES!$A:$G,2,0)</f>
        <v>INSTALAÇÃO DE CURVA, REDUÇÃO OU TÊ PARA DUTO PARA SISTEMA DE RENOVAÇÃO DE AR, EM CHAPA GALVANIZADA BITOLA 22, SEM ISOLAMENTO - FORNECIMENTO E INSTALAÇÃO.</v>
      </c>
      <c r="D922" s="45" t="s">
        <v>59</v>
      </c>
      <c r="E922" s="44" t="str">
        <f aca="false">IF($B922="","",IFERROR(VLOOKUP($B922,#REF!,3,0),IFERROR(VLOOKUP($B922,03_COMPOSIÇÕES!$A:$G,4,0),"")))</f>
        <v>M2</v>
      </c>
      <c r="F922" s="46" t="n">
        <v>14.42</v>
      </c>
      <c r="G922" s="51" t="n">
        <f aca="false">VLOOKUP($B922,03_COMPOSIÇÕES!$A:$G,6,0)</f>
        <v>106.543597</v>
      </c>
      <c r="H922" s="52" t="n">
        <f aca="false">VLOOKUP($B922,03_COMPOSIÇÕES!$A:$G,7,0)</f>
        <v>61.82591553936</v>
      </c>
      <c r="I922" s="47" t="n">
        <f aca="false">$F922*$G922</f>
        <v>1536.35866874</v>
      </c>
      <c r="J922" s="47" t="n">
        <f aca="false">$F922*$H922</f>
        <v>891.529702077571</v>
      </c>
      <c r="K922" s="47" t="n">
        <f aca="false">$I922*(1+BDI_MAT)</f>
        <v>1853.15582623419</v>
      </c>
      <c r="L922" s="47" t="n">
        <f aca="false">$J922*(1+BDI_MDO)</f>
        <v>1136.6112171787</v>
      </c>
      <c r="M922" s="47" t="n">
        <f aca="false">SUM(K922:L922)</f>
        <v>2989.76704341288</v>
      </c>
      <c r="N922" s="20" t="str">
        <f aca="false">A922</f>
        <v>16.2.3.4</v>
      </c>
    </row>
    <row r="923" customFormat="false" ht="15" hidden="false" customHeight="false" outlineLevel="0" collapsed="false">
      <c r="A923" s="42" t="n">
        <v>17</v>
      </c>
      <c r="B923" s="43"/>
      <c r="C923" s="50" t="s">
        <v>1324</v>
      </c>
      <c r="D923" s="45"/>
      <c r="E923" s="44"/>
      <c r="F923" s="46"/>
      <c r="G923" s="51"/>
      <c r="H923" s="52"/>
      <c r="I923" s="47" t="n">
        <f aca="false">SUM(I924,I927,I936)</f>
        <v>59257.3242395237</v>
      </c>
      <c r="J923" s="47" t="n">
        <f aca="false">SUM(J924,J927,J936)</f>
        <v>6438.48827670984</v>
      </c>
      <c r="K923" s="47" t="n">
        <f aca="false">SUM(K924,K927,K936)</f>
        <v>71476.1844977134</v>
      </c>
      <c r="L923" s="47" t="n">
        <f aca="false">SUM(L924,L927,L936)</f>
        <v>8208.42870397737</v>
      </c>
      <c r="M923" s="47" t="n">
        <f aca="false">SUM(M924,M927,M936)</f>
        <v>79684.6132016908</v>
      </c>
      <c r="N923" s="20" t="n">
        <f aca="false">A923</f>
        <v>17</v>
      </c>
    </row>
    <row r="924" customFormat="false" ht="15" hidden="false" customHeight="false" outlineLevel="1" collapsed="false">
      <c r="A924" s="42" t="s">
        <v>1325</v>
      </c>
      <c r="B924" s="43"/>
      <c r="C924" s="50" t="s">
        <v>508</v>
      </c>
      <c r="D924" s="45"/>
      <c r="E924" s="44"/>
      <c r="F924" s="46"/>
      <c r="G924" s="51"/>
      <c r="H924" s="52"/>
      <c r="I924" s="47" t="n">
        <f aca="false">SUBTOTAL(9,I925:I926)</f>
        <v>12273.43572963</v>
      </c>
      <c r="J924" s="47" t="n">
        <f aca="false">SUBTOTAL(9,J925:J926)</f>
        <v>2345.49084308558</v>
      </c>
      <c r="K924" s="47" t="n">
        <f aca="false">SUBTOTAL(9,K925:K926)</f>
        <v>14804.2181770797</v>
      </c>
      <c r="L924" s="47" t="n">
        <f aca="false">SUBTOTAL(9,L925:L926)</f>
        <v>2990.26627584981</v>
      </c>
      <c r="M924" s="47" t="n">
        <f aca="false">SUBTOTAL(9,M925:M926)</f>
        <v>17794.4844529295</v>
      </c>
      <c r="N924" s="20" t="str">
        <f aca="false">A924</f>
        <v>17.1</v>
      </c>
    </row>
    <row r="925" customFormat="false" ht="15" hidden="false" customHeight="false" outlineLevel="2" collapsed="false">
      <c r="A925" s="42" t="s">
        <v>1326</v>
      </c>
      <c r="B925" s="43" t="n">
        <v>98519</v>
      </c>
      <c r="C925" s="50" t="str">
        <f aca="false">VLOOKUP($B925,03_COMPOSIÇÕES!$A:$G,2,0)</f>
        <v>REVOLVIMENTO E LIMPEZA MANUAL DE SOLO. AF_07/2024</v>
      </c>
      <c r="D925" s="45" t="s">
        <v>59</v>
      </c>
      <c r="E925" s="44" t="str">
        <f aca="false">IF($B925="","",IFERROR(VLOOKUP($B925,#REF!,3,0),IFERROR(VLOOKUP($B925,03_COMPOSIÇÕES!$A:$G,4,0),"")))</f>
        <v>M2</v>
      </c>
      <c r="F925" s="46" t="n">
        <v>899.79</v>
      </c>
      <c r="G925" s="51" t="n">
        <f aca="false">VLOOKUP($B925,03_COMPOSIÇÕES!$A:$G,6,0)</f>
        <v>1.22724</v>
      </c>
      <c r="H925" s="52" t="n">
        <f aca="false">VLOOKUP($B925,03_COMPOSIÇÕES!$A:$G,7,0)</f>
        <v>2.3757307476</v>
      </c>
      <c r="I925" s="47" t="n">
        <f aca="false">$F925*$G925</f>
        <v>1104.2582796</v>
      </c>
      <c r="J925" s="47" t="n">
        <f aca="false">$F925*$H925</f>
        <v>2137.658769383</v>
      </c>
      <c r="K925" s="47" t="n">
        <f aca="false">$I925*(1+BDI_MAT)</f>
        <v>1331.95633685352</v>
      </c>
      <c r="L925" s="47" t="n">
        <f aca="false">$J925*(1+BDI_MDO)</f>
        <v>2725.30116508639</v>
      </c>
      <c r="M925" s="47" t="n">
        <f aca="false">SUM(K925:L925)</f>
        <v>4057.25750193991</v>
      </c>
      <c r="N925" s="20" t="str">
        <f aca="false">A925</f>
        <v>17.1.1</v>
      </c>
    </row>
    <row r="926" customFormat="false" ht="15" hidden="false" customHeight="false" outlineLevel="2" collapsed="false">
      <c r="A926" s="42" t="s">
        <v>1327</v>
      </c>
      <c r="B926" s="43" t="s">
        <v>1328</v>
      </c>
      <c r="C926" s="50" t="str">
        <f aca="false">VLOOKUP($B926,03_COMPOSIÇÕES!$A:$G,2,0)</f>
        <v>APLICAÇÃO DE ADUBO +TERRA, EM SOLO.</v>
      </c>
      <c r="D926" s="45" t="s">
        <v>59</v>
      </c>
      <c r="E926" s="44" t="str">
        <f aca="false">IF($B926="","",IFERROR(VLOOKUP($B926,#REF!,3,0),IFERROR(VLOOKUP($B926,03_COMPOSIÇÕES!$A:$G,4,0),"")))</f>
        <v>M3</v>
      </c>
      <c r="F926" s="46" t="n">
        <v>183.87</v>
      </c>
      <c r="G926" s="51" t="n">
        <f aca="false">VLOOKUP($B926,03_COMPOSIÇÕES!$A:$G,6,0)</f>
        <v>60.744969</v>
      </c>
      <c r="H926" s="52" t="n">
        <f aca="false">VLOOKUP($B926,03_COMPOSIÇÕES!$A:$G,7,0)</f>
        <v>1.13032073586</v>
      </c>
      <c r="I926" s="47" t="n">
        <f aca="false">$F926*$G926</f>
        <v>11169.17745003</v>
      </c>
      <c r="J926" s="47" t="n">
        <f aca="false">$F926*$H926</f>
        <v>207.832073702578</v>
      </c>
      <c r="K926" s="47" t="n">
        <f aca="false">$I926*(1+BDI_MAT)</f>
        <v>13472.2618402262</v>
      </c>
      <c r="L926" s="47" t="n">
        <f aca="false">$J926*(1+BDI_MDO)</f>
        <v>264.965110763417</v>
      </c>
      <c r="M926" s="47" t="n">
        <f aca="false">SUM(K926:L926)</f>
        <v>13737.2269509896</v>
      </c>
      <c r="N926" s="20" t="str">
        <f aca="false">A926</f>
        <v>17.1.2</v>
      </c>
    </row>
    <row r="927" customFormat="false" ht="15" hidden="false" customHeight="false" outlineLevel="1" collapsed="false">
      <c r="A927" s="42" t="s">
        <v>1329</v>
      </c>
      <c r="B927" s="43"/>
      <c r="C927" s="50" t="s">
        <v>1330</v>
      </c>
      <c r="D927" s="45"/>
      <c r="E927" s="44"/>
      <c r="F927" s="46"/>
      <c r="G927" s="51"/>
      <c r="H927" s="52"/>
      <c r="I927" s="47" t="n">
        <f aca="false">SUBTOTAL(9,I928:I935)</f>
        <v>38496.3138207687</v>
      </c>
      <c r="J927" s="47" t="n">
        <f aca="false">SUBTOTAL(9,J928:J935)</f>
        <v>2609.25798215257</v>
      </c>
      <c r="K927" s="47" t="n">
        <f aca="false">SUBTOTAL(9,K928:K935)</f>
        <v>46434.2537306112</v>
      </c>
      <c r="L927" s="47" t="n">
        <f aca="false">SUBTOTAL(9,L928:L935)</f>
        <v>3326.54300144631</v>
      </c>
      <c r="M927" s="47" t="n">
        <f aca="false">SUBTOTAL(9,M928:M935)</f>
        <v>49760.7967320575</v>
      </c>
      <c r="N927" s="20" t="str">
        <f aca="false">A927</f>
        <v>17.2</v>
      </c>
    </row>
    <row r="928" customFormat="false" ht="30" hidden="false" customHeight="false" outlineLevel="2" collapsed="false">
      <c r="A928" s="42" t="s">
        <v>1331</v>
      </c>
      <c r="B928" s="43" t="s">
        <v>1332</v>
      </c>
      <c r="C928" s="50" t="str">
        <f aca="false">VLOOKUP($B928,03_COMPOSIÇÕES!$A:$G,2,0)</f>
        <v>PLANTIO DE PALMEIRA FENIX, COM ALTURA DE MUDA MAIOR QUE 2,00 M E MENOR OU IGUAL A 4,00 M.</v>
      </c>
      <c r="D928" s="45" t="s">
        <v>59</v>
      </c>
      <c r="E928" s="44" t="str">
        <f aca="false">IF($B928="","",IFERROR(VLOOKUP($B928,#REF!,3,0),IFERROR(VLOOKUP($B928,03_COMPOSIÇÕES!$A:$G,4,0),"")))</f>
        <v>UN</v>
      </c>
      <c r="F928" s="46" t="n">
        <v>2</v>
      </c>
      <c r="G928" s="51" t="n">
        <f aca="false">VLOOKUP($B928,03_COMPOSIÇÕES!$A:$G,6,0)</f>
        <v>535.516068283002</v>
      </c>
      <c r="H928" s="52" t="n">
        <f aca="false">VLOOKUP($B928,03_COMPOSIÇÕES!$A:$G,7,0)</f>
        <v>155.99823900426</v>
      </c>
      <c r="I928" s="47" t="n">
        <f aca="false">$F928*$G928</f>
        <v>1071.032136566</v>
      </c>
      <c r="J928" s="47" t="n">
        <f aca="false">$F928*$H928</f>
        <v>311.99647800852</v>
      </c>
      <c r="K928" s="47" t="n">
        <f aca="false">$I928*(1+BDI_MAT)</f>
        <v>1291.87896312591</v>
      </c>
      <c r="L928" s="47" t="n">
        <f aca="false">$J928*(1+BDI_MDO)</f>
        <v>397.764309813062</v>
      </c>
      <c r="M928" s="47" t="n">
        <f aca="false">SUM(K928:L928)</f>
        <v>1689.64327293898</v>
      </c>
      <c r="N928" s="20" t="str">
        <f aca="false">A928</f>
        <v>17.2.1</v>
      </c>
    </row>
    <row r="929" customFormat="false" ht="15" hidden="false" customHeight="false" outlineLevel="2" collapsed="false">
      <c r="A929" s="42" t="s">
        <v>1333</v>
      </c>
      <c r="B929" s="43" t="s">
        <v>1334</v>
      </c>
      <c r="C929" s="50" t="str">
        <f aca="false">VLOOKUP($B929,03_COMPOSIÇÕES!$A:$G,2,0)</f>
        <v>PLANTIO DE BROMÉLIA IMPERIAL, COM ALTURA DE MUDA ATÉ 1,50 M.</v>
      </c>
      <c r="D929" s="45" t="s">
        <v>59</v>
      </c>
      <c r="E929" s="44" t="str">
        <f aca="false">IF($B929="","",IFERROR(VLOOKUP($B929,#REF!,3,0),IFERROR(VLOOKUP($B929,03_COMPOSIÇÕES!$A:$G,4,0),"")))</f>
        <v>UN</v>
      </c>
      <c r="F929" s="46" t="n">
        <v>5</v>
      </c>
      <c r="G929" s="51" t="n">
        <f aca="false">VLOOKUP($B929,03_COMPOSIÇÕES!$A:$G,6,0)</f>
        <v>168.495206</v>
      </c>
      <c r="H929" s="52" t="n">
        <f aca="false">VLOOKUP($B929,03_COMPOSIÇÕES!$A:$G,7,0)</f>
        <v>3.6501274137</v>
      </c>
      <c r="I929" s="47" t="n">
        <f aca="false">$F929*$G929</f>
        <v>842.47603</v>
      </c>
      <c r="J929" s="47" t="n">
        <f aca="false">$F929*$H929</f>
        <v>18.2506370685</v>
      </c>
      <c r="K929" s="47" t="n">
        <f aca="false">$I929*(1+BDI_MAT)</f>
        <v>1016.194587386</v>
      </c>
      <c r="L929" s="47" t="n">
        <f aca="false">$J929*(1+BDI_MDO)</f>
        <v>23.2677371986306</v>
      </c>
      <c r="M929" s="47" t="n">
        <f aca="false">SUM(K929:L929)</f>
        <v>1039.46232458463</v>
      </c>
      <c r="N929" s="20" t="str">
        <f aca="false">A929</f>
        <v>17.2.2</v>
      </c>
    </row>
    <row r="930" customFormat="false" ht="30" hidden="false" customHeight="false" outlineLevel="2" collapsed="false">
      <c r="A930" s="42" t="s">
        <v>1335</v>
      </c>
      <c r="B930" s="43" t="s">
        <v>1336</v>
      </c>
      <c r="C930" s="50" t="str">
        <f aca="false">VLOOKUP($B930,03_COMPOSIÇÕES!$A:$G,2,0)</f>
        <v>PLANTIO DE BROMÉLIA PORTO SEGURO, COM ALTURA DE MUDA DE ATÉ 0,90 M.</v>
      </c>
      <c r="D930" s="45" t="s">
        <v>59</v>
      </c>
      <c r="E930" s="44" t="str">
        <f aca="false">IF($B930="","",IFERROR(VLOOKUP($B930,#REF!,3,0),IFERROR(VLOOKUP($B930,03_COMPOSIÇÕES!$A:$G,4,0),"")))</f>
        <v>UN</v>
      </c>
      <c r="F930" s="46" t="n">
        <v>14</v>
      </c>
      <c r="G930" s="51" t="n">
        <f aca="false">VLOOKUP($B930,03_COMPOSIÇÕES!$A:$G,6,0)</f>
        <v>62.4620213333333</v>
      </c>
      <c r="H930" s="52" t="n">
        <f aca="false">VLOOKUP($B930,03_COMPOSIÇÕES!$A:$G,7,0)</f>
        <v>1.73459873214</v>
      </c>
      <c r="I930" s="47" t="n">
        <f aca="false">$F930*$G930</f>
        <v>874.468298666667</v>
      </c>
      <c r="J930" s="47" t="n">
        <f aca="false">$F930*$H930</f>
        <v>24.28438224996</v>
      </c>
      <c r="K930" s="47" t="n">
        <f aca="false">$I930*(1+BDI_MAT)</f>
        <v>1054.78366185173</v>
      </c>
      <c r="L930" s="47" t="n">
        <f aca="false">$J930*(1+BDI_MDO)</f>
        <v>30.960158930474</v>
      </c>
      <c r="M930" s="47" t="n">
        <f aca="false">SUM(K930:L930)</f>
        <v>1085.74382078221</v>
      </c>
      <c r="N930" s="20" t="str">
        <f aca="false">A930</f>
        <v>17.2.3</v>
      </c>
    </row>
    <row r="931" customFormat="false" ht="30" hidden="false" customHeight="false" outlineLevel="2" collapsed="false">
      <c r="A931" s="42" t="s">
        <v>1337</v>
      </c>
      <c r="B931" s="43" t="s">
        <v>1338</v>
      </c>
      <c r="C931" s="50" t="str">
        <f aca="false">VLOOKUP($B931,03_COMPOSIÇÕES!$A:$G,2,0)</f>
        <v>PLANTIO DE HELICÔNIA PAPAGAIO, COM ALTURA DE MUDA DE ATÉ 1,80 M.</v>
      </c>
      <c r="D931" s="45" t="s">
        <v>59</v>
      </c>
      <c r="E931" s="44" t="str">
        <f aca="false">IF($B931="","",IFERROR(VLOOKUP($B931,#REF!,3,0),IFERROR(VLOOKUP($B931,03_COMPOSIÇÕES!$A:$G,4,0),"")))</f>
        <v>UN</v>
      </c>
      <c r="F931" s="46" t="n">
        <v>30</v>
      </c>
      <c r="G931" s="51" t="n">
        <f aca="false">VLOOKUP($B931,03_COMPOSIÇÕES!$A:$G,6,0)</f>
        <v>33.6950626666667</v>
      </c>
      <c r="H931" s="52" t="n">
        <f aca="false">VLOOKUP($B931,03_COMPOSIÇÕES!$A:$G,7,0)</f>
        <v>3.6501274137</v>
      </c>
      <c r="I931" s="47" t="n">
        <f aca="false">$F931*$G931</f>
        <v>1010.85188</v>
      </c>
      <c r="J931" s="47" t="n">
        <f aca="false">$F931*$H931</f>
        <v>109.503822411</v>
      </c>
      <c r="K931" s="47" t="n">
        <f aca="false">$I931*(1+BDI_MAT)</f>
        <v>1219.289537656</v>
      </c>
      <c r="L931" s="47" t="n">
        <f aca="false">$J931*(1+BDI_MDO)</f>
        <v>139.606423191784</v>
      </c>
      <c r="M931" s="47" t="n">
        <f aca="false">SUM(K931:L931)</f>
        <v>1358.89596084778</v>
      </c>
      <c r="N931" s="20" t="str">
        <f aca="false">A931</f>
        <v>17.2.4</v>
      </c>
    </row>
    <row r="932" customFormat="false" ht="15" hidden="false" customHeight="false" outlineLevel="2" collapsed="false">
      <c r="A932" s="42" t="s">
        <v>1339</v>
      </c>
      <c r="B932" s="43" t="s">
        <v>1340</v>
      </c>
      <c r="C932" s="50" t="str">
        <f aca="false">VLOOKUP($B932,03_COMPOSIÇÕES!$A:$G,2,0)</f>
        <v>PLANTIO DE FORRAÇÃO DE BROMÉLIA FIREBALL.</v>
      </c>
      <c r="D932" s="45" t="s">
        <v>59</v>
      </c>
      <c r="E932" s="44" t="str">
        <f aca="false">IF($B932="","",IFERROR(VLOOKUP($B932,#REF!,3,0),IFERROR(VLOOKUP($B932,03_COMPOSIÇÕES!$A:$G,4,0),"")))</f>
        <v>M2</v>
      </c>
      <c r="F932" s="46" t="n">
        <v>25.26</v>
      </c>
      <c r="G932" s="51" t="n">
        <f aca="false">VLOOKUP($B932,03_COMPOSIÇÕES!$A:$G,6,0)</f>
        <v>626.0044386</v>
      </c>
      <c r="H932" s="52" t="n">
        <f aca="false">VLOOKUP($B932,03_COMPOSIÇÕES!$A:$G,7,0)</f>
        <v>4.538825909712</v>
      </c>
      <c r="I932" s="47" t="n">
        <f aca="false">$F932*$G932</f>
        <v>15812.872119036</v>
      </c>
      <c r="J932" s="47" t="n">
        <f aca="false">$F932*$H932</f>
        <v>114.650742479325</v>
      </c>
      <c r="K932" s="47" t="n">
        <f aca="false">$I932*(1+BDI_MAT)</f>
        <v>19073.4863499812</v>
      </c>
      <c r="L932" s="47" t="n">
        <f aca="false">$J932*(1+BDI_MDO)</f>
        <v>146.168231586892</v>
      </c>
      <c r="M932" s="47" t="n">
        <f aca="false">SUM(K932:L932)</f>
        <v>19219.6545815681</v>
      </c>
      <c r="N932" s="20" t="str">
        <f aca="false">A932</f>
        <v>17.2.5</v>
      </c>
    </row>
    <row r="933" customFormat="false" ht="30" hidden="false" customHeight="false" outlineLevel="2" collapsed="false">
      <c r="A933" s="42" t="s">
        <v>1341</v>
      </c>
      <c r="B933" s="43" t="s">
        <v>1342</v>
      </c>
      <c r="C933" s="50" t="str">
        <f aca="false">VLOOKUP($B933,03_COMPOSIÇÕES!$A:$G,2,0)</f>
        <v>PLANTIO DE FORRAÇÃO DE ABACAXI ROXO, MUDAS DE ATÉ 40CM DE ALTURA.</v>
      </c>
      <c r="D933" s="45" t="s">
        <v>59</v>
      </c>
      <c r="E933" s="44" t="str">
        <f aca="false">IF($B933="","",IFERROR(VLOOKUP($B933,#REF!,3,0),IFERROR(VLOOKUP($B933,03_COMPOSIÇÕES!$A:$G,4,0),"")))</f>
        <v>M2</v>
      </c>
      <c r="F933" s="46" t="n">
        <v>11.34</v>
      </c>
      <c r="G933" s="51" t="n">
        <f aca="false">VLOOKUP($B933,03_COMPOSIÇÕES!$A:$G,6,0)</f>
        <v>304.751580666667</v>
      </c>
      <c r="H933" s="52" t="n">
        <f aca="false">VLOOKUP($B933,03_COMPOSIÇÕES!$A:$G,7,0)</f>
        <v>3.77904878976</v>
      </c>
      <c r="I933" s="47" t="n">
        <f aca="false">$F933*$G933</f>
        <v>3455.88292476</v>
      </c>
      <c r="J933" s="47" t="n">
        <f aca="false">$F933*$H933</f>
        <v>42.8544132758784</v>
      </c>
      <c r="K933" s="47" t="n">
        <f aca="false">$I933*(1+BDI_MAT)</f>
        <v>4168.48598384551</v>
      </c>
      <c r="L933" s="47" t="n">
        <f aca="false">$J933*(1+BDI_MDO)</f>
        <v>54.6350914854174</v>
      </c>
      <c r="M933" s="47" t="n">
        <f aca="false">SUM(K933:L933)</f>
        <v>4223.12107533093</v>
      </c>
      <c r="N933" s="20" t="str">
        <f aca="false">A933</f>
        <v>17.2.6</v>
      </c>
    </row>
    <row r="934" customFormat="false" ht="15" hidden="false" customHeight="false" outlineLevel="2" collapsed="false">
      <c r="A934" s="42" t="s">
        <v>1343</v>
      </c>
      <c r="B934" s="43" t="s">
        <v>1344</v>
      </c>
      <c r="C934" s="50" t="str">
        <f aca="false">VLOOKUP($B934,03_COMPOSIÇÕES!$A:$G,2,0)</f>
        <v>PLANTIO DE FORRAÇÃO GRAMA AMENDOIM.</v>
      </c>
      <c r="D934" s="45" t="s">
        <v>59</v>
      </c>
      <c r="E934" s="44" t="str">
        <f aca="false">IF($B934="","",IFERROR(VLOOKUP($B934,#REF!,3,0),IFERROR(VLOOKUP($B934,03_COMPOSIÇÕES!$A:$G,4,0),"")))</f>
        <v>M2</v>
      </c>
      <c r="F934" s="46" t="n">
        <v>24.83</v>
      </c>
      <c r="G934" s="51" t="n">
        <f aca="false">VLOOKUP($B934,03_COMPOSIÇÕES!$A:$G,6,0)</f>
        <v>76.668858</v>
      </c>
      <c r="H934" s="52" t="n">
        <f aca="false">VLOOKUP($B934,03_COMPOSIÇÕES!$A:$G,7,0)</f>
        <v>3.77904878976</v>
      </c>
      <c r="I934" s="47" t="n">
        <f aca="false">$F934*$G934</f>
        <v>1903.68774414</v>
      </c>
      <c r="J934" s="47" t="n">
        <f aca="false">$F934*$H934</f>
        <v>93.8337814497408</v>
      </c>
      <c r="K934" s="47" t="n">
        <f aca="false">$I934*(1+BDI_MAT)</f>
        <v>2296.22815698167</v>
      </c>
      <c r="L934" s="47" t="n">
        <f aca="false">$J934*(1+BDI_MDO)</f>
        <v>119.628687970275</v>
      </c>
      <c r="M934" s="47" t="n">
        <f aca="false">SUM(K934:L934)</f>
        <v>2415.85684495194</v>
      </c>
      <c r="N934" s="20" t="str">
        <f aca="false">A934</f>
        <v>17.2.7</v>
      </c>
    </row>
    <row r="935" customFormat="false" ht="30" hidden="false" customHeight="false" outlineLevel="2" collapsed="false">
      <c r="A935" s="42" t="s">
        <v>1345</v>
      </c>
      <c r="B935" s="43" t="n">
        <v>103946</v>
      </c>
      <c r="C935" s="50" t="str">
        <f aca="false">VLOOKUP($B935,03_COMPOSIÇÕES!$A:$G,2,0)</f>
        <v>PLANTIO DE GRAMA ESMERALDA OU SÃO CARLOS OU CURITIBANA, EM PLACAS. AF_07/2024</v>
      </c>
      <c r="D935" s="45" t="s">
        <v>59</v>
      </c>
      <c r="E935" s="44" t="str">
        <f aca="false">IF($B935="","",IFERROR(VLOOKUP($B935,#REF!,3,0),IFERROR(VLOOKUP($B935,03_COMPOSIÇÕES!$A:$G,4,0),"")))</f>
        <v>M2</v>
      </c>
      <c r="F935" s="46" t="n">
        <v>805.36</v>
      </c>
      <c r="G935" s="51" t="n">
        <f aca="false">VLOOKUP($B935,03_COMPOSIÇÕES!$A:$G,6,0)</f>
        <v>16.793785</v>
      </c>
      <c r="H935" s="52" t="n">
        <f aca="false">VLOOKUP($B935,03_COMPOSIÇÕES!$A:$G,7,0)</f>
        <v>2.35159894359</v>
      </c>
      <c r="I935" s="47" t="n">
        <f aca="false">$F935*$G935</f>
        <v>13525.0426876</v>
      </c>
      <c r="J935" s="47" t="n">
        <f aca="false">$F935*$H935</f>
        <v>1893.88372520964</v>
      </c>
      <c r="K935" s="47" t="n">
        <f aca="false">$I935*(1+BDI_MAT)</f>
        <v>16313.9064897831</v>
      </c>
      <c r="L935" s="47" t="n">
        <f aca="false">$J935*(1+BDI_MDO)</f>
        <v>2414.51236126977</v>
      </c>
      <c r="M935" s="47" t="n">
        <f aca="false">SUM(K935:L935)</f>
        <v>18728.4188510529</v>
      </c>
      <c r="N935" s="20" t="str">
        <f aca="false">A935</f>
        <v>17.2.8</v>
      </c>
    </row>
    <row r="936" customFormat="false" ht="15" hidden="false" customHeight="false" outlineLevel="1" collapsed="false">
      <c r="A936" s="42" t="s">
        <v>1346</v>
      </c>
      <c r="B936" s="43"/>
      <c r="C936" s="50" t="s">
        <v>607</v>
      </c>
      <c r="D936" s="45"/>
      <c r="E936" s="44"/>
      <c r="F936" s="46"/>
      <c r="G936" s="51"/>
      <c r="H936" s="52"/>
      <c r="I936" s="47" t="n">
        <f aca="false">SUBTOTAL(9,I937:I938)</f>
        <v>8487.574689125</v>
      </c>
      <c r="J936" s="47" t="n">
        <f aca="false">SUBTOTAL(9,J937:J938)</f>
        <v>1483.73945147169</v>
      </c>
      <c r="K936" s="47" t="n">
        <f aca="false">SUBTOTAL(9,K937:K938)</f>
        <v>10237.7125900226</v>
      </c>
      <c r="L936" s="47" t="n">
        <f aca="false">SUBTOTAL(9,L937:L938)</f>
        <v>1891.61942668126</v>
      </c>
      <c r="M936" s="47" t="n">
        <f aca="false">SUBTOTAL(9,M937:M938)</f>
        <v>12129.3320167038</v>
      </c>
      <c r="N936" s="20" t="str">
        <f aca="false">A936</f>
        <v>17.3</v>
      </c>
    </row>
    <row r="937" customFormat="false" ht="30" hidden="false" customHeight="false" outlineLevel="1" collapsed="false">
      <c r="A937" s="43" t="s">
        <v>1347</v>
      </c>
      <c r="B937" s="43" t="s">
        <v>1348</v>
      </c>
      <c r="C937" s="50" t="str">
        <f aca="false">VLOOKUP($B937,03_COMPOSIÇÕES!$A:$G,2,0)</f>
        <v>POSTE DECORATIVO PARA JARDIM EM AÇO TUBULAR, H = 0,5 M, COM LAMPADA DE LED E27 - FORNECIMENTO E INSTALAÇÃO.</v>
      </c>
      <c r="D937" s="45" t="s">
        <v>59</v>
      </c>
      <c r="E937" s="44" t="str">
        <f aca="false">IF($B937="","",IFERROR(VLOOKUP($B937,#REF!,3,0),IFERROR(VLOOKUP($B937,03_COMPOSIÇÕES!$A:$G,4,0),"")))</f>
        <v>UN</v>
      </c>
      <c r="F937" s="46" t="n">
        <v>15</v>
      </c>
      <c r="G937" s="51" t="n">
        <f aca="false">VLOOKUP($B937,03_COMPOSIÇÕES!$A:$G,6,0)</f>
        <v>474.21445</v>
      </c>
      <c r="H937" s="52" t="n">
        <f aca="false">VLOOKUP($B937,03_COMPOSIÇÕES!$A:$G,7,0)</f>
        <v>86.6423812104</v>
      </c>
      <c r="I937" s="47" t="n">
        <f aca="false">$F937*$G937</f>
        <v>7113.21675</v>
      </c>
      <c r="J937" s="47" t="n">
        <f aca="false">$F937*$H937</f>
        <v>1299.635718156</v>
      </c>
      <c r="K937" s="47" t="n">
        <f aca="false">$I937*(1+BDI_MAT)</f>
        <v>8579.96204385</v>
      </c>
      <c r="L937" s="47" t="n">
        <f aca="false">$J937*(1+BDI_MDO)</f>
        <v>1656.90557707708</v>
      </c>
      <c r="M937" s="47" t="n">
        <f aca="false">SUM(K937:L937)</f>
        <v>10236.8676209271</v>
      </c>
      <c r="N937" s="20" t="str">
        <f aca="false">A937</f>
        <v>17.3.1</v>
      </c>
    </row>
    <row r="938" customFormat="false" ht="45" hidden="false" customHeight="false" outlineLevel="1" collapsed="false">
      <c r="A938" s="43" t="s">
        <v>1349</v>
      </c>
      <c r="B938" s="43" t="n">
        <v>97605</v>
      </c>
      <c r="C938" s="50" t="str">
        <f aca="false">VLOOKUP($B938,03_COMPOSIÇÕES!$A:$G,2,0)</f>
        <v>LUMINÁRIA ARANDELA TIPO MEIA LUA, DE SOBREPOR, COM 1 LÂMPADA LED DE 6 W, SEM REATOR - FORNECIMENTO E INSTALAÇÃO. AF_09/2024</v>
      </c>
      <c r="D938" s="45" t="s">
        <v>59</v>
      </c>
      <c r="E938" s="44" t="str">
        <f aca="false">IF($B938="","",IFERROR(VLOOKUP($B938,#REF!,3,0),IFERROR(VLOOKUP($B938,03_COMPOSIÇÕES!$A:$G,4,0),"")))</f>
        <v>UN</v>
      </c>
      <c r="F938" s="46" t="n">
        <v>19</v>
      </c>
      <c r="G938" s="51" t="n">
        <f aca="false">VLOOKUP($B938,03_COMPOSIÇÕES!$A:$G,6,0)</f>
        <v>72.334628375</v>
      </c>
      <c r="H938" s="52" t="n">
        <f aca="false">VLOOKUP($B938,03_COMPOSIÇÕES!$A:$G,7,0)</f>
        <v>9.68967017451</v>
      </c>
      <c r="I938" s="47" t="n">
        <f aca="false">$F938*$G938</f>
        <v>1374.357939125</v>
      </c>
      <c r="J938" s="47" t="n">
        <f aca="false">$F938*$H938</f>
        <v>184.10373331569</v>
      </c>
      <c r="K938" s="47" t="n">
        <f aca="false">$I938*(1+BDI_MAT)</f>
        <v>1657.75054617257</v>
      </c>
      <c r="L938" s="47" t="n">
        <f aca="false">$J938*(1+BDI_MDO)</f>
        <v>234.713849604173</v>
      </c>
      <c r="M938" s="47" t="n">
        <f aca="false">SUM(K938:L938)</f>
        <v>1892.46439577675</v>
      </c>
      <c r="N938" s="20" t="str">
        <f aca="false">A938</f>
        <v>17.3.2</v>
      </c>
    </row>
    <row r="939" customFormat="false" ht="15" hidden="false" customHeight="false" outlineLevel="0" collapsed="false">
      <c r="A939" s="42" t="n">
        <v>18</v>
      </c>
      <c r="B939" s="43"/>
      <c r="C939" s="50" t="s">
        <v>1350</v>
      </c>
      <c r="D939" s="45"/>
      <c r="E939" s="44"/>
      <c r="F939" s="46"/>
      <c r="G939" s="51"/>
      <c r="H939" s="52"/>
      <c r="I939" s="47" t="n">
        <f aca="false">SUM(I940,I947,I949,I951)</f>
        <v>9168.76940162398</v>
      </c>
      <c r="J939" s="47" t="n">
        <f aca="false">SUM(J940,J947,J949,J951)</f>
        <v>23205.3567429892</v>
      </c>
      <c r="K939" s="47" t="n">
        <f aca="false">SUM(K940,K947,K949,K951)</f>
        <v>11059.3696522388</v>
      </c>
      <c r="L939" s="47" t="n">
        <f aca="false">SUM(L940,L947,L949,L951)</f>
        <v>29584.5093116369</v>
      </c>
      <c r="M939" s="47" t="n">
        <f aca="false">SUM(M940,M947,M949,M951)</f>
        <v>40643.8789638757</v>
      </c>
      <c r="N939" s="20" t="n">
        <f aca="false">A939</f>
        <v>18</v>
      </c>
    </row>
    <row r="940" customFormat="false" ht="15" hidden="false" customHeight="false" outlineLevel="1" collapsed="false">
      <c r="A940" s="42" t="s">
        <v>1351</v>
      </c>
      <c r="B940" s="43"/>
      <c r="C940" s="50" t="s">
        <v>1352</v>
      </c>
      <c r="D940" s="45"/>
      <c r="E940" s="44"/>
      <c r="F940" s="46"/>
      <c r="G940" s="51"/>
      <c r="H940" s="52"/>
      <c r="I940" s="47" t="n">
        <f aca="false">SUBTOTAL(9,I941:I946)</f>
        <v>5684.906681025</v>
      </c>
      <c r="J940" s="47" t="n">
        <f aca="false">SUBTOTAL(9,J941:J946)</f>
        <v>8598.72507869445</v>
      </c>
      <c r="K940" s="47" t="n">
        <f aca="false">SUBTOTAL(9,K941:K946)</f>
        <v>6857.13443865236</v>
      </c>
      <c r="L940" s="47" t="n">
        <f aca="false">SUBTOTAL(9,L941:L946)</f>
        <v>10962.5146028276</v>
      </c>
      <c r="M940" s="47" t="n">
        <f aca="false">SUBTOTAL(9,M941:M946)</f>
        <v>17819.6490414799</v>
      </c>
      <c r="N940" s="20" t="str">
        <f aca="false">A940</f>
        <v>18.1</v>
      </c>
    </row>
    <row r="941" customFormat="false" ht="30" hidden="false" customHeight="false" outlineLevel="2" collapsed="false">
      <c r="A941" s="42" t="s">
        <v>1353</v>
      </c>
      <c r="B941" s="43" t="n">
        <v>99804</v>
      </c>
      <c r="C941" s="50" t="str">
        <f aca="false">VLOOKUP($B941,03_COMPOSIÇÕES!$A:$G,2,0)</f>
        <v>LIMPEZA DE PISO CERÂMICO OU PORCELANATO UTILIZANDO DETERGENTE NEUTRO E ESCOVAÇÃO MANUAL. AF_04/2019</v>
      </c>
      <c r="D941" s="45" t="s">
        <v>59</v>
      </c>
      <c r="E941" s="44" t="str">
        <f aca="false">IF($B941="","",IFERROR(VLOOKUP($B941,#REF!,3,0),IFERROR(VLOOKUP($B941,03_COMPOSIÇÕES!$A:$G,4,0),"")))</f>
        <v>M2</v>
      </c>
      <c r="F941" s="46" t="n">
        <v>1592.85</v>
      </c>
      <c r="G941" s="51" t="n">
        <f aca="false">VLOOKUP($B941,03_COMPOSIÇÕES!$A:$G,6,0)</f>
        <v>1.57164</v>
      </c>
      <c r="H941" s="52" t="n">
        <f aca="false">VLOOKUP($B941,03_COMPOSIÇÕES!$A:$G,7,0)</f>
        <v>3.27968592</v>
      </c>
      <c r="I941" s="47" t="n">
        <f aca="false">$F941*$G941</f>
        <v>2503.386774</v>
      </c>
      <c r="J941" s="47" t="n">
        <f aca="false">$F941*$H941</f>
        <v>5224.047717672</v>
      </c>
      <c r="K941" s="47" t="n">
        <f aca="false">$I941*(1+BDI_MAT)</f>
        <v>3019.5851267988</v>
      </c>
      <c r="L941" s="47" t="n">
        <f aca="false">$J941*(1+BDI_MDO)</f>
        <v>6660.13843526003</v>
      </c>
      <c r="M941" s="47" t="n">
        <f aca="false">SUM(K941:L941)</f>
        <v>9679.72356205883</v>
      </c>
      <c r="N941" s="20" t="str">
        <f aca="false">A941</f>
        <v>18.1.1</v>
      </c>
    </row>
    <row r="942" customFormat="false" ht="30" hidden="false" customHeight="false" outlineLevel="2" collapsed="false">
      <c r="A942" s="42" t="s">
        <v>1354</v>
      </c>
      <c r="B942" s="43" t="n">
        <v>99807</v>
      </c>
      <c r="C942" s="50" t="str">
        <f aca="false">VLOOKUP($B942,03_COMPOSIÇÕES!$A:$G,2,0)</f>
        <v>LIMPEZA DE REVESTIMENTO CERÂMICO EM PAREDE UTILIZANDO DETERGENTE NEUTRO E ESCOVAÇÃO MANUAL. AF_04/2019</v>
      </c>
      <c r="D942" s="45" t="s">
        <v>59</v>
      </c>
      <c r="E942" s="44" t="str">
        <f aca="false">IF($B942="","",IFERROR(VLOOKUP($B942,#REF!,3,0),IFERROR(VLOOKUP($B942,03_COMPOSIÇÕES!$A:$G,4,0),"")))</f>
        <v>M2</v>
      </c>
      <c r="F942" s="46" t="n">
        <v>636.67</v>
      </c>
      <c r="G942" s="51" t="n">
        <f aca="false">VLOOKUP($B942,03_COMPOSIÇÕES!$A:$G,6,0)</f>
        <v>0.57479</v>
      </c>
      <c r="H942" s="52" t="n">
        <f aca="false">VLOOKUP($B942,03_COMPOSIÇÕES!$A:$G,7,0)</f>
        <v>0.96539142</v>
      </c>
      <c r="I942" s="47" t="n">
        <f aca="false">$F942*$G942</f>
        <v>365.9515493</v>
      </c>
      <c r="J942" s="47" t="n">
        <f aca="false">$F942*$H942</f>
        <v>614.6357553714</v>
      </c>
      <c r="K942" s="47" t="n">
        <f aca="false">$I942*(1+BDI_MAT)</f>
        <v>441.41075876566</v>
      </c>
      <c r="L942" s="47" t="n">
        <f aca="false">$J942*(1+BDI_MDO)</f>
        <v>783.599124522998</v>
      </c>
      <c r="M942" s="47" t="n">
        <f aca="false">SUM(K942:L942)</f>
        <v>1225.00988328866</v>
      </c>
      <c r="N942" s="20" t="str">
        <f aca="false">A942</f>
        <v>18.1.2</v>
      </c>
    </row>
    <row r="943" customFormat="false" ht="15" hidden="false" customHeight="false" outlineLevel="2" collapsed="false">
      <c r="A943" s="42" t="s">
        <v>1355</v>
      </c>
      <c r="B943" s="43" t="n">
        <v>99822</v>
      </c>
      <c r="C943" s="50" t="str">
        <f aca="false">VLOOKUP($B943,03_COMPOSIÇÕES!$A:$G,2,0)</f>
        <v>LIMPEZA DE PORTA DE MADEIRA. AF_04/2019</v>
      </c>
      <c r="D943" s="45" t="s">
        <v>59</v>
      </c>
      <c r="E943" s="44" t="str">
        <f aca="false">IF($B943="","",IFERROR(VLOOKUP($B943,#REF!,3,0),IFERROR(VLOOKUP($B943,03_COMPOSIÇÕES!$A:$G,4,0),"")))</f>
        <v>M2</v>
      </c>
      <c r="F943" s="46" t="n">
        <v>449.4</v>
      </c>
      <c r="G943" s="51" t="n">
        <f aca="false">VLOOKUP($B943,03_COMPOSIÇÕES!$A:$G,6,0)</f>
        <v>0.34874</v>
      </c>
      <c r="H943" s="52" t="n">
        <f aca="false">VLOOKUP($B943,03_COMPOSIÇÕES!$A:$G,7,0)</f>
        <v>0</v>
      </c>
      <c r="I943" s="47" t="n">
        <f aca="false">$F943*$G943</f>
        <v>156.723756</v>
      </c>
      <c r="J943" s="47" t="n">
        <f aca="false">$F943*$H943</f>
        <v>0</v>
      </c>
      <c r="K943" s="47" t="n">
        <f aca="false">$I943*(1+BDI_MAT)</f>
        <v>189.0401944872</v>
      </c>
      <c r="L943" s="47" t="n">
        <f aca="false">$J943*(1+BDI_MDO)</f>
        <v>0</v>
      </c>
      <c r="M943" s="47" t="n">
        <f aca="false">SUM(K943:L943)</f>
        <v>189.0401944872</v>
      </c>
      <c r="N943" s="20" t="str">
        <f aca="false">A943</f>
        <v>18.1.3</v>
      </c>
    </row>
    <row r="944" customFormat="false" ht="30" hidden="false" customHeight="false" outlineLevel="2" collapsed="false">
      <c r="A944" s="42" t="s">
        <v>1356</v>
      </c>
      <c r="B944" s="43" t="n">
        <v>99821</v>
      </c>
      <c r="C944" s="50" t="str">
        <f aca="false">VLOOKUP($B944,03_COMPOSIÇÕES!$A:$G,2,0)</f>
        <v>LIMPEZA DE JANELA DE VIDRO COM CAIXILHO EM AÇO/ALUMÍNIO/PVC. AF_04/2019</v>
      </c>
      <c r="D944" s="45" t="s">
        <v>59</v>
      </c>
      <c r="E944" s="44" t="str">
        <f aca="false">IF($B944="","",IFERROR(VLOOKUP($B944,#REF!,3,0),IFERROR(VLOOKUP($B944,03_COMPOSIÇÕES!$A:$G,4,0),"")))</f>
        <v>M2</v>
      </c>
      <c r="F944" s="46" t="n">
        <v>1554.7</v>
      </c>
      <c r="G944" s="51" t="n">
        <f aca="false">VLOOKUP($B944,03_COMPOSIÇÕES!$A:$G,6,0)</f>
        <v>1.23126</v>
      </c>
      <c r="H944" s="52" t="n">
        <f aca="false">VLOOKUP($B944,03_COMPOSIÇÕES!$A:$G,7,0)</f>
        <v>1.21665768</v>
      </c>
      <c r="I944" s="47" t="n">
        <f aca="false">$F944*$G944</f>
        <v>1914.239922</v>
      </c>
      <c r="J944" s="47" t="n">
        <f aca="false">$F944*$H944</f>
        <v>1891.537695096</v>
      </c>
      <c r="K944" s="47" t="n">
        <f aca="false">$I944*(1+BDI_MAT)</f>
        <v>2308.9561939164</v>
      </c>
      <c r="L944" s="47" t="n">
        <f aca="false">$J944*(1+BDI_MDO)</f>
        <v>2411.52140747789</v>
      </c>
      <c r="M944" s="47" t="n">
        <f aca="false">SUM(K944:L944)</f>
        <v>4720.47760139429</v>
      </c>
      <c r="N944" s="20" t="str">
        <f aca="false">A944</f>
        <v>18.1.4</v>
      </c>
    </row>
    <row r="945" customFormat="false" ht="30" hidden="false" customHeight="false" outlineLevel="2" collapsed="false">
      <c r="A945" s="42" t="s">
        <v>1357</v>
      </c>
      <c r="B945" s="43" t="n">
        <v>99819</v>
      </c>
      <c r="C945" s="50" t="str">
        <f aca="false">VLOOKUP($B945,03_COMPOSIÇÕES!$A:$G,2,0)</f>
        <v>LIMPEZA DE BANCADA DE PEDRA (MÁRMORE OU GRANITO). AF_04/2019</v>
      </c>
      <c r="D945" s="45" t="s">
        <v>59</v>
      </c>
      <c r="E945" s="44" t="str">
        <f aca="false">IF($B945="","",IFERROR(VLOOKUP($B945,#REF!,3,0),IFERROR(VLOOKUP($B945,03_COMPOSIÇÕES!$A:$G,4,0),"")))</f>
        <v>M2</v>
      </c>
      <c r="F945" s="46" t="n">
        <v>70.7975</v>
      </c>
      <c r="G945" s="51" t="n">
        <f aca="false">VLOOKUP($B945,03_COMPOSIÇÕES!$A:$G,6,0)</f>
        <v>5.89131</v>
      </c>
      <c r="H945" s="52" t="n">
        <f aca="false">VLOOKUP($B945,03_COMPOSIÇÕES!$A:$G,7,0)</f>
        <v>10.27546758</v>
      </c>
      <c r="I945" s="47" t="n">
        <f aca="false">$F945*$G945</f>
        <v>417.090019725</v>
      </c>
      <c r="J945" s="47" t="n">
        <f aca="false">$F945*$H945</f>
        <v>727.47741599505</v>
      </c>
      <c r="K945" s="47" t="n">
        <f aca="false">$I945*(1+BDI_MAT)</f>
        <v>503.093981792295</v>
      </c>
      <c r="L945" s="47" t="n">
        <f aca="false">$J945*(1+BDI_MDO)</f>
        <v>927.460957652089</v>
      </c>
      <c r="M945" s="47" t="n">
        <f aca="false">SUM(K945:L945)</f>
        <v>1430.55493944438</v>
      </c>
      <c r="N945" s="20" t="str">
        <f aca="false">A945</f>
        <v>18.1.5</v>
      </c>
    </row>
    <row r="946" customFormat="false" ht="30" hidden="false" customHeight="false" outlineLevel="2" collapsed="false">
      <c r="A946" s="42" t="s">
        <v>1358</v>
      </c>
      <c r="B946" s="43" t="n">
        <v>99818</v>
      </c>
      <c r="C946" s="50" t="str">
        <f aca="false">VLOOKUP($B946,03_COMPOSIÇÕES!$A:$G,2,0)</f>
        <v>LIMPEZA DE BACIA SANITÁRIA, BIDÊ OU MICTÓRIO EM LOUÇA, INCLUSIVE METAIS CORRESPONDENTES. AF_04/2019</v>
      </c>
      <c r="D946" s="45" t="s">
        <v>59</v>
      </c>
      <c r="E946" s="44" t="str">
        <f aca="false">IF($B946="","",IFERROR(VLOOKUP($B946,#REF!,3,0),IFERROR(VLOOKUP($B946,03_COMPOSIÇÕES!$A:$G,4,0),"")))</f>
        <v>UN</v>
      </c>
      <c r="F946" s="46" t="n">
        <v>86</v>
      </c>
      <c r="G946" s="51" t="n">
        <f aca="false">VLOOKUP($B946,03_COMPOSIÇÕES!$A:$G,6,0)</f>
        <v>3.80831</v>
      </c>
      <c r="H946" s="52" t="n">
        <f aca="false">VLOOKUP($B946,03_COMPOSIÇÕES!$A:$G,7,0)</f>
        <v>1.63984296</v>
      </c>
      <c r="I946" s="47" t="n">
        <f aca="false">$F946*$G946</f>
        <v>327.51466</v>
      </c>
      <c r="J946" s="47" t="n">
        <f aca="false">$F946*$H946</f>
        <v>141.02649456</v>
      </c>
      <c r="K946" s="47" t="n">
        <f aca="false">$I946*(1+BDI_MAT)</f>
        <v>395.048182892</v>
      </c>
      <c r="L946" s="47" t="n">
        <f aca="false">$J946*(1+BDI_MDO)</f>
        <v>179.794677914544</v>
      </c>
      <c r="M946" s="47" t="n">
        <f aca="false">SUM(K946:L946)</f>
        <v>574.842860806544</v>
      </c>
      <c r="N946" s="20" t="str">
        <f aca="false">A946</f>
        <v>18.1.6</v>
      </c>
    </row>
    <row r="947" customFormat="false" ht="15" hidden="false" customHeight="false" outlineLevel="1" collapsed="false">
      <c r="A947" s="42" t="s">
        <v>1359</v>
      </c>
      <c r="B947" s="43"/>
      <c r="C947" s="50" t="s">
        <v>1360</v>
      </c>
      <c r="D947" s="45"/>
      <c r="E947" s="44"/>
      <c r="F947" s="46"/>
      <c r="G947" s="51"/>
      <c r="H947" s="52"/>
      <c r="I947" s="47" t="n">
        <f aca="false">SUBTOTAL(9,I948:I948)</f>
        <v>1175.99980059898</v>
      </c>
      <c r="J947" s="47" t="n">
        <f aca="false">SUBTOTAL(9,J948:J948)</f>
        <v>1508.30725502803</v>
      </c>
      <c r="K947" s="47" t="n">
        <f aca="false">SUBTOTAL(9,K948:K948)</f>
        <v>1418.49095948249</v>
      </c>
      <c r="L947" s="47" t="n">
        <f aca="false">SUBTOTAL(9,L948:L948)</f>
        <v>1922.94091943524</v>
      </c>
      <c r="M947" s="47" t="n">
        <f aca="false">SUBTOTAL(9,M948:M948)</f>
        <v>3341.43187891773</v>
      </c>
      <c r="N947" s="20" t="str">
        <f aca="false">A947</f>
        <v>18.2</v>
      </c>
    </row>
    <row r="948" customFormat="false" ht="15" hidden="false" customHeight="false" outlineLevel="2" collapsed="false">
      <c r="A948" s="42" t="s">
        <v>1361</v>
      </c>
      <c r="B948" s="43" t="s">
        <v>1362</v>
      </c>
      <c r="C948" s="50" t="str">
        <f aca="false">VLOOKUP($B948,03_COMPOSIÇÕES!$A:$G,2,0)</f>
        <v>DESMOBILIZAÇÃO E LIMPEZA FINAL DO CANTEIRO DE OBRAS.</v>
      </c>
      <c r="D948" s="45" t="s">
        <v>59</v>
      </c>
      <c r="E948" s="44" t="str">
        <f aca="false">IF($B948="","",IFERROR(VLOOKUP($B948,#REF!,3,0),IFERROR(VLOOKUP($B948,03_COMPOSIÇÕES!$A:$G,4,0),"")))</f>
        <v>M2</v>
      </c>
      <c r="F948" s="46" t="n">
        <v>2163.16</v>
      </c>
      <c r="G948" s="51" t="n">
        <f aca="false">VLOOKUP($B948,03_COMPOSIÇÕES!$A:$G,6,0)</f>
        <v>0.54364901375718</v>
      </c>
      <c r="H948" s="52" t="n">
        <f aca="false">VLOOKUP($B948,03_COMPOSIÇÕES!$A:$G,7,0)</f>
        <v>0.6972703152</v>
      </c>
      <c r="I948" s="47" t="n">
        <f aca="false">$F948*$G948</f>
        <v>1175.99980059898</v>
      </c>
      <c r="J948" s="47" t="n">
        <f aca="false">$F948*$H948</f>
        <v>1508.30725502803</v>
      </c>
      <c r="K948" s="47" t="n">
        <f aca="false">$I948*(1+BDI_MAT)</f>
        <v>1418.49095948249</v>
      </c>
      <c r="L948" s="47" t="n">
        <f aca="false">$J948*(1+BDI_MDO)</f>
        <v>1922.94091943524</v>
      </c>
      <c r="M948" s="47" t="n">
        <f aca="false">SUM(K948:L948)</f>
        <v>3341.43187891773</v>
      </c>
      <c r="N948" s="20" t="str">
        <f aca="false">A948</f>
        <v>18.2.1</v>
      </c>
    </row>
    <row r="949" customFormat="false" ht="15" hidden="false" customHeight="false" outlineLevel="1" collapsed="false">
      <c r="A949" s="42" t="s">
        <v>1363</v>
      </c>
      <c r="B949" s="43"/>
      <c r="C949" s="50" t="s">
        <v>1364</v>
      </c>
      <c r="D949" s="45"/>
      <c r="E949" s="44"/>
      <c r="F949" s="46"/>
      <c r="G949" s="51"/>
      <c r="H949" s="52"/>
      <c r="I949" s="47" t="n">
        <f aca="false">SUBTOTAL(9,I950)</f>
        <v>2011.51</v>
      </c>
      <c r="J949" s="47" t="n">
        <f aca="false">SUBTOTAL(9,J950)</f>
        <v>5.162166</v>
      </c>
      <c r="K949" s="47" t="n">
        <f aca="false">SUBTOTAL(9,K950)</f>
        <v>2426.283362</v>
      </c>
      <c r="L949" s="47" t="n">
        <f aca="false">SUBTOTAL(9,L950)</f>
        <v>6.5812454334</v>
      </c>
      <c r="M949" s="47" t="n">
        <f aca="false">SUBTOTAL(9,M950)</f>
        <v>2432.8646074334</v>
      </c>
      <c r="N949" s="20" t="str">
        <f aca="false">A949</f>
        <v>18.3</v>
      </c>
    </row>
    <row r="950" customFormat="false" ht="15" hidden="false" customHeight="false" outlineLevel="1" collapsed="false">
      <c r="A950" s="43" t="s">
        <v>1365</v>
      </c>
      <c r="B950" s="43" t="s">
        <v>1366</v>
      </c>
      <c r="C950" s="50" t="str">
        <f aca="false">VLOOKUP($B950,03_COMPOSIÇÕES!$A:$G,2,0)</f>
        <v>PLACA DE INAUGURAÇÃO AÇO ESCOVADO 60 X 120 CM</v>
      </c>
      <c r="D950" s="45" t="s">
        <v>59</v>
      </c>
      <c r="E950" s="44" t="str">
        <f aca="false">IF($B950="","",IFERROR(VLOOKUP($B950,#REF!,3,0),IFERROR(VLOOKUP($B950,03_COMPOSIÇÕES!$A:$G,4,0),"")))</f>
        <v>un</v>
      </c>
      <c r="F950" s="46" t="n">
        <v>1</v>
      </c>
      <c r="G950" s="51" t="n">
        <f aca="false">VLOOKUP($B950,03_COMPOSIÇÕES!$A:$G,6,0)</f>
        <v>2011.51</v>
      </c>
      <c r="H950" s="52" t="n">
        <f aca="false">VLOOKUP($B950,03_COMPOSIÇÕES!$A:$G,7,0)</f>
        <v>5.162166</v>
      </c>
      <c r="I950" s="47" t="n">
        <f aca="false">$F950*$G950</f>
        <v>2011.51</v>
      </c>
      <c r="J950" s="47" t="n">
        <f aca="false">$F950*$H950</f>
        <v>5.162166</v>
      </c>
      <c r="K950" s="47" t="n">
        <f aca="false">$I950*(1+BDI_MAT)</f>
        <v>2426.283362</v>
      </c>
      <c r="L950" s="47" t="n">
        <f aca="false">$J950*(1+BDI_MDO)</f>
        <v>6.5812454334</v>
      </c>
      <c r="M950" s="47" t="n">
        <f aca="false">SUM(K950:L950)</f>
        <v>2432.8646074334</v>
      </c>
      <c r="N950" s="20" t="str">
        <f aca="false">A950</f>
        <v>18.3.1</v>
      </c>
    </row>
    <row r="951" customFormat="false" ht="15" hidden="false" customHeight="false" outlineLevel="1" collapsed="false">
      <c r="A951" s="42" t="s">
        <v>1367</v>
      </c>
      <c r="B951" s="43"/>
      <c r="C951" s="50" t="s">
        <v>1368</v>
      </c>
      <c r="D951" s="45"/>
      <c r="E951" s="44"/>
      <c r="F951" s="46"/>
      <c r="G951" s="51"/>
      <c r="H951" s="52"/>
      <c r="I951" s="47" t="n">
        <f aca="false">SUBTOTAL(9,I952:I952)</f>
        <v>296.35292</v>
      </c>
      <c r="J951" s="47" t="n">
        <f aca="false">SUBTOTAL(9,J952:J952)</f>
        <v>13093.1622432667</v>
      </c>
      <c r="K951" s="47" t="n">
        <f aca="false">SUBTOTAL(9,K952:K952)</f>
        <v>357.460892104</v>
      </c>
      <c r="L951" s="47" t="n">
        <f aca="false">SUBTOTAL(9,L952:L952)</f>
        <v>16692.4725439407</v>
      </c>
      <c r="M951" s="47" t="n">
        <f aca="false">SUBTOTAL(9,M952:M952)</f>
        <v>17049.9334360447</v>
      </c>
      <c r="N951" s="20" t="str">
        <f aca="false">A951</f>
        <v>18.4</v>
      </c>
    </row>
    <row r="952" customFormat="false" ht="45" hidden="false" customHeight="false" outlineLevel="1" collapsed="false">
      <c r="A952" s="43" t="s">
        <v>1369</v>
      </c>
      <c r="B952" s="43" t="s">
        <v>1370</v>
      </c>
      <c r="C952" s="50" t="str">
        <f aca="false">VLOOKUP($B952,03_COMPOSIÇÕES!$A:$G,2,0)</f>
        <v>DESENVOLVIMENTO DE COMO CONSTRUÍDO ("AS BUILT") EM BIM, MANUAL DE USO E OPERAÇÃO E OBTENÇÃO DE HABITE-SE - INCLUI MATERIAL E MÃO DE OBRA</v>
      </c>
      <c r="D952" s="45" t="s">
        <v>59</v>
      </c>
      <c r="E952" s="44" t="str">
        <f aca="false">IF($B952="","",IFERROR(VLOOKUP($B952,#REF!,3,0),IFERROR(VLOOKUP($B952,03_COMPOSIÇÕES!$A:$G,4,0),"")))</f>
        <v>M2</v>
      </c>
      <c r="F952" s="46" t="n">
        <v>2163.16</v>
      </c>
      <c r="G952" s="51" t="n">
        <f aca="false">VLOOKUP($B952,03_COMPOSIÇÕES!$A:$G,6,0)</f>
        <v>0.137</v>
      </c>
      <c r="H952" s="52" t="n">
        <f aca="false">VLOOKUP($B952,03_COMPOSIÇÕES!$A:$G,7,0)</f>
        <v>6.052794173</v>
      </c>
      <c r="I952" s="47" t="n">
        <f aca="false">$F952*$G952</f>
        <v>296.35292</v>
      </c>
      <c r="J952" s="47" t="n">
        <f aca="false">$F952*$H952</f>
        <v>13093.1622432667</v>
      </c>
      <c r="K952" s="47" t="n">
        <f aca="false">$I952*(1+BDI_MAT)</f>
        <v>357.460892104</v>
      </c>
      <c r="L952" s="47" t="n">
        <f aca="false">$J952*(1+BDI_MDO)</f>
        <v>16692.4725439407</v>
      </c>
      <c r="M952" s="47" t="n">
        <f aca="false">SUM(K952:L952)</f>
        <v>17049.9334360447</v>
      </c>
      <c r="N952" s="20" t="str">
        <f aca="false">A952</f>
        <v>18.4.1</v>
      </c>
    </row>
    <row r="953" s="70" customFormat="true" ht="15" hidden="false" customHeight="false" outlineLevel="0" collapsed="false">
      <c r="A953" s="66"/>
      <c r="B953" s="67"/>
      <c r="C953" s="67"/>
      <c r="D953" s="67"/>
      <c r="E953" s="67"/>
      <c r="F953" s="68"/>
      <c r="G953" s="67"/>
      <c r="H953" s="69" t="s">
        <v>1371</v>
      </c>
      <c r="I953" s="34" t="n">
        <f aca="false">SUM(I7,I13,I42,I223,I270,I329,I340,I345,I413,I416,I450,I630,I720,I765,I789,I858,I923,I939)</f>
        <v>5829364.73916274</v>
      </c>
      <c r="J953" s="34" t="n">
        <f aca="false">SUM(J7,J13,J42,J223,J270,J329,J340,J345,J413,J416,J450,J630,J720,J765,J789,J858,J923,J939)</f>
        <v>1740959.52382172</v>
      </c>
      <c r="K953" s="34" t="n">
        <f aca="false">SUM(K7,K13,K42,K223,K270,K329,K340,K345,K413,K416,K450,K630,K720,K765,K789,K858,K923,K939)</f>
        <v>6988571.83085101</v>
      </c>
      <c r="L953" s="34" t="n">
        <f aca="false">SUM(L7,L13,L42,L223,L270,L329,L340,L345,L413,L416,L450,L630,L720,L765,L789,L858,L923,L939)</f>
        <v>2219549.29692032</v>
      </c>
      <c r="M953" s="34" t="n">
        <f aca="false">SUM(M7,M13,M42,M223,M270,M329,M340,M345,M413,M416,M450,M630,M720,M765,M789,M858,M923,M939)</f>
        <v>9208121.12777133</v>
      </c>
    </row>
    <row r="954" s="70" customFormat="true" ht="15" hidden="false" customHeight="false" outlineLevel="0" collapsed="false">
      <c r="A954" s="71" t="s">
        <v>1372</v>
      </c>
      <c r="B954" s="71"/>
      <c r="C954" s="71"/>
      <c r="D954" s="71"/>
      <c r="E954" s="71"/>
      <c r="F954" s="71"/>
      <c r="G954" s="71"/>
      <c r="H954" s="71"/>
      <c r="I954" s="34" t="n">
        <f aca="false">I953+J953</f>
        <v>7570324.26298447</v>
      </c>
      <c r="J954" s="34"/>
      <c r="K954" s="34" t="n">
        <f aca="false">K953+L953</f>
        <v>9208121.12777133</v>
      </c>
      <c r="L954" s="34"/>
      <c r="M954" s="34"/>
    </row>
    <row r="955" s="70" customFormat="true" ht="15" hidden="false" customHeight="false" outlineLevel="0" collapsed="false">
      <c r="A955" s="66" t="s">
        <v>1373</v>
      </c>
      <c r="B955" s="66"/>
      <c r="C955" s="66"/>
      <c r="D955" s="66"/>
      <c r="E955" s="66"/>
      <c r="F955" s="66"/>
      <c r="G955" s="66"/>
      <c r="H955" s="72" t="s">
        <v>1374</v>
      </c>
      <c r="I955" s="73" t="n">
        <f aca="false">05_BDI!$C$28</f>
        <v>0.2062</v>
      </c>
      <c r="J955" s="73"/>
      <c r="L955" s="34"/>
      <c r="M955" s="34"/>
    </row>
    <row r="956" s="70" customFormat="true" ht="15" hidden="false" customHeight="false" outlineLevel="0" collapsed="false">
      <c r="A956" s="66"/>
      <c r="B956" s="66"/>
      <c r="C956" s="66"/>
      <c r="D956" s="66"/>
      <c r="E956" s="66"/>
      <c r="F956" s="66"/>
      <c r="G956" s="66"/>
      <c r="H956" s="72" t="s">
        <v>1375</v>
      </c>
      <c r="I956" s="74" t="n">
        <f aca="false">05_BDI!$D$28</f>
        <v>0.2749</v>
      </c>
      <c r="J956" s="74"/>
      <c r="K956" s="74"/>
      <c r="L956" s="34"/>
      <c r="M956" s="34"/>
    </row>
    <row r="957" s="70" customFormat="true" ht="15" hidden="false" customHeight="false" outlineLevel="0" collapsed="false">
      <c r="A957" s="66"/>
      <c r="B957" s="66"/>
      <c r="C957" s="66"/>
      <c r="D957" s="66"/>
      <c r="E957" s="66"/>
      <c r="F957" s="66"/>
      <c r="G957" s="66"/>
      <c r="H957" s="72" t="s">
        <v>1376</v>
      </c>
      <c r="I957" s="74" t="n">
        <f aca="false">05_BDI!$E$28</f>
        <v>0.151947300269542</v>
      </c>
      <c r="J957" s="74"/>
      <c r="K957" s="74"/>
      <c r="L957" s="34"/>
      <c r="M957" s="34"/>
    </row>
    <row r="958" s="70" customFormat="true" ht="15" hidden="false" customHeight="false" outlineLevel="0" collapsed="false">
      <c r="A958" s="71" t="s">
        <v>1377</v>
      </c>
      <c r="B958" s="71"/>
      <c r="C958" s="71"/>
      <c r="D958" s="71"/>
      <c r="E958" s="71"/>
      <c r="F958" s="71"/>
      <c r="G958" s="71"/>
      <c r="H958" s="71"/>
      <c r="I958" s="34" t="n">
        <f aca="false">K953-I953</f>
        <v>1159207.09168827</v>
      </c>
      <c r="J958" s="34" t="n">
        <f aca="false">L953-J953</f>
        <v>478589.773098592</v>
      </c>
      <c r="K958" s="34"/>
      <c r="L958" s="34"/>
      <c r="M958" s="34"/>
    </row>
    <row r="959" s="70" customFormat="true" ht="15" hidden="false" customHeight="false" outlineLevel="0" collapsed="false">
      <c r="A959" s="71" t="s">
        <v>1378</v>
      </c>
      <c r="B959" s="71"/>
      <c r="C959" s="71"/>
      <c r="D959" s="71"/>
      <c r="E959" s="71"/>
      <c r="F959" s="71"/>
      <c r="G959" s="71"/>
      <c r="H959" s="71"/>
      <c r="I959" s="75" t="n">
        <f aca="false">I958+I953</f>
        <v>6988571.83085101</v>
      </c>
      <c r="J959" s="75" t="n">
        <f aca="false">J958+J953</f>
        <v>2219549.29692032</v>
      </c>
      <c r="K959" s="34"/>
      <c r="L959" s="34"/>
      <c r="M959" s="34"/>
    </row>
    <row r="960" s="70" customFormat="true" ht="15" hidden="false" customHeight="false" outlineLevel="0" collapsed="false">
      <c r="A960" s="71" t="s">
        <v>36</v>
      </c>
      <c r="B960" s="71"/>
      <c r="C960" s="71"/>
      <c r="D960" s="71"/>
      <c r="E960" s="71"/>
      <c r="F960" s="71"/>
      <c r="G960" s="71"/>
      <c r="H960" s="71"/>
      <c r="I960" s="34" t="n">
        <f aca="false">I959+J959</f>
        <v>9208121.12777133</v>
      </c>
      <c r="J960" s="34"/>
      <c r="K960" s="34"/>
      <c r="L960" s="34"/>
      <c r="M960" s="34"/>
    </row>
    <row r="961" customFormat="false" ht="14.25" hidden="false" customHeight="false" outlineLevel="0" collapsed="false"/>
    <row r="962" customFormat="false" ht="14.25" hidden="false" customHeight="false" outlineLevel="0" collapsed="false"/>
    <row r="963" customFormat="false" ht="14.25" hidden="false" customHeight="false" outlineLevel="0" collapsed="false"/>
    <row r="964" customFormat="false" ht="14.25" hidden="false" customHeight="false" outlineLevel="0" collapsed="false"/>
    <row r="965" customFormat="false" ht="14.25" hidden="false" customHeight="false" outlineLevel="0" collapsed="false"/>
    <row r="966" customFormat="false" ht="14.25" hidden="false" customHeight="false" outlineLevel="0" collapsed="false"/>
    <row r="967" customFormat="false" ht="14.25" hidden="false" customHeight="false" outlineLevel="0" collapsed="false"/>
    <row r="968" customFormat="false" ht="14.25" hidden="false" customHeight="false" outlineLevel="0" collapsed="false"/>
    <row r="969" customFormat="false" ht="14.25" hidden="false" customHeight="false" outlineLevel="0" collapsed="false"/>
    <row r="970" customFormat="false" ht="14.25" hidden="false" customHeight="false" outlineLevel="0" collapsed="false"/>
  </sheetData>
  <autoFilter ref="A6:M952"/>
  <mergeCells count="25">
    <mergeCell ref="A1:C3"/>
    <mergeCell ref="D1:J1"/>
    <mergeCell ref="D2:I3"/>
    <mergeCell ref="A4:A5"/>
    <mergeCell ref="B4:B5"/>
    <mergeCell ref="C4:C5"/>
    <mergeCell ref="D4:D5"/>
    <mergeCell ref="E4:E5"/>
    <mergeCell ref="F4:F5"/>
    <mergeCell ref="G4:H4"/>
    <mergeCell ref="I4:J4"/>
    <mergeCell ref="K4:L4"/>
    <mergeCell ref="M4:M5"/>
    <mergeCell ref="P5:S5"/>
    <mergeCell ref="A954:H954"/>
    <mergeCell ref="I954:J954"/>
    <mergeCell ref="K954:L954"/>
    <mergeCell ref="A955:G957"/>
    <mergeCell ref="I955:J955"/>
    <mergeCell ref="I956:J956"/>
    <mergeCell ref="I957:J957"/>
    <mergeCell ref="A958:H958"/>
    <mergeCell ref="A959:H959"/>
    <mergeCell ref="A960:H960"/>
    <mergeCell ref="I960:J960"/>
  </mergeCells>
  <conditionalFormatting sqref="A7:AMJ861 B862:AMJ864 A862:A881 C865:AMJ865 B866:AMJ881 A882:AMJ952">
    <cfRule type="expression" priority="2" aboveAverage="0" equalAverage="0" bottom="0" percent="0" rank="0" text="" dxfId="0">
      <formula>IF(AND($A7&lt;&gt;"",$B7=""),1,0)</formula>
    </cfRule>
  </conditionalFormatting>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558ED5"/>
    <pageSetUpPr fitToPage="true"/>
  </sheetPr>
  <dimension ref="B2:X108"/>
  <sheetViews>
    <sheetView showFormulas="false" showGridLines="true" showRowColHeaders="true" showZeros="true" rightToLeft="false" tabSelected="true" showOutlineSymbols="true" defaultGridColor="true" view="pageBreakPreview" topLeftCell="Q1" colorId="64" zoomScale="85" zoomScaleNormal="70" zoomScalePageLayoutView="85" workbookViewId="0">
      <selection pane="topLeft" activeCell="E17" activeCellId="0" sqref="E17"/>
    </sheetView>
  </sheetViews>
  <sheetFormatPr defaultRowHeight="15" zeroHeight="false" outlineLevelRow="0" outlineLevelCol="0"/>
  <cols>
    <col collapsed="false" customWidth="true" hidden="false" outlineLevel="0" max="1" min="1" style="76" width="2.57"/>
    <col collapsed="false" customWidth="true" hidden="false" outlineLevel="0" max="2" min="2" style="77" width="8.71"/>
    <col collapsed="false" customWidth="true" hidden="false" outlineLevel="0" max="3" min="3" style="76" width="54.71"/>
    <col collapsed="false" customWidth="true" hidden="false" outlineLevel="0" max="4" min="4" style="76" width="18.85"/>
    <col collapsed="false" customWidth="true" hidden="false" outlineLevel="0" max="5" min="5" style="76" width="15.86"/>
    <col collapsed="false" customWidth="true" hidden="false" outlineLevel="0" max="6" min="6" style="76" width="6.86"/>
    <col collapsed="false" customWidth="true" hidden="false" outlineLevel="0" max="8" min="7" style="76" width="15"/>
    <col collapsed="false" customWidth="true" hidden="false" outlineLevel="0" max="9" min="9" style="76" width="19.99"/>
    <col collapsed="false" customWidth="true" hidden="false" outlineLevel="0" max="22" min="10" style="76" width="16.57"/>
    <col collapsed="false" customWidth="true" hidden="false" outlineLevel="0" max="24" min="23" style="76" width="17.71"/>
    <col collapsed="false" customWidth="true" hidden="false" outlineLevel="0" max="25" min="25" style="76" width="25.57"/>
    <col collapsed="false" customWidth="true" hidden="false" outlineLevel="0" max="26" min="26" style="76" width="15.86"/>
    <col collapsed="false" customWidth="true" hidden="false" outlineLevel="0" max="27" min="27" style="76" width="14.43"/>
    <col collapsed="false" customWidth="true" hidden="false" outlineLevel="0" max="1025" min="28" style="76" width="8.71"/>
  </cols>
  <sheetData>
    <row r="2" customFormat="false" ht="15.75" hidden="false" customHeight="true" outlineLevel="0" collapsed="false">
      <c r="B2" s="78" t="s">
        <v>1379</v>
      </c>
      <c r="C2" s="78"/>
      <c r="D2" s="78"/>
      <c r="E2" s="78"/>
      <c r="F2" s="78"/>
      <c r="G2" s="79" t="s">
        <v>1380</v>
      </c>
      <c r="H2" s="79"/>
      <c r="I2" s="79"/>
      <c r="J2" s="79"/>
      <c r="K2" s="79"/>
      <c r="L2" s="79"/>
      <c r="M2" s="79"/>
      <c r="N2" s="79"/>
      <c r="O2" s="79"/>
      <c r="P2" s="79"/>
      <c r="Q2" s="79"/>
      <c r="R2" s="79"/>
      <c r="S2" s="79"/>
      <c r="T2" s="79"/>
      <c r="U2" s="79"/>
      <c r="V2" s="79"/>
    </row>
    <row r="3" customFormat="false" ht="15" hidden="false" customHeight="true" outlineLevel="0" collapsed="false">
      <c r="B3" s="78"/>
      <c r="C3" s="78"/>
      <c r="D3" s="78"/>
      <c r="E3" s="78"/>
      <c r="F3" s="78"/>
      <c r="G3" s="80" t="str">
        <f aca="false">01_SINTETICO!D2</f>
        <v>OBRA: FORUM TRABALHISTA DA 18 REGIAO</v>
      </c>
      <c r="H3" s="80"/>
      <c r="I3" s="81" t="n">
        <f aca="false">'CAPA-DADOS'!$E$13</f>
        <v>45750</v>
      </c>
      <c r="J3" s="82"/>
      <c r="K3" s="83"/>
      <c r="L3" s="83"/>
      <c r="M3" s="83"/>
      <c r="N3" s="83"/>
      <c r="O3" s="83"/>
      <c r="P3" s="83"/>
      <c r="Q3" s="83"/>
      <c r="R3" s="83"/>
      <c r="S3" s="83"/>
      <c r="T3" s="83"/>
      <c r="U3" s="83"/>
      <c r="V3" s="84"/>
      <c r="W3" s="76" t="s">
        <v>1381</v>
      </c>
      <c r="X3" s="85"/>
    </row>
    <row r="4" customFormat="false" ht="33" hidden="false" customHeight="true" outlineLevel="0" collapsed="false">
      <c r="B4" s="78"/>
      <c r="C4" s="78"/>
      <c r="D4" s="78"/>
      <c r="E4" s="78"/>
      <c r="F4" s="78"/>
      <c r="G4" s="80"/>
      <c r="H4" s="80"/>
      <c r="I4" s="86" t="str">
        <f aca="false">01_SINTETICO!$J$3</f>
        <v>SINAPI-FEV/2025</v>
      </c>
      <c r="J4" s="87"/>
      <c r="K4" s="88"/>
      <c r="L4" s="88"/>
      <c r="M4" s="88"/>
      <c r="N4" s="88"/>
      <c r="O4" s="88"/>
      <c r="P4" s="88"/>
      <c r="Q4" s="88"/>
      <c r="R4" s="88"/>
      <c r="S4" s="88"/>
      <c r="T4" s="88"/>
      <c r="U4" s="88"/>
      <c r="V4" s="89"/>
      <c r="W4" s="76" t="s">
        <v>1382</v>
      </c>
    </row>
    <row r="5" s="90" customFormat="true" ht="15" hidden="false" customHeight="false" outlineLevel="0" collapsed="false">
      <c r="B5" s="91"/>
      <c r="C5" s="91"/>
      <c r="D5" s="92"/>
      <c r="E5" s="92"/>
      <c r="F5" s="93"/>
      <c r="G5" s="94"/>
      <c r="H5" s="94"/>
      <c r="I5" s="94"/>
      <c r="J5" s="94"/>
      <c r="K5" s="94"/>
      <c r="L5" s="94"/>
      <c r="M5" s="94"/>
      <c r="N5" s="94"/>
      <c r="O5" s="94"/>
      <c r="P5" s="94"/>
      <c r="Q5" s="94"/>
      <c r="R5" s="94"/>
      <c r="S5" s="94"/>
      <c r="T5" s="94"/>
      <c r="U5" s="94"/>
      <c r="V5" s="94"/>
      <c r="W5" s="92"/>
      <c r="X5" s="95"/>
    </row>
    <row r="6" s="90" customFormat="true" ht="15" hidden="false" customHeight="true" outlineLevel="0" collapsed="false">
      <c r="B6" s="96" t="s">
        <v>27</v>
      </c>
      <c r="C6" s="97" t="s">
        <v>1383</v>
      </c>
      <c r="D6" s="97"/>
      <c r="E6" s="97"/>
      <c r="F6" s="97"/>
      <c r="G6" s="98" t="s">
        <v>1384</v>
      </c>
      <c r="H6" s="98"/>
      <c r="I6" s="98"/>
      <c r="J6" s="98"/>
      <c r="K6" s="98"/>
      <c r="L6" s="98"/>
      <c r="M6" s="98"/>
      <c r="N6" s="98"/>
      <c r="O6" s="98"/>
      <c r="P6" s="98"/>
      <c r="Q6" s="98"/>
      <c r="R6" s="98"/>
      <c r="S6" s="98"/>
      <c r="T6" s="98"/>
      <c r="U6" s="98"/>
      <c r="V6" s="98"/>
      <c r="W6" s="99"/>
      <c r="X6" s="100"/>
    </row>
    <row r="7" s="90" customFormat="true" ht="15" hidden="false" customHeight="false" outlineLevel="0" collapsed="false">
      <c r="B7" s="96"/>
      <c r="C7" s="97"/>
      <c r="D7" s="97"/>
      <c r="E7" s="97"/>
      <c r="F7" s="97"/>
      <c r="G7" s="101" t="s">
        <v>1385</v>
      </c>
      <c r="H7" s="101" t="s">
        <v>1386</v>
      </c>
      <c r="I7" s="101" t="s">
        <v>1387</v>
      </c>
      <c r="J7" s="101" t="s">
        <v>1388</v>
      </c>
      <c r="K7" s="101" t="s">
        <v>1389</v>
      </c>
      <c r="L7" s="101" t="s">
        <v>1390</v>
      </c>
      <c r="M7" s="101" t="s">
        <v>1391</v>
      </c>
      <c r="N7" s="101" t="s">
        <v>1392</v>
      </c>
      <c r="O7" s="101" t="s">
        <v>1393</v>
      </c>
      <c r="P7" s="101" t="s">
        <v>1394</v>
      </c>
      <c r="Q7" s="101" t="s">
        <v>1395</v>
      </c>
      <c r="R7" s="101" t="s">
        <v>1396</v>
      </c>
      <c r="S7" s="101" t="s">
        <v>1397</v>
      </c>
      <c r="T7" s="101" t="s">
        <v>1398</v>
      </c>
      <c r="U7" s="101" t="s">
        <v>1399</v>
      </c>
      <c r="V7" s="101" t="s">
        <v>1400</v>
      </c>
      <c r="W7" s="102"/>
      <c r="X7" s="103"/>
    </row>
    <row r="8" s="90" customFormat="true" ht="15" hidden="false" customHeight="true" outlineLevel="0" collapsed="false">
      <c r="B8" s="96"/>
      <c r="C8" s="97"/>
      <c r="D8" s="97"/>
      <c r="E8" s="97"/>
      <c r="F8" s="97"/>
      <c r="G8" s="104" t="n">
        <v>30</v>
      </c>
      <c r="H8" s="104" t="n">
        <v>60</v>
      </c>
      <c r="I8" s="104" t="n">
        <v>90</v>
      </c>
      <c r="J8" s="104" t="n">
        <v>120</v>
      </c>
      <c r="K8" s="104" t="n">
        <v>150</v>
      </c>
      <c r="L8" s="104" t="n">
        <v>180</v>
      </c>
      <c r="M8" s="104" t="n">
        <v>210</v>
      </c>
      <c r="N8" s="104" t="n">
        <v>240</v>
      </c>
      <c r="O8" s="104" t="n">
        <v>270</v>
      </c>
      <c r="P8" s="104" t="n">
        <v>300</v>
      </c>
      <c r="Q8" s="104" t="n">
        <v>330</v>
      </c>
      <c r="R8" s="104" t="n">
        <v>360</v>
      </c>
      <c r="S8" s="104" t="n">
        <v>390</v>
      </c>
      <c r="T8" s="104" t="n">
        <v>420</v>
      </c>
      <c r="U8" s="104" t="n">
        <v>450</v>
      </c>
      <c r="V8" s="104" t="n">
        <v>480</v>
      </c>
      <c r="W8" s="102" t="s">
        <v>1401</v>
      </c>
      <c r="X8" s="102"/>
    </row>
    <row r="9" s="90" customFormat="true" ht="15" hidden="false" customHeight="false" outlineLevel="0" collapsed="false">
      <c r="B9" s="105"/>
      <c r="C9" s="106"/>
      <c r="D9" s="107"/>
      <c r="E9" s="107"/>
      <c r="F9" s="108"/>
      <c r="G9" s="109"/>
      <c r="H9" s="109"/>
      <c r="I9" s="109"/>
      <c r="J9" s="109"/>
      <c r="K9" s="109"/>
      <c r="L9" s="109"/>
      <c r="M9" s="109"/>
      <c r="N9" s="109"/>
      <c r="O9" s="109"/>
      <c r="P9" s="109"/>
      <c r="Q9" s="109"/>
      <c r="R9" s="109"/>
      <c r="S9" s="109"/>
      <c r="T9" s="109"/>
      <c r="U9" s="109"/>
      <c r="V9" s="109"/>
      <c r="W9" s="110"/>
      <c r="X9" s="111"/>
    </row>
    <row r="10" s="90" customFormat="true" ht="15" hidden="false" customHeight="false" outlineLevel="0" collapsed="false">
      <c r="B10" s="112" t="n">
        <v>1</v>
      </c>
      <c r="C10" s="113" t="str">
        <f aca="false">VLOOKUP($B10,01_SINTETICO!A:M,3,0)</f>
        <v>ADMINISTRACAO LOCAL DE OBRAS</v>
      </c>
      <c r="D10" s="114" t="n">
        <f aca="false">VLOOKUP($B10,01_SINTETICO!A:M,13,0)</f>
        <v>566163.334642817</v>
      </c>
      <c r="E10" s="115" t="n">
        <f aca="false">D10/$D$46</f>
        <v>0.0614852179708291</v>
      </c>
      <c r="F10" s="116" t="s">
        <v>1402</v>
      </c>
      <c r="G10" s="117" t="n">
        <f aca="false">SUM(G13,G15,G17,G19,G21,G23,G25,G27,G29,G31,G33,G35,G37,G39,G41,G43,G45)/($D$46-$D$10)</f>
        <v>0.0113652319418381</v>
      </c>
      <c r="H10" s="117" t="n">
        <f aca="false">SUM(H13,H15,H17,H19,H21,H23,H25,H27,H29,H31,H33,H35,H37,H39,H41,H43,H45)/($D$46-$D$10)</f>
        <v>0.0150042157190392</v>
      </c>
      <c r="I10" s="117" t="n">
        <f aca="false">SUM(I13,I15,I17,I19,I21,I23,I25,I27,I29,I31,I33,I35,I37,I39,I41,I43,I45)/($D$46-$D$10)</f>
        <v>0.0506257794201372</v>
      </c>
      <c r="J10" s="117" t="n">
        <f aca="false">SUM(J13,J15,J17,J19,J21,J23,J25,J27,J29,J31,J33,J35,J37,J39,J41,J43,J45)/($D$46-$D$10)</f>
        <v>0.0506257794201372</v>
      </c>
      <c r="K10" s="117" t="n">
        <f aca="false">SUM(K13,K15,K17,K19,K21,K23,K25,K27,K29,K31,K33,K35,K37,K39,K41,K43,K45)/($D$46-$D$10)</f>
        <v>0.0665971278877534</v>
      </c>
      <c r="L10" s="117" t="n">
        <f aca="false">SUM(L13,L15,L17,L19,L21,L23,L25,L27,L29,L31,L33,L35,L37,L39,L41,L43,L45)/($D$46-$D$10)</f>
        <v>0.077137191202504</v>
      </c>
      <c r="M10" s="117" t="n">
        <f aca="false">SUM(M13,M15,M17,M19,M21,M23,M25,M27,M29,M31,M33,M35,M37,M39,M41,M43,M45)/($D$46-$D$10)</f>
        <v>0.0791014094616262</v>
      </c>
      <c r="N10" s="117" t="n">
        <f aca="false">SUM(N13,N15,N17,N19,N21,N23,N25,N27,N29,N31,N33,N35,N37,N39,N41,N43,N45)/($D$46-$D$10)</f>
        <v>0.0572818607155518</v>
      </c>
      <c r="O10" s="117" t="n">
        <f aca="false">SUM(O13,O15,O17,O19,O21,O23,O25,O27,O29,O31,O33,O35,O37,O39,O41,O43,O45)/($D$46-$D$10)</f>
        <v>0.130022395749821</v>
      </c>
      <c r="P10" s="117" t="n">
        <f aca="false">SUM(P13,P15,P17,P19,P21,P23,P25,P27,P29,P31,P33,P35,P37,P39,P41,P43,P45)/($D$46-$D$10)</f>
        <v>0.110374939321009</v>
      </c>
      <c r="Q10" s="117" t="n">
        <f aca="false">SUM(Q13,Q15,Q17,Q19,Q21,Q23,Q25,Q27,Q29,Q31,Q33,Q35,Q37,Q39,Q41,Q43,Q45)/($D$46-$D$10)</f>
        <v>0.0562099738586673</v>
      </c>
      <c r="R10" s="117" t="n">
        <f aca="false">SUM(R13,R15,R17,R19,R21,R23,R25,R27,R29,R31,R33,R35,R37,R39,R41,R43,R45)/($D$46-$D$10)</f>
        <v>0.0480441827649232</v>
      </c>
      <c r="S10" s="117" t="n">
        <f aca="false">SUM(S13,S15,S17,S19,S21,S23,S25,S27,S29,S31,S33,S35,S37,S39,S41,S43,S45)/($D$46-$D$10)</f>
        <v>0.0158330645333777</v>
      </c>
      <c r="T10" s="117" t="n">
        <f aca="false">SUM(T13,T15,T17,T19,T21,T23,T25,T27,T29,T31,T33,T35,T37,T39,T41,T43,T45)/($D$46-$D$10)</f>
        <v>0.0179512623822968</v>
      </c>
      <c r="U10" s="117" t="n">
        <f aca="false">SUM(U13,U15,U17,U19,U21,U23,U25,U27,U29,U31,U33,U35,U37,U39,U41,U43,U45)/($D$46-$D$10)</f>
        <v>0.0646109815428183</v>
      </c>
      <c r="V10" s="117" t="n">
        <f aca="false">SUM(V13,V15,V17,V19,V21,V23,V25,V27,V29,V31,V33,V35,V37,V39,V41,V43,V45)/($D$46-$D$10)</f>
        <v>0.1492146040785</v>
      </c>
      <c r="W10" s="117" t="n">
        <f aca="false">SUM(W13,W15,W17,W19,W21,W23,W25,W27,W29,W31,W33,W35,W37,W39,W41,W43,W45)/($D$46-$D$10)</f>
        <v>1</v>
      </c>
      <c r="X10" s="117" t="n">
        <f aca="false">SUM(X13,X15,X17,X19,X21,X23,X25,X27,X29,X31,X33,X35,X37,X39,X41,X43)/($D$46-$D$10)</f>
        <v>0</v>
      </c>
    </row>
    <row r="11" s="90" customFormat="true" ht="15" hidden="false" customHeight="false" outlineLevel="0" collapsed="false">
      <c r="B11" s="118"/>
      <c r="C11" s="119" t="s">
        <v>1403</v>
      </c>
      <c r="D11" s="120"/>
      <c r="E11" s="120"/>
      <c r="F11" s="121" t="s">
        <v>1404</v>
      </c>
      <c r="G11" s="122" t="n">
        <f aca="false">IF(G10="","",G10*$D10)</f>
        <v>6434.57761518011</v>
      </c>
      <c r="H11" s="122" t="n">
        <f aca="false">IF(H10="","",H10*$D10)</f>
        <v>8494.83680519138</v>
      </c>
      <c r="I11" s="122" t="n">
        <f aca="false">IF(I10="","",I10*$D10)</f>
        <v>28662.4600953966</v>
      </c>
      <c r="J11" s="122" t="n">
        <f aca="false">IF(J10="","",J10*$D10)</f>
        <v>28662.4600953966</v>
      </c>
      <c r="K11" s="122" t="n">
        <f aca="false">IF(K10="","",K10*$D10)</f>
        <v>37704.8520025646</v>
      </c>
      <c r="L11" s="122" t="n">
        <f aca="false">IF(L10="","",L10*$D10)</f>
        <v>43672.2493961902</v>
      </c>
      <c r="M11" s="122" t="n">
        <f aca="false">IF(M10="","",M10*$D10)</f>
        <v>44784.3177557411</v>
      </c>
      <c r="N11" s="122" t="n">
        <f aca="false">IF(N10="","",N10*$D10)</f>
        <v>32430.8892772621</v>
      </c>
      <c r="O11" s="122" t="n">
        <f aca="false">IF(O10="","",O10*$D10)</f>
        <v>73613.9131559666</v>
      </c>
      <c r="P11" s="122" t="n">
        <f aca="false">IF(P10="","",P10*$D10)</f>
        <v>62490.2437069809</v>
      </c>
      <c r="Q11" s="122" t="n">
        <f aca="false">IF(Q10="","",Q10*$D10)</f>
        <v>31824.0262400086</v>
      </c>
      <c r="R11" s="122" t="n">
        <f aca="false">IF(R10="","",R10*$D10)</f>
        <v>27200.8547243779</v>
      </c>
      <c r="S11" s="122" t="n">
        <f aca="false">IF(S10="","",S10*$D10)</f>
        <v>8964.10061383205</v>
      </c>
      <c r="T11" s="122" t="n">
        <f aca="false">IF(T10="","",T10*$D10)</f>
        <v>10163.3465714093</v>
      </c>
      <c r="U11" s="122" t="n">
        <f aca="false">IF(U10="","",U10*$D10)</f>
        <v>36580.3687648275</v>
      </c>
      <c r="V11" s="122" t="n">
        <f aca="false">IF(V10="","",V10*$D10)</f>
        <v>84479.8378224912</v>
      </c>
      <c r="W11" s="92" t="n">
        <f aca="false">SUM(G11:V11)</f>
        <v>566163.334642817</v>
      </c>
      <c r="X11" s="95" t="n">
        <f aca="false">W11-D10&lt;0.00001</f>
        <v>1</v>
      </c>
    </row>
    <row r="12" s="90" customFormat="true" ht="15" hidden="false" customHeight="false" outlineLevel="0" collapsed="false">
      <c r="B12" s="112" t="n">
        <v>2</v>
      </c>
      <c r="C12" s="123" t="str">
        <f aca="false">VLOOKUP($B12,01_SINTETICO!A:M,3,0)</f>
        <v>SERVIÇOS PRELIMINARES</v>
      </c>
      <c r="D12" s="114" t="n">
        <f aca="false">VLOOKUP($B12,01_SINTETICO!A:M,13,0)</f>
        <v>227883.653713413</v>
      </c>
      <c r="E12" s="115" t="n">
        <f aca="false">D12/$D$46</f>
        <v>0.0247481164236778</v>
      </c>
      <c r="F12" s="116" t="s">
        <v>1402</v>
      </c>
      <c r="G12" s="124" t="n">
        <v>0.431</v>
      </c>
      <c r="H12" s="124" t="n">
        <v>0.569</v>
      </c>
      <c r="I12" s="124"/>
      <c r="J12" s="124"/>
      <c r="K12" s="124"/>
      <c r="L12" s="124"/>
      <c r="M12" s="124"/>
      <c r="N12" s="124"/>
      <c r="O12" s="124"/>
      <c r="P12" s="124"/>
      <c r="Q12" s="124"/>
      <c r="R12" s="124"/>
      <c r="S12" s="124"/>
      <c r="T12" s="124"/>
      <c r="U12" s="124"/>
      <c r="V12" s="124"/>
      <c r="W12" s="93" t="n">
        <f aca="false">SUM(G12:V12)</f>
        <v>1</v>
      </c>
      <c r="X12" s="125" t="n">
        <f aca="false">W12=1</f>
        <v>1</v>
      </c>
    </row>
    <row r="13" s="90" customFormat="true" ht="15" hidden="false" customHeight="false" outlineLevel="0" collapsed="false">
      <c r="B13" s="118"/>
      <c r="C13" s="119"/>
      <c r="D13" s="120"/>
      <c r="E13" s="120"/>
      <c r="F13" s="121" t="s">
        <v>1404</v>
      </c>
      <c r="G13" s="126" t="n">
        <f aca="false">IF(G12="","",G12*$D12)</f>
        <v>98217.8547504808</v>
      </c>
      <c r="H13" s="126" t="n">
        <f aca="false">IF(H12="","",H12*$D12)</f>
        <v>129665.798962932</v>
      </c>
      <c r="I13" s="126" t="str">
        <f aca="false">IF(I12="","",I12*$D12)</f>
        <v/>
      </c>
      <c r="J13" s="126" t="str">
        <f aca="false">IF(J12="","",J12*$D12)</f>
        <v/>
      </c>
      <c r="K13" s="126" t="str">
        <f aca="false">IF(K12="","",K12*$D12)</f>
        <v/>
      </c>
      <c r="L13" s="126" t="str">
        <f aca="false">IF(L12="","",L12*$D12)</f>
        <v/>
      </c>
      <c r="M13" s="126" t="str">
        <f aca="false">IF(M12="","",M12*$D12)</f>
        <v/>
      </c>
      <c r="N13" s="126" t="str">
        <f aca="false">IF(N12="","",N12*$D12)</f>
        <v/>
      </c>
      <c r="O13" s="126" t="str">
        <f aca="false">IF(O12="","",O12*$D12)</f>
        <v/>
      </c>
      <c r="P13" s="126" t="str">
        <f aca="false">IF(P12="","",P12*$D12)</f>
        <v/>
      </c>
      <c r="Q13" s="126" t="str">
        <f aca="false">IF(Q12="","",Q12*$D12)</f>
        <v/>
      </c>
      <c r="R13" s="126" t="str">
        <f aca="false">IF(R12="","",R12*$D12)</f>
        <v/>
      </c>
      <c r="S13" s="126" t="str">
        <f aca="false">IF(S12="","",S12*$D12)</f>
        <v/>
      </c>
      <c r="T13" s="126" t="str">
        <f aca="false">IF(T12="","",T12*$D12)</f>
        <v/>
      </c>
      <c r="U13" s="126" t="str">
        <f aca="false">IF(U12="","",U12*$D12)</f>
        <v/>
      </c>
      <c r="V13" s="126" t="str">
        <f aca="false">IF(V12="","",V12*$D12)</f>
        <v/>
      </c>
      <c r="W13" s="92" t="n">
        <f aca="false">SUM(G13:V13)</f>
        <v>227883.653713413</v>
      </c>
      <c r="X13" s="95" t="n">
        <f aca="false">W13=D12</f>
        <v>1</v>
      </c>
    </row>
    <row r="14" s="90" customFormat="true" ht="15" hidden="false" customHeight="false" outlineLevel="0" collapsed="false">
      <c r="B14" s="112" t="n">
        <v>3</v>
      </c>
      <c r="C14" s="123" t="str">
        <f aca="false">VLOOKUP($B14,01_SINTETICO!A:M,3,0)</f>
        <v>ESTRUTURA</v>
      </c>
      <c r="D14" s="114" t="n">
        <f aca="false">VLOOKUP($B14,01_SINTETICO!A:M,13,0)</f>
        <v>2782736.27734853</v>
      </c>
      <c r="E14" s="115" t="n">
        <f aca="false">D14/$D$46</f>
        <v>0.302204569068483</v>
      </c>
      <c r="F14" s="116" t="s">
        <v>1402</v>
      </c>
      <c r="G14" s="124"/>
      <c r="H14" s="124"/>
      <c r="I14" s="124" t="n">
        <v>0.1538</v>
      </c>
      <c r="J14" s="124" t="n">
        <v>0.1538</v>
      </c>
      <c r="K14" s="124" t="n">
        <v>0.2034</v>
      </c>
      <c r="L14" s="124" t="n">
        <v>0.2034</v>
      </c>
      <c r="M14" s="124" t="n">
        <v>0.2095</v>
      </c>
      <c r="N14" s="124" t="n">
        <v>0.0221</v>
      </c>
      <c r="O14" s="124" t="n">
        <v>0.027</v>
      </c>
      <c r="P14" s="124" t="n">
        <v>0.027</v>
      </c>
      <c r="Q14" s="124"/>
      <c r="R14" s="124"/>
      <c r="S14" s="124"/>
      <c r="T14" s="124"/>
      <c r="U14" s="124"/>
      <c r="V14" s="124"/>
      <c r="W14" s="93" t="n">
        <f aca="false">SUM(G14:V14)</f>
        <v>1</v>
      </c>
      <c r="X14" s="125" t="n">
        <f aca="false">W14=1</f>
        <v>1</v>
      </c>
    </row>
    <row r="15" s="90" customFormat="true" ht="15" hidden="false" customHeight="false" outlineLevel="0" collapsed="false">
      <c r="B15" s="118"/>
      <c r="C15" s="119"/>
      <c r="D15" s="120"/>
      <c r="E15" s="120"/>
      <c r="F15" s="121" t="s">
        <v>1404</v>
      </c>
      <c r="G15" s="126" t="str">
        <f aca="false">IF(G14="","",G14*$D14)</f>
        <v/>
      </c>
      <c r="H15" s="126" t="str">
        <f aca="false">IF(H14="","",H14*$D14)</f>
        <v/>
      </c>
      <c r="I15" s="126" t="n">
        <f aca="false">IF(I14="","",I14*$D14)</f>
        <v>427984.839456204</v>
      </c>
      <c r="J15" s="126" t="n">
        <f aca="false">IF(J14="","",J14*$D14)</f>
        <v>427984.839456204</v>
      </c>
      <c r="K15" s="126" t="n">
        <f aca="false">IF(K14="","",K14*$D14)</f>
        <v>566008.558812691</v>
      </c>
      <c r="L15" s="126" t="n">
        <f aca="false">IF(L14="","",L14*$D14)</f>
        <v>566008.558812691</v>
      </c>
      <c r="M15" s="126" t="n">
        <f aca="false">IF(M14="","",M14*$D14)</f>
        <v>582983.250104517</v>
      </c>
      <c r="N15" s="126" t="n">
        <f aca="false">IF(N14="","",N14*$D14)</f>
        <v>61498.4717294025</v>
      </c>
      <c r="O15" s="126" t="n">
        <f aca="false">IF(O14="","",O14*$D14)</f>
        <v>75133.8794884103</v>
      </c>
      <c r="P15" s="126" t="n">
        <f aca="false">IF(P14="","",P14*$D14)</f>
        <v>75133.8794884103</v>
      </c>
      <c r="Q15" s="126" t="str">
        <f aca="false">IF(Q14="","",Q14*$D14)</f>
        <v/>
      </c>
      <c r="R15" s="126" t="str">
        <f aca="false">IF(R14="","",R14*$D14)</f>
        <v/>
      </c>
      <c r="S15" s="126" t="str">
        <f aca="false">IF(S14="","",S14*$D14)</f>
        <v/>
      </c>
      <c r="T15" s="126" t="str">
        <f aca="false">IF(T14="","",T14*$D14)</f>
        <v/>
      </c>
      <c r="U15" s="126" t="str">
        <f aca="false">IF(U14="","",U14*$D14)</f>
        <v/>
      </c>
      <c r="V15" s="126" t="str">
        <f aca="false">IF(V14="","",V14*$D14)</f>
        <v/>
      </c>
      <c r="W15" s="92" t="n">
        <f aca="false">IF(W14="","",W14*$D14)</f>
        <v>2782736.27734853</v>
      </c>
      <c r="X15" s="95" t="n">
        <f aca="false">W15=D14</f>
        <v>1</v>
      </c>
    </row>
    <row r="16" s="90" customFormat="true" ht="15" hidden="false" customHeight="false" outlineLevel="0" collapsed="false">
      <c r="B16" s="112" t="n">
        <v>4</v>
      </c>
      <c r="C16" s="123" t="str">
        <f aca="false">VLOOKUP($B16,01_SINTETICO!A:M,3,0)</f>
        <v>FECHAMENTOS</v>
      </c>
      <c r="D16" s="114" t="n">
        <f aca="false">VLOOKUP($B16,01_SINTETICO!A:M,13,0)</f>
        <v>757163.610166061</v>
      </c>
      <c r="E16" s="115" t="n">
        <f aca="false">D16/$D$46</f>
        <v>0.082227807351761</v>
      </c>
      <c r="F16" s="116" t="s">
        <v>1402</v>
      </c>
      <c r="G16" s="124"/>
      <c r="H16" s="124"/>
      <c r="I16" s="124"/>
      <c r="J16" s="124"/>
      <c r="K16" s="124"/>
      <c r="L16" s="124" t="n">
        <v>0.1203</v>
      </c>
      <c r="M16" s="124" t="n">
        <v>0.1203</v>
      </c>
      <c r="N16" s="124" t="n">
        <v>0.1472</v>
      </c>
      <c r="O16" s="124" t="n">
        <v>0.1084</v>
      </c>
      <c r="P16" s="124" t="n">
        <v>0.0969</v>
      </c>
      <c r="Q16" s="124"/>
      <c r="R16" s="124"/>
      <c r="S16" s="124"/>
      <c r="T16" s="124"/>
      <c r="U16" s="124"/>
      <c r="V16" s="124" t="n">
        <v>0.4069</v>
      </c>
      <c r="W16" s="93" t="n">
        <f aca="false">SUM(G16:V16)</f>
        <v>1</v>
      </c>
      <c r="X16" s="125" t="n">
        <f aca="false">W16=1</f>
        <v>1</v>
      </c>
    </row>
    <row r="17" s="90" customFormat="true" ht="15" hidden="false" customHeight="false" outlineLevel="0" collapsed="false">
      <c r="B17" s="118"/>
      <c r="C17" s="119"/>
      <c r="D17" s="120"/>
      <c r="E17" s="120"/>
      <c r="F17" s="121" t="s">
        <v>1404</v>
      </c>
      <c r="G17" s="126" t="str">
        <f aca="false">IF(G16="","",G16*$D16)</f>
        <v/>
      </c>
      <c r="H17" s="126" t="str">
        <f aca="false">IF(H16="","",H16*$D16)</f>
        <v/>
      </c>
      <c r="I17" s="126" t="str">
        <f aca="false">IF(I16="","",I16*$D16)</f>
        <v/>
      </c>
      <c r="J17" s="126" t="str">
        <f aca="false">IF(J16="","",J16*$D16)</f>
        <v/>
      </c>
      <c r="K17" s="126" t="str">
        <f aca="false">IF(K16="","",K16*$D16)</f>
        <v/>
      </c>
      <c r="L17" s="126" t="n">
        <f aca="false">IF(L16="","",L16*$D16)</f>
        <v>91086.7823029771</v>
      </c>
      <c r="M17" s="126" t="n">
        <f aca="false">IF(M16="","",M16*$D16)</f>
        <v>91086.7823029771</v>
      </c>
      <c r="N17" s="126" t="n">
        <f aca="false">IF(N16="","",N16*$D16)</f>
        <v>111454.483416444</v>
      </c>
      <c r="O17" s="126" t="n">
        <f aca="false">IF(O16="","",O16*$D16)</f>
        <v>82076.535342001</v>
      </c>
      <c r="P17" s="126" t="n">
        <f aca="false">IF(P16="","",P16*$D16)</f>
        <v>73369.1538250913</v>
      </c>
      <c r="Q17" s="126" t="str">
        <f aca="false">IF(Q16="","",Q16*$D16)</f>
        <v/>
      </c>
      <c r="R17" s="126" t="str">
        <f aca="false">IF(R16="","",R16*$D16)</f>
        <v/>
      </c>
      <c r="S17" s="126" t="str">
        <f aca="false">IF(S16="","",S16*$D16)</f>
        <v/>
      </c>
      <c r="T17" s="126" t="str">
        <f aca="false">IF(T16="","",T16*$D16)</f>
        <v/>
      </c>
      <c r="U17" s="126" t="str">
        <f aca="false">IF(U16="","",U16*$D16)</f>
        <v/>
      </c>
      <c r="V17" s="126" t="n">
        <f aca="false">IF(V16="","",V16*$D16)</f>
        <v>308089.87297657</v>
      </c>
      <c r="W17" s="92" t="n">
        <f aca="false">SUM(G17:V17)</f>
        <v>757163.610166061</v>
      </c>
      <c r="X17" s="95" t="n">
        <f aca="false">W17=D16</f>
        <v>1</v>
      </c>
    </row>
    <row r="18" s="90" customFormat="true" ht="15" hidden="false" customHeight="false" outlineLevel="0" collapsed="false">
      <c r="B18" s="112" t="n">
        <v>5</v>
      </c>
      <c r="C18" s="123" t="str">
        <f aca="false">VLOOKUP($B18,01_SINTETICO!A:M,3,0)</f>
        <v>ESQUADRIAS</v>
      </c>
      <c r="D18" s="114" t="n">
        <f aca="false">VLOOKUP($B18,01_SINTETICO!A:M,13,0)</f>
        <v>722101.86977429</v>
      </c>
      <c r="E18" s="115" t="n">
        <f aca="false">D18/$D$46</f>
        <v>0.078420109787268</v>
      </c>
      <c r="F18" s="116" t="s">
        <v>1402</v>
      </c>
      <c r="G18" s="124"/>
      <c r="H18" s="124"/>
      <c r="I18" s="124"/>
      <c r="J18" s="124"/>
      <c r="K18" s="124"/>
      <c r="L18" s="124"/>
      <c r="M18" s="124"/>
      <c r="N18" s="124"/>
      <c r="O18" s="124" t="n">
        <v>0.265</v>
      </c>
      <c r="P18" s="124" t="n">
        <v>0.2937</v>
      </c>
      <c r="Q18" s="124" t="n">
        <v>0.0321</v>
      </c>
      <c r="R18" s="124" t="n">
        <v>0.0393</v>
      </c>
      <c r="S18" s="124"/>
      <c r="T18" s="124" t="n">
        <v>0.1965</v>
      </c>
      <c r="U18" s="124" t="n">
        <v>0.1734</v>
      </c>
      <c r="V18" s="124"/>
      <c r="W18" s="93" t="n">
        <f aca="false">SUM(G18:V18)</f>
        <v>1</v>
      </c>
      <c r="X18" s="125" t="n">
        <f aca="false">W18=1</f>
        <v>1</v>
      </c>
    </row>
    <row r="19" s="90" customFormat="true" ht="15" hidden="false" customHeight="false" outlineLevel="0" collapsed="false">
      <c r="B19" s="118"/>
      <c r="C19" s="119"/>
      <c r="D19" s="120"/>
      <c r="E19" s="120"/>
      <c r="F19" s="121" t="s">
        <v>1404</v>
      </c>
      <c r="G19" s="126" t="str">
        <f aca="false">IF(G18="","",G18*$D18)</f>
        <v/>
      </c>
      <c r="H19" s="126" t="str">
        <f aca="false">IF(H18="","",H18*$D18)</f>
        <v/>
      </c>
      <c r="I19" s="126" t="str">
        <f aca="false">IF(I18="","",I18*$D18)</f>
        <v/>
      </c>
      <c r="J19" s="126" t="str">
        <f aca="false">IF(J18="","",J18*$D18)</f>
        <v/>
      </c>
      <c r="K19" s="126" t="str">
        <f aca="false">IF(K18="","",K18*$D18)</f>
        <v/>
      </c>
      <c r="L19" s="126" t="str">
        <f aca="false">IF(L18="","",L18*$D18)</f>
        <v/>
      </c>
      <c r="M19" s="126" t="str">
        <f aca="false">IF(M18="","",M18*$D18)</f>
        <v/>
      </c>
      <c r="N19" s="126" t="str">
        <f aca="false">IF(N18="","",N18*$D18)</f>
        <v/>
      </c>
      <c r="O19" s="126" t="n">
        <f aca="false">IF(O18="","",O18*$D18)</f>
        <v>191356.995490187</v>
      </c>
      <c r="P19" s="126" t="n">
        <f aca="false">IF(P18="","",P18*$D18)</f>
        <v>212081.319152709</v>
      </c>
      <c r="Q19" s="126" t="n">
        <f aca="false">IF(Q18="","",Q18*$D18)</f>
        <v>23179.4700197547</v>
      </c>
      <c r="R19" s="126" t="n">
        <f aca="false">IF(R18="","",R18*$D18)</f>
        <v>28378.6034821296</v>
      </c>
      <c r="S19" s="126" t="str">
        <f aca="false">IF(S18="","",S18*$D18)</f>
        <v/>
      </c>
      <c r="T19" s="126" t="n">
        <f aca="false">IF(T18="","",T18*$D18)</f>
        <v>141893.017410648</v>
      </c>
      <c r="U19" s="126" t="n">
        <f aca="false">IF(U18="","",U18*$D18)</f>
        <v>125212.464218862</v>
      </c>
      <c r="V19" s="126" t="str">
        <f aca="false">IF(V18="","",V18*$D18)</f>
        <v/>
      </c>
      <c r="W19" s="92" t="n">
        <f aca="false">SUM(G19:V19)</f>
        <v>722101.86977429</v>
      </c>
      <c r="X19" s="95" t="n">
        <f aca="false">W19=D18</f>
        <v>1</v>
      </c>
    </row>
    <row r="20" s="90" customFormat="true" ht="15" hidden="false" customHeight="false" outlineLevel="0" collapsed="false">
      <c r="B20" s="112" t="n">
        <v>6</v>
      </c>
      <c r="C20" s="123" t="str">
        <f aca="false">VLOOKUP($B20,01_SINTETICO!A:M,3,0)</f>
        <v>COBERTURAS</v>
      </c>
      <c r="D20" s="114" t="n">
        <f aca="false">VLOOKUP($B20,01_SINTETICO!A:M,13,0)</f>
        <v>377735.342500662</v>
      </c>
      <c r="E20" s="115" t="n">
        <f aca="false">D20/$D$46</f>
        <v>0.0410219780191018</v>
      </c>
      <c r="F20" s="116" t="s">
        <v>1402</v>
      </c>
      <c r="G20" s="124"/>
      <c r="H20" s="124"/>
      <c r="I20" s="124"/>
      <c r="J20" s="124"/>
      <c r="K20" s="124"/>
      <c r="L20" s="124"/>
      <c r="M20" s="124"/>
      <c r="N20" s="124" t="n">
        <v>0.1961</v>
      </c>
      <c r="O20" s="124" t="n">
        <v>0.4594</v>
      </c>
      <c r="P20" s="124" t="n">
        <v>0.1164</v>
      </c>
      <c r="Q20" s="124"/>
      <c r="R20" s="124"/>
      <c r="S20" s="124"/>
      <c r="T20" s="124"/>
      <c r="U20" s="124" t="n">
        <v>0.2281</v>
      </c>
      <c r="V20" s="124"/>
      <c r="W20" s="93" t="n">
        <f aca="false">SUM(G20:V20)</f>
        <v>1</v>
      </c>
      <c r="X20" s="125" t="n">
        <f aca="false">W20=1</f>
        <v>1</v>
      </c>
    </row>
    <row r="21" s="90" customFormat="true" ht="15" hidden="false" customHeight="false" outlineLevel="0" collapsed="false">
      <c r="B21" s="118"/>
      <c r="C21" s="119"/>
      <c r="D21" s="120"/>
      <c r="E21" s="120"/>
      <c r="F21" s="121" t="s">
        <v>1404</v>
      </c>
      <c r="G21" s="126" t="str">
        <f aca="false">IF(G20="","",G20*$D20)</f>
        <v/>
      </c>
      <c r="H21" s="126" t="str">
        <f aca="false">IF(H20="","",H20*$D20)</f>
        <v/>
      </c>
      <c r="I21" s="126" t="str">
        <f aca="false">IF(I20="","",I20*$D20)</f>
        <v/>
      </c>
      <c r="J21" s="126" t="str">
        <f aca="false">IF(J20="","",J20*$D20)</f>
        <v/>
      </c>
      <c r="K21" s="126" t="str">
        <f aca="false">IF(K20="","",K20*$D20)</f>
        <v/>
      </c>
      <c r="L21" s="126" t="str">
        <f aca="false">IF(L20="","",L20*$D20)</f>
        <v/>
      </c>
      <c r="M21" s="126" t="str">
        <f aca="false">IF(M20="","",M20*$D20)</f>
        <v/>
      </c>
      <c r="N21" s="126" t="n">
        <f aca="false">IF(N20="","",N20*$D20)</f>
        <v>74073.9006643799</v>
      </c>
      <c r="O21" s="126" t="n">
        <f aca="false">IF(O20="","",O20*$D20)</f>
        <v>173531.616344804</v>
      </c>
      <c r="P21" s="126" t="n">
        <f aca="false">IF(P20="","",P20*$D20)</f>
        <v>43968.3938670771</v>
      </c>
      <c r="Q21" s="126" t="str">
        <f aca="false">IF(Q20="","",Q20*$D20)</f>
        <v/>
      </c>
      <c r="R21" s="126" t="str">
        <f aca="false">IF(R20="","",R20*$D20)</f>
        <v/>
      </c>
      <c r="S21" s="126" t="str">
        <f aca="false">IF(S20="","",S20*$D20)</f>
        <v/>
      </c>
      <c r="T21" s="126" t="str">
        <f aca="false">IF(T20="","",T20*$D20)</f>
        <v/>
      </c>
      <c r="U21" s="126" t="n">
        <f aca="false">IF(U20="","",U20*$D20)</f>
        <v>86161.4316244011</v>
      </c>
      <c r="V21" s="126" t="str">
        <f aca="false">IF(V20="","",V20*$D20)</f>
        <v/>
      </c>
      <c r="W21" s="92" t="n">
        <f aca="false">SUM(G21:V21)</f>
        <v>377735.342500662</v>
      </c>
      <c r="X21" s="95" t="n">
        <f aca="false">W21=D20</f>
        <v>1</v>
      </c>
    </row>
    <row r="22" s="90" customFormat="true" ht="15" hidden="false" customHeight="false" outlineLevel="0" collapsed="false">
      <c r="B22" s="112" t="n">
        <v>7</v>
      </c>
      <c r="C22" s="123" t="str">
        <f aca="false">VLOOKUP($B22,01_SINTETICO!A:M,3,0)</f>
        <v>IMPERMEABILIZAÇÕES</v>
      </c>
      <c r="D22" s="114" t="n">
        <f aca="false">VLOOKUP($B22,01_SINTETICO!A:M,13,0)</f>
        <v>100075.220089736</v>
      </c>
      <c r="E22" s="115" t="n">
        <f aca="false">D22/$D$46</f>
        <v>0.0108681476602119</v>
      </c>
      <c r="F22" s="116" t="s">
        <v>1402</v>
      </c>
      <c r="G22" s="124"/>
      <c r="H22" s="124"/>
      <c r="I22" s="124"/>
      <c r="J22" s="124"/>
      <c r="K22" s="124"/>
      <c r="L22" s="124"/>
      <c r="M22" s="124"/>
      <c r="N22" s="124"/>
      <c r="O22" s="124" t="n">
        <v>1</v>
      </c>
      <c r="P22" s="124"/>
      <c r="Q22" s="124"/>
      <c r="R22" s="124"/>
      <c r="S22" s="124"/>
      <c r="T22" s="124"/>
      <c r="U22" s="124"/>
      <c r="V22" s="124"/>
      <c r="W22" s="93" t="n">
        <f aca="false">SUM(G22:V22)</f>
        <v>1</v>
      </c>
      <c r="X22" s="125" t="n">
        <f aca="false">W22=1</f>
        <v>1</v>
      </c>
    </row>
    <row r="23" s="90" customFormat="true" ht="15" hidden="false" customHeight="false" outlineLevel="0" collapsed="false">
      <c r="B23" s="118"/>
      <c r="C23" s="119"/>
      <c r="D23" s="120"/>
      <c r="E23" s="120"/>
      <c r="F23" s="121" t="s">
        <v>1404</v>
      </c>
      <c r="G23" s="126" t="str">
        <f aca="false">IF(G22="","",G22*$D22)</f>
        <v/>
      </c>
      <c r="H23" s="126" t="str">
        <f aca="false">IF(H22="","",H22*$D22)</f>
        <v/>
      </c>
      <c r="I23" s="126" t="str">
        <f aca="false">IF(I22="","",I22*$D22)</f>
        <v/>
      </c>
      <c r="J23" s="126" t="str">
        <f aca="false">IF(J22="","",J22*$D22)</f>
        <v/>
      </c>
      <c r="K23" s="126" t="str">
        <f aca="false">IF(K22="","",K22*$D22)</f>
        <v/>
      </c>
      <c r="L23" s="126" t="str">
        <f aca="false">IF(L22="","",L22*$D22)</f>
        <v/>
      </c>
      <c r="M23" s="126" t="str">
        <f aca="false">IF(M22="","",M22*$D22)</f>
        <v/>
      </c>
      <c r="N23" s="126" t="str">
        <f aca="false">IF(N22="","",N22*$D22)</f>
        <v/>
      </c>
      <c r="O23" s="126" t="n">
        <f aca="false">IF(O22="","",O22*$D22)</f>
        <v>100075.220089736</v>
      </c>
      <c r="P23" s="126" t="str">
        <f aca="false">IF(P22="","",P22*$D22)</f>
        <v/>
      </c>
      <c r="Q23" s="126" t="str">
        <f aca="false">IF(Q22="","",Q22*$D22)</f>
        <v/>
      </c>
      <c r="R23" s="126" t="str">
        <f aca="false">IF(R22="","",R22*$D22)</f>
        <v/>
      </c>
      <c r="S23" s="126" t="str">
        <f aca="false">IF(S22="","",S22*$D22)</f>
        <v/>
      </c>
      <c r="T23" s="126" t="str">
        <f aca="false">IF(T22="","",T22*$D22)</f>
        <v/>
      </c>
      <c r="U23" s="126" t="str">
        <f aca="false">IF(U22="","",U22*$D22)</f>
        <v/>
      </c>
      <c r="V23" s="126" t="str">
        <f aca="false">IF(V22="","",V22*$D22)</f>
        <v/>
      </c>
      <c r="W23" s="92" t="n">
        <f aca="false">SUM(G23:V23)</f>
        <v>100075.220089736</v>
      </c>
      <c r="X23" s="95" t="n">
        <f aca="false">W23=D22</f>
        <v>1</v>
      </c>
    </row>
    <row r="24" s="90" customFormat="true" ht="15" hidden="false" customHeight="false" outlineLevel="0" collapsed="false">
      <c r="B24" s="112" t="n">
        <v>8</v>
      </c>
      <c r="C24" s="123" t="str">
        <f aca="false">VLOOKUP($B24,01_SINTETICO!A:M,3,0)</f>
        <v>REVESTIMENTOS</v>
      </c>
      <c r="D24" s="114" t="n">
        <f aca="false">VLOOKUP($B24,01_SINTETICO!A:M,13,0)</f>
        <v>1176514.83605615</v>
      </c>
      <c r="E24" s="115" t="n">
        <f aca="false">D24/$D$46</f>
        <v>0.127769261473747</v>
      </c>
      <c r="F24" s="116" t="s">
        <v>1402</v>
      </c>
      <c r="G24" s="124"/>
      <c r="H24" s="124"/>
      <c r="I24" s="124"/>
      <c r="J24" s="124"/>
      <c r="K24" s="124"/>
      <c r="L24" s="124"/>
      <c r="M24" s="124"/>
      <c r="N24" s="124" t="n">
        <v>0.2027</v>
      </c>
      <c r="O24" s="124" t="n">
        <v>0.2027</v>
      </c>
      <c r="P24" s="124" t="n">
        <v>0.1809</v>
      </c>
      <c r="Q24" s="124" t="n">
        <v>0.1809</v>
      </c>
      <c r="R24" s="124" t="n">
        <v>0.1165</v>
      </c>
      <c r="S24" s="124" t="n">
        <v>0.1163</v>
      </c>
      <c r="T24" s="124"/>
      <c r="U24" s="124"/>
      <c r="V24" s="124"/>
      <c r="W24" s="93" t="n">
        <f aca="false">SUM(G24:V24)</f>
        <v>1</v>
      </c>
      <c r="X24" s="125" t="n">
        <f aca="false">W24=1</f>
        <v>1</v>
      </c>
    </row>
    <row r="25" s="90" customFormat="true" ht="15" hidden="false" customHeight="false" outlineLevel="0" collapsed="false">
      <c r="B25" s="118"/>
      <c r="C25" s="119"/>
      <c r="D25" s="120"/>
      <c r="E25" s="120"/>
      <c r="F25" s="121" t="s">
        <v>1404</v>
      </c>
      <c r="G25" s="126" t="str">
        <f aca="false">IF(G24="","",G24*$D24)</f>
        <v/>
      </c>
      <c r="H25" s="126" t="str">
        <f aca="false">IF(H24="","",H24*$D24)</f>
        <v/>
      </c>
      <c r="I25" s="126" t="str">
        <f aca="false">IF(I24="","",I24*$D24)</f>
        <v/>
      </c>
      <c r="J25" s="126" t="str">
        <f aca="false">IF(J24="","",J24*$D24)</f>
        <v/>
      </c>
      <c r="K25" s="126" t="str">
        <f aca="false">IF(K24="","",K24*$D24)</f>
        <v/>
      </c>
      <c r="L25" s="126" t="str">
        <f aca="false">IF(L24="","",L24*$D24)</f>
        <v/>
      </c>
      <c r="M25" s="126" t="str">
        <f aca="false">IF(M24="","",M24*$D24)</f>
        <v/>
      </c>
      <c r="N25" s="126" t="n">
        <f aca="false">IF(N24="","",N24*$D24)</f>
        <v>238479.557268582</v>
      </c>
      <c r="O25" s="126" t="n">
        <f aca="false">IF(O24="","",O24*$D24)</f>
        <v>238479.557268582</v>
      </c>
      <c r="P25" s="126" t="n">
        <f aca="false">IF(P24="","",P24*$D24)</f>
        <v>212831.533842558</v>
      </c>
      <c r="Q25" s="126" t="n">
        <f aca="false">IF(Q24="","",Q24*$D24)</f>
        <v>212831.533842558</v>
      </c>
      <c r="R25" s="126" t="n">
        <f aca="false">IF(R24="","",R24*$D24)</f>
        <v>137063.978400542</v>
      </c>
      <c r="S25" s="126" t="n">
        <f aca="false">IF(S24="","",S24*$D24)</f>
        <v>136828.67543333</v>
      </c>
      <c r="T25" s="126" t="str">
        <f aca="false">IF(T24="","",T24*$D24)</f>
        <v/>
      </c>
      <c r="U25" s="126" t="str">
        <f aca="false">IF(U24="","",U24*$D24)</f>
        <v/>
      </c>
      <c r="V25" s="126" t="str">
        <f aca="false">IF(V24="","",V24*$D24)</f>
        <v/>
      </c>
      <c r="W25" s="92" t="n">
        <f aca="false">SUM(G25:V25)</f>
        <v>1176514.83605615</v>
      </c>
      <c r="X25" s="95" t="n">
        <f aca="false">W25=D24</f>
        <v>1</v>
      </c>
    </row>
    <row r="26" s="90" customFormat="true" ht="15" hidden="false" customHeight="false" outlineLevel="0" collapsed="false">
      <c r="B26" s="112" t="n">
        <v>9</v>
      </c>
      <c r="C26" s="123" t="str">
        <f aca="false">VLOOKUP($B26,01_SINTETICO!A:M,3,0)</f>
        <v>EQUIPAMENTOS</v>
      </c>
      <c r="D26" s="114" t="n">
        <f aca="false">VLOOKUP($B26,01_SINTETICO!A:M,13,0)</f>
        <v>433540.389332555</v>
      </c>
      <c r="E26" s="115" t="n">
        <f aca="false">D26/$D$46</f>
        <v>0.0470823942601074</v>
      </c>
      <c r="F26" s="116" t="s">
        <v>1402</v>
      </c>
      <c r="G26" s="124"/>
      <c r="H26" s="124"/>
      <c r="I26" s="124"/>
      <c r="J26" s="124"/>
      <c r="K26" s="124"/>
      <c r="L26" s="124"/>
      <c r="M26" s="124"/>
      <c r="N26" s="124"/>
      <c r="O26" s="124"/>
      <c r="P26" s="124"/>
      <c r="Q26" s="124"/>
      <c r="R26" s="124"/>
      <c r="S26" s="124"/>
      <c r="T26" s="124"/>
      <c r="U26" s="124"/>
      <c r="V26" s="124" t="n">
        <v>1</v>
      </c>
      <c r="W26" s="93" t="n">
        <f aca="false">SUM(G26:V26)</f>
        <v>1</v>
      </c>
      <c r="X26" s="125" t="n">
        <f aca="false">W26=1</f>
        <v>1</v>
      </c>
    </row>
    <row r="27" s="90" customFormat="true" ht="15" hidden="false" customHeight="false" outlineLevel="0" collapsed="false">
      <c r="B27" s="118"/>
      <c r="C27" s="119"/>
      <c r="D27" s="120"/>
      <c r="E27" s="120"/>
      <c r="F27" s="121" t="s">
        <v>1404</v>
      </c>
      <c r="G27" s="126" t="str">
        <f aca="false">IF(G26="","",G26*$D26)</f>
        <v/>
      </c>
      <c r="H27" s="126" t="str">
        <f aca="false">IF(H26="","",H26*$D26)</f>
        <v/>
      </c>
      <c r="I27" s="126" t="str">
        <f aca="false">IF(I26="","",I26*$D26)</f>
        <v/>
      </c>
      <c r="J27" s="126" t="str">
        <f aca="false">IF(J26="","",J26*$D26)</f>
        <v/>
      </c>
      <c r="K27" s="126" t="str">
        <f aca="false">IF(K26="","",K26*$D26)</f>
        <v/>
      </c>
      <c r="L27" s="126" t="str">
        <f aca="false">IF(L26="","",L26*$D26)</f>
        <v/>
      </c>
      <c r="M27" s="126" t="str">
        <f aca="false">IF(M26="","",M26*$D26)</f>
        <v/>
      </c>
      <c r="N27" s="126" t="str">
        <f aca="false">IF(N26="","",N26*$D26)</f>
        <v/>
      </c>
      <c r="O27" s="126" t="str">
        <f aca="false">IF(O26="","",O26*$D26)</f>
        <v/>
      </c>
      <c r="P27" s="126" t="str">
        <f aca="false">IF(P26="","",P26*$D26)</f>
        <v/>
      </c>
      <c r="Q27" s="126" t="str">
        <f aca="false">IF(Q26="","",Q26*$D26)</f>
        <v/>
      </c>
      <c r="R27" s="126" t="str">
        <f aca="false">IF(R26="","",R26*$D26)</f>
        <v/>
      </c>
      <c r="S27" s="126" t="str">
        <f aca="false">IF(S26="","",S26*$D26)</f>
        <v/>
      </c>
      <c r="T27" s="126" t="str">
        <f aca="false">IF(T26="","",T26*$D26)</f>
        <v/>
      </c>
      <c r="U27" s="126" t="str">
        <f aca="false">IF(U26="","",U26*$D26)</f>
        <v/>
      </c>
      <c r="V27" s="126" t="n">
        <f aca="false">IF(V26="","",V26*$D26)</f>
        <v>433540.389332555</v>
      </c>
      <c r="W27" s="92" t="n">
        <f aca="false">SUM(G27:V27)</f>
        <v>433540.389332555</v>
      </c>
      <c r="X27" s="95" t="n">
        <f aca="false">W27=D26</f>
        <v>1</v>
      </c>
    </row>
    <row r="28" s="90" customFormat="true" ht="15" hidden="false" customHeight="false" outlineLevel="0" collapsed="false">
      <c r="B28" s="112" t="n">
        <v>10</v>
      </c>
      <c r="C28" s="123" t="str">
        <f aca="false">VLOOKUP($B28,01_SINTETICO!A:M,3,0)</f>
        <v>LOUÇAS E METAIS</v>
      </c>
      <c r="D28" s="114" t="n">
        <f aca="false">VLOOKUP($B28,01_SINTETICO!A:M,13,0)</f>
        <v>86763.6550216514</v>
      </c>
      <c r="E28" s="115" t="n">
        <f aca="false">D28/$D$46</f>
        <v>0.00942251451927317</v>
      </c>
      <c r="F28" s="116" t="s">
        <v>1402</v>
      </c>
      <c r="G28" s="124"/>
      <c r="H28" s="124"/>
      <c r="I28" s="124"/>
      <c r="J28" s="124"/>
      <c r="K28" s="124"/>
      <c r="L28" s="124"/>
      <c r="M28" s="124"/>
      <c r="N28" s="124"/>
      <c r="O28" s="124"/>
      <c r="P28" s="124"/>
      <c r="Q28" s="124"/>
      <c r="R28" s="124"/>
      <c r="S28" s="124"/>
      <c r="T28" s="124"/>
      <c r="U28" s="124"/>
      <c r="V28" s="124" t="n">
        <v>1</v>
      </c>
      <c r="W28" s="93" t="n">
        <f aca="false">SUM(G28:V28)</f>
        <v>1</v>
      </c>
      <c r="X28" s="125" t="n">
        <f aca="false">W28=1</f>
        <v>1</v>
      </c>
    </row>
    <row r="29" s="90" customFormat="true" ht="15" hidden="false" customHeight="false" outlineLevel="0" collapsed="false">
      <c r="B29" s="118"/>
      <c r="C29" s="119"/>
      <c r="D29" s="120"/>
      <c r="E29" s="120"/>
      <c r="F29" s="121" t="s">
        <v>1404</v>
      </c>
      <c r="G29" s="126" t="str">
        <f aca="false">IF(G28="","",G28*$D28)</f>
        <v/>
      </c>
      <c r="H29" s="126" t="str">
        <f aca="false">IF(H28="","",H28*$D28)</f>
        <v/>
      </c>
      <c r="I29" s="126" t="str">
        <f aca="false">IF(I28="","",I28*$D28)</f>
        <v/>
      </c>
      <c r="J29" s="126" t="str">
        <f aca="false">IF(J28="","",J28*$D28)</f>
        <v/>
      </c>
      <c r="K29" s="126" t="str">
        <f aca="false">IF(K28="","",K28*$D28)</f>
        <v/>
      </c>
      <c r="L29" s="126" t="str">
        <f aca="false">IF(L28="","",L28*$D28)</f>
        <v/>
      </c>
      <c r="M29" s="126" t="str">
        <f aca="false">IF(M28="","",M28*$D28)</f>
        <v/>
      </c>
      <c r="N29" s="126" t="str">
        <f aca="false">IF(N28="","",N28*$D28)</f>
        <v/>
      </c>
      <c r="O29" s="126" t="str">
        <f aca="false">IF(O28="","",O28*$D28)</f>
        <v/>
      </c>
      <c r="P29" s="126" t="str">
        <f aca="false">IF(P28="","",P28*$D28)</f>
        <v/>
      </c>
      <c r="Q29" s="126" t="str">
        <f aca="false">IF(Q28="","",Q28*$D28)</f>
        <v/>
      </c>
      <c r="R29" s="126" t="str">
        <f aca="false">IF(R28="","",R28*$D28)</f>
        <v/>
      </c>
      <c r="S29" s="126" t="str">
        <f aca="false">IF(S28="","",S28*$D28)</f>
        <v/>
      </c>
      <c r="T29" s="126" t="str">
        <f aca="false">IF(T28="","",T28*$D28)</f>
        <v/>
      </c>
      <c r="U29" s="126" t="str">
        <f aca="false">IF(U28="","",U28*$D28)</f>
        <v/>
      </c>
      <c r="V29" s="126" t="n">
        <f aca="false">IF(V28="","",V28*$D28)</f>
        <v>86763.6550216514</v>
      </c>
      <c r="W29" s="92" t="n">
        <f aca="false">SUM(G29:V29)</f>
        <v>86763.6550216514</v>
      </c>
      <c r="X29" s="95" t="n">
        <f aca="false">W29=D28</f>
        <v>1</v>
      </c>
    </row>
    <row r="30" s="90" customFormat="true" ht="15" hidden="false" customHeight="false" outlineLevel="0" collapsed="false">
      <c r="B30" s="112" t="n">
        <v>11</v>
      </c>
      <c r="C30" s="123" t="str">
        <f aca="false">VLOOKUP($B30,01_SINTETICO!A:M,3,0)</f>
        <v>INSTALAÇÕES HIDROSSANITÁRIAS</v>
      </c>
      <c r="D30" s="114" t="n">
        <f aca="false">VLOOKUP($B30,01_SINTETICO!A:M,13,0)</f>
        <v>207963.651570774</v>
      </c>
      <c r="E30" s="115" t="n">
        <f aca="false">D30/$D$46</f>
        <v>0.0225848084191208</v>
      </c>
      <c r="F30" s="116" t="s">
        <v>1402</v>
      </c>
      <c r="G30" s="124"/>
      <c r="H30" s="124"/>
      <c r="I30" s="124"/>
      <c r="J30" s="124"/>
      <c r="K30" s="124"/>
      <c r="L30" s="124"/>
      <c r="M30" s="124"/>
      <c r="N30" s="124"/>
      <c r="O30" s="124" t="n">
        <v>0.25</v>
      </c>
      <c r="P30" s="124" t="n">
        <v>0.25</v>
      </c>
      <c r="Q30" s="124" t="n">
        <v>0.25</v>
      </c>
      <c r="R30" s="124" t="n">
        <v>0.25</v>
      </c>
      <c r="S30" s="124"/>
      <c r="T30" s="124"/>
      <c r="U30" s="124"/>
      <c r="V30" s="124"/>
      <c r="W30" s="93" t="n">
        <f aca="false">SUM(G30:V30)</f>
        <v>1</v>
      </c>
      <c r="X30" s="125" t="n">
        <f aca="false">W30=1</f>
        <v>1</v>
      </c>
    </row>
    <row r="31" s="90" customFormat="true" ht="15" hidden="false" customHeight="false" outlineLevel="0" collapsed="false">
      <c r="B31" s="118"/>
      <c r="C31" s="119"/>
      <c r="D31" s="120"/>
      <c r="E31" s="120"/>
      <c r="F31" s="121" t="s">
        <v>1404</v>
      </c>
      <c r="G31" s="126" t="str">
        <f aca="false">IF(G30="","",G30*$D30)</f>
        <v/>
      </c>
      <c r="H31" s="126" t="str">
        <f aca="false">IF(H30="","",H30*$D30)</f>
        <v/>
      </c>
      <c r="I31" s="126" t="str">
        <f aca="false">IF(I30="","",I30*$D30)</f>
        <v/>
      </c>
      <c r="J31" s="126" t="str">
        <f aca="false">IF(J30="","",J30*$D30)</f>
        <v/>
      </c>
      <c r="K31" s="126" t="str">
        <f aca="false">IF(K30="","",K30*$D30)</f>
        <v/>
      </c>
      <c r="L31" s="126" t="str">
        <f aca="false">IF(L30="","",L30*$D30)</f>
        <v/>
      </c>
      <c r="M31" s="126" t="str">
        <f aca="false">IF(M30="","",M30*$D30)</f>
        <v/>
      </c>
      <c r="N31" s="126" t="str">
        <f aca="false">IF(N30="","",N30*$D30)</f>
        <v/>
      </c>
      <c r="O31" s="126" t="n">
        <f aca="false">IF(O30="","",O30*$D30)</f>
        <v>51990.9128926936</v>
      </c>
      <c r="P31" s="126" t="n">
        <f aca="false">IF(P30="","",P30*$D30)</f>
        <v>51990.9128926936</v>
      </c>
      <c r="Q31" s="126" t="n">
        <f aca="false">IF(Q30="","",Q30*$D30)</f>
        <v>51990.9128926936</v>
      </c>
      <c r="R31" s="126" t="n">
        <f aca="false">IF(R30="","",R30*$D30)</f>
        <v>51990.9128926936</v>
      </c>
      <c r="S31" s="126" t="str">
        <f aca="false">IF(S30="","",S30*$D30)</f>
        <v/>
      </c>
      <c r="T31" s="126" t="str">
        <f aca="false">IF(T30="","",T30*$D30)</f>
        <v/>
      </c>
      <c r="U31" s="126" t="str">
        <f aca="false">IF(U30="","",U30*$D30)</f>
        <v/>
      </c>
      <c r="V31" s="126" t="str">
        <f aca="false">IF(V30="","",V30*$D30)</f>
        <v/>
      </c>
      <c r="W31" s="92" t="n">
        <f aca="false">SUM(G31:V31)</f>
        <v>207963.651570774</v>
      </c>
      <c r="X31" s="95" t="n">
        <f aca="false">W31=D30</f>
        <v>1</v>
      </c>
    </row>
    <row r="32" s="90" customFormat="true" ht="15" hidden="false" customHeight="false" outlineLevel="0" collapsed="false">
      <c r="B32" s="112" t="n">
        <v>12</v>
      </c>
      <c r="C32" s="123" t="str">
        <f aca="false">VLOOKUP($B32,01_SINTETICO!A:M,3,0)</f>
        <v>INSTALAÇÕES ELÉTRICAS</v>
      </c>
      <c r="D32" s="114" t="n">
        <f aca="false">VLOOKUP($B32,01_SINTETICO!A:M,13,0)</f>
        <v>525653.647110337</v>
      </c>
      <c r="E32" s="115" t="n">
        <f aca="false">D32/$D$46</f>
        <v>0.0570858745032129</v>
      </c>
      <c r="F32" s="116" t="s">
        <v>1402</v>
      </c>
      <c r="G32" s="124"/>
      <c r="H32" s="124"/>
      <c r="I32" s="124"/>
      <c r="J32" s="124"/>
      <c r="K32" s="124"/>
      <c r="L32" s="124"/>
      <c r="M32" s="124"/>
      <c r="N32" s="124"/>
      <c r="O32" s="124" t="n">
        <v>0.25</v>
      </c>
      <c r="P32" s="124" t="n">
        <v>0.25</v>
      </c>
      <c r="Q32" s="124" t="n">
        <v>0.25</v>
      </c>
      <c r="R32" s="124" t="n">
        <v>0.25</v>
      </c>
      <c r="S32" s="124"/>
      <c r="T32" s="124"/>
      <c r="U32" s="124"/>
      <c r="V32" s="124"/>
      <c r="W32" s="93" t="n">
        <f aca="false">SUM(G32:V32)</f>
        <v>1</v>
      </c>
      <c r="X32" s="125" t="n">
        <f aca="false">W32=1</f>
        <v>1</v>
      </c>
    </row>
    <row r="33" s="90" customFormat="true" ht="15" hidden="false" customHeight="false" outlineLevel="0" collapsed="false">
      <c r="B33" s="118"/>
      <c r="C33" s="119"/>
      <c r="D33" s="120"/>
      <c r="E33" s="120"/>
      <c r="F33" s="121" t="s">
        <v>1404</v>
      </c>
      <c r="G33" s="126" t="str">
        <f aca="false">IF(G32="","",G32*$D32)</f>
        <v/>
      </c>
      <c r="H33" s="126" t="str">
        <f aca="false">IF(H32="","",H32*$D32)</f>
        <v/>
      </c>
      <c r="I33" s="126" t="str">
        <f aca="false">IF(I32="","",I32*$D32)</f>
        <v/>
      </c>
      <c r="J33" s="126" t="str">
        <f aca="false">IF(J32="","",J32*$D32)</f>
        <v/>
      </c>
      <c r="K33" s="126" t="str">
        <f aca="false">IF(K32="","",K32*$D32)</f>
        <v/>
      </c>
      <c r="L33" s="126" t="str">
        <f aca="false">IF(L32="","",L32*$D32)</f>
        <v/>
      </c>
      <c r="M33" s="126" t="str">
        <f aca="false">IF(M32="","",M32*$D32)</f>
        <v/>
      </c>
      <c r="N33" s="126" t="str">
        <f aca="false">IF(N32="","",N32*$D32)</f>
        <v/>
      </c>
      <c r="O33" s="126" t="n">
        <f aca="false">IF(O32="","",O32*$D32)</f>
        <v>131413.411777584</v>
      </c>
      <c r="P33" s="126" t="n">
        <f aca="false">IF(P32="","",P32*$D32)</f>
        <v>131413.411777584</v>
      </c>
      <c r="Q33" s="126" t="n">
        <f aca="false">IF(Q32="","",Q32*$D32)</f>
        <v>131413.411777584</v>
      </c>
      <c r="R33" s="126" t="n">
        <f aca="false">IF(R32="","",R32*$D32)</f>
        <v>131413.411777584</v>
      </c>
      <c r="S33" s="126" t="str">
        <f aca="false">IF(S32="","",S32*$D32)</f>
        <v/>
      </c>
      <c r="T33" s="126" t="str">
        <f aca="false">IF(T32="","",T32*$D32)</f>
        <v/>
      </c>
      <c r="U33" s="126" t="str">
        <f aca="false">IF(U32="","",U32*$D32)</f>
        <v/>
      </c>
      <c r="V33" s="126" t="str">
        <f aca="false">IF(V32="","",V32*$D32)</f>
        <v/>
      </c>
      <c r="W33" s="92" t="n">
        <f aca="false">SUM(G33:V33)</f>
        <v>525653.647110337</v>
      </c>
      <c r="X33" s="95" t="n">
        <f aca="false">W33=D32</f>
        <v>1</v>
      </c>
    </row>
    <row r="34" s="90" customFormat="true" ht="15" hidden="false" customHeight="false" outlineLevel="0" collapsed="false">
      <c r="B34" s="112" t="n">
        <v>13</v>
      </c>
      <c r="C34" s="123" t="str">
        <f aca="false">VLOOKUP($B34,01_SINTETICO!A:M,3,0)</f>
        <v>COMUNICAÇÃO E DADOS</v>
      </c>
      <c r="D34" s="114" t="n">
        <f aca="false">VLOOKUP($B34,01_SINTETICO!A:M,13,0)</f>
        <v>227311.534280054</v>
      </c>
      <c r="E34" s="115" t="n">
        <f aca="false">D34/$D$46</f>
        <v>0.0246859843746507</v>
      </c>
      <c r="F34" s="116" t="s">
        <v>1402</v>
      </c>
      <c r="G34" s="124"/>
      <c r="H34" s="124"/>
      <c r="I34" s="124"/>
      <c r="J34" s="124"/>
      <c r="K34" s="124"/>
      <c r="L34" s="124"/>
      <c r="M34" s="124"/>
      <c r="N34" s="124"/>
      <c r="O34" s="124" t="n">
        <v>0.25</v>
      </c>
      <c r="P34" s="124" t="n">
        <v>0.25</v>
      </c>
      <c r="Q34" s="124" t="n">
        <v>0.25</v>
      </c>
      <c r="R34" s="124" t="n">
        <v>0.25</v>
      </c>
      <c r="S34" s="124"/>
      <c r="T34" s="124"/>
      <c r="U34" s="124"/>
      <c r="V34" s="124"/>
      <c r="W34" s="93" t="n">
        <f aca="false">SUM(G34:V34)</f>
        <v>1</v>
      </c>
      <c r="X34" s="125" t="n">
        <f aca="false">W34=1</f>
        <v>1</v>
      </c>
    </row>
    <row r="35" s="90" customFormat="true" ht="15" hidden="false" customHeight="false" outlineLevel="0" collapsed="false">
      <c r="B35" s="118"/>
      <c r="C35" s="119"/>
      <c r="D35" s="120"/>
      <c r="E35" s="120"/>
      <c r="F35" s="121" t="s">
        <v>1404</v>
      </c>
      <c r="G35" s="126" t="str">
        <f aca="false">IF(G34="","",G34*$D34)</f>
        <v/>
      </c>
      <c r="H35" s="126" t="str">
        <f aca="false">IF(H34="","",H34*$D34)</f>
        <v/>
      </c>
      <c r="I35" s="126" t="str">
        <f aca="false">IF(I34="","",I34*$D34)</f>
        <v/>
      </c>
      <c r="J35" s="126" t="str">
        <f aca="false">IF(J34="","",J34*$D34)</f>
        <v/>
      </c>
      <c r="K35" s="126" t="str">
        <f aca="false">IF(K34="","",K34*$D34)</f>
        <v/>
      </c>
      <c r="L35" s="126" t="str">
        <f aca="false">IF(L34="","",L34*$D34)</f>
        <v/>
      </c>
      <c r="M35" s="126" t="str">
        <f aca="false">IF(M34="","",M34*$D34)</f>
        <v/>
      </c>
      <c r="N35" s="126" t="str">
        <f aca="false">IF(N34="","",N34*$D34)</f>
        <v/>
      </c>
      <c r="O35" s="126" t="n">
        <f aca="false">IF(O34="","",O34*$D34)</f>
        <v>56827.8835700136</v>
      </c>
      <c r="P35" s="126" t="n">
        <f aca="false">IF(P34="","",P34*$D34)</f>
        <v>56827.8835700136</v>
      </c>
      <c r="Q35" s="126" t="n">
        <f aca="false">IF(Q34="","",Q34*$D34)</f>
        <v>56827.8835700136</v>
      </c>
      <c r="R35" s="126" t="n">
        <f aca="false">IF(R34="","",R34*$D34)</f>
        <v>56827.8835700136</v>
      </c>
      <c r="S35" s="126" t="str">
        <f aca="false">IF(S34="","",S34*$D34)</f>
        <v/>
      </c>
      <c r="T35" s="126" t="str">
        <f aca="false">IF(T34="","",T34*$D34)</f>
        <v/>
      </c>
      <c r="U35" s="126" t="str">
        <f aca="false">IF(U34="","",U34*$D34)</f>
        <v/>
      </c>
      <c r="V35" s="126" t="str">
        <f aca="false">IF(V34="","",V34*$D34)</f>
        <v/>
      </c>
      <c r="W35" s="92" t="n">
        <f aca="false">SUM(G35:V35)</f>
        <v>227311.534280054</v>
      </c>
      <c r="X35" s="95" t="n">
        <f aca="false">W35=D34</f>
        <v>1</v>
      </c>
    </row>
    <row r="36" s="90" customFormat="true" ht="15" hidden="false" customHeight="false" outlineLevel="0" collapsed="false">
      <c r="B36" s="112" t="n">
        <v>14</v>
      </c>
      <c r="C36" s="123" t="str">
        <f aca="false">VLOOKUP($B36,01_SINTETICO!A:M,3,0)</f>
        <v>SPDA</v>
      </c>
      <c r="D36" s="114" t="n">
        <f aca="false">VLOOKUP($B36,01_SINTETICO!A:M,13,0)</f>
        <v>95210.0953685616</v>
      </c>
      <c r="E36" s="115" t="n">
        <f aca="false">D36/$D$46</f>
        <v>0.0103397961481427</v>
      </c>
      <c r="F36" s="116" t="s">
        <v>1402</v>
      </c>
      <c r="G36" s="124"/>
      <c r="H36" s="124"/>
      <c r="I36" s="124" t="n">
        <v>0.1</v>
      </c>
      <c r="J36" s="124" t="n">
        <v>0.1</v>
      </c>
      <c r="K36" s="124" t="n">
        <v>0.1</v>
      </c>
      <c r="L36" s="124" t="n">
        <v>0.1</v>
      </c>
      <c r="M36" s="124" t="n">
        <v>0.1</v>
      </c>
      <c r="N36" s="124" t="n">
        <v>0.1</v>
      </c>
      <c r="O36" s="124" t="n">
        <v>0.1</v>
      </c>
      <c r="P36" s="124" t="n">
        <v>0.1</v>
      </c>
      <c r="Q36" s="124" t="n">
        <v>0.1</v>
      </c>
      <c r="R36" s="124" t="n">
        <v>0.1</v>
      </c>
      <c r="S36" s="124"/>
      <c r="T36" s="124"/>
      <c r="U36" s="124"/>
      <c r="V36" s="124"/>
      <c r="W36" s="93" t="n">
        <f aca="false">SUM(G36:V36)</f>
        <v>1</v>
      </c>
      <c r="X36" s="125" t="n">
        <f aca="false">W36=1</f>
        <v>1</v>
      </c>
    </row>
    <row r="37" s="90" customFormat="true" ht="15" hidden="false" customHeight="false" outlineLevel="0" collapsed="false">
      <c r="B37" s="118"/>
      <c r="C37" s="119"/>
      <c r="D37" s="120"/>
      <c r="E37" s="120"/>
      <c r="F37" s="121" t="s">
        <v>1404</v>
      </c>
      <c r="G37" s="126" t="str">
        <f aca="false">IF(G36="","",G36*$D36)</f>
        <v/>
      </c>
      <c r="H37" s="126" t="str">
        <f aca="false">IF(H36="","",H36*$D36)</f>
        <v/>
      </c>
      <c r="I37" s="126" t="n">
        <f aca="false">IF(I36="","",I36*$D36)</f>
        <v>9521.00953685616</v>
      </c>
      <c r="J37" s="126" t="n">
        <f aca="false">IF(J36="","",J36*$D36)</f>
        <v>9521.00953685616</v>
      </c>
      <c r="K37" s="126" t="n">
        <f aca="false">IF(K36="","",K36*$D36)</f>
        <v>9521.00953685616</v>
      </c>
      <c r="L37" s="126" t="n">
        <f aca="false">IF(L36="","",L36*$D36)</f>
        <v>9521.00953685616</v>
      </c>
      <c r="M37" s="126" t="n">
        <f aca="false">IF(M36="","",M36*$D36)</f>
        <v>9521.00953685616</v>
      </c>
      <c r="N37" s="126" t="n">
        <f aca="false">IF(N36="","",N36*$D36)</f>
        <v>9521.00953685616</v>
      </c>
      <c r="O37" s="126" t="n">
        <f aca="false">IF(O36="","",O36*$D36)</f>
        <v>9521.00953685616</v>
      </c>
      <c r="P37" s="126" t="n">
        <f aca="false">IF(P36="","",P36*$D36)</f>
        <v>9521.00953685616</v>
      </c>
      <c r="Q37" s="126" t="n">
        <f aca="false">IF(Q36="","",Q36*$D36)</f>
        <v>9521.00953685616</v>
      </c>
      <c r="R37" s="126" t="n">
        <f aca="false">IF(R36="","",R36*$D36)</f>
        <v>9521.00953685616</v>
      </c>
      <c r="S37" s="126" t="str">
        <f aca="false">IF(S36="","",S36*$D36)</f>
        <v/>
      </c>
      <c r="T37" s="126" t="str">
        <f aca="false">IF(T36="","",T36*$D36)</f>
        <v/>
      </c>
      <c r="U37" s="126" t="str">
        <f aca="false">IF(U36="","",U36*$D36)</f>
        <v/>
      </c>
      <c r="V37" s="126" t="str">
        <f aca="false">IF(V36="","",V36*$D36)</f>
        <v/>
      </c>
      <c r="W37" s="92" t="n">
        <f aca="false">SUM(G37:V37)</f>
        <v>95210.0953685616</v>
      </c>
      <c r="X37" s="95" t="n">
        <f aca="false">W37=D36</f>
        <v>1</v>
      </c>
    </row>
    <row r="38" s="90" customFormat="true" ht="15" hidden="false" customHeight="false" outlineLevel="0" collapsed="false">
      <c r="B38" s="112" t="n">
        <v>15</v>
      </c>
      <c r="C38" s="123" t="str">
        <f aca="false">VLOOKUP($B38,01_SINTETICO!A:M,3,0)</f>
        <v>PREVENTIVO DE INCÊNDIO</v>
      </c>
      <c r="D38" s="114" t="n">
        <f aca="false">VLOOKUP($B38,01_SINTETICO!A:M,13,0)</f>
        <v>66205.1721526844</v>
      </c>
      <c r="E38" s="115" t="n">
        <f aca="false">D38/$D$46</f>
        <v>0.00718986764335801</v>
      </c>
      <c r="F38" s="116" t="s">
        <v>1402</v>
      </c>
      <c r="G38" s="124"/>
      <c r="H38" s="124"/>
      <c r="I38" s="124"/>
      <c r="J38" s="124"/>
      <c r="K38" s="124"/>
      <c r="L38" s="124"/>
      <c r="M38" s="124"/>
      <c r="N38" s="124"/>
      <c r="O38" s="124" t="n">
        <v>0.2</v>
      </c>
      <c r="P38" s="124" t="n">
        <v>0.2</v>
      </c>
      <c r="Q38" s="124"/>
      <c r="R38" s="124"/>
      <c r="S38" s="124"/>
      <c r="T38" s="124" t="n">
        <v>0.2</v>
      </c>
      <c r="U38" s="124" t="n">
        <v>0.2</v>
      </c>
      <c r="V38" s="124" t="n">
        <v>0.2</v>
      </c>
      <c r="W38" s="93" t="n">
        <f aca="false">SUM(G38:V38)</f>
        <v>1</v>
      </c>
      <c r="X38" s="125" t="n">
        <f aca="false">W38=1</f>
        <v>1</v>
      </c>
    </row>
    <row r="39" s="90" customFormat="true" ht="15" hidden="false" customHeight="false" outlineLevel="0" collapsed="false">
      <c r="B39" s="118"/>
      <c r="C39" s="119"/>
      <c r="D39" s="120"/>
      <c r="E39" s="120"/>
      <c r="F39" s="121" t="s">
        <v>1404</v>
      </c>
      <c r="G39" s="126" t="str">
        <f aca="false">IF(G38="","",G38*$D38)</f>
        <v/>
      </c>
      <c r="H39" s="126" t="str">
        <f aca="false">IF(H38="","",H38*$D38)</f>
        <v/>
      </c>
      <c r="I39" s="126" t="str">
        <f aca="false">IF(I38="","",I38*$D38)</f>
        <v/>
      </c>
      <c r="J39" s="126" t="str">
        <f aca="false">IF(J38="","",J38*$D38)</f>
        <v/>
      </c>
      <c r="K39" s="126" t="str">
        <f aca="false">IF(K38="","",K38*$D38)</f>
        <v/>
      </c>
      <c r="L39" s="126" t="str">
        <f aca="false">IF(L38="","",L38*$D38)</f>
        <v/>
      </c>
      <c r="M39" s="126" t="str">
        <f aca="false">IF(M38="","",M38*$D38)</f>
        <v/>
      </c>
      <c r="N39" s="126" t="str">
        <f aca="false">IF(N38="","",N38*$D38)</f>
        <v/>
      </c>
      <c r="O39" s="126" t="n">
        <f aca="false">IF(O38="","",O38*$D38)</f>
        <v>13241.0344305369</v>
      </c>
      <c r="P39" s="126" t="n">
        <f aca="false">IF(P38="","",P38*$D38)</f>
        <v>13241.0344305369</v>
      </c>
      <c r="Q39" s="126" t="str">
        <f aca="false">IF(Q38="","",Q38*$D38)</f>
        <v/>
      </c>
      <c r="R39" s="126" t="str">
        <f aca="false">IF(R38="","",R38*$D38)</f>
        <v/>
      </c>
      <c r="S39" s="126" t="str">
        <f aca="false">IF(S38="","",S38*$D38)</f>
        <v/>
      </c>
      <c r="T39" s="126" t="n">
        <f aca="false">IF(T38="","",T38*$D38)</f>
        <v>13241.0344305369</v>
      </c>
      <c r="U39" s="126" t="n">
        <f aca="false">IF(U38="","",U38*$D38)</f>
        <v>13241.0344305369</v>
      </c>
      <c r="V39" s="126" t="n">
        <f aca="false">IF(V38="","",V38*$D38)</f>
        <v>13241.0344305369</v>
      </c>
      <c r="W39" s="92" t="n">
        <f aca="false">SUM(G39:V39)</f>
        <v>66205.1721526844</v>
      </c>
      <c r="X39" s="95" t="n">
        <f aca="false">W39=D38</f>
        <v>1</v>
      </c>
    </row>
    <row r="40" s="90" customFormat="true" ht="15" hidden="false" customHeight="false" outlineLevel="0" collapsed="false">
      <c r="B40" s="112" t="n">
        <v>16</v>
      </c>
      <c r="C40" s="123" t="str">
        <f aca="false">VLOOKUP($B40,01_SINTETICO!A:M,3,0)</f>
        <v>CLIMATIZAÇÃO E RENOVAÇÃO DE AR</v>
      </c>
      <c r="D40" s="114" t="n">
        <f aca="false">VLOOKUP($B40,01_SINTETICO!A:M,13,0)</f>
        <v>734770.346477489</v>
      </c>
      <c r="E40" s="115" t="n">
        <f aca="false">D40/$D$46</f>
        <v>0.0797959036682794</v>
      </c>
      <c r="F40" s="116" t="s">
        <v>1402</v>
      </c>
      <c r="G40" s="124"/>
      <c r="H40" s="124"/>
      <c r="I40" s="124"/>
      <c r="J40" s="124"/>
      <c r="K40" s="124"/>
      <c r="L40" s="124"/>
      <c r="M40" s="124"/>
      <c r="N40" s="124"/>
      <c r="O40" s="124"/>
      <c r="P40" s="124" t="n">
        <v>0.1</v>
      </c>
      <c r="Q40" s="124"/>
      <c r="R40" s="124"/>
      <c r="S40" s="124"/>
      <c r="T40" s="124"/>
      <c r="U40" s="124" t="n">
        <v>0.4</v>
      </c>
      <c r="V40" s="124" t="n">
        <v>0.5</v>
      </c>
      <c r="W40" s="93" t="n">
        <f aca="false">SUM(G40:V40)</f>
        <v>1</v>
      </c>
      <c r="X40" s="125" t="n">
        <f aca="false">W40=1</f>
        <v>1</v>
      </c>
    </row>
    <row r="41" s="90" customFormat="true" ht="15" hidden="false" customHeight="false" outlineLevel="0" collapsed="false">
      <c r="B41" s="118"/>
      <c r="C41" s="119"/>
      <c r="D41" s="120"/>
      <c r="E41" s="120"/>
      <c r="F41" s="121" t="s">
        <v>1404</v>
      </c>
      <c r="G41" s="122" t="str">
        <f aca="false">IF(G40="","",G40*$D40)</f>
        <v/>
      </c>
      <c r="H41" s="122" t="str">
        <f aca="false">IF(H40="","",H40*$D40)</f>
        <v/>
      </c>
      <c r="I41" s="122" t="str">
        <f aca="false">IF(I40="","",I40*$D40)</f>
        <v/>
      </c>
      <c r="J41" s="122" t="str">
        <f aca="false">IF(J40="","",J40*$D40)</f>
        <v/>
      </c>
      <c r="K41" s="122" t="str">
        <f aca="false">IF(K40="","",K40*$D40)</f>
        <v/>
      </c>
      <c r="L41" s="122" t="str">
        <f aca="false">IF(L40="","",L40*$D40)</f>
        <v/>
      </c>
      <c r="M41" s="122" t="str">
        <f aca="false">IF(M40="","",M40*$D40)</f>
        <v/>
      </c>
      <c r="N41" s="122" t="str">
        <f aca="false">IF(N40="","",N40*$D40)</f>
        <v/>
      </c>
      <c r="O41" s="122" t="str">
        <f aca="false">IF(O40="","",O40*$D40)</f>
        <v/>
      </c>
      <c r="P41" s="122" t="n">
        <f aca="false">IF(P40="","",P40*$D40)</f>
        <v>73477.0346477489</v>
      </c>
      <c r="Q41" s="122" t="str">
        <f aca="false">IF(Q40="","",Q40*$D40)</f>
        <v/>
      </c>
      <c r="R41" s="122" t="str">
        <f aca="false">IF(R40="","",R40*$D40)</f>
        <v/>
      </c>
      <c r="S41" s="122" t="str">
        <f aca="false">IF(S40="","",S40*$D40)</f>
        <v/>
      </c>
      <c r="T41" s="122" t="str">
        <f aca="false">IF(T40="","",T40*$D40)</f>
        <v/>
      </c>
      <c r="U41" s="122" t="n">
        <f aca="false">IF(U40="","",U40*$D40)</f>
        <v>293908.138590996</v>
      </c>
      <c r="V41" s="122" t="n">
        <f aca="false">IF(V40="","",V40*$D40)</f>
        <v>367385.173238745</v>
      </c>
      <c r="W41" s="92" t="n">
        <f aca="false">SUM(G41:V41)</f>
        <v>734770.346477489</v>
      </c>
      <c r="X41" s="95" t="n">
        <f aca="false">W41=D40</f>
        <v>1</v>
      </c>
    </row>
    <row r="42" s="90" customFormat="true" ht="15" hidden="false" customHeight="false" outlineLevel="0" collapsed="false">
      <c r="B42" s="112" t="n">
        <v>17</v>
      </c>
      <c r="C42" s="123" t="str">
        <f aca="false">VLOOKUP($B42,01_SINTETICO!A:M,3,0)</f>
        <v>PAISAGISMO</v>
      </c>
      <c r="D42" s="114" t="n">
        <f aca="false">VLOOKUP($B42,01_SINTETICO!A:M,13,0)</f>
        <v>79684.6132016908</v>
      </c>
      <c r="E42" s="115" t="n">
        <f aca="false">D42/$D$46</f>
        <v>0.00865373208019225</v>
      </c>
      <c r="F42" s="116" t="s">
        <v>1402</v>
      </c>
      <c r="G42" s="124"/>
      <c r="H42" s="124"/>
      <c r="I42" s="124"/>
      <c r="J42" s="124"/>
      <c r="K42" s="124"/>
      <c r="L42" s="124"/>
      <c r="M42" s="124"/>
      <c r="N42" s="124"/>
      <c r="O42" s="124"/>
      <c r="P42" s="124"/>
      <c r="Q42" s="124"/>
      <c r="R42" s="124"/>
      <c r="S42" s="124"/>
      <c r="T42" s="124"/>
      <c r="U42" s="124" t="n">
        <v>0.5</v>
      </c>
      <c r="V42" s="124" t="n">
        <v>0.5</v>
      </c>
      <c r="W42" s="93" t="n">
        <f aca="false">SUM(G42:V42)</f>
        <v>1</v>
      </c>
      <c r="X42" s="125" t="n">
        <f aca="false">W42=1</f>
        <v>1</v>
      </c>
    </row>
    <row r="43" s="90" customFormat="true" ht="15" hidden="false" customHeight="false" outlineLevel="0" collapsed="false">
      <c r="B43" s="118"/>
      <c r="C43" s="119"/>
      <c r="D43" s="120"/>
      <c r="E43" s="120"/>
      <c r="F43" s="121" t="s">
        <v>1404</v>
      </c>
      <c r="G43" s="122" t="str">
        <f aca="false">IF(G42="","",G42*$D42)</f>
        <v/>
      </c>
      <c r="H43" s="122" t="str">
        <f aca="false">IF(H42="","",H42*$D42)</f>
        <v/>
      </c>
      <c r="I43" s="122" t="str">
        <f aca="false">IF(I42="","",I42*$D42)</f>
        <v/>
      </c>
      <c r="J43" s="122" t="str">
        <f aca="false">IF(J42="","",J42*$D42)</f>
        <v/>
      </c>
      <c r="K43" s="122" t="str">
        <f aca="false">IF(K42="","",K42*$D42)</f>
        <v/>
      </c>
      <c r="L43" s="122" t="str">
        <f aca="false">IF(L42="","",L42*$D42)</f>
        <v/>
      </c>
      <c r="M43" s="122" t="str">
        <f aca="false">IF(M42="","",M42*$D42)</f>
        <v/>
      </c>
      <c r="N43" s="122" t="str">
        <f aca="false">IF(N42="","",N42*$D42)</f>
        <v/>
      </c>
      <c r="O43" s="122" t="str">
        <f aca="false">IF(O42="","",O42*$D42)</f>
        <v/>
      </c>
      <c r="P43" s="122" t="str">
        <f aca="false">IF(P42="","",P42*$D42)</f>
        <v/>
      </c>
      <c r="Q43" s="122" t="str">
        <f aca="false">IF(Q42="","",Q42*$D42)</f>
        <v/>
      </c>
      <c r="R43" s="122" t="str">
        <f aca="false">IF(R42="","",R42*$D42)</f>
        <v/>
      </c>
      <c r="S43" s="122" t="str">
        <f aca="false">IF(S42="","",S42*$D42)</f>
        <v/>
      </c>
      <c r="T43" s="122" t="str">
        <f aca="false">IF(T42="","",T42*$D42)</f>
        <v/>
      </c>
      <c r="U43" s="122" t="n">
        <f aca="false">IF(U42="","",U42*$D42)</f>
        <v>39842.3066008454</v>
      </c>
      <c r="V43" s="122" t="n">
        <f aca="false">IF(V42="","",V42*$D42)</f>
        <v>39842.3066008454</v>
      </c>
      <c r="W43" s="92" t="n">
        <f aca="false">SUM(G43:V43)</f>
        <v>79684.6132016908</v>
      </c>
      <c r="X43" s="95" t="n">
        <f aca="false">W43=D42</f>
        <v>1</v>
      </c>
    </row>
    <row r="44" s="90" customFormat="true" ht="15" hidden="false" customHeight="false" outlineLevel="0" collapsed="false">
      <c r="B44" s="112" t="n">
        <v>18</v>
      </c>
      <c r="C44" s="123" t="str">
        <f aca="false">VLOOKUP($B44,01_SINTETICO!A:M,3,0)</f>
        <v>SERVIÇOS FINAIS DE OBRA</v>
      </c>
      <c r="D44" s="114" t="n">
        <f aca="false">VLOOKUP($B44,01_SINTETICO!A:M,13,0)</f>
        <v>40643.8789638757</v>
      </c>
      <c r="E44" s="115" t="n">
        <f aca="false">D44/$D$46</f>
        <v>0.00441391662858294</v>
      </c>
      <c r="F44" s="116" t="s">
        <v>1402</v>
      </c>
      <c r="G44" s="124"/>
      <c r="H44" s="124"/>
      <c r="I44" s="124"/>
      <c r="J44" s="124"/>
      <c r="K44" s="124"/>
      <c r="L44" s="124"/>
      <c r="M44" s="124"/>
      <c r="N44" s="124"/>
      <c r="O44" s="124"/>
      <c r="P44" s="124"/>
      <c r="Q44" s="124"/>
      <c r="R44" s="124"/>
      <c r="S44" s="124"/>
      <c r="T44" s="124"/>
      <c r="U44" s="124"/>
      <c r="V44" s="124" t="n">
        <v>1</v>
      </c>
      <c r="W44" s="93" t="n">
        <f aca="false">SUM(G44:V44)</f>
        <v>1</v>
      </c>
      <c r="X44" s="125" t="n">
        <f aca="false">W44=1</f>
        <v>1</v>
      </c>
    </row>
    <row r="45" s="90" customFormat="true" ht="15" hidden="false" customHeight="false" outlineLevel="0" collapsed="false">
      <c r="B45" s="118"/>
      <c r="C45" s="119"/>
      <c r="D45" s="120"/>
      <c r="E45" s="120"/>
      <c r="F45" s="121" t="s">
        <v>1404</v>
      </c>
      <c r="G45" s="122" t="str">
        <f aca="false">IF(G44="","",G44*$D44)</f>
        <v/>
      </c>
      <c r="H45" s="122" t="str">
        <f aca="false">IF(H44="","",H44*$D44)</f>
        <v/>
      </c>
      <c r="I45" s="122" t="str">
        <f aca="false">IF(I44="","",I44*$D44)</f>
        <v/>
      </c>
      <c r="J45" s="122" t="str">
        <f aca="false">IF(J44="","",J44*$D44)</f>
        <v/>
      </c>
      <c r="K45" s="122" t="str">
        <f aca="false">IF(K44="","",K44*$D44)</f>
        <v/>
      </c>
      <c r="L45" s="122" t="str">
        <f aca="false">IF(L44="","",L44*$D44)</f>
        <v/>
      </c>
      <c r="M45" s="122" t="str">
        <f aca="false">IF(M44="","",M44*$D44)</f>
        <v/>
      </c>
      <c r="N45" s="122" t="str">
        <f aca="false">IF(N44="","",N44*$D44)</f>
        <v/>
      </c>
      <c r="O45" s="122" t="str">
        <f aca="false">IF(O44="","",O44*$D44)</f>
        <v/>
      </c>
      <c r="P45" s="122" t="str">
        <f aca="false">IF(P44="","",P44*$D44)</f>
        <v/>
      </c>
      <c r="Q45" s="122" t="str">
        <f aca="false">IF(Q44="","",Q44*$D44)</f>
        <v/>
      </c>
      <c r="R45" s="122" t="str">
        <f aca="false">IF(R44="","",R44*$D44)</f>
        <v/>
      </c>
      <c r="S45" s="122" t="str">
        <f aca="false">IF(S44="","",S44*$D44)</f>
        <v/>
      </c>
      <c r="T45" s="122" t="str">
        <f aca="false">IF(T44="","",T44*$D44)</f>
        <v/>
      </c>
      <c r="U45" s="122" t="str">
        <f aca="false">IF(U44="","",U44*$D44)</f>
        <v/>
      </c>
      <c r="V45" s="122" t="n">
        <f aca="false">IF(V44="","",V44*$D44)</f>
        <v>40643.8789638757</v>
      </c>
      <c r="W45" s="92" t="n">
        <f aca="false">SUM(G45:V45)</f>
        <v>40643.8789638757</v>
      </c>
      <c r="X45" s="95" t="n">
        <f aca="false">W45=D44</f>
        <v>1</v>
      </c>
    </row>
    <row r="46" s="90" customFormat="true" ht="15" hidden="false" customHeight="false" outlineLevel="0" collapsed="false">
      <c r="B46" s="127" t="s">
        <v>1405</v>
      </c>
      <c r="C46" s="127"/>
      <c r="D46" s="128" t="n">
        <f aca="false">SUM(D10:D45)</f>
        <v>9208121.12777133</v>
      </c>
      <c r="E46" s="129" t="n">
        <f aca="false">SUBTOTAL(9,E10:E45)</f>
        <v>1</v>
      </c>
      <c r="F46" s="130" t="s">
        <v>1402</v>
      </c>
      <c r="G46" s="131" t="n">
        <f aca="false">G47/$D$46</f>
        <v>0.0113652319418381</v>
      </c>
      <c r="H46" s="131" t="n">
        <f aca="false">H47/$D$46</f>
        <v>0.0150042157190392</v>
      </c>
      <c r="I46" s="131" t="n">
        <f aca="false">I47/$D$46</f>
        <v>0.0506257794201372</v>
      </c>
      <c r="J46" s="131" t="n">
        <f aca="false">J47/$D$46</f>
        <v>0.0506257794201372</v>
      </c>
      <c r="K46" s="131" t="n">
        <f aca="false">K47/$D$46</f>
        <v>0.0665971278877534</v>
      </c>
      <c r="L46" s="131" t="n">
        <f aca="false">L47/$D$46</f>
        <v>0.077137191202504</v>
      </c>
      <c r="M46" s="131" t="n">
        <f aca="false">M47/$D$46</f>
        <v>0.0791014094616262</v>
      </c>
      <c r="N46" s="131" t="n">
        <f aca="false">N47/$D$46</f>
        <v>0.0572818607155517</v>
      </c>
      <c r="O46" s="131" t="n">
        <f aca="false">O47/$D$46</f>
        <v>0.130022395749821</v>
      </c>
      <c r="P46" s="131" t="n">
        <f aca="false">P47/$D$46</f>
        <v>0.110374939321009</v>
      </c>
      <c r="Q46" s="131" t="n">
        <f aca="false">Q47/$D$46</f>
        <v>0.0562099738586673</v>
      </c>
      <c r="R46" s="131" t="n">
        <f aca="false">R47/$D$46</f>
        <v>0.0480441827649232</v>
      </c>
      <c r="S46" s="131" t="n">
        <f aca="false">S47/$D$46</f>
        <v>0.0158330645333777</v>
      </c>
      <c r="T46" s="131" t="n">
        <f aca="false">T47/$D$46</f>
        <v>0.0179512623822968</v>
      </c>
      <c r="U46" s="131" t="n">
        <f aca="false">U47/$D$46</f>
        <v>0.0646109815428183</v>
      </c>
      <c r="V46" s="131" t="n">
        <f aca="false">V47/$D$46</f>
        <v>0.1492146040785</v>
      </c>
      <c r="W46" s="132" t="n">
        <f aca="false">SUM(G46:V46)</f>
        <v>1</v>
      </c>
      <c r="X46" s="95" t="n">
        <f aca="false">W46=1</f>
        <v>1</v>
      </c>
    </row>
    <row r="47" s="90" customFormat="true" ht="15" hidden="false" customHeight="false" outlineLevel="0" collapsed="false">
      <c r="B47" s="133"/>
      <c r="C47" s="134"/>
      <c r="D47" s="135"/>
      <c r="E47" s="136"/>
      <c r="F47" s="137" t="s">
        <v>1404</v>
      </c>
      <c r="G47" s="138" t="n">
        <f aca="false">SUM(G43,G41,G39,G37,G35,G33,G31,G29,G27,G25,G23,G21,G19,G17,G15,G13,G11,G45)</f>
        <v>104652.432365661</v>
      </c>
      <c r="H47" s="138" t="n">
        <f aca="false">SUM(H43,H41,H39,H37,H35,H33,H31,H29,H27,H25,H23,H21,H19,H17,H15,H13,H11,H45)</f>
        <v>138160.635768123</v>
      </c>
      <c r="I47" s="138" t="n">
        <f aca="false">SUM(I43,I41,I39,I37,I35,I33,I31,I29,I27,I25,I23,I21,I19,I17,I15,I13,I11,I45)</f>
        <v>466168.309088456</v>
      </c>
      <c r="J47" s="138" t="n">
        <f aca="false">SUM(J43,J41,J39,J37,J35,J33,J31,J29,J27,J25,J23,J21,J19,J17,J15,J13,J11,J45)</f>
        <v>466168.309088456</v>
      </c>
      <c r="K47" s="138" t="n">
        <f aca="false">SUM(K43,K41,K39,K37,K35,K33,K31,K29,K27,K25,K23,K21,K19,K17,K15,K13,K11,K45)</f>
        <v>613234.420352111</v>
      </c>
      <c r="L47" s="138" t="n">
        <f aca="false">SUM(L43,L41,L39,L37,L35,L33,L31,L29,L27,L25,L23,L21,L19,L17,L15,L13,L11,L45)</f>
        <v>710288.600048714</v>
      </c>
      <c r="M47" s="138" t="n">
        <f aca="false">SUM(M43,M41,M39,M37,M35,M33,M31,M29,M27,M25,M23,M21,M19,M17,M15,M13,M11,M45)</f>
        <v>728375.359700091</v>
      </c>
      <c r="N47" s="138" t="n">
        <f aca="false">SUM(N43,N41,N39,N37,N35,N33,N31,N29,N27,N25,N23,N21,N19,N17,N15,N13,N11,N45)</f>
        <v>527458.311892927</v>
      </c>
      <c r="O47" s="138" t="n">
        <f aca="false">SUM(O43,O41,O39,O37,O35,O33,O31,O29,O27,O25,O23,O21,O19,O17,O15,O13,O11,O45)</f>
        <v>1197261.96938737</v>
      </c>
      <c r="P47" s="138" t="n">
        <f aca="false">SUM(P43,P41,P39,P37,P35,P33,P31,P29,P27,P25,P23,P21,P19,P17,P15,P13,P11,P45)</f>
        <v>1016345.81073826</v>
      </c>
      <c r="Q47" s="138" t="n">
        <f aca="false">SUM(Q43,Q41,Q39,Q37,Q35,Q33,Q31,Q29,Q27,Q25,Q23,Q21,Q19,Q17,Q15,Q13,Q11,Q45)</f>
        <v>517588.247879469</v>
      </c>
      <c r="R47" s="138" t="n">
        <f aca="false">SUM(R43,R41,R39,R37,R35,R33,R31,R29,R27,R25,R23,R21,R19,R17,R15,R13,R11,R45)</f>
        <v>442396.654384197</v>
      </c>
      <c r="S47" s="138" t="n">
        <f aca="false">SUM(S43,S41,S39,S37,S35,S33,S31,S29,S27,S25,S23,S21,S19,S17,S15,S13,S11,S45)</f>
        <v>145792.776047162</v>
      </c>
      <c r="T47" s="138" t="n">
        <f aca="false">SUM(T43,T41,T39,T37,T35,T33,T31,T29,T27,T25,T23,T21,T19,T17,T15,T13,T11,T45)</f>
        <v>165297.398412594</v>
      </c>
      <c r="U47" s="138" t="n">
        <f aca="false">SUM(U43,U41,U39,U37,U35,U33,U31,U29,U27,U25,U23,U21,U19,U17,U15,U13,U11,U45)</f>
        <v>594945.744230468</v>
      </c>
      <c r="V47" s="138" t="n">
        <f aca="false">SUM(V43,V41,V39,V37,V35,V33,V31,V29,V27,V25,V23,V21,V19,V17,V15,V13,V11,V45)</f>
        <v>1373986.14838727</v>
      </c>
      <c r="W47" s="138" t="n">
        <f aca="false">W11+W13+W15+W17+W19+W21+W23+W25+W27+W29+W31+W33+W35+W37+W39+W41+W43+W45</f>
        <v>9208121.12777133</v>
      </c>
      <c r="X47" s="138" t="n">
        <f aca="false">X11+X13+X15+X17+X19+X21+X23+X25+X27+X29+X31+X33+X35+X37+X39+X41+X43</f>
        <v>17</v>
      </c>
    </row>
    <row r="48" customFormat="false" ht="15" hidden="false" customHeight="false" outlineLevel="0" collapsed="false">
      <c r="B48" s="90"/>
      <c r="C48" s="90"/>
      <c r="D48" s="92"/>
      <c r="E48" s="92"/>
      <c r="F48" s="139"/>
      <c r="G48" s="140"/>
      <c r="H48" s="140"/>
      <c r="I48" s="140"/>
      <c r="J48" s="140"/>
      <c r="K48" s="140"/>
      <c r="L48" s="140"/>
      <c r="M48" s="140"/>
      <c r="N48" s="140"/>
      <c r="O48" s="140"/>
      <c r="P48" s="140"/>
      <c r="Q48" s="140"/>
      <c r="R48" s="140"/>
      <c r="S48" s="140"/>
      <c r="T48" s="140"/>
      <c r="U48" s="140"/>
      <c r="V48" s="140"/>
      <c r="W48" s="92"/>
      <c r="X48" s="95"/>
    </row>
    <row r="49" customFormat="false" ht="15" hidden="false" customHeight="false" outlineLevel="0" collapsed="false">
      <c r="B49" s="127" t="s">
        <v>1406</v>
      </c>
      <c r="C49" s="127"/>
      <c r="D49" s="128"/>
      <c r="E49" s="129"/>
      <c r="F49" s="130" t="s">
        <v>1407</v>
      </c>
      <c r="G49" s="131" t="n">
        <f aca="false">G46</f>
        <v>0.0113652319418381</v>
      </c>
      <c r="H49" s="131" t="n">
        <f aca="false">H46+G49</f>
        <v>0.0263694476608773</v>
      </c>
      <c r="I49" s="131" t="n">
        <f aca="false">I46+H49</f>
        <v>0.0769952270810145</v>
      </c>
      <c r="J49" s="131" t="n">
        <f aca="false">J46+I49</f>
        <v>0.127621006501152</v>
      </c>
      <c r="K49" s="131" t="n">
        <f aca="false">K46+J49</f>
        <v>0.194218134388905</v>
      </c>
      <c r="L49" s="131" t="n">
        <f aca="false">L46+K49</f>
        <v>0.271355325591409</v>
      </c>
      <c r="M49" s="131" t="n">
        <f aca="false">M46+L49</f>
        <v>0.350456735053035</v>
      </c>
      <c r="N49" s="131" t="n">
        <f aca="false">N46+M49</f>
        <v>0.407738595768587</v>
      </c>
      <c r="O49" s="131" t="n">
        <f aca="false">O46+N49</f>
        <v>0.537760991518408</v>
      </c>
      <c r="P49" s="131" t="n">
        <f aca="false">P46+O49</f>
        <v>0.648135930839417</v>
      </c>
      <c r="Q49" s="131" t="n">
        <f aca="false">Q46+P49</f>
        <v>0.704345904698084</v>
      </c>
      <c r="R49" s="131" t="n">
        <f aca="false">R46+Q49</f>
        <v>0.752390087463007</v>
      </c>
      <c r="S49" s="131" t="n">
        <f aca="false">S46+R49</f>
        <v>0.768223151996385</v>
      </c>
      <c r="T49" s="131" t="n">
        <f aca="false">T46+S49</f>
        <v>0.786174414378682</v>
      </c>
      <c r="U49" s="131" t="n">
        <f aca="false">U46+T49</f>
        <v>0.8507853959215</v>
      </c>
      <c r="V49" s="131" t="n">
        <f aca="false">V46+U49</f>
        <v>1</v>
      </c>
      <c r="W49" s="131" t="n">
        <f aca="false">W46+V49</f>
        <v>2</v>
      </c>
      <c r="X49" s="131" t="n">
        <f aca="false">X46+W49</f>
        <v>3</v>
      </c>
    </row>
    <row r="50" customFormat="false" ht="15" hidden="false" customHeight="false" outlineLevel="0" collapsed="false">
      <c r="B50" s="133"/>
      <c r="C50" s="134"/>
      <c r="D50" s="135"/>
      <c r="E50" s="136"/>
      <c r="F50" s="137" t="s">
        <v>1404</v>
      </c>
      <c r="G50" s="138" t="n">
        <f aca="false">G47</f>
        <v>104652.432365661</v>
      </c>
      <c r="H50" s="138" t="n">
        <f aca="false">H47+G50</f>
        <v>242813.068133784</v>
      </c>
      <c r="I50" s="138" t="n">
        <f aca="false">I47+H50</f>
        <v>708981.37722224</v>
      </c>
      <c r="J50" s="138" t="n">
        <f aca="false">J47+I50</f>
        <v>1175149.6863107</v>
      </c>
      <c r="K50" s="138" t="n">
        <f aca="false">K47+J50</f>
        <v>1788384.10666281</v>
      </c>
      <c r="L50" s="138" t="n">
        <f aca="false">L47+K50</f>
        <v>2498672.70671152</v>
      </c>
      <c r="M50" s="138" t="n">
        <f aca="false">M47+L50</f>
        <v>3227048.06641161</v>
      </c>
      <c r="N50" s="138" t="n">
        <f aca="false">N47+M50</f>
        <v>3754506.37830454</v>
      </c>
      <c r="O50" s="138" t="n">
        <f aca="false">O47+N50</f>
        <v>4951768.34769191</v>
      </c>
      <c r="P50" s="138" t="n">
        <f aca="false">P47+O50</f>
        <v>5968114.15843017</v>
      </c>
      <c r="Q50" s="138" t="n">
        <f aca="false">Q47+P50</f>
        <v>6485702.40630964</v>
      </c>
      <c r="R50" s="138" t="n">
        <f aca="false">R47+Q50</f>
        <v>6928099.06069384</v>
      </c>
      <c r="S50" s="138" t="n">
        <f aca="false">S47+R50</f>
        <v>7073891.836741</v>
      </c>
      <c r="T50" s="138" t="n">
        <f aca="false">T47+S50</f>
        <v>7239189.23515359</v>
      </c>
      <c r="U50" s="138" t="n">
        <f aca="false">U47+T50</f>
        <v>7834134.97938406</v>
      </c>
      <c r="V50" s="138" t="n">
        <f aca="false">V47+U50</f>
        <v>9208121.12777133</v>
      </c>
      <c r="W50" s="138" t="n">
        <f aca="false">W47+V50</f>
        <v>18416242.2555427</v>
      </c>
      <c r="X50" s="138" t="n">
        <f aca="false">X47+W50</f>
        <v>18416259.2555427</v>
      </c>
    </row>
    <row r="108" customFormat="false" ht="15" hidden="false" customHeight="false" outlineLevel="0" collapsed="false">
      <c r="F108" s="141" t="n">
        <f aca="false">E109*F109</f>
        <v>0</v>
      </c>
    </row>
  </sheetData>
  <mergeCells count="9">
    <mergeCell ref="B2:F4"/>
    <mergeCell ref="G2:V2"/>
    <mergeCell ref="G3:H4"/>
    <mergeCell ref="B6:B8"/>
    <mergeCell ref="C6:F8"/>
    <mergeCell ref="G6:V6"/>
    <mergeCell ref="W8:X8"/>
    <mergeCell ref="B46:C46"/>
    <mergeCell ref="B49:C49"/>
  </mergeCells>
  <conditionalFormatting sqref="G12:V12 G14:V14 G16:V16">
    <cfRule type="expression" priority="2" aboveAverage="0" equalAverage="0" bottom="0" percent="0" rank="0" text="" dxfId="0">
      <formula>G12=0</formula>
    </cfRule>
  </conditionalFormatting>
  <conditionalFormatting sqref="G12:V12">
    <cfRule type="expression" priority="3" aboveAverage="0" equalAverage="0" bottom="0" percent="0" rank="0" text="" dxfId="1">
      <formula>LEN(TRIM(G12))&gt;0</formula>
    </cfRule>
  </conditionalFormatting>
  <conditionalFormatting sqref="G13:V13">
    <cfRule type="expression" priority="4" aboveAverage="0" equalAverage="0" bottom="0" percent="0" rank="0" text="" dxfId="2">
      <formula>G13=0</formula>
    </cfRule>
  </conditionalFormatting>
  <conditionalFormatting sqref="G14:V14">
    <cfRule type="expression" priority="5" aboveAverage="0" equalAverage="0" bottom="0" percent="0" rank="0" text="" dxfId="3">
      <formula>LEN(TRIM(G14))&gt;0</formula>
    </cfRule>
  </conditionalFormatting>
  <conditionalFormatting sqref="G15:V15">
    <cfRule type="expression" priority="6" aboveAverage="0" equalAverage="0" bottom="0" percent="0" rank="0" text="" dxfId="4">
      <formula>G15=0</formula>
    </cfRule>
  </conditionalFormatting>
  <conditionalFormatting sqref="G16:V16">
    <cfRule type="expression" priority="7" aboveAverage="0" equalAverage="0" bottom="0" percent="0" rank="0" text="" dxfId="5">
      <formula>LEN(TRIM(G16))&gt;0</formula>
    </cfRule>
  </conditionalFormatting>
  <conditionalFormatting sqref="G17:V17">
    <cfRule type="expression" priority="8" aboveAverage="0" equalAverage="0" bottom="0" percent="0" rank="0" text="" dxfId="6">
      <formula>G17=0</formula>
    </cfRule>
  </conditionalFormatting>
  <conditionalFormatting sqref="G18:V18">
    <cfRule type="expression" priority="9" aboveAverage="0" equalAverage="0" bottom="0" percent="0" rank="0" text="" dxfId="7">
      <formula>LEN(TRIM(G18))&gt;0</formula>
    </cfRule>
    <cfRule type="expression" priority="10" aboveAverage="0" equalAverage="0" bottom="0" percent="0" rank="0" text="" dxfId="8">
      <formula>G18=0</formula>
    </cfRule>
  </conditionalFormatting>
  <conditionalFormatting sqref="G19:V19">
    <cfRule type="expression" priority="11" aboveAverage="0" equalAverage="0" bottom="0" percent="0" rank="0" text="" dxfId="9">
      <formula>G19=0</formula>
    </cfRule>
  </conditionalFormatting>
  <conditionalFormatting sqref="G20:V20">
    <cfRule type="expression" priority="12" aboveAverage="0" equalAverage="0" bottom="0" percent="0" rank="0" text="" dxfId="10">
      <formula>LEN(TRIM(G20))&gt;0</formula>
    </cfRule>
    <cfRule type="expression" priority="13" aboveAverage="0" equalAverage="0" bottom="0" percent="0" rank="0" text="" dxfId="11">
      <formula>G20=0</formula>
    </cfRule>
  </conditionalFormatting>
  <conditionalFormatting sqref="G21:V21">
    <cfRule type="expression" priority="14" aboveAverage="0" equalAverage="0" bottom="0" percent="0" rank="0" text="" dxfId="12">
      <formula>G21=0</formula>
    </cfRule>
  </conditionalFormatting>
  <conditionalFormatting sqref="G22:V22">
    <cfRule type="expression" priority="15" aboveAverage="0" equalAverage="0" bottom="0" percent="0" rank="0" text="" dxfId="13">
      <formula>LEN(TRIM(G22))&gt;0</formula>
    </cfRule>
    <cfRule type="expression" priority="16" aboveAverage="0" equalAverage="0" bottom="0" percent="0" rank="0" text="" dxfId="14">
      <formula>G22=0</formula>
    </cfRule>
  </conditionalFormatting>
  <conditionalFormatting sqref="G23:V23">
    <cfRule type="expression" priority="17" aboveAverage="0" equalAverage="0" bottom="0" percent="0" rank="0" text="" dxfId="15">
      <formula>G23=0</formula>
    </cfRule>
  </conditionalFormatting>
  <conditionalFormatting sqref="G24:V24">
    <cfRule type="expression" priority="18" aboveAverage="0" equalAverage="0" bottom="0" percent="0" rank="0" text="" dxfId="16">
      <formula>LEN(TRIM(G24))&gt;0</formula>
    </cfRule>
    <cfRule type="expression" priority="19" aboveAverage="0" equalAverage="0" bottom="0" percent="0" rank="0" text="" dxfId="17">
      <formula>G24=0</formula>
    </cfRule>
  </conditionalFormatting>
  <conditionalFormatting sqref="G25:V25">
    <cfRule type="expression" priority="20" aboveAverage="0" equalAverage="0" bottom="0" percent="0" rank="0" text="" dxfId="18">
      <formula>G25=0</formula>
    </cfRule>
  </conditionalFormatting>
  <conditionalFormatting sqref="G26:V26">
    <cfRule type="expression" priority="21" aboveAverage="0" equalAverage="0" bottom="0" percent="0" rank="0" text="" dxfId="19">
      <formula>LEN(TRIM(G26))&gt;0</formula>
    </cfRule>
    <cfRule type="expression" priority="22" aboveAverage="0" equalAverage="0" bottom="0" percent="0" rank="0" text="" dxfId="20">
      <formula>G26=0</formula>
    </cfRule>
  </conditionalFormatting>
  <conditionalFormatting sqref="G27:V27">
    <cfRule type="expression" priority="23" aboveAverage="0" equalAverage="0" bottom="0" percent="0" rank="0" text="" dxfId="21">
      <formula>G27=0</formula>
    </cfRule>
  </conditionalFormatting>
  <conditionalFormatting sqref="G28:V28">
    <cfRule type="expression" priority="24" aboveAverage="0" equalAverage="0" bottom="0" percent="0" rank="0" text="" dxfId="22">
      <formula>LEN(TRIM(G28))&gt;0</formula>
    </cfRule>
    <cfRule type="expression" priority="25" aboveAverage="0" equalAverage="0" bottom="0" percent="0" rank="0" text="" dxfId="23">
      <formula>G28=0</formula>
    </cfRule>
  </conditionalFormatting>
  <conditionalFormatting sqref="G29:V29">
    <cfRule type="expression" priority="26" aboveAverage="0" equalAverage="0" bottom="0" percent="0" rank="0" text="" dxfId="24">
      <formula>G29=0</formula>
    </cfRule>
  </conditionalFormatting>
  <conditionalFormatting sqref="G30:V30">
    <cfRule type="expression" priority="27" aboveAverage="0" equalAverage="0" bottom="0" percent="0" rank="0" text="" dxfId="25">
      <formula>LEN(TRIM(G30))&gt;0</formula>
    </cfRule>
    <cfRule type="expression" priority="28" aboveAverage="0" equalAverage="0" bottom="0" percent="0" rank="0" text="" dxfId="26">
      <formula>G30=0</formula>
    </cfRule>
  </conditionalFormatting>
  <conditionalFormatting sqref="G31:V31">
    <cfRule type="expression" priority="29" aboveAverage="0" equalAverage="0" bottom="0" percent="0" rank="0" text="" dxfId="27">
      <formula>G31=0</formula>
    </cfRule>
  </conditionalFormatting>
  <conditionalFormatting sqref="G32:V32">
    <cfRule type="expression" priority="30" aboveAverage="0" equalAverage="0" bottom="0" percent="0" rank="0" text="" dxfId="28">
      <formula>LEN(TRIM(G32))&gt;0</formula>
    </cfRule>
    <cfRule type="expression" priority="31" aboveAverage="0" equalAverage="0" bottom="0" percent="0" rank="0" text="" dxfId="29">
      <formula>G32=0</formula>
    </cfRule>
  </conditionalFormatting>
  <conditionalFormatting sqref="G33:V33">
    <cfRule type="expression" priority="32" aboveAverage="0" equalAverage="0" bottom="0" percent="0" rank="0" text="" dxfId="30">
      <formula>G33=0</formula>
    </cfRule>
  </conditionalFormatting>
  <conditionalFormatting sqref="G34:V34">
    <cfRule type="expression" priority="33" aboveAverage="0" equalAverage="0" bottom="0" percent="0" rank="0" text="" dxfId="31">
      <formula>LEN(TRIM(G34))&gt;0</formula>
    </cfRule>
    <cfRule type="expression" priority="34" aboveAverage="0" equalAverage="0" bottom="0" percent="0" rank="0" text="" dxfId="32">
      <formula>G34=0</formula>
    </cfRule>
  </conditionalFormatting>
  <conditionalFormatting sqref="G35:V35">
    <cfRule type="expression" priority="35" aboveAverage="0" equalAverage="0" bottom="0" percent="0" rank="0" text="" dxfId="33">
      <formula>G35=0</formula>
    </cfRule>
  </conditionalFormatting>
  <conditionalFormatting sqref="G36:V36">
    <cfRule type="expression" priority="36" aboveAverage="0" equalAverage="0" bottom="0" percent="0" rank="0" text="" dxfId="34">
      <formula>LEN(TRIM(G36))&gt;0</formula>
    </cfRule>
    <cfRule type="expression" priority="37" aboveAverage="0" equalAverage="0" bottom="0" percent="0" rank="0" text="" dxfId="35">
      <formula>G36=0</formula>
    </cfRule>
  </conditionalFormatting>
  <conditionalFormatting sqref="G37:V37">
    <cfRule type="expression" priority="38" aboveAverage="0" equalAverage="0" bottom="0" percent="0" rank="0" text="" dxfId="36">
      <formula>G37=0</formula>
    </cfRule>
  </conditionalFormatting>
  <conditionalFormatting sqref="G38:V38">
    <cfRule type="expression" priority="39" aboveAverage="0" equalAverage="0" bottom="0" percent="0" rank="0" text="" dxfId="37">
      <formula>LEN(TRIM(G38))&gt;0</formula>
    </cfRule>
    <cfRule type="expression" priority="40" aboveAverage="0" equalAverage="0" bottom="0" percent="0" rank="0" text="" dxfId="38">
      <formula>G38=0</formula>
    </cfRule>
  </conditionalFormatting>
  <conditionalFormatting sqref="G39:V39">
    <cfRule type="expression" priority="41" aboveAverage="0" equalAverage="0" bottom="0" percent="0" rank="0" text="" dxfId="39">
      <formula>G39=0</formula>
    </cfRule>
  </conditionalFormatting>
  <conditionalFormatting sqref="G40:V40">
    <cfRule type="expression" priority="42" aboveAverage="0" equalAverage="0" bottom="0" percent="0" rank="0" text="" dxfId="40">
      <formula>LEN(TRIM(G40))&gt;0</formula>
    </cfRule>
    <cfRule type="expression" priority="43" aboveAverage="0" equalAverage="0" bottom="0" percent="0" rank="0" text="" dxfId="41">
      <formula>G40=0</formula>
    </cfRule>
  </conditionalFormatting>
  <conditionalFormatting sqref="G41:V41">
    <cfRule type="expression" priority="44" aboveAverage="0" equalAverage="0" bottom="0" percent="0" rank="0" text="" dxfId="42">
      <formula>G41=0</formula>
    </cfRule>
  </conditionalFormatting>
  <conditionalFormatting sqref="G42:V42">
    <cfRule type="expression" priority="45" aboveAverage="0" equalAverage="0" bottom="0" percent="0" rank="0" text="" dxfId="43">
      <formula>LEN(TRIM(G42))&gt;0</formula>
    </cfRule>
    <cfRule type="expression" priority="46" aboveAverage="0" equalAverage="0" bottom="0" percent="0" rank="0" text="" dxfId="44">
      <formula>G42=0</formula>
    </cfRule>
  </conditionalFormatting>
  <conditionalFormatting sqref="G43:V43 G45:V45">
    <cfRule type="expression" priority="47" aboveAverage="0" equalAverage="0" bottom="0" percent="0" rank="0" text="" dxfId="45">
      <formula>G43=0</formula>
    </cfRule>
  </conditionalFormatting>
  <conditionalFormatting sqref="G44:V44">
    <cfRule type="expression" priority="48" aboveAverage="0" equalAverage="0" bottom="0" percent="0" rank="0" text="" dxfId="46">
      <formula>LEN(TRIM(G44))&gt;0</formula>
    </cfRule>
    <cfRule type="expression" priority="49" aboveAverage="0" equalAverage="0" bottom="0" percent="0" rank="0" text="" dxfId="47">
      <formula>G44=0</formula>
    </cfRule>
  </conditionalFormatting>
  <conditionalFormatting sqref="G10:X10 G11:V11">
    <cfRule type="expression" priority="50" aboveAverage="0" equalAverage="0" bottom="0" percent="0" rank="0" text="" dxfId="48">
      <formula>G10=0</formula>
    </cfRule>
  </conditionalFormatting>
  <printOptions headings="false" gridLines="false" gridLinesSet="true" horizontalCentered="true" verticalCentered="true"/>
  <pageMargins left="0.39375" right="0.39375" top="0.39375" bottom="0.240277777777778"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sheetPr filterMode="false">
    <tabColor rgb="FF558ED5"/>
    <pageSetUpPr fitToPage="true"/>
  </sheetPr>
  <dimension ref="A1:G8062"/>
  <sheetViews>
    <sheetView showFormulas="false" showGridLines="true" showRowColHeaders="true" showZeros="true" rightToLeft="false" tabSelected="false" showOutlineSymbols="true" defaultGridColor="true" view="pageBreakPreview" topLeftCell="A1" colorId="64" zoomScale="130" zoomScaleNormal="85" zoomScalePageLayoutView="130" workbookViewId="0">
      <pane xSplit="0" ySplit="4" topLeftCell="A3131" activePane="bottomLeft" state="frozen"/>
      <selection pane="topLeft" activeCell="A1" activeCellId="0" sqref="A1"/>
      <selection pane="bottomLeft" activeCell="E17" activeCellId="0" sqref="E17"/>
    </sheetView>
  </sheetViews>
  <sheetFormatPr defaultRowHeight="15" zeroHeight="false" outlineLevelRow="0" outlineLevelCol="0"/>
  <cols>
    <col collapsed="false" customWidth="true" hidden="false" outlineLevel="0" max="1" min="1" style="0" width="30.57"/>
    <col collapsed="false" customWidth="true" hidden="false" outlineLevel="0" max="2" min="2" style="0" width="61.85"/>
    <col collapsed="false" customWidth="true" hidden="false" outlineLevel="0" max="3" min="3" style="0" width="7.86"/>
    <col collapsed="false" customWidth="true" hidden="false" outlineLevel="0" max="4" min="4" style="0" width="9.85"/>
    <col collapsed="false" customWidth="true" hidden="false" outlineLevel="0" max="5" min="5" style="0" width="14.28"/>
    <col collapsed="false" customWidth="true" hidden="false" outlineLevel="0" max="6" min="6" style="0" width="19.29"/>
    <col collapsed="false" customWidth="true" hidden="false" outlineLevel="0" max="7" min="7" style="0" width="23.42"/>
    <col collapsed="false" customWidth="true" hidden="false" outlineLevel="0" max="8" min="8" style="0" width="7.29"/>
    <col collapsed="false" customWidth="true" hidden="false" outlineLevel="0" max="9" min="9" style="0" width="12.42"/>
    <col collapsed="false" customWidth="true" hidden="true" outlineLevel="0" max="10" min="10" style="0" width="8.71"/>
    <col collapsed="false" customWidth="true" hidden="false" outlineLevel="0" max="1025" min="11" style="0" width="8.71"/>
  </cols>
  <sheetData>
    <row r="1" customFormat="false" ht="30" hidden="false" customHeight="true" outlineLevel="0" collapsed="false">
      <c r="A1" s="142" t="s">
        <v>1379</v>
      </c>
      <c r="B1" s="142"/>
      <c r="C1" s="143" t="s">
        <v>1408</v>
      </c>
      <c r="D1" s="143"/>
      <c r="E1" s="143"/>
      <c r="F1" s="143"/>
      <c r="G1" s="143"/>
    </row>
    <row r="2" customFormat="false" ht="15" hidden="false" customHeight="false" outlineLevel="0" collapsed="false">
      <c r="A2" s="142"/>
      <c r="B2" s="142"/>
      <c r="C2" s="144" t="str">
        <f aca="false">01_SINTETICO!D2</f>
        <v>OBRA: FORUM TRABALHISTA DA 18 REGIAO</v>
      </c>
      <c r="D2" s="144"/>
      <c r="E2" s="144"/>
      <c r="F2" s="144"/>
      <c r="G2" s="145" t="n">
        <f aca="false">'CAPA-DADOS'!E13</f>
        <v>45750</v>
      </c>
    </row>
    <row r="3" customFormat="false" ht="15" hidden="false" customHeight="false" outlineLevel="0" collapsed="false">
      <c r="A3" s="142"/>
      <c r="B3" s="142"/>
      <c r="C3" s="144"/>
      <c r="D3" s="144"/>
      <c r="E3" s="144"/>
      <c r="F3" s="144"/>
      <c r="G3" s="145" t="str">
        <f aca="false">'CAPA-DADOS'!E16</f>
        <v>SINAPI-FEV/2025</v>
      </c>
    </row>
    <row r="4" customFormat="false" ht="15" hidden="false" customHeight="false" outlineLevel="0" collapsed="false">
      <c r="A4" s="146" t="s">
        <v>28</v>
      </c>
      <c r="B4" s="147" t="s">
        <v>1409</v>
      </c>
      <c r="C4" s="148" t="s">
        <v>1410</v>
      </c>
      <c r="D4" s="148" t="s">
        <v>1411</v>
      </c>
      <c r="E4" s="146" t="s">
        <v>1412</v>
      </c>
      <c r="F4" s="149" t="s">
        <v>1413</v>
      </c>
      <c r="G4" s="149" t="s">
        <v>1414</v>
      </c>
    </row>
    <row r="5" customFormat="false" ht="15" hidden="false" customHeight="false" outlineLevel="0" collapsed="false">
      <c r="A5" s="150" t="n">
        <v>94296</v>
      </c>
      <c r="B5" s="151" t="s">
        <v>1415</v>
      </c>
      <c r="C5" s="152" t="s">
        <v>59</v>
      </c>
      <c r="D5" s="152" t="s">
        <v>1416</v>
      </c>
      <c r="E5" s="150"/>
      <c r="F5" s="153" t="n">
        <f aca="false">(SUMPRODUCT($E6:$E10,F6:F10))*1</f>
        <v>434.84</v>
      </c>
      <c r="G5" s="153" t="n">
        <f aca="false">(SUMPRODUCT($E6:$E10,G6:G10))*1</f>
        <v>3583.9761168</v>
      </c>
    </row>
    <row r="6" customFormat="false" ht="21" hidden="false" customHeight="false" outlineLevel="0" collapsed="false">
      <c r="A6" s="154" t="n">
        <v>43505</v>
      </c>
      <c r="B6" s="155" t="s">
        <v>1417</v>
      </c>
      <c r="C6" s="148" t="str">
        <f aca="false">VLOOKUP($A6,INSUMOS_AUX!$A$3:$H$813,3,0)</f>
        <v>MAT.</v>
      </c>
      <c r="D6" s="156" t="s">
        <v>1416</v>
      </c>
      <c r="E6" s="154" t="n">
        <v>1</v>
      </c>
      <c r="F6" s="149" t="n">
        <f aca="false">IF(C6="MAT.",VLOOKUP(A6,INSUMOS_AUX!$A$3:$H$813,6,0),0)</f>
        <v>138.98</v>
      </c>
      <c r="G6" s="149" t="n">
        <f aca="false">IF(C6="M.O.",VLOOKUP(A6,INSUMOS_AUX!A:F,6,0),0)</f>
        <v>0</v>
      </c>
    </row>
    <row r="7" customFormat="false" ht="21" hidden="false" customHeight="false" outlineLevel="0" collapsed="false">
      <c r="A7" s="154" t="n">
        <v>40863</v>
      </c>
      <c r="B7" s="155" t="s">
        <v>1418</v>
      </c>
      <c r="C7" s="148" t="str">
        <f aca="false">VLOOKUP($A7,INSUMOS_AUX!$A$3:$H$813,3,0)</f>
        <v>MAT.</v>
      </c>
      <c r="D7" s="156" t="s">
        <v>1416</v>
      </c>
      <c r="E7" s="154" t="n">
        <v>1</v>
      </c>
      <c r="F7" s="149" t="n">
        <f aca="false">IF(C7="MAT.",VLOOKUP(A7,INSUMOS_AUX!$A$3:$H$813,6,0),0)</f>
        <v>270.51</v>
      </c>
      <c r="G7" s="149" t="n">
        <f aca="false">IF(C7="M.O.",VLOOKUP(A7,INSUMOS_AUX!A:F,6,0),0)</f>
        <v>0</v>
      </c>
    </row>
    <row r="8" customFormat="false" ht="21" hidden="false" customHeight="false" outlineLevel="0" collapsed="false">
      <c r="A8" s="154" t="n">
        <v>43481</v>
      </c>
      <c r="B8" s="155" t="s">
        <v>1419</v>
      </c>
      <c r="C8" s="148" t="str">
        <f aca="false">VLOOKUP($A8,INSUMOS_AUX!$A$3:$H$813,3,0)</f>
        <v>MAT.</v>
      </c>
      <c r="D8" s="156" t="s">
        <v>1416</v>
      </c>
      <c r="E8" s="154" t="n">
        <v>1</v>
      </c>
      <c r="F8" s="149" t="n">
        <f aca="false">IF(C8="MAT.",VLOOKUP(A8,INSUMOS_AUX!$A$3:$H$813,6,0),0)</f>
        <v>9.89</v>
      </c>
      <c r="G8" s="149" t="n">
        <f aca="false">IF(C8="M.O.",VLOOKUP(A8,INSUMOS_AUX!A:F,6,0),0)</f>
        <v>0</v>
      </c>
    </row>
    <row r="9" customFormat="false" ht="21" hidden="false" customHeight="false" outlineLevel="0" collapsed="false">
      <c r="A9" s="154" t="n">
        <v>40864</v>
      </c>
      <c r="B9" s="155" t="s">
        <v>1420</v>
      </c>
      <c r="C9" s="148" t="str">
        <f aca="false">VLOOKUP($A9,INSUMOS_AUX!$A$3:$H$813,3,0)</f>
        <v>MAT.</v>
      </c>
      <c r="D9" s="156" t="s">
        <v>1416</v>
      </c>
      <c r="E9" s="154" t="n">
        <v>1</v>
      </c>
      <c r="F9" s="149" t="n">
        <f aca="false">IF(C9="MAT.",VLOOKUP(A9,INSUMOS_AUX!$A$3:$H$813,6,0),0)</f>
        <v>15.46</v>
      </c>
      <c r="G9" s="149" t="n">
        <f aca="false">IF(C9="M.O.",VLOOKUP(A9,INSUMOS_AUX!A:F,6,0),0)</f>
        <v>0</v>
      </c>
    </row>
    <row r="10" customFormat="false" ht="15" hidden="false" customHeight="false" outlineLevel="0" collapsed="false">
      <c r="A10" s="154" t="n">
        <v>40820</v>
      </c>
      <c r="B10" s="155" t="s">
        <v>1421</v>
      </c>
      <c r="C10" s="148" t="str">
        <f aca="false">VLOOKUP($A10,INSUMOS_AUX!$A$3:$H$813,3,0)</f>
        <v>M.O.</v>
      </c>
      <c r="D10" s="156" t="s">
        <v>1416</v>
      </c>
      <c r="E10" s="154" t="n">
        <v>1.00626</v>
      </c>
      <c r="F10" s="149" t="n">
        <f aca="false">IF(C10="MAT.",VLOOKUP(A10,INSUMOS_AUX!$A$3:$H$813,6,0),0)</f>
        <v>0</v>
      </c>
      <c r="G10" s="149" t="n">
        <f aca="false">IF(C10="M.O.",VLOOKUP(A10,INSUMOS_AUX!A:F,6,0),0)</f>
        <v>3561.68</v>
      </c>
    </row>
    <row r="11" customFormat="false" ht="21" hidden="false" customHeight="false" outlineLevel="0" collapsed="false">
      <c r="A11" s="150" t="n">
        <v>100321</v>
      </c>
      <c r="B11" s="151" t="s">
        <v>1422</v>
      </c>
      <c r="C11" s="152" t="s">
        <v>59</v>
      </c>
      <c r="D11" s="152" t="s">
        <v>1416</v>
      </c>
      <c r="E11" s="150"/>
      <c r="F11" s="153" t="n">
        <f aca="false">(SUMPRODUCT($E12:$E16,F12:F16))*1</f>
        <v>450.65</v>
      </c>
      <c r="G11" s="153" t="n">
        <f aca="false">(SUMPRODUCT($E12:$E16,G12:G16))*1</f>
        <v>4825.3929922</v>
      </c>
    </row>
    <row r="12" customFormat="false" ht="21" hidden="false" customHeight="false" outlineLevel="0" collapsed="false">
      <c r="A12" s="154" t="n">
        <v>43494</v>
      </c>
      <c r="B12" s="155" t="s">
        <v>1423</v>
      </c>
      <c r="C12" s="148" t="str">
        <f aca="false">VLOOKUP($A12,INSUMOS_AUX!$A$3:$H$813,3,0)</f>
        <v>MAT.</v>
      </c>
      <c r="D12" s="156" t="s">
        <v>1416</v>
      </c>
      <c r="E12" s="154" t="n">
        <v>1</v>
      </c>
      <c r="F12" s="149" t="n">
        <f aca="false">IF(C12="MAT.",VLOOKUP(A12,INSUMOS_AUX!$A$3:$H$813,6,0),0)</f>
        <v>153.54</v>
      </c>
      <c r="G12" s="149" t="n">
        <f aca="false">IF(C12="M.O.",VLOOKUP(A12,INSUMOS_AUX!A:F,6,0),0)</f>
        <v>0</v>
      </c>
    </row>
    <row r="13" customFormat="false" ht="21" hidden="false" customHeight="false" outlineLevel="0" collapsed="false">
      <c r="A13" s="154" t="n">
        <v>40863</v>
      </c>
      <c r="B13" s="155" t="s">
        <v>1418</v>
      </c>
      <c r="C13" s="148" t="str">
        <f aca="false">VLOOKUP($A13,INSUMOS_AUX!$A$3:$H$813,3,0)</f>
        <v>MAT.</v>
      </c>
      <c r="D13" s="156" t="s">
        <v>1416</v>
      </c>
      <c r="E13" s="154" t="n">
        <v>1</v>
      </c>
      <c r="F13" s="149" t="n">
        <f aca="false">IF(C13="MAT.",VLOOKUP(A13,INSUMOS_AUX!$A$3:$H$813,6,0),0)</f>
        <v>270.51</v>
      </c>
      <c r="G13" s="149" t="n">
        <f aca="false">IF(C13="M.O.",VLOOKUP(A13,INSUMOS_AUX!A:F,6,0),0)</f>
        <v>0</v>
      </c>
    </row>
    <row r="14" customFormat="false" ht="21" hidden="false" customHeight="false" outlineLevel="0" collapsed="false">
      <c r="A14" s="154" t="n">
        <v>43470</v>
      </c>
      <c r="B14" s="155" t="s">
        <v>1424</v>
      </c>
      <c r="C14" s="148" t="str">
        <f aca="false">VLOOKUP($A14,INSUMOS_AUX!$A$3:$H$813,3,0)</f>
        <v>MAT.</v>
      </c>
      <c r="D14" s="156" t="s">
        <v>1416</v>
      </c>
      <c r="E14" s="154" t="n">
        <v>1</v>
      </c>
      <c r="F14" s="149" t="n">
        <f aca="false">IF(C14="MAT.",VLOOKUP(A14,INSUMOS_AUX!$A$3:$H$813,6,0),0)</f>
        <v>11.14</v>
      </c>
      <c r="G14" s="149" t="n">
        <f aca="false">IF(C14="M.O.",VLOOKUP(A14,INSUMOS_AUX!A:F,6,0),0)</f>
        <v>0</v>
      </c>
    </row>
    <row r="15" customFormat="false" ht="21" hidden="false" customHeight="false" outlineLevel="0" collapsed="false">
      <c r="A15" s="154" t="n">
        <v>40864</v>
      </c>
      <c r="B15" s="155" t="s">
        <v>1420</v>
      </c>
      <c r="C15" s="148" t="str">
        <f aca="false">VLOOKUP($A15,INSUMOS_AUX!$A$3:$H$813,3,0)</f>
        <v>MAT.</v>
      </c>
      <c r="D15" s="156" t="s">
        <v>1416</v>
      </c>
      <c r="E15" s="154" t="n">
        <v>1</v>
      </c>
      <c r="F15" s="149" t="n">
        <f aca="false">IF(C15="MAT.",VLOOKUP(A15,INSUMOS_AUX!$A$3:$H$813,6,0),0)</f>
        <v>15.46</v>
      </c>
      <c r="G15" s="149" t="n">
        <f aca="false">IF(C15="M.O.",VLOOKUP(A15,INSUMOS_AUX!A:F,6,0),0)</f>
        <v>0</v>
      </c>
    </row>
    <row r="16" customFormat="false" ht="15" hidden="false" customHeight="false" outlineLevel="0" collapsed="false">
      <c r="A16" s="154" t="n">
        <v>40944</v>
      </c>
      <c r="B16" s="155" t="s">
        <v>1425</v>
      </c>
      <c r="C16" s="148" t="str">
        <f aca="false">VLOOKUP($A16,INSUMOS_AUX!$A$3:$H$813,3,0)</f>
        <v>M.O.</v>
      </c>
      <c r="D16" s="156" t="s">
        <v>1416</v>
      </c>
      <c r="E16" s="154" t="n">
        <v>1.01354</v>
      </c>
      <c r="F16" s="149" t="n">
        <f aca="false">IF(C16="MAT.",VLOOKUP(A16,INSUMOS_AUX!$A$3:$H$813,6,0),0)</f>
        <v>0</v>
      </c>
      <c r="G16" s="149" t="n">
        <f aca="false">IF(C16="M.O.",VLOOKUP(A16,INSUMOS_AUX!A:F,6,0),0)</f>
        <v>4760.93</v>
      </c>
    </row>
    <row r="17" customFormat="false" ht="21" hidden="false" customHeight="false" outlineLevel="0" collapsed="false">
      <c r="A17" s="150" t="n">
        <v>93565</v>
      </c>
      <c r="B17" s="151" t="s">
        <v>1426</v>
      </c>
      <c r="C17" s="152" t="s">
        <v>59</v>
      </c>
      <c r="D17" s="152" t="s">
        <v>1416</v>
      </c>
      <c r="E17" s="150"/>
      <c r="F17" s="153" t="n">
        <f aca="false">(SUMPRODUCT($E18:$E22,F18:F22))*1</f>
        <v>434.32</v>
      </c>
      <c r="G17" s="153" t="n">
        <f aca="false">(SUMPRODUCT($E18:$E22,G18:G22))*1</f>
        <v>19611.4610736</v>
      </c>
    </row>
    <row r="18" customFormat="false" ht="21" hidden="false" customHeight="false" outlineLevel="0" collapsed="false">
      <c r="A18" s="154" t="n">
        <v>43498</v>
      </c>
      <c r="B18" s="155" t="s">
        <v>1427</v>
      </c>
      <c r="C18" s="148" t="str">
        <f aca="false">VLOOKUP($A18,INSUMOS_AUX!$A$3:$H$813,3,0)</f>
        <v>MAT.</v>
      </c>
      <c r="D18" s="156" t="s">
        <v>1416</v>
      </c>
      <c r="E18" s="154" t="n">
        <v>1</v>
      </c>
      <c r="F18" s="149" t="n">
        <f aca="false">IF(C18="MAT.",VLOOKUP(A18,INSUMOS_AUX!$A$3:$H$813,6,0),0)</f>
        <v>146</v>
      </c>
      <c r="G18" s="149" t="n">
        <f aca="false">IF(C18="M.O.",VLOOKUP(A18,INSUMOS_AUX!A:F,6,0),0)</f>
        <v>0</v>
      </c>
    </row>
    <row r="19" customFormat="false" ht="21" hidden="false" customHeight="false" outlineLevel="0" collapsed="false">
      <c r="A19" s="154" t="n">
        <v>40863</v>
      </c>
      <c r="B19" s="155" t="s">
        <v>1418</v>
      </c>
      <c r="C19" s="148" t="str">
        <f aca="false">VLOOKUP($A19,INSUMOS_AUX!$A$3:$H$813,3,0)</f>
        <v>MAT.</v>
      </c>
      <c r="D19" s="156" t="s">
        <v>1416</v>
      </c>
      <c r="E19" s="154" t="n">
        <v>1</v>
      </c>
      <c r="F19" s="149" t="n">
        <f aca="false">IF(C19="MAT.",VLOOKUP(A19,INSUMOS_AUX!$A$3:$H$813,6,0),0)</f>
        <v>270.51</v>
      </c>
      <c r="G19" s="149" t="n">
        <f aca="false">IF(C19="M.O.",VLOOKUP(A19,INSUMOS_AUX!A:F,6,0),0)</f>
        <v>0</v>
      </c>
    </row>
    <row r="20" customFormat="false" ht="21" hidden="false" customHeight="false" outlineLevel="0" collapsed="false">
      <c r="A20" s="154" t="n">
        <v>43474</v>
      </c>
      <c r="B20" s="155" t="s">
        <v>1428</v>
      </c>
      <c r="C20" s="148" t="str">
        <f aca="false">VLOOKUP($A20,INSUMOS_AUX!$A$3:$H$813,3,0)</f>
        <v>MAT.</v>
      </c>
      <c r="D20" s="156" t="s">
        <v>1416</v>
      </c>
      <c r="E20" s="154" t="n">
        <v>1</v>
      </c>
      <c r="F20" s="149" t="n">
        <f aca="false">IF(C20="MAT.",VLOOKUP(A20,INSUMOS_AUX!$A$3:$H$813,6,0),0)</f>
        <v>2.35</v>
      </c>
      <c r="G20" s="149" t="n">
        <f aca="false">IF(C20="M.O.",VLOOKUP(A20,INSUMOS_AUX!A:F,6,0),0)</f>
        <v>0</v>
      </c>
    </row>
    <row r="21" customFormat="false" ht="21" hidden="false" customHeight="false" outlineLevel="0" collapsed="false">
      <c r="A21" s="154" t="n">
        <v>40864</v>
      </c>
      <c r="B21" s="155" t="s">
        <v>1420</v>
      </c>
      <c r="C21" s="148" t="str">
        <f aca="false">VLOOKUP($A21,INSUMOS_AUX!$A$3:$H$813,3,0)</f>
        <v>MAT.</v>
      </c>
      <c r="D21" s="156" t="s">
        <v>1416</v>
      </c>
      <c r="E21" s="154" t="n">
        <v>1</v>
      </c>
      <c r="F21" s="149" t="n">
        <f aca="false">IF(C21="MAT.",VLOOKUP(A21,INSUMOS_AUX!$A$3:$H$813,6,0),0)</f>
        <v>15.46</v>
      </c>
      <c r="G21" s="149" t="n">
        <f aca="false">IF(C21="M.O.",VLOOKUP(A21,INSUMOS_AUX!A:F,6,0),0)</f>
        <v>0</v>
      </c>
    </row>
    <row r="22" customFormat="false" ht="15" hidden="false" customHeight="false" outlineLevel="0" collapsed="false">
      <c r="A22" s="154" t="n">
        <v>40811</v>
      </c>
      <c r="B22" s="155" t="s">
        <v>1429</v>
      </c>
      <c r="C22" s="148" t="str">
        <f aca="false">VLOOKUP($A22,INSUMOS_AUX!$A$3:$H$813,3,0)</f>
        <v>M.O.</v>
      </c>
      <c r="D22" s="156" t="s">
        <v>1416</v>
      </c>
      <c r="E22" s="154" t="n">
        <v>1.01112</v>
      </c>
      <c r="F22" s="149" t="n">
        <f aca="false">IF(C22="MAT.",VLOOKUP(A22,INSUMOS_AUX!$A$3:$H$813,6,0),0)</f>
        <v>0</v>
      </c>
      <c r="G22" s="149" t="n">
        <f aca="false">IF(C22="M.O.",VLOOKUP(A22,INSUMOS_AUX!A:F,6,0),0)</f>
        <v>19395.78</v>
      </c>
    </row>
    <row r="23" customFormat="false" ht="15" hidden="false" customHeight="false" outlineLevel="0" collapsed="false">
      <c r="A23" s="150" t="n">
        <v>94295</v>
      </c>
      <c r="B23" s="151" t="s">
        <v>1430</v>
      </c>
      <c r="C23" s="152" t="s">
        <v>59</v>
      </c>
      <c r="D23" s="152" t="s">
        <v>1416</v>
      </c>
      <c r="E23" s="150"/>
      <c r="F23" s="153" t="n">
        <f aca="false">(SUMPRODUCT($E24:$E28,F24:F28))*1</f>
        <v>543.42</v>
      </c>
      <c r="G23" s="153" t="n">
        <f aca="false">(SUMPRODUCT($E24:$E28,G24:G28))*1</f>
        <v>6998.5499838</v>
      </c>
    </row>
    <row r="24" customFormat="false" ht="21" hidden="false" customHeight="false" outlineLevel="0" collapsed="false">
      <c r="A24" s="154" t="n">
        <v>43499</v>
      </c>
      <c r="B24" s="155" t="s">
        <v>1431</v>
      </c>
      <c r="C24" s="148" t="str">
        <f aca="false">VLOOKUP($A24,INSUMOS_AUX!$A$3:$H$813,3,0)</f>
        <v>MAT.</v>
      </c>
      <c r="D24" s="156" t="s">
        <v>1416</v>
      </c>
      <c r="E24" s="154" t="n">
        <v>1</v>
      </c>
      <c r="F24" s="149" t="n">
        <f aca="false">IF(C24="MAT.",VLOOKUP(A24,INSUMOS_AUX!$A$3:$H$813,6,0),0)</f>
        <v>241.99</v>
      </c>
      <c r="G24" s="149" t="n">
        <f aca="false">IF(C24="M.O.",VLOOKUP(A24,INSUMOS_AUX!A:F,6,0),0)</f>
        <v>0</v>
      </c>
    </row>
    <row r="25" customFormat="false" ht="21" hidden="false" customHeight="false" outlineLevel="0" collapsed="false">
      <c r="A25" s="154" t="n">
        <v>40863</v>
      </c>
      <c r="B25" s="155" t="s">
        <v>1418</v>
      </c>
      <c r="C25" s="148" t="str">
        <f aca="false">VLOOKUP($A25,INSUMOS_AUX!$A$3:$H$813,3,0)</f>
        <v>MAT.</v>
      </c>
      <c r="D25" s="156" t="s">
        <v>1416</v>
      </c>
      <c r="E25" s="154" t="n">
        <v>1</v>
      </c>
      <c r="F25" s="149" t="n">
        <f aca="false">IF(C25="MAT.",VLOOKUP(A25,INSUMOS_AUX!$A$3:$H$813,6,0),0)</f>
        <v>270.51</v>
      </c>
      <c r="G25" s="149" t="n">
        <f aca="false">IF(C25="M.O.",VLOOKUP(A25,INSUMOS_AUX!A:F,6,0),0)</f>
        <v>0</v>
      </c>
    </row>
    <row r="26" customFormat="false" ht="21" hidden="false" customHeight="false" outlineLevel="0" collapsed="false">
      <c r="A26" s="154" t="n">
        <v>43475</v>
      </c>
      <c r="B26" s="155" t="s">
        <v>1432</v>
      </c>
      <c r="C26" s="148" t="str">
        <f aca="false">VLOOKUP($A26,INSUMOS_AUX!$A$3:$H$813,3,0)</f>
        <v>MAT.</v>
      </c>
      <c r="D26" s="156" t="s">
        <v>1416</v>
      </c>
      <c r="E26" s="154" t="n">
        <v>1</v>
      </c>
      <c r="F26" s="149" t="n">
        <f aca="false">IF(C26="MAT.",VLOOKUP(A26,INSUMOS_AUX!$A$3:$H$813,6,0),0)</f>
        <v>15.46</v>
      </c>
      <c r="G26" s="149" t="n">
        <f aca="false">IF(C26="M.O.",VLOOKUP(A26,INSUMOS_AUX!A:F,6,0),0)</f>
        <v>0</v>
      </c>
    </row>
    <row r="27" customFormat="false" ht="21" hidden="false" customHeight="false" outlineLevel="0" collapsed="false">
      <c r="A27" s="154" t="n">
        <v>40864</v>
      </c>
      <c r="B27" s="155" t="s">
        <v>1420</v>
      </c>
      <c r="C27" s="148" t="str">
        <f aca="false">VLOOKUP($A27,INSUMOS_AUX!$A$3:$H$813,3,0)</f>
        <v>MAT.</v>
      </c>
      <c r="D27" s="156" t="s">
        <v>1416</v>
      </c>
      <c r="E27" s="154" t="n">
        <v>1</v>
      </c>
      <c r="F27" s="149" t="n">
        <f aca="false">IF(C27="MAT.",VLOOKUP(A27,INSUMOS_AUX!$A$3:$H$813,6,0),0)</f>
        <v>15.46</v>
      </c>
      <c r="G27" s="149" t="n">
        <f aca="false">IF(C27="M.O.",VLOOKUP(A27,INSUMOS_AUX!A:F,6,0),0)</f>
        <v>0</v>
      </c>
    </row>
    <row r="28" customFormat="false" ht="15" hidden="false" customHeight="false" outlineLevel="0" collapsed="false">
      <c r="A28" s="154" t="n">
        <v>40819</v>
      </c>
      <c r="B28" s="155" t="s">
        <v>1433</v>
      </c>
      <c r="C28" s="148" t="str">
        <f aca="false">VLOOKUP($A28,INSUMOS_AUX!$A$3:$H$813,3,0)</f>
        <v>M.O.</v>
      </c>
      <c r="D28" s="156" t="s">
        <v>1416</v>
      </c>
      <c r="E28" s="154" t="n">
        <v>1.01597</v>
      </c>
      <c r="F28" s="149" t="n">
        <f aca="false">IF(C28="MAT.",VLOOKUP(A28,INSUMOS_AUX!$A$3:$H$813,6,0),0)</f>
        <v>0</v>
      </c>
      <c r="G28" s="149" t="n">
        <f aca="false">IF(C28="M.O.",VLOOKUP(A28,INSUMOS_AUX!A:F,6,0),0)</f>
        <v>6888.54</v>
      </c>
    </row>
    <row r="29" customFormat="false" ht="15" hidden="false" customHeight="false" outlineLevel="0" collapsed="false">
      <c r="A29" s="150" t="s">
        <v>64</v>
      </c>
      <c r="B29" s="151" t="s">
        <v>1434</v>
      </c>
      <c r="C29" s="152" t="s">
        <v>59</v>
      </c>
      <c r="D29" s="152" t="s">
        <v>1435</v>
      </c>
      <c r="E29" s="150"/>
      <c r="F29" s="153" t="n">
        <f aca="false">(SUMPRODUCT($E30:$E37,F30:F37))*1</f>
        <v>1399.71</v>
      </c>
      <c r="G29" s="153" t="n">
        <f aca="false">(SUMPRODUCT($E30:$E37,G30:G37))*1</f>
        <v>3405.65113205</v>
      </c>
    </row>
    <row r="30" customFormat="false" ht="21" hidden="false" customHeight="false" outlineLevel="0" collapsed="false">
      <c r="A30" s="154" t="n">
        <v>40862</v>
      </c>
      <c r="B30" s="155" t="s">
        <v>1436</v>
      </c>
      <c r="C30" s="148" t="str">
        <f aca="false">VLOOKUP($A30,INSUMOS_AUX!$A$3:$H$813,3,0)</f>
        <v>MAT.</v>
      </c>
      <c r="D30" s="156" t="s">
        <v>1416</v>
      </c>
      <c r="E30" s="154" t="n">
        <v>1</v>
      </c>
      <c r="F30" s="149" t="n">
        <f aca="false">IF(C30="MAT.",VLOOKUP(A30,INSUMOS_AUX!$A$3:$H$813,6,0),0)</f>
        <v>625.14</v>
      </c>
      <c r="G30" s="149" t="n">
        <f aca="false">IF(C30="M.O.",VLOOKUP(A30,INSUMOS_AUX!A:F,6,0),0)</f>
        <v>0</v>
      </c>
    </row>
    <row r="31" customFormat="false" ht="21" hidden="false" customHeight="false" outlineLevel="0" collapsed="false">
      <c r="A31" s="154" t="n">
        <v>43503</v>
      </c>
      <c r="B31" s="155" t="s">
        <v>1437</v>
      </c>
      <c r="C31" s="148" t="str">
        <f aca="false">VLOOKUP($A31,INSUMOS_AUX!$A$3:$H$813,3,0)</f>
        <v>MAT.</v>
      </c>
      <c r="D31" s="156" t="s">
        <v>1416</v>
      </c>
      <c r="E31" s="154" t="n">
        <v>1</v>
      </c>
      <c r="F31" s="149" t="n">
        <f aca="false">IF(C31="MAT.",VLOOKUP(A31,INSUMOS_AUX!$A$3:$H$813,6,0),0)</f>
        <v>261.93</v>
      </c>
      <c r="G31" s="149" t="n">
        <f aca="false">IF(C31="M.O.",VLOOKUP(A31,INSUMOS_AUX!A:F,6,0),0)</f>
        <v>0</v>
      </c>
    </row>
    <row r="32" customFormat="false" ht="21" hidden="false" customHeight="false" outlineLevel="0" collapsed="false">
      <c r="A32" s="154" t="n">
        <v>40863</v>
      </c>
      <c r="B32" s="155" t="s">
        <v>1418</v>
      </c>
      <c r="C32" s="148" t="str">
        <f aca="false">VLOOKUP($A32,INSUMOS_AUX!$A$3:$H$813,3,0)</f>
        <v>MAT.</v>
      </c>
      <c r="D32" s="156" t="s">
        <v>1416</v>
      </c>
      <c r="E32" s="154" t="n">
        <v>1</v>
      </c>
      <c r="F32" s="149" t="n">
        <f aca="false">IF(C32="MAT.",VLOOKUP(A32,INSUMOS_AUX!$A$3:$H$813,6,0),0)</f>
        <v>270.51</v>
      </c>
      <c r="G32" s="149" t="n">
        <f aca="false">IF(C32="M.O.",VLOOKUP(A32,INSUMOS_AUX!A:F,6,0),0)</f>
        <v>0</v>
      </c>
    </row>
    <row r="33" customFormat="false" ht="21" hidden="false" customHeight="false" outlineLevel="0" collapsed="false">
      <c r="A33" s="154" t="n">
        <v>43479</v>
      </c>
      <c r="B33" s="155" t="s">
        <v>1438</v>
      </c>
      <c r="C33" s="148" t="str">
        <f aca="false">VLOOKUP($A33,INSUMOS_AUX!$A$3:$H$813,3,0)</f>
        <v>MAT.</v>
      </c>
      <c r="D33" s="156" t="s">
        <v>1416</v>
      </c>
      <c r="E33" s="154" t="n">
        <v>1</v>
      </c>
      <c r="F33" s="149" t="n">
        <f aca="false">IF(C33="MAT.",VLOOKUP(A33,INSUMOS_AUX!$A$3:$H$813,6,0),0)</f>
        <v>114.77</v>
      </c>
      <c r="G33" s="149" t="n">
        <f aca="false">IF(C33="M.O.",VLOOKUP(A33,INSUMOS_AUX!A:F,6,0),0)</f>
        <v>0</v>
      </c>
    </row>
    <row r="34" customFormat="false" ht="21" hidden="false" customHeight="false" outlineLevel="0" collapsed="false">
      <c r="A34" s="154" t="n">
        <v>40864</v>
      </c>
      <c r="B34" s="155" t="s">
        <v>1420</v>
      </c>
      <c r="C34" s="148" t="str">
        <f aca="false">VLOOKUP($A34,INSUMOS_AUX!$A$3:$H$813,3,0)</f>
        <v>MAT.</v>
      </c>
      <c r="D34" s="156" t="s">
        <v>1416</v>
      </c>
      <c r="E34" s="154" t="n">
        <v>1</v>
      </c>
      <c r="F34" s="149" t="n">
        <f aca="false">IF(C34="MAT.",VLOOKUP(A34,INSUMOS_AUX!$A$3:$H$813,6,0),0)</f>
        <v>15.46</v>
      </c>
      <c r="G34" s="149" t="n">
        <f aca="false">IF(C34="M.O.",VLOOKUP(A34,INSUMOS_AUX!A:F,6,0),0)</f>
        <v>0</v>
      </c>
    </row>
    <row r="35" customFormat="false" ht="21" hidden="false" customHeight="false" outlineLevel="0" collapsed="false">
      <c r="A35" s="154" t="n">
        <v>40861</v>
      </c>
      <c r="B35" s="155" t="s">
        <v>1439</v>
      </c>
      <c r="C35" s="148" t="str">
        <f aca="false">VLOOKUP($A35,INSUMOS_AUX!$A$3:$H$813,3,0)</f>
        <v>MAT.</v>
      </c>
      <c r="D35" s="156" t="s">
        <v>1416</v>
      </c>
      <c r="E35" s="154" t="n">
        <v>1</v>
      </c>
      <c r="F35" s="149" t="n">
        <f aca="false">IF(C35="MAT.",VLOOKUP(A35,INSUMOS_AUX!$A$3:$H$813,6,0),0)</f>
        <v>111.9</v>
      </c>
      <c r="G35" s="149" t="n">
        <f aca="false">IF(C35="M.O.",VLOOKUP(A35,INSUMOS_AUX!A:F,6,0),0)</f>
        <v>0</v>
      </c>
    </row>
    <row r="36" customFormat="false" ht="15" hidden="false" customHeight="false" outlineLevel="0" collapsed="false">
      <c r="A36" s="154" t="n">
        <v>41096</v>
      </c>
      <c r="B36" s="155" t="s">
        <v>1440</v>
      </c>
      <c r="C36" s="148" t="str">
        <f aca="false">VLOOKUP($A36,INSUMOS_AUX!$A$3:$H$813,3,0)</f>
        <v>M.O.</v>
      </c>
      <c r="D36" s="156" t="s">
        <v>1416</v>
      </c>
      <c r="E36" s="154" t="n">
        <v>1.3716</v>
      </c>
      <c r="F36" s="149" t="n">
        <f aca="false">IF(C36="MAT.",VLOOKUP(A36,INSUMOS_AUX!$A$3:$H$813,6,0),0)</f>
        <v>0</v>
      </c>
      <c r="G36" s="149" t="n">
        <f aca="false">IF(C36="M.O.",VLOOKUP(A36,INSUMOS_AUX!A:F,6,0),0)</f>
        <v>2473.48</v>
      </c>
    </row>
    <row r="37" customFormat="false" ht="15" hidden="false" customHeight="false" outlineLevel="0" collapsed="false">
      <c r="A37" s="154" t="n">
        <v>41096</v>
      </c>
      <c r="B37" s="155" t="s">
        <v>1440</v>
      </c>
      <c r="C37" s="148" t="str">
        <f aca="false">VLOOKUP($A37,INSUMOS_AUX!$A$3:$H$813,3,0)</f>
        <v>M.O.</v>
      </c>
      <c r="D37" s="156" t="s">
        <v>1416</v>
      </c>
      <c r="E37" s="154" t="n">
        <v>0.00526625</v>
      </c>
      <c r="F37" s="149" t="n">
        <f aca="false">IF(C37="MAT.",VLOOKUP(A37,INSUMOS_AUX!$A$3:$H$813,6,0),0)</f>
        <v>0</v>
      </c>
      <c r="G37" s="149" t="n">
        <f aca="false">IF(C37="M.O.",VLOOKUP(A37,INSUMOS_AUX!A:F,6,0),0)</f>
        <v>2473.48</v>
      </c>
    </row>
    <row r="38" customFormat="false" ht="21" hidden="false" customHeight="false" outlineLevel="0" collapsed="false">
      <c r="A38" s="150" t="n">
        <v>97625</v>
      </c>
      <c r="B38" s="151" t="s">
        <v>1441</v>
      </c>
      <c r="C38" s="152" t="s">
        <v>59</v>
      </c>
      <c r="D38" s="152" t="s">
        <v>1442</v>
      </c>
      <c r="E38" s="150"/>
      <c r="F38" s="153" t="n">
        <f aca="false">(SUMPRODUCT($E39:$E47,F39:F47))*1</f>
        <v>31.4327188</v>
      </c>
      <c r="G38" s="153" t="n">
        <f aca="false">(SUMPRODUCT($E39:$E47,G39:G47))*1</f>
        <v>4.95023341316</v>
      </c>
    </row>
    <row r="39" customFormat="false" ht="21" hidden="false" customHeight="false" outlineLevel="0" collapsed="false">
      <c r="A39" s="154" t="n">
        <v>37370</v>
      </c>
      <c r="B39" s="155" t="s">
        <v>1443</v>
      </c>
      <c r="C39" s="148" t="str">
        <f aca="false">VLOOKUP($A39,INSUMOS_AUX!$A$3:$H$813,3,0)</f>
        <v>MAT.</v>
      </c>
      <c r="D39" s="156" t="s">
        <v>1444</v>
      </c>
      <c r="E39" s="154" t="n">
        <v>0.3794</v>
      </c>
      <c r="F39" s="149" t="n">
        <f aca="false">IF(C39="MAT.",VLOOKUP(A39,INSUMOS_AUX!$A$3:$H$813,6,0),0)</f>
        <v>3.32</v>
      </c>
      <c r="G39" s="149" t="n">
        <f aca="false">IF(C39="M.O.",VLOOKUP(A39,INSUMOS_AUX!A:F,6,0),0)</f>
        <v>0</v>
      </c>
    </row>
    <row r="40" customFormat="false" ht="21" hidden="false" customHeight="false" outlineLevel="0" collapsed="false">
      <c r="A40" s="154" t="n">
        <v>43488</v>
      </c>
      <c r="B40" s="155" t="s">
        <v>1445</v>
      </c>
      <c r="C40" s="148" t="str">
        <f aca="false">VLOOKUP($A40,INSUMOS_AUX!$A$3:$H$813,3,0)</f>
        <v>MAT.</v>
      </c>
      <c r="D40" s="156" t="s">
        <v>1444</v>
      </c>
      <c r="E40" s="154" t="n">
        <v>0.3794</v>
      </c>
      <c r="F40" s="149" t="n">
        <f aca="false">IF(C40="MAT.",VLOOKUP(A40,INSUMOS_AUX!$A$3:$H$813,6,0),0)</f>
        <v>0.89</v>
      </c>
      <c r="G40" s="149" t="n">
        <f aca="false">IF(C40="M.O.",VLOOKUP(A40,INSUMOS_AUX!A:F,6,0),0)</f>
        <v>0</v>
      </c>
    </row>
    <row r="41" customFormat="false" ht="21" hidden="false" customHeight="false" outlineLevel="0" collapsed="false">
      <c r="A41" s="154" t="n">
        <v>37372</v>
      </c>
      <c r="B41" s="155" t="s">
        <v>1446</v>
      </c>
      <c r="C41" s="148" t="str">
        <f aca="false">VLOOKUP($A41,INSUMOS_AUX!$A$3:$H$813,3,0)</f>
        <v>MAT.</v>
      </c>
      <c r="D41" s="156" t="s">
        <v>1444</v>
      </c>
      <c r="E41" s="154" t="n">
        <v>0.3794</v>
      </c>
      <c r="F41" s="149" t="n">
        <f aca="false">IF(C41="MAT.",VLOOKUP(A41,INSUMOS_AUX!$A$3:$H$813,6,0),0)</f>
        <v>1.43</v>
      </c>
      <c r="G41" s="149" t="n">
        <f aca="false">IF(C41="M.O.",VLOOKUP(A41,INSUMOS_AUX!A:F,6,0),0)</f>
        <v>0</v>
      </c>
    </row>
    <row r="42" customFormat="false" ht="21" hidden="false" customHeight="false" outlineLevel="0" collapsed="false">
      <c r="A42" s="154" t="n">
        <v>43464</v>
      </c>
      <c r="B42" s="155" t="s">
        <v>1447</v>
      </c>
      <c r="C42" s="148" t="str">
        <f aca="false">VLOOKUP($A42,INSUMOS_AUX!$A$3:$H$813,3,0)</f>
        <v>MAT.</v>
      </c>
      <c r="D42" s="156" t="s">
        <v>1444</v>
      </c>
      <c r="E42" s="154" t="n">
        <v>0.3794</v>
      </c>
      <c r="F42" s="149" t="n">
        <f aca="false">IF(C42="MAT.",VLOOKUP(A42,INSUMOS_AUX!$A$3:$H$813,6,0),0)</f>
        <v>0.01</v>
      </c>
      <c r="G42" s="149" t="n">
        <f aca="false">IF(C42="M.O.",VLOOKUP(A42,INSUMOS_AUX!A:F,6,0),0)</f>
        <v>0</v>
      </c>
    </row>
    <row r="43" customFormat="false" ht="21" hidden="false" customHeight="false" outlineLevel="0" collapsed="false">
      <c r="A43" s="154" t="n">
        <v>37373</v>
      </c>
      <c r="B43" s="155" t="s">
        <v>1448</v>
      </c>
      <c r="C43" s="148" t="str">
        <f aca="false">VLOOKUP($A43,INSUMOS_AUX!$A$3:$H$813,3,0)</f>
        <v>MAT.</v>
      </c>
      <c r="D43" s="156" t="s">
        <v>1444</v>
      </c>
      <c r="E43" s="154" t="n">
        <v>0.3794</v>
      </c>
      <c r="F43" s="149" t="n">
        <f aca="false">IF(C43="MAT.",VLOOKUP(A43,INSUMOS_AUX!$A$3:$H$813,6,0),0)</f>
        <v>0.08</v>
      </c>
      <c r="G43" s="149" t="n">
        <f aca="false">IF(C43="M.O.",VLOOKUP(A43,INSUMOS_AUX!A:F,6,0),0)</f>
        <v>0</v>
      </c>
    </row>
    <row r="44" customFormat="false" ht="21" hidden="false" customHeight="false" outlineLevel="0" collapsed="false">
      <c r="A44" s="154" t="n">
        <v>37371</v>
      </c>
      <c r="B44" s="155" t="s">
        <v>1449</v>
      </c>
      <c r="C44" s="148" t="str">
        <f aca="false">VLOOKUP($A44,INSUMOS_AUX!$A$3:$H$813,3,0)</f>
        <v>MAT.</v>
      </c>
      <c r="D44" s="156" t="s">
        <v>1444</v>
      </c>
      <c r="E44" s="154" t="n">
        <v>0.3794</v>
      </c>
      <c r="F44" s="149" t="n">
        <f aca="false">IF(C44="MAT.",VLOOKUP(A44,INSUMOS_AUX!$A$3:$H$813,6,0),0)</f>
        <v>0.59</v>
      </c>
      <c r="G44" s="149" t="n">
        <f aca="false">IF(C44="M.O.",VLOOKUP(A44,INSUMOS_AUX!A:F,6,0),0)</f>
        <v>0</v>
      </c>
    </row>
    <row r="45" customFormat="false" ht="31.5" hidden="false" customHeight="false" outlineLevel="0" collapsed="false">
      <c r="A45" s="154" t="n">
        <v>4262</v>
      </c>
      <c r="B45" s="155" t="s">
        <v>1450</v>
      </c>
      <c r="C45" s="148" t="str">
        <f aca="false">VLOOKUP($A45,INSUMOS_AUX!$A$3:$H$813,3,0)</f>
        <v>MAT.</v>
      </c>
      <c r="D45" s="156" t="s">
        <v>31</v>
      </c>
      <c r="E45" s="154" t="n">
        <v>4.366152E-005</v>
      </c>
      <c r="F45" s="149" t="n">
        <f aca="false">IF(C45="MAT.",VLOOKUP(A45,INSUMOS_AUX!$A$3:$H$813,6,0),0)</f>
        <v>665000</v>
      </c>
      <c r="G45" s="149" t="n">
        <f aca="false">IF(C45="M.O.",VLOOKUP(A45,INSUMOS_AUX!A:F,6,0),0)</f>
        <v>0</v>
      </c>
    </row>
    <row r="46" customFormat="false" ht="15" hidden="false" customHeight="false" outlineLevel="0" collapsed="false">
      <c r="A46" s="154" t="n">
        <v>4221</v>
      </c>
      <c r="B46" s="155" t="s">
        <v>1451</v>
      </c>
      <c r="C46" s="148" t="s">
        <v>59</v>
      </c>
      <c r="D46" s="156" t="s">
        <v>1452</v>
      </c>
      <c r="E46" s="154" t="n">
        <v>1.8336</v>
      </c>
      <c r="F46" s="149" t="n">
        <f aca="false">IF(C46="MAT.",VLOOKUP(A46,INSUMOS_AUX!$A$3:$H$813,6,0),0)</f>
        <v>0</v>
      </c>
      <c r="G46" s="149" t="n">
        <f aca="false">IF(C46="M.O.",VLOOKUP(A46,INSUMOS_AUX!A:F,6,0),0)</f>
        <v>0</v>
      </c>
    </row>
    <row r="47" customFormat="false" ht="15" hidden="false" customHeight="false" outlineLevel="0" collapsed="false">
      <c r="A47" s="154" t="n">
        <v>4248</v>
      </c>
      <c r="B47" s="155" t="s">
        <v>1453</v>
      </c>
      <c r="C47" s="148" t="str">
        <f aca="false">VLOOKUP($A47,INSUMOS_AUX!$A$3:$H$813,3,0)</f>
        <v>M.O.</v>
      </c>
      <c r="D47" s="156" t="s">
        <v>1444</v>
      </c>
      <c r="E47" s="154" t="n">
        <v>0.382552814</v>
      </c>
      <c r="F47" s="149" t="n">
        <f aca="false">IF(C47="MAT.",VLOOKUP(A47,INSUMOS_AUX!$A$3:$H$813,6,0),0)</f>
        <v>0</v>
      </c>
      <c r="G47" s="149" t="n">
        <f aca="false">IF(C47="M.O.",VLOOKUP(A47,INSUMOS_AUX!A:F,6,0),0)</f>
        <v>12.94</v>
      </c>
    </row>
    <row r="48" customFormat="false" ht="21" hidden="false" customHeight="false" outlineLevel="0" collapsed="false">
      <c r="A48" s="150" t="n">
        <v>104796</v>
      </c>
      <c r="B48" s="151" t="s">
        <v>1454</v>
      </c>
      <c r="C48" s="152" t="s">
        <v>59</v>
      </c>
      <c r="D48" s="152" t="s">
        <v>1455</v>
      </c>
      <c r="E48" s="150"/>
      <c r="F48" s="153" t="n">
        <f aca="false">(SUMPRODUCT($E49:$E64,F49:F64))*1</f>
        <v>6.82935310486</v>
      </c>
      <c r="G48" s="153" t="n">
        <f aca="false">(SUMPRODUCT($E49:$E64,G49:G64))*1</f>
        <v>7.0145469211</v>
      </c>
    </row>
    <row r="49" customFormat="false" ht="21" hidden="false" customHeight="false" outlineLevel="0" collapsed="false">
      <c r="A49" s="154" t="n">
        <v>37370</v>
      </c>
      <c r="B49" s="155" t="s">
        <v>1443</v>
      </c>
      <c r="C49" s="148" t="str">
        <f aca="false">VLOOKUP($A49,INSUMOS_AUX!$A$3:$H$813,3,0)</f>
        <v>MAT.</v>
      </c>
      <c r="D49" s="156" t="s">
        <v>1444</v>
      </c>
      <c r="E49" s="154" t="n">
        <v>0.4081</v>
      </c>
      <c r="F49" s="149" t="n">
        <f aca="false">IF(C49="MAT.",VLOOKUP(A49,INSUMOS_AUX!$A$3:$H$813,6,0),0)</f>
        <v>3.32</v>
      </c>
      <c r="G49" s="149" t="n">
        <f aca="false">IF(C49="M.O.",VLOOKUP(A49,INSUMOS_AUX!A:F,6,0),0)</f>
        <v>0</v>
      </c>
    </row>
    <row r="50" customFormat="false" ht="21" hidden="false" customHeight="false" outlineLevel="0" collapsed="false">
      <c r="A50" s="154" t="n">
        <v>43488</v>
      </c>
      <c r="B50" s="155" t="s">
        <v>1445</v>
      </c>
      <c r="C50" s="148" t="str">
        <f aca="false">VLOOKUP($A50,INSUMOS_AUX!$A$3:$H$813,3,0)</f>
        <v>MAT.</v>
      </c>
      <c r="D50" s="156" t="s">
        <v>1444</v>
      </c>
      <c r="E50" s="154" t="n">
        <v>0.155</v>
      </c>
      <c r="F50" s="149" t="n">
        <f aca="false">IF(C50="MAT.",VLOOKUP(A50,INSUMOS_AUX!$A$3:$H$813,6,0),0)</f>
        <v>0.89</v>
      </c>
      <c r="G50" s="149" t="n">
        <f aca="false">IF(C50="M.O.",VLOOKUP(A50,INSUMOS_AUX!A:F,6,0),0)</f>
        <v>0</v>
      </c>
    </row>
    <row r="51" customFormat="false" ht="21" hidden="false" customHeight="false" outlineLevel="0" collapsed="false">
      <c r="A51" s="154" t="n">
        <v>43489</v>
      </c>
      <c r="B51" s="155" t="s">
        <v>1456</v>
      </c>
      <c r="C51" s="148" t="str">
        <f aca="false">VLOOKUP($A51,INSUMOS_AUX!$A$3:$H$813,3,0)</f>
        <v>MAT.</v>
      </c>
      <c r="D51" s="156" t="s">
        <v>1444</v>
      </c>
      <c r="E51" s="154" t="n">
        <v>0.1759</v>
      </c>
      <c r="F51" s="149" t="n">
        <f aca="false">IF(C51="MAT.",VLOOKUP(A51,INSUMOS_AUX!$A$3:$H$813,6,0),0)</f>
        <v>1.31</v>
      </c>
      <c r="G51" s="149" t="n">
        <f aca="false">IF(C51="M.O.",VLOOKUP(A51,INSUMOS_AUX!A:F,6,0),0)</f>
        <v>0</v>
      </c>
    </row>
    <row r="52" customFormat="false" ht="21" hidden="false" customHeight="false" outlineLevel="0" collapsed="false">
      <c r="A52" s="154" t="n">
        <v>43491</v>
      </c>
      <c r="B52" s="155" t="s">
        <v>1457</v>
      </c>
      <c r="C52" s="148" t="str">
        <f aca="false">VLOOKUP($A52,INSUMOS_AUX!$A$3:$H$813,3,0)</f>
        <v>MAT.</v>
      </c>
      <c r="D52" s="156" t="s">
        <v>1444</v>
      </c>
      <c r="E52" s="154" t="n">
        <v>0.0772</v>
      </c>
      <c r="F52" s="149" t="n">
        <f aca="false">IF(C52="MAT.",VLOOKUP(A52,INSUMOS_AUX!$A$3:$H$813,6,0),0)</f>
        <v>1.39</v>
      </c>
      <c r="G52" s="149" t="n">
        <f aca="false">IF(C52="M.O.",VLOOKUP(A52,INSUMOS_AUX!A:F,6,0),0)</f>
        <v>0</v>
      </c>
    </row>
    <row r="53" customFormat="false" ht="21" hidden="false" customHeight="false" outlineLevel="0" collapsed="false">
      <c r="A53" s="154" t="n">
        <v>37372</v>
      </c>
      <c r="B53" s="155" t="s">
        <v>1446</v>
      </c>
      <c r="C53" s="148" t="str">
        <f aca="false">VLOOKUP($A53,INSUMOS_AUX!$A$3:$H$813,3,0)</f>
        <v>MAT.</v>
      </c>
      <c r="D53" s="156" t="s">
        <v>1444</v>
      </c>
      <c r="E53" s="154" t="n">
        <v>0.4081</v>
      </c>
      <c r="F53" s="149" t="n">
        <f aca="false">IF(C53="MAT.",VLOOKUP(A53,INSUMOS_AUX!$A$3:$H$813,6,0),0)</f>
        <v>1.43</v>
      </c>
      <c r="G53" s="149" t="n">
        <f aca="false">IF(C53="M.O.",VLOOKUP(A53,INSUMOS_AUX!A:F,6,0),0)</f>
        <v>0</v>
      </c>
    </row>
    <row r="54" customFormat="false" ht="21" hidden="false" customHeight="false" outlineLevel="0" collapsed="false">
      <c r="A54" s="154" t="n">
        <v>43464</v>
      </c>
      <c r="B54" s="155" t="s">
        <v>1447</v>
      </c>
      <c r="C54" s="148" t="str">
        <f aca="false">VLOOKUP($A54,INSUMOS_AUX!$A$3:$H$813,3,0)</f>
        <v>MAT.</v>
      </c>
      <c r="D54" s="156" t="s">
        <v>1444</v>
      </c>
      <c r="E54" s="154" t="n">
        <v>0.155</v>
      </c>
      <c r="F54" s="149" t="n">
        <f aca="false">IF(C54="MAT.",VLOOKUP(A54,INSUMOS_AUX!$A$3:$H$813,6,0),0)</f>
        <v>0.01</v>
      </c>
      <c r="G54" s="149" t="n">
        <f aca="false">IF(C54="M.O.",VLOOKUP(A54,INSUMOS_AUX!A:F,6,0),0)</f>
        <v>0</v>
      </c>
    </row>
    <row r="55" customFormat="false" ht="21" hidden="false" customHeight="false" outlineLevel="0" collapsed="false">
      <c r="A55" s="154" t="n">
        <v>43465</v>
      </c>
      <c r="B55" s="155" t="s">
        <v>1458</v>
      </c>
      <c r="C55" s="148" t="str">
        <f aca="false">VLOOKUP($A55,INSUMOS_AUX!$A$3:$H$813,3,0)</f>
        <v>MAT.</v>
      </c>
      <c r="D55" s="156" t="s">
        <v>1444</v>
      </c>
      <c r="E55" s="154" t="n">
        <v>0.1759</v>
      </c>
      <c r="F55" s="149" t="n">
        <f aca="false">IF(C55="MAT.",VLOOKUP(A55,INSUMOS_AUX!$A$3:$H$813,6,0),0)</f>
        <v>0.78</v>
      </c>
      <c r="G55" s="149" t="n">
        <f aca="false">IF(C55="M.O.",VLOOKUP(A55,INSUMOS_AUX!A:F,6,0),0)</f>
        <v>0</v>
      </c>
    </row>
    <row r="56" customFormat="false" ht="21" hidden="false" customHeight="false" outlineLevel="0" collapsed="false">
      <c r="A56" s="154" t="n">
        <v>43467</v>
      </c>
      <c r="B56" s="155" t="s">
        <v>1459</v>
      </c>
      <c r="C56" s="148" t="s">
        <v>59</v>
      </c>
      <c r="D56" s="156" t="s">
        <v>1444</v>
      </c>
      <c r="E56" s="154" t="n">
        <v>0.0772</v>
      </c>
      <c r="F56" s="149" t="n">
        <f aca="false">IF(C56="MAT.",VLOOKUP(A56,INSUMOS_AUX!$A$3:$H$813,6,0),0)</f>
        <v>0</v>
      </c>
      <c r="G56" s="149" t="n">
        <f aca="false">IF(C56="M.O.",VLOOKUP(A56,INSUMOS_AUX!A:F,6,0),0)</f>
        <v>0</v>
      </c>
    </row>
    <row r="57" customFormat="false" ht="21" hidden="false" customHeight="false" outlineLevel="0" collapsed="false">
      <c r="A57" s="154" t="n">
        <v>37373</v>
      </c>
      <c r="B57" s="155" t="s">
        <v>1448</v>
      </c>
      <c r="C57" s="148" t="str">
        <f aca="false">VLOOKUP($A57,INSUMOS_AUX!$A$3:$H$813,3,0)</f>
        <v>MAT.</v>
      </c>
      <c r="D57" s="156" t="s">
        <v>1444</v>
      </c>
      <c r="E57" s="154" t="n">
        <v>0.4081</v>
      </c>
      <c r="F57" s="149" t="n">
        <f aca="false">IF(C57="MAT.",VLOOKUP(A57,INSUMOS_AUX!$A$3:$H$813,6,0),0)</f>
        <v>0.08</v>
      </c>
      <c r="G57" s="149" t="n">
        <f aca="false">IF(C57="M.O.",VLOOKUP(A57,INSUMOS_AUX!A:F,6,0),0)</f>
        <v>0</v>
      </c>
    </row>
    <row r="58" customFormat="false" ht="21" hidden="false" customHeight="false" outlineLevel="0" collapsed="false">
      <c r="A58" s="154" t="n">
        <v>37371</v>
      </c>
      <c r="B58" s="155" t="s">
        <v>1449</v>
      </c>
      <c r="C58" s="148" t="str">
        <f aca="false">VLOOKUP($A58,INSUMOS_AUX!$A$3:$H$813,3,0)</f>
        <v>MAT.</v>
      </c>
      <c r="D58" s="156" t="s">
        <v>1444</v>
      </c>
      <c r="E58" s="154" t="n">
        <v>0.4081</v>
      </c>
      <c r="F58" s="149" t="n">
        <f aca="false">IF(C58="MAT.",VLOOKUP(A58,INSUMOS_AUX!$A$3:$H$813,6,0),0)</f>
        <v>0.59</v>
      </c>
      <c r="G58" s="149" t="n">
        <f aca="false">IF(C58="M.O.",VLOOKUP(A58,INSUMOS_AUX!A:F,6,0),0)</f>
        <v>0</v>
      </c>
    </row>
    <row r="59" customFormat="false" ht="21" hidden="false" customHeight="false" outlineLevel="0" collapsed="false">
      <c r="A59" s="154" t="n">
        <v>13803</v>
      </c>
      <c r="B59" s="155" t="s">
        <v>1460</v>
      </c>
      <c r="C59" s="148" t="str">
        <f aca="false">VLOOKUP($A59,INSUMOS_AUX!$A$3:$H$813,3,0)</f>
        <v>MAT.</v>
      </c>
      <c r="D59" s="156" t="s">
        <v>31</v>
      </c>
      <c r="E59" s="154" t="n">
        <v>1.633426E-005</v>
      </c>
      <c r="F59" s="149" t="n">
        <f aca="false">IF(C59="MAT.",VLOOKUP(A59,INSUMOS_AUX!$A$3:$H$813,6,0),0)</f>
        <v>131655</v>
      </c>
      <c r="G59" s="149" t="n">
        <f aca="false">IF(C59="M.O.",VLOOKUP(A59,INSUMOS_AUX!A:F,6,0),0)</f>
        <v>0</v>
      </c>
    </row>
    <row r="60" customFormat="false" ht="21" hidden="false" customHeight="false" outlineLevel="0" collapsed="false">
      <c r="A60" s="154" t="n">
        <v>41898</v>
      </c>
      <c r="B60" s="155" t="s">
        <v>1461</v>
      </c>
      <c r="C60" s="148" t="str">
        <f aca="false">VLOOKUP($A60,INSUMOS_AUX!$A$3:$H$813,3,0)</f>
        <v>MAT.</v>
      </c>
      <c r="D60" s="156" t="s">
        <v>31</v>
      </c>
      <c r="E60" s="154" t="n">
        <v>1.9238E-005</v>
      </c>
      <c r="F60" s="149" t="n">
        <f aca="false">IF(C60="MAT.",VLOOKUP(A60,INSUMOS_AUX!$A$3:$H$813,6,0),0)</f>
        <v>24642.12</v>
      </c>
      <c r="G60" s="149" t="n">
        <f aca="false">IF(C60="M.O.",VLOOKUP(A60,INSUMOS_AUX!A:F,6,0),0)</f>
        <v>0</v>
      </c>
    </row>
    <row r="61" customFormat="false" ht="15" hidden="false" customHeight="false" outlineLevel="0" collapsed="false">
      <c r="A61" s="154" t="n">
        <v>4221</v>
      </c>
      <c r="B61" s="155" t="s">
        <v>1451</v>
      </c>
      <c r="C61" s="148" t="str">
        <f aca="false">VLOOKUP($A61,INSUMOS_AUX!$A$3:$H$813,3,0)</f>
        <v>MAT.</v>
      </c>
      <c r="D61" s="156" t="s">
        <v>1452</v>
      </c>
      <c r="E61" s="154" t="n">
        <v>0.2195</v>
      </c>
      <c r="F61" s="149" t="n">
        <f aca="false">IF(C61="MAT.",VLOOKUP(A61,INSUMOS_AUX!$A$3:$H$813,6,0),0)</f>
        <v>6.28</v>
      </c>
      <c r="G61" s="149" t="n">
        <f aca="false">IF(C61="M.O.",VLOOKUP(A61,INSUMOS_AUX!A:F,6,0),0)</f>
        <v>0</v>
      </c>
    </row>
    <row r="62" customFormat="false" ht="15" hidden="false" customHeight="false" outlineLevel="0" collapsed="false">
      <c r="A62" s="154" t="n">
        <v>4257</v>
      </c>
      <c r="B62" s="155" t="s">
        <v>1462</v>
      </c>
      <c r="C62" s="148" t="str">
        <f aca="false">VLOOKUP($A62,INSUMOS_AUX!$A$3:$H$813,3,0)</f>
        <v>M.O.</v>
      </c>
      <c r="D62" s="156" t="s">
        <v>1444</v>
      </c>
      <c r="E62" s="154" t="n">
        <v>0.15628805</v>
      </c>
      <c r="F62" s="149" t="n">
        <f aca="false">IF(C62="MAT.",VLOOKUP(A62,INSUMOS_AUX!$A$3:$H$813,6,0),0)</f>
        <v>0</v>
      </c>
      <c r="G62" s="149" t="n">
        <f aca="false">IF(C62="M.O.",VLOOKUP(A62,INSUMOS_AUX!A:F,6,0),0)</f>
        <v>15.11</v>
      </c>
    </row>
    <row r="63" customFormat="false" ht="15" hidden="false" customHeight="false" outlineLevel="0" collapsed="false">
      <c r="A63" s="154" t="n">
        <v>4750</v>
      </c>
      <c r="B63" s="155" t="s">
        <v>1463</v>
      </c>
      <c r="C63" s="148" t="str">
        <f aca="false">VLOOKUP($A63,INSUMOS_AUX!$A$3:$H$813,3,0)</f>
        <v>M.O.</v>
      </c>
      <c r="D63" s="156" t="s">
        <v>1444</v>
      </c>
      <c r="E63" s="154" t="n">
        <v>0.17962908</v>
      </c>
      <c r="F63" s="149" t="n">
        <f aca="false">IF(C63="MAT.",VLOOKUP(A63,INSUMOS_AUX!$A$3:$H$813,6,0),0)</f>
        <v>0</v>
      </c>
      <c r="G63" s="149" t="n">
        <f aca="false">IF(C63="M.O.",VLOOKUP(A63,INSUMOS_AUX!A:F,6,0),0)</f>
        <v>20.22</v>
      </c>
    </row>
    <row r="64" customFormat="false" ht="15" hidden="false" customHeight="false" outlineLevel="0" collapsed="false">
      <c r="A64" s="154" t="n">
        <v>6111</v>
      </c>
      <c r="B64" s="155" t="s">
        <v>1464</v>
      </c>
      <c r="C64" s="148" t="str">
        <f aca="false">VLOOKUP($A64,INSUMOS_AUX!$A$3:$H$813,3,0)</f>
        <v>M.O.</v>
      </c>
      <c r="D64" s="156" t="s">
        <v>1444</v>
      </c>
      <c r="E64" s="154" t="n">
        <v>0.07883664</v>
      </c>
      <c r="F64" s="149" t="n">
        <f aca="false">IF(C64="MAT.",VLOOKUP(A64,INSUMOS_AUX!$A$3:$H$813,6,0),0)</f>
        <v>0</v>
      </c>
      <c r="G64" s="149" t="n">
        <f aca="false">IF(C64="M.O.",VLOOKUP(A64,INSUMOS_AUX!A:F,6,0),0)</f>
        <v>12.95</v>
      </c>
    </row>
    <row r="65" customFormat="false" ht="21" hidden="false" customHeight="false" outlineLevel="0" collapsed="false">
      <c r="A65" s="150" t="n">
        <v>97629</v>
      </c>
      <c r="B65" s="151" t="s">
        <v>1465</v>
      </c>
      <c r="C65" s="152" t="s">
        <v>59</v>
      </c>
      <c r="D65" s="152" t="s">
        <v>1442</v>
      </c>
      <c r="E65" s="150"/>
      <c r="F65" s="153" t="n">
        <f aca="false">(SUMPRODUCT($E66:$E80,F66:F80))*1</f>
        <v>27.59206742432</v>
      </c>
      <c r="G65" s="153" t="n">
        <f aca="false">(SUMPRODUCT($E66:$E80,G66:G80))*1</f>
        <v>50.52913570824</v>
      </c>
    </row>
    <row r="66" customFormat="false" ht="21" hidden="false" customHeight="false" outlineLevel="0" collapsed="false">
      <c r="A66" s="154" t="n">
        <v>37370</v>
      </c>
      <c r="B66" s="155" t="s">
        <v>1443</v>
      </c>
      <c r="C66" s="148" t="str">
        <f aca="false">VLOOKUP($A66,INSUMOS_AUX!$A$3:$H$813,3,0)</f>
        <v>MAT.</v>
      </c>
      <c r="D66" s="156" t="s">
        <v>1444</v>
      </c>
      <c r="E66" s="154" t="n">
        <v>3.3604</v>
      </c>
      <c r="F66" s="149" t="n">
        <f aca="false">IF(C66="MAT.",VLOOKUP(A66,INSUMOS_AUX!$A$3:$H$813,6,0),0)</f>
        <v>3.32</v>
      </c>
      <c r="G66" s="149" t="n">
        <f aca="false">IF(C66="M.O.",VLOOKUP(A66,INSUMOS_AUX!A:F,6,0),0)</f>
        <v>0</v>
      </c>
    </row>
    <row r="67" customFormat="false" ht="21" hidden="false" customHeight="false" outlineLevel="0" collapsed="false">
      <c r="A67" s="154" t="n">
        <v>43488</v>
      </c>
      <c r="B67" s="155" t="s">
        <v>1445</v>
      </c>
      <c r="C67" s="148" t="str">
        <f aca="false">VLOOKUP($A67,INSUMOS_AUX!$A$3:$H$813,3,0)</f>
        <v>MAT.</v>
      </c>
      <c r="D67" s="156" t="s">
        <v>1444</v>
      </c>
      <c r="E67" s="154" t="n">
        <v>2.6784</v>
      </c>
      <c r="F67" s="149" t="n">
        <f aca="false">IF(C67="MAT.",VLOOKUP(A67,INSUMOS_AUX!$A$3:$H$813,6,0),0)</f>
        <v>0.89</v>
      </c>
      <c r="G67" s="149" t="n">
        <f aca="false">IF(C67="M.O.",VLOOKUP(A67,INSUMOS_AUX!A:F,6,0),0)</f>
        <v>0</v>
      </c>
    </row>
    <row r="68" customFormat="false" ht="21" hidden="false" customHeight="false" outlineLevel="0" collapsed="false">
      <c r="A68" s="154" t="n">
        <v>43489</v>
      </c>
      <c r="B68" s="155" t="s">
        <v>1456</v>
      </c>
      <c r="C68" s="148" t="str">
        <f aca="false">VLOOKUP($A68,INSUMOS_AUX!$A$3:$H$813,3,0)</f>
        <v>MAT.</v>
      </c>
      <c r="D68" s="156" t="s">
        <v>1444</v>
      </c>
      <c r="E68" s="154" t="n">
        <v>0.0947</v>
      </c>
      <c r="F68" s="149" t="n">
        <f aca="false">IF(C68="MAT.",VLOOKUP(A68,INSUMOS_AUX!$A$3:$H$813,6,0),0)</f>
        <v>1.31</v>
      </c>
      <c r="G68" s="149" t="n">
        <f aca="false">IF(C68="M.O.",VLOOKUP(A68,INSUMOS_AUX!A:F,6,0),0)</f>
        <v>0</v>
      </c>
    </row>
    <row r="69" customFormat="false" ht="21" hidden="false" customHeight="false" outlineLevel="0" collapsed="false">
      <c r="A69" s="154" t="n">
        <v>43491</v>
      </c>
      <c r="B69" s="155" t="s">
        <v>1457</v>
      </c>
      <c r="C69" s="148" t="str">
        <f aca="false">VLOOKUP($A69,INSUMOS_AUX!$A$3:$H$813,3,0)</f>
        <v>MAT.</v>
      </c>
      <c r="D69" s="156" t="s">
        <v>1444</v>
      </c>
      <c r="E69" s="154" t="n">
        <v>0.5873</v>
      </c>
      <c r="F69" s="149" t="n">
        <f aca="false">IF(C69="MAT.",VLOOKUP(A69,INSUMOS_AUX!$A$3:$H$813,6,0),0)</f>
        <v>1.39</v>
      </c>
      <c r="G69" s="149" t="n">
        <f aca="false">IF(C69="M.O.",VLOOKUP(A69,INSUMOS_AUX!A:F,6,0),0)</f>
        <v>0</v>
      </c>
    </row>
    <row r="70" customFormat="false" ht="21" hidden="false" customHeight="false" outlineLevel="0" collapsed="false">
      <c r="A70" s="154" t="n">
        <v>37372</v>
      </c>
      <c r="B70" s="155" t="s">
        <v>1446</v>
      </c>
      <c r="C70" s="148" t="str">
        <f aca="false">VLOOKUP($A70,INSUMOS_AUX!$A$3:$H$813,3,0)</f>
        <v>MAT.</v>
      </c>
      <c r="D70" s="156" t="s">
        <v>1444</v>
      </c>
      <c r="E70" s="154" t="n">
        <v>3.3604</v>
      </c>
      <c r="F70" s="149" t="n">
        <f aca="false">IF(C70="MAT.",VLOOKUP(A70,INSUMOS_AUX!$A$3:$H$813,6,0),0)</f>
        <v>1.43</v>
      </c>
      <c r="G70" s="149" t="n">
        <f aca="false">IF(C70="M.O.",VLOOKUP(A70,INSUMOS_AUX!A:F,6,0),0)</f>
        <v>0</v>
      </c>
    </row>
    <row r="71" customFormat="false" ht="21" hidden="false" customHeight="false" outlineLevel="0" collapsed="false">
      <c r="A71" s="154" t="n">
        <v>43464</v>
      </c>
      <c r="B71" s="155" t="s">
        <v>1447</v>
      </c>
      <c r="C71" s="148" t="str">
        <f aca="false">VLOOKUP($A71,INSUMOS_AUX!$A$3:$H$813,3,0)</f>
        <v>MAT.</v>
      </c>
      <c r="D71" s="156" t="s">
        <v>1444</v>
      </c>
      <c r="E71" s="154" t="n">
        <v>2.6784</v>
      </c>
      <c r="F71" s="149" t="n">
        <f aca="false">IF(C71="MAT.",VLOOKUP(A71,INSUMOS_AUX!$A$3:$H$813,6,0),0)</f>
        <v>0.01</v>
      </c>
      <c r="G71" s="149" t="n">
        <f aca="false">IF(C71="M.O.",VLOOKUP(A71,INSUMOS_AUX!A:F,6,0),0)</f>
        <v>0</v>
      </c>
    </row>
    <row r="72" customFormat="false" ht="21" hidden="false" customHeight="false" outlineLevel="0" collapsed="false">
      <c r="A72" s="154" t="n">
        <v>43465</v>
      </c>
      <c r="B72" s="155" t="s">
        <v>1458</v>
      </c>
      <c r="C72" s="148" t="str">
        <f aca="false">VLOOKUP($A72,INSUMOS_AUX!$A$3:$H$813,3,0)</f>
        <v>MAT.</v>
      </c>
      <c r="D72" s="156" t="s">
        <v>1444</v>
      </c>
      <c r="E72" s="154" t="n">
        <v>0.0947</v>
      </c>
      <c r="F72" s="149" t="n">
        <f aca="false">IF(C72="MAT.",VLOOKUP(A72,INSUMOS_AUX!$A$3:$H$813,6,0),0)</f>
        <v>0.78</v>
      </c>
      <c r="G72" s="149" t="n">
        <f aca="false">IF(C72="M.O.",VLOOKUP(A72,INSUMOS_AUX!A:F,6,0),0)</f>
        <v>0</v>
      </c>
    </row>
    <row r="73" customFormat="false" ht="21" hidden="false" customHeight="false" outlineLevel="0" collapsed="false">
      <c r="A73" s="154" t="n">
        <v>43467</v>
      </c>
      <c r="B73" s="155" t="s">
        <v>1459</v>
      </c>
      <c r="C73" s="148" t="s">
        <v>59</v>
      </c>
      <c r="D73" s="156" t="s">
        <v>1444</v>
      </c>
      <c r="E73" s="154" t="n">
        <v>0.5873</v>
      </c>
      <c r="F73" s="149" t="n">
        <f aca="false">IF(C73="MAT.",VLOOKUP(A73,INSUMOS_AUX!$A$3:$H$813,6,0),0)</f>
        <v>0</v>
      </c>
      <c r="G73" s="149" t="n">
        <f aca="false">IF(C73="M.O.",VLOOKUP(A73,INSUMOS_AUX!A:F,6,0),0)</f>
        <v>0</v>
      </c>
    </row>
    <row r="74" customFormat="false" ht="21" hidden="false" customHeight="false" outlineLevel="0" collapsed="false">
      <c r="A74" s="154" t="n">
        <v>37373</v>
      </c>
      <c r="B74" s="155" t="s">
        <v>1448</v>
      </c>
      <c r="C74" s="148" t="str">
        <f aca="false">VLOOKUP($A74,INSUMOS_AUX!$A$3:$H$813,3,0)</f>
        <v>MAT.</v>
      </c>
      <c r="D74" s="156" t="s">
        <v>1444</v>
      </c>
      <c r="E74" s="154" t="n">
        <v>3.3604</v>
      </c>
      <c r="F74" s="149" t="n">
        <f aca="false">IF(C74="MAT.",VLOOKUP(A74,INSUMOS_AUX!$A$3:$H$813,6,0),0)</f>
        <v>0.08</v>
      </c>
      <c r="G74" s="149" t="n">
        <f aca="false">IF(C74="M.O.",VLOOKUP(A74,INSUMOS_AUX!A:F,6,0),0)</f>
        <v>0</v>
      </c>
    </row>
    <row r="75" customFormat="false" ht="21" hidden="false" customHeight="false" outlineLevel="0" collapsed="false">
      <c r="A75" s="154" t="n">
        <v>37371</v>
      </c>
      <c r="B75" s="155" t="s">
        <v>1449</v>
      </c>
      <c r="C75" s="148" t="str">
        <f aca="false">VLOOKUP($A75,INSUMOS_AUX!$A$3:$H$813,3,0)</f>
        <v>MAT.</v>
      </c>
      <c r="D75" s="156" t="s">
        <v>1444</v>
      </c>
      <c r="E75" s="154" t="n">
        <v>3.3604</v>
      </c>
      <c r="F75" s="149" t="n">
        <f aca="false">IF(C75="MAT.",VLOOKUP(A75,INSUMOS_AUX!$A$3:$H$813,6,0),0)</f>
        <v>0.59</v>
      </c>
      <c r="G75" s="149" t="n">
        <f aca="false">IF(C75="M.O.",VLOOKUP(A75,INSUMOS_AUX!A:F,6,0),0)</f>
        <v>0</v>
      </c>
    </row>
    <row r="76" customFormat="false" ht="31.5" hidden="false" customHeight="false" outlineLevel="0" collapsed="false">
      <c r="A76" s="154" t="n">
        <v>40703</v>
      </c>
      <c r="B76" s="155" t="s">
        <v>1466</v>
      </c>
      <c r="C76" s="148" t="str">
        <f aca="false">VLOOKUP($A76,INSUMOS_AUX!$A$3:$H$813,3,0)</f>
        <v>MAT.</v>
      </c>
      <c r="D76" s="156" t="s">
        <v>31</v>
      </c>
      <c r="E76" s="154" t="n">
        <v>0.00033203392</v>
      </c>
      <c r="F76" s="149" t="n">
        <f aca="false">IF(C76="MAT.",VLOOKUP(A76,INSUMOS_AUX!$A$3:$H$813,6,0),0)</f>
        <v>10808.5</v>
      </c>
      <c r="G76" s="149" t="n">
        <f aca="false">IF(C76="M.O.",VLOOKUP(A76,INSUMOS_AUX!A:F,6,0),0)</f>
        <v>0</v>
      </c>
    </row>
    <row r="77" customFormat="false" ht="15" hidden="false" customHeight="false" outlineLevel="0" collapsed="false">
      <c r="A77" s="154" t="n">
        <v>2705</v>
      </c>
      <c r="B77" s="155" t="s">
        <v>1467</v>
      </c>
      <c r="C77" s="148" t="str">
        <f aca="false">VLOOKUP($A77,INSUMOS_AUX!$A$3:$H$813,3,0)</f>
        <v>MAT.</v>
      </c>
      <c r="D77" s="156" t="s">
        <v>1468</v>
      </c>
      <c r="E77" s="154" t="n">
        <v>2.57074</v>
      </c>
      <c r="F77" s="149" t="n">
        <f aca="false">IF(C77="MAT.",VLOOKUP(A77,INSUMOS_AUX!$A$3:$H$813,6,0),0)</f>
        <v>0.92</v>
      </c>
      <c r="G77" s="149" t="n">
        <f aca="false">IF(C77="M.O.",VLOOKUP(A77,INSUMOS_AUX!A:F,6,0),0)</f>
        <v>0</v>
      </c>
    </row>
    <row r="78" customFormat="false" ht="15" hidden="false" customHeight="false" outlineLevel="0" collapsed="false">
      <c r="A78" s="154" t="n">
        <v>4257</v>
      </c>
      <c r="B78" s="155" t="s">
        <v>1462</v>
      </c>
      <c r="C78" s="148" t="str">
        <f aca="false">VLOOKUP($A78,INSUMOS_AUX!$A$3:$H$813,3,0)</f>
        <v>M.O.</v>
      </c>
      <c r="D78" s="156" t="s">
        <v>1444</v>
      </c>
      <c r="E78" s="154" t="n">
        <v>2.700657504</v>
      </c>
      <c r="F78" s="149" t="n">
        <f aca="false">IF(C78="MAT.",VLOOKUP(A78,INSUMOS_AUX!$A$3:$H$813,6,0),0)</f>
        <v>0</v>
      </c>
      <c r="G78" s="149" t="n">
        <f aca="false">IF(C78="M.O.",VLOOKUP(A78,INSUMOS_AUX!A:F,6,0),0)</f>
        <v>15.11</v>
      </c>
    </row>
    <row r="79" customFormat="false" ht="15" hidden="false" customHeight="false" outlineLevel="0" collapsed="false">
      <c r="A79" s="154" t="n">
        <v>4750</v>
      </c>
      <c r="B79" s="155" t="s">
        <v>1463</v>
      </c>
      <c r="C79" s="148" t="str">
        <f aca="false">VLOOKUP($A79,INSUMOS_AUX!$A$3:$H$813,3,0)</f>
        <v>M.O.</v>
      </c>
      <c r="D79" s="156" t="s">
        <v>1444</v>
      </c>
      <c r="E79" s="154" t="n">
        <v>0.09670764</v>
      </c>
      <c r="F79" s="149" t="n">
        <f aca="false">IF(C79="MAT.",VLOOKUP(A79,INSUMOS_AUX!$A$3:$H$813,6,0),0)</f>
        <v>0</v>
      </c>
      <c r="G79" s="149" t="n">
        <f aca="false">IF(C79="M.O.",VLOOKUP(A79,INSUMOS_AUX!A:F,6,0),0)</f>
        <v>20.22</v>
      </c>
    </row>
    <row r="80" customFormat="false" ht="15" hidden="false" customHeight="false" outlineLevel="0" collapsed="false">
      <c r="A80" s="154" t="n">
        <v>6111</v>
      </c>
      <c r="B80" s="155" t="s">
        <v>1464</v>
      </c>
      <c r="C80" s="148" t="str">
        <f aca="false">VLOOKUP($A80,INSUMOS_AUX!$A$3:$H$813,3,0)</f>
        <v>M.O.</v>
      </c>
      <c r="D80" s="156" t="s">
        <v>1444</v>
      </c>
      <c r="E80" s="154" t="n">
        <v>0.59975076</v>
      </c>
      <c r="F80" s="149" t="n">
        <f aca="false">IF(C80="MAT.",VLOOKUP(A80,INSUMOS_AUX!$A$3:$H$813,6,0),0)</f>
        <v>0</v>
      </c>
      <c r="G80" s="149" t="n">
        <f aca="false">IF(C80="M.O.",VLOOKUP(A80,INSUMOS_AUX!A:F,6,0),0)</f>
        <v>12.95</v>
      </c>
    </row>
    <row r="81" customFormat="false" ht="21" hidden="false" customHeight="false" outlineLevel="0" collapsed="false">
      <c r="A81" s="150" t="n">
        <v>104790</v>
      </c>
      <c r="B81" s="151" t="s">
        <v>1469</v>
      </c>
      <c r="C81" s="152" t="s">
        <v>59</v>
      </c>
      <c r="D81" s="152" t="s">
        <v>1442</v>
      </c>
      <c r="E81" s="150"/>
      <c r="F81" s="153" t="n">
        <f aca="false">(SUMPRODUCT($E82:$E97,F82:F97))*1</f>
        <v>68.104111972564</v>
      </c>
      <c r="G81" s="153" t="n">
        <f aca="false">(SUMPRODUCT($E82:$E97,G82:G97))*1</f>
        <v>37.98426437345</v>
      </c>
    </row>
    <row r="82" customFormat="false" ht="21" hidden="false" customHeight="false" outlineLevel="0" collapsed="false">
      <c r="A82" s="154" t="n">
        <v>37370</v>
      </c>
      <c r="B82" s="155" t="s">
        <v>1443</v>
      </c>
      <c r="C82" s="148" t="str">
        <f aca="false">VLOOKUP($A82,INSUMOS_AUX!$A$3:$H$813,3,0)</f>
        <v>MAT.</v>
      </c>
      <c r="D82" s="156" t="s">
        <v>1444</v>
      </c>
      <c r="E82" s="154" t="n">
        <v>2.5266</v>
      </c>
      <c r="F82" s="149" t="n">
        <f aca="false">IF(C82="MAT.",VLOOKUP(A82,INSUMOS_AUX!$A$3:$H$813,6,0),0)</f>
        <v>3.32</v>
      </c>
      <c r="G82" s="149" t="n">
        <f aca="false">IF(C82="M.O.",VLOOKUP(A82,INSUMOS_AUX!A:F,6,0),0)</f>
        <v>0</v>
      </c>
    </row>
    <row r="83" customFormat="false" ht="21" hidden="false" customHeight="false" outlineLevel="0" collapsed="false">
      <c r="A83" s="154" t="n">
        <v>43488</v>
      </c>
      <c r="B83" s="155" t="s">
        <v>1445</v>
      </c>
      <c r="C83" s="148" t="str">
        <f aca="false">VLOOKUP($A83,INSUMOS_AUX!$A$3:$H$813,3,0)</f>
        <v>MAT.</v>
      </c>
      <c r="D83" s="156" t="s">
        <v>1444</v>
      </c>
      <c r="E83" s="154" t="n">
        <v>2.0065</v>
      </c>
      <c r="F83" s="149" t="n">
        <f aca="false">IF(C83="MAT.",VLOOKUP(A83,INSUMOS_AUX!$A$3:$H$813,6,0),0)</f>
        <v>0.89</v>
      </c>
      <c r="G83" s="149" t="n">
        <f aca="false">IF(C83="M.O.",VLOOKUP(A83,INSUMOS_AUX!A:F,6,0),0)</f>
        <v>0</v>
      </c>
    </row>
    <row r="84" customFormat="false" ht="21" hidden="false" customHeight="false" outlineLevel="0" collapsed="false">
      <c r="A84" s="154" t="n">
        <v>43489</v>
      </c>
      <c r="B84" s="155" t="s">
        <v>1456</v>
      </c>
      <c r="C84" s="148" t="str">
        <f aca="false">VLOOKUP($A84,INSUMOS_AUX!$A$3:$H$813,3,0)</f>
        <v>MAT.</v>
      </c>
      <c r="D84" s="156" t="s">
        <v>1444</v>
      </c>
      <c r="E84" s="154" t="n">
        <v>0.0722</v>
      </c>
      <c r="F84" s="149" t="n">
        <f aca="false">IF(C84="MAT.",VLOOKUP(A84,INSUMOS_AUX!$A$3:$H$813,6,0),0)</f>
        <v>1.31</v>
      </c>
      <c r="G84" s="149" t="n">
        <f aca="false">IF(C84="M.O.",VLOOKUP(A84,INSUMOS_AUX!A:F,6,0),0)</f>
        <v>0</v>
      </c>
    </row>
    <row r="85" customFormat="false" ht="21" hidden="false" customHeight="false" outlineLevel="0" collapsed="false">
      <c r="A85" s="154" t="n">
        <v>43491</v>
      </c>
      <c r="B85" s="155" t="s">
        <v>1457</v>
      </c>
      <c r="C85" s="148" t="str">
        <f aca="false">VLOOKUP($A85,INSUMOS_AUX!$A$3:$H$813,3,0)</f>
        <v>MAT.</v>
      </c>
      <c r="D85" s="156" t="s">
        <v>1444</v>
      </c>
      <c r="E85" s="154" t="n">
        <v>0.4479</v>
      </c>
      <c r="F85" s="149" t="n">
        <f aca="false">IF(C85="MAT.",VLOOKUP(A85,INSUMOS_AUX!$A$3:$H$813,6,0),0)</f>
        <v>1.39</v>
      </c>
      <c r="G85" s="149" t="n">
        <f aca="false">IF(C85="M.O.",VLOOKUP(A85,INSUMOS_AUX!A:F,6,0),0)</f>
        <v>0</v>
      </c>
    </row>
    <row r="86" customFormat="false" ht="21" hidden="false" customHeight="false" outlineLevel="0" collapsed="false">
      <c r="A86" s="154" t="n">
        <v>37372</v>
      </c>
      <c r="B86" s="155" t="s">
        <v>1446</v>
      </c>
      <c r="C86" s="148" t="str">
        <f aca="false">VLOOKUP($A86,INSUMOS_AUX!$A$3:$H$813,3,0)</f>
        <v>MAT.</v>
      </c>
      <c r="D86" s="156" t="s">
        <v>1444</v>
      </c>
      <c r="E86" s="154" t="n">
        <v>2.5266</v>
      </c>
      <c r="F86" s="149" t="n">
        <f aca="false">IF(C86="MAT.",VLOOKUP(A86,INSUMOS_AUX!$A$3:$H$813,6,0),0)</f>
        <v>1.43</v>
      </c>
      <c r="G86" s="149" t="n">
        <f aca="false">IF(C86="M.O.",VLOOKUP(A86,INSUMOS_AUX!A:F,6,0),0)</f>
        <v>0</v>
      </c>
    </row>
    <row r="87" customFormat="false" ht="21" hidden="false" customHeight="false" outlineLevel="0" collapsed="false">
      <c r="A87" s="154" t="n">
        <v>43464</v>
      </c>
      <c r="B87" s="155" t="s">
        <v>1447</v>
      </c>
      <c r="C87" s="148" t="str">
        <f aca="false">VLOOKUP($A87,INSUMOS_AUX!$A$3:$H$813,3,0)</f>
        <v>MAT.</v>
      </c>
      <c r="D87" s="156" t="s">
        <v>1444</v>
      </c>
      <c r="E87" s="154" t="n">
        <v>2.0065</v>
      </c>
      <c r="F87" s="149" t="n">
        <f aca="false">IF(C87="MAT.",VLOOKUP(A87,INSUMOS_AUX!$A$3:$H$813,6,0),0)</f>
        <v>0.01</v>
      </c>
      <c r="G87" s="149" t="n">
        <f aca="false">IF(C87="M.O.",VLOOKUP(A87,INSUMOS_AUX!A:F,6,0),0)</f>
        <v>0</v>
      </c>
    </row>
    <row r="88" customFormat="false" ht="21" hidden="false" customHeight="false" outlineLevel="0" collapsed="false">
      <c r="A88" s="154" t="n">
        <v>43465</v>
      </c>
      <c r="B88" s="155" t="s">
        <v>1458</v>
      </c>
      <c r="C88" s="148" t="str">
        <f aca="false">VLOOKUP($A88,INSUMOS_AUX!$A$3:$H$813,3,0)</f>
        <v>MAT.</v>
      </c>
      <c r="D88" s="156" t="s">
        <v>1444</v>
      </c>
      <c r="E88" s="154" t="n">
        <v>0.0722</v>
      </c>
      <c r="F88" s="149" t="n">
        <f aca="false">IF(C88="MAT.",VLOOKUP(A88,INSUMOS_AUX!$A$3:$H$813,6,0),0)</f>
        <v>0.78</v>
      </c>
      <c r="G88" s="149" t="n">
        <f aca="false">IF(C88="M.O.",VLOOKUP(A88,INSUMOS_AUX!A:F,6,0),0)</f>
        <v>0</v>
      </c>
    </row>
    <row r="89" customFormat="false" ht="21" hidden="false" customHeight="false" outlineLevel="0" collapsed="false">
      <c r="A89" s="154" t="n">
        <v>43467</v>
      </c>
      <c r="B89" s="155" t="s">
        <v>1459</v>
      </c>
      <c r="C89" s="148" t="s">
        <v>59</v>
      </c>
      <c r="D89" s="156" t="s">
        <v>1444</v>
      </c>
      <c r="E89" s="154" t="n">
        <v>0.4479</v>
      </c>
      <c r="F89" s="149" t="n">
        <f aca="false">IF(C89="MAT.",VLOOKUP(A89,INSUMOS_AUX!$A$3:$H$813,6,0),0)</f>
        <v>0</v>
      </c>
      <c r="G89" s="149" t="n">
        <f aca="false">IF(C89="M.O.",VLOOKUP(A89,INSUMOS_AUX!A:F,6,0),0)</f>
        <v>0</v>
      </c>
    </row>
    <row r="90" customFormat="false" ht="21" hidden="false" customHeight="false" outlineLevel="0" collapsed="false">
      <c r="A90" s="154" t="n">
        <v>37373</v>
      </c>
      <c r="B90" s="155" t="s">
        <v>1448</v>
      </c>
      <c r="C90" s="148" t="str">
        <f aca="false">VLOOKUP($A90,INSUMOS_AUX!$A$3:$H$813,3,0)</f>
        <v>MAT.</v>
      </c>
      <c r="D90" s="156" t="s">
        <v>1444</v>
      </c>
      <c r="E90" s="154" t="n">
        <v>2.5266</v>
      </c>
      <c r="F90" s="149" t="n">
        <f aca="false">IF(C90="MAT.",VLOOKUP(A90,INSUMOS_AUX!$A$3:$H$813,6,0),0)</f>
        <v>0.08</v>
      </c>
      <c r="G90" s="149" t="n">
        <f aca="false">IF(C90="M.O.",VLOOKUP(A90,INSUMOS_AUX!A:F,6,0),0)</f>
        <v>0</v>
      </c>
    </row>
    <row r="91" customFormat="false" ht="21" hidden="false" customHeight="false" outlineLevel="0" collapsed="false">
      <c r="A91" s="154" t="n">
        <v>37371</v>
      </c>
      <c r="B91" s="155" t="s">
        <v>1449</v>
      </c>
      <c r="C91" s="148" t="str">
        <f aca="false">VLOOKUP($A91,INSUMOS_AUX!$A$3:$H$813,3,0)</f>
        <v>MAT.</v>
      </c>
      <c r="D91" s="156" t="s">
        <v>1444</v>
      </c>
      <c r="E91" s="154" t="n">
        <v>2.5266</v>
      </c>
      <c r="F91" s="149" t="n">
        <f aca="false">IF(C91="MAT.",VLOOKUP(A91,INSUMOS_AUX!$A$3:$H$813,6,0),0)</f>
        <v>0.59</v>
      </c>
      <c r="G91" s="149" t="n">
        <f aca="false">IF(C91="M.O.",VLOOKUP(A91,INSUMOS_AUX!A:F,6,0),0)</f>
        <v>0</v>
      </c>
    </row>
    <row r="92" customFormat="false" ht="21" hidden="false" customHeight="false" outlineLevel="0" collapsed="false">
      <c r="A92" s="154" t="n">
        <v>13803</v>
      </c>
      <c r="B92" s="155" t="s">
        <v>1460</v>
      </c>
      <c r="C92" s="148" t="str">
        <f aca="false">VLOOKUP($A92,INSUMOS_AUX!$A$3:$H$813,3,0)</f>
        <v>MAT.</v>
      </c>
      <c r="D92" s="156" t="s">
        <v>31</v>
      </c>
      <c r="E92" s="154" t="n">
        <v>0.0002114773</v>
      </c>
      <c r="F92" s="149" t="n">
        <f aca="false">IF(C92="MAT.",VLOOKUP(A92,INSUMOS_AUX!$A$3:$H$813,6,0),0)</f>
        <v>131655</v>
      </c>
      <c r="G92" s="149" t="n">
        <f aca="false">IF(C92="M.O.",VLOOKUP(A92,INSUMOS_AUX!A:F,6,0),0)</f>
        <v>0</v>
      </c>
    </row>
    <row r="93" customFormat="false" ht="21" hidden="false" customHeight="false" outlineLevel="0" collapsed="false">
      <c r="A93" s="154" t="n">
        <v>41898</v>
      </c>
      <c r="B93" s="155" t="s">
        <v>1461</v>
      </c>
      <c r="C93" s="148" t="str">
        <f aca="false">VLOOKUP($A93,INSUMOS_AUX!$A$3:$H$813,3,0)</f>
        <v>MAT.</v>
      </c>
      <c r="D93" s="156" t="s">
        <v>31</v>
      </c>
      <c r="E93" s="154" t="n">
        <v>0.0002490722</v>
      </c>
      <c r="F93" s="149" t="n">
        <f aca="false">IF(C93="MAT.",VLOOKUP(A93,INSUMOS_AUX!$A$3:$H$813,6,0),0)</f>
        <v>24642.12</v>
      </c>
      <c r="G93" s="149" t="n">
        <f aca="false">IF(C93="M.O.",VLOOKUP(A93,INSUMOS_AUX!A:F,6,0),0)</f>
        <v>0</v>
      </c>
    </row>
    <row r="94" customFormat="false" ht="15" hidden="false" customHeight="false" outlineLevel="0" collapsed="false">
      <c r="A94" s="154" t="n">
        <v>4221</v>
      </c>
      <c r="B94" s="155" t="s">
        <v>1451</v>
      </c>
      <c r="C94" s="148" t="str">
        <f aca="false">VLOOKUP($A94,INSUMOS_AUX!$A$3:$H$813,3,0)</f>
        <v>MAT.</v>
      </c>
      <c r="D94" s="156" t="s">
        <v>1452</v>
      </c>
      <c r="E94" s="154" t="n">
        <v>2.8425</v>
      </c>
      <c r="F94" s="149" t="n">
        <f aca="false">IF(C94="MAT.",VLOOKUP(A94,INSUMOS_AUX!$A$3:$H$813,6,0),0)</f>
        <v>6.28</v>
      </c>
      <c r="G94" s="149" t="n">
        <f aca="false">IF(C94="M.O.",VLOOKUP(A94,INSUMOS_AUX!A:F,6,0),0)</f>
        <v>0</v>
      </c>
    </row>
    <row r="95" customFormat="false" ht="15" hidden="false" customHeight="false" outlineLevel="0" collapsed="false">
      <c r="A95" s="154" t="n">
        <v>4257</v>
      </c>
      <c r="B95" s="155" t="s">
        <v>1462</v>
      </c>
      <c r="C95" s="148" t="str">
        <f aca="false">VLOOKUP($A95,INSUMOS_AUX!$A$3:$H$813,3,0)</f>
        <v>M.O.</v>
      </c>
      <c r="D95" s="156" t="s">
        <v>1444</v>
      </c>
      <c r="E95" s="154" t="n">
        <v>2.023174015</v>
      </c>
      <c r="F95" s="149" t="n">
        <f aca="false">IF(C95="MAT.",VLOOKUP(A95,INSUMOS_AUX!$A$3:$H$813,6,0),0)</f>
        <v>0</v>
      </c>
      <c r="G95" s="149" t="n">
        <f aca="false">IF(C95="M.O.",VLOOKUP(A95,INSUMOS_AUX!A:F,6,0),0)</f>
        <v>15.11</v>
      </c>
    </row>
    <row r="96" customFormat="false" ht="15" hidden="false" customHeight="false" outlineLevel="0" collapsed="false">
      <c r="A96" s="154" t="n">
        <v>4750</v>
      </c>
      <c r="B96" s="155" t="s">
        <v>1463</v>
      </c>
      <c r="C96" s="148" t="str">
        <f aca="false">VLOOKUP($A96,INSUMOS_AUX!$A$3:$H$813,3,0)</f>
        <v>M.O.</v>
      </c>
      <c r="D96" s="156" t="s">
        <v>1444</v>
      </c>
      <c r="E96" s="154" t="n">
        <v>0.07373064</v>
      </c>
      <c r="F96" s="149" t="n">
        <f aca="false">IF(C96="MAT.",VLOOKUP(A96,INSUMOS_AUX!$A$3:$H$813,6,0),0)</f>
        <v>0</v>
      </c>
      <c r="G96" s="149" t="n">
        <f aca="false">IF(C96="M.O.",VLOOKUP(A96,INSUMOS_AUX!A:F,6,0),0)</f>
        <v>20.22</v>
      </c>
    </row>
    <row r="97" customFormat="false" ht="15" hidden="false" customHeight="false" outlineLevel="0" collapsed="false">
      <c r="A97" s="154" t="n">
        <v>6111</v>
      </c>
      <c r="B97" s="155" t="s">
        <v>1464</v>
      </c>
      <c r="C97" s="148" t="str">
        <f aca="false">VLOOKUP($A97,INSUMOS_AUX!$A$3:$H$813,3,0)</f>
        <v>M.O.</v>
      </c>
      <c r="D97" s="156" t="s">
        <v>1444</v>
      </c>
      <c r="E97" s="154" t="n">
        <v>0.45739548</v>
      </c>
      <c r="F97" s="149" t="n">
        <f aca="false">IF(C97="MAT.",VLOOKUP(A97,INSUMOS_AUX!$A$3:$H$813,6,0),0)</f>
        <v>0</v>
      </c>
      <c r="G97" s="149" t="n">
        <f aca="false">IF(C97="M.O.",VLOOKUP(A97,INSUMOS_AUX!A:F,6,0),0)</f>
        <v>12.95</v>
      </c>
    </row>
    <row r="98" customFormat="false" ht="42" hidden="false" customHeight="false" outlineLevel="0" collapsed="false">
      <c r="A98" s="150" t="n">
        <v>100982</v>
      </c>
      <c r="B98" s="151" t="s">
        <v>1470</v>
      </c>
      <c r="C98" s="152" t="s">
        <v>59</v>
      </c>
      <c r="D98" s="152" t="s">
        <v>1442</v>
      </c>
      <c r="E98" s="150"/>
      <c r="F98" s="153" t="n">
        <f aca="false">(SUMPRODUCT($E99:$E110,F99:F110))*1</f>
        <v>5.82387399123</v>
      </c>
      <c r="G98" s="153" t="n">
        <f aca="false">(SUMPRODUCT($E99:$E110,G99:G110))*1</f>
        <v>1.20144384</v>
      </c>
    </row>
    <row r="99" customFormat="false" ht="21" hidden="false" customHeight="false" outlineLevel="0" collapsed="false">
      <c r="A99" s="154" t="n">
        <v>37370</v>
      </c>
      <c r="B99" s="155" t="s">
        <v>1443</v>
      </c>
      <c r="C99" s="148" t="str">
        <f aca="false">VLOOKUP($A99,INSUMOS_AUX!$A$3:$H$813,3,0)</f>
        <v>MAT.</v>
      </c>
      <c r="D99" s="156" t="s">
        <v>1444</v>
      </c>
      <c r="E99" s="154" t="n">
        <v>0.0524</v>
      </c>
      <c r="F99" s="149" t="n">
        <f aca="false">IF(C99="MAT.",VLOOKUP(A99,INSUMOS_AUX!$A$3:$H$813,6,0),0)</f>
        <v>3.32</v>
      </c>
      <c r="G99" s="149" t="n">
        <f aca="false">IF(C99="M.O.",VLOOKUP(A99,INSUMOS_AUX!A:F,6,0),0)</f>
        <v>0</v>
      </c>
    </row>
    <row r="100" customFormat="false" ht="21" hidden="false" customHeight="false" outlineLevel="0" collapsed="false">
      <c r="A100" s="154" t="n">
        <v>43488</v>
      </c>
      <c r="B100" s="155" t="s">
        <v>1445</v>
      </c>
      <c r="C100" s="148" t="str">
        <f aca="false">VLOOKUP($A100,INSUMOS_AUX!$A$3:$H$813,3,0)</f>
        <v>MAT.</v>
      </c>
      <c r="D100" s="156" t="s">
        <v>1444</v>
      </c>
      <c r="E100" s="154" t="n">
        <v>0.0524</v>
      </c>
      <c r="F100" s="149" t="n">
        <f aca="false">IF(C100="MAT.",VLOOKUP(A100,INSUMOS_AUX!$A$3:$H$813,6,0),0)</f>
        <v>0.89</v>
      </c>
      <c r="G100" s="149" t="n">
        <f aca="false">IF(C100="M.O.",VLOOKUP(A100,INSUMOS_AUX!A:F,6,0),0)</f>
        <v>0</v>
      </c>
    </row>
    <row r="101" customFormat="false" ht="21" hidden="false" customHeight="false" outlineLevel="0" collapsed="false">
      <c r="A101" s="154" t="n">
        <v>37372</v>
      </c>
      <c r="B101" s="155" t="s">
        <v>1446</v>
      </c>
      <c r="C101" s="148" t="str">
        <f aca="false">VLOOKUP($A101,INSUMOS_AUX!$A$3:$H$813,3,0)</f>
        <v>MAT.</v>
      </c>
      <c r="D101" s="156" t="s">
        <v>1444</v>
      </c>
      <c r="E101" s="154" t="n">
        <v>0.0524</v>
      </c>
      <c r="F101" s="149" t="n">
        <f aca="false">IF(C101="MAT.",VLOOKUP(A101,INSUMOS_AUX!$A$3:$H$813,6,0),0)</f>
        <v>1.43</v>
      </c>
      <c r="G101" s="149" t="n">
        <f aca="false">IF(C101="M.O.",VLOOKUP(A101,INSUMOS_AUX!A:F,6,0),0)</f>
        <v>0</v>
      </c>
    </row>
    <row r="102" customFormat="false" ht="21" hidden="false" customHeight="false" outlineLevel="0" collapsed="false">
      <c r="A102" s="154" t="n">
        <v>43464</v>
      </c>
      <c r="B102" s="155" t="s">
        <v>1447</v>
      </c>
      <c r="C102" s="148" t="str">
        <f aca="false">VLOOKUP($A102,INSUMOS_AUX!$A$3:$H$813,3,0)</f>
        <v>MAT.</v>
      </c>
      <c r="D102" s="156" t="s">
        <v>1444</v>
      </c>
      <c r="E102" s="154" t="n">
        <v>0.0524</v>
      </c>
      <c r="F102" s="149" t="n">
        <f aca="false">IF(C102="MAT.",VLOOKUP(A102,INSUMOS_AUX!$A$3:$H$813,6,0),0)</f>
        <v>0.01</v>
      </c>
      <c r="G102" s="149" t="n">
        <f aca="false">IF(C102="M.O.",VLOOKUP(A102,INSUMOS_AUX!A:F,6,0),0)</f>
        <v>0</v>
      </c>
    </row>
    <row r="103" customFormat="false" ht="21" hidden="false" customHeight="false" outlineLevel="0" collapsed="false">
      <c r="A103" s="154" t="n">
        <v>37373</v>
      </c>
      <c r="B103" s="155" t="s">
        <v>1448</v>
      </c>
      <c r="C103" s="148" t="str">
        <f aca="false">VLOOKUP($A103,INSUMOS_AUX!$A$3:$H$813,3,0)</f>
        <v>MAT.</v>
      </c>
      <c r="D103" s="156" t="s">
        <v>1444</v>
      </c>
      <c r="E103" s="154" t="n">
        <v>0.0524</v>
      </c>
      <c r="F103" s="149" t="n">
        <f aca="false">IF(C103="MAT.",VLOOKUP(A103,INSUMOS_AUX!$A$3:$H$813,6,0),0)</f>
        <v>0.08</v>
      </c>
      <c r="G103" s="149" t="n">
        <f aca="false">IF(C103="M.O.",VLOOKUP(A103,INSUMOS_AUX!A:F,6,0),0)</f>
        <v>0</v>
      </c>
    </row>
    <row r="104" customFormat="false" ht="21" hidden="false" customHeight="false" outlineLevel="0" collapsed="false">
      <c r="A104" s="154" t="n">
        <v>37371</v>
      </c>
      <c r="B104" s="155" t="s">
        <v>1449</v>
      </c>
      <c r="C104" s="148" t="str">
        <f aca="false">VLOOKUP($A104,INSUMOS_AUX!$A$3:$H$813,3,0)</f>
        <v>MAT.</v>
      </c>
      <c r="D104" s="156" t="s">
        <v>1444</v>
      </c>
      <c r="E104" s="154" t="n">
        <v>0.0524</v>
      </c>
      <c r="F104" s="149" t="n">
        <f aca="false">IF(C104="MAT.",VLOOKUP(A104,INSUMOS_AUX!$A$3:$H$813,6,0),0)</f>
        <v>0.59</v>
      </c>
      <c r="G104" s="149" t="n">
        <f aca="false">IF(C104="M.O.",VLOOKUP(A104,INSUMOS_AUX!A:F,6,0),0)</f>
        <v>0</v>
      </c>
    </row>
    <row r="105" customFormat="false" ht="21" hidden="false" customHeight="false" outlineLevel="0" collapsed="false">
      <c r="A105" s="154" t="n">
        <v>37734</v>
      </c>
      <c r="B105" s="155" t="s">
        <v>1471</v>
      </c>
      <c r="C105" s="148" t="str">
        <f aca="false">VLOOKUP($A105,INSUMOS_AUX!$A$3:$H$813,3,0)</f>
        <v>MAT.</v>
      </c>
      <c r="D105" s="156" t="s">
        <v>31</v>
      </c>
      <c r="E105" s="154" t="n">
        <v>4.3959E-006</v>
      </c>
      <c r="F105" s="149" t="n">
        <f aca="false">IF(C105="MAT.",VLOOKUP(A105,INSUMOS_AUX!$A$3:$H$813,6,0),0)</f>
        <v>81699.7</v>
      </c>
      <c r="G105" s="149" t="n">
        <f aca="false">IF(C105="M.O.",VLOOKUP(A105,INSUMOS_AUX!A:F,6,0),0)</f>
        <v>0</v>
      </c>
    </row>
    <row r="106" customFormat="false" ht="31.5" hidden="false" customHeight="false" outlineLevel="0" collapsed="false">
      <c r="A106" s="154" t="n">
        <v>37758</v>
      </c>
      <c r="B106" s="155" t="s">
        <v>1472</v>
      </c>
      <c r="C106" s="148" t="s">
        <v>59</v>
      </c>
      <c r="D106" s="156" t="s">
        <v>31</v>
      </c>
      <c r="E106" s="154" t="n">
        <v>3.08556E-006</v>
      </c>
      <c r="F106" s="149" t="n">
        <f aca="false">IF(C106="MAT.",VLOOKUP(A106,INSUMOS_AUX!$A$3:$H$813,6,0),0)</f>
        <v>0</v>
      </c>
      <c r="G106" s="149" t="n">
        <f aca="false">IF(C106="M.O.",VLOOKUP(A106,INSUMOS_AUX!A:F,6,0),0)</f>
        <v>0</v>
      </c>
    </row>
    <row r="107" customFormat="false" ht="21" hidden="false" customHeight="false" outlineLevel="0" collapsed="false">
      <c r="A107" s="154" t="n">
        <v>10685</v>
      </c>
      <c r="B107" s="155" t="s">
        <v>1473</v>
      </c>
      <c r="C107" s="148" t="str">
        <f aca="false">VLOOKUP($A107,INSUMOS_AUX!$A$3:$H$813,3,0)</f>
        <v>MAT.</v>
      </c>
      <c r="D107" s="156" t="s">
        <v>31</v>
      </c>
      <c r="E107" s="154" t="n">
        <v>1.91204E-006</v>
      </c>
      <c r="F107" s="149" t="n">
        <f aca="false">IF(C107="MAT.",VLOOKUP(A107,INSUMOS_AUX!$A$3:$H$813,6,0),0)</f>
        <v>850000</v>
      </c>
      <c r="G107" s="149" t="n">
        <f aca="false">IF(C107="M.O.",VLOOKUP(A107,INSUMOS_AUX!A:F,6,0),0)</f>
        <v>0</v>
      </c>
    </row>
    <row r="108" customFormat="false" ht="15" hidden="false" customHeight="false" outlineLevel="0" collapsed="false">
      <c r="A108" s="154" t="n">
        <v>4221</v>
      </c>
      <c r="B108" s="155" t="s">
        <v>1451</v>
      </c>
      <c r="C108" s="148" t="str">
        <f aca="false">VLOOKUP($A108,INSUMOS_AUX!$A$3:$H$813,3,0)</f>
        <v>MAT.</v>
      </c>
      <c r="D108" s="156" t="s">
        <v>1452</v>
      </c>
      <c r="E108" s="154" t="n">
        <v>0.558651</v>
      </c>
      <c r="F108" s="149" t="n">
        <f aca="false">IF(C108="MAT.",VLOOKUP(A108,INSUMOS_AUX!$A$3:$H$813,6,0),0)</f>
        <v>6.28</v>
      </c>
      <c r="G108" s="149" t="n">
        <f aca="false">IF(C108="M.O.",VLOOKUP(A108,INSUMOS_AUX!A:F,6,0),0)</f>
        <v>0</v>
      </c>
    </row>
    <row r="109" customFormat="false" ht="15" hidden="false" customHeight="false" outlineLevel="0" collapsed="false">
      <c r="A109" s="154" t="n">
        <v>20020</v>
      </c>
      <c r="B109" s="155" t="s">
        <v>1474</v>
      </c>
      <c r="C109" s="148" t="str">
        <f aca="false">VLOOKUP($A109,INSUMOS_AUX!$A$3:$H$813,3,0)</f>
        <v>M.O.</v>
      </c>
      <c r="D109" s="156" t="s">
        <v>1444</v>
      </c>
      <c r="E109" s="154" t="n">
        <v>0.033771024</v>
      </c>
      <c r="F109" s="149" t="n">
        <f aca="false">IF(C109="MAT.",VLOOKUP(A109,INSUMOS_AUX!$A$3:$H$813,6,0),0)</f>
        <v>0</v>
      </c>
      <c r="G109" s="149" t="n">
        <f aca="false">IF(C109="M.O.",VLOOKUP(A109,INSUMOS_AUX!A:F,6,0),0)</f>
        <v>24.19</v>
      </c>
    </row>
    <row r="110" customFormat="false" ht="15" hidden="false" customHeight="false" outlineLevel="0" collapsed="false">
      <c r="A110" s="154" t="n">
        <v>4234</v>
      </c>
      <c r="B110" s="155" t="s">
        <v>1475</v>
      </c>
      <c r="C110" s="148" t="str">
        <f aca="false">VLOOKUP($A110,INSUMOS_AUX!$A$3:$H$813,3,0)</f>
        <v>M.O.</v>
      </c>
      <c r="D110" s="156" t="s">
        <v>1444</v>
      </c>
      <c r="E110" s="154" t="n">
        <v>0.019016952</v>
      </c>
      <c r="F110" s="149" t="n">
        <f aca="false">IF(C110="MAT.",VLOOKUP(A110,INSUMOS_AUX!$A$3:$H$813,6,0),0)</f>
        <v>0</v>
      </c>
      <c r="G110" s="149" t="n">
        <f aca="false">IF(C110="M.O.",VLOOKUP(A110,INSUMOS_AUX!A:F,6,0),0)</f>
        <v>20.22</v>
      </c>
    </row>
    <row r="111" customFormat="false" ht="21" hidden="false" customHeight="false" outlineLevel="0" collapsed="false">
      <c r="A111" s="150" t="n">
        <v>97641</v>
      </c>
      <c r="B111" s="151" t="s">
        <v>1476</v>
      </c>
      <c r="C111" s="152" t="s">
        <v>59</v>
      </c>
      <c r="D111" s="152" t="s">
        <v>1477</v>
      </c>
      <c r="E111" s="150"/>
      <c r="F111" s="153" t="n">
        <f aca="false">(SUMPRODUCT($E112:$E121,F112:F121))*1</f>
        <v>0.882045</v>
      </c>
      <c r="G111" s="153" t="n">
        <f aca="false">(SUMPRODUCT($E112:$E121,G112:G121))*1</f>
        <v>1.87996934664</v>
      </c>
    </row>
    <row r="112" customFormat="false" ht="21" hidden="false" customHeight="false" outlineLevel="0" collapsed="false">
      <c r="A112" s="154" t="n">
        <v>37370</v>
      </c>
      <c r="B112" s="155" t="s">
        <v>1443</v>
      </c>
      <c r="C112" s="148" t="str">
        <f aca="false">VLOOKUP($A112,INSUMOS_AUX!$A$3:$H$813,3,0)</f>
        <v>MAT.</v>
      </c>
      <c r="D112" s="156" t="s">
        <v>1444</v>
      </c>
      <c r="E112" s="154" t="n">
        <v>0.1287</v>
      </c>
      <c r="F112" s="149" t="n">
        <f aca="false">IF(C112="MAT.",VLOOKUP(A112,INSUMOS_AUX!$A$3:$H$813,6,0),0)</f>
        <v>3.32</v>
      </c>
      <c r="G112" s="149" t="n">
        <f aca="false">IF(C112="M.O.",VLOOKUP(A112,INSUMOS_AUX!A:F,6,0),0)</f>
        <v>0</v>
      </c>
    </row>
    <row r="113" customFormat="false" ht="21" hidden="false" customHeight="false" outlineLevel="0" collapsed="false">
      <c r="A113" s="154" t="n">
        <v>43489</v>
      </c>
      <c r="B113" s="155" t="s">
        <v>1456</v>
      </c>
      <c r="C113" s="148" t="str">
        <f aca="false">VLOOKUP($A113,INSUMOS_AUX!$A$3:$H$813,3,0)</f>
        <v>MAT.</v>
      </c>
      <c r="D113" s="156" t="s">
        <v>1444</v>
      </c>
      <c r="E113" s="154" t="n">
        <v>0.0336</v>
      </c>
      <c r="F113" s="149" t="n">
        <f aca="false">IF(C113="MAT.",VLOOKUP(A113,INSUMOS_AUX!$A$3:$H$813,6,0),0)</f>
        <v>1.31</v>
      </c>
      <c r="G113" s="149" t="n">
        <f aca="false">IF(C113="M.O.",VLOOKUP(A113,INSUMOS_AUX!A:F,6,0),0)</f>
        <v>0</v>
      </c>
    </row>
    <row r="114" customFormat="false" ht="21" hidden="false" customHeight="false" outlineLevel="0" collapsed="false">
      <c r="A114" s="154" t="n">
        <v>43491</v>
      </c>
      <c r="B114" s="155" t="s">
        <v>1457</v>
      </c>
      <c r="C114" s="148" t="str">
        <f aca="false">VLOOKUP($A114,INSUMOS_AUX!$A$3:$H$813,3,0)</f>
        <v>MAT.</v>
      </c>
      <c r="D114" s="156" t="s">
        <v>1444</v>
      </c>
      <c r="E114" s="154" t="n">
        <v>0.0951</v>
      </c>
      <c r="F114" s="149" t="n">
        <f aca="false">IF(C114="MAT.",VLOOKUP(A114,INSUMOS_AUX!$A$3:$H$813,6,0),0)</f>
        <v>1.39</v>
      </c>
      <c r="G114" s="149" t="n">
        <f aca="false">IF(C114="M.O.",VLOOKUP(A114,INSUMOS_AUX!A:F,6,0),0)</f>
        <v>0</v>
      </c>
    </row>
    <row r="115" customFormat="false" ht="21" hidden="false" customHeight="false" outlineLevel="0" collapsed="false">
      <c r="A115" s="154" t="n">
        <v>37372</v>
      </c>
      <c r="B115" s="155" t="s">
        <v>1446</v>
      </c>
      <c r="C115" s="148" t="str">
        <f aca="false">VLOOKUP($A115,INSUMOS_AUX!$A$3:$H$813,3,0)</f>
        <v>MAT.</v>
      </c>
      <c r="D115" s="156" t="s">
        <v>1444</v>
      </c>
      <c r="E115" s="154" t="n">
        <v>0.1287</v>
      </c>
      <c r="F115" s="149" t="n">
        <f aca="false">IF(C115="MAT.",VLOOKUP(A115,INSUMOS_AUX!$A$3:$H$813,6,0),0)</f>
        <v>1.43</v>
      </c>
      <c r="G115" s="149" t="n">
        <f aca="false">IF(C115="M.O.",VLOOKUP(A115,INSUMOS_AUX!A:F,6,0),0)</f>
        <v>0</v>
      </c>
    </row>
    <row r="116" customFormat="false" ht="21" hidden="false" customHeight="false" outlineLevel="0" collapsed="false">
      <c r="A116" s="154" t="n">
        <v>43465</v>
      </c>
      <c r="B116" s="155" t="s">
        <v>1458</v>
      </c>
      <c r="C116" s="148" t="str">
        <f aca="false">VLOOKUP($A116,INSUMOS_AUX!$A$3:$H$813,3,0)</f>
        <v>MAT.</v>
      </c>
      <c r="D116" s="156" t="s">
        <v>1444</v>
      </c>
      <c r="E116" s="154" t="n">
        <v>0.0336</v>
      </c>
      <c r="F116" s="149" t="n">
        <f aca="false">IF(C116="MAT.",VLOOKUP(A116,INSUMOS_AUX!$A$3:$H$813,6,0),0)</f>
        <v>0.78</v>
      </c>
      <c r="G116" s="149" t="n">
        <f aca="false">IF(C116="M.O.",VLOOKUP(A116,INSUMOS_AUX!A:F,6,0),0)</f>
        <v>0</v>
      </c>
    </row>
    <row r="117" customFormat="false" ht="21" hidden="false" customHeight="false" outlineLevel="0" collapsed="false">
      <c r="A117" s="154" t="n">
        <v>43467</v>
      </c>
      <c r="B117" s="155" t="s">
        <v>1459</v>
      </c>
      <c r="C117" s="148" t="str">
        <f aca="false">VLOOKUP($A117,INSUMOS_AUX!$A$3:$H$813,3,0)</f>
        <v>MAT.</v>
      </c>
      <c r="D117" s="156" t="s">
        <v>1444</v>
      </c>
      <c r="E117" s="154" t="n">
        <v>0.0951</v>
      </c>
      <c r="F117" s="149" t="n">
        <f aca="false">IF(C117="MAT.",VLOOKUP(A117,INSUMOS_AUX!$A$3:$H$813,6,0),0)</f>
        <v>0.61</v>
      </c>
      <c r="G117" s="149" t="n">
        <f aca="false">IF(C117="M.O.",VLOOKUP(A117,INSUMOS_AUX!A:F,6,0),0)</f>
        <v>0</v>
      </c>
    </row>
    <row r="118" customFormat="false" ht="21" hidden="false" customHeight="false" outlineLevel="0" collapsed="false">
      <c r="A118" s="154" t="n">
        <v>37373</v>
      </c>
      <c r="B118" s="155" t="s">
        <v>1448</v>
      </c>
      <c r="C118" s="148" t="str">
        <f aca="false">VLOOKUP($A118,INSUMOS_AUX!$A$3:$H$813,3,0)</f>
        <v>MAT.</v>
      </c>
      <c r="D118" s="156" t="s">
        <v>1444</v>
      </c>
      <c r="E118" s="154" t="n">
        <v>0.1287</v>
      </c>
      <c r="F118" s="149" t="n">
        <f aca="false">IF(C118="MAT.",VLOOKUP(A118,INSUMOS_AUX!$A$3:$H$813,6,0),0)</f>
        <v>0.08</v>
      </c>
      <c r="G118" s="149" t="n">
        <f aca="false">IF(C118="M.O.",VLOOKUP(A118,INSUMOS_AUX!A:F,6,0),0)</f>
        <v>0</v>
      </c>
    </row>
    <row r="119" customFormat="false" ht="21" hidden="false" customHeight="false" outlineLevel="0" collapsed="false">
      <c r="A119" s="154" t="n">
        <v>37371</v>
      </c>
      <c r="B119" s="155" t="s">
        <v>1449</v>
      </c>
      <c r="C119" s="148" t="s">
        <v>59</v>
      </c>
      <c r="D119" s="156" t="s">
        <v>1444</v>
      </c>
      <c r="E119" s="154" t="n">
        <v>0.1287</v>
      </c>
      <c r="F119" s="149" t="n">
        <f aca="false">IF(C119="MAT.",VLOOKUP(A119,INSUMOS_AUX!$A$3:$H$813,6,0),0)</f>
        <v>0</v>
      </c>
      <c r="G119" s="149" t="n">
        <f aca="false">IF(C119="M.O.",VLOOKUP(A119,INSUMOS_AUX!A:F,6,0),0)</f>
        <v>0</v>
      </c>
    </row>
    <row r="120" customFormat="false" ht="15" hidden="false" customHeight="false" outlineLevel="0" collapsed="false">
      <c r="A120" s="154" t="n">
        <v>12872</v>
      </c>
      <c r="B120" s="155" t="s">
        <v>1478</v>
      </c>
      <c r="C120" s="148" t="str">
        <f aca="false">VLOOKUP($A120,INSUMOS_AUX!$A$3:$H$813,3,0)</f>
        <v>M.O.</v>
      </c>
      <c r="D120" s="156" t="s">
        <v>1444</v>
      </c>
      <c r="E120" s="154" t="n">
        <v>0.033987744</v>
      </c>
      <c r="F120" s="149" t="n">
        <f aca="false">IF(C120="MAT.",VLOOKUP(A120,INSUMOS_AUX!$A$3:$H$813,6,0),0)</f>
        <v>0</v>
      </c>
      <c r="G120" s="149" t="n">
        <f aca="false">IF(C120="M.O.",VLOOKUP(A120,INSUMOS_AUX!A:F,6,0),0)</f>
        <v>18.31</v>
      </c>
    </row>
    <row r="121" customFormat="false" ht="15" hidden="false" customHeight="false" outlineLevel="0" collapsed="false">
      <c r="A121" s="154" t="n">
        <v>6111</v>
      </c>
      <c r="B121" s="155" t="s">
        <v>1464</v>
      </c>
      <c r="C121" s="148" t="str">
        <f aca="false">VLOOKUP($A121,INSUMOS_AUX!$A$3:$H$813,3,0)</f>
        <v>M.O.</v>
      </c>
      <c r="D121" s="156" t="s">
        <v>1444</v>
      </c>
      <c r="E121" s="154" t="n">
        <v>0.09711612</v>
      </c>
      <c r="F121" s="149" t="n">
        <f aca="false">IF(C121="MAT.",VLOOKUP(A121,INSUMOS_AUX!$A$3:$H$813,6,0),0)</f>
        <v>0</v>
      </c>
      <c r="G121" s="149" t="n">
        <f aca="false">IF(C121="M.O.",VLOOKUP(A121,INSUMOS_AUX!A:F,6,0),0)</f>
        <v>12.95</v>
      </c>
    </row>
    <row r="122" customFormat="false" ht="21" hidden="false" customHeight="false" outlineLevel="0" collapsed="false">
      <c r="A122" s="150" t="n">
        <v>97645</v>
      </c>
      <c r="B122" s="151" t="s">
        <v>1479</v>
      </c>
      <c r="C122" s="152" t="s">
        <v>59</v>
      </c>
      <c r="D122" s="152" t="s">
        <v>1477</v>
      </c>
      <c r="E122" s="150"/>
      <c r="F122" s="153" t="n">
        <f aca="false">(SUMPRODUCT($E123:$E132,F123:F132))*1</f>
        <v>7.362732</v>
      </c>
      <c r="G122" s="153" t="n">
        <f aca="false">(SUMPRODUCT($E123:$E132,G123:G132))*1</f>
        <v>16.2910749288</v>
      </c>
    </row>
    <row r="123" customFormat="false" ht="21" hidden="false" customHeight="false" outlineLevel="0" collapsed="false">
      <c r="A123" s="154" t="n">
        <v>37370</v>
      </c>
      <c r="B123" s="155" t="s">
        <v>1443</v>
      </c>
      <c r="C123" s="148" t="str">
        <f aca="false">VLOOKUP($A123,INSUMOS_AUX!$A$3:$H$813,3,0)</f>
        <v>MAT.</v>
      </c>
      <c r="D123" s="156" t="s">
        <v>1444</v>
      </c>
      <c r="E123" s="154" t="n">
        <v>1.0743</v>
      </c>
      <c r="F123" s="149" t="n">
        <f aca="false">IF(C123="MAT.",VLOOKUP(A123,INSUMOS_AUX!$A$3:$H$813,6,0),0)</f>
        <v>3.32</v>
      </c>
      <c r="G123" s="149" t="n">
        <f aca="false">IF(C123="M.O.",VLOOKUP(A123,INSUMOS_AUX!A:F,6,0),0)</f>
        <v>0</v>
      </c>
    </row>
    <row r="124" customFormat="false" ht="21" hidden="false" customHeight="false" outlineLevel="0" collapsed="false">
      <c r="A124" s="154" t="n">
        <v>43489</v>
      </c>
      <c r="B124" s="155" t="s">
        <v>1456</v>
      </c>
      <c r="C124" s="148" t="str">
        <f aca="false">VLOOKUP($A124,INSUMOS_AUX!$A$3:$H$813,3,0)</f>
        <v>MAT.</v>
      </c>
      <c r="D124" s="156" t="s">
        <v>1444</v>
      </c>
      <c r="E124" s="154" t="n">
        <v>0.2807</v>
      </c>
      <c r="F124" s="149" t="n">
        <f aca="false">IF(C124="MAT.",VLOOKUP(A124,INSUMOS_AUX!$A$3:$H$813,6,0),0)</f>
        <v>1.31</v>
      </c>
      <c r="G124" s="149" t="n">
        <f aca="false">IF(C124="M.O.",VLOOKUP(A124,INSUMOS_AUX!A:F,6,0),0)</f>
        <v>0</v>
      </c>
    </row>
    <row r="125" customFormat="false" ht="21" hidden="false" customHeight="false" outlineLevel="0" collapsed="false">
      <c r="A125" s="154" t="n">
        <v>43491</v>
      </c>
      <c r="B125" s="155" t="s">
        <v>1457</v>
      </c>
      <c r="C125" s="148" t="str">
        <f aca="false">VLOOKUP($A125,INSUMOS_AUX!$A$3:$H$813,3,0)</f>
        <v>MAT.</v>
      </c>
      <c r="D125" s="156" t="s">
        <v>1444</v>
      </c>
      <c r="E125" s="154" t="n">
        <v>0.7936</v>
      </c>
      <c r="F125" s="149" t="n">
        <f aca="false">IF(C125="MAT.",VLOOKUP(A125,INSUMOS_AUX!$A$3:$H$813,6,0),0)</f>
        <v>1.39</v>
      </c>
      <c r="G125" s="149" t="n">
        <f aca="false">IF(C125="M.O.",VLOOKUP(A125,INSUMOS_AUX!A:F,6,0),0)</f>
        <v>0</v>
      </c>
    </row>
    <row r="126" customFormat="false" ht="21" hidden="false" customHeight="false" outlineLevel="0" collapsed="false">
      <c r="A126" s="154" t="n">
        <v>37372</v>
      </c>
      <c r="B126" s="155" t="s">
        <v>1446</v>
      </c>
      <c r="C126" s="148" t="str">
        <f aca="false">VLOOKUP($A126,INSUMOS_AUX!$A$3:$H$813,3,0)</f>
        <v>MAT.</v>
      </c>
      <c r="D126" s="156" t="s">
        <v>1444</v>
      </c>
      <c r="E126" s="154" t="n">
        <v>1.0743</v>
      </c>
      <c r="F126" s="149" t="n">
        <f aca="false">IF(C126="MAT.",VLOOKUP(A126,INSUMOS_AUX!$A$3:$H$813,6,0),0)</f>
        <v>1.43</v>
      </c>
      <c r="G126" s="149" t="n">
        <f aca="false">IF(C126="M.O.",VLOOKUP(A126,INSUMOS_AUX!A:F,6,0),0)</f>
        <v>0</v>
      </c>
    </row>
    <row r="127" customFormat="false" ht="21" hidden="false" customHeight="false" outlineLevel="0" collapsed="false">
      <c r="A127" s="154" t="n">
        <v>43465</v>
      </c>
      <c r="B127" s="155" t="s">
        <v>1458</v>
      </c>
      <c r="C127" s="148" t="str">
        <f aca="false">VLOOKUP($A127,INSUMOS_AUX!$A$3:$H$813,3,0)</f>
        <v>MAT.</v>
      </c>
      <c r="D127" s="156" t="s">
        <v>1444</v>
      </c>
      <c r="E127" s="154" t="n">
        <v>0.2807</v>
      </c>
      <c r="F127" s="149" t="n">
        <f aca="false">IF(C127="MAT.",VLOOKUP(A127,INSUMOS_AUX!$A$3:$H$813,6,0),0)</f>
        <v>0.78</v>
      </c>
      <c r="G127" s="149" t="n">
        <f aca="false">IF(C127="M.O.",VLOOKUP(A127,INSUMOS_AUX!A:F,6,0),0)</f>
        <v>0</v>
      </c>
    </row>
    <row r="128" customFormat="false" ht="21" hidden="false" customHeight="false" outlineLevel="0" collapsed="false">
      <c r="A128" s="154" t="n">
        <v>43467</v>
      </c>
      <c r="B128" s="155" t="s">
        <v>1459</v>
      </c>
      <c r="C128" s="148" t="str">
        <f aca="false">VLOOKUP($A128,INSUMOS_AUX!$A$3:$H$813,3,0)</f>
        <v>MAT.</v>
      </c>
      <c r="D128" s="156" t="s">
        <v>1444</v>
      </c>
      <c r="E128" s="154" t="n">
        <v>0.7936</v>
      </c>
      <c r="F128" s="149" t="n">
        <f aca="false">IF(C128="MAT.",VLOOKUP(A128,INSUMOS_AUX!$A$3:$H$813,6,0),0)</f>
        <v>0.61</v>
      </c>
      <c r="G128" s="149" t="n">
        <f aca="false">IF(C128="M.O.",VLOOKUP(A128,INSUMOS_AUX!A:F,6,0),0)</f>
        <v>0</v>
      </c>
    </row>
    <row r="129" customFormat="false" ht="21" hidden="false" customHeight="false" outlineLevel="0" collapsed="false">
      <c r="A129" s="154" t="n">
        <v>37373</v>
      </c>
      <c r="B129" s="155" t="s">
        <v>1448</v>
      </c>
      <c r="C129" s="148" t="str">
        <f aca="false">VLOOKUP($A129,INSUMOS_AUX!$A$3:$H$813,3,0)</f>
        <v>MAT.</v>
      </c>
      <c r="D129" s="156" t="s">
        <v>1444</v>
      </c>
      <c r="E129" s="154" t="n">
        <v>1.0743</v>
      </c>
      <c r="F129" s="149" t="n">
        <f aca="false">IF(C129="MAT.",VLOOKUP(A129,INSUMOS_AUX!$A$3:$H$813,6,0),0)</f>
        <v>0.08</v>
      </c>
      <c r="G129" s="149" t="n">
        <f aca="false">IF(C129="M.O.",VLOOKUP(A129,INSUMOS_AUX!A:F,6,0),0)</f>
        <v>0</v>
      </c>
    </row>
    <row r="130" customFormat="false" ht="21" hidden="false" customHeight="false" outlineLevel="0" collapsed="false">
      <c r="A130" s="154" t="n">
        <v>37371</v>
      </c>
      <c r="B130" s="155" t="s">
        <v>1449</v>
      </c>
      <c r="C130" s="148" t="s">
        <v>59</v>
      </c>
      <c r="D130" s="156" t="s">
        <v>1444</v>
      </c>
      <c r="E130" s="154" t="n">
        <v>1.0743</v>
      </c>
      <c r="F130" s="149" t="n">
        <f aca="false">IF(C130="MAT.",VLOOKUP(A130,INSUMOS_AUX!$A$3:$H$813,6,0),0)</f>
        <v>0</v>
      </c>
      <c r="G130" s="149" t="n">
        <f aca="false">IF(C130="M.O.",VLOOKUP(A130,INSUMOS_AUX!A:F,6,0),0)</f>
        <v>0</v>
      </c>
    </row>
    <row r="131" customFormat="false" ht="15" hidden="false" customHeight="false" outlineLevel="0" collapsed="false">
      <c r="A131" s="154" t="n">
        <v>4750</v>
      </c>
      <c r="B131" s="155" t="s">
        <v>1463</v>
      </c>
      <c r="C131" s="148" t="str">
        <f aca="false">VLOOKUP($A131,INSUMOS_AUX!$A$3:$H$813,3,0)</f>
        <v>M.O.</v>
      </c>
      <c r="D131" s="156" t="s">
        <v>1444</v>
      </c>
      <c r="E131" s="154" t="n">
        <v>0.28665084</v>
      </c>
      <c r="F131" s="149" t="n">
        <f aca="false">IF(C131="MAT.",VLOOKUP(A131,INSUMOS_AUX!$A$3:$H$813,6,0),0)</f>
        <v>0</v>
      </c>
      <c r="G131" s="149" t="n">
        <f aca="false">IF(C131="M.O.",VLOOKUP(A131,INSUMOS_AUX!A:F,6,0),0)</f>
        <v>20.22</v>
      </c>
    </row>
    <row r="132" customFormat="false" ht="15" hidden="false" customHeight="false" outlineLevel="0" collapsed="false">
      <c r="A132" s="154" t="n">
        <v>6111</v>
      </c>
      <c r="B132" s="155" t="s">
        <v>1464</v>
      </c>
      <c r="C132" s="148" t="str">
        <f aca="false">VLOOKUP($A132,INSUMOS_AUX!$A$3:$H$813,3,0)</f>
        <v>M.O.</v>
      </c>
      <c r="D132" s="156" t="s">
        <v>1444</v>
      </c>
      <c r="E132" s="154" t="n">
        <v>0.81042432</v>
      </c>
      <c r="F132" s="149" t="n">
        <f aca="false">IF(C132="MAT.",VLOOKUP(A132,INSUMOS_AUX!$A$3:$H$813,6,0),0)</f>
        <v>0</v>
      </c>
      <c r="G132" s="149" t="n">
        <f aca="false">IF(C132="M.O.",VLOOKUP(A132,INSUMOS_AUX!A:F,6,0),0)</f>
        <v>12.95</v>
      </c>
    </row>
    <row r="133" customFormat="false" ht="21" hidden="false" customHeight="false" outlineLevel="0" collapsed="false">
      <c r="A133" s="150" t="n">
        <v>97663</v>
      </c>
      <c r="B133" s="151" t="s">
        <v>1480</v>
      </c>
      <c r="C133" s="152" t="s">
        <v>59</v>
      </c>
      <c r="D133" s="152" t="s">
        <v>31</v>
      </c>
      <c r="E133" s="150"/>
      <c r="F133" s="153" t="n">
        <f aca="false">(SUMPRODUCT($E134:$E143,F134:F143))*1</f>
        <v>3.705464</v>
      </c>
      <c r="G133" s="153" t="n">
        <f aca="false">(SUMPRODUCT($E134:$E143,G134:G143))*1</f>
        <v>8.39727043488</v>
      </c>
    </row>
    <row r="134" customFormat="false" ht="21" hidden="false" customHeight="false" outlineLevel="0" collapsed="false">
      <c r="A134" s="154" t="n">
        <v>37370</v>
      </c>
      <c r="B134" s="155" t="s">
        <v>1443</v>
      </c>
      <c r="C134" s="148" t="str">
        <f aca="false">VLOOKUP($A134,INSUMOS_AUX!$A$3:$H$813,3,0)</f>
        <v>MAT.</v>
      </c>
      <c r="D134" s="156" t="s">
        <v>1444</v>
      </c>
      <c r="E134" s="154" t="n">
        <v>0.5544</v>
      </c>
      <c r="F134" s="149" t="n">
        <f aca="false">IF(C134="MAT.",VLOOKUP(A134,INSUMOS_AUX!$A$3:$H$813,6,0),0)</f>
        <v>3.32</v>
      </c>
      <c r="G134" s="149" t="n">
        <f aca="false">IF(C134="M.O.",VLOOKUP(A134,INSUMOS_AUX!A:F,6,0),0)</f>
        <v>0</v>
      </c>
    </row>
    <row r="135" customFormat="false" ht="21" hidden="false" customHeight="false" outlineLevel="0" collapsed="false">
      <c r="A135" s="154" t="n">
        <v>43485</v>
      </c>
      <c r="B135" s="155" t="s">
        <v>1481</v>
      </c>
      <c r="C135" s="148" t="str">
        <f aca="false">VLOOKUP($A135,INSUMOS_AUX!$A$3:$H$813,3,0)</f>
        <v>MAT.</v>
      </c>
      <c r="D135" s="156" t="s">
        <v>1444</v>
      </c>
      <c r="E135" s="154" t="n">
        <v>0.1448</v>
      </c>
      <c r="F135" s="149" t="n">
        <f aca="false">IF(C135="MAT.",VLOOKUP(A135,INSUMOS_AUX!$A$3:$H$813,6,0),0)</f>
        <v>1.13</v>
      </c>
      <c r="G135" s="149" t="n">
        <f aca="false">IF(C135="M.O.",VLOOKUP(A135,INSUMOS_AUX!A:F,6,0),0)</f>
        <v>0</v>
      </c>
    </row>
    <row r="136" customFormat="false" ht="21" hidden="false" customHeight="false" outlineLevel="0" collapsed="false">
      <c r="A136" s="154" t="n">
        <v>43491</v>
      </c>
      <c r="B136" s="155" t="s">
        <v>1457</v>
      </c>
      <c r="C136" s="148" t="str">
        <f aca="false">VLOOKUP($A136,INSUMOS_AUX!$A$3:$H$813,3,0)</f>
        <v>MAT.</v>
      </c>
      <c r="D136" s="156" t="s">
        <v>1444</v>
      </c>
      <c r="E136" s="154" t="n">
        <v>0.4096</v>
      </c>
      <c r="F136" s="149" t="n">
        <f aca="false">IF(C136="MAT.",VLOOKUP(A136,INSUMOS_AUX!$A$3:$H$813,6,0),0)</f>
        <v>1.39</v>
      </c>
      <c r="G136" s="149" t="n">
        <f aca="false">IF(C136="M.O.",VLOOKUP(A136,INSUMOS_AUX!A:F,6,0),0)</f>
        <v>0</v>
      </c>
    </row>
    <row r="137" customFormat="false" ht="21" hidden="false" customHeight="false" outlineLevel="0" collapsed="false">
      <c r="A137" s="154" t="n">
        <v>37372</v>
      </c>
      <c r="B137" s="155" t="s">
        <v>1446</v>
      </c>
      <c r="C137" s="148" t="str">
        <f aca="false">VLOOKUP($A137,INSUMOS_AUX!$A$3:$H$813,3,0)</f>
        <v>MAT.</v>
      </c>
      <c r="D137" s="156" t="s">
        <v>1444</v>
      </c>
      <c r="E137" s="154" t="n">
        <v>0.5544</v>
      </c>
      <c r="F137" s="149" t="n">
        <f aca="false">IF(C137="MAT.",VLOOKUP(A137,INSUMOS_AUX!$A$3:$H$813,6,0),0)</f>
        <v>1.43</v>
      </c>
      <c r="G137" s="149" t="n">
        <f aca="false">IF(C137="M.O.",VLOOKUP(A137,INSUMOS_AUX!A:F,6,0),0)</f>
        <v>0</v>
      </c>
    </row>
    <row r="138" customFormat="false" ht="21" hidden="false" customHeight="false" outlineLevel="0" collapsed="false">
      <c r="A138" s="154" t="n">
        <v>43461</v>
      </c>
      <c r="B138" s="155" t="s">
        <v>1482</v>
      </c>
      <c r="C138" s="148" t="str">
        <f aca="false">VLOOKUP($A138,INSUMOS_AUX!$A$3:$H$813,3,0)</f>
        <v>MAT.</v>
      </c>
      <c r="D138" s="156" t="s">
        <v>1444</v>
      </c>
      <c r="E138" s="154" t="n">
        <v>0.1448</v>
      </c>
      <c r="F138" s="149" t="n">
        <f aca="false">IF(C138="MAT.",VLOOKUP(A138,INSUMOS_AUX!$A$3:$H$813,6,0),0)</f>
        <v>0.31</v>
      </c>
      <c r="G138" s="149" t="n">
        <f aca="false">IF(C138="M.O.",VLOOKUP(A138,INSUMOS_AUX!A:F,6,0),0)</f>
        <v>0</v>
      </c>
    </row>
    <row r="139" customFormat="false" ht="21" hidden="false" customHeight="false" outlineLevel="0" collapsed="false">
      <c r="A139" s="154" t="n">
        <v>43467</v>
      </c>
      <c r="B139" s="155" t="s">
        <v>1459</v>
      </c>
      <c r="C139" s="148" t="str">
        <f aca="false">VLOOKUP($A139,INSUMOS_AUX!$A$3:$H$813,3,0)</f>
        <v>MAT.</v>
      </c>
      <c r="D139" s="156" t="s">
        <v>1444</v>
      </c>
      <c r="E139" s="154" t="n">
        <v>0.4096</v>
      </c>
      <c r="F139" s="149" t="n">
        <f aca="false">IF(C139="MAT.",VLOOKUP(A139,INSUMOS_AUX!$A$3:$H$813,6,0),0)</f>
        <v>0.61</v>
      </c>
      <c r="G139" s="149" t="n">
        <f aca="false">IF(C139="M.O.",VLOOKUP(A139,INSUMOS_AUX!A:F,6,0),0)</f>
        <v>0</v>
      </c>
    </row>
    <row r="140" customFormat="false" ht="21" hidden="false" customHeight="false" outlineLevel="0" collapsed="false">
      <c r="A140" s="154" t="n">
        <v>37373</v>
      </c>
      <c r="B140" s="155" t="s">
        <v>1448</v>
      </c>
      <c r="C140" s="148" t="str">
        <f aca="false">VLOOKUP($A140,INSUMOS_AUX!$A$3:$H$813,3,0)</f>
        <v>MAT.</v>
      </c>
      <c r="D140" s="156" t="s">
        <v>1444</v>
      </c>
      <c r="E140" s="154" t="n">
        <v>0.5544</v>
      </c>
      <c r="F140" s="149" t="n">
        <f aca="false">IF(C140="MAT.",VLOOKUP(A140,INSUMOS_AUX!$A$3:$H$813,6,0),0)</f>
        <v>0.08</v>
      </c>
      <c r="G140" s="149" t="n">
        <f aca="false">IF(C140="M.O.",VLOOKUP(A140,INSUMOS_AUX!A:F,6,0),0)</f>
        <v>0</v>
      </c>
    </row>
    <row r="141" customFormat="false" ht="21" hidden="false" customHeight="false" outlineLevel="0" collapsed="false">
      <c r="A141" s="154" t="n">
        <v>37371</v>
      </c>
      <c r="B141" s="155" t="s">
        <v>1449</v>
      </c>
      <c r="C141" s="148" t="s">
        <v>59</v>
      </c>
      <c r="D141" s="156" t="s">
        <v>1444</v>
      </c>
      <c r="E141" s="154" t="n">
        <v>0.5544</v>
      </c>
      <c r="F141" s="149" t="n">
        <f aca="false">IF(C141="MAT.",VLOOKUP(A141,INSUMOS_AUX!$A$3:$H$813,6,0),0)</f>
        <v>0</v>
      </c>
      <c r="G141" s="149" t="n">
        <f aca="false">IF(C141="M.O.",VLOOKUP(A141,INSUMOS_AUX!A:F,6,0),0)</f>
        <v>0</v>
      </c>
    </row>
    <row r="142" customFormat="false" ht="15" hidden="false" customHeight="false" outlineLevel="0" collapsed="false">
      <c r="A142" s="154" t="n">
        <v>2696</v>
      </c>
      <c r="B142" s="155" t="s">
        <v>1483</v>
      </c>
      <c r="C142" s="148" t="str">
        <f aca="false">VLOOKUP($A142,INSUMOS_AUX!$A$3:$H$813,3,0)</f>
        <v>M.O.</v>
      </c>
      <c r="D142" s="156" t="s">
        <v>1444</v>
      </c>
      <c r="E142" s="154" t="n">
        <v>0.147403504</v>
      </c>
      <c r="F142" s="149" t="n">
        <f aca="false">IF(C142="MAT.",VLOOKUP(A142,INSUMOS_AUX!$A$3:$H$813,6,0),0)</f>
        <v>0</v>
      </c>
      <c r="G142" s="149" t="n">
        <f aca="false">IF(C142="M.O.",VLOOKUP(A142,INSUMOS_AUX!A:F,6,0),0)</f>
        <v>20.22</v>
      </c>
    </row>
    <row r="143" customFormat="false" ht="15" hidden="false" customHeight="false" outlineLevel="0" collapsed="false">
      <c r="A143" s="154" t="n">
        <v>6111</v>
      </c>
      <c r="B143" s="155" t="s">
        <v>1464</v>
      </c>
      <c r="C143" s="148" t="str">
        <f aca="false">VLOOKUP($A143,INSUMOS_AUX!$A$3:$H$813,3,0)</f>
        <v>M.O.</v>
      </c>
      <c r="D143" s="156" t="s">
        <v>1444</v>
      </c>
      <c r="E143" s="154" t="n">
        <v>0.41828352</v>
      </c>
      <c r="F143" s="149" t="n">
        <f aca="false">IF(C143="MAT.",VLOOKUP(A143,INSUMOS_AUX!$A$3:$H$813,6,0),0)</f>
        <v>0</v>
      </c>
      <c r="G143" s="149" t="n">
        <f aca="false">IF(C143="M.O.",VLOOKUP(A143,INSUMOS_AUX!A:F,6,0),0)</f>
        <v>12.95</v>
      </c>
    </row>
    <row r="144" customFormat="false" ht="21" hidden="false" customHeight="false" outlineLevel="0" collapsed="false">
      <c r="A144" s="150" t="n">
        <v>97644</v>
      </c>
      <c r="B144" s="151" t="s">
        <v>1484</v>
      </c>
      <c r="C144" s="152" t="s">
        <v>59</v>
      </c>
      <c r="D144" s="152" t="s">
        <v>1477</v>
      </c>
      <c r="E144" s="150"/>
      <c r="F144" s="153" t="n">
        <f aca="false">(SUMPRODUCT($E145:$E154,F145:F154))*1</f>
        <v>2.852429</v>
      </c>
      <c r="G144" s="153" t="n">
        <f aca="false">(SUMPRODUCT($E145:$E154,G145:G154))*1</f>
        <v>6.3110558268</v>
      </c>
    </row>
    <row r="145" customFormat="false" ht="21" hidden="false" customHeight="false" outlineLevel="0" collapsed="false">
      <c r="A145" s="154" t="n">
        <v>37370</v>
      </c>
      <c r="B145" s="155" t="s">
        <v>1443</v>
      </c>
      <c r="C145" s="148" t="str">
        <f aca="false">VLOOKUP($A145,INSUMOS_AUX!$A$3:$H$813,3,0)</f>
        <v>MAT.</v>
      </c>
      <c r="D145" s="156" t="s">
        <v>1444</v>
      </c>
      <c r="E145" s="154" t="n">
        <v>0.4162</v>
      </c>
      <c r="F145" s="149" t="n">
        <f aca="false">IF(C145="MAT.",VLOOKUP(A145,INSUMOS_AUX!$A$3:$H$813,6,0),0)</f>
        <v>3.32</v>
      </c>
      <c r="G145" s="149" t="n">
        <f aca="false">IF(C145="M.O.",VLOOKUP(A145,INSUMOS_AUX!A:F,6,0),0)</f>
        <v>0</v>
      </c>
    </row>
    <row r="146" customFormat="false" ht="21" hidden="false" customHeight="false" outlineLevel="0" collapsed="false">
      <c r="A146" s="154" t="n">
        <v>43489</v>
      </c>
      <c r="B146" s="155" t="s">
        <v>1456</v>
      </c>
      <c r="C146" s="148" t="str">
        <f aca="false">VLOOKUP($A146,INSUMOS_AUX!$A$3:$H$813,3,0)</f>
        <v>MAT.</v>
      </c>
      <c r="D146" s="156" t="s">
        <v>1444</v>
      </c>
      <c r="E146" s="154" t="n">
        <v>0.1087</v>
      </c>
      <c r="F146" s="149" t="n">
        <f aca="false">IF(C146="MAT.",VLOOKUP(A146,INSUMOS_AUX!$A$3:$H$813,6,0),0)</f>
        <v>1.31</v>
      </c>
      <c r="G146" s="149" t="n">
        <f aca="false">IF(C146="M.O.",VLOOKUP(A146,INSUMOS_AUX!A:F,6,0),0)</f>
        <v>0</v>
      </c>
    </row>
    <row r="147" customFormat="false" ht="21" hidden="false" customHeight="false" outlineLevel="0" collapsed="false">
      <c r="A147" s="154" t="n">
        <v>43491</v>
      </c>
      <c r="B147" s="155" t="s">
        <v>1457</v>
      </c>
      <c r="C147" s="148" t="str">
        <f aca="false">VLOOKUP($A147,INSUMOS_AUX!$A$3:$H$813,3,0)</f>
        <v>MAT.</v>
      </c>
      <c r="D147" s="156" t="s">
        <v>1444</v>
      </c>
      <c r="E147" s="154" t="n">
        <v>0.3075</v>
      </c>
      <c r="F147" s="149" t="n">
        <f aca="false">IF(C147="MAT.",VLOOKUP(A147,INSUMOS_AUX!$A$3:$H$813,6,0),0)</f>
        <v>1.39</v>
      </c>
      <c r="G147" s="149" t="n">
        <f aca="false">IF(C147="M.O.",VLOOKUP(A147,INSUMOS_AUX!A:F,6,0),0)</f>
        <v>0</v>
      </c>
    </row>
    <row r="148" customFormat="false" ht="21" hidden="false" customHeight="false" outlineLevel="0" collapsed="false">
      <c r="A148" s="154" t="n">
        <v>37372</v>
      </c>
      <c r="B148" s="155" t="s">
        <v>1446</v>
      </c>
      <c r="C148" s="148" t="str">
        <f aca="false">VLOOKUP($A148,INSUMOS_AUX!$A$3:$H$813,3,0)</f>
        <v>MAT.</v>
      </c>
      <c r="D148" s="156" t="s">
        <v>1444</v>
      </c>
      <c r="E148" s="154" t="n">
        <v>0.4162</v>
      </c>
      <c r="F148" s="149" t="n">
        <f aca="false">IF(C148="MAT.",VLOOKUP(A148,INSUMOS_AUX!$A$3:$H$813,6,0),0)</f>
        <v>1.43</v>
      </c>
      <c r="G148" s="149" t="n">
        <f aca="false">IF(C148="M.O.",VLOOKUP(A148,INSUMOS_AUX!A:F,6,0),0)</f>
        <v>0</v>
      </c>
    </row>
    <row r="149" customFormat="false" ht="21" hidden="false" customHeight="false" outlineLevel="0" collapsed="false">
      <c r="A149" s="154" t="n">
        <v>43465</v>
      </c>
      <c r="B149" s="155" t="s">
        <v>1458</v>
      </c>
      <c r="C149" s="148" t="str">
        <f aca="false">VLOOKUP($A149,INSUMOS_AUX!$A$3:$H$813,3,0)</f>
        <v>MAT.</v>
      </c>
      <c r="D149" s="156" t="s">
        <v>1444</v>
      </c>
      <c r="E149" s="154" t="n">
        <v>0.1087</v>
      </c>
      <c r="F149" s="149" t="n">
        <f aca="false">IF(C149="MAT.",VLOOKUP(A149,INSUMOS_AUX!$A$3:$H$813,6,0),0)</f>
        <v>0.78</v>
      </c>
      <c r="G149" s="149" t="n">
        <f aca="false">IF(C149="M.O.",VLOOKUP(A149,INSUMOS_AUX!A:F,6,0),0)</f>
        <v>0</v>
      </c>
    </row>
    <row r="150" customFormat="false" ht="21" hidden="false" customHeight="false" outlineLevel="0" collapsed="false">
      <c r="A150" s="154" t="n">
        <v>43467</v>
      </c>
      <c r="B150" s="155" t="s">
        <v>1459</v>
      </c>
      <c r="C150" s="148" t="str">
        <f aca="false">VLOOKUP($A150,INSUMOS_AUX!$A$3:$H$813,3,0)</f>
        <v>MAT.</v>
      </c>
      <c r="D150" s="156" t="s">
        <v>1444</v>
      </c>
      <c r="E150" s="154" t="n">
        <v>0.3075</v>
      </c>
      <c r="F150" s="149" t="n">
        <f aca="false">IF(C150="MAT.",VLOOKUP(A150,INSUMOS_AUX!$A$3:$H$813,6,0),0)</f>
        <v>0.61</v>
      </c>
      <c r="G150" s="149" t="n">
        <f aca="false">IF(C150="M.O.",VLOOKUP(A150,INSUMOS_AUX!A:F,6,0),0)</f>
        <v>0</v>
      </c>
    </row>
    <row r="151" customFormat="false" ht="21" hidden="false" customHeight="false" outlineLevel="0" collapsed="false">
      <c r="A151" s="154" t="n">
        <v>37373</v>
      </c>
      <c r="B151" s="155" t="s">
        <v>1448</v>
      </c>
      <c r="C151" s="148" t="str">
        <f aca="false">VLOOKUP($A151,INSUMOS_AUX!$A$3:$H$813,3,0)</f>
        <v>MAT.</v>
      </c>
      <c r="D151" s="156" t="s">
        <v>1444</v>
      </c>
      <c r="E151" s="154" t="n">
        <v>0.4162</v>
      </c>
      <c r="F151" s="149" t="n">
        <f aca="false">IF(C151="MAT.",VLOOKUP(A151,INSUMOS_AUX!$A$3:$H$813,6,0),0)</f>
        <v>0.08</v>
      </c>
      <c r="G151" s="149" t="n">
        <f aca="false">IF(C151="M.O.",VLOOKUP(A151,INSUMOS_AUX!A:F,6,0),0)</f>
        <v>0</v>
      </c>
    </row>
    <row r="152" customFormat="false" ht="21" hidden="false" customHeight="false" outlineLevel="0" collapsed="false">
      <c r="A152" s="154" t="n">
        <v>37371</v>
      </c>
      <c r="B152" s="155" t="s">
        <v>1449</v>
      </c>
      <c r="C152" s="148" t="s">
        <v>59</v>
      </c>
      <c r="D152" s="156" t="s">
        <v>1444</v>
      </c>
      <c r="E152" s="154" t="n">
        <v>0.4162</v>
      </c>
      <c r="F152" s="149" t="n">
        <f aca="false">IF(C152="MAT.",VLOOKUP(A152,INSUMOS_AUX!$A$3:$H$813,6,0),0)</f>
        <v>0</v>
      </c>
      <c r="G152" s="149" t="n">
        <f aca="false">IF(C152="M.O.",VLOOKUP(A152,INSUMOS_AUX!A:F,6,0),0)</f>
        <v>0</v>
      </c>
    </row>
    <row r="153" customFormat="false" ht="15" hidden="false" customHeight="false" outlineLevel="0" collapsed="false">
      <c r="A153" s="154" t="n">
        <v>4750</v>
      </c>
      <c r="B153" s="155" t="s">
        <v>1463</v>
      </c>
      <c r="C153" s="148" t="str">
        <f aca="false">VLOOKUP($A153,INSUMOS_AUX!$A$3:$H$813,3,0)</f>
        <v>M.O.</v>
      </c>
      <c r="D153" s="156" t="s">
        <v>1444</v>
      </c>
      <c r="E153" s="154" t="n">
        <v>0.11100444</v>
      </c>
      <c r="F153" s="149" t="n">
        <f aca="false">IF(C153="MAT.",VLOOKUP(A153,INSUMOS_AUX!$A$3:$H$813,6,0),0)</f>
        <v>0</v>
      </c>
      <c r="G153" s="149" t="n">
        <f aca="false">IF(C153="M.O.",VLOOKUP(A153,INSUMOS_AUX!A:F,6,0),0)</f>
        <v>20.22</v>
      </c>
    </row>
    <row r="154" customFormat="false" ht="15" hidden="false" customHeight="false" outlineLevel="0" collapsed="false">
      <c r="A154" s="154" t="n">
        <v>6111</v>
      </c>
      <c r="B154" s="155" t="s">
        <v>1464</v>
      </c>
      <c r="C154" s="148" t="str">
        <f aca="false">VLOOKUP($A154,INSUMOS_AUX!$A$3:$H$813,3,0)</f>
        <v>M.O.</v>
      </c>
      <c r="D154" s="156" t="s">
        <v>1444</v>
      </c>
      <c r="E154" s="154" t="n">
        <v>0.314019</v>
      </c>
      <c r="F154" s="149" t="n">
        <f aca="false">IF(C154="MAT.",VLOOKUP(A154,INSUMOS_AUX!$A$3:$H$813,6,0),0)</f>
        <v>0</v>
      </c>
      <c r="G154" s="149" t="n">
        <f aca="false">IF(C154="M.O.",VLOOKUP(A154,INSUMOS_AUX!A:F,6,0),0)</f>
        <v>12.95</v>
      </c>
    </row>
    <row r="155" customFormat="false" ht="21" hidden="false" customHeight="false" outlineLevel="0" collapsed="false">
      <c r="A155" s="150" t="n">
        <v>97647</v>
      </c>
      <c r="B155" s="151" t="s">
        <v>1485</v>
      </c>
      <c r="C155" s="152" t="s">
        <v>59</v>
      </c>
      <c r="D155" s="152" t="s">
        <v>1477</v>
      </c>
      <c r="E155" s="150"/>
      <c r="F155" s="153" t="n">
        <f aca="false">(SUMPRODUCT($E156:$E165,F156:F165))*1</f>
        <v>1.060859</v>
      </c>
      <c r="G155" s="153" t="n">
        <f aca="false">(SUMPRODUCT($E156:$E165,G156:G165))*1</f>
        <v>2.34938068536</v>
      </c>
    </row>
    <row r="156" customFormat="false" ht="21" hidden="false" customHeight="false" outlineLevel="0" collapsed="false">
      <c r="A156" s="154" t="n">
        <v>37370</v>
      </c>
      <c r="B156" s="155" t="s">
        <v>1443</v>
      </c>
      <c r="C156" s="148" t="str">
        <f aca="false">VLOOKUP($A156,INSUMOS_AUX!$A$3:$H$813,3,0)</f>
        <v>MAT.</v>
      </c>
      <c r="D156" s="156" t="s">
        <v>1444</v>
      </c>
      <c r="E156" s="154" t="n">
        <v>0.1561</v>
      </c>
      <c r="F156" s="149" t="n">
        <f aca="false">IF(C156="MAT.",VLOOKUP(A156,INSUMOS_AUX!$A$3:$H$813,6,0),0)</f>
        <v>3.32</v>
      </c>
      <c r="G156" s="149" t="n">
        <f aca="false">IF(C156="M.O.",VLOOKUP(A156,INSUMOS_AUX!A:F,6,0),0)</f>
        <v>0</v>
      </c>
    </row>
    <row r="157" customFormat="false" ht="21" hidden="false" customHeight="false" outlineLevel="0" collapsed="false">
      <c r="A157" s="154" t="n">
        <v>43483</v>
      </c>
      <c r="B157" s="155" t="s">
        <v>1486</v>
      </c>
      <c r="C157" s="148" t="str">
        <f aca="false">VLOOKUP($A157,INSUMOS_AUX!$A$3:$H$813,3,0)</f>
        <v>MAT.</v>
      </c>
      <c r="D157" s="156" t="s">
        <v>1444</v>
      </c>
      <c r="E157" s="154" t="n">
        <v>0.0408</v>
      </c>
      <c r="F157" s="149" t="n">
        <f aca="false">IF(C157="MAT.",VLOOKUP(A157,INSUMOS_AUX!$A$3:$H$813,6,0),0)</f>
        <v>1.43</v>
      </c>
      <c r="G157" s="149" t="n">
        <f aca="false">IF(C157="M.O.",VLOOKUP(A157,INSUMOS_AUX!A:F,6,0),0)</f>
        <v>0</v>
      </c>
    </row>
    <row r="158" customFormat="false" ht="21" hidden="false" customHeight="false" outlineLevel="0" collapsed="false">
      <c r="A158" s="154" t="n">
        <v>43491</v>
      </c>
      <c r="B158" s="155" t="s">
        <v>1457</v>
      </c>
      <c r="C158" s="148" t="str">
        <f aca="false">VLOOKUP($A158,INSUMOS_AUX!$A$3:$H$813,3,0)</f>
        <v>MAT.</v>
      </c>
      <c r="D158" s="156" t="s">
        <v>1444</v>
      </c>
      <c r="E158" s="154" t="n">
        <v>0.1153</v>
      </c>
      <c r="F158" s="149" t="n">
        <f aca="false">IF(C158="MAT.",VLOOKUP(A158,INSUMOS_AUX!$A$3:$H$813,6,0),0)</f>
        <v>1.39</v>
      </c>
      <c r="G158" s="149" t="n">
        <f aca="false">IF(C158="M.O.",VLOOKUP(A158,INSUMOS_AUX!A:F,6,0),0)</f>
        <v>0</v>
      </c>
    </row>
    <row r="159" customFormat="false" ht="21" hidden="false" customHeight="false" outlineLevel="0" collapsed="false">
      <c r="A159" s="154" t="n">
        <v>37372</v>
      </c>
      <c r="B159" s="155" t="s">
        <v>1446</v>
      </c>
      <c r="C159" s="148" t="str">
        <f aca="false">VLOOKUP($A159,INSUMOS_AUX!$A$3:$H$813,3,0)</f>
        <v>MAT.</v>
      </c>
      <c r="D159" s="156" t="s">
        <v>1444</v>
      </c>
      <c r="E159" s="154" t="n">
        <v>0.1561</v>
      </c>
      <c r="F159" s="149" t="n">
        <f aca="false">IF(C159="MAT.",VLOOKUP(A159,INSUMOS_AUX!$A$3:$H$813,6,0),0)</f>
        <v>1.43</v>
      </c>
      <c r="G159" s="149" t="n">
        <f aca="false">IF(C159="M.O.",VLOOKUP(A159,INSUMOS_AUX!A:F,6,0),0)</f>
        <v>0</v>
      </c>
    </row>
    <row r="160" customFormat="false" ht="21" hidden="false" customHeight="false" outlineLevel="0" collapsed="false">
      <c r="A160" s="154" t="n">
        <v>43459</v>
      </c>
      <c r="B160" s="155" t="s">
        <v>1487</v>
      </c>
      <c r="C160" s="148" t="str">
        <f aca="false">VLOOKUP($A160,INSUMOS_AUX!$A$3:$H$813,3,0)</f>
        <v>MAT.</v>
      </c>
      <c r="D160" s="156" t="s">
        <v>1444</v>
      </c>
      <c r="E160" s="154" t="n">
        <v>0.0408</v>
      </c>
      <c r="F160" s="149" t="n">
        <f aca="false">IF(C160="MAT.",VLOOKUP(A160,INSUMOS_AUX!$A$3:$H$813,6,0),0)</f>
        <v>0.44</v>
      </c>
      <c r="G160" s="149" t="n">
        <f aca="false">IF(C160="M.O.",VLOOKUP(A160,INSUMOS_AUX!A:F,6,0),0)</f>
        <v>0</v>
      </c>
    </row>
    <row r="161" customFormat="false" ht="21" hidden="false" customHeight="false" outlineLevel="0" collapsed="false">
      <c r="A161" s="154" t="n">
        <v>43467</v>
      </c>
      <c r="B161" s="155" t="s">
        <v>1459</v>
      </c>
      <c r="C161" s="148" t="str">
        <f aca="false">VLOOKUP($A161,INSUMOS_AUX!$A$3:$H$813,3,0)</f>
        <v>MAT.</v>
      </c>
      <c r="D161" s="156" t="s">
        <v>1444</v>
      </c>
      <c r="E161" s="154" t="n">
        <v>0.1153</v>
      </c>
      <c r="F161" s="149" t="n">
        <f aca="false">IF(C161="MAT.",VLOOKUP(A161,INSUMOS_AUX!$A$3:$H$813,6,0),0)</f>
        <v>0.61</v>
      </c>
      <c r="G161" s="149" t="n">
        <f aca="false">IF(C161="M.O.",VLOOKUP(A161,INSUMOS_AUX!A:F,6,0),0)</f>
        <v>0</v>
      </c>
    </row>
    <row r="162" customFormat="false" ht="21" hidden="false" customHeight="false" outlineLevel="0" collapsed="false">
      <c r="A162" s="154" t="n">
        <v>37373</v>
      </c>
      <c r="B162" s="155" t="s">
        <v>1448</v>
      </c>
      <c r="C162" s="148" t="str">
        <f aca="false">VLOOKUP($A162,INSUMOS_AUX!$A$3:$H$813,3,0)</f>
        <v>MAT.</v>
      </c>
      <c r="D162" s="156" t="s">
        <v>1444</v>
      </c>
      <c r="E162" s="154" t="n">
        <v>0.1561</v>
      </c>
      <c r="F162" s="149" t="n">
        <f aca="false">IF(C162="MAT.",VLOOKUP(A162,INSUMOS_AUX!$A$3:$H$813,6,0),0)</f>
        <v>0.08</v>
      </c>
      <c r="G162" s="149" t="n">
        <f aca="false">IF(C162="M.O.",VLOOKUP(A162,INSUMOS_AUX!A:F,6,0),0)</f>
        <v>0</v>
      </c>
    </row>
    <row r="163" customFormat="false" ht="21" hidden="false" customHeight="false" outlineLevel="0" collapsed="false">
      <c r="A163" s="154" t="n">
        <v>37371</v>
      </c>
      <c r="B163" s="155" t="s">
        <v>1449</v>
      </c>
      <c r="C163" s="148" t="s">
        <v>59</v>
      </c>
      <c r="D163" s="156" t="s">
        <v>1444</v>
      </c>
      <c r="E163" s="154" t="n">
        <v>0.1561</v>
      </c>
      <c r="F163" s="149" t="n">
        <f aca="false">IF(C163="MAT.",VLOOKUP(A163,INSUMOS_AUX!$A$3:$H$813,6,0),0)</f>
        <v>0</v>
      </c>
      <c r="G163" s="149" t="n">
        <f aca="false">IF(C163="M.O.",VLOOKUP(A163,INSUMOS_AUX!A:F,6,0),0)</f>
        <v>0</v>
      </c>
    </row>
    <row r="164" customFormat="false" ht="15" hidden="false" customHeight="false" outlineLevel="0" collapsed="false">
      <c r="A164" s="154" t="n">
        <v>6111</v>
      </c>
      <c r="B164" s="155" t="s">
        <v>1464</v>
      </c>
      <c r="C164" s="148" t="str">
        <f aca="false">VLOOKUP($A164,INSUMOS_AUX!$A$3:$H$813,3,0)</f>
        <v>M.O.</v>
      </c>
      <c r="D164" s="156" t="s">
        <v>1444</v>
      </c>
      <c r="E164" s="154" t="n">
        <v>0.11774436</v>
      </c>
      <c r="F164" s="149" t="n">
        <f aca="false">IF(C164="MAT.",VLOOKUP(A164,INSUMOS_AUX!$A$3:$H$813,6,0),0)</f>
        <v>0</v>
      </c>
      <c r="G164" s="149" t="n">
        <f aca="false">IF(C164="M.O.",VLOOKUP(A164,INSUMOS_AUX!A:F,6,0),0)</f>
        <v>12.95</v>
      </c>
    </row>
    <row r="165" customFormat="false" ht="15" hidden="false" customHeight="false" outlineLevel="0" collapsed="false">
      <c r="A165" s="154" t="n">
        <v>12869</v>
      </c>
      <c r="B165" s="155" t="s">
        <v>1488</v>
      </c>
      <c r="C165" s="148" t="str">
        <f aca="false">VLOOKUP($A165,INSUMOS_AUX!$A$3:$H$813,3,0)</f>
        <v>M.O.</v>
      </c>
      <c r="D165" s="156" t="s">
        <v>1444</v>
      </c>
      <c r="E165" s="154" t="n">
        <v>0.041270832</v>
      </c>
      <c r="F165" s="149" t="n">
        <f aca="false">IF(C165="MAT.",VLOOKUP(A165,INSUMOS_AUX!$A$3:$H$813,6,0),0)</f>
        <v>0</v>
      </c>
      <c r="G165" s="149" t="n">
        <f aca="false">IF(C165="M.O.",VLOOKUP(A165,INSUMOS_AUX!A:F,6,0),0)</f>
        <v>19.98</v>
      </c>
    </row>
    <row r="166" customFormat="false" ht="21" hidden="false" customHeight="false" outlineLevel="0" collapsed="false">
      <c r="A166" s="150" t="n">
        <v>97650</v>
      </c>
      <c r="B166" s="151" t="s">
        <v>1489</v>
      </c>
      <c r="C166" s="152" t="s">
        <v>59</v>
      </c>
      <c r="D166" s="152" t="s">
        <v>1477</v>
      </c>
      <c r="E166" s="150"/>
      <c r="F166" s="153" t="n">
        <f aca="false">(SUMPRODUCT($E167:$E176,F167:F176))*1</f>
        <v>2.287551</v>
      </c>
      <c r="G166" s="153" t="n">
        <f aca="false">(SUMPRODUCT($E167:$E176,G167:G176))*1</f>
        <v>5.06545213068</v>
      </c>
    </row>
    <row r="167" customFormat="false" ht="21" hidden="false" customHeight="false" outlineLevel="0" collapsed="false">
      <c r="A167" s="154" t="n">
        <v>37370</v>
      </c>
      <c r="B167" s="155" t="s">
        <v>1443</v>
      </c>
      <c r="C167" s="148" t="str">
        <f aca="false">VLOOKUP($A167,INSUMOS_AUX!$A$3:$H$813,3,0)</f>
        <v>MAT.</v>
      </c>
      <c r="D167" s="156" t="s">
        <v>1444</v>
      </c>
      <c r="E167" s="154" t="n">
        <v>0.3366</v>
      </c>
      <c r="F167" s="149" t="n">
        <f aca="false">IF(C167="MAT.",VLOOKUP(A167,INSUMOS_AUX!$A$3:$H$813,6,0),0)</f>
        <v>3.32</v>
      </c>
      <c r="G167" s="149" t="n">
        <f aca="false">IF(C167="M.O.",VLOOKUP(A167,INSUMOS_AUX!A:F,6,0),0)</f>
        <v>0</v>
      </c>
    </row>
    <row r="168" customFormat="false" ht="21" hidden="false" customHeight="false" outlineLevel="0" collapsed="false">
      <c r="A168" s="154" t="n">
        <v>43483</v>
      </c>
      <c r="B168" s="155" t="s">
        <v>1486</v>
      </c>
      <c r="C168" s="148" t="str">
        <f aca="false">VLOOKUP($A168,INSUMOS_AUX!$A$3:$H$813,3,0)</f>
        <v>MAT.</v>
      </c>
      <c r="D168" s="156" t="s">
        <v>1444</v>
      </c>
      <c r="E168" s="154" t="n">
        <v>0.0879</v>
      </c>
      <c r="F168" s="149" t="n">
        <f aca="false">IF(C168="MAT.",VLOOKUP(A168,INSUMOS_AUX!$A$3:$H$813,6,0),0)</f>
        <v>1.43</v>
      </c>
      <c r="G168" s="149" t="n">
        <f aca="false">IF(C168="M.O.",VLOOKUP(A168,INSUMOS_AUX!A:F,6,0),0)</f>
        <v>0</v>
      </c>
    </row>
    <row r="169" customFormat="false" ht="21" hidden="false" customHeight="false" outlineLevel="0" collapsed="false">
      <c r="A169" s="154" t="n">
        <v>43491</v>
      </c>
      <c r="B169" s="155" t="s">
        <v>1457</v>
      </c>
      <c r="C169" s="148" t="str">
        <f aca="false">VLOOKUP($A169,INSUMOS_AUX!$A$3:$H$813,3,0)</f>
        <v>MAT.</v>
      </c>
      <c r="D169" s="156" t="s">
        <v>1444</v>
      </c>
      <c r="E169" s="154" t="n">
        <v>0.2487</v>
      </c>
      <c r="F169" s="149" t="n">
        <f aca="false">IF(C169="MAT.",VLOOKUP(A169,INSUMOS_AUX!$A$3:$H$813,6,0),0)</f>
        <v>1.39</v>
      </c>
      <c r="G169" s="149" t="n">
        <f aca="false">IF(C169="M.O.",VLOOKUP(A169,INSUMOS_AUX!A:F,6,0),0)</f>
        <v>0</v>
      </c>
    </row>
    <row r="170" customFormat="false" ht="21" hidden="false" customHeight="false" outlineLevel="0" collapsed="false">
      <c r="A170" s="154" t="n">
        <v>37372</v>
      </c>
      <c r="B170" s="155" t="s">
        <v>1446</v>
      </c>
      <c r="C170" s="148" t="str">
        <f aca="false">VLOOKUP($A170,INSUMOS_AUX!$A$3:$H$813,3,0)</f>
        <v>MAT.</v>
      </c>
      <c r="D170" s="156" t="s">
        <v>1444</v>
      </c>
      <c r="E170" s="154" t="n">
        <v>0.3366</v>
      </c>
      <c r="F170" s="149" t="n">
        <f aca="false">IF(C170="MAT.",VLOOKUP(A170,INSUMOS_AUX!$A$3:$H$813,6,0),0)</f>
        <v>1.43</v>
      </c>
      <c r="G170" s="149" t="n">
        <f aca="false">IF(C170="M.O.",VLOOKUP(A170,INSUMOS_AUX!A:F,6,0),0)</f>
        <v>0</v>
      </c>
    </row>
    <row r="171" customFormat="false" ht="21" hidden="false" customHeight="false" outlineLevel="0" collapsed="false">
      <c r="A171" s="154" t="n">
        <v>43459</v>
      </c>
      <c r="B171" s="155" t="s">
        <v>1487</v>
      </c>
      <c r="C171" s="148" t="str">
        <f aca="false">VLOOKUP($A171,INSUMOS_AUX!$A$3:$H$813,3,0)</f>
        <v>MAT.</v>
      </c>
      <c r="D171" s="156" t="s">
        <v>1444</v>
      </c>
      <c r="E171" s="154" t="n">
        <v>0.0879</v>
      </c>
      <c r="F171" s="149" t="n">
        <f aca="false">IF(C171="MAT.",VLOOKUP(A171,INSUMOS_AUX!$A$3:$H$813,6,0),0)</f>
        <v>0.44</v>
      </c>
      <c r="G171" s="149" t="n">
        <f aca="false">IF(C171="M.O.",VLOOKUP(A171,INSUMOS_AUX!A:F,6,0),0)</f>
        <v>0</v>
      </c>
    </row>
    <row r="172" customFormat="false" ht="21" hidden="false" customHeight="false" outlineLevel="0" collapsed="false">
      <c r="A172" s="154" t="n">
        <v>43467</v>
      </c>
      <c r="B172" s="155" t="s">
        <v>1459</v>
      </c>
      <c r="C172" s="148" t="str">
        <f aca="false">VLOOKUP($A172,INSUMOS_AUX!$A$3:$H$813,3,0)</f>
        <v>MAT.</v>
      </c>
      <c r="D172" s="156" t="s">
        <v>1444</v>
      </c>
      <c r="E172" s="154" t="n">
        <v>0.2487</v>
      </c>
      <c r="F172" s="149" t="n">
        <f aca="false">IF(C172="MAT.",VLOOKUP(A172,INSUMOS_AUX!$A$3:$H$813,6,0),0)</f>
        <v>0.61</v>
      </c>
      <c r="G172" s="149" t="n">
        <f aca="false">IF(C172="M.O.",VLOOKUP(A172,INSUMOS_AUX!A:F,6,0),0)</f>
        <v>0</v>
      </c>
    </row>
    <row r="173" customFormat="false" ht="21" hidden="false" customHeight="false" outlineLevel="0" collapsed="false">
      <c r="A173" s="154" t="n">
        <v>37373</v>
      </c>
      <c r="B173" s="155" t="s">
        <v>1448</v>
      </c>
      <c r="C173" s="148" t="str">
        <f aca="false">VLOOKUP($A173,INSUMOS_AUX!$A$3:$H$813,3,0)</f>
        <v>MAT.</v>
      </c>
      <c r="D173" s="156" t="s">
        <v>1444</v>
      </c>
      <c r="E173" s="154" t="n">
        <v>0.3366</v>
      </c>
      <c r="F173" s="149" t="n">
        <f aca="false">IF(C173="MAT.",VLOOKUP(A173,INSUMOS_AUX!$A$3:$H$813,6,0),0)</f>
        <v>0.08</v>
      </c>
      <c r="G173" s="149" t="n">
        <f aca="false">IF(C173="M.O.",VLOOKUP(A173,INSUMOS_AUX!A:F,6,0),0)</f>
        <v>0</v>
      </c>
    </row>
    <row r="174" customFormat="false" ht="21" hidden="false" customHeight="false" outlineLevel="0" collapsed="false">
      <c r="A174" s="154" t="n">
        <v>37371</v>
      </c>
      <c r="B174" s="155" t="s">
        <v>1449</v>
      </c>
      <c r="C174" s="148" t="s">
        <v>59</v>
      </c>
      <c r="D174" s="156" t="s">
        <v>1444</v>
      </c>
      <c r="E174" s="154" t="n">
        <v>0.3366</v>
      </c>
      <c r="F174" s="149" t="n">
        <f aca="false">IF(C174="MAT.",VLOOKUP(A174,INSUMOS_AUX!$A$3:$H$813,6,0),0)</f>
        <v>0</v>
      </c>
      <c r="G174" s="149" t="n">
        <f aca="false">IF(C174="M.O.",VLOOKUP(A174,INSUMOS_AUX!A:F,6,0),0)</f>
        <v>0</v>
      </c>
    </row>
    <row r="175" customFormat="false" ht="15" hidden="false" customHeight="false" outlineLevel="0" collapsed="false">
      <c r="A175" s="154" t="n">
        <v>6111</v>
      </c>
      <c r="B175" s="155" t="s">
        <v>1464</v>
      </c>
      <c r="C175" s="148" t="str">
        <f aca="false">VLOOKUP($A175,INSUMOS_AUX!$A$3:$H$813,3,0)</f>
        <v>M.O.</v>
      </c>
      <c r="D175" s="156" t="s">
        <v>1444</v>
      </c>
      <c r="E175" s="154" t="n">
        <v>0.25397244</v>
      </c>
      <c r="F175" s="149" t="n">
        <f aca="false">IF(C175="MAT.",VLOOKUP(A175,INSUMOS_AUX!$A$3:$H$813,6,0),0)</f>
        <v>0</v>
      </c>
      <c r="G175" s="149" t="n">
        <f aca="false">IF(C175="M.O.",VLOOKUP(A175,INSUMOS_AUX!A:F,6,0),0)</f>
        <v>12.95</v>
      </c>
    </row>
    <row r="176" customFormat="false" ht="15" hidden="false" customHeight="false" outlineLevel="0" collapsed="false">
      <c r="A176" s="154" t="n">
        <v>12869</v>
      </c>
      <c r="B176" s="155" t="s">
        <v>1488</v>
      </c>
      <c r="C176" s="148" t="str">
        <f aca="false">VLOOKUP($A176,INSUMOS_AUX!$A$3:$H$813,3,0)</f>
        <v>M.O.</v>
      </c>
      <c r="D176" s="156" t="s">
        <v>1444</v>
      </c>
      <c r="E176" s="154" t="n">
        <v>0.088914366</v>
      </c>
      <c r="F176" s="149" t="n">
        <f aca="false">IF(C176="MAT.",VLOOKUP(A176,INSUMOS_AUX!$A$3:$H$813,6,0),0)</f>
        <v>0</v>
      </c>
      <c r="G176" s="149" t="n">
        <f aca="false">IF(C176="M.O.",VLOOKUP(A176,INSUMOS_AUX!A:F,6,0),0)</f>
        <v>19.98</v>
      </c>
    </row>
    <row r="177" customFormat="false" ht="21" hidden="false" customHeight="false" outlineLevel="0" collapsed="false">
      <c r="A177" s="150" t="n">
        <v>98530</v>
      </c>
      <c r="B177" s="151" t="s">
        <v>1490</v>
      </c>
      <c r="C177" s="152" t="s">
        <v>59</v>
      </c>
      <c r="D177" s="152" t="s">
        <v>31</v>
      </c>
      <c r="E177" s="150"/>
      <c r="F177" s="153" t="n">
        <f aca="false">(SUMPRODUCT($E178:$E187,F178:F187))*1</f>
        <v>44.736034</v>
      </c>
      <c r="G177" s="153" t="n">
        <f aca="false">(SUMPRODUCT($E178:$E187,G178:G187))*1</f>
        <v>98.67742231413</v>
      </c>
    </row>
    <row r="178" customFormat="false" ht="21" hidden="false" customHeight="false" outlineLevel="0" collapsed="false">
      <c r="A178" s="154" t="n">
        <v>37370</v>
      </c>
      <c r="B178" s="155" t="s">
        <v>1443</v>
      </c>
      <c r="C178" s="148" t="str">
        <f aca="false">VLOOKUP($A178,INSUMOS_AUX!$A$3:$H$813,3,0)</f>
        <v>MAT.</v>
      </c>
      <c r="D178" s="156" t="s">
        <v>1444</v>
      </c>
      <c r="E178" s="154" t="n">
        <v>6.5201</v>
      </c>
      <c r="F178" s="149" t="n">
        <f aca="false">IF(C178="MAT.",VLOOKUP(A178,INSUMOS_AUX!$A$3:$H$813,6,0),0)</f>
        <v>3.32</v>
      </c>
      <c r="G178" s="149" t="n">
        <f aca="false">IF(C178="M.O.",VLOOKUP(A178,INSUMOS_AUX!A:F,6,0),0)</f>
        <v>0</v>
      </c>
    </row>
    <row r="179" customFormat="false" ht="21" hidden="false" customHeight="false" outlineLevel="0" collapsed="false">
      <c r="A179" s="154" t="n">
        <v>43489</v>
      </c>
      <c r="B179" s="155" t="s">
        <v>1456</v>
      </c>
      <c r="C179" s="148" t="str">
        <f aca="false">VLOOKUP($A179,INSUMOS_AUX!$A$3:$H$813,3,0)</f>
        <v>MAT.</v>
      </c>
      <c r="D179" s="156" t="s">
        <v>1444</v>
      </c>
      <c r="E179" s="154" t="n">
        <v>2.2639</v>
      </c>
      <c r="F179" s="149" t="n">
        <f aca="false">IF(C179="MAT.",VLOOKUP(A179,INSUMOS_AUX!$A$3:$H$813,6,0),0)</f>
        <v>1.31</v>
      </c>
      <c r="G179" s="149" t="n">
        <f aca="false">IF(C179="M.O.",VLOOKUP(A179,INSUMOS_AUX!A:F,6,0),0)</f>
        <v>0</v>
      </c>
    </row>
    <row r="180" customFormat="false" ht="21" hidden="false" customHeight="false" outlineLevel="0" collapsed="false">
      <c r="A180" s="154" t="n">
        <v>43491</v>
      </c>
      <c r="B180" s="155" t="s">
        <v>1457</v>
      </c>
      <c r="C180" s="148" t="str">
        <f aca="false">VLOOKUP($A180,INSUMOS_AUX!$A$3:$H$813,3,0)</f>
        <v>MAT.</v>
      </c>
      <c r="D180" s="156" t="s">
        <v>1444</v>
      </c>
      <c r="E180" s="154" t="n">
        <v>4.2562</v>
      </c>
      <c r="F180" s="149" t="n">
        <f aca="false">IF(C180="MAT.",VLOOKUP(A180,INSUMOS_AUX!$A$3:$H$813,6,0),0)</f>
        <v>1.39</v>
      </c>
      <c r="G180" s="149" t="n">
        <f aca="false">IF(C180="M.O.",VLOOKUP(A180,INSUMOS_AUX!A:F,6,0),0)</f>
        <v>0</v>
      </c>
    </row>
    <row r="181" customFormat="false" ht="21" hidden="false" customHeight="false" outlineLevel="0" collapsed="false">
      <c r="A181" s="154" t="n">
        <v>37372</v>
      </c>
      <c r="B181" s="155" t="s">
        <v>1446</v>
      </c>
      <c r="C181" s="148" t="str">
        <f aca="false">VLOOKUP($A181,INSUMOS_AUX!$A$3:$H$813,3,0)</f>
        <v>MAT.</v>
      </c>
      <c r="D181" s="156" t="s">
        <v>1444</v>
      </c>
      <c r="E181" s="154" t="n">
        <v>6.5201</v>
      </c>
      <c r="F181" s="149" t="n">
        <f aca="false">IF(C181="MAT.",VLOOKUP(A181,INSUMOS_AUX!$A$3:$H$813,6,0),0)</f>
        <v>1.43</v>
      </c>
      <c r="G181" s="149" t="n">
        <f aca="false">IF(C181="M.O.",VLOOKUP(A181,INSUMOS_AUX!A:F,6,0),0)</f>
        <v>0</v>
      </c>
    </row>
    <row r="182" customFormat="false" ht="21" hidden="false" customHeight="false" outlineLevel="0" collapsed="false">
      <c r="A182" s="154" t="n">
        <v>43465</v>
      </c>
      <c r="B182" s="155" t="s">
        <v>1458</v>
      </c>
      <c r="C182" s="148" t="str">
        <f aca="false">VLOOKUP($A182,INSUMOS_AUX!$A$3:$H$813,3,0)</f>
        <v>MAT.</v>
      </c>
      <c r="D182" s="156" t="s">
        <v>1444</v>
      </c>
      <c r="E182" s="154" t="n">
        <v>2.2639</v>
      </c>
      <c r="F182" s="149" t="n">
        <f aca="false">IF(C182="MAT.",VLOOKUP(A182,INSUMOS_AUX!$A$3:$H$813,6,0),0)</f>
        <v>0.78</v>
      </c>
      <c r="G182" s="149" t="n">
        <f aca="false">IF(C182="M.O.",VLOOKUP(A182,INSUMOS_AUX!A:F,6,0),0)</f>
        <v>0</v>
      </c>
    </row>
    <row r="183" customFormat="false" ht="21" hidden="false" customHeight="false" outlineLevel="0" collapsed="false">
      <c r="A183" s="154" t="n">
        <v>43467</v>
      </c>
      <c r="B183" s="155" t="s">
        <v>1459</v>
      </c>
      <c r="C183" s="148" t="str">
        <f aca="false">VLOOKUP($A183,INSUMOS_AUX!$A$3:$H$813,3,0)</f>
        <v>MAT.</v>
      </c>
      <c r="D183" s="156" t="s">
        <v>1444</v>
      </c>
      <c r="E183" s="154" t="n">
        <v>4.2562</v>
      </c>
      <c r="F183" s="149" t="n">
        <f aca="false">IF(C183="MAT.",VLOOKUP(A183,INSUMOS_AUX!$A$3:$H$813,6,0),0)</f>
        <v>0.61</v>
      </c>
      <c r="G183" s="149" t="n">
        <f aca="false">IF(C183="M.O.",VLOOKUP(A183,INSUMOS_AUX!A:F,6,0),0)</f>
        <v>0</v>
      </c>
    </row>
    <row r="184" customFormat="false" ht="21" hidden="false" customHeight="false" outlineLevel="0" collapsed="false">
      <c r="A184" s="154" t="n">
        <v>37373</v>
      </c>
      <c r="B184" s="155" t="s">
        <v>1448</v>
      </c>
      <c r="C184" s="148" t="str">
        <f aca="false">VLOOKUP($A184,INSUMOS_AUX!$A$3:$H$813,3,0)</f>
        <v>MAT.</v>
      </c>
      <c r="D184" s="156" t="s">
        <v>1444</v>
      </c>
      <c r="E184" s="154" t="n">
        <v>6.5201</v>
      </c>
      <c r="F184" s="149" t="n">
        <f aca="false">IF(C184="MAT.",VLOOKUP(A184,INSUMOS_AUX!$A$3:$H$813,6,0),0)</f>
        <v>0.08</v>
      </c>
      <c r="G184" s="149" t="n">
        <f aca="false">IF(C184="M.O.",VLOOKUP(A184,INSUMOS_AUX!A:F,6,0),0)</f>
        <v>0</v>
      </c>
    </row>
    <row r="185" customFormat="false" ht="21" hidden="false" customHeight="false" outlineLevel="0" collapsed="false">
      <c r="A185" s="154" t="n">
        <v>37371</v>
      </c>
      <c r="B185" s="155" t="s">
        <v>1449</v>
      </c>
      <c r="C185" s="148" t="s">
        <v>59</v>
      </c>
      <c r="D185" s="156" t="s">
        <v>1444</v>
      </c>
      <c r="E185" s="154" t="n">
        <v>6.5201</v>
      </c>
      <c r="F185" s="149" t="n">
        <f aca="false">IF(C185="MAT.",VLOOKUP(A185,INSUMOS_AUX!$A$3:$H$813,6,0),0)</f>
        <v>0</v>
      </c>
      <c r="G185" s="149" t="n">
        <f aca="false">IF(C185="M.O.",VLOOKUP(A185,INSUMOS_AUX!A:F,6,0),0)</f>
        <v>0</v>
      </c>
    </row>
    <row r="186" customFormat="false" ht="15" hidden="false" customHeight="false" outlineLevel="0" collapsed="false">
      <c r="A186" s="154" t="n">
        <v>44503</v>
      </c>
      <c r="B186" s="155" t="s">
        <v>1491</v>
      </c>
      <c r="C186" s="148" t="str">
        <f aca="false">VLOOKUP($A186,INSUMOS_AUX!$A$3:$H$813,3,0)</f>
        <v>M.O.</v>
      </c>
      <c r="D186" s="156" t="s">
        <v>1444</v>
      </c>
      <c r="E186" s="154" t="n">
        <v>2.275423251</v>
      </c>
      <c r="F186" s="149" t="n">
        <f aca="false">IF(C186="MAT.",VLOOKUP(A186,INSUMOS_AUX!$A$3:$H$813,6,0),0)</f>
        <v>0</v>
      </c>
      <c r="G186" s="149" t="n">
        <f aca="false">IF(C186="M.O.",VLOOKUP(A186,INSUMOS_AUX!A:F,6,0),0)</f>
        <v>18.63</v>
      </c>
    </row>
    <row r="187" customFormat="false" ht="15" hidden="false" customHeight="false" outlineLevel="0" collapsed="false">
      <c r="A187" s="154" t="n">
        <v>6111</v>
      </c>
      <c r="B187" s="155" t="s">
        <v>1464</v>
      </c>
      <c r="C187" s="148" t="str">
        <f aca="false">VLOOKUP($A187,INSUMOS_AUX!$A$3:$H$813,3,0)</f>
        <v>M.O.</v>
      </c>
      <c r="D187" s="156" t="s">
        <v>1444</v>
      </c>
      <c r="E187" s="154" t="n">
        <v>4.34643144</v>
      </c>
      <c r="F187" s="149" t="n">
        <f aca="false">IF(C187="MAT.",VLOOKUP(A187,INSUMOS_AUX!$A$3:$H$813,6,0),0)</f>
        <v>0</v>
      </c>
      <c r="G187" s="149" t="n">
        <f aca="false">IF(C187="M.O.",VLOOKUP(A187,INSUMOS_AUX!A:F,6,0),0)</f>
        <v>12.95</v>
      </c>
    </row>
    <row r="188" customFormat="false" ht="31.5" hidden="false" customHeight="false" outlineLevel="0" collapsed="false">
      <c r="A188" s="150" t="n">
        <v>98527</v>
      </c>
      <c r="B188" s="151" t="s">
        <v>1492</v>
      </c>
      <c r="C188" s="152" t="s">
        <v>59</v>
      </c>
      <c r="D188" s="152" t="s">
        <v>31</v>
      </c>
      <c r="E188" s="150"/>
      <c r="F188" s="153" t="n">
        <f aca="false">(SUMPRODUCT($E189:$E203,F189:F203))*1</f>
        <v>117.776926880899</v>
      </c>
      <c r="G188" s="153" t="n">
        <f aca="false">(SUMPRODUCT($E189:$E203,G189:G203))*1</f>
        <v>92.34928790265</v>
      </c>
    </row>
    <row r="189" customFormat="false" ht="21" hidden="false" customHeight="false" outlineLevel="0" collapsed="false">
      <c r="A189" s="154" t="n">
        <v>37370</v>
      </c>
      <c r="B189" s="155" t="s">
        <v>1443</v>
      </c>
      <c r="C189" s="148" t="str">
        <f aca="false">VLOOKUP($A189,INSUMOS_AUX!$A$3:$H$813,3,0)</f>
        <v>MAT.</v>
      </c>
      <c r="D189" s="156" t="s">
        <v>1444</v>
      </c>
      <c r="E189" s="154" t="n">
        <v>5.2869</v>
      </c>
      <c r="F189" s="149" t="n">
        <f aca="false">IF(C189="MAT.",VLOOKUP(A189,INSUMOS_AUX!$A$3:$H$813,6,0),0)</f>
        <v>3.32</v>
      </c>
      <c r="G189" s="149" t="n">
        <f aca="false">IF(C189="M.O.",VLOOKUP(A189,INSUMOS_AUX!A:F,6,0),0)</f>
        <v>0</v>
      </c>
    </row>
    <row r="190" customFormat="false" ht="21" hidden="false" customHeight="false" outlineLevel="0" collapsed="false">
      <c r="A190" s="154" t="n">
        <v>43488</v>
      </c>
      <c r="B190" s="155" t="s">
        <v>1445</v>
      </c>
      <c r="C190" s="148" t="str">
        <f aca="false">VLOOKUP($A190,INSUMOS_AUX!$A$3:$H$813,3,0)</f>
        <v>MAT.</v>
      </c>
      <c r="D190" s="156" t="s">
        <v>1444</v>
      </c>
      <c r="E190" s="154" t="n">
        <v>1.7623</v>
      </c>
      <c r="F190" s="149" t="n">
        <f aca="false">IF(C190="MAT.",VLOOKUP(A190,INSUMOS_AUX!$A$3:$H$813,6,0),0)</f>
        <v>0.89</v>
      </c>
      <c r="G190" s="149" t="n">
        <f aca="false">IF(C190="M.O.",VLOOKUP(A190,INSUMOS_AUX!A:F,6,0),0)</f>
        <v>0</v>
      </c>
    </row>
    <row r="191" customFormat="false" ht="21" hidden="false" customHeight="false" outlineLevel="0" collapsed="false">
      <c r="A191" s="154" t="n">
        <v>43489</v>
      </c>
      <c r="B191" s="155" t="s">
        <v>1456</v>
      </c>
      <c r="C191" s="148" t="str">
        <f aca="false">VLOOKUP($A191,INSUMOS_AUX!$A$3:$H$813,3,0)</f>
        <v>MAT.</v>
      </c>
      <c r="D191" s="156" t="s">
        <v>1444</v>
      </c>
      <c r="E191" s="154" t="n">
        <v>1.7623</v>
      </c>
      <c r="F191" s="149" t="n">
        <f aca="false">IF(C191="MAT.",VLOOKUP(A191,INSUMOS_AUX!$A$3:$H$813,6,0),0)</f>
        <v>1.31</v>
      </c>
      <c r="G191" s="149" t="n">
        <f aca="false">IF(C191="M.O.",VLOOKUP(A191,INSUMOS_AUX!A:F,6,0),0)</f>
        <v>0</v>
      </c>
    </row>
    <row r="192" customFormat="false" ht="21" hidden="false" customHeight="false" outlineLevel="0" collapsed="false">
      <c r="A192" s="154" t="n">
        <v>43491</v>
      </c>
      <c r="B192" s="155" t="s">
        <v>1457</v>
      </c>
      <c r="C192" s="148" t="str">
        <f aca="false">VLOOKUP($A192,INSUMOS_AUX!$A$3:$H$813,3,0)</f>
        <v>MAT.</v>
      </c>
      <c r="D192" s="156" t="s">
        <v>1444</v>
      </c>
      <c r="E192" s="154" t="n">
        <v>1.7623</v>
      </c>
      <c r="F192" s="149" t="n">
        <f aca="false">IF(C192="MAT.",VLOOKUP(A192,INSUMOS_AUX!$A$3:$H$813,6,0),0)</f>
        <v>1.39</v>
      </c>
      <c r="G192" s="149" t="n">
        <f aca="false">IF(C192="M.O.",VLOOKUP(A192,INSUMOS_AUX!A:F,6,0),0)</f>
        <v>0</v>
      </c>
    </row>
    <row r="193" customFormat="false" ht="21" hidden="false" customHeight="false" outlineLevel="0" collapsed="false">
      <c r="A193" s="154" t="n">
        <v>37372</v>
      </c>
      <c r="B193" s="155" t="s">
        <v>1446</v>
      </c>
      <c r="C193" s="148" t="str">
        <f aca="false">VLOOKUP($A193,INSUMOS_AUX!$A$3:$H$813,3,0)</f>
        <v>MAT.</v>
      </c>
      <c r="D193" s="156" t="s">
        <v>1444</v>
      </c>
      <c r="E193" s="154" t="n">
        <v>5.2869</v>
      </c>
      <c r="F193" s="149" t="n">
        <f aca="false">IF(C193="MAT.",VLOOKUP(A193,INSUMOS_AUX!$A$3:$H$813,6,0),0)</f>
        <v>1.43</v>
      </c>
      <c r="G193" s="149" t="n">
        <f aca="false">IF(C193="M.O.",VLOOKUP(A193,INSUMOS_AUX!A:F,6,0),0)</f>
        <v>0</v>
      </c>
    </row>
    <row r="194" customFormat="false" ht="21" hidden="false" customHeight="false" outlineLevel="0" collapsed="false">
      <c r="A194" s="154" t="n">
        <v>43464</v>
      </c>
      <c r="B194" s="155" t="s">
        <v>1447</v>
      </c>
      <c r="C194" s="148" t="str">
        <f aca="false">VLOOKUP($A194,INSUMOS_AUX!$A$3:$H$813,3,0)</f>
        <v>MAT.</v>
      </c>
      <c r="D194" s="156" t="s">
        <v>1444</v>
      </c>
      <c r="E194" s="154" t="n">
        <v>1.7623</v>
      </c>
      <c r="F194" s="149" t="n">
        <f aca="false">IF(C194="MAT.",VLOOKUP(A194,INSUMOS_AUX!$A$3:$H$813,6,0),0)</f>
        <v>0.01</v>
      </c>
      <c r="G194" s="149" t="n">
        <f aca="false">IF(C194="M.O.",VLOOKUP(A194,INSUMOS_AUX!A:F,6,0),0)</f>
        <v>0</v>
      </c>
    </row>
    <row r="195" customFormat="false" ht="21" hidden="false" customHeight="false" outlineLevel="0" collapsed="false">
      <c r="A195" s="154" t="n">
        <v>43465</v>
      </c>
      <c r="B195" s="155" t="s">
        <v>1458</v>
      </c>
      <c r="C195" s="148" t="str">
        <f aca="false">VLOOKUP($A195,INSUMOS_AUX!$A$3:$H$813,3,0)</f>
        <v>MAT.</v>
      </c>
      <c r="D195" s="156" t="s">
        <v>1444</v>
      </c>
      <c r="E195" s="154" t="n">
        <v>1.7623</v>
      </c>
      <c r="F195" s="149" t="n">
        <f aca="false">IF(C195="MAT.",VLOOKUP(A195,INSUMOS_AUX!$A$3:$H$813,6,0),0)</f>
        <v>0.78</v>
      </c>
      <c r="G195" s="149" t="n">
        <f aca="false">IF(C195="M.O.",VLOOKUP(A195,INSUMOS_AUX!A:F,6,0),0)</f>
        <v>0</v>
      </c>
    </row>
    <row r="196" customFormat="false" ht="21" hidden="false" customHeight="false" outlineLevel="0" collapsed="false">
      <c r="A196" s="154" t="n">
        <v>43467</v>
      </c>
      <c r="B196" s="155" t="s">
        <v>1459</v>
      </c>
      <c r="C196" s="148" t="s">
        <v>59</v>
      </c>
      <c r="D196" s="156" t="s">
        <v>1444</v>
      </c>
      <c r="E196" s="154" t="n">
        <v>1.7623</v>
      </c>
      <c r="F196" s="149" t="n">
        <f aca="false">IF(C196="MAT.",VLOOKUP(A196,INSUMOS_AUX!$A$3:$H$813,6,0),0)</f>
        <v>0</v>
      </c>
      <c r="G196" s="149" t="n">
        <f aca="false">IF(C196="M.O.",VLOOKUP(A196,INSUMOS_AUX!A:F,6,0),0)</f>
        <v>0</v>
      </c>
    </row>
    <row r="197" customFormat="false" ht="21" hidden="false" customHeight="false" outlineLevel="0" collapsed="false">
      <c r="A197" s="154" t="n">
        <v>37373</v>
      </c>
      <c r="B197" s="155" t="s">
        <v>1448</v>
      </c>
      <c r="C197" s="148" t="str">
        <f aca="false">VLOOKUP($A197,INSUMOS_AUX!$A$3:$H$813,3,0)</f>
        <v>MAT.</v>
      </c>
      <c r="D197" s="156" t="s">
        <v>1444</v>
      </c>
      <c r="E197" s="154" t="n">
        <v>5.2869</v>
      </c>
      <c r="F197" s="149" t="n">
        <f aca="false">IF(C197="MAT.",VLOOKUP(A197,INSUMOS_AUX!$A$3:$H$813,6,0),0)</f>
        <v>0.08</v>
      </c>
      <c r="G197" s="149" t="n">
        <f aca="false">IF(C197="M.O.",VLOOKUP(A197,INSUMOS_AUX!A:F,6,0),0)</f>
        <v>0</v>
      </c>
    </row>
    <row r="198" customFormat="false" ht="21" hidden="false" customHeight="false" outlineLevel="0" collapsed="false">
      <c r="A198" s="154" t="n">
        <v>37371</v>
      </c>
      <c r="B198" s="155" t="s">
        <v>1449</v>
      </c>
      <c r="C198" s="148" t="str">
        <f aca="false">VLOOKUP($A198,INSUMOS_AUX!$A$3:$H$813,3,0)</f>
        <v>MAT.</v>
      </c>
      <c r="D198" s="156" t="s">
        <v>1444</v>
      </c>
      <c r="E198" s="154" t="n">
        <v>5.2869</v>
      </c>
      <c r="F198" s="149" t="n">
        <f aca="false">IF(C198="MAT.",VLOOKUP(A198,INSUMOS_AUX!$A$3:$H$813,6,0),0)</f>
        <v>0.59</v>
      </c>
      <c r="G198" s="149" t="n">
        <f aca="false">IF(C198="M.O.",VLOOKUP(A198,INSUMOS_AUX!A:F,6,0),0)</f>
        <v>0</v>
      </c>
    </row>
    <row r="199" customFormat="false" ht="52.5" hidden="false" customHeight="false" outlineLevel="0" collapsed="false">
      <c r="A199" s="154" t="n">
        <v>36531</v>
      </c>
      <c r="B199" s="155" t="s">
        <v>1493</v>
      </c>
      <c r="C199" s="148" t="str">
        <f aca="false">VLOOKUP($A199,INSUMOS_AUX!$A$3:$H$813,3,0)</f>
        <v>MAT.</v>
      </c>
      <c r="D199" s="156" t="s">
        <v>31</v>
      </c>
      <c r="E199" s="154" t="n">
        <v>0.00014360784</v>
      </c>
      <c r="F199" s="149" t="n">
        <f aca="false">IF(C199="MAT.",VLOOKUP(A199,INSUMOS_AUX!$A$3:$H$813,6,0),0)</f>
        <v>466463.38</v>
      </c>
      <c r="G199" s="149" t="n">
        <f aca="false">IF(C199="M.O.",VLOOKUP(A199,INSUMOS_AUX!A:F,6,0),0)</f>
        <v>0</v>
      </c>
    </row>
    <row r="200" customFormat="false" ht="15" hidden="false" customHeight="false" outlineLevel="0" collapsed="false">
      <c r="A200" s="154" t="n">
        <v>4221</v>
      </c>
      <c r="B200" s="155" t="s">
        <v>1451</v>
      </c>
      <c r="C200" s="148" t="str">
        <f aca="false">VLOOKUP($A200,INSUMOS_AUX!$A$3:$H$813,3,0)</f>
        <v>MAT.</v>
      </c>
      <c r="D200" s="156" t="s">
        <v>1452</v>
      </c>
      <c r="E200" s="154" t="n">
        <v>2.295423</v>
      </c>
      <c r="F200" s="149" t="n">
        <f aca="false">IF(C200="MAT.",VLOOKUP(A200,INSUMOS_AUX!$A$3:$H$813,6,0),0)</f>
        <v>6.28</v>
      </c>
      <c r="G200" s="149" t="n">
        <f aca="false">IF(C200="M.O.",VLOOKUP(A200,INSUMOS_AUX!A:F,6,0),0)</f>
        <v>0</v>
      </c>
    </row>
    <row r="201" customFormat="false" ht="15" hidden="false" customHeight="false" outlineLevel="0" collapsed="false">
      <c r="A201" s="154" t="n">
        <v>44503</v>
      </c>
      <c r="B201" s="155" t="s">
        <v>1491</v>
      </c>
      <c r="C201" s="148" t="str">
        <f aca="false">VLOOKUP($A201,INSUMOS_AUX!$A$3:$H$813,3,0)</f>
        <v>M.O.</v>
      </c>
      <c r="D201" s="156" t="s">
        <v>1444</v>
      </c>
      <c r="E201" s="154" t="n">
        <v>1.771270107</v>
      </c>
      <c r="F201" s="149" t="n">
        <f aca="false">IF(C201="MAT.",VLOOKUP(A201,INSUMOS_AUX!$A$3:$H$813,6,0),0)</f>
        <v>0</v>
      </c>
      <c r="G201" s="149" t="n">
        <f aca="false">IF(C201="M.O.",VLOOKUP(A201,INSUMOS_AUX!A:F,6,0),0)</f>
        <v>18.63</v>
      </c>
    </row>
    <row r="202" customFormat="false" ht="15" hidden="false" customHeight="false" outlineLevel="0" collapsed="false">
      <c r="A202" s="154" t="n">
        <v>4234</v>
      </c>
      <c r="B202" s="155" t="s">
        <v>1475</v>
      </c>
      <c r="C202" s="148" t="str">
        <f aca="false">VLOOKUP($A202,INSUMOS_AUX!$A$3:$H$813,3,0)</f>
        <v>M.O.</v>
      </c>
      <c r="D202" s="156" t="s">
        <v>1444</v>
      </c>
      <c r="E202" s="154" t="n">
        <v>1.782636942</v>
      </c>
      <c r="F202" s="149" t="n">
        <f aca="false">IF(C202="MAT.",VLOOKUP(A202,INSUMOS_AUX!$A$3:$H$813,6,0),0)</f>
        <v>0</v>
      </c>
      <c r="G202" s="149" t="n">
        <f aca="false">IF(C202="M.O.",VLOOKUP(A202,INSUMOS_AUX!A:F,6,0),0)</f>
        <v>20.22</v>
      </c>
    </row>
    <row r="203" customFormat="false" ht="15" hidden="false" customHeight="false" outlineLevel="0" collapsed="false">
      <c r="A203" s="154" t="n">
        <v>6111</v>
      </c>
      <c r="B203" s="155" t="s">
        <v>1464</v>
      </c>
      <c r="C203" s="148" t="str">
        <f aca="false">VLOOKUP($A203,INSUMOS_AUX!$A$3:$H$813,3,0)</f>
        <v>M.O.</v>
      </c>
      <c r="D203" s="156" t="s">
        <v>1444</v>
      </c>
      <c r="E203" s="154" t="n">
        <v>1.79966076</v>
      </c>
      <c r="F203" s="149" t="n">
        <f aca="false">IF(C203="MAT.",VLOOKUP(A203,INSUMOS_AUX!$A$3:$H$813,6,0),0)</f>
        <v>0</v>
      </c>
      <c r="G203" s="149" t="n">
        <f aca="false">IF(C203="M.O.",VLOOKUP(A203,INSUMOS_AUX!A:F,6,0),0)</f>
        <v>12.95</v>
      </c>
    </row>
    <row r="204" customFormat="false" ht="52.5" hidden="false" customHeight="false" outlineLevel="0" collapsed="false">
      <c r="A204" s="150" t="n">
        <v>101209</v>
      </c>
      <c r="B204" s="151" t="s">
        <v>1494</v>
      </c>
      <c r="C204" s="152" t="s">
        <v>59</v>
      </c>
      <c r="D204" s="152" t="s">
        <v>1442</v>
      </c>
      <c r="E204" s="150"/>
      <c r="F204" s="153" t="n">
        <f aca="false">(SUMPRODUCT($E205:$E219,F205:F219))*1</f>
        <v>9.2396938066568</v>
      </c>
      <c r="G204" s="153" t="n">
        <f aca="false">(SUMPRODUCT($E205:$E219,G205:G219))*1</f>
        <v>1.03866406956</v>
      </c>
    </row>
    <row r="205" customFormat="false" ht="21" hidden="false" customHeight="false" outlineLevel="0" collapsed="false">
      <c r="A205" s="154" t="n">
        <v>37370</v>
      </c>
      <c r="B205" s="155" t="s">
        <v>1443</v>
      </c>
      <c r="C205" s="148" t="str">
        <f aca="false">VLOOKUP($A205,INSUMOS_AUX!$A$3:$H$813,3,0)</f>
        <v>MAT.</v>
      </c>
      <c r="D205" s="156" t="s">
        <v>1444</v>
      </c>
      <c r="E205" s="154" t="n">
        <v>0.0487</v>
      </c>
      <c r="F205" s="149" t="n">
        <f aca="false">IF(C205="MAT.",VLOOKUP(A205,INSUMOS_AUX!$A$3:$H$813,6,0),0)</f>
        <v>3.32</v>
      </c>
      <c r="G205" s="149" t="n">
        <f aca="false">IF(C205="M.O.",VLOOKUP(A205,INSUMOS_AUX!A:F,6,0),0)</f>
        <v>0</v>
      </c>
    </row>
    <row r="206" customFormat="false" ht="21" hidden="false" customHeight="false" outlineLevel="0" collapsed="false">
      <c r="A206" s="154" t="n">
        <v>43488</v>
      </c>
      <c r="B206" s="155" t="s">
        <v>1445</v>
      </c>
      <c r="C206" s="148" t="str">
        <f aca="false">VLOOKUP($A206,INSUMOS_AUX!$A$3:$H$813,3,0)</f>
        <v>MAT.</v>
      </c>
      <c r="D206" s="156" t="s">
        <v>1444</v>
      </c>
      <c r="E206" s="154" t="n">
        <v>0.039</v>
      </c>
      <c r="F206" s="149" t="n">
        <f aca="false">IF(C206="MAT.",VLOOKUP(A206,INSUMOS_AUX!$A$3:$H$813,6,0),0)</f>
        <v>0.89</v>
      </c>
      <c r="G206" s="149" t="n">
        <f aca="false">IF(C206="M.O.",VLOOKUP(A206,INSUMOS_AUX!A:F,6,0),0)</f>
        <v>0</v>
      </c>
    </row>
    <row r="207" customFormat="false" ht="21" hidden="false" customHeight="false" outlineLevel="0" collapsed="false">
      <c r="A207" s="154" t="n">
        <v>43491</v>
      </c>
      <c r="B207" s="155" t="s">
        <v>1457</v>
      </c>
      <c r="C207" s="148" t="str">
        <f aca="false">VLOOKUP($A207,INSUMOS_AUX!$A$3:$H$813,3,0)</f>
        <v>MAT.</v>
      </c>
      <c r="D207" s="156" t="s">
        <v>1444</v>
      </c>
      <c r="E207" s="154" t="n">
        <v>0.0097</v>
      </c>
      <c r="F207" s="149" t="n">
        <f aca="false">IF(C207="MAT.",VLOOKUP(A207,INSUMOS_AUX!$A$3:$H$813,6,0),0)</f>
        <v>1.39</v>
      </c>
      <c r="G207" s="149" t="n">
        <f aca="false">IF(C207="M.O.",VLOOKUP(A207,INSUMOS_AUX!A:F,6,0),0)</f>
        <v>0</v>
      </c>
    </row>
    <row r="208" customFormat="false" ht="21" hidden="false" customHeight="false" outlineLevel="0" collapsed="false">
      <c r="A208" s="154" t="n">
        <v>37372</v>
      </c>
      <c r="B208" s="155" t="s">
        <v>1446</v>
      </c>
      <c r="C208" s="148" t="str">
        <f aca="false">VLOOKUP($A208,INSUMOS_AUX!$A$3:$H$813,3,0)</f>
        <v>MAT.</v>
      </c>
      <c r="D208" s="156" t="s">
        <v>1444</v>
      </c>
      <c r="E208" s="154" t="n">
        <v>0.0487</v>
      </c>
      <c r="F208" s="149" t="n">
        <f aca="false">IF(C208="MAT.",VLOOKUP(A208,INSUMOS_AUX!$A$3:$H$813,6,0),0)</f>
        <v>1.43</v>
      </c>
      <c r="G208" s="149" t="n">
        <f aca="false">IF(C208="M.O.",VLOOKUP(A208,INSUMOS_AUX!A:F,6,0),0)</f>
        <v>0</v>
      </c>
    </row>
    <row r="209" customFormat="false" ht="21" hidden="false" customHeight="false" outlineLevel="0" collapsed="false">
      <c r="A209" s="154" t="n">
        <v>43464</v>
      </c>
      <c r="B209" s="155" t="s">
        <v>1447</v>
      </c>
      <c r="C209" s="148" t="str">
        <f aca="false">VLOOKUP($A209,INSUMOS_AUX!$A$3:$H$813,3,0)</f>
        <v>MAT.</v>
      </c>
      <c r="D209" s="156" t="s">
        <v>1444</v>
      </c>
      <c r="E209" s="154" t="n">
        <v>0.039</v>
      </c>
      <c r="F209" s="149" t="n">
        <f aca="false">IF(C209="MAT.",VLOOKUP(A209,INSUMOS_AUX!$A$3:$H$813,6,0),0)</f>
        <v>0.01</v>
      </c>
      <c r="G209" s="149" t="n">
        <f aca="false">IF(C209="M.O.",VLOOKUP(A209,INSUMOS_AUX!A:F,6,0),0)</f>
        <v>0</v>
      </c>
    </row>
    <row r="210" customFormat="false" ht="21" hidden="false" customHeight="false" outlineLevel="0" collapsed="false">
      <c r="A210" s="154" t="n">
        <v>43467</v>
      </c>
      <c r="B210" s="155" t="s">
        <v>1459</v>
      </c>
      <c r="C210" s="148" t="str">
        <f aca="false">VLOOKUP($A210,INSUMOS_AUX!$A$3:$H$813,3,0)</f>
        <v>MAT.</v>
      </c>
      <c r="D210" s="156" t="s">
        <v>1444</v>
      </c>
      <c r="E210" s="154" t="n">
        <v>0.0097</v>
      </c>
      <c r="F210" s="149" t="n">
        <f aca="false">IF(C210="MAT.",VLOOKUP(A210,INSUMOS_AUX!$A$3:$H$813,6,0),0)</f>
        <v>0.61</v>
      </c>
      <c r="G210" s="149" t="n">
        <f aca="false">IF(C210="M.O.",VLOOKUP(A210,INSUMOS_AUX!A:F,6,0),0)</f>
        <v>0</v>
      </c>
    </row>
    <row r="211" customFormat="false" ht="21" hidden="false" customHeight="false" outlineLevel="0" collapsed="false">
      <c r="A211" s="154" t="n">
        <v>37373</v>
      </c>
      <c r="B211" s="155" t="s">
        <v>1448</v>
      </c>
      <c r="C211" s="148" t="str">
        <f aca="false">VLOOKUP($A211,INSUMOS_AUX!$A$3:$H$813,3,0)</f>
        <v>MAT.</v>
      </c>
      <c r="D211" s="156" t="s">
        <v>1444</v>
      </c>
      <c r="E211" s="154" t="n">
        <v>0.0487</v>
      </c>
      <c r="F211" s="149" t="n">
        <f aca="false">IF(C211="MAT.",VLOOKUP(A211,INSUMOS_AUX!$A$3:$H$813,6,0),0)</f>
        <v>0.08</v>
      </c>
      <c r="G211" s="149" t="n">
        <f aca="false">IF(C211="M.O.",VLOOKUP(A211,INSUMOS_AUX!A:F,6,0),0)</f>
        <v>0</v>
      </c>
    </row>
    <row r="212" customFormat="false" ht="21" hidden="false" customHeight="false" outlineLevel="0" collapsed="false">
      <c r="A212" s="154" t="n">
        <v>37371</v>
      </c>
      <c r="B212" s="155" t="s">
        <v>1449</v>
      </c>
      <c r="C212" s="148" t="s">
        <v>59</v>
      </c>
      <c r="D212" s="156" t="s">
        <v>1444</v>
      </c>
      <c r="E212" s="154" t="n">
        <v>0.0487</v>
      </c>
      <c r="F212" s="149" t="n">
        <f aca="false">IF(C212="MAT.",VLOOKUP(A212,INSUMOS_AUX!$A$3:$H$813,6,0),0)</f>
        <v>0</v>
      </c>
      <c r="G212" s="149" t="n">
        <f aca="false">IF(C212="M.O.",VLOOKUP(A212,INSUMOS_AUX!A:F,6,0),0)</f>
        <v>0</v>
      </c>
    </row>
    <row r="213" customFormat="false" ht="42" hidden="false" customHeight="false" outlineLevel="0" collapsed="false">
      <c r="A213" s="154" t="n">
        <v>37763</v>
      </c>
      <c r="B213" s="155" t="s">
        <v>1495</v>
      </c>
      <c r="C213" s="148" t="str">
        <f aca="false">VLOOKUP($A213,INSUMOS_AUX!$A$3:$H$813,3,0)</f>
        <v>MAT.</v>
      </c>
      <c r="D213" s="156" t="s">
        <v>31</v>
      </c>
      <c r="E213" s="154" t="n">
        <v>2.7324E-006</v>
      </c>
      <c r="F213" s="149" t="n">
        <f aca="false">IF(C213="MAT.",VLOOKUP(A213,INSUMOS_AUX!$A$3:$H$813,6,0),0)</f>
        <v>765159.12</v>
      </c>
      <c r="G213" s="149" t="n">
        <f aca="false">IF(C213="M.O.",VLOOKUP(A213,INSUMOS_AUX!A:F,6,0),0)</f>
        <v>0</v>
      </c>
    </row>
    <row r="214" customFormat="false" ht="21" hidden="false" customHeight="false" outlineLevel="0" collapsed="false">
      <c r="A214" s="154" t="n">
        <v>14525</v>
      </c>
      <c r="B214" s="155" t="s">
        <v>1496</v>
      </c>
      <c r="C214" s="148" t="str">
        <f aca="false">VLOOKUP($A214,INSUMOS_AUX!$A$3:$H$813,3,0)</f>
        <v>MAT.</v>
      </c>
      <c r="D214" s="156" t="s">
        <v>31</v>
      </c>
      <c r="E214" s="154" t="n">
        <v>1.23984E-006</v>
      </c>
      <c r="F214" s="149" t="n">
        <f aca="false">IF(C214="MAT.",VLOOKUP(A214,INSUMOS_AUX!$A$3:$H$813,6,0),0)</f>
        <v>961801.77</v>
      </c>
      <c r="G214" s="149" t="n">
        <f aca="false">IF(C214="M.O.",VLOOKUP(A214,INSUMOS_AUX!A:F,6,0),0)</f>
        <v>0</v>
      </c>
    </row>
    <row r="215" customFormat="false" ht="31.5" hidden="false" customHeight="false" outlineLevel="0" collapsed="false">
      <c r="A215" s="154" t="n">
        <v>37744</v>
      </c>
      <c r="B215" s="155" t="s">
        <v>1497</v>
      </c>
      <c r="C215" s="148" t="str">
        <f aca="false">VLOOKUP($A215,INSUMOS_AUX!$A$3:$H$813,3,0)</f>
        <v>MAT.</v>
      </c>
      <c r="D215" s="156" t="s">
        <v>31</v>
      </c>
      <c r="E215" s="154" t="n">
        <v>3.88756E-006</v>
      </c>
      <c r="F215" s="149" t="n">
        <f aca="false">IF(C215="MAT.",VLOOKUP(A215,INSUMOS_AUX!$A$3:$H$813,6,0),0)</f>
        <v>279656.7</v>
      </c>
      <c r="G215" s="149" t="n">
        <f aca="false">IF(C215="M.O.",VLOOKUP(A215,INSUMOS_AUX!A:F,6,0),0)</f>
        <v>0</v>
      </c>
    </row>
    <row r="216" customFormat="false" ht="15" hidden="false" customHeight="false" outlineLevel="0" collapsed="false">
      <c r="A216" s="154" t="n">
        <v>4221</v>
      </c>
      <c r="B216" s="155" t="s">
        <v>1451</v>
      </c>
      <c r="C216" s="148" t="str">
        <f aca="false">VLOOKUP($A216,INSUMOS_AUX!$A$3:$H$813,3,0)</f>
        <v>MAT.</v>
      </c>
      <c r="D216" s="156" t="s">
        <v>1452</v>
      </c>
      <c r="E216" s="154" t="n">
        <v>0.729234</v>
      </c>
      <c r="F216" s="149" t="n">
        <f aca="false">IF(C216="MAT.",VLOOKUP(A216,INSUMOS_AUX!$A$3:$H$813,6,0),0)</f>
        <v>6.28</v>
      </c>
      <c r="G216" s="149" t="n">
        <f aca="false">IF(C216="M.O.",VLOOKUP(A216,INSUMOS_AUX!A:F,6,0),0)</f>
        <v>0</v>
      </c>
    </row>
    <row r="217" customFormat="false" ht="15" hidden="false" customHeight="false" outlineLevel="0" collapsed="false">
      <c r="A217" s="154" t="n">
        <v>20020</v>
      </c>
      <c r="B217" s="155" t="s">
        <v>1474</v>
      </c>
      <c r="C217" s="148" t="str">
        <f aca="false">VLOOKUP($A217,INSUMOS_AUX!$A$3:$H$813,3,0)</f>
        <v>M.O.</v>
      </c>
      <c r="D217" s="156" t="s">
        <v>1444</v>
      </c>
      <c r="E217" s="154" t="n">
        <v>0.029348628</v>
      </c>
      <c r="F217" s="149" t="n">
        <f aca="false">IF(C217="MAT.",VLOOKUP(A217,INSUMOS_AUX!$A$3:$H$813,6,0),0)</f>
        <v>0</v>
      </c>
      <c r="G217" s="149" t="n">
        <f aca="false">IF(C217="M.O.",VLOOKUP(A217,INSUMOS_AUX!A:F,6,0),0)</f>
        <v>24.19</v>
      </c>
    </row>
    <row r="218" customFormat="false" ht="15" hidden="false" customHeight="false" outlineLevel="0" collapsed="false">
      <c r="A218" s="154" t="n">
        <v>4234</v>
      </c>
      <c r="B218" s="155" t="s">
        <v>1475</v>
      </c>
      <c r="C218" s="148" t="str">
        <f aca="false">VLOOKUP($A218,INSUMOS_AUX!$A$3:$H$813,3,0)</f>
        <v>M.O.</v>
      </c>
      <c r="D218" s="156" t="s">
        <v>1444</v>
      </c>
      <c r="E218" s="154" t="n">
        <v>0.009913092</v>
      </c>
      <c r="F218" s="149" t="n">
        <f aca="false">IF(C218="MAT.",VLOOKUP(A218,INSUMOS_AUX!$A$3:$H$813,6,0),0)</f>
        <v>0</v>
      </c>
      <c r="G218" s="149" t="n">
        <f aca="false">IF(C218="M.O.",VLOOKUP(A218,INSUMOS_AUX!A:F,6,0),0)</f>
        <v>20.22</v>
      </c>
    </row>
    <row r="219" customFormat="false" ht="15" hidden="false" customHeight="false" outlineLevel="0" collapsed="false">
      <c r="A219" s="154" t="n">
        <v>6111</v>
      </c>
      <c r="B219" s="155" t="s">
        <v>1464</v>
      </c>
      <c r="C219" s="148" t="str">
        <f aca="false">VLOOKUP($A219,INSUMOS_AUX!$A$3:$H$813,3,0)</f>
        <v>M.O.</v>
      </c>
      <c r="D219" s="156" t="s">
        <v>1444</v>
      </c>
      <c r="E219" s="154" t="n">
        <v>0.00990564</v>
      </c>
      <c r="F219" s="149" t="n">
        <f aca="false">IF(C219="MAT.",VLOOKUP(A219,INSUMOS_AUX!$A$3:$H$813,6,0),0)</f>
        <v>0</v>
      </c>
      <c r="G219" s="149" t="n">
        <f aca="false">IF(C219="M.O.",VLOOKUP(A219,INSUMOS_AUX!A:F,6,0),0)</f>
        <v>12.95</v>
      </c>
    </row>
    <row r="220" customFormat="false" ht="42" hidden="false" customHeight="false" outlineLevel="0" collapsed="false">
      <c r="A220" s="150" t="n">
        <v>96385</v>
      </c>
      <c r="B220" s="151" t="s">
        <v>1498</v>
      </c>
      <c r="C220" s="152" t="s">
        <v>59</v>
      </c>
      <c r="D220" s="152" t="s">
        <v>1442</v>
      </c>
      <c r="E220" s="150"/>
      <c r="F220" s="153" t="n">
        <f aca="false">(SUMPRODUCT($E221:$E237,F221:F237))*1</f>
        <v>9.20308409372347</v>
      </c>
      <c r="G220" s="153" t="n">
        <f aca="false">(SUMPRODUCT($E221:$E237,G221:G237))*1</f>
        <v>2.67658304091901</v>
      </c>
    </row>
    <row r="221" customFormat="false" ht="21" hidden="false" customHeight="false" outlineLevel="0" collapsed="false">
      <c r="A221" s="154" t="n">
        <v>37370</v>
      </c>
      <c r="B221" s="155" t="s">
        <v>1443</v>
      </c>
      <c r="C221" s="148" t="str">
        <f aca="false">VLOOKUP($A221,INSUMOS_AUX!$A$3:$H$813,3,0)</f>
        <v>MAT.</v>
      </c>
      <c r="D221" s="156" t="s">
        <v>1444</v>
      </c>
      <c r="E221" s="154" t="n">
        <v>0.1426757</v>
      </c>
      <c r="F221" s="149" t="n">
        <f aca="false">IF(C221="MAT.",VLOOKUP(A221,INSUMOS_AUX!$A$3:$H$813,6,0),0)</f>
        <v>3.32</v>
      </c>
      <c r="G221" s="149" t="n">
        <f aca="false">IF(C221="M.O.",VLOOKUP(A221,INSUMOS_AUX!A:F,6,0),0)</f>
        <v>0</v>
      </c>
    </row>
    <row r="222" customFormat="false" ht="21" hidden="false" customHeight="false" outlineLevel="0" collapsed="false">
      <c r="A222" s="154" t="n">
        <v>43488</v>
      </c>
      <c r="B222" s="155" t="s">
        <v>1445</v>
      </c>
      <c r="C222" s="148" t="str">
        <f aca="false">VLOOKUP($A222,INSUMOS_AUX!$A$3:$H$813,3,0)</f>
        <v>MAT.</v>
      </c>
      <c r="D222" s="156" t="s">
        <v>1444</v>
      </c>
      <c r="E222" s="154" t="n">
        <v>0.1070068</v>
      </c>
      <c r="F222" s="149" t="n">
        <f aca="false">IF(C222="MAT.",VLOOKUP(A222,INSUMOS_AUX!$A$3:$H$813,6,0),0)</f>
        <v>0.89</v>
      </c>
      <c r="G222" s="149" t="n">
        <f aca="false">IF(C222="M.O.",VLOOKUP(A222,INSUMOS_AUX!A:F,6,0),0)</f>
        <v>0</v>
      </c>
    </row>
    <row r="223" customFormat="false" ht="21" hidden="false" customHeight="false" outlineLevel="0" collapsed="false">
      <c r="A223" s="154" t="n">
        <v>43491</v>
      </c>
      <c r="B223" s="155" t="s">
        <v>1457</v>
      </c>
      <c r="C223" s="148" t="str">
        <f aca="false">VLOOKUP($A223,INSUMOS_AUX!$A$3:$H$813,3,0)</f>
        <v>MAT.</v>
      </c>
      <c r="D223" s="156" t="s">
        <v>1444</v>
      </c>
      <c r="E223" s="154" t="n">
        <v>0.0356689</v>
      </c>
      <c r="F223" s="149" t="n">
        <f aca="false">IF(C223="MAT.",VLOOKUP(A223,INSUMOS_AUX!$A$3:$H$813,6,0),0)</f>
        <v>1.39</v>
      </c>
      <c r="G223" s="149" t="n">
        <f aca="false">IF(C223="M.O.",VLOOKUP(A223,INSUMOS_AUX!A:F,6,0),0)</f>
        <v>0</v>
      </c>
    </row>
    <row r="224" customFormat="false" ht="21" hidden="false" customHeight="false" outlineLevel="0" collapsed="false">
      <c r="A224" s="154" t="n">
        <v>37372</v>
      </c>
      <c r="B224" s="155" t="s">
        <v>1446</v>
      </c>
      <c r="C224" s="148" t="str">
        <f aca="false">VLOOKUP($A224,INSUMOS_AUX!$A$3:$H$813,3,0)</f>
        <v>MAT.</v>
      </c>
      <c r="D224" s="156" t="s">
        <v>1444</v>
      </c>
      <c r="E224" s="154" t="n">
        <v>0.1426757</v>
      </c>
      <c r="F224" s="149" t="n">
        <f aca="false">IF(C224="MAT.",VLOOKUP(A224,INSUMOS_AUX!$A$3:$H$813,6,0),0)</f>
        <v>1.43</v>
      </c>
      <c r="G224" s="149" t="n">
        <f aca="false">IF(C224="M.O.",VLOOKUP(A224,INSUMOS_AUX!A:F,6,0),0)</f>
        <v>0</v>
      </c>
    </row>
    <row r="225" customFormat="false" ht="21" hidden="false" customHeight="false" outlineLevel="0" collapsed="false">
      <c r="A225" s="154" t="n">
        <v>43464</v>
      </c>
      <c r="B225" s="155" t="s">
        <v>1447</v>
      </c>
      <c r="C225" s="148" t="str">
        <f aca="false">VLOOKUP($A225,INSUMOS_AUX!$A$3:$H$813,3,0)</f>
        <v>MAT.</v>
      </c>
      <c r="D225" s="156" t="s">
        <v>1444</v>
      </c>
      <c r="E225" s="154" t="n">
        <v>0.1070068</v>
      </c>
      <c r="F225" s="149" t="n">
        <f aca="false">IF(C225="MAT.",VLOOKUP(A225,INSUMOS_AUX!$A$3:$H$813,6,0),0)</f>
        <v>0.01</v>
      </c>
      <c r="G225" s="149" t="n">
        <f aca="false">IF(C225="M.O.",VLOOKUP(A225,INSUMOS_AUX!A:F,6,0),0)</f>
        <v>0</v>
      </c>
    </row>
    <row r="226" customFormat="false" ht="21" hidden="false" customHeight="false" outlineLevel="0" collapsed="false">
      <c r="A226" s="154" t="n">
        <v>43467</v>
      </c>
      <c r="B226" s="155" t="s">
        <v>1459</v>
      </c>
      <c r="C226" s="148" t="str">
        <f aca="false">VLOOKUP($A226,INSUMOS_AUX!$A$3:$H$813,3,0)</f>
        <v>MAT.</v>
      </c>
      <c r="D226" s="156" t="s">
        <v>1444</v>
      </c>
      <c r="E226" s="154" t="n">
        <v>0.0356689</v>
      </c>
      <c r="F226" s="149" t="n">
        <f aca="false">IF(C226="MAT.",VLOOKUP(A226,INSUMOS_AUX!$A$3:$H$813,6,0),0)</f>
        <v>0.61</v>
      </c>
      <c r="G226" s="149" t="n">
        <f aca="false">IF(C226="M.O.",VLOOKUP(A226,INSUMOS_AUX!A:F,6,0),0)</f>
        <v>0</v>
      </c>
    </row>
    <row r="227" customFormat="false" ht="21" hidden="false" customHeight="false" outlineLevel="0" collapsed="false">
      <c r="A227" s="154" t="n">
        <v>37373</v>
      </c>
      <c r="B227" s="155" t="s">
        <v>1448</v>
      </c>
      <c r="C227" s="148" t="str">
        <f aca="false">VLOOKUP($A227,INSUMOS_AUX!$A$3:$H$813,3,0)</f>
        <v>MAT.</v>
      </c>
      <c r="D227" s="156" t="s">
        <v>1444</v>
      </c>
      <c r="E227" s="154" t="n">
        <v>0.1426757</v>
      </c>
      <c r="F227" s="149" t="n">
        <f aca="false">IF(C227="MAT.",VLOOKUP(A227,INSUMOS_AUX!$A$3:$H$813,6,0),0)</f>
        <v>0.08</v>
      </c>
      <c r="G227" s="149" t="n">
        <f aca="false">IF(C227="M.O.",VLOOKUP(A227,INSUMOS_AUX!A:F,6,0),0)</f>
        <v>0</v>
      </c>
    </row>
    <row r="228" customFormat="false" ht="21" hidden="false" customHeight="false" outlineLevel="0" collapsed="false">
      <c r="A228" s="154" t="n">
        <v>37371</v>
      </c>
      <c r="B228" s="155" t="s">
        <v>1449</v>
      </c>
      <c r="C228" s="148" t="s">
        <v>59</v>
      </c>
      <c r="D228" s="156" t="s">
        <v>1444</v>
      </c>
      <c r="E228" s="154" t="n">
        <v>0.1426757</v>
      </c>
      <c r="F228" s="149" t="n">
        <f aca="false">IF(C228="MAT.",VLOOKUP(A228,INSUMOS_AUX!$A$3:$H$813,6,0),0)</f>
        <v>0</v>
      </c>
      <c r="G228" s="149" t="n">
        <f aca="false">IF(C228="M.O.",VLOOKUP(A228,INSUMOS_AUX!A:F,6,0),0)</f>
        <v>0</v>
      </c>
    </row>
    <row r="229" customFormat="false" ht="31.5" hidden="false" customHeight="false" outlineLevel="0" collapsed="false">
      <c r="A229" s="154" t="n">
        <v>37758</v>
      </c>
      <c r="B229" s="155" t="s">
        <v>1472</v>
      </c>
      <c r="C229" s="148" t="str">
        <f aca="false">VLOOKUP($A229,INSUMOS_AUX!$A$3:$H$813,3,0)</f>
        <v>MAT.</v>
      </c>
      <c r="D229" s="156" t="s">
        <v>31</v>
      </c>
      <c r="E229" s="154" t="n">
        <v>2.20341259E-006</v>
      </c>
      <c r="F229" s="149" t="n">
        <f aca="false">IF(C229="MAT.",VLOOKUP(A229,INSUMOS_AUX!$A$3:$H$813,6,0),0)</f>
        <v>728477.1</v>
      </c>
      <c r="G229" s="149" t="n">
        <f aca="false">IF(C229="M.O.",VLOOKUP(A229,INSUMOS_AUX!A:F,6,0),0)</f>
        <v>0</v>
      </c>
    </row>
    <row r="230" customFormat="false" ht="21" hidden="false" customHeight="false" outlineLevel="0" collapsed="false">
      <c r="A230" s="154" t="n">
        <v>4090</v>
      </c>
      <c r="B230" s="155" t="s">
        <v>1499</v>
      </c>
      <c r="C230" s="148" t="str">
        <f aca="false">VLOOKUP($A230,INSUMOS_AUX!$A$3:$H$813,3,0)</f>
        <v>MAT.</v>
      </c>
      <c r="D230" s="156" t="s">
        <v>31</v>
      </c>
      <c r="E230" s="154" t="n">
        <v>2.21975765E-006</v>
      </c>
      <c r="F230" s="149" t="n">
        <f aca="false">IF(C230="MAT.",VLOOKUP(A230,INSUMOS_AUX!$A$3:$H$813,6,0),0)</f>
        <v>1150000</v>
      </c>
      <c r="G230" s="149" t="n">
        <f aca="false">IF(C230="M.O.",VLOOKUP(A230,INSUMOS_AUX!A:F,6,0),0)</f>
        <v>0</v>
      </c>
    </row>
    <row r="231" customFormat="false" ht="31.5" hidden="false" customHeight="false" outlineLevel="0" collapsed="false">
      <c r="A231" s="154" t="n">
        <v>14513</v>
      </c>
      <c r="B231" s="155" t="s">
        <v>1500</v>
      </c>
      <c r="C231" s="148" t="str">
        <f aca="false">VLOOKUP($A231,INSUMOS_AUX!$A$3:$H$813,3,0)</f>
        <v>MAT.</v>
      </c>
      <c r="D231" s="156" t="s">
        <v>31</v>
      </c>
      <c r="E231" s="154" t="n">
        <v>3.11055234E-006</v>
      </c>
      <c r="F231" s="149" t="n">
        <f aca="false">IF(C231="MAT.",VLOOKUP(A231,INSUMOS_AUX!$A$3:$H$813,6,0),0)</f>
        <v>659269.78</v>
      </c>
      <c r="G231" s="149" t="n">
        <f aca="false">IF(C231="M.O.",VLOOKUP(A231,INSUMOS_AUX!A:F,6,0),0)</f>
        <v>0</v>
      </c>
    </row>
    <row r="232" customFormat="false" ht="42" hidden="false" customHeight="false" outlineLevel="0" collapsed="false">
      <c r="A232" s="154" t="n">
        <v>37736</v>
      </c>
      <c r="B232" s="155" t="s">
        <v>1501</v>
      </c>
      <c r="C232" s="148" t="str">
        <f aca="false">VLOOKUP($A232,INSUMOS_AUX!$A$3:$H$813,3,0)</f>
        <v>MAT.</v>
      </c>
      <c r="D232" s="156" t="s">
        <v>31</v>
      </c>
      <c r="E232" s="154" t="n">
        <v>2.97917547E-006</v>
      </c>
      <c r="F232" s="149" t="n">
        <f aca="false">IF(C232="MAT.",VLOOKUP(A232,INSUMOS_AUX!$A$3:$H$813,6,0),0)</f>
        <v>85950</v>
      </c>
      <c r="G232" s="149" t="n">
        <f aca="false">IF(C232="M.O.",VLOOKUP(A232,INSUMOS_AUX!A:F,6,0),0)</f>
        <v>0</v>
      </c>
    </row>
    <row r="233" customFormat="false" ht="15" hidden="false" customHeight="false" outlineLevel="0" collapsed="false">
      <c r="A233" s="154" t="n">
        <v>4221</v>
      </c>
      <c r="B233" s="155" t="s">
        <v>1451</v>
      </c>
      <c r="C233" s="148" t="str">
        <f aca="false">VLOOKUP($A233,INSUMOS_AUX!$A$3:$H$813,3,0)</f>
        <v>MAT.</v>
      </c>
      <c r="D233" s="156" t="s">
        <v>1452</v>
      </c>
      <c r="E233" s="154" t="n">
        <v>0.299634768</v>
      </c>
      <c r="F233" s="149" t="n">
        <f aca="false">IF(C233="MAT.",VLOOKUP(A233,INSUMOS_AUX!$A$3:$H$813,6,0),0)</f>
        <v>6.28</v>
      </c>
      <c r="G233" s="149" t="n">
        <f aca="false">IF(C233="M.O.",VLOOKUP(A233,INSUMOS_AUX!A:F,6,0),0)</f>
        <v>0</v>
      </c>
    </row>
    <row r="234" customFormat="false" ht="15" hidden="false" customHeight="false" outlineLevel="0" collapsed="false">
      <c r="A234" s="154" t="n">
        <v>4093</v>
      </c>
      <c r="B234" s="155" t="s">
        <v>1502</v>
      </c>
      <c r="C234" s="148" t="str">
        <f aca="false">VLOOKUP($A234,INSUMOS_AUX!$A$3:$H$813,3,0)</f>
        <v>M.O.</v>
      </c>
      <c r="D234" s="156" t="s">
        <v>1444</v>
      </c>
      <c r="E234" s="154" t="n">
        <v>0.035850454701</v>
      </c>
      <c r="F234" s="149" t="n">
        <f aca="false">IF(C234="MAT.",VLOOKUP(A234,INSUMOS_AUX!$A$3:$H$813,6,0),0)</f>
        <v>0</v>
      </c>
      <c r="G234" s="149" t="n">
        <f aca="false">IF(C234="M.O.",VLOOKUP(A234,INSUMOS_AUX!A:F,6,0),0)</f>
        <v>23.28</v>
      </c>
    </row>
    <row r="235" customFormat="false" ht="15" hidden="false" customHeight="false" outlineLevel="0" collapsed="false">
      <c r="A235" s="154" t="n">
        <v>4239</v>
      </c>
      <c r="B235" s="155" t="s">
        <v>1503</v>
      </c>
      <c r="C235" s="148" t="str">
        <f aca="false">VLOOKUP($A235,INSUMOS_AUX!$A$3:$H$813,3,0)</f>
        <v>M.O.</v>
      </c>
      <c r="D235" s="156" t="s">
        <v>1444</v>
      </c>
      <c r="E235" s="154" t="n">
        <v>0.035965308559</v>
      </c>
      <c r="F235" s="149" t="n">
        <f aca="false">IF(C235="MAT.",VLOOKUP(A235,INSUMOS_AUX!$A$3:$H$813,6,0),0)</f>
        <v>0</v>
      </c>
      <c r="G235" s="149" t="n">
        <f aca="false">IF(C235="M.O.",VLOOKUP(A235,INSUMOS_AUX!A:F,6,0),0)</f>
        <v>24.17</v>
      </c>
    </row>
    <row r="236" customFormat="false" ht="15" hidden="false" customHeight="false" outlineLevel="0" collapsed="false">
      <c r="A236" s="154" t="n">
        <v>4238</v>
      </c>
      <c r="B236" s="155" t="s">
        <v>1504</v>
      </c>
      <c r="C236" s="148" t="str">
        <f aca="false">VLOOKUP($A236,INSUMOS_AUX!$A$3:$H$813,3,0)</f>
        <v>M.O.</v>
      </c>
      <c r="D236" s="156" t="s">
        <v>1444</v>
      </c>
      <c r="E236" s="154" t="n">
        <v>0.03596540939</v>
      </c>
      <c r="F236" s="149" t="n">
        <f aca="false">IF(C236="MAT.",VLOOKUP(A236,INSUMOS_AUX!$A$3:$H$813,6,0),0)</f>
        <v>0</v>
      </c>
      <c r="G236" s="149" t="n">
        <f aca="false">IF(C236="M.O.",VLOOKUP(A236,INSUMOS_AUX!A:F,6,0),0)</f>
        <v>13.93</v>
      </c>
    </row>
    <row r="237" customFormat="false" ht="15" hidden="false" customHeight="false" outlineLevel="0" collapsed="false">
      <c r="A237" s="154" t="n">
        <v>6111</v>
      </c>
      <c r="B237" s="155" t="s">
        <v>1464</v>
      </c>
      <c r="C237" s="148" t="str">
        <f aca="false">VLOOKUP($A237,INSUMOS_AUX!$A$3:$H$813,3,0)</f>
        <v>M.O.</v>
      </c>
      <c r="D237" s="156" t="s">
        <v>1444</v>
      </c>
      <c r="E237" s="154" t="n">
        <v>0.03642508068</v>
      </c>
      <c r="F237" s="149" t="n">
        <f aca="false">IF(C237="MAT.",VLOOKUP(A237,INSUMOS_AUX!$A$3:$H$813,6,0),0)</f>
        <v>0</v>
      </c>
      <c r="G237" s="149" t="n">
        <f aca="false">IF(C237="M.O.",VLOOKUP(A237,INSUMOS_AUX!A:F,6,0),0)</f>
        <v>12.95</v>
      </c>
    </row>
    <row r="238" customFormat="false" ht="31.5" hidden="false" customHeight="false" outlineLevel="0" collapsed="false">
      <c r="A238" s="150" t="n">
        <v>100576</v>
      </c>
      <c r="B238" s="151" t="s">
        <v>1505</v>
      </c>
      <c r="C238" s="152" t="s">
        <v>59</v>
      </c>
      <c r="D238" s="152" t="s">
        <v>1477</v>
      </c>
      <c r="E238" s="150"/>
      <c r="F238" s="153" t="n">
        <f aca="false">(SUMPRODUCT($E239:$E255,F239:F255))*1</f>
        <v>1.53885692662912</v>
      </c>
      <c r="G238" s="153" t="n">
        <f aca="false">(SUMPRODUCT($E239:$E255,G239:G255))*1</f>
        <v>0.46091532844694</v>
      </c>
    </row>
    <row r="239" customFormat="false" ht="21" hidden="false" customHeight="false" outlineLevel="0" collapsed="false">
      <c r="A239" s="154" t="n">
        <v>37370</v>
      </c>
      <c r="B239" s="155" t="s">
        <v>1443</v>
      </c>
      <c r="C239" s="148" t="str">
        <f aca="false">VLOOKUP($A239,INSUMOS_AUX!$A$3:$H$813,3,0)</f>
        <v>MAT.</v>
      </c>
      <c r="D239" s="156" t="s">
        <v>1444</v>
      </c>
      <c r="E239" s="154" t="n">
        <v>0.0245492</v>
      </c>
      <c r="F239" s="149" t="n">
        <f aca="false">IF(C239="MAT.",VLOOKUP(A239,INSUMOS_AUX!$A$3:$H$813,6,0),0)</f>
        <v>3.32</v>
      </c>
      <c r="G239" s="149" t="n">
        <f aca="false">IF(C239="M.O.",VLOOKUP(A239,INSUMOS_AUX!A:F,6,0),0)</f>
        <v>0</v>
      </c>
    </row>
    <row r="240" customFormat="false" ht="21" hidden="false" customHeight="false" outlineLevel="0" collapsed="false">
      <c r="A240" s="154" t="n">
        <v>43488</v>
      </c>
      <c r="B240" s="155" t="s">
        <v>1445</v>
      </c>
      <c r="C240" s="148" t="str">
        <f aca="false">VLOOKUP($A240,INSUMOS_AUX!$A$3:$H$813,3,0)</f>
        <v>MAT.</v>
      </c>
      <c r="D240" s="156" t="s">
        <v>1444</v>
      </c>
      <c r="E240" s="154" t="n">
        <v>0.015934</v>
      </c>
      <c r="F240" s="149" t="n">
        <f aca="false">IF(C240="MAT.",VLOOKUP(A240,INSUMOS_AUX!$A$3:$H$813,6,0),0)</f>
        <v>0.89</v>
      </c>
      <c r="G240" s="149" t="n">
        <f aca="false">IF(C240="M.O.",VLOOKUP(A240,INSUMOS_AUX!A:F,6,0),0)</f>
        <v>0</v>
      </c>
    </row>
    <row r="241" customFormat="false" ht="21" hidden="false" customHeight="false" outlineLevel="0" collapsed="false">
      <c r="A241" s="154" t="n">
        <v>43491</v>
      </c>
      <c r="B241" s="155" t="s">
        <v>1457</v>
      </c>
      <c r="C241" s="148" t="str">
        <f aca="false">VLOOKUP($A241,INSUMOS_AUX!$A$3:$H$813,3,0)</f>
        <v>MAT.</v>
      </c>
      <c r="D241" s="156" t="s">
        <v>1444</v>
      </c>
      <c r="E241" s="154" t="n">
        <v>0.0086152</v>
      </c>
      <c r="F241" s="149" t="n">
        <f aca="false">IF(C241="MAT.",VLOOKUP(A241,INSUMOS_AUX!$A$3:$H$813,6,0),0)</f>
        <v>1.39</v>
      </c>
      <c r="G241" s="149" t="n">
        <f aca="false">IF(C241="M.O.",VLOOKUP(A241,INSUMOS_AUX!A:F,6,0),0)</f>
        <v>0</v>
      </c>
    </row>
    <row r="242" customFormat="false" ht="21" hidden="false" customHeight="false" outlineLevel="0" collapsed="false">
      <c r="A242" s="154" t="n">
        <v>37372</v>
      </c>
      <c r="B242" s="155" t="s">
        <v>1446</v>
      </c>
      <c r="C242" s="148" t="str">
        <f aca="false">VLOOKUP($A242,INSUMOS_AUX!$A$3:$H$813,3,0)</f>
        <v>MAT.</v>
      </c>
      <c r="D242" s="156" t="s">
        <v>1444</v>
      </c>
      <c r="E242" s="154" t="n">
        <v>0.0245492</v>
      </c>
      <c r="F242" s="149" t="n">
        <f aca="false">IF(C242="MAT.",VLOOKUP(A242,INSUMOS_AUX!$A$3:$H$813,6,0),0)</f>
        <v>1.43</v>
      </c>
      <c r="G242" s="149" t="n">
        <f aca="false">IF(C242="M.O.",VLOOKUP(A242,INSUMOS_AUX!A:F,6,0),0)</f>
        <v>0</v>
      </c>
    </row>
    <row r="243" customFormat="false" ht="21" hidden="false" customHeight="false" outlineLevel="0" collapsed="false">
      <c r="A243" s="154" t="n">
        <v>43464</v>
      </c>
      <c r="B243" s="155" t="s">
        <v>1447</v>
      </c>
      <c r="C243" s="148" t="str">
        <f aca="false">VLOOKUP($A243,INSUMOS_AUX!$A$3:$H$813,3,0)</f>
        <v>MAT.</v>
      </c>
      <c r="D243" s="156" t="s">
        <v>1444</v>
      </c>
      <c r="E243" s="154" t="n">
        <v>0.015934</v>
      </c>
      <c r="F243" s="149" t="n">
        <f aca="false">IF(C243="MAT.",VLOOKUP(A243,INSUMOS_AUX!$A$3:$H$813,6,0),0)</f>
        <v>0.01</v>
      </c>
      <c r="G243" s="149" t="n">
        <f aca="false">IF(C243="M.O.",VLOOKUP(A243,INSUMOS_AUX!A:F,6,0),0)</f>
        <v>0</v>
      </c>
    </row>
    <row r="244" customFormat="false" ht="21" hidden="false" customHeight="false" outlineLevel="0" collapsed="false">
      <c r="A244" s="154" t="n">
        <v>43467</v>
      </c>
      <c r="B244" s="155" t="s">
        <v>1459</v>
      </c>
      <c r="C244" s="148" t="str">
        <f aca="false">VLOOKUP($A244,INSUMOS_AUX!$A$3:$H$813,3,0)</f>
        <v>MAT.</v>
      </c>
      <c r="D244" s="156" t="s">
        <v>1444</v>
      </c>
      <c r="E244" s="154" t="n">
        <v>0.0086152</v>
      </c>
      <c r="F244" s="149" t="n">
        <f aca="false">IF(C244="MAT.",VLOOKUP(A244,INSUMOS_AUX!$A$3:$H$813,6,0),0)</f>
        <v>0.61</v>
      </c>
      <c r="G244" s="149" t="n">
        <f aca="false">IF(C244="M.O.",VLOOKUP(A244,INSUMOS_AUX!A:F,6,0),0)</f>
        <v>0</v>
      </c>
    </row>
    <row r="245" customFormat="false" ht="21" hidden="false" customHeight="false" outlineLevel="0" collapsed="false">
      <c r="A245" s="154" t="n">
        <v>37373</v>
      </c>
      <c r="B245" s="155" t="s">
        <v>1448</v>
      </c>
      <c r="C245" s="148" t="str">
        <f aca="false">VLOOKUP($A245,INSUMOS_AUX!$A$3:$H$813,3,0)</f>
        <v>MAT.</v>
      </c>
      <c r="D245" s="156" t="s">
        <v>1444</v>
      </c>
      <c r="E245" s="154" t="n">
        <v>0.0245492</v>
      </c>
      <c r="F245" s="149" t="n">
        <f aca="false">IF(C245="MAT.",VLOOKUP(A245,INSUMOS_AUX!$A$3:$H$813,6,0),0)</f>
        <v>0.08</v>
      </c>
      <c r="G245" s="149" t="n">
        <f aca="false">IF(C245="M.O.",VLOOKUP(A245,INSUMOS_AUX!A:F,6,0),0)</f>
        <v>0</v>
      </c>
    </row>
    <row r="246" customFormat="false" ht="21" hidden="false" customHeight="false" outlineLevel="0" collapsed="false">
      <c r="A246" s="154" t="n">
        <v>37371</v>
      </c>
      <c r="B246" s="155" t="s">
        <v>1449</v>
      </c>
      <c r="C246" s="148" t="s">
        <v>59</v>
      </c>
      <c r="D246" s="156" t="s">
        <v>1444</v>
      </c>
      <c r="E246" s="154" t="n">
        <v>0.0245492</v>
      </c>
      <c r="F246" s="149" t="n">
        <f aca="false">IF(C246="MAT.",VLOOKUP(A246,INSUMOS_AUX!$A$3:$H$813,6,0),0)</f>
        <v>0</v>
      </c>
      <c r="G246" s="149" t="n">
        <f aca="false">IF(C246="M.O.",VLOOKUP(A246,INSUMOS_AUX!A:F,6,0),0)</f>
        <v>0</v>
      </c>
    </row>
    <row r="247" customFormat="false" ht="31.5" hidden="false" customHeight="false" outlineLevel="0" collapsed="false">
      <c r="A247" s="154" t="n">
        <v>37758</v>
      </c>
      <c r="B247" s="155" t="s">
        <v>1472</v>
      </c>
      <c r="C247" s="148" t="str">
        <f aca="false">VLOOKUP($A247,INSUMOS_AUX!$A$3:$H$813,3,0)</f>
        <v>MAT.</v>
      </c>
      <c r="D247" s="156" t="s">
        <v>31</v>
      </c>
      <c r="E247" s="154" t="n">
        <v>2.667874E-007</v>
      </c>
      <c r="F247" s="149" t="n">
        <f aca="false">IF(C247="MAT.",VLOOKUP(A247,INSUMOS_AUX!$A$3:$H$813,6,0),0)</f>
        <v>728477.1</v>
      </c>
      <c r="G247" s="149" t="n">
        <f aca="false">IF(C247="M.O.",VLOOKUP(A247,INSUMOS_AUX!A:F,6,0),0)</f>
        <v>0</v>
      </c>
    </row>
    <row r="248" customFormat="false" ht="21" hidden="false" customHeight="false" outlineLevel="0" collapsed="false">
      <c r="A248" s="154" t="n">
        <v>4090</v>
      </c>
      <c r="B248" s="155" t="s">
        <v>1499</v>
      </c>
      <c r="C248" s="148" t="str">
        <f aca="false">VLOOKUP($A248,INSUMOS_AUX!$A$3:$H$813,3,0)</f>
        <v>MAT.</v>
      </c>
      <c r="D248" s="156" t="s">
        <v>31</v>
      </c>
      <c r="E248" s="154" t="n">
        <v>4.8553307E-007</v>
      </c>
      <c r="F248" s="149" t="n">
        <f aca="false">IF(C248="MAT.",VLOOKUP(A248,INSUMOS_AUX!$A$3:$H$813,6,0),0)</f>
        <v>1150000</v>
      </c>
      <c r="G248" s="149" t="n">
        <f aca="false">IF(C248="M.O.",VLOOKUP(A248,INSUMOS_AUX!A:F,6,0),0)</f>
        <v>0</v>
      </c>
    </row>
    <row r="249" customFormat="false" ht="31.5" hidden="false" customHeight="false" outlineLevel="0" collapsed="false">
      <c r="A249" s="154" t="n">
        <v>14511</v>
      </c>
      <c r="B249" s="155" t="s">
        <v>1506</v>
      </c>
      <c r="C249" s="148" t="str">
        <f aca="false">VLOOKUP($A249,INSUMOS_AUX!$A$3:$H$813,3,0)</f>
        <v>MAT.</v>
      </c>
      <c r="D249" s="156" t="s">
        <v>31</v>
      </c>
      <c r="E249" s="154" t="n">
        <v>2.9747381E-007</v>
      </c>
      <c r="F249" s="149" t="n">
        <f aca="false">IF(C249="MAT.",VLOOKUP(A249,INSUMOS_AUX!$A$3:$H$813,6,0),0)</f>
        <v>1051962.75</v>
      </c>
      <c r="G249" s="149" t="n">
        <f aca="false">IF(C249="M.O.",VLOOKUP(A249,INSUMOS_AUX!A:F,6,0),0)</f>
        <v>0</v>
      </c>
    </row>
    <row r="250" customFormat="false" ht="42" hidden="false" customHeight="false" outlineLevel="0" collapsed="false">
      <c r="A250" s="154" t="n">
        <v>37736</v>
      </c>
      <c r="B250" s="155" t="s">
        <v>1501</v>
      </c>
      <c r="C250" s="148" t="str">
        <f aca="false">VLOOKUP($A250,INSUMOS_AUX!$A$3:$H$813,3,0)</f>
        <v>MAT.</v>
      </c>
      <c r="D250" s="156" t="s">
        <v>31</v>
      </c>
      <c r="E250" s="154" t="n">
        <v>3.492896E-007</v>
      </c>
      <c r="F250" s="149" t="n">
        <f aca="false">IF(C250="MAT.",VLOOKUP(A250,INSUMOS_AUX!$A$3:$H$813,6,0),0)</f>
        <v>85950</v>
      </c>
      <c r="G250" s="149" t="n">
        <f aca="false">IF(C250="M.O.",VLOOKUP(A250,INSUMOS_AUX!A:F,6,0),0)</f>
        <v>0</v>
      </c>
    </row>
    <row r="251" customFormat="false" ht="15" hidden="false" customHeight="false" outlineLevel="0" collapsed="false">
      <c r="A251" s="154" t="n">
        <v>4221</v>
      </c>
      <c r="B251" s="155" t="s">
        <v>1451</v>
      </c>
      <c r="C251" s="148" t="str">
        <f aca="false">VLOOKUP($A251,INSUMOS_AUX!$A$3:$H$813,3,0)</f>
        <v>MAT.</v>
      </c>
      <c r="D251" s="156" t="s">
        <v>1452</v>
      </c>
      <c r="E251" s="154" t="n">
        <v>0.046663844</v>
      </c>
      <c r="F251" s="149" t="n">
        <f aca="false">IF(C251="MAT.",VLOOKUP(A251,INSUMOS_AUX!$A$3:$H$813,6,0),0)</f>
        <v>6.28</v>
      </c>
      <c r="G251" s="149" t="n">
        <f aca="false">IF(C251="M.O.",VLOOKUP(A251,INSUMOS_AUX!A:F,6,0),0)</f>
        <v>0</v>
      </c>
    </row>
    <row r="252" customFormat="false" ht="15" hidden="false" customHeight="false" outlineLevel="0" collapsed="false">
      <c r="A252" s="154" t="n">
        <v>4093</v>
      </c>
      <c r="B252" s="155" t="s">
        <v>1502</v>
      </c>
      <c r="C252" s="148" t="str">
        <f aca="false">VLOOKUP($A252,INSUMOS_AUX!$A$3:$H$813,3,0)</f>
        <v>M.O.</v>
      </c>
      <c r="D252" s="156" t="s">
        <v>1444</v>
      </c>
      <c r="E252" s="154" t="n">
        <v>0.003678026346</v>
      </c>
      <c r="F252" s="149" t="n">
        <f aca="false">IF(C252="MAT.",VLOOKUP(A252,INSUMOS_AUX!$A$3:$H$813,6,0),0)</f>
        <v>0</v>
      </c>
      <c r="G252" s="149" t="n">
        <f aca="false">IF(C252="M.O.",VLOOKUP(A252,INSUMOS_AUX!A:F,6,0),0)</f>
        <v>23.28</v>
      </c>
    </row>
    <row r="253" customFormat="false" ht="15" hidden="false" customHeight="false" outlineLevel="0" collapsed="false">
      <c r="A253" s="154" t="n">
        <v>4239</v>
      </c>
      <c r="B253" s="155" t="s">
        <v>1503</v>
      </c>
      <c r="C253" s="148" t="str">
        <f aca="false">VLOOKUP($A253,INSUMOS_AUX!$A$3:$H$813,3,0)</f>
        <v>M.O.</v>
      </c>
      <c r="D253" s="156" t="s">
        <v>1444</v>
      </c>
      <c r="E253" s="154" t="n">
        <v>0.008686792312</v>
      </c>
      <c r="F253" s="149" t="n">
        <f aca="false">IF(C253="MAT.",VLOOKUP(A253,INSUMOS_AUX!$A$3:$H$813,6,0),0)</f>
        <v>0</v>
      </c>
      <c r="G253" s="149" t="n">
        <f aca="false">IF(C253="M.O.",VLOOKUP(A253,INSUMOS_AUX!A:F,6,0),0)</f>
        <v>24.17</v>
      </c>
    </row>
    <row r="254" customFormat="false" ht="15" hidden="false" customHeight="false" outlineLevel="0" collapsed="false">
      <c r="A254" s="154" t="n">
        <v>4238</v>
      </c>
      <c r="B254" s="155" t="s">
        <v>1504</v>
      </c>
      <c r="C254" s="148" t="str">
        <f aca="false">VLOOKUP($A254,INSUMOS_AUX!$A$3:$H$813,3,0)</f>
        <v>M.O.</v>
      </c>
      <c r="D254" s="156" t="s">
        <v>1444</v>
      </c>
      <c r="E254" s="154" t="n">
        <v>0.003689809614</v>
      </c>
      <c r="F254" s="149" t="n">
        <f aca="false">IF(C254="MAT.",VLOOKUP(A254,INSUMOS_AUX!$A$3:$H$813,6,0),0)</f>
        <v>0</v>
      </c>
      <c r="G254" s="149" t="n">
        <f aca="false">IF(C254="M.O.",VLOOKUP(A254,INSUMOS_AUX!A:F,6,0),0)</f>
        <v>13.93</v>
      </c>
    </row>
    <row r="255" customFormat="false" ht="15" hidden="false" customHeight="false" outlineLevel="0" collapsed="false">
      <c r="A255" s="154" t="n">
        <v>6111</v>
      </c>
      <c r="B255" s="155" t="s">
        <v>1464</v>
      </c>
      <c r="C255" s="148" t="str">
        <f aca="false">VLOOKUP($A255,INSUMOS_AUX!$A$3:$H$813,3,0)</f>
        <v>M.O.</v>
      </c>
      <c r="D255" s="156" t="s">
        <v>1444</v>
      </c>
      <c r="E255" s="154" t="n">
        <v>0.00879784224</v>
      </c>
      <c r="F255" s="149" t="n">
        <f aca="false">IF(C255="MAT.",VLOOKUP(A255,INSUMOS_AUX!$A$3:$H$813,6,0),0)</f>
        <v>0</v>
      </c>
      <c r="G255" s="149" t="n">
        <f aca="false">IF(C255="M.O.",VLOOKUP(A255,INSUMOS_AUX!A:F,6,0),0)</f>
        <v>12.95</v>
      </c>
    </row>
    <row r="256" customFormat="false" ht="21" hidden="false" customHeight="false" outlineLevel="0" collapsed="false">
      <c r="A256" s="150" t="n">
        <v>103689</v>
      </c>
      <c r="B256" s="151" t="s">
        <v>1507</v>
      </c>
      <c r="C256" s="152" t="s">
        <v>59</v>
      </c>
      <c r="D256" s="152" t="s">
        <v>1477</v>
      </c>
      <c r="E256" s="150"/>
      <c r="F256" s="153" t="n">
        <f aca="false">(SUMPRODUCT($E257:$E274,F257:F274))*1</f>
        <v>433.944679</v>
      </c>
      <c r="G256" s="153" t="n">
        <f aca="false">(SUMPRODUCT($E257:$E274,G257:G274))*1</f>
        <v>27.06642285096</v>
      </c>
    </row>
    <row r="257" customFormat="false" ht="21" hidden="false" customHeight="false" outlineLevel="0" collapsed="false">
      <c r="A257" s="154" t="n">
        <v>37370</v>
      </c>
      <c r="B257" s="155" t="s">
        <v>1443</v>
      </c>
      <c r="C257" s="148" t="str">
        <f aca="false">VLOOKUP($A257,INSUMOS_AUX!$A$3:$H$813,3,0)</f>
        <v>MAT.</v>
      </c>
      <c r="D257" s="156" t="s">
        <v>1444</v>
      </c>
      <c r="E257" s="154" t="n">
        <v>1.71795</v>
      </c>
      <c r="F257" s="149" t="n">
        <f aca="false">IF(C257="MAT.",VLOOKUP(A257,INSUMOS_AUX!$A$3:$H$813,6,0),0)</f>
        <v>3.32</v>
      </c>
      <c r="G257" s="149" t="n">
        <f aca="false">IF(C257="M.O.",VLOOKUP(A257,INSUMOS_AUX!A:F,6,0),0)</f>
        <v>0</v>
      </c>
    </row>
    <row r="258" customFormat="false" ht="21" hidden="false" customHeight="false" outlineLevel="0" collapsed="false">
      <c r="A258" s="154" t="n">
        <v>43483</v>
      </c>
      <c r="B258" s="155" t="s">
        <v>1486</v>
      </c>
      <c r="C258" s="148" t="str">
        <f aca="false">VLOOKUP($A258,INSUMOS_AUX!$A$3:$H$813,3,0)</f>
        <v>MAT.</v>
      </c>
      <c r="D258" s="156" t="s">
        <v>1444</v>
      </c>
      <c r="E258" s="154" t="n">
        <v>0.3729</v>
      </c>
      <c r="F258" s="149" t="n">
        <f aca="false">IF(C258="MAT.",VLOOKUP(A258,INSUMOS_AUX!$A$3:$H$813,6,0),0)</f>
        <v>1.43</v>
      </c>
      <c r="G258" s="149" t="n">
        <f aca="false">IF(C258="M.O.",VLOOKUP(A258,INSUMOS_AUX!A:F,6,0),0)</f>
        <v>0</v>
      </c>
    </row>
    <row r="259" customFormat="false" ht="21" hidden="false" customHeight="false" outlineLevel="0" collapsed="false">
      <c r="A259" s="154" t="n">
        <v>43490</v>
      </c>
      <c r="B259" s="155" t="s">
        <v>1508</v>
      </c>
      <c r="C259" s="148" t="str">
        <f aca="false">VLOOKUP($A259,INSUMOS_AUX!$A$3:$H$813,3,0)</f>
        <v>MAT.</v>
      </c>
      <c r="D259" s="156" t="s">
        <v>1444</v>
      </c>
      <c r="E259" s="154" t="n">
        <v>0.22645</v>
      </c>
      <c r="F259" s="149" t="n">
        <f aca="false">IF(C259="MAT.",VLOOKUP(A259,INSUMOS_AUX!$A$3:$H$813,6,0),0)</f>
        <v>1.85</v>
      </c>
      <c r="G259" s="149" t="n">
        <f aca="false">IF(C259="M.O.",VLOOKUP(A259,INSUMOS_AUX!A:F,6,0),0)</f>
        <v>0</v>
      </c>
    </row>
    <row r="260" customFormat="false" ht="21" hidden="false" customHeight="false" outlineLevel="0" collapsed="false">
      <c r="A260" s="154" t="n">
        <v>43491</v>
      </c>
      <c r="B260" s="155" t="s">
        <v>1457</v>
      </c>
      <c r="C260" s="148" t="str">
        <f aca="false">VLOOKUP($A260,INSUMOS_AUX!$A$3:$H$813,3,0)</f>
        <v>MAT.</v>
      </c>
      <c r="D260" s="156" t="s">
        <v>1444</v>
      </c>
      <c r="E260" s="154" t="n">
        <v>1.1186</v>
      </c>
      <c r="F260" s="149" t="n">
        <f aca="false">IF(C260="MAT.",VLOOKUP(A260,INSUMOS_AUX!$A$3:$H$813,6,0),0)</f>
        <v>1.39</v>
      </c>
      <c r="G260" s="149" t="n">
        <f aca="false">IF(C260="M.O.",VLOOKUP(A260,INSUMOS_AUX!A:F,6,0),0)</f>
        <v>0</v>
      </c>
    </row>
    <row r="261" customFormat="false" ht="21" hidden="false" customHeight="false" outlineLevel="0" collapsed="false">
      <c r="A261" s="154" t="n">
        <v>37372</v>
      </c>
      <c r="B261" s="155" t="s">
        <v>1446</v>
      </c>
      <c r="C261" s="148" t="str">
        <f aca="false">VLOOKUP($A261,INSUMOS_AUX!$A$3:$H$813,3,0)</f>
        <v>MAT.</v>
      </c>
      <c r="D261" s="156" t="s">
        <v>1444</v>
      </c>
      <c r="E261" s="154" t="n">
        <v>1.71795</v>
      </c>
      <c r="F261" s="149" t="n">
        <f aca="false">IF(C261="MAT.",VLOOKUP(A261,INSUMOS_AUX!$A$3:$H$813,6,0),0)</f>
        <v>1.43</v>
      </c>
      <c r="G261" s="149" t="n">
        <f aca="false">IF(C261="M.O.",VLOOKUP(A261,INSUMOS_AUX!A:F,6,0),0)</f>
        <v>0</v>
      </c>
    </row>
    <row r="262" customFormat="false" ht="21" hidden="false" customHeight="false" outlineLevel="0" collapsed="false">
      <c r="A262" s="154" t="n">
        <v>43459</v>
      </c>
      <c r="B262" s="155" t="s">
        <v>1487</v>
      </c>
      <c r="C262" s="148" t="str">
        <f aca="false">VLOOKUP($A262,INSUMOS_AUX!$A$3:$H$813,3,0)</f>
        <v>MAT.</v>
      </c>
      <c r="D262" s="156" t="s">
        <v>1444</v>
      </c>
      <c r="E262" s="154" t="n">
        <v>0.3729</v>
      </c>
      <c r="F262" s="149" t="n">
        <f aca="false">IF(C262="MAT.",VLOOKUP(A262,INSUMOS_AUX!$A$3:$H$813,6,0),0)</f>
        <v>0.44</v>
      </c>
      <c r="G262" s="149" t="n">
        <f aca="false">IF(C262="M.O.",VLOOKUP(A262,INSUMOS_AUX!A:F,6,0),0)</f>
        <v>0</v>
      </c>
    </row>
    <row r="263" customFormat="false" ht="21" hidden="false" customHeight="false" outlineLevel="0" collapsed="false">
      <c r="A263" s="154" t="n">
        <v>43466</v>
      </c>
      <c r="B263" s="155" t="s">
        <v>1509</v>
      </c>
      <c r="C263" s="148" t="str">
        <f aca="false">VLOOKUP($A263,INSUMOS_AUX!$A$3:$H$813,3,0)</f>
        <v>MAT.</v>
      </c>
      <c r="D263" s="156" t="s">
        <v>1444</v>
      </c>
      <c r="E263" s="154" t="n">
        <v>0.22645</v>
      </c>
      <c r="F263" s="149" t="n">
        <f aca="false">IF(C263="MAT.",VLOOKUP(A263,INSUMOS_AUX!$A$3:$H$813,6,0),0)</f>
        <v>2.05</v>
      </c>
      <c r="G263" s="149" t="n">
        <f aca="false">IF(C263="M.O.",VLOOKUP(A263,INSUMOS_AUX!A:F,6,0),0)</f>
        <v>0</v>
      </c>
    </row>
    <row r="264" customFormat="false" ht="21" hidden="false" customHeight="false" outlineLevel="0" collapsed="false">
      <c r="A264" s="154" t="n">
        <v>43467</v>
      </c>
      <c r="B264" s="155" t="s">
        <v>1459</v>
      </c>
      <c r="C264" s="148" t="s">
        <v>59</v>
      </c>
      <c r="D264" s="156" t="s">
        <v>1444</v>
      </c>
      <c r="E264" s="154" t="n">
        <v>1.1186</v>
      </c>
      <c r="F264" s="149" t="n">
        <f aca="false">IF(C264="MAT.",VLOOKUP(A264,INSUMOS_AUX!$A$3:$H$813,6,0),0)</f>
        <v>0</v>
      </c>
      <c r="G264" s="149" t="n">
        <f aca="false">IF(C264="M.O.",VLOOKUP(A264,INSUMOS_AUX!A:F,6,0),0)</f>
        <v>0</v>
      </c>
    </row>
    <row r="265" customFormat="false" ht="21" hidden="false" customHeight="false" outlineLevel="0" collapsed="false">
      <c r="A265" s="154" t="n">
        <v>37373</v>
      </c>
      <c r="B265" s="155" t="s">
        <v>1448</v>
      </c>
      <c r="C265" s="148" t="str">
        <f aca="false">VLOOKUP($A265,INSUMOS_AUX!$A$3:$H$813,3,0)</f>
        <v>MAT.</v>
      </c>
      <c r="D265" s="156" t="s">
        <v>1444</v>
      </c>
      <c r="E265" s="154" t="n">
        <v>1.71795</v>
      </c>
      <c r="F265" s="149" t="n">
        <f aca="false">IF(C265="MAT.",VLOOKUP(A265,INSUMOS_AUX!$A$3:$H$813,6,0),0)</f>
        <v>0.08</v>
      </c>
      <c r="G265" s="149" t="n">
        <f aca="false">IF(C265="M.O.",VLOOKUP(A265,INSUMOS_AUX!A:F,6,0),0)</f>
        <v>0</v>
      </c>
    </row>
    <row r="266" customFormat="false" ht="21" hidden="false" customHeight="false" outlineLevel="0" collapsed="false">
      <c r="A266" s="154" t="n">
        <v>37371</v>
      </c>
      <c r="B266" s="155" t="s">
        <v>1449</v>
      </c>
      <c r="C266" s="148" t="str">
        <f aca="false">VLOOKUP($A266,INSUMOS_AUX!$A$3:$H$813,3,0)</f>
        <v>MAT.</v>
      </c>
      <c r="D266" s="156" t="s">
        <v>1444</v>
      </c>
      <c r="E266" s="154" t="n">
        <v>1.71795</v>
      </c>
      <c r="F266" s="149" t="n">
        <f aca="false">IF(C266="MAT.",VLOOKUP(A266,INSUMOS_AUX!$A$3:$H$813,6,0),0)</f>
        <v>0.59</v>
      </c>
      <c r="G266" s="149" t="n">
        <f aca="false">IF(C266="M.O.",VLOOKUP(A266,INSUMOS_AUX!A:F,6,0),0)</f>
        <v>0</v>
      </c>
    </row>
    <row r="267" customFormat="false" ht="15" hidden="false" customHeight="false" outlineLevel="0" collapsed="false">
      <c r="A267" s="154" t="n">
        <v>7340</v>
      </c>
      <c r="B267" s="155" t="s">
        <v>1510</v>
      </c>
      <c r="C267" s="148" t="str">
        <f aca="false">VLOOKUP($A267,INSUMOS_AUX!$A$3:$H$813,3,0)</f>
        <v>MAT.</v>
      </c>
      <c r="D267" s="156" t="s">
        <v>1452</v>
      </c>
      <c r="E267" s="154" t="n">
        <v>0.16285</v>
      </c>
      <c r="F267" s="149" t="n">
        <f aca="false">IF(C267="MAT.",VLOOKUP(A267,INSUMOS_AUX!$A$3:$H$813,6,0),0)</f>
        <v>25.2</v>
      </c>
      <c r="G267" s="149" t="n">
        <f aca="false">IF(C267="M.O.",VLOOKUP(A267,INSUMOS_AUX!A:F,6,0),0)</f>
        <v>0</v>
      </c>
    </row>
    <row r="268" customFormat="false" ht="21" hidden="false" customHeight="false" outlineLevel="0" collapsed="false">
      <c r="A268" s="154" t="n">
        <v>4813</v>
      </c>
      <c r="B268" s="155" t="s">
        <v>1511</v>
      </c>
      <c r="C268" s="148" t="str">
        <f aca="false">VLOOKUP($A268,INSUMOS_AUX!$A$3:$H$813,3,0)</f>
        <v>MAT.</v>
      </c>
      <c r="D268" s="156" t="s">
        <v>1477</v>
      </c>
      <c r="E268" s="154" t="n">
        <v>1</v>
      </c>
      <c r="F268" s="149" t="n">
        <f aca="false">IF(C268="MAT.",VLOOKUP(A268,INSUMOS_AUX!$A$3:$H$813,6,0),0)</f>
        <v>400</v>
      </c>
      <c r="G268" s="149" t="n">
        <f aca="false">IF(C268="M.O.",VLOOKUP(A268,INSUMOS_AUX!A:F,6,0),0)</f>
        <v>0</v>
      </c>
    </row>
    <row r="269" customFormat="false" ht="15" hidden="false" customHeight="false" outlineLevel="0" collapsed="false">
      <c r="A269" s="154" t="n">
        <v>5065</v>
      </c>
      <c r="B269" s="155" t="s">
        <v>1512</v>
      </c>
      <c r="C269" s="148" t="str">
        <f aca="false">VLOOKUP($A269,INSUMOS_AUX!$A$3:$H$813,3,0)</f>
        <v>MAT.</v>
      </c>
      <c r="D269" s="156" t="s">
        <v>1513</v>
      </c>
      <c r="E269" s="154" t="n">
        <v>0.0113</v>
      </c>
      <c r="F269" s="149" t="n">
        <f aca="false">IF(C269="MAT.",VLOOKUP(A269,INSUMOS_AUX!$A$3:$H$813,6,0),0)</f>
        <v>38.7</v>
      </c>
      <c r="G269" s="149" t="n">
        <f aca="false">IF(C269="M.O.",VLOOKUP(A269,INSUMOS_AUX!A:F,6,0),0)</f>
        <v>0</v>
      </c>
    </row>
    <row r="270" customFormat="false" ht="15" hidden="false" customHeight="false" outlineLevel="0" collapsed="false">
      <c r="A270" s="154" t="n">
        <v>5069</v>
      </c>
      <c r="B270" s="155" t="s">
        <v>1514</v>
      </c>
      <c r="C270" s="148" t="str">
        <f aca="false">VLOOKUP($A270,INSUMOS_AUX!$A$3:$H$813,3,0)</f>
        <v>MAT.</v>
      </c>
      <c r="D270" s="156" t="s">
        <v>1513</v>
      </c>
      <c r="E270" s="154" t="n">
        <v>0.0132</v>
      </c>
      <c r="F270" s="149" t="n">
        <f aca="false">IF(C270="MAT.",VLOOKUP(A270,INSUMOS_AUX!$A$3:$H$813,6,0),0)</f>
        <v>20.74</v>
      </c>
      <c r="G270" s="149" t="n">
        <f aca="false">IF(C270="M.O.",VLOOKUP(A270,INSUMOS_AUX!A:F,6,0),0)</f>
        <v>0</v>
      </c>
    </row>
    <row r="271" customFormat="false" ht="21" hidden="false" customHeight="false" outlineLevel="0" collapsed="false">
      <c r="A271" s="154" t="n">
        <v>4509</v>
      </c>
      <c r="B271" s="155" t="s">
        <v>1515</v>
      </c>
      <c r="C271" s="148" t="str">
        <f aca="false">VLOOKUP($A271,INSUMOS_AUX!$A$3:$H$813,3,0)</f>
        <v>MAT.</v>
      </c>
      <c r="D271" s="156" t="s">
        <v>1455</v>
      </c>
      <c r="E271" s="154" t="n">
        <v>3.2083</v>
      </c>
      <c r="F271" s="149" t="n">
        <f aca="false">IF(C271="MAT.",VLOOKUP(A271,INSUMOS_AUX!$A$3:$H$813,6,0),0)</f>
        <v>5.2</v>
      </c>
      <c r="G271" s="149" t="n">
        <f aca="false">IF(C271="M.O.",VLOOKUP(A271,INSUMOS_AUX!A:F,6,0),0)</f>
        <v>0</v>
      </c>
    </row>
    <row r="272" customFormat="false" ht="15" hidden="false" customHeight="false" outlineLevel="0" collapsed="false">
      <c r="A272" s="154" t="n">
        <v>1213</v>
      </c>
      <c r="B272" s="155" t="s">
        <v>1516</v>
      </c>
      <c r="C272" s="148" t="str">
        <f aca="false">VLOOKUP($A272,INSUMOS_AUX!$A$3:$H$813,3,0)</f>
        <v>M.O.</v>
      </c>
      <c r="D272" s="156" t="s">
        <v>1444</v>
      </c>
      <c r="E272" s="154" t="n">
        <v>0.377203266</v>
      </c>
      <c r="F272" s="149" t="n">
        <f aca="false">IF(C272="MAT.",VLOOKUP(A272,INSUMOS_AUX!$A$3:$H$813,6,0),0)</f>
        <v>0</v>
      </c>
      <c r="G272" s="149" t="n">
        <f aca="false">IF(C272="M.O.",VLOOKUP(A272,INSUMOS_AUX!A:F,6,0),0)</f>
        <v>20.22</v>
      </c>
    </row>
    <row r="273" customFormat="false" ht="15" hidden="false" customHeight="false" outlineLevel="0" collapsed="false">
      <c r="A273" s="154" t="n">
        <v>4783</v>
      </c>
      <c r="B273" s="155" t="s">
        <v>1517</v>
      </c>
      <c r="C273" s="148" t="str">
        <f aca="false">VLOOKUP($A273,INSUMOS_AUX!$A$3:$H$813,3,0)</f>
        <v>M.O.</v>
      </c>
      <c r="D273" s="156" t="s">
        <v>1444</v>
      </c>
      <c r="E273" s="154" t="n">
        <v>0.229792402</v>
      </c>
      <c r="F273" s="149" t="n">
        <f aca="false">IF(C273="MAT.",VLOOKUP(A273,INSUMOS_AUX!$A$3:$H$813,6,0),0)</f>
        <v>0</v>
      </c>
      <c r="G273" s="149" t="n">
        <f aca="false">IF(C273="M.O.",VLOOKUP(A273,INSUMOS_AUX!A:F,6,0),0)</f>
        <v>20.22</v>
      </c>
    </row>
    <row r="274" customFormat="false" ht="15" hidden="false" customHeight="false" outlineLevel="0" collapsed="false">
      <c r="A274" s="154" t="n">
        <v>6111</v>
      </c>
      <c r="B274" s="155" t="s">
        <v>1464</v>
      </c>
      <c r="C274" s="148" t="str">
        <f aca="false">VLOOKUP($A274,INSUMOS_AUX!$A$3:$H$813,3,0)</f>
        <v>M.O.</v>
      </c>
      <c r="D274" s="156" t="s">
        <v>1444</v>
      </c>
      <c r="E274" s="154" t="n">
        <v>1.14231432</v>
      </c>
      <c r="F274" s="149" t="n">
        <f aca="false">IF(C274="MAT.",VLOOKUP(A274,INSUMOS_AUX!$A$3:$H$813,6,0),0)</f>
        <v>0</v>
      </c>
      <c r="G274" s="149" t="n">
        <f aca="false">IF(C274="M.O.",VLOOKUP(A274,INSUMOS_AUX!A:F,6,0),0)</f>
        <v>12.95</v>
      </c>
    </row>
    <row r="275" customFormat="false" ht="31.5" hidden="false" customHeight="false" outlineLevel="0" collapsed="false">
      <c r="A275" s="150" t="s">
        <v>95</v>
      </c>
      <c r="B275" s="151" t="s">
        <v>1518</v>
      </c>
      <c r="C275" s="152" t="s">
        <v>59</v>
      </c>
      <c r="D275" s="152" t="s">
        <v>1435</v>
      </c>
      <c r="E275" s="150"/>
      <c r="F275" s="153" t="n">
        <f aca="false">(SUMPRODUCT($E276:$E286,F276:F286))*1</f>
        <v>855.2175</v>
      </c>
      <c r="G275" s="153" t="n">
        <f aca="false">(SUMPRODUCT($E276:$E286,G276:G286))*1</f>
        <v>17.661654</v>
      </c>
    </row>
    <row r="276" customFormat="false" ht="21" hidden="false" customHeight="false" outlineLevel="0" collapsed="false">
      <c r="A276" s="154" t="n">
        <v>37370</v>
      </c>
      <c r="B276" s="155" t="s">
        <v>1443</v>
      </c>
      <c r="C276" s="148" t="str">
        <f aca="false">VLOOKUP($A276,INSUMOS_AUX!$A$3:$H$813,3,0)</f>
        <v>MAT.</v>
      </c>
      <c r="D276" s="156" t="s">
        <v>1444</v>
      </c>
      <c r="E276" s="154" t="n">
        <v>1.125</v>
      </c>
      <c r="F276" s="149" t="n">
        <f aca="false">IF(C276="MAT.",VLOOKUP(A276,INSUMOS_AUX!$A$3:$H$813,6,0),0)</f>
        <v>3.32</v>
      </c>
      <c r="G276" s="149" t="n">
        <f aca="false">IF(C276="M.O.",VLOOKUP(A276,INSUMOS_AUX!A:F,6,0),0)</f>
        <v>0</v>
      </c>
    </row>
    <row r="277" customFormat="false" ht="21" hidden="false" customHeight="false" outlineLevel="0" collapsed="false">
      <c r="A277" s="154" t="n">
        <v>43489</v>
      </c>
      <c r="B277" s="155" t="s">
        <v>1456</v>
      </c>
      <c r="C277" s="148" t="str">
        <f aca="false">VLOOKUP($A277,INSUMOS_AUX!$A$3:$H$813,3,0)</f>
        <v>MAT.</v>
      </c>
      <c r="D277" s="156" t="s">
        <v>1444</v>
      </c>
      <c r="E277" s="154" t="n">
        <v>0.375</v>
      </c>
      <c r="F277" s="149" t="n">
        <f aca="false">IF(C277="MAT.",VLOOKUP(A277,INSUMOS_AUX!$A$3:$H$813,6,0),0)</f>
        <v>1.31</v>
      </c>
      <c r="G277" s="149" t="n">
        <f aca="false">IF(C277="M.O.",VLOOKUP(A277,INSUMOS_AUX!A:F,6,0),0)</f>
        <v>0</v>
      </c>
    </row>
    <row r="278" customFormat="false" ht="21" hidden="false" customHeight="false" outlineLevel="0" collapsed="false">
      <c r="A278" s="154" t="n">
        <v>43491</v>
      </c>
      <c r="B278" s="155" t="s">
        <v>1457</v>
      </c>
      <c r="C278" s="148" t="str">
        <f aca="false">VLOOKUP($A278,INSUMOS_AUX!$A$3:$H$813,3,0)</f>
        <v>MAT.</v>
      </c>
      <c r="D278" s="156" t="s">
        <v>1444</v>
      </c>
      <c r="E278" s="154" t="n">
        <v>0.75</v>
      </c>
      <c r="F278" s="149" t="n">
        <f aca="false">IF(C278="MAT.",VLOOKUP(A278,INSUMOS_AUX!$A$3:$H$813,6,0),0)</f>
        <v>1.39</v>
      </c>
      <c r="G278" s="149" t="n">
        <f aca="false">IF(C278="M.O.",VLOOKUP(A278,INSUMOS_AUX!A:F,6,0),0)</f>
        <v>0</v>
      </c>
    </row>
    <row r="279" customFormat="false" ht="21" hidden="false" customHeight="false" outlineLevel="0" collapsed="false">
      <c r="A279" s="154" t="n">
        <v>37372</v>
      </c>
      <c r="B279" s="155" t="s">
        <v>1446</v>
      </c>
      <c r="C279" s="148" t="str">
        <f aca="false">VLOOKUP($A279,INSUMOS_AUX!$A$3:$H$813,3,0)</f>
        <v>MAT.</v>
      </c>
      <c r="D279" s="156" t="s">
        <v>1444</v>
      </c>
      <c r="E279" s="154" t="n">
        <v>1.125</v>
      </c>
      <c r="F279" s="149" t="n">
        <f aca="false">IF(C279="MAT.",VLOOKUP(A279,INSUMOS_AUX!$A$3:$H$813,6,0),0)</f>
        <v>1.43</v>
      </c>
      <c r="G279" s="149" t="n">
        <f aca="false">IF(C279="M.O.",VLOOKUP(A279,INSUMOS_AUX!A:F,6,0),0)</f>
        <v>0</v>
      </c>
    </row>
    <row r="280" customFormat="false" ht="21" hidden="false" customHeight="false" outlineLevel="0" collapsed="false">
      <c r="A280" s="154" t="n">
        <v>43465</v>
      </c>
      <c r="B280" s="155" t="s">
        <v>1458</v>
      </c>
      <c r="C280" s="148" t="str">
        <f aca="false">VLOOKUP($A280,INSUMOS_AUX!$A$3:$H$813,3,0)</f>
        <v>MAT.</v>
      </c>
      <c r="D280" s="156" t="s">
        <v>1444</v>
      </c>
      <c r="E280" s="154" t="n">
        <v>0.375</v>
      </c>
      <c r="F280" s="149" t="n">
        <f aca="false">IF(C280="MAT.",VLOOKUP(A280,INSUMOS_AUX!$A$3:$H$813,6,0),0)</f>
        <v>0.78</v>
      </c>
      <c r="G280" s="149" t="n">
        <f aca="false">IF(C280="M.O.",VLOOKUP(A280,INSUMOS_AUX!A:F,6,0),0)</f>
        <v>0</v>
      </c>
    </row>
    <row r="281" customFormat="false" ht="21" hidden="false" customHeight="false" outlineLevel="0" collapsed="false">
      <c r="A281" s="154" t="n">
        <v>43467</v>
      </c>
      <c r="B281" s="155" t="s">
        <v>1459</v>
      </c>
      <c r="C281" s="148" t="str">
        <f aca="false">VLOOKUP($A281,INSUMOS_AUX!$A$3:$H$813,3,0)</f>
        <v>MAT.</v>
      </c>
      <c r="D281" s="156" t="s">
        <v>1444</v>
      </c>
      <c r="E281" s="154" t="n">
        <v>0.75</v>
      </c>
      <c r="F281" s="149" t="n">
        <f aca="false">IF(C281="MAT.",VLOOKUP(A281,INSUMOS_AUX!$A$3:$H$813,6,0),0)</f>
        <v>0.61</v>
      </c>
      <c r="G281" s="149" t="n">
        <f aca="false">IF(C281="M.O.",VLOOKUP(A281,INSUMOS_AUX!A:F,6,0),0)</f>
        <v>0</v>
      </c>
    </row>
    <row r="282" customFormat="false" ht="21" hidden="false" customHeight="false" outlineLevel="0" collapsed="false">
      <c r="A282" s="154" t="n">
        <v>37373</v>
      </c>
      <c r="B282" s="155" t="s">
        <v>1448</v>
      </c>
      <c r="C282" s="148" t="str">
        <f aca="false">VLOOKUP($A282,INSUMOS_AUX!$A$3:$H$813,3,0)</f>
        <v>MAT.</v>
      </c>
      <c r="D282" s="156" t="s">
        <v>1444</v>
      </c>
      <c r="E282" s="154" t="n">
        <v>1.125</v>
      </c>
      <c r="F282" s="149" t="n">
        <f aca="false">IF(C282="MAT.",VLOOKUP(A282,INSUMOS_AUX!$A$3:$H$813,6,0),0)</f>
        <v>0.08</v>
      </c>
      <c r="G282" s="149" t="n">
        <f aca="false">IF(C282="M.O.",VLOOKUP(A282,INSUMOS_AUX!A:F,6,0),0)</f>
        <v>0</v>
      </c>
    </row>
    <row r="283" customFormat="false" ht="21" hidden="false" customHeight="false" outlineLevel="0" collapsed="false">
      <c r="A283" s="154" t="n">
        <v>37371</v>
      </c>
      <c r="B283" s="155" t="s">
        <v>1449</v>
      </c>
      <c r="C283" s="148" t="s">
        <v>59</v>
      </c>
      <c r="D283" s="156" t="s">
        <v>1444</v>
      </c>
      <c r="E283" s="154" t="n">
        <v>1.125</v>
      </c>
      <c r="F283" s="149" t="n">
        <f aca="false">IF(C283="MAT.",VLOOKUP(A283,INSUMOS_AUX!$A$3:$H$813,6,0),0)</f>
        <v>0</v>
      </c>
      <c r="G283" s="149" t="n">
        <f aca="false">IF(C283="M.O.",VLOOKUP(A283,INSUMOS_AUX!A:F,6,0),0)</f>
        <v>0</v>
      </c>
    </row>
    <row r="284" customFormat="false" ht="31.5" hidden="false" customHeight="false" outlineLevel="0" collapsed="false">
      <c r="A284" s="154" t="n">
        <v>10775</v>
      </c>
      <c r="B284" s="155" t="s">
        <v>1519</v>
      </c>
      <c r="C284" s="148" t="str">
        <f aca="false">VLOOKUP($A284,INSUMOS_AUX!$A$3:$H$813,3,0)</f>
        <v>MAT.</v>
      </c>
      <c r="D284" s="156" t="s">
        <v>1416</v>
      </c>
      <c r="E284" s="154" t="n">
        <v>1</v>
      </c>
      <c r="F284" s="149" t="n">
        <f aca="false">IF(C284="MAT.",VLOOKUP(A284,INSUMOS_AUX!$A$3:$H$813,6,0),0)</f>
        <v>847.5</v>
      </c>
      <c r="G284" s="149" t="n">
        <f aca="false">IF(C284="M.O.",VLOOKUP(A284,INSUMOS_AUX!A:F,6,0),0)</f>
        <v>0</v>
      </c>
    </row>
    <row r="285" customFormat="false" ht="15" hidden="false" customHeight="false" outlineLevel="0" collapsed="false">
      <c r="A285" s="154" t="n">
        <v>4750</v>
      </c>
      <c r="B285" s="155" t="s">
        <v>1463</v>
      </c>
      <c r="C285" s="148" t="str">
        <f aca="false">VLOOKUP($A285,INSUMOS_AUX!$A$3:$H$813,3,0)</f>
        <v>M.O.</v>
      </c>
      <c r="D285" s="156" t="s">
        <v>1444</v>
      </c>
      <c r="E285" s="154" t="n">
        <v>0.38295</v>
      </c>
      <c r="F285" s="149" t="n">
        <f aca="false">IF(C285="MAT.",VLOOKUP(A285,INSUMOS_AUX!$A$3:$H$813,6,0),0)</f>
        <v>0</v>
      </c>
      <c r="G285" s="149" t="n">
        <f aca="false">IF(C285="M.O.",VLOOKUP(A285,INSUMOS_AUX!A:F,6,0),0)</f>
        <v>20.22</v>
      </c>
    </row>
    <row r="286" customFormat="false" ht="15" hidden="false" customHeight="false" outlineLevel="0" collapsed="false">
      <c r="A286" s="154" t="n">
        <v>6111</v>
      </c>
      <c r="B286" s="155" t="s">
        <v>1464</v>
      </c>
      <c r="C286" s="148" t="str">
        <f aca="false">VLOOKUP($A286,INSUMOS_AUX!$A$3:$H$813,3,0)</f>
        <v>M.O.</v>
      </c>
      <c r="D286" s="156" t="s">
        <v>1444</v>
      </c>
      <c r="E286" s="154" t="n">
        <v>0.7659</v>
      </c>
      <c r="F286" s="149" t="n">
        <f aca="false">IF(C286="MAT.",VLOOKUP(A286,INSUMOS_AUX!$A$3:$H$813,6,0),0)</f>
        <v>0</v>
      </c>
      <c r="G286" s="149" t="n">
        <f aca="false">IF(C286="M.O.",VLOOKUP(A286,INSUMOS_AUX!A:F,6,0),0)</f>
        <v>12.95</v>
      </c>
    </row>
    <row r="287" customFormat="false" ht="31.5" hidden="false" customHeight="false" outlineLevel="0" collapsed="false">
      <c r="A287" s="150" t="s">
        <v>97</v>
      </c>
      <c r="B287" s="151" t="s">
        <v>1520</v>
      </c>
      <c r="C287" s="152" t="s">
        <v>59</v>
      </c>
      <c r="D287" s="152" t="s">
        <v>1435</v>
      </c>
      <c r="E287" s="150"/>
      <c r="F287" s="153" t="n">
        <f aca="false">(SUMPRODUCT($E288:$E298,F288:F298))*1</f>
        <v>969.9775</v>
      </c>
      <c r="G287" s="153" t="n">
        <f aca="false">(SUMPRODUCT($E288:$E298,G288:G298))*1</f>
        <v>17.661654</v>
      </c>
    </row>
    <row r="288" customFormat="false" ht="21" hidden="false" customHeight="false" outlineLevel="0" collapsed="false">
      <c r="A288" s="154" t="n">
        <v>37370</v>
      </c>
      <c r="B288" s="155" t="s">
        <v>1443</v>
      </c>
      <c r="C288" s="148" t="str">
        <f aca="false">VLOOKUP($A288,INSUMOS_AUX!$A$3:$H$813,3,0)</f>
        <v>MAT.</v>
      </c>
      <c r="D288" s="156" t="s">
        <v>1444</v>
      </c>
      <c r="E288" s="154" t="n">
        <v>1.125</v>
      </c>
      <c r="F288" s="149" t="n">
        <f aca="false">IF(C288="MAT.",VLOOKUP(A288,INSUMOS_AUX!$A$3:$H$813,6,0),0)</f>
        <v>3.32</v>
      </c>
      <c r="G288" s="149" t="n">
        <f aca="false">IF(C288="M.O.",VLOOKUP(A288,INSUMOS_AUX!A:F,6,0),0)</f>
        <v>0</v>
      </c>
    </row>
    <row r="289" customFormat="false" ht="21" hidden="false" customHeight="false" outlineLevel="0" collapsed="false">
      <c r="A289" s="154" t="n">
        <v>43489</v>
      </c>
      <c r="B289" s="155" t="s">
        <v>1456</v>
      </c>
      <c r="C289" s="148" t="str">
        <f aca="false">VLOOKUP($A289,INSUMOS_AUX!$A$3:$H$813,3,0)</f>
        <v>MAT.</v>
      </c>
      <c r="D289" s="156" t="s">
        <v>1444</v>
      </c>
      <c r="E289" s="154" t="n">
        <v>0.375</v>
      </c>
      <c r="F289" s="149" t="n">
        <f aca="false">IF(C289="MAT.",VLOOKUP(A289,INSUMOS_AUX!$A$3:$H$813,6,0),0)</f>
        <v>1.31</v>
      </c>
      <c r="G289" s="149" t="n">
        <f aca="false">IF(C289="M.O.",VLOOKUP(A289,INSUMOS_AUX!A:F,6,0),0)</f>
        <v>0</v>
      </c>
    </row>
    <row r="290" customFormat="false" ht="21" hidden="false" customHeight="false" outlineLevel="0" collapsed="false">
      <c r="A290" s="154" t="n">
        <v>43491</v>
      </c>
      <c r="B290" s="155" t="s">
        <v>1457</v>
      </c>
      <c r="C290" s="148" t="str">
        <f aca="false">VLOOKUP($A290,INSUMOS_AUX!$A$3:$H$813,3,0)</f>
        <v>MAT.</v>
      </c>
      <c r="D290" s="156" t="s">
        <v>1444</v>
      </c>
      <c r="E290" s="154" t="n">
        <v>0.75</v>
      </c>
      <c r="F290" s="149" t="n">
        <f aca="false">IF(C290="MAT.",VLOOKUP(A290,INSUMOS_AUX!$A$3:$H$813,6,0),0)</f>
        <v>1.39</v>
      </c>
      <c r="G290" s="149" t="n">
        <f aca="false">IF(C290="M.O.",VLOOKUP(A290,INSUMOS_AUX!A:F,6,0),0)</f>
        <v>0</v>
      </c>
    </row>
    <row r="291" customFormat="false" ht="21" hidden="false" customHeight="false" outlineLevel="0" collapsed="false">
      <c r="A291" s="154" t="n">
        <v>37372</v>
      </c>
      <c r="B291" s="155" t="s">
        <v>1446</v>
      </c>
      <c r="C291" s="148" t="str">
        <f aca="false">VLOOKUP($A291,INSUMOS_AUX!$A$3:$H$813,3,0)</f>
        <v>MAT.</v>
      </c>
      <c r="D291" s="156" t="s">
        <v>1444</v>
      </c>
      <c r="E291" s="154" t="n">
        <v>1.125</v>
      </c>
      <c r="F291" s="149" t="n">
        <f aca="false">IF(C291="MAT.",VLOOKUP(A291,INSUMOS_AUX!$A$3:$H$813,6,0),0)</f>
        <v>1.43</v>
      </c>
      <c r="G291" s="149" t="n">
        <f aca="false">IF(C291="M.O.",VLOOKUP(A291,INSUMOS_AUX!A:F,6,0),0)</f>
        <v>0</v>
      </c>
    </row>
    <row r="292" customFormat="false" ht="21" hidden="false" customHeight="false" outlineLevel="0" collapsed="false">
      <c r="A292" s="154" t="n">
        <v>43465</v>
      </c>
      <c r="B292" s="155" t="s">
        <v>1458</v>
      </c>
      <c r="C292" s="148" t="str">
        <f aca="false">VLOOKUP($A292,INSUMOS_AUX!$A$3:$H$813,3,0)</f>
        <v>MAT.</v>
      </c>
      <c r="D292" s="156" t="s">
        <v>1444</v>
      </c>
      <c r="E292" s="154" t="n">
        <v>0.375</v>
      </c>
      <c r="F292" s="149" t="n">
        <f aca="false">IF(C292="MAT.",VLOOKUP(A292,INSUMOS_AUX!$A$3:$H$813,6,0),0)</f>
        <v>0.78</v>
      </c>
      <c r="G292" s="149" t="n">
        <f aca="false">IF(C292="M.O.",VLOOKUP(A292,INSUMOS_AUX!A:F,6,0),0)</f>
        <v>0</v>
      </c>
    </row>
    <row r="293" customFormat="false" ht="21" hidden="false" customHeight="false" outlineLevel="0" collapsed="false">
      <c r="A293" s="154" t="n">
        <v>43467</v>
      </c>
      <c r="B293" s="155" t="s">
        <v>1459</v>
      </c>
      <c r="C293" s="148" t="str">
        <f aca="false">VLOOKUP($A293,INSUMOS_AUX!$A$3:$H$813,3,0)</f>
        <v>MAT.</v>
      </c>
      <c r="D293" s="156" t="s">
        <v>1444</v>
      </c>
      <c r="E293" s="154" t="n">
        <v>0.75</v>
      </c>
      <c r="F293" s="149" t="n">
        <f aca="false">IF(C293="MAT.",VLOOKUP(A293,INSUMOS_AUX!$A$3:$H$813,6,0),0)</f>
        <v>0.61</v>
      </c>
      <c r="G293" s="149" t="n">
        <f aca="false">IF(C293="M.O.",VLOOKUP(A293,INSUMOS_AUX!A:F,6,0),0)</f>
        <v>0</v>
      </c>
    </row>
    <row r="294" customFormat="false" ht="21" hidden="false" customHeight="false" outlineLevel="0" collapsed="false">
      <c r="A294" s="154" t="n">
        <v>37373</v>
      </c>
      <c r="B294" s="155" t="s">
        <v>1448</v>
      </c>
      <c r="C294" s="148" t="str">
        <f aca="false">VLOOKUP($A294,INSUMOS_AUX!$A$3:$H$813,3,0)</f>
        <v>MAT.</v>
      </c>
      <c r="D294" s="156" t="s">
        <v>1444</v>
      </c>
      <c r="E294" s="154" t="n">
        <v>1.125</v>
      </c>
      <c r="F294" s="149" t="n">
        <f aca="false">IF(C294="MAT.",VLOOKUP(A294,INSUMOS_AUX!$A$3:$H$813,6,0),0)</f>
        <v>0.08</v>
      </c>
      <c r="G294" s="149" t="n">
        <f aca="false">IF(C294="M.O.",VLOOKUP(A294,INSUMOS_AUX!A:F,6,0),0)</f>
        <v>0</v>
      </c>
    </row>
    <row r="295" customFormat="false" ht="21" hidden="false" customHeight="false" outlineLevel="0" collapsed="false">
      <c r="A295" s="154" t="n">
        <v>37371</v>
      </c>
      <c r="B295" s="155" t="s">
        <v>1449</v>
      </c>
      <c r="C295" s="148" t="s">
        <v>59</v>
      </c>
      <c r="D295" s="156" t="s">
        <v>1444</v>
      </c>
      <c r="E295" s="154" t="n">
        <v>1.125</v>
      </c>
      <c r="F295" s="149" t="n">
        <f aca="false">IF(C295="MAT.",VLOOKUP(A295,INSUMOS_AUX!$A$3:$H$813,6,0),0)</f>
        <v>0</v>
      </c>
      <c r="G295" s="149" t="n">
        <f aca="false">IF(C295="M.O.",VLOOKUP(A295,INSUMOS_AUX!A:F,6,0),0)</f>
        <v>0</v>
      </c>
    </row>
    <row r="296" customFormat="false" ht="31.5" hidden="false" customHeight="false" outlineLevel="0" collapsed="false">
      <c r="A296" s="154" t="n">
        <v>10777</v>
      </c>
      <c r="B296" s="155" t="s">
        <v>1521</v>
      </c>
      <c r="C296" s="148" t="str">
        <f aca="false">VLOOKUP($A296,INSUMOS_AUX!$A$3:$H$813,3,0)</f>
        <v>MAT.</v>
      </c>
      <c r="D296" s="156" t="s">
        <v>1416</v>
      </c>
      <c r="E296" s="154" t="n">
        <v>1</v>
      </c>
      <c r="F296" s="149" t="n">
        <f aca="false">IF(C296="MAT.",VLOOKUP(A296,INSUMOS_AUX!$A$3:$H$813,6,0),0)</f>
        <v>962.26</v>
      </c>
      <c r="G296" s="149" t="n">
        <f aca="false">IF(C296="M.O.",VLOOKUP(A296,INSUMOS_AUX!A:F,6,0),0)</f>
        <v>0</v>
      </c>
    </row>
    <row r="297" customFormat="false" ht="15" hidden="false" customHeight="false" outlineLevel="0" collapsed="false">
      <c r="A297" s="154" t="n">
        <v>4750</v>
      </c>
      <c r="B297" s="155" t="s">
        <v>1463</v>
      </c>
      <c r="C297" s="148" t="str">
        <f aca="false">VLOOKUP($A297,INSUMOS_AUX!$A$3:$H$813,3,0)</f>
        <v>M.O.</v>
      </c>
      <c r="D297" s="156" t="s">
        <v>1444</v>
      </c>
      <c r="E297" s="154" t="n">
        <v>0.38295</v>
      </c>
      <c r="F297" s="149" t="n">
        <f aca="false">IF(C297="MAT.",VLOOKUP(A297,INSUMOS_AUX!$A$3:$H$813,6,0),0)</f>
        <v>0</v>
      </c>
      <c r="G297" s="149" t="n">
        <f aca="false">IF(C297="M.O.",VLOOKUP(A297,INSUMOS_AUX!A:F,6,0),0)</f>
        <v>20.22</v>
      </c>
    </row>
    <row r="298" customFormat="false" ht="15" hidden="false" customHeight="false" outlineLevel="0" collapsed="false">
      <c r="A298" s="154" t="n">
        <v>6111</v>
      </c>
      <c r="B298" s="155" t="s">
        <v>1464</v>
      </c>
      <c r="C298" s="148" t="str">
        <f aca="false">VLOOKUP($A298,INSUMOS_AUX!$A$3:$H$813,3,0)</f>
        <v>M.O.</v>
      </c>
      <c r="D298" s="156" t="s">
        <v>1444</v>
      </c>
      <c r="E298" s="154" t="n">
        <v>0.7659</v>
      </c>
      <c r="F298" s="149" t="n">
        <f aca="false">IF(C298="MAT.",VLOOKUP(A298,INSUMOS_AUX!$A$3:$H$813,6,0),0)</f>
        <v>0</v>
      </c>
      <c r="G298" s="149" t="n">
        <f aca="false">IF(C298="M.O.",VLOOKUP(A298,INSUMOS_AUX!A:F,6,0),0)</f>
        <v>12.95</v>
      </c>
    </row>
    <row r="299" customFormat="false" ht="15" hidden="false" customHeight="false" outlineLevel="0" collapsed="false">
      <c r="A299" s="150" t="s">
        <v>99</v>
      </c>
      <c r="B299" s="151" t="s">
        <v>1522</v>
      </c>
      <c r="C299" s="152" t="s">
        <v>59</v>
      </c>
      <c r="D299" s="152" t="s">
        <v>31</v>
      </c>
      <c r="E299" s="150"/>
      <c r="F299" s="153" t="n">
        <f aca="false">(SUMPRODUCT($E300:$E352,F300:F352))*1</f>
        <v>14224.020329766</v>
      </c>
      <c r="G299" s="153" t="n">
        <f aca="false">(SUMPRODUCT($E300:$E352,G300:G352))*1</f>
        <v>1912.38920772887</v>
      </c>
    </row>
    <row r="300" customFormat="false" ht="21" hidden="false" customHeight="false" outlineLevel="0" collapsed="false">
      <c r="A300" s="154" t="n">
        <v>37370</v>
      </c>
      <c r="B300" s="155" t="s">
        <v>1443</v>
      </c>
      <c r="C300" s="148" t="str">
        <f aca="false">VLOOKUP($A300,INSUMOS_AUX!$A$3:$H$813,3,0)</f>
        <v>MAT.</v>
      </c>
      <c r="D300" s="156" t="s">
        <v>1444</v>
      </c>
      <c r="E300" s="154" t="n">
        <v>114.1646746</v>
      </c>
      <c r="F300" s="149" t="n">
        <f aca="false">IF(C300="MAT.",VLOOKUP(A300,INSUMOS_AUX!$A$3:$H$813,6,0),0)</f>
        <v>3.32</v>
      </c>
      <c r="G300" s="149" t="n">
        <f aca="false">IF(C300="M.O.",VLOOKUP(A300,INSUMOS_AUX!A:F,6,0),0)</f>
        <v>0</v>
      </c>
    </row>
    <row r="301" customFormat="false" ht="21" hidden="false" customHeight="false" outlineLevel="0" collapsed="false">
      <c r="A301" s="154" t="n">
        <v>43483</v>
      </c>
      <c r="B301" s="155" t="s">
        <v>1486</v>
      </c>
      <c r="C301" s="148" t="str">
        <f aca="false">VLOOKUP($A301,INSUMOS_AUX!$A$3:$H$813,3,0)</f>
        <v>MAT.</v>
      </c>
      <c r="D301" s="156" t="s">
        <v>1444</v>
      </c>
      <c r="E301" s="154" t="n">
        <v>37.72016</v>
      </c>
      <c r="F301" s="149" t="n">
        <f aca="false">IF(C301="MAT.",VLOOKUP(A301,INSUMOS_AUX!$A$3:$H$813,6,0),0)</f>
        <v>1.43</v>
      </c>
      <c r="G301" s="149" t="n">
        <f aca="false">IF(C301="M.O.",VLOOKUP(A301,INSUMOS_AUX!A:F,6,0),0)</f>
        <v>0</v>
      </c>
    </row>
    <row r="302" customFormat="false" ht="21" hidden="false" customHeight="false" outlineLevel="0" collapsed="false">
      <c r="A302" s="154" t="n">
        <v>43484</v>
      </c>
      <c r="B302" s="155" t="s">
        <v>1523</v>
      </c>
      <c r="C302" s="148" t="str">
        <f aca="false">VLOOKUP($A302,INSUMOS_AUX!$A$3:$H$813,3,0)</f>
        <v>MAT.</v>
      </c>
      <c r="D302" s="156" t="s">
        <v>1444</v>
      </c>
      <c r="E302" s="154" t="n">
        <v>9.6293956</v>
      </c>
      <c r="F302" s="149" t="n">
        <f aca="false">IF(C302="MAT.",VLOOKUP(A302,INSUMOS_AUX!$A$3:$H$813,6,0),0)</f>
        <v>1.26</v>
      </c>
      <c r="G302" s="149" t="n">
        <f aca="false">IF(C302="M.O.",VLOOKUP(A302,INSUMOS_AUX!A:F,6,0),0)</f>
        <v>0</v>
      </c>
    </row>
    <row r="303" customFormat="false" ht="21" hidden="false" customHeight="false" outlineLevel="0" collapsed="false">
      <c r="A303" s="154" t="n">
        <v>43488</v>
      </c>
      <c r="B303" s="155" t="s">
        <v>1445</v>
      </c>
      <c r="C303" s="148" t="str">
        <f aca="false">VLOOKUP($A303,INSUMOS_AUX!$A$3:$H$813,3,0)</f>
        <v>MAT.</v>
      </c>
      <c r="D303" s="156" t="s">
        <v>1444</v>
      </c>
      <c r="E303" s="154" t="n">
        <v>11.87998</v>
      </c>
      <c r="F303" s="149" t="n">
        <f aca="false">IF(C303="MAT.",VLOOKUP(A303,INSUMOS_AUX!$A$3:$H$813,6,0),0)</f>
        <v>0.89</v>
      </c>
      <c r="G303" s="149" t="n">
        <f aca="false">IF(C303="M.O.",VLOOKUP(A303,INSUMOS_AUX!A:F,6,0),0)</f>
        <v>0</v>
      </c>
    </row>
    <row r="304" customFormat="false" ht="21" hidden="false" customHeight="false" outlineLevel="0" collapsed="false">
      <c r="A304" s="154" t="n">
        <v>43489</v>
      </c>
      <c r="B304" s="155" t="s">
        <v>1456</v>
      </c>
      <c r="C304" s="148" t="str">
        <f aca="false">VLOOKUP($A304,INSUMOS_AUX!$A$3:$H$813,3,0)</f>
        <v>MAT.</v>
      </c>
      <c r="D304" s="156" t="s">
        <v>1444</v>
      </c>
      <c r="E304" s="154" t="n">
        <v>18.648</v>
      </c>
      <c r="F304" s="149" t="n">
        <f aca="false">IF(C304="MAT.",VLOOKUP(A304,INSUMOS_AUX!$A$3:$H$813,6,0),0)</f>
        <v>1.31</v>
      </c>
      <c r="G304" s="149" t="n">
        <f aca="false">IF(C304="M.O.",VLOOKUP(A304,INSUMOS_AUX!A:F,6,0),0)</f>
        <v>0</v>
      </c>
    </row>
    <row r="305" customFormat="false" ht="21" hidden="false" customHeight="false" outlineLevel="0" collapsed="false">
      <c r="A305" s="154" t="n">
        <v>43491</v>
      </c>
      <c r="B305" s="155" t="s">
        <v>1457</v>
      </c>
      <c r="C305" s="148" t="str">
        <f aca="false">VLOOKUP($A305,INSUMOS_AUX!$A$3:$H$813,3,0)</f>
        <v>MAT.</v>
      </c>
      <c r="D305" s="156" t="s">
        <v>1444</v>
      </c>
      <c r="E305" s="154" t="n">
        <v>36.287139</v>
      </c>
      <c r="F305" s="149" t="n">
        <f aca="false">IF(C305="MAT.",VLOOKUP(A305,INSUMOS_AUX!$A$3:$H$813,6,0),0)</f>
        <v>1.39</v>
      </c>
      <c r="G305" s="149" t="n">
        <f aca="false">IF(C305="M.O.",VLOOKUP(A305,INSUMOS_AUX!A:F,6,0),0)</f>
        <v>0</v>
      </c>
    </row>
    <row r="306" customFormat="false" ht="21" hidden="false" customHeight="false" outlineLevel="0" collapsed="false">
      <c r="A306" s="154" t="n">
        <v>37372</v>
      </c>
      <c r="B306" s="155" t="s">
        <v>1446</v>
      </c>
      <c r="C306" s="148" t="str">
        <f aca="false">VLOOKUP($A306,INSUMOS_AUX!$A$3:$H$813,3,0)</f>
        <v>MAT.</v>
      </c>
      <c r="D306" s="156" t="s">
        <v>1444</v>
      </c>
      <c r="E306" s="154" t="n">
        <v>114.1646746</v>
      </c>
      <c r="F306" s="149" t="n">
        <f aca="false">IF(C306="MAT.",VLOOKUP(A306,INSUMOS_AUX!$A$3:$H$813,6,0),0)</f>
        <v>1.43</v>
      </c>
      <c r="G306" s="149" t="n">
        <f aca="false">IF(C306="M.O.",VLOOKUP(A306,INSUMOS_AUX!A:F,6,0),0)</f>
        <v>0</v>
      </c>
    </row>
    <row r="307" customFormat="false" ht="21" hidden="false" customHeight="false" outlineLevel="0" collapsed="false">
      <c r="A307" s="154" t="n">
        <v>43459</v>
      </c>
      <c r="B307" s="155" t="s">
        <v>1487</v>
      </c>
      <c r="C307" s="148" t="s">
        <v>59</v>
      </c>
      <c r="D307" s="156" t="s">
        <v>1444</v>
      </c>
      <c r="E307" s="154" t="n">
        <v>37.72016</v>
      </c>
      <c r="F307" s="149" t="n">
        <f aca="false">IF(C307="MAT.",VLOOKUP(A307,INSUMOS_AUX!$A$3:$H$813,6,0),0)</f>
        <v>0</v>
      </c>
      <c r="G307" s="149" t="n">
        <f aca="false">IF(C307="M.O.",VLOOKUP(A307,INSUMOS_AUX!A:F,6,0),0)</f>
        <v>0</v>
      </c>
    </row>
    <row r="308" customFormat="false" ht="21" hidden="false" customHeight="false" outlineLevel="0" collapsed="false">
      <c r="A308" s="154" t="n">
        <v>43460</v>
      </c>
      <c r="B308" s="155" t="s">
        <v>1524</v>
      </c>
      <c r="C308" s="148" t="str">
        <f aca="false">VLOOKUP($A308,INSUMOS_AUX!$A$3:$H$813,3,0)</f>
        <v>MAT.</v>
      </c>
      <c r="D308" s="156" t="s">
        <v>1444</v>
      </c>
      <c r="E308" s="154" t="n">
        <v>9.6293956</v>
      </c>
      <c r="F308" s="149" t="n">
        <f aca="false">IF(C308="MAT.",VLOOKUP(A308,INSUMOS_AUX!$A$3:$H$813,6,0),0)</f>
        <v>0.86</v>
      </c>
      <c r="G308" s="149" t="n">
        <f aca="false">IF(C308="M.O.",VLOOKUP(A308,INSUMOS_AUX!A:F,6,0),0)</f>
        <v>0</v>
      </c>
    </row>
    <row r="309" customFormat="false" ht="21" hidden="false" customHeight="false" outlineLevel="0" collapsed="false">
      <c r="A309" s="154" t="n">
        <v>43464</v>
      </c>
      <c r="B309" s="155" t="s">
        <v>1447</v>
      </c>
      <c r="C309" s="148" t="str">
        <f aca="false">VLOOKUP($A309,INSUMOS_AUX!$A$3:$H$813,3,0)</f>
        <v>MAT.</v>
      </c>
      <c r="D309" s="156" t="s">
        <v>1444</v>
      </c>
      <c r="E309" s="154" t="n">
        <v>11.87998</v>
      </c>
      <c r="F309" s="149" t="n">
        <f aca="false">IF(C309="MAT.",VLOOKUP(A309,INSUMOS_AUX!$A$3:$H$813,6,0),0)</f>
        <v>0.01</v>
      </c>
      <c r="G309" s="149" t="n">
        <f aca="false">IF(C309="M.O.",VLOOKUP(A309,INSUMOS_AUX!A:F,6,0),0)</f>
        <v>0</v>
      </c>
    </row>
    <row r="310" customFormat="false" ht="21" hidden="false" customHeight="false" outlineLevel="0" collapsed="false">
      <c r="A310" s="154" t="n">
        <v>43465</v>
      </c>
      <c r="B310" s="155" t="s">
        <v>1458</v>
      </c>
      <c r="C310" s="148" t="str">
        <f aca="false">VLOOKUP($A310,INSUMOS_AUX!$A$3:$H$813,3,0)</f>
        <v>MAT.</v>
      </c>
      <c r="D310" s="156" t="s">
        <v>1444</v>
      </c>
      <c r="E310" s="154" t="n">
        <v>18.648</v>
      </c>
      <c r="F310" s="149" t="n">
        <f aca="false">IF(C310="MAT.",VLOOKUP(A310,INSUMOS_AUX!$A$3:$H$813,6,0),0)</f>
        <v>0.78</v>
      </c>
      <c r="G310" s="149" t="n">
        <f aca="false">IF(C310="M.O.",VLOOKUP(A310,INSUMOS_AUX!A:F,6,0),0)</f>
        <v>0</v>
      </c>
    </row>
    <row r="311" customFormat="false" ht="21" hidden="false" customHeight="false" outlineLevel="0" collapsed="false">
      <c r="A311" s="154" t="n">
        <v>43467</v>
      </c>
      <c r="B311" s="155" t="s">
        <v>1459</v>
      </c>
      <c r="C311" s="148" t="str">
        <f aca="false">VLOOKUP($A311,INSUMOS_AUX!$A$3:$H$813,3,0)</f>
        <v>MAT.</v>
      </c>
      <c r="D311" s="156" t="s">
        <v>1444</v>
      </c>
      <c r="E311" s="154" t="n">
        <v>36.287139</v>
      </c>
      <c r="F311" s="149" t="n">
        <f aca="false">IF(C311="MAT.",VLOOKUP(A311,INSUMOS_AUX!$A$3:$H$813,6,0),0)</f>
        <v>0.61</v>
      </c>
      <c r="G311" s="149" t="n">
        <f aca="false">IF(C311="M.O.",VLOOKUP(A311,INSUMOS_AUX!A:F,6,0),0)</f>
        <v>0</v>
      </c>
    </row>
    <row r="312" customFormat="false" ht="21" hidden="false" customHeight="false" outlineLevel="0" collapsed="false">
      <c r="A312" s="154" t="n">
        <v>37373</v>
      </c>
      <c r="B312" s="155" t="s">
        <v>1448</v>
      </c>
      <c r="C312" s="148" t="str">
        <f aca="false">VLOOKUP($A312,INSUMOS_AUX!$A$3:$H$813,3,0)</f>
        <v>MAT.</v>
      </c>
      <c r="D312" s="156" t="s">
        <v>1444</v>
      </c>
      <c r="E312" s="154" t="n">
        <v>114.1646746</v>
      </c>
      <c r="F312" s="149" t="n">
        <f aca="false">IF(C312="MAT.",VLOOKUP(A312,INSUMOS_AUX!$A$3:$H$813,6,0),0)</f>
        <v>0.08</v>
      </c>
      <c r="G312" s="149" t="n">
        <f aca="false">IF(C312="M.O.",VLOOKUP(A312,INSUMOS_AUX!A:F,6,0),0)</f>
        <v>0</v>
      </c>
    </row>
    <row r="313" customFormat="false" ht="21" hidden="false" customHeight="false" outlineLevel="0" collapsed="false">
      <c r="A313" s="154" t="n">
        <v>37371</v>
      </c>
      <c r="B313" s="155" t="s">
        <v>1449</v>
      </c>
      <c r="C313" s="148" t="str">
        <f aca="false">VLOOKUP($A313,INSUMOS_AUX!$A$3:$H$813,3,0)</f>
        <v>MAT.</v>
      </c>
      <c r="D313" s="156" t="s">
        <v>1444</v>
      </c>
      <c r="E313" s="154" t="n">
        <v>114.1646746</v>
      </c>
      <c r="F313" s="149" t="n">
        <f aca="false">IF(C313="MAT.",VLOOKUP(A313,INSUMOS_AUX!$A$3:$H$813,6,0),0)</f>
        <v>0.59</v>
      </c>
      <c r="G313" s="149" t="n">
        <f aca="false">IF(C313="M.O.",VLOOKUP(A313,INSUMOS_AUX!A:F,6,0),0)</f>
        <v>0</v>
      </c>
    </row>
    <row r="314" customFormat="false" ht="31.5" hidden="false" customHeight="false" outlineLevel="0" collapsed="false">
      <c r="A314" s="154" t="n">
        <v>10535</v>
      </c>
      <c r="B314" s="155" t="s">
        <v>1525</v>
      </c>
      <c r="C314" s="148" t="str">
        <f aca="false">VLOOKUP($A314,INSUMOS_AUX!$A$3:$H$813,3,0)</f>
        <v>MAT.</v>
      </c>
      <c r="D314" s="156" t="s">
        <v>31</v>
      </c>
      <c r="E314" s="154" t="n">
        <v>0.0010146677856</v>
      </c>
      <c r="F314" s="149" t="n">
        <f aca="false">IF(C314="MAT.",VLOOKUP(A314,INSUMOS_AUX!$A$3:$H$813,6,0),0)</f>
        <v>4699</v>
      </c>
      <c r="G314" s="149" t="n">
        <f aca="false">IF(C314="M.O.",VLOOKUP(A314,INSUMOS_AUX!A:F,6,0),0)</f>
        <v>0</v>
      </c>
    </row>
    <row r="315" customFormat="false" ht="21" hidden="false" customHeight="false" outlineLevel="0" collapsed="false">
      <c r="A315" s="154" t="n">
        <v>36487</v>
      </c>
      <c r="B315" s="155" t="s">
        <v>1526</v>
      </c>
      <c r="C315" s="148" t="str">
        <f aca="false">VLOOKUP($A315,INSUMOS_AUX!$A$3:$H$813,3,0)</f>
        <v>MAT.</v>
      </c>
      <c r="D315" s="156" t="s">
        <v>31</v>
      </c>
      <c r="E315" s="154" t="n">
        <v>0.0001259771184</v>
      </c>
      <c r="F315" s="149" t="n">
        <f aca="false">IF(C315="MAT.",VLOOKUP(A315,INSUMOS_AUX!$A$3:$H$813,6,0),0)</f>
        <v>6017.74</v>
      </c>
      <c r="G315" s="149" t="n">
        <f aca="false">IF(C315="M.O.",VLOOKUP(A315,INSUMOS_AUX!A:F,6,0),0)</f>
        <v>0</v>
      </c>
    </row>
    <row r="316" customFormat="false" ht="15" hidden="false" customHeight="false" outlineLevel="0" collapsed="false">
      <c r="A316" s="154" t="n">
        <v>2705</v>
      </c>
      <c r="B316" s="155" t="s">
        <v>1467</v>
      </c>
      <c r="C316" s="148" t="str">
        <f aca="false">VLOOKUP($A316,INSUMOS_AUX!$A$3:$H$813,3,0)</f>
        <v>MAT.</v>
      </c>
      <c r="D316" s="156" t="s">
        <v>1468</v>
      </c>
      <c r="E316" s="154" t="n">
        <v>3.50377496</v>
      </c>
      <c r="F316" s="149" t="n">
        <f aca="false">IF(C316="MAT.",VLOOKUP(A316,INSUMOS_AUX!$A$3:$H$813,6,0),0)</f>
        <v>0.92</v>
      </c>
      <c r="G316" s="149" t="n">
        <f aca="false">IF(C316="M.O.",VLOOKUP(A316,INSUMOS_AUX!A:F,6,0),0)</f>
        <v>0</v>
      </c>
    </row>
    <row r="317" customFormat="false" ht="21" hidden="false" customHeight="false" outlineLevel="0" collapsed="false">
      <c r="A317" s="154" t="n">
        <v>370</v>
      </c>
      <c r="B317" s="155" t="s">
        <v>1527</v>
      </c>
      <c r="C317" s="148" t="str">
        <f aca="false">VLOOKUP($A317,INSUMOS_AUX!$A$3:$H$813,3,0)</f>
        <v>MAT.</v>
      </c>
      <c r="D317" s="156" t="s">
        <v>1442</v>
      </c>
      <c r="E317" s="154" t="n">
        <v>3.068161</v>
      </c>
      <c r="F317" s="149" t="n">
        <f aca="false">IF(C317="MAT.",VLOOKUP(A317,INSUMOS_AUX!$A$3:$H$813,6,0),0)</f>
        <v>150</v>
      </c>
      <c r="G317" s="149" t="n">
        <f aca="false">IF(C317="M.O.",VLOOKUP(A317,INSUMOS_AUX!A:F,6,0),0)</f>
        <v>0</v>
      </c>
    </row>
    <row r="318" customFormat="false" ht="31.5" hidden="false" customHeight="false" outlineLevel="0" collapsed="false">
      <c r="A318" s="154" t="n">
        <v>1013</v>
      </c>
      <c r="B318" s="155" t="s">
        <v>1528</v>
      </c>
      <c r="C318" s="148" t="str">
        <f aca="false">VLOOKUP($A318,INSUMOS_AUX!$A$3:$H$813,3,0)</f>
        <v>MAT.</v>
      </c>
      <c r="D318" s="156" t="s">
        <v>1455</v>
      </c>
      <c r="E318" s="154" t="n">
        <v>13.31855476</v>
      </c>
      <c r="F318" s="149" t="n">
        <f aca="false">IF(C318="MAT.",VLOOKUP(A318,INSUMOS_AUX!$A$3:$H$813,6,0),0)</f>
        <v>1.5</v>
      </c>
      <c r="G318" s="149" t="n">
        <f aca="false">IF(C318="M.O.",VLOOKUP(A318,INSUMOS_AUX!A:F,6,0),0)</f>
        <v>0</v>
      </c>
    </row>
    <row r="319" customFormat="false" ht="31.5" hidden="false" customHeight="false" outlineLevel="0" collapsed="false">
      <c r="A319" s="154" t="n">
        <v>1014</v>
      </c>
      <c r="B319" s="155" t="s">
        <v>1529</v>
      </c>
      <c r="C319" s="148" t="str">
        <f aca="false">VLOOKUP($A319,INSUMOS_AUX!$A$3:$H$813,3,0)</f>
        <v>MAT.</v>
      </c>
      <c r="D319" s="156" t="s">
        <v>1455</v>
      </c>
      <c r="E319" s="154" t="n">
        <v>28.15716602</v>
      </c>
      <c r="F319" s="149" t="n">
        <f aca="false">IF(C319="MAT.",VLOOKUP(A319,INSUMOS_AUX!$A$3:$H$813,6,0),0)</f>
        <v>2.38</v>
      </c>
      <c r="G319" s="149" t="n">
        <f aca="false">IF(C319="M.O.",VLOOKUP(A319,INSUMOS_AUX!A:F,6,0),0)</f>
        <v>0</v>
      </c>
    </row>
    <row r="320" customFormat="false" ht="42" hidden="false" customHeight="false" outlineLevel="0" collapsed="false">
      <c r="A320" s="154" t="n">
        <v>5090</v>
      </c>
      <c r="B320" s="155" t="s">
        <v>1530</v>
      </c>
      <c r="C320" s="148" t="str">
        <f aca="false">VLOOKUP($A320,INSUMOS_AUX!$A$3:$H$813,3,0)</f>
        <v>MAT.</v>
      </c>
      <c r="D320" s="156" t="s">
        <v>31</v>
      </c>
      <c r="E320" s="154" t="n">
        <v>2</v>
      </c>
      <c r="F320" s="149" t="n">
        <f aca="false">IF(C320="MAT.",VLOOKUP(A320,INSUMOS_AUX!$A$3:$H$813,6,0),0)</f>
        <v>23.05</v>
      </c>
      <c r="G320" s="149" t="n">
        <f aca="false">IF(C320="M.O.",VLOOKUP(A320,INSUMOS_AUX!A:F,6,0),0)</f>
        <v>0</v>
      </c>
    </row>
    <row r="321" customFormat="false" ht="31.5" hidden="false" customHeight="false" outlineLevel="0" collapsed="false">
      <c r="A321" s="154" t="n">
        <v>43603</v>
      </c>
      <c r="B321" s="155" t="s">
        <v>1531</v>
      </c>
      <c r="C321" s="148" t="str">
        <f aca="false">VLOOKUP($A321,INSUMOS_AUX!$A$3:$H$813,3,0)</f>
        <v>MAT.</v>
      </c>
      <c r="D321" s="156" t="s">
        <v>31</v>
      </c>
      <c r="E321" s="154" t="n">
        <v>2</v>
      </c>
      <c r="F321" s="149" t="n">
        <f aca="false">IF(C321="MAT.",VLOOKUP(A321,INSUMOS_AUX!$A$3:$H$813,6,0),0)</f>
        <v>49.02</v>
      </c>
      <c r="G321" s="149" t="n">
        <f aca="false">IF(C321="M.O.",VLOOKUP(A321,INSUMOS_AUX!A:F,6,0),0)</f>
        <v>0</v>
      </c>
    </row>
    <row r="322" customFormat="false" ht="31.5" hidden="false" customHeight="false" outlineLevel="0" collapsed="false">
      <c r="A322" s="154" t="n">
        <v>4433</v>
      </c>
      <c r="B322" s="155" t="s">
        <v>1532</v>
      </c>
      <c r="C322" s="148" t="str">
        <f aca="false">VLOOKUP($A322,INSUMOS_AUX!$A$3:$H$813,3,0)</f>
        <v>MAT.</v>
      </c>
      <c r="D322" s="156" t="s">
        <v>1455</v>
      </c>
      <c r="E322" s="154" t="n">
        <v>87</v>
      </c>
      <c r="F322" s="149" t="n">
        <f aca="false">IF(C322="MAT.",VLOOKUP(A322,INSUMOS_AUX!$A$3:$H$813,6,0),0)</f>
        <v>21.51</v>
      </c>
      <c r="G322" s="149" t="n">
        <f aca="false">IF(C322="M.O.",VLOOKUP(A322,INSUMOS_AUX!A:F,6,0),0)</f>
        <v>0</v>
      </c>
    </row>
    <row r="323" customFormat="false" ht="21" hidden="false" customHeight="false" outlineLevel="0" collapsed="false">
      <c r="A323" s="154" t="n">
        <v>1872</v>
      </c>
      <c r="B323" s="155" t="s">
        <v>1533</v>
      </c>
      <c r="C323" s="148" t="str">
        <f aca="false">VLOOKUP($A323,INSUMOS_AUX!$A$3:$H$813,3,0)</f>
        <v>MAT.</v>
      </c>
      <c r="D323" s="156" t="s">
        <v>31</v>
      </c>
      <c r="E323" s="154" t="n">
        <v>3</v>
      </c>
      <c r="F323" s="149" t="n">
        <f aca="false">IF(C323="MAT.",VLOOKUP(A323,INSUMOS_AUX!$A$3:$H$813,6,0),0)</f>
        <v>1.41</v>
      </c>
      <c r="G323" s="149" t="n">
        <f aca="false">IF(C323="M.O.",VLOOKUP(A323,INSUMOS_AUX!A:F,6,0),0)</f>
        <v>0</v>
      </c>
    </row>
    <row r="324" customFormat="false" ht="21" hidden="false" customHeight="false" outlineLevel="0" collapsed="false">
      <c r="A324" s="154" t="n">
        <v>1871</v>
      </c>
      <c r="B324" s="155" t="s">
        <v>1534</v>
      </c>
      <c r="C324" s="148" t="str">
        <f aca="false">VLOOKUP($A324,INSUMOS_AUX!$A$3:$H$813,3,0)</f>
        <v>MAT.</v>
      </c>
      <c r="D324" s="156" t="s">
        <v>31</v>
      </c>
      <c r="E324" s="154" t="n">
        <v>1</v>
      </c>
      <c r="F324" s="149" t="n">
        <f aca="false">IF(C324="MAT.",VLOOKUP(A324,INSUMOS_AUX!$A$3:$H$813,6,0),0)</f>
        <v>2.53</v>
      </c>
      <c r="G324" s="149" t="n">
        <f aca="false">IF(C324="M.O.",VLOOKUP(A324,INSUMOS_AUX!A:F,6,0),0)</f>
        <v>0</v>
      </c>
    </row>
    <row r="325" customFormat="false" ht="15" hidden="false" customHeight="false" outlineLevel="0" collapsed="false">
      <c r="A325" s="154" t="n">
        <v>1379</v>
      </c>
      <c r="B325" s="155" t="s">
        <v>1535</v>
      </c>
      <c r="C325" s="148" t="str">
        <f aca="false">VLOOKUP($A325,INSUMOS_AUX!$A$3:$H$813,3,0)</f>
        <v>MAT.</v>
      </c>
      <c r="D325" s="156" t="s">
        <v>1513</v>
      </c>
      <c r="E325" s="154" t="n">
        <v>1385.769088</v>
      </c>
      <c r="F325" s="149" t="n">
        <f aca="false">IF(C325="MAT.",VLOOKUP(A325,INSUMOS_AUX!$A$3:$H$813,6,0),0)</f>
        <v>0.72</v>
      </c>
      <c r="G325" s="149" t="n">
        <f aca="false">IF(C325="M.O.",VLOOKUP(A325,INSUMOS_AUX!A:F,6,0),0)</f>
        <v>0</v>
      </c>
    </row>
    <row r="326" customFormat="false" ht="21" hidden="false" customHeight="false" outlineLevel="0" collapsed="false">
      <c r="A326" s="154" t="n">
        <v>11134</v>
      </c>
      <c r="B326" s="155" t="s">
        <v>1536</v>
      </c>
      <c r="C326" s="148" t="str">
        <f aca="false">VLOOKUP($A326,INSUMOS_AUX!$A$3:$H$813,3,0)</f>
        <v>MAT.</v>
      </c>
      <c r="D326" s="156" t="s">
        <v>1477</v>
      </c>
      <c r="E326" s="154" t="n">
        <v>77</v>
      </c>
      <c r="F326" s="149" t="n">
        <f aca="false">IF(C326="MAT.",VLOOKUP(A326,INSUMOS_AUX!$A$3:$H$813,6,0),0)</f>
        <v>80.98</v>
      </c>
      <c r="G326" s="149" t="n">
        <f aca="false">IF(C326="M.O.",VLOOKUP(A326,INSUMOS_AUX!A:F,6,0),0)</f>
        <v>0</v>
      </c>
    </row>
    <row r="327" customFormat="false" ht="21" hidden="false" customHeight="false" outlineLevel="0" collapsed="false">
      <c r="A327" s="154" t="n">
        <v>1607</v>
      </c>
      <c r="B327" s="155" t="s">
        <v>1537</v>
      </c>
      <c r="C327" s="148" t="str">
        <f aca="false">VLOOKUP($A327,INSUMOS_AUX!$A$3:$H$813,3,0)</f>
        <v>MAT.</v>
      </c>
      <c r="D327" s="156" t="s">
        <v>1538</v>
      </c>
      <c r="E327" s="154" t="n">
        <v>67.2084</v>
      </c>
      <c r="F327" s="149" t="n">
        <f aca="false">IF(C327="MAT.",VLOOKUP(A327,INSUMOS_AUX!$A$3:$H$813,6,0),0)</f>
        <v>0.2</v>
      </c>
      <c r="G327" s="149" t="n">
        <f aca="false">IF(C327="M.O.",VLOOKUP(A327,INSUMOS_AUX!A:F,6,0),0)</f>
        <v>0</v>
      </c>
    </row>
    <row r="328" customFormat="false" ht="21" hidden="false" customHeight="false" outlineLevel="0" collapsed="false">
      <c r="A328" s="154" t="n">
        <v>11451</v>
      </c>
      <c r="B328" s="155" t="s">
        <v>1539</v>
      </c>
      <c r="C328" s="148" t="str">
        <f aca="false">VLOOKUP($A328,INSUMOS_AUX!$A$3:$H$813,3,0)</f>
        <v>MAT.</v>
      </c>
      <c r="D328" s="156" t="s">
        <v>31</v>
      </c>
      <c r="E328" s="154" t="n">
        <v>4</v>
      </c>
      <c r="F328" s="149" t="n">
        <f aca="false">IF(C328="MAT.",VLOOKUP(A328,INSUMOS_AUX!$A$3:$H$813,6,0),0)</f>
        <v>92.3</v>
      </c>
      <c r="G328" s="149" t="n">
        <f aca="false">IF(C328="M.O.",VLOOKUP(A328,INSUMOS_AUX!A:F,6,0),0)</f>
        <v>0</v>
      </c>
    </row>
    <row r="329" customFormat="false" ht="15" hidden="false" customHeight="false" outlineLevel="0" collapsed="false">
      <c r="A329" s="154" t="n">
        <v>2674</v>
      </c>
      <c r="B329" s="155" t="s">
        <v>1540</v>
      </c>
      <c r="C329" s="148" t="str">
        <f aca="false">VLOOKUP($A329,INSUMOS_AUX!$A$3:$H$813,3,0)</f>
        <v>MAT.</v>
      </c>
      <c r="D329" s="156" t="s">
        <v>1455</v>
      </c>
      <c r="E329" s="154" t="n">
        <v>9.4323699</v>
      </c>
      <c r="F329" s="149" t="n">
        <f aca="false">IF(C329="MAT.",VLOOKUP(A329,INSUMOS_AUX!$A$3:$H$813,6,0),0)</f>
        <v>3.98</v>
      </c>
      <c r="G329" s="149" t="n">
        <f aca="false">IF(C329="M.O.",VLOOKUP(A329,INSUMOS_AUX!A:F,6,0),0)</f>
        <v>0</v>
      </c>
    </row>
    <row r="330" customFormat="false" ht="21" hidden="false" customHeight="false" outlineLevel="0" collapsed="false">
      <c r="A330" s="154" t="n">
        <v>38094</v>
      </c>
      <c r="B330" s="155" t="s">
        <v>1541</v>
      </c>
      <c r="C330" s="148" t="str">
        <f aca="false">VLOOKUP($A330,INSUMOS_AUX!$A$3:$H$813,3,0)</f>
        <v>MAT.</v>
      </c>
      <c r="D330" s="156" t="s">
        <v>31</v>
      </c>
      <c r="E330" s="154" t="n">
        <v>3</v>
      </c>
      <c r="F330" s="149" t="n">
        <f aca="false">IF(C330="MAT.",VLOOKUP(A330,INSUMOS_AUX!$A$3:$H$813,6,0),0)</f>
        <v>2.62</v>
      </c>
      <c r="G330" s="149" t="n">
        <f aca="false">IF(C330="M.O.",VLOOKUP(A330,INSUMOS_AUX!A:F,6,0),0)</f>
        <v>0</v>
      </c>
    </row>
    <row r="331" customFormat="false" ht="21" hidden="false" customHeight="false" outlineLevel="0" collapsed="false">
      <c r="A331" s="154" t="n">
        <v>21127</v>
      </c>
      <c r="B331" s="155" t="s">
        <v>1542</v>
      </c>
      <c r="C331" s="148" t="str">
        <f aca="false">VLOOKUP($A331,INSUMOS_AUX!$A$3:$H$813,3,0)</f>
        <v>MAT.</v>
      </c>
      <c r="D331" s="156" t="s">
        <v>31</v>
      </c>
      <c r="E331" s="154" t="n">
        <v>0.31355298</v>
      </c>
      <c r="F331" s="149" t="n">
        <f aca="false">IF(C331="MAT.",VLOOKUP(A331,INSUMOS_AUX!$A$3:$H$813,6,0),0)</f>
        <v>3.49</v>
      </c>
      <c r="G331" s="149" t="n">
        <f aca="false">IF(C331="M.O.",VLOOKUP(A331,INSUMOS_AUX!A:F,6,0),0)</f>
        <v>0</v>
      </c>
    </row>
    <row r="332" customFormat="false" ht="15" hidden="false" customHeight="false" outlineLevel="0" collapsed="false">
      <c r="A332" s="154" t="n">
        <v>38112</v>
      </c>
      <c r="B332" s="155" t="s">
        <v>1543</v>
      </c>
      <c r="C332" s="148" t="str">
        <f aca="false">VLOOKUP($A332,INSUMOS_AUX!$A$3:$H$813,3,0)</f>
        <v>MAT.</v>
      </c>
      <c r="D332" s="156" t="s">
        <v>31</v>
      </c>
      <c r="E332" s="154" t="n">
        <v>1</v>
      </c>
      <c r="F332" s="149" t="n">
        <f aca="false">IF(C332="MAT.",VLOOKUP(A332,INSUMOS_AUX!$A$3:$H$813,6,0),0)</f>
        <v>6.17</v>
      </c>
      <c r="G332" s="149" t="n">
        <f aca="false">IF(C332="M.O.",VLOOKUP(A332,INSUMOS_AUX!A:F,6,0),0)</f>
        <v>0</v>
      </c>
    </row>
    <row r="333" customFormat="false" ht="21" hidden="false" customHeight="false" outlineLevel="0" collapsed="false">
      <c r="A333" s="154" t="n">
        <v>3671</v>
      </c>
      <c r="B333" s="155" t="s">
        <v>1544</v>
      </c>
      <c r="C333" s="148" t="str">
        <f aca="false">VLOOKUP($A333,INSUMOS_AUX!$A$3:$H$813,3,0)</f>
        <v>MAT.</v>
      </c>
      <c r="D333" s="156" t="s">
        <v>1455</v>
      </c>
      <c r="E333" s="154" t="n">
        <v>93.52</v>
      </c>
      <c r="F333" s="149" t="n">
        <f aca="false">IF(C333="MAT.",VLOOKUP(A333,INSUMOS_AUX!$A$3:$H$813,6,0),0)</f>
        <v>1.33</v>
      </c>
      <c r="G333" s="149" t="n">
        <f aca="false">IF(C333="M.O.",VLOOKUP(A333,INSUMOS_AUX!A:F,6,0),0)</f>
        <v>0</v>
      </c>
    </row>
    <row r="334" customFormat="false" ht="21" hidden="false" customHeight="false" outlineLevel="0" collapsed="false">
      <c r="A334" s="154" t="n">
        <v>4302</v>
      </c>
      <c r="B334" s="155" t="s">
        <v>1545</v>
      </c>
      <c r="C334" s="148" t="str">
        <f aca="false">VLOOKUP($A334,INSUMOS_AUX!$A$3:$H$813,3,0)</f>
        <v>MAT.</v>
      </c>
      <c r="D334" s="156" t="s">
        <v>31</v>
      </c>
      <c r="E334" s="154" t="n">
        <v>67.2084</v>
      </c>
      <c r="F334" s="149" t="n">
        <f aca="false">IF(C334="MAT.",VLOOKUP(A334,INSUMOS_AUX!$A$3:$H$813,6,0),0)</f>
        <v>3.14</v>
      </c>
      <c r="G334" s="149" t="n">
        <f aca="false">IF(C334="M.O.",VLOOKUP(A334,INSUMOS_AUX!A:F,6,0),0)</f>
        <v>0</v>
      </c>
    </row>
    <row r="335" customFormat="false" ht="15" hidden="false" customHeight="false" outlineLevel="0" collapsed="false">
      <c r="A335" s="154" t="n">
        <v>5088</v>
      </c>
      <c r="B335" s="155" t="s">
        <v>1546</v>
      </c>
      <c r="C335" s="148" t="str">
        <f aca="false">VLOOKUP($A335,INSUMOS_AUX!$A$3:$H$813,3,0)</f>
        <v>MAT.</v>
      </c>
      <c r="D335" s="156" t="s">
        <v>31</v>
      </c>
      <c r="E335" s="154" t="n">
        <v>2</v>
      </c>
      <c r="F335" s="149" t="n">
        <f aca="false">IF(C335="MAT.",VLOOKUP(A335,INSUMOS_AUX!$A$3:$H$813,6,0),0)</f>
        <v>7.72</v>
      </c>
      <c r="G335" s="149" t="n">
        <f aca="false">IF(C335="M.O.",VLOOKUP(A335,INSUMOS_AUX!A:F,6,0),0)</f>
        <v>0</v>
      </c>
    </row>
    <row r="336" customFormat="false" ht="15" hidden="false" customHeight="false" outlineLevel="0" collapsed="false">
      <c r="A336" s="154" t="n">
        <v>5074</v>
      </c>
      <c r="B336" s="155" t="s">
        <v>1547</v>
      </c>
      <c r="C336" s="148" t="str">
        <f aca="false">VLOOKUP($A336,INSUMOS_AUX!$A$3:$H$813,3,0)</f>
        <v>MAT.</v>
      </c>
      <c r="D336" s="156" t="s">
        <v>1513</v>
      </c>
      <c r="E336" s="154" t="n">
        <v>1.2</v>
      </c>
      <c r="F336" s="149" t="n">
        <f aca="false">IF(C336="MAT.",VLOOKUP(A336,INSUMOS_AUX!$A$3:$H$813,6,0),0)</f>
        <v>22.79</v>
      </c>
      <c r="G336" s="149" t="n">
        <f aca="false">IF(C336="M.O.",VLOOKUP(A336,INSUMOS_AUX!A:F,6,0),0)</f>
        <v>0</v>
      </c>
    </row>
    <row r="337" customFormat="false" ht="15" hidden="false" customHeight="false" outlineLevel="0" collapsed="false">
      <c r="A337" s="154" t="n">
        <v>40568</v>
      </c>
      <c r="B337" s="155" t="s">
        <v>1548</v>
      </c>
      <c r="C337" s="148" t="str">
        <f aca="false">VLOOKUP($A337,INSUMOS_AUX!$A$3:$H$813,3,0)</f>
        <v>MAT.</v>
      </c>
      <c r="D337" s="156" t="s">
        <v>1513</v>
      </c>
      <c r="E337" s="154" t="n">
        <v>1.5876</v>
      </c>
      <c r="F337" s="149" t="n">
        <f aca="false">IF(C337="MAT.",VLOOKUP(A337,INSUMOS_AUX!$A$3:$H$813,6,0),0)</f>
        <v>20.5</v>
      </c>
      <c r="G337" s="149" t="n">
        <f aca="false">IF(C337="M.O.",VLOOKUP(A337,INSUMOS_AUX!A:F,6,0),0)</f>
        <v>0</v>
      </c>
    </row>
    <row r="338" customFormat="false" ht="31.5" hidden="false" customHeight="false" outlineLevel="0" collapsed="false">
      <c r="A338" s="154" t="n">
        <v>38099</v>
      </c>
      <c r="B338" s="155" t="s">
        <v>1549</v>
      </c>
      <c r="C338" s="148" t="str">
        <f aca="false">VLOOKUP($A338,INSUMOS_AUX!$A$3:$H$813,3,0)</f>
        <v>MAT.</v>
      </c>
      <c r="D338" s="156" t="s">
        <v>31</v>
      </c>
      <c r="E338" s="154" t="n">
        <v>3</v>
      </c>
      <c r="F338" s="149" t="n">
        <f aca="false">IF(C338="MAT.",VLOOKUP(A338,INSUMOS_AUX!$A$3:$H$813,6,0),0)</f>
        <v>1.36</v>
      </c>
      <c r="G338" s="149" t="n">
        <f aca="false">IF(C338="M.O.",VLOOKUP(A338,INSUMOS_AUX!A:F,6,0),0)</f>
        <v>0</v>
      </c>
    </row>
    <row r="339" customFormat="false" ht="21" hidden="false" customHeight="false" outlineLevel="0" collapsed="false">
      <c r="A339" s="154" t="n">
        <v>7194</v>
      </c>
      <c r="B339" s="155" t="s">
        <v>1550</v>
      </c>
      <c r="C339" s="148" t="str">
        <f aca="false">VLOOKUP($A339,INSUMOS_AUX!$A$3:$H$813,3,0)</f>
        <v>MAT.</v>
      </c>
      <c r="D339" s="156" t="s">
        <v>1477</v>
      </c>
      <c r="E339" s="154" t="n">
        <v>67.473</v>
      </c>
      <c r="F339" s="149" t="n">
        <f aca="false">IF(C339="MAT.",VLOOKUP(A339,INSUMOS_AUX!$A$3:$H$813,6,0),0)</f>
        <v>28.91</v>
      </c>
      <c r="G339" s="149" t="n">
        <f aca="false">IF(C339="M.O.",VLOOKUP(A339,INSUMOS_AUX!A:F,6,0),0)</f>
        <v>0</v>
      </c>
    </row>
    <row r="340" customFormat="false" ht="15" hidden="false" customHeight="false" outlineLevel="0" collapsed="false">
      <c r="A340" s="154" t="n">
        <v>38101</v>
      </c>
      <c r="B340" s="155" t="s">
        <v>1551</v>
      </c>
      <c r="C340" s="148" t="str">
        <f aca="false">VLOOKUP($A340,INSUMOS_AUX!$A$3:$H$813,3,0)</f>
        <v>MAT.</v>
      </c>
      <c r="D340" s="156" t="s">
        <v>31</v>
      </c>
      <c r="E340" s="154" t="n">
        <v>1</v>
      </c>
      <c r="F340" s="149" t="n">
        <f aca="false">IF(C340="MAT.",VLOOKUP(A340,INSUMOS_AUX!$A$3:$H$813,6,0),0)</f>
        <v>7.03</v>
      </c>
      <c r="G340" s="149" t="n">
        <f aca="false">IF(C340="M.O.",VLOOKUP(A340,INSUMOS_AUX!A:F,6,0),0)</f>
        <v>0</v>
      </c>
    </row>
    <row r="341" customFormat="false" ht="15" hidden="false" customHeight="false" outlineLevel="0" collapsed="false">
      <c r="A341" s="154" t="n">
        <v>38102</v>
      </c>
      <c r="B341" s="155" t="s">
        <v>1552</v>
      </c>
      <c r="C341" s="148" t="str">
        <f aca="false">VLOOKUP($A341,INSUMOS_AUX!$A$3:$H$813,3,0)</f>
        <v>MAT.</v>
      </c>
      <c r="D341" s="156" t="s">
        <v>31</v>
      </c>
      <c r="E341" s="154" t="n">
        <v>1</v>
      </c>
      <c r="F341" s="149" t="n">
        <f aca="false">IF(C341="MAT.",VLOOKUP(A341,INSUMOS_AUX!$A$3:$H$813,6,0),0)</f>
        <v>8.99</v>
      </c>
      <c r="G341" s="149" t="n">
        <f aca="false">IF(C341="M.O.",VLOOKUP(A341,INSUMOS_AUX!A:F,6,0),0)</f>
        <v>0</v>
      </c>
    </row>
    <row r="342" customFormat="false" ht="31.5" hidden="false" customHeight="false" outlineLevel="0" collapsed="false">
      <c r="A342" s="154" t="n">
        <v>4425</v>
      </c>
      <c r="B342" s="155" t="s">
        <v>1553</v>
      </c>
      <c r="C342" s="148" t="str">
        <f aca="false">VLOOKUP($A342,INSUMOS_AUX!$A$3:$H$813,3,0)</f>
        <v>MAT.</v>
      </c>
      <c r="D342" s="156" t="s">
        <v>1455</v>
      </c>
      <c r="E342" s="154" t="n">
        <v>33.55128</v>
      </c>
      <c r="F342" s="149" t="n">
        <f aca="false">IF(C342="MAT.",VLOOKUP(A342,INSUMOS_AUX!$A$3:$H$813,6,0),0)</f>
        <v>23.26</v>
      </c>
      <c r="G342" s="149" t="n">
        <f aca="false">IF(C342="M.O.",VLOOKUP(A342,INSUMOS_AUX!A:F,6,0),0)</f>
        <v>0</v>
      </c>
    </row>
    <row r="343" customFormat="false" ht="15" hidden="false" customHeight="false" outlineLevel="0" collapsed="false">
      <c r="A343" s="154" t="n">
        <v>247</v>
      </c>
      <c r="B343" s="155" t="s">
        <v>1554</v>
      </c>
      <c r="C343" s="148" t="str">
        <f aca="false">VLOOKUP($A343,INSUMOS_AUX!$A$3:$H$813,3,0)</f>
        <v>M.O.</v>
      </c>
      <c r="D343" s="156" t="s">
        <v>1444</v>
      </c>
      <c r="E343" s="154" t="n">
        <v>4.994382321896</v>
      </c>
      <c r="F343" s="149" t="n">
        <f aca="false">IF(C343="MAT.",VLOOKUP(A343,INSUMOS_AUX!$A$3:$H$813,6,0),0)</f>
        <v>0</v>
      </c>
      <c r="G343" s="149" t="n">
        <f aca="false">IF(C343="M.O.",VLOOKUP(A343,INSUMOS_AUX!A:F,6,0),0)</f>
        <v>13.26</v>
      </c>
    </row>
    <row r="344" customFormat="false" ht="15" hidden="false" customHeight="false" outlineLevel="0" collapsed="false">
      <c r="A344" s="154" t="n">
        <v>6117</v>
      </c>
      <c r="B344" s="155" t="s">
        <v>1555</v>
      </c>
      <c r="C344" s="148" t="str">
        <f aca="false">VLOOKUP($A344,INSUMOS_AUX!$A$3:$H$813,3,0)</f>
        <v>M.O.</v>
      </c>
      <c r="D344" s="156" t="s">
        <v>1444</v>
      </c>
      <c r="E344" s="154" t="n">
        <v>3.490571448</v>
      </c>
      <c r="F344" s="149" t="n">
        <f aca="false">IF(C344="MAT.",VLOOKUP(A344,INSUMOS_AUX!$A$3:$H$813,6,0),0)</f>
        <v>0</v>
      </c>
      <c r="G344" s="149" t="n">
        <f aca="false">IF(C344="M.O.",VLOOKUP(A344,INSUMOS_AUX!A:F,6,0),0)</f>
        <v>13.26</v>
      </c>
    </row>
    <row r="345" customFormat="false" ht="15" hidden="false" customHeight="false" outlineLevel="0" collapsed="false">
      <c r="A345" s="154" t="n">
        <v>1214</v>
      </c>
      <c r="B345" s="155" t="s">
        <v>1556</v>
      </c>
      <c r="C345" s="148" t="str">
        <f aca="false">VLOOKUP($A345,INSUMOS_AUX!$A$3:$H$813,3,0)</f>
        <v>M.O.</v>
      </c>
      <c r="D345" s="156" t="s">
        <v>1444</v>
      </c>
      <c r="E345" s="154" t="n">
        <v>6.037822</v>
      </c>
      <c r="F345" s="149" t="n">
        <f aca="false">IF(C345="MAT.",VLOOKUP(A345,INSUMOS_AUX!$A$3:$H$813,6,0),0)</f>
        <v>0</v>
      </c>
      <c r="G345" s="149" t="n">
        <f aca="false">IF(C345="M.O.",VLOOKUP(A345,INSUMOS_AUX!A:F,6,0),0)</f>
        <v>19.04</v>
      </c>
    </row>
    <row r="346" customFormat="false" ht="15" hidden="false" customHeight="false" outlineLevel="0" collapsed="false">
      <c r="A346" s="154" t="n">
        <v>1213</v>
      </c>
      <c r="B346" s="155" t="s">
        <v>1516</v>
      </c>
      <c r="C346" s="148" t="str">
        <f aca="false">VLOOKUP($A346,INSUMOS_AUX!$A$3:$H$813,3,0)</f>
        <v>M.O.</v>
      </c>
      <c r="D346" s="156" t="s">
        <v>1444</v>
      </c>
      <c r="E346" s="154" t="n">
        <v>22.50126222</v>
      </c>
      <c r="F346" s="149" t="n">
        <f aca="false">IF(C346="MAT.",VLOOKUP(A346,INSUMOS_AUX!$A$3:$H$813,6,0),0)</f>
        <v>0</v>
      </c>
      <c r="G346" s="149" t="n">
        <f aca="false">IF(C346="M.O.",VLOOKUP(A346,INSUMOS_AUX!A:F,6,0),0)</f>
        <v>20.22</v>
      </c>
    </row>
    <row r="347" customFormat="false" ht="15" hidden="false" customHeight="false" outlineLevel="0" collapsed="false">
      <c r="A347" s="154" t="n">
        <v>2436</v>
      </c>
      <c r="B347" s="155" t="s">
        <v>1557</v>
      </c>
      <c r="C347" s="148" t="str">
        <f aca="false">VLOOKUP($A347,INSUMOS_AUX!$A$3:$H$813,3,0)</f>
        <v>M.O.</v>
      </c>
      <c r="D347" s="156" t="s">
        <v>1444</v>
      </c>
      <c r="E347" s="154" t="n">
        <v>4.994382321896</v>
      </c>
      <c r="F347" s="149" t="n">
        <f aca="false">IF(C347="MAT.",VLOOKUP(A347,INSUMOS_AUX!$A$3:$H$813,6,0),0)</f>
        <v>0</v>
      </c>
      <c r="G347" s="149" t="n">
        <f aca="false">IF(C347="M.O.",VLOOKUP(A347,INSUMOS_AUX!A:F,6,0),0)</f>
        <v>20.22</v>
      </c>
    </row>
    <row r="348" customFormat="false" ht="15" hidden="false" customHeight="false" outlineLevel="0" collapsed="false">
      <c r="A348" s="154" t="n">
        <v>37666</v>
      </c>
      <c r="B348" s="155" t="s">
        <v>1558</v>
      </c>
      <c r="C348" s="148" t="str">
        <f aca="false">VLOOKUP($A348,INSUMOS_AUX!$A$3:$H$813,3,0)</f>
        <v>M.O.</v>
      </c>
      <c r="D348" s="156" t="s">
        <v>1444</v>
      </c>
      <c r="E348" s="154" t="n">
        <v>10.75676401072</v>
      </c>
      <c r="F348" s="149" t="n">
        <f aca="false">IF(C348="MAT.",VLOOKUP(A348,INSUMOS_AUX!$A$3:$H$813,6,0),0)</f>
        <v>0</v>
      </c>
      <c r="G348" s="149" t="n">
        <f aca="false">IF(C348="M.O.",VLOOKUP(A348,INSUMOS_AUX!A:F,6,0),0)</f>
        <v>11.87</v>
      </c>
    </row>
    <row r="349" customFormat="false" ht="15" hidden="false" customHeight="false" outlineLevel="0" collapsed="false">
      <c r="A349" s="154" t="n">
        <v>4253</v>
      </c>
      <c r="B349" s="155" t="s">
        <v>1559</v>
      </c>
      <c r="C349" s="148" t="str">
        <f aca="false">VLOOKUP($A349,INSUMOS_AUX!$A$3:$H$813,3,0)</f>
        <v>M.O.</v>
      </c>
      <c r="D349" s="156" t="s">
        <v>1444</v>
      </c>
      <c r="E349" s="154" t="n">
        <v>1.23170627916</v>
      </c>
      <c r="F349" s="149" t="n">
        <f aca="false">IF(C349="MAT.",VLOOKUP(A349,INSUMOS_AUX!$A$3:$H$813,6,0),0)</f>
        <v>0</v>
      </c>
      <c r="G349" s="149" t="n">
        <f aca="false">IF(C349="M.O.",VLOOKUP(A349,INSUMOS_AUX!A:F,6,0),0)</f>
        <v>10.83</v>
      </c>
    </row>
    <row r="350" customFormat="false" ht="15" hidden="false" customHeight="false" outlineLevel="0" collapsed="false">
      <c r="A350" s="154" t="n">
        <v>4750</v>
      </c>
      <c r="B350" s="155" t="s">
        <v>1463</v>
      </c>
      <c r="C350" s="148" t="str">
        <f aca="false">VLOOKUP($A350,INSUMOS_AUX!$A$3:$H$813,3,0)</f>
        <v>M.O.</v>
      </c>
      <c r="D350" s="156" t="s">
        <v>1444</v>
      </c>
      <c r="E350" s="154" t="n">
        <v>19.0433376</v>
      </c>
      <c r="F350" s="149" t="n">
        <f aca="false">IF(C350="MAT.",VLOOKUP(A350,INSUMOS_AUX!$A$3:$H$813,6,0),0)</f>
        <v>0</v>
      </c>
      <c r="G350" s="149" t="n">
        <f aca="false">IF(C350="M.O.",VLOOKUP(A350,INSUMOS_AUX!A:F,6,0),0)</f>
        <v>20.22</v>
      </c>
    </row>
    <row r="351" customFormat="false" ht="15" hidden="false" customHeight="false" outlineLevel="0" collapsed="false">
      <c r="A351" s="154" t="n">
        <v>6111</v>
      </c>
      <c r="B351" s="155" t="s">
        <v>1464</v>
      </c>
      <c r="C351" s="148" t="str">
        <f aca="false">VLOOKUP($A351,INSUMOS_AUX!$A$3:$H$813,3,0)</f>
        <v>M.O.</v>
      </c>
      <c r="D351" s="156" t="s">
        <v>1444</v>
      </c>
      <c r="E351" s="154" t="n">
        <v>37.05642634</v>
      </c>
      <c r="F351" s="149" t="n">
        <f aca="false">IF(C351="MAT.",VLOOKUP(A351,INSUMOS_AUX!$A$3:$H$813,6,0),0)</f>
        <v>0</v>
      </c>
      <c r="G351" s="149" t="n">
        <f aca="false">IF(C351="M.O.",VLOOKUP(A351,INSUMOS_AUX!A:F,6,0),0)</f>
        <v>12.95</v>
      </c>
    </row>
    <row r="352" customFormat="false" ht="15" hidden="false" customHeight="false" outlineLevel="0" collapsed="false">
      <c r="A352" s="154" t="n">
        <v>12869</v>
      </c>
      <c r="B352" s="155" t="s">
        <v>1488</v>
      </c>
      <c r="C352" s="148" t="str">
        <f aca="false">VLOOKUP($A352,INSUMOS_AUX!$A$3:$H$813,3,0)</f>
        <v>M.O.</v>
      </c>
      <c r="D352" s="156" t="s">
        <v>1444</v>
      </c>
      <c r="E352" s="154" t="n">
        <v>6.156030132</v>
      </c>
      <c r="F352" s="149" t="n">
        <f aca="false">IF(C352="MAT.",VLOOKUP(A352,INSUMOS_AUX!$A$3:$H$813,6,0),0)</f>
        <v>0</v>
      </c>
      <c r="G352" s="149" t="n">
        <f aca="false">IF(C352="M.O.",VLOOKUP(A352,INSUMOS_AUX!A:F,6,0),0)</f>
        <v>19.98</v>
      </c>
    </row>
    <row r="353" customFormat="false" ht="42" hidden="false" customHeight="false" outlineLevel="0" collapsed="false">
      <c r="A353" s="150" t="s">
        <v>101</v>
      </c>
      <c r="B353" s="151" t="s">
        <v>1560</v>
      </c>
      <c r="C353" s="152" t="s">
        <v>59</v>
      </c>
      <c r="D353" s="152" t="s">
        <v>1477</v>
      </c>
      <c r="E353" s="150"/>
      <c r="F353" s="153" t="n">
        <f aca="false">(SUMPRODUCT($E354:$E406,F354:F406))*1</f>
        <v>281.727486793992</v>
      </c>
      <c r="G353" s="153" t="n">
        <f aca="false">(SUMPRODUCT($E354:$E406,G354:G406))*1</f>
        <v>47.5754843009613</v>
      </c>
    </row>
    <row r="354" customFormat="false" ht="21" hidden="false" customHeight="false" outlineLevel="0" collapsed="false">
      <c r="A354" s="154" t="n">
        <v>37370</v>
      </c>
      <c r="B354" s="155" t="s">
        <v>1443</v>
      </c>
      <c r="C354" s="148" t="str">
        <f aca="false">VLOOKUP($A354,INSUMOS_AUX!$A$3:$H$813,3,0)</f>
        <v>MAT.</v>
      </c>
      <c r="D354" s="156" t="s">
        <v>1444</v>
      </c>
      <c r="E354" s="154" t="n">
        <v>2.637189</v>
      </c>
      <c r="F354" s="149" t="n">
        <f aca="false">IF(C354="MAT.",VLOOKUP(A354,INSUMOS_AUX!$A$3:$H$813,6,0),0)</f>
        <v>3.32</v>
      </c>
      <c r="G354" s="149" t="n">
        <f aca="false">IF(C354="M.O.",VLOOKUP(A354,INSUMOS_AUX!A:F,6,0),0)</f>
        <v>0</v>
      </c>
    </row>
    <row r="355" customFormat="false" ht="21" hidden="false" customHeight="false" outlineLevel="0" collapsed="false">
      <c r="A355" s="154" t="n">
        <v>43483</v>
      </c>
      <c r="B355" s="155" t="s">
        <v>1486</v>
      </c>
      <c r="C355" s="148" t="str">
        <f aca="false">VLOOKUP($A355,INSUMOS_AUX!$A$3:$H$813,3,0)</f>
        <v>MAT.</v>
      </c>
      <c r="D355" s="156" t="s">
        <v>1444</v>
      </c>
      <c r="E355" s="154" t="n">
        <v>1.81436</v>
      </c>
      <c r="F355" s="149" t="n">
        <f aca="false">IF(C355="MAT.",VLOOKUP(A355,INSUMOS_AUX!$A$3:$H$813,6,0),0)</f>
        <v>1.43</v>
      </c>
      <c r="G355" s="149" t="n">
        <f aca="false">IF(C355="M.O.",VLOOKUP(A355,INSUMOS_AUX!A:F,6,0),0)</f>
        <v>0</v>
      </c>
    </row>
    <row r="356" customFormat="false" ht="21" hidden="false" customHeight="false" outlineLevel="0" collapsed="false">
      <c r="A356" s="154" t="n">
        <v>43488</v>
      </c>
      <c r="B356" s="155" t="s">
        <v>1445</v>
      </c>
      <c r="C356" s="148" t="str">
        <f aca="false">VLOOKUP($A356,INSUMOS_AUX!$A$3:$H$813,3,0)</f>
        <v>MAT.</v>
      </c>
      <c r="D356" s="156" t="s">
        <v>1444</v>
      </c>
      <c r="E356" s="154" t="n">
        <v>0.031709</v>
      </c>
      <c r="F356" s="149" t="n">
        <f aca="false">IF(C356="MAT.",VLOOKUP(A356,INSUMOS_AUX!$A$3:$H$813,6,0),0)</f>
        <v>0.89</v>
      </c>
      <c r="G356" s="149" t="n">
        <f aca="false">IF(C356="M.O.",VLOOKUP(A356,INSUMOS_AUX!A:F,6,0),0)</f>
        <v>0</v>
      </c>
    </row>
    <row r="357" customFormat="false" ht="21" hidden="false" customHeight="false" outlineLevel="0" collapsed="false">
      <c r="A357" s="154" t="n">
        <v>43489</v>
      </c>
      <c r="B357" s="155" t="s">
        <v>1456</v>
      </c>
      <c r="C357" s="148" t="str">
        <f aca="false">VLOOKUP($A357,INSUMOS_AUX!$A$3:$H$813,3,0)</f>
        <v>MAT.</v>
      </c>
      <c r="D357" s="156" t="s">
        <v>1444</v>
      </c>
      <c r="E357" s="154" t="n">
        <v>0.38707</v>
      </c>
      <c r="F357" s="149" t="n">
        <f aca="false">IF(C357="MAT.",VLOOKUP(A357,INSUMOS_AUX!$A$3:$H$813,6,0),0)</f>
        <v>1.31</v>
      </c>
      <c r="G357" s="149" t="n">
        <f aca="false">IF(C357="M.O.",VLOOKUP(A357,INSUMOS_AUX!A:F,6,0),0)</f>
        <v>0</v>
      </c>
    </row>
    <row r="358" customFormat="false" ht="21" hidden="false" customHeight="false" outlineLevel="0" collapsed="false">
      <c r="A358" s="154" t="n">
        <v>43491</v>
      </c>
      <c r="B358" s="155" t="s">
        <v>1457</v>
      </c>
      <c r="C358" s="148" t="str">
        <f aca="false">VLOOKUP($A358,INSUMOS_AUX!$A$3:$H$813,3,0)</f>
        <v>MAT.</v>
      </c>
      <c r="D358" s="156" t="s">
        <v>1444</v>
      </c>
      <c r="E358" s="154" t="n">
        <v>0.40405</v>
      </c>
      <c r="F358" s="149" t="n">
        <f aca="false">IF(C358="MAT.",VLOOKUP(A358,INSUMOS_AUX!$A$3:$H$813,6,0),0)</f>
        <v>1.39</v>
      </c>
      <c r="G358" s="149" t="n">
        <f aca="false">IF(C358="M.O.",VLOOKUP(A358,INSUMOS_AUX!A:F,6,0),0)</f>
        <v>0</v>
      </c>
    </row>
    <row r="359" customFormat="false" ht="21" hidden="false" customHeight="false" outlineLevel="0" collapsed="false">
      <c r="A359" s="154" t="n">
        <v>37372</v>
      </c>
      <c r="B359" s="155" t="s">
        <v>1446</v>
      </c>
      <c r="C359" s="148" t="str">
        <f aca="false">VLOOKUP($A359,INSUMOS_AUX!$A$3:$H$813,3,0)</f>
        <v>MAT.</v>
      </c>
      <c r="D359" s="156" t="s">
        <v>1444</v>
      </c>
      <c r="E359" s="154" t="n">
        <v>2.637189</v>
      </c>
      <c r="F359" s="149" t="n">
        <f aca="false">IF(C359="MAT.",VLOOKUP(A359,INSUMOS_AUX!$A$3:$H$813,6,0),0)</f>
        <v>1.43</v>
      </c>
      <c r="G359" s="149" t="n">
        <f aca="false">IF(C359="M.O.",VLOOKUP(A359,INSUMOS_AUX!A:F,6,0),0)</f>
        <v>0</v>
      </c>
    </row>
    <row r="360" customFormat="false" ht="21" hidden="false" customHeight="false" outlineLevel="0" collapsed="false">
      <c r="A360" s="154" t="n">
        <v>43459</v>
      </c>
      <c r="B360" s="155" t="s">
        <v>1487</v>
      </c>
      <c r="C360" s="148" t="str">
        <f aca="false">VLOOKUP($A360,INSUMOS_AUX!$A$3:$H$813,3,0)</f>
        <v>MAT.</v>
      </c>
      <c r="D360" s="156" t="s">
        <v>1444</v>
      </c>
      <c r="E360" s="154" t="n">
        <v>1.81436</v>
      </c>
      <c r="F360" s="149" t="n">
        <f aca="false">IF(C360="MAT.",VLOOKUP(A360,INSUMOS_AUX!$A$3:$H$813,6,0),0)</f>
        <v>0.44</v>
      </c>
      <c r="G360" s="149" t="n">
        <f aca="false">IF(C360="M.O.",VLOOKUP(A360,INSUMOS_AUX!A:F,6,0),0)</f>
        <v>0</v>
      </c>
    </row>
    <row r="361" customFormat="false" ht="21" hidden="false" customHeight="false" outlineLevel="0" collapsed="false">
      <c r="A361" s="154" t="n">
        <v>43464</v>
      </c>
      <c r="B361" s="155" t="s">
        <v>1447</v>
      </c>
      <c r="C361" s="148" t="s">
        <v>59</v>
      </c>
      <c r="D361" s="156" t="s">
        <v>1444</v>
      </c>
      <c r="E361" s="154" t="n">
        <v>0.031709</v>
      </c>
      <c r="F361" s="149" t="n">
        <f aca="false">IF(C361="MAT.",VLOOKUP(A361,INSUMOS_AUX!$A$3:$H$813,6,0),0)</f>
        <v>0</v>
      </c>
      <c r="G361" s="149" t="n">
        <f aca="false">IF(C361="M.O.",VLOOKUP(A361,INSUMOS_AUX!A:F,6,0),0)</f>
        <v>0</v>
      </c>
    </row>
    <row r="362" customFormat="false" ht="21" hidden="false" customHeight="false" outlineLevel="0" collapsed="false">
      <c r="A362" s="154" t="n">
        <v>43465</v>
      </c>
      <c r="B362" s="155" t="s">
        <v>1458</v>
      </c>
      <c r="C362" s="148" t="str">
        <f aca="false">VLOOKUP($A362,INSUMOS_AUX!$A$3:$H$813,3,0)</f>
        <v>MAT.</v>
      </c>
      <c r="D362" s="156" t="s">
        <v>1444</v>
      </c>
      <c r="E362" s="154" t="n">
        <v>0.38707</v>
      </c>
      <c r="F362" s="149" t="n">
        <f aca="false">IF(C362="MAT.",VLOOKUP(A362,INSUMOS_AUX!$A$3:$H$813,6,0),0)</f>
        <v>0.78</v>
      </c>
      <c r="G362" s="149" t="n">
        <f aca="false">IF(C362="M.O.",VLOOKUP(A362,INSUMOS_AUX!A:F,6,0),0)</f>
        <v>0</v>
      </c>
    </row>
    <row r="363" customFormat="false" ht="21" hidden="false" customHeight="false" outlineLevel="0" collapsed="false">
      <c r="A363" s="154" t="n">
        <v>43467</v>
      </c>
      <c r="B363" s="155" t="s">
        <v>1459</v>
      </c>
      <c r="C363" s="148" t="str">
        <f aca="false">VLOOKUP($A363,INSUMOS_AUX!$A$3:$H$813,3,0)</f>
        <v>MAT.</v>
      </c>
      <c r="D363" s="156" t="s">
        <v>1444</v>
      </c>
      <c r="E363" s="154" t="n">
        <v>0.40405</v>
      </c>
      <c r="F363" s="149" t="n">
        <f aca="false">IF(C363="MAT.",VLOOKUP(A363,INSUMOS_AUX!$A$3:$H$813,6,0),0)</f>
        <v>0.61</v>
      </c>
      <c r="G363" s="149" t="n">
        <f aca="false">IF(C363="M.O.",VLOOKUP(A363,INSUMOS_AUX!A:F,6,0),0)</f>
        <v>0</v>
      </c>
    </row>
    <row r="364" customFormat="false" ht="21" hidden="false" customHeight="false" outlineLevel="0" collapsed="false">
      <c r="A364" s="154" t="n">
        <v>37373</v>
      </c>
      <c r="B364" s="155" t="s">
        <v>1448</v>
      </c>
      <c r="C364" s="148" t="str">
        <f aca="false">VLOOKUP($A364,INSUMOS_AUX!$A$3:$H$813,3,0)</f>
        <v>MAT.</v>
      </c>
      <c r="D364" s="156" t="s">
        <v>1444</v>
      </c>
      <c r="E364" s="154" t="n">
        <v>2.637189</v>
      </c>
      <c r="F364" s="149" t="n">
        <f aca="false">IF(C364="MAT.",VLOOKUP(A364,INSUMOS_AUX!$A$3:$H$813,6,0),0)</f>
        <v>0.08</v>
      </c>
      <c r="G364" s="149" t="n">
        <f aca="false">IF(C364="M.O.",VLOOKUP(A364,INSUMOS_AUX!A:F,6,0),0)</f>
        <v>0</v>
      </c>
    </row>
    <row r="365" customFormat="false" ht="21" hidden="false" customHeight="false" outlineLevel="0" collapsed="false">
      <c r="A365" s="154" t="n">
        <v>37371</v>
      </c>
      <c r="B365" s="155" t="s">
        <v>1449</v>
      </c>
      <c r="C365" s="148" t="str">
        <f aca="false">VLOOKUP($A365,INSUMOS_AUX!$A$3:$H$813,3,0)</f>
        <v>MAT.</v>
      </c>
      <c r="D365" s="156" t="s">
        <v>1444</v>
      </c>
      <c r="E365" s="154" t="n">
        <v>2.637189</v>
      </c>
      <c r="F365" s="149" t="n">
        <f aca="false">IF(C365="MAT.",VLOOKUP(A365,INSUMOS_AUX!$A$3:$H$813,6,0),0)</f>
        <v>0.59</v>
      </c>
      <c r="G365" s="149" t="n">
        <f aca="false">IF(C365="M.O.",VLOOKUP(A365,INSUMOS_AUX!A:F,6,0),0)</f>
        <v>0</v>
      </c>
    </row>
    <row r="366" customFormat="false" ht="42" hidden="false" customHeight="false" outlineLevel="0" collapsed="false">
      <c r="A366" s="154" t="n">
        <v>11281</v>
      </c>
      <c r="B366" s="155" t="s">
        <v>1561</v>
      </c>
      <c r="C366" s="148" t="str">
        <f aca="false">VLOOKUP($A366,INSUMOS_AUX!$A$3:$H$813,3,0)</f>
        <v>MAT.</v>
      </c>
      <c r="D366" s="156" t="s">
        <v>31</v>
      </c>
      <c r="E366" s="154" t="n">
        <v>6.1967E-006</v>
      </c>
      <c r="F366" s="149" t="n">
        <f aca="false">IF(C366="MAT.",VLOOKUP(A366,INSUMOS_AUX!$A$3:$H$813,6,0),0)</f>
        <v>12782.95</v>
      </c>
      <c r="G366" s="149" t="n">
        <f aca="false">IF(C366="M.O.",VLOOKUP(A366,INSUMOS_AUX!A:F,6,0),0)</f>
        <v>0</v>
      </c>
    </row>
    <row r="367" customFormat="false" ht="42" hidden="false" customHeight="false" outlineLevel="0" collapsed="false">
      <c r="A367" s="154" t="n">
        <v>1442</v>
      </c>
      <c r="B367" s="155" t="s">
        <v>1562</v>
      </c>
      <c r="C367" s="148" t="str">
        <f aca="false">VLOOKUP($A367,INSUMOS_AUX!$A$3:$H$813,3,0)</f>
        <v>MAT.</v>
      </c>
      <c r="D367" s="156" t="s">
        <v>31</v>
      </c>
      <c r="E367" s="154" t="n">
        <v>1.30406E-006</v>
      </c>
      <c r="F367" s="149" t="n">
        <f aca="false">IF(C367="MAT.",VLOOKUP(A367,INSUMOS_AUX!$A$3:$H$813,6,0),0)</f>
        <v>10731.19</v>
      </c>
      <c r="G367" s="149" t="n">
        <f aca="false">IF(C367="M.O.",VLOOKUP(A367,INSUMOS_AUX!A:F,6,0),0)</f>
        <v>0</v>
      </c>
    </row>
    <row r="368" customFormat="false" ht="21" hidden="false" customHeight="false" outlineLevel="0" collapsed="false">
      <c r="A368" s="154" t="n">
        <v>36487</v>
      </c>
      <c r="B368" s="155" t="s">
        <v>1526</v>
      </c>
      <c r="C368" s="148" t="str">
        <f aca="false">VLOOKUP($A368,INSUMOS_AUX!$A$3:$H$813,3,0)</f>
        <v>MAT.</v>
      </c>
      <c r="D368" s="156" t="s">
        <v>31</v>
      </c>
      <c r="E368" s="154" t="n">
        <v>2.45368E-006</v>
      </c>
      <c r="F368" s="149" t="n">
        <f aca="false">IF(C368="MAT.",VLOOKUP(A368,INSUMOS_AUX!$A$3:$H$813,6,0),0)</f>
        <v>6017.74</v>
      </c>
      <c r="G368" s="149" t="n">
        <f aca="false">IF(C368="M.O.",VLOOKUP(A368,INSUMOS_AUX!A:F,6,0),0)</f>
        <v>0</v>
      </c>
    </row>
    <row r="369" customFormat="false" ht="21" hidden="false" customHeight="false" outlineLevel="0" collapsed="false">
      <c r="A369" s="154" t="n">
        <v>44474</v>
      </c>
      <c r="B369" s="155" t="s">
        <v>1563</v>
      </c>
      <c r="C369" s="148" t="str">
        <f aca="false">VLOOKUP($A369,INSUMOS_AUX!$A$3:$H$813,3,0)</f>
        <v>MAT.</v>
      </c>
      <c r="D369" s="156" t="s">
        <v>31</v>
      </c>
      <c r="E369" s="154" t="n">
        <v>7.034739E-007</v>
      </c>
      <c r="F369" s="149" t="n">
        <f aca="false">IF(C369="MAT.",VLOOKUP(A369,INSUMOS_AUX!$A$3:$H$813,6,0),0)</f>
        <v>2485831.6</v>
      </c>
      <c r="G369" s="149" t="n">
        <f aca="false">IF(C369="M.O.",VLOOKUP(A369,INSUMOS_AUX!A:F,6,0),0)</f>
        <v>0</v>
      </c>
    </row>
    <row r="370" customFormat="false" ht="21" hidden="false" customHeight="false" outlineLevel="0" collapsed="false">
      <c r="A370" s="154" t="n">
        <v>13896</v>
      </c>
      <c r="B370" s="155" t="s">
        <v>1564</v>
      </c>
      <c r="C370" s="148" t="str">
        <f aca="false">VLOOKUP($A370,INSUMOS_AUX!$A$3:$H$813,3,0)</f>
        <v>MAT.</v>
      </c>
      <c r="D370" s="156" t="s">
        <v>31</v>
      </c>
      <c r="E370" s="154" t="n">
        <v>3.20628E-006</v>
      </c>
      <c r="F370" s="149" t="n">
        <f aca="false">IF(C370="MAT.",VLOOKUP(A370,INSUMOS_AUX!$A$3:$H$813,6,0),0)</f>
        <v>3390.99</v>
      </c>
      <c r="G370" s="149" t="n">
        <f aca="false">IF(C370="M.O.",VLOOKUP(A370,INSUMOS_AUX!A:F,6,0),0)</f>
        <v>0</v>
      </c>
    </row>
    <row r="371" customFormat="false" ht="15" hidden="false" customHeight="false" outlineLevel="0" collapsed="false">
      <c r="A371" s="154" t="n">
        <v>2705</v>
      </c>
      <c r="B371" s="155" t="s">
        <v>1467</v>
      </c>
      <c r="C371" s="148" t="str">
        <f aca="false">VLOOKUP($A371,INSUMOS_AUX!$A$3:$H$813,3,0)</f>
        <v>MAT.</v>
      </c>
      <c r="D371" s="156" t="s">
        <v>1468</v>
      </c>
      <c r="E371" s="154" t="n">
        <v>0.056043</v>
      </c>
      <c r="F371" s="149" t="n">
        <f aca="false">IF(C371="MAT.",VLOOKUP(A371,INSUMOS_AUX!$A$3:$H$813,6,0),0)</f>
        <v>0.92</v>
      </c>
      <c r="G371" s="149" t="n">
        <f aca="false">IF(C371="M.O.",VLOOKUP(A371,INSUMOS_AUX!A:F,6,0),0)</f>
        <v>0</v>
      </c>
    </row>
    <row r="372" customFormat="false" ht="21" hidden="false" customHeight="false" outlineLevel="0" collapsed="false">
      <c r="A372" s="154" t="n">
        <v>43132</v>
      </c>
      <c r="B372" s="155" t="s">
        <v>1565</v>
      </c>
      <c r="C372" s="148" t="str">
        <f aca="false">VLOOKUP($A372,INSUMOS_AUX!$A$3:$H$813,3,0)</f>
        <v>MAT.</v>
      </c>
      <c r="D372" s="156" t="s">
        <v>1513</v>
      </c>
      <c r="E372" s="154" t="n">
        <v>0.03421</v>
      </c>
      <c r="F372" s="149" t="n">
        <f aca="false">IF(C372="MAT.",VLOOKUP(A372,INSUMOS_AUX!$A$3:$H$813,6,0),0)</f>
        <v>28</v>
      </c>
      <c r="G372" s="149" t="n">
        <f aca="false">IF(C372="M.O.",VLOOKUP(A372,INSUMOS_AUX!A:F,6,0),0)</f>
        <v>0</v>
      </c>
    </row>
    <row r="373" customFormat="false" ht="31.5" hidden="false" customHeight="false" outlineLevel="0" collapsed="false">
      <c r="A373" s="154" t="n">
        <v>4400</v>
      </c>
      <c r="B373" s="155" t="s">
        <v>1566</v>
      </c>
      <c r="C373" s="148" t="str">
        <f aca="false">VLOOKUP($A373,INSUMOS_AUX!$A$3:$H$813,3,0)</f>
        <v>MAT.</v>
      </c>
      <c r="D373" s="156" t="s">
        <v>1455</v>
      </c>
      <c r="E373" s="154" t="n">
        <v>0.225</v>
      </c>
      <c r="F373" s="149" t="n">
        <f aca="false">IF(C373="MAT.",VLOOKUP(A373,INSUMOS_AUX!$A$3:$H$813,6,0),0)</f>
        <v>17.5</v>
      </c>
      <c r="G373" s="149" t="n">
        <f aca="false">IF(C373="M.O.",VLOOKUP(A373,INSUMOS_AUX!A:F,6,0),0)</f>
        <v>0</v>
      </c>
    </row>
    <row r="374" customFormat="false" ht="31.5" hidden="false" customHeight="false" outlineLevel="0" collapsed="false">
      <c r="A374" s="154" t="n">
        <v>40623</v>
      </c>
      <c r="B374" s="155" t="s">
        <v>1567</v>
      </c>
      <c r="C374" s="148" t="str">
        <f aca="false">VLOOKUP($A374,INSUMOS_AUX!$A$3:$H$813,3,0)</f>
        <v>MAT.</v>
      </c>
      <c r="D374" s="156" t="s">
        <v>1568</v>
      </c>
      <c r="E374" s="154" t="n">
        <v>0.06</v>
      </c>
      <c r="F374" s="149" t="n">
        <f aca="false">IF(C374="MAT.",VLOOKUP(A374,INSUMOS_AUX!$A$3:$H$813,6,0),0)</f>
        <v>91.69</v>
      </c>
      <c r="G374" s="149" t="n">
        <f aca="false">IF(C374="M.O.",VLOOKUP(A374,INSUMOS_AUX!A:F,6,0),0)</f>
        <v>0</v>
      </c>
    </row>
    <row r="375" customFormat="false" ht="31.5" hidden="false" customHeight="false" outlineLevel="0" collapsed="false">
      <c r="A375" s="154" t="n">
        <v>1525</v>
      </c>
      <c r="B375" s="155" t="s">
        <v>1569</v>
      </c>
      <c r="C375" s="148" t="str">
        <f aca="false">VLOOKUP($A375,INSUMOS_AUX!$A$3:$H$813,3,0)</f>
        <v>MAT.</v>
      </c>
      <c r="D375" s="156" t="s">
        <v>1442</v>
      </c>
      <c r="E375" s="154" t="n">
        <v>0.159</v>
      </c>
      <c r="F375" s="149" t="n">
        <f aca="false">IF(C375="MAT.",VLOOKUP(A375,INSUMOS_AUX!$A$3:$H$813,6,0),0)</f>
        <v>668.21</v>
      </c>
      <c r="G375" s="149" t="n">
        <f aca="false">IF(C375="M.O.",VLOOKUP(A375,INSUMOS_AUX!A:F,6,0),0)</f>
        <v>0</v>
      </c>
    </row>
    <row r="376" customFormat="false" ht="21" hidden="false" customHeight="false" outlineLevel="0" collapsed="false">
      <c r="A376" s="154" t="n">
        <v>1607</v>
      </c>
      <c r="B376" s="155" t="s">
        <v>1537</v>
      </c>
      <c r="C376" s="148" t="str">
        <f aca="false">VLOOKUP($A376,INSUMOS_AUX!$A$3:$H$813,3,0)</f>
        <v>MAT.</v>
      </c>
      <c r="D376" s="156" t="s">
        <v>1538</v>
      </c>
      <c r="E376" s="154" t="n">
        <v>1.26</v>
      </c>
      <c r="F376" s="149" t="n">
        <f aca="false">IF(C376="MAT.",VLOOKUP(A376,INSUMOS_AUX!$A$3:$H$813,6,0),0)</f>
        <v>0.2</v>
      </c>
      <c r="G376" s="149" t="n">
        <f aca="false">IF(C376="M.O.",VLOOKUP(A376,INSUMOS_AUX!A:F,6,0),0)</f>
        <v>0</v>
      </c>
    </row>
    <row r="377" customFormat="false" ht="21" hidden="false" customHeight="false" outlineLevel="0" collapsed="false">
      <c r="A377" s="154" t="n">
        <v>2692</v>
      </c>
      <c r="B377" s="155" t="s">
        <v>1570</v>
      </c>
      <c r="C377" s="148" t="str">
        <f aca="false">VLOOKUP($A377,INSUMOS_AUX!$A$3:$H$813,3,0)</f>
        <v>MAT.</v>
      </c>
      <c r="D377" s="156" t="s">
        <v>1452</v>
      </c>
      <c r="E377" s="154" t="n">
        <v>0.0017</v>
      </c>
      <c r="F377" s="149" t="n">
        <f aca="false">IF(C377="MAT.",VLOOKUP(A377,INSUMOS_AUX!$A$3:$H$813,6,0),0)</f>
        <v>6.52</v>
      </c>
      <c r="G377" s="149" t="n">
        <f aca="false">IF(C377="M.O.",VLOOKUP(A377,INSUMOS_AUX!A:F,6,0),0)</f>
        <v>0</v>
      </c>
    </row>
    <row r="378" customFormat="false" ht="21" hidden="false" customHeight="false" outlineLevel="0" collapsed="false">
      <c r="A378" s="154" t="n">
        <v>21142</v>
      </c>
      <c r="B378" s="155" t="s">
        <v>1571</v>
      </c>
      <c r="C378" s="148" t="str">
        <f aca="false">VLOOKUP($A378,INSUMOS_AUX!$A$3:$H$813,3,0)</f>
        <v>MAT.</v>
      </c>
      <c r="D378" s="156" t="s">
        <v>31</v>
      </c>
      <c r="E378" s="154" t="n">
        <v>0.03</v>
      </c>
      <c r="F378" s="149" t="n">
        <f aca="false">IF(C378="MAT.",VLOOKUP(A378,INSUMOS_AUX!$A$3:$H$813,6,0),0)</f>
        <v>25.92</v>
      </c>
      <c r="G378" s="149" t="n">
        <f aca="false">IF(C378="M.O.",VLOOKUP(A378,INSUMOS_AUX!A:F,6,0),0)</f>
        <v>0</v>
      </c>
    </row>
    <row r="379" customFormat="false" ht="15" hidden="false" customHeight="false" outlineLevel="0" collapsed="false">
      <c r="A379" s="154" t="n">
        <v>4222</v>
      </c>
      <c r="B379" s="155" t="s">
        <v>1572</v>
      </c>
      <c r="C379" s="148" t="str">
        <f aca="false">VLOOKUP($A379,INSUMOS_AUX!$A$3:$H$813,3,0)</f>
        <v>MAT.</v>
      </c>
      <c r="D379" s="156" t="s">
        <v>1452</v>
      </c>
      <c r="E379" s="154" t="n">
        <v>0.031308</v>
      </c>
      <c r="F379" s="149" t="n">
        <f aca="false">IF(C379="MAT.",VLOOKUP(A379,INSUMOS_AUX!$A$3:$H$813,6,0),0)</f>
        <v>6.4</v>
      </c>
      <c r="G379" s="149" t="n">
        <f aca="false">IF(C379="M.O.",VLOOKUP(A379,INSUMOS_AUX!A:F,6,0),0)</f>
        <v>0</v>
      </c>
    </row>
    <row r="380" customFormat="false" ht="15" hidden="false" customHeight="false" outlineLevel="0" collapsed="false">
      <c r="A380" s="154" t="n">
        <v>42408</v>
      </c>
      <c r="B380" s="155" t="s">
        <v>1573</v>
      </c>
      <c r="C380" s="148" t="str">
        <f aca="false">VLOOKUP($A380,INSUMOS_AUX!$A$3:$H$813,3,0)</f>
        <v>MAT.</v>
      </c>
      <c r="D380" s="156" t="s">
        <v>1477</v>
      </c>
      <c r="E380" s="154" t="n">
        <v>1.04</v>
      </c>
      <c r="F380" s="149" t="n">
        <f aca="false">IF(C380="MAT.",VLOOKUP(A380,INSUMOS_AUX!$A$3:$H$813,6,0),0)</f>
        <v>1.65</v>
      </c>
      <c r="G380" s="149" t="n">
        <f aca="false">IF(C380="M.O.",VLOOKUP(A380,INSUMOS_AUX!A:F,6,0),0)</f>
        <v>0</v>
      </c>
    </row>
    <row r="381" customFormat="false" ht="31.5" hidden="false" customHeight="false" outlineLevel="0" collapsed="false">
      <c r="A381" s="154" t="n">
        <v>4344</v>
      </c>
      <c r="B381" s="155" t="s">
        <v>1574</v>
      </c>
      <c r="C381" s="148" t="str">
        <f aca="false">VLOOKUP($A381,INSUMOS_AUX!$A$3:$H$813,3,0)</f>
        <v>MAT.</v>
      </c>
      <c r="D381" s="156" t="s">
        <v>31</v>
      </c>
      <c r="E381" s="154" t="n">
        <v>0.24</v>
      </c>
      <c r="F381" s="149" t="n">
        <f aca="false">IF(C381="MAT.",VLOOKUP(A381,INSUMOS_AUX!$A$3:$H$813,6,0),0)</f>
        <v>22.74</v>
      </c>
      <c r="G381" s="149" t="n">
        <f aca="false">IF(C381="M.O.",VLOOKUP(A381,INSUMOS_AUX!A:F,6,0),0)</f>
        <v>0</v>
      </c>
    </row>
    <row r="382" customFormat="false" ht="21" hidden="false" customHeight="false" outlineLevel="0" collapsed="false">
      <c r="A382" s="154" t="n">
        <v>4302</v>
      </c>
      <c r="B382" s="155" t="s">
        <v>1545</v>
      </c>
      <c r="C382" s="148" t="str">
        <f aca="false">VLOOKUP($A382,INSUMOS_AUX!$A$3:$H$813,3,0)</f>
        <v>MAT.</v>
      </c>
      <c r="D382" s="156" t="s">
        <v>31</v>
      </c>
      <c r="E382" s="154" t="n">
        <v>1.26</v>
      </c>
      <c r="F382" s="149" t="n">
        <f aca="false">IF(C382="MAT.",VLOOKUP(A382,INSUMOS_AUX!$A$3:$H$813,6,0),0)</f>
        <v>3.14</v>
      </c>
      <c r="G382" s="149" t="n">
        <f aca="false">IF(C382="M.O.",VLOOKUP(A382,INSUMOS_AUX!A:F,6,0),0)</f>
        <v>0</v>
      </c>
    </row>
    <row r="383" customFormat="false" ht="21" hidden="false" customHeight="false" outlineLevel="0" collapsed="false">
      <c r="A383" s="154" t="n">
        <v>40552</v>
      </c>
      <c r="B383" s="155" t="s">
        <v>1575</v>
      </c>
      <c r="C383" s="148" t="str">
        <f aca="false">VLOOKUP($A383,INSUMOS_AUX!$A$3:$H$813,3,0)</f>
        <v>MAT.</v>
      </c>
      <c r="D383" s="156" t="s">
        <v>1576</v>
      </c>
      <c r="E383" s="154" t="n">
        <v>0.0012</v>
      </c>
      <c r="F383" s="149" t="n">
        <f aca="false">IF(C383="MAT.",VLOOKUP(A383,INSUMOS_AUX!$A$3:$H$813,6,0),0)</f>
        <v>51.94</v>
      </c>
      <c r="G383" s="149" t="n">
        <f aca="false">IF(C383="M.O.",VLOOKUP(A383,INSUMOS_AUX!A:F,6,0),0)</f>
        <v>0</v>
      </c>
    </row>
    <row r="384" customFormat="false" ht="21" hidden="false" customHeight="false" outlineLevel="0" collapsed="false">
      <c r="A384" s="154" t="n">
        <v>4718</v>
      </c>
      <c r="B384" s="155" t="s">
        <v>1577</v>
      </c>
      <c r="C384" s="148" t="str">
        <f aca="false">VLOOKUP($A384,INSUMOS_AUX!$A$3:$H$813,3,0)</f>
        <v>MAT.</v>
      </c>
      <c r="D384" s="156" t="s">
        <v>1442</v>
      </c>
      <c r="E384" s="154" t="n">
        <v>0.119</v>
      </c>
      <c r="F384" s="149" t="n">
        <f aca="false">IF(C384="MAT.",VLOOKUP(A384,INSUMOS_AUX!$A$3:$H$813,6,0),0)</f>
        <v>116.31</v>
      </c>
      <c r="G384" s="149" t="n">
        <f aca="false">IF(C384="M.O.",VLOOKUP(A384,INSUMOS_AUX!A:F,6,0),0)</f>
        <v>0</v>
      </c>
    </row>
    <row r="385" customFormat="false" ht="21" hidden="false" customHeight="false" outlineLevel="0" collapsed="false">
      <c r="A385" s="154" t="n">
        <v>4491</v>
      </c>
      <c r="B385" s="155" t="s">
        <v>1578</v>
      </c>
      <c r="C385" s="148" t="str">
        <f aca="false">VLOOKUP($A385,INSUMOS_AUX!$A$3:$H$813,3,0)</f>
        <v>MAT.</v>
      </c>
      <c r="D385" s="156" t="s">
        <v>1455</v>
      </c>
      <c r="E385" s="154" t="n">
        <v>0.037</v>
      </c>
      <c r="F385" s="149" t="n">
        <f aca="false">IF(C385="MAT.",VLOOKUP(A385,INSUMOS_AUX!$A$3:$H$813,6,0),0)</f>
        <v>10.25</v>
      </c>
      <c r="G385" s="149" t="n">
        <f aca="false">IF(C385="M.O.",VLOOKUP(A385,INSUMOS_AUX!A:F,6,0),0)</f>
        <v>0</v>
      </c>
    </row>
    <row r="386" customFormat="false" ht="15" hidden="false" customHeight="false" outlineLevel="0" collapsed="false">
      <c r="A386" s="154" t="n">
        <v>5068</v>
      </c>
      <c r="B386" s="155" t="s">
        <v>1579</v>
      </c>
      <c r="C386" s="148" t="str">
        <f aca="false">VLOOKUP($A386,INSUMOS_AUX!$A$3:$H$813,3,0)</f>
        <v>MAT.</v>
      </c>
      <c r="D386" s="156" t="s">
        <v>1513</v>
      </c>
      <c r="E386" s="154" t="n">
        <v>0.0095</v>
      </c>
      <c r="F386" s="149" t="n">
        <f aca="false">IF(C386="MAT.",VLOOKUP(A386,INSUMOS_AUX!$A$3:$H$813,6,0),0)</f>
        <v>20.34</v>
      </c>
      <c r="G386" s="149" t="n">
        <f aca="false">IF(C386="M.O.",VLOOKUP(A386,INSUMOS_AUX!A:F,6,0),0)</f>
        <v>0</v>
      </c>
    </row>
    <row r="387" customFormat="false" ht="15" hidden="false" customHeight="false" outlineLevel="0" collapsed="false">
      <c r="A387" s="154" t="n">
        <v>5075</v>
      </c>
      <c r="B387" s="155" t="s">
        <v>1580</v>
      </c>
      <c r="C387" s="148" t="str">
        <f aca="false">VLOOKUP($A387,INSUMOS_AUX!$A$3:$H$813,3,0)</f>
        <v>MAT.</v>
      </c>
      <c r="D387" s="156" t="s">
        <v>1513</v>
      </c>
      <c r="E387" s="154" t="n">
        <v>0.03375</v>
      </c>
      <c r="F387" s="149" t="n">
        <f aca="false">IF(C387="MAT.",VLOOKUP(A387,INSUMOS_AUX!$A$3:$H$813,6,0),0)</f>
        <v>20.34</v>
      </c>
      <c r="G387" s="149" t="n">
        <f aca="false">IF(C387="M.O.",VLOOKUP(A387,INSUMOS_AUX!A:F,6,0),0)</f>
        <v>0</v>
      </c>
    </row>
    <row r="388" customFormat="false" ht="15" hidden="false" customHeight="false" outlineLevel="0" collapsed="false">
      <c r="A388" s="154" t="n">
        <v>39027</v>
      </c>
      <c r="B388" s="155" t="s">
        <v>1581</v>
      </c>
      <c r="C388" s="148" t="str">
        <f aca="false">VLOOKUP($A388,INSUMOS_AUX!$A$3:$H$813,3,0)</f>
        <v>MAT.</v>
      </c>
      <c r="D388" s="156" t="s">
        <v>1513</v>
      </c>
      <c r="E388" s="154" t="n">
        <v>0.06</v>
      </c>
      <c r="F388" s="149" t="n">
        <f aca="false">IF(C388="MAT.",VLOOKUP(A388,INSUMOS_AUX!$A$3:$H$813,6,0),0)</f>
        <v>20.32</v>
      </c>
      <c r="G388" s="149" t="n">
        <f aca="false">IF(C388="M.O.",VLOOKUP(A388,INSUMOS_AUX!A:F,6,0),0)</f>
        <v>0</v>
      </c>
    </row>
    <row r="389" customFormat="false" ht="15" hidden="false" customHeight="false" outlineLevel="0" collapsed="false">
      <c r="A389" s="154" t="n">
        <v>40568</v>
      </c>
      <c r="B389" s="155" t="s">
        <v>1548</v>
      </c>
      <c r="C389" s="148" t="str">
        <f aca="false">VLOOKUP($A389,INSUMOS_AUX!$A$3:$H$813,3,0)</f>
        <v>MAT.</v>
      </c>
      <c r="D389" s="156" t="s">
        <v>1513</v>
      </c>
      <c r="E389" s="154" t="n">
        <v>0.03</v>
      </c>
      <c r="F389" s="149" t="n">
        <f aca="false">IF(C389="MAT.",VLOOKUP(A389,INSUMOS_AUX!$A$3:$H$813,6,0),0)</f>
        <v>20.5</v>
      </c>
      <c r="G389" s="149" t="n">
        <f aca="false">IF(C389="M.O.",VLOOKUP(A389,INSUMOS_AUX!A:F,6,0),0)</f>
        <v>0</v>
      </c>
    </row>
    <row r="390" customFormat="false" ht="21" hidden="false" customHeight="false" outlineLevel="0" collapsed="false">
      <c r="A390" s="154" t="n">
        <v>4517</v>
      </c>
      <c r="B390" s="155" t="s">
        <v>1582</v>
      </c>
      <c r="C390" s="148" t="str">
        <f aca="false">VLOOKUP($A390,INSUMOS_AUX!$A$3:$H$813,3,0)</f>
        <v>MAT.</v>
      </c>
      <c r="D390" s="156" t="s">
        <v>1455</v>
      </c>
      <c r="E390" s="154" t="n">
        <v>0.044</v>
      </c>
      <c r="F390" s="149" t="n">
        <f aca="false">IF(C390="MAT.",VLOOKUP(A390,INSUMOS_AUX!$A$3:$H$813,6,0),0)</f>
        <v>3.58</v>
      </c>
      <c r="G390" s="149" t="n">
        <f aca="false">IF(C390="M.O.",VLOOKUP(A390,INSUMOS_AUX!A:F,6,0),0)</f>
        <v>0</v>
      </c>
    </row>
    <row r="391" customFormat="false" ht="31.5" hidden="false" customHeight="false" outlineLevel="0" collapsed="false">
      <c r="A391" s="154" t="n">
        <v>4415</v>
      </c>
      <c r="B391" s="155" t="s">
        <v>1583</v>
      </c>
      <c r="C391" s="148" t="str">
        <f aca="false">VLOOKUP($A391,INSUMOS_AUX!$A$3:$H$813,3,0)</f>
        <v>MAT.</v>
      </c>
      <c r="D391" s="156" t="s">
        <v>1455</v>
      </c>
      <c r="E391" s="154" t="n">
        <v>0.18</v>
      </c>
      <c r="F391" s="149" t="n">
        <f aca="false">IF(C391="MAT.",VLOOKUP(A391,INSUMOS_AUX!$A$3:$H$813,6,0),0)</f>
        <v>4.15</v>
      </c>
      <c r="G391" s="149" t="n">
        <f aca="false">IF(C391="M.O.",VLOOKUP(A391,INSUMOS_AUX!A:F,6,0),0)</f>
        <v>0</v>
      </c>
    </row>
    <row r="392" customFormat="false" ht="31.5" hidden="false" customHeight="false" outlineLevel="0" collapsed="false">
      <c r="A392" s="154" t="n">
        <v>6193</v>
      </c>
      <c r="B392" s="155" t="s">
        <v>1584</v>
      </c>
      <c r="C392" s="148" t="str">
        <f aca="false">VLOOKUP($A392,INSUMOS_AUX!$A$3:$H$813,3,0)</f>
        <v>MAT.</v>
      </c>
      <c r="D392" s="156" t="s">
        <v>1455</v>
      </c>
      <c r="E392" s="154" t="n">
        <v>0.228</v>
      </c>
      <c r="F392" s="149" t="n">
        <f aca="false">IF(C392="MAT.",VLOOKUP(A392,INSUMOS_AUX!$A$3:$H$813,6,0),0)</f>
        <v>15.54</v>
      </c>
      <c r="G392" s="149" t="n">
        <f aca="false">IF(C392="M.O.",VLOOKUP(A392,INSUMOS_AUX!A:F,6,0),0)</f>
        <v>0</v>
      </c>
    </row>
    <row r="393" customFormat="false" ht="31.5" hidden="false" customHeight="false" outlineLevel="0" collapsed="false">
      <c r="A393" s="154" t="n">
        <v>7156</v>
      </c>
      <c r="B393" s="155" t="s">
        <v>1585</v>
      </c>
      <c r="C393" s="148" t="str">
        <f aca="false">VLOOKUP($A393,INSUMOS_AUX!$A$3:$H$813,3,0)</f>
        <v>MAT.</v>
      </c>
      <c r="D393" s="156" t="s">
        <v>1477</v>
      </c>
      <c r="E393" s="154" t="n">
        <v>1.21912</v>
      </c>
      <c r="F393" s="149" t="n">
        <f aca="false">IF(C393="MAT.",VLOOKUP(A393,INSUMOS_AUX!$A$3:$H$813,6,0),0)</f>
        <v>24.44</v>
      </c>
      <c r="G393" s="149" t="n">
        <f aca="false">IF(C393="M.O.",VLOOKUP(A393,INSUMOS_AUX!A:F,6,0),0)</f>
        <v>0</v>
      </c>
    </row>
    <row r="394" customFormat="false" ht="21" hidden="false" customHeight="false" outlineLevel="0" collapsed="false">
      <c r="A394" s="154" t="n">
        <v>7194</v>
      </c>
      <c r="B394" s="155" t="s">
        <v>1550</v>
      </c>
      <c r="C394" s="148" t="str">
        <f aca="false">VLOOKUP($A394,INSUMOS_AUX!$A$3:$H$813,3,0)</f>
        <v>MAT.</v>
      </c>
      <c r="D394" s="156" t="s">
        <v>1477</v>
      </c>
      <c r="E394" s="154" t="n">
        <v>1.357</v>
      </c>
      <c r="F394" s="149" t="n">
        <f aca="false">IF(C394="MAT.",VLOOKUP(A394,INSUMOS_AUX!$A$3:$H$813,6,0),0)</f>
        <v>28.91</v>
      </c>
      <c r="G394" s="149" t="n">
        <f aca="false">IF(C394="M.O.",VLOOKUP(A394,INSUMOS_AUX!A:F,6,0),0)</f>
        <v>0</v>
      </c>
    </row>
    <row r="395" customFormat="false" ht="31.5" hidden="false" customHeight="false" outlineLevel="0" collapsed="false">
      <c r="A395" s="154" t="n">
        <v>42407</v>
      </c>
      <c r="B395" s="155" t="s">
        <v>1586</v>
      </c>
      <c r="C395" s="148" t="str">
        <f aca="false">VLOOKUP($A395,INSUMOS_AUX!$A$3:$H$813,3,0)</f>
        <v>MAT.</v>
      </c>
      <c r="D395" s="156" t="s">
        <v>1455</v>
      </c>
      <c r="E395" s="154" t="n">
        <v>1.00142</v>
      </c>
      <c r="F395" s="149" t="n">
        <f aca="false">IF(C395="MAT.",VLOOKUP(A395,INSUMOS_AUX!$A$3:$H$813,6,0),0)</f>
        <v>5.57</v>
      </c>
      <c r="G395" s="149" t="n">
        <f aca="false">IF(C395="M.O.",VLOOKUP(A395,INSUMOS_AUX!A:F,6,0),0)</f>
        <v>0</v>
      </c>
    </row>
    <row r="396" customFormat="false" ht="31.5" hidden="false" customHeight="false" outlineLevel="0" collapsed="false">
      <c r="A396" s="154" t="n">
        <v>4425</v>
      </c>
      <c r="B396" s="155" t="s">
        <v>1553</v>
      </c>
      <c r="C396" s="148" t="str">
        <f aca="false">VLOOKUP($A396,INSUMOS_AUX!$A$3:$H$813,3,0)</f>
        <v>MAT.</v>
      </c>
      <c r="D396" s="156" t="s">
        <v>1455</v>
      </c>
      <c r="E396" s="154" t="n">
        <v>1.204</v>
      </c>
      <c r="F396" s="149" t="n">
        <f aca="false">IF(C396="MAT.",VLOOKUP(A396,INSUMOS_AUX!$A$3:$H$813,6,0),0)</f>
        <v>23.26</v>
      </c>
      <c r="G396" s="149" t="n">
        <f aca="false">IF(C396="M.O.",VLOOKUP(A396,INSUMOS_AUX!A:F,6,0),0)</f>
        <v>0</v>
      </c>
    </row>
    <row r="397" customFormat="false" ht="31.5" hidden="false" customHeight="false" outlineLevel="0" collapsed="false">
      <c r="A397" s="154" t="n">
        <v>4472</v>
      </c>
      <c r="B397" s="155" t="s">
        <v>1587</v>
      </c>
      <c r="C397" s="148" t="str">
        <f aca="false">VLOOKUP($A397,INSUMOS_AUX!$A$3:$H$813,3,0)</f>
        <v>MAT.</v>
      </c>
      <c r="D397" s="156" t="s">
        <v>1455</v>
      </c>
      <c r="E397" s="154" t="n">
        <v>0.255</v>
      </c>
      <c r="F397" s="149" t="n">
        <f aca="false">IF(C397="MAT.",VLOOKUP(A397,INSUMOS_AUX!$A$3:$H$813,6,0),0)</f>
        <v>29.06</v>
      </c>
      <c r="G397" s="149" t="n">
        <f aca="false">IF(C397="M.O.",VLOOKUP(A397,INSUMOS_AUX!A:F,6,0),0)</f>
        <v>0</v>
      </c>
    </row>
    <row r="398" customFormat="false" ht="15" hidden="false" customHeight="false" outlineLevel="0" collapsed="false">
      <c r="A398" s="154" t="n">
        <v>6114</v>
      </c>
      <c r="B398" s="155" t="s">
        <v>1588</v>
      </c>
      <c r="C398" s="148" t="str">
        <f aca="false">VLOOKUP($A398,INSUMOS_AUX!$A$3:$H$813,3,0)</f>
        <v>M.O.</v>
      </c>
      <c r="D398" s="156" t="s">
        <v>1444</v>
      </c>
      <c r="E398" s="154" t="n">
        <v>0.0251671152</v>
      </c>
      <c r="F398" s="149" t="n">
        <f aca="false">IF(C398="MAT.",VLOOKUP(A398,INSUMOS_AUX!$A$3:$H$813,6,0),0)</f>
        <v>0</v>
      </c>
      <c r="G398" s="149" t="n">
        <f aca="false">IF(C398="M.O.",VLOOKUP(A398,INSUMOS_AUX!A:F,6,0),0)</f>
        <v>13.26</v>
      </c>
    </row>
    <row r="399" customFormat="false" ht="15" hidden="false" customHeight="false" outlineLevel="0" collapsed="false">
      <c r="A399" s="154" t="n">
        <v>378</v>
      </c>
      <c r="B399" s="155" t="s">
        <v>1589</v>
      </c>
      <c r="C399" s="148" t="str">
        <f aca="false">VLOOKUP($A399,INSUMOS_AUX!$A$3:$H$813,3,0)</f>
        <v>M.O.</v>
      </c>
      <c r="D399" s="156" t="s">
        <v>1444</v>
      </c>
      <c r="E399" s="154" t="n">
        <v>0.0755013456</v>
      </c>
      <c r="F399" s="149" t="n">
        <f aca="false">IF(C399="MAT.",VLOOKUP(A399,INSUMOS_AUX!$A$3:$H$813,6,0),0)</f>
        <v>0</v>
      </c>
      <c r="G399" s="149" t="n">
        <f aca="false">IF(C399="M.O.",VLOOKUP(A399,INSUMOS_AUX!A:F,6,0),0)</f>
        <v>20.22</v>
      </c>
    </row>
    <row r="400" customFormat="false" ht="15" hidden="false" customHeight="false" outlineLevel="0" collapsed="false">
      <c r="A400" s="154" t="n">
        <v>6117</v>
      </c>
      <c r="B400" s="155" t="s">
        <v>1555</v>
      </c>
      <c r="C400" s="148" t="str">
        <f aca="false">VLOOKUP($A400,INSUMOS_AUX!$A$3:$H$813,3,0)</f>
        <v>M.O.</v>
      </c>
      <c r="D400" s="156" t="s">
        <v>1444</v>
      </c>
      <c r="E400" s="154" t="n">
        <v>0.4462610052</v>
      </c>
      <c r="F400" s="149" t="n">
        <f aca="false">IF(C400="MAT.",VLOOKUP(A400,INSUMOS_AUX!$A$3:$H$813,6,0),0)</f>
        <v>0</v>
      </c>
      <c r="G400" s="149" t="n">
        <f aca="false">IF(C400="M.O.",VLOOKUP(A400,INSUMOS_AUX!A:F,6,0),0)</f>
        <v>13.26</v>
      </c>
    </row>
    <row r="401" customFormat="false" ht="15" hidden="false" customHeight="false" outlineLevel="0" collapsed="false">
      <c r="A401" s="154" t="n">
        <v>1213</v>
      </c>
      <c r="B401" s="155" t="s">
        <v>1516</v>
      </c>
      <c r="C401" s="148" t="str">
        <f aca="false">VLOOKUP($A401,INSUMOS_AUX!$A$3:$H$813,3,0)</f>
        <v>M.O.</v>
      </c>
      <c r="D401" s="156" t="s">
        <v>1444</v>
      </c>
      <c r="E401" s="154" t="n">
        <v>1.2609756486</v>
      </c>
      <c r="F401" s="149" t="n">
        <f aca="false">IF(C401="MAT.",VLOOKUP(A401,INSUMOS_AUX!$A$3:$H$813,6,0),0)</f>
        <v>0</v>
      </c>
      <c r="G401" s="149" t="n">
        <f aca="false">IF(C401="M.O.",VLOOKUP(A401,INSUMOS_AUX!A:F,6,0),0)</f>
        <v>20.22</v>
      </c>
    </row>
    <row r="402" customFormat="false" ht="15" hidden="false" customHeight="false" outlineLevel="0" collapsed="false">
      <c r="A402" s="154" t="n">
        <v>4253</v>
      </c>
      <c r="B402" s="155" t="s">
        <v>1559</v>
      </c>
      <c r="C402" s="148" t="str">
        <f aca="false">VLOOKUP($A402,INSUMOS_AUX!$A$3:$H$813,3,0)</f>
        <v>M.O.</v>
      </c>
      <c r="D402" s="156" t="s">
        <v>1444</v>
      </c>
      <c r="E402" s="154" t="n">
        <v>0.023986332</v>
      </c>
      <c r="F402" s="149" t="n">
        <f aca="false">IF(C402="MAT.",VLOOKUP(A402,INSUMOS_AUX!$A$3:$H$813,6,0),0)</f>
        <v>0</v>
      </c>
      <c r="G402" s="149" t="n">
        <f aca="false">IF(C402="M.O.",VLOOKUP(A402,INSUMOS_AUX!A:F,6,0),0)</f>
        <v>10.83</v>
      </c>
    </row>
    <row r="403" customFormat="false" ht="15" hidden="false" customHeight="false" outlineLevel="0" collapsed="false">
      <c r="A403" s="154" t="n">
        <v>4254</v>
      </c>
      <c r="B403" s="155" t="s">
        <v>1590</v>
      </c>
      <c r="C403" s="148" t="str">
        <f aca="false">VLOOKUP($A403,INSUMOS_AUX!$A$3:$H$813,3,0)</f>
        <v>M.O.</v>
      </c>
      <c r="D403" s="156" t="s">
        <v>1444</v>
      </c>
      <c r="E403" s="154" t="n">
        <v>0.00824174433</v>
      </c>
      <c r="F403" s="149" t="n">
        <f aca="false">IF(C403="MAT.",VLOOKUP(A403,INSUMOS_AUX!$A$3:$H$813,6,0),0)</f>
        <v>0</v>
      </c>
      <c r="G403" s="149" t="n">
        <f aca="false">IF(C403="M.O.",VLOOKUP(A403,INSUMOS_AUX!A:F,6,0),0)</f>
        <v>21.01</v>
      </c>
    </row>
    <row r="404" customFormat="false" ht="15" hidden="false" customHeight="false" outlineLevel="0" collapsed="false">
      <c r="A404" s="154" t="n">
        <v>4750</v>
      </c>
      <c r="B404" s="155" t="s">
        <v>1463</v>
      </c>
      <c r="C404" s="148" t="str">
        <f aca="false">VLOOKUP($A404,INSUMOS_AUX!$A$3:$H$813,3,0)</f>
        <v>M.O.</v>
      </c>
      <c r="D404" s="156" t="s">
        <v>1444</v>
      </c>
      <c r="E404" s="154" t="n">
        <v>0.29364606</v>
      </c>
      <c r="F404" s="149" t="n">
        <f aca="false">IF(C404="MAT.",VLOOKUP(A404,INSUMOS_AUX!$A$3:$H$813,6,0),0)</f>
        <v>0</v>
      </c>
      <c r="G404" s="149" t="n">
        <f aca="false">IF(C404="M.O.",VLOOKUP(A404,INSUMOS_AUX!A:F,6,0),0)</f>
        <v>20.22</v>
      </c>
    </row>
    <row r="405" customFormat="false" ht="15" hidden="false" customHeight="false" outlineLevel="0" collapsed="false">
      <c r="A405" s="154" t="n">
        <v>6111</v>
      </c>
      <c r="B405" s="155" t="s">
        <v>1464</v>
      </c>
      <c r="C405" s="148" t="str">
        <f aca="false">VLOOKUP($A405,INSUMOS_AUX!$A$3:$H$813,3,0)</f>
        <v>M.O.</v>
      </c>
      <c r="D405" s="156" t="s">
        <v>1444</v>
      </c>
      <c r="E405" s="154" t="n">
        <v>0.41261586</v>
      </c>
      <c r="F405" s="149" t="n">
        <f aca="false">IF(C405="MAT.",VLOOKUP(A405,INSUMOS_AUX!$A$3:$H$813,6,0),0)</f>
        <v>0</v>
      </c>
      <c r="G405" s="149" t="n">
        <f aca="false">IF(C405="M.O.",VLOOKUP(A405,INSUMOS_AUX!A:F,6,0),0)</f>
        <v>12.95</v>
      </c>
    </row>
    <row r="406" customFormat="false" ht="15" hidden="false" customHeight="false" outlineLevel="0" collapsed="false">
      <c r="A406" s="154" t="n">
        <v>12869</v>
      </c>
      <c r="B406" s="155" t="s">
        <v>1488</v>
      </c>
      <c r="C406" s="148" t="str">
        <f aca="false">VLOOKUP($A406,INSUMOS_AUX!$A$3:$H$813,3,0)</f>
        <v>M.O.</v>
      </c>
      <c r="D406" s="156" t="s">
        <v>1444</v>
      </c>
      <c r="E406" s="154" t="n">
        <v>0.12947712</v>
      </c>
      <c r="F406" s="149" t="n">
        <f aca="false">IF(C406="MAT.",VLOOKUP(A406,INSUMOS_AUX!$A$3:$H$813,6,0),0)</f>
        <v>0</v>
      </c>
      <c r="G406" s="149" t="n">
        <f aca="false">IF(C406="M.O.",VLOOKUP(A406,INSUMOS_AUX!A:F,6,0),0)</f>
        <v>19.98</v>
      </c>
    </row>
    <row r="407" customFormat="false" ht="31.5" hidden="false" customHeight="false" outlineLevel="0" collapsed="false">
      <c r="A407" s="150" t="n">
        <v>99059</v>
      </c>
      <c r="B407" s="151" t="s">
        <v>1591</v>
      </c>
      <c r="C407" s="152" t="s">
        <v>59</v>
      </c>
      <c r="D407" s="152" t="s">
        <v>1455</v>
      </c>
      <c r="E407" s="150"/>
      <c r="F407" s="153" t="n">
        <f aca="false">(SUMPRODUCT($E408:$E431,F408:F431))*1</f>
        <v>35.15122296344</v>
      </c>
      <c r="G407" s="153" t="n">
        <f aca="false">(SUMPRODUCT($E408:$E431,G408:G431))*1</f>
        <v>25.420819094208</v>
      </c>
    </row>
    <row r="408" customFormat="false" ht="21" hidden="false" customHeight="false" outlineLevel="0" collapsed="false">
      <c r="A408" s="154" t="n">
        <v>37370</v>
      </c>
      <c r="B408" s="155" t="s">
        <v>1443</v>
      </c>
      <c r="C408" s="148" t="str">
        <f aca="false">VLOOKUP($A408,INSUMOS_AUX!$A$3:$H$813,3,0)</f>
        <v>MAT.</v>
      </c>
      <c r="D408" s="156" t="s">
        <v>1444</v>
      </c>
      <c r="E408" s="154" t="n">
        <v>1.5095432</v>
      </c>
      <c r="F408" s="149" t="n">
        <f aca="false">IF(C408="MAT.",VLOOKUP(A408,INSUMOS_AUX!$A$3:$H$813,6,0),0)</f>
        <v>3.32</v>
      </c>
      <c r="G408" s="149" t="n">
        <f aca="false">IF(C408="M.O.",VLOOKUP(A408,INSUMOS_AUX!A:F,6,0),0)</f>
        <v>0</v>
      </c>
    </row>
    <row r="409" customFormat="false" ht="21" hidden="false" customHeight="false" outlineLevel="0" collapsed="false">
      <c r="A409" s="154" t="n">
        <v>43483</v>
      </c>
      <c r="B409" s="155" t="s">
        <v>1486</v>
      </c>
      <c r="C409" s="148" t="str">
        <f aca="false">VLOOKUP($A409,INSUMOS_AUX!$A$3:$H$813,3,0)</f>
        <v>MAT.</v>
      </c>
      <c r="D409" s="156" t="s">
        <v>1444</v>
      </c>
      <c r="E409" s="154" t="n">
        <v>1.4494</v>
      </c>
      <c r="F409" s="149" t="n">
        <f aca="false">IF(C409="MAT.",VLOOKUP(A409,INSUMOS_AUX!$A$3:$H$813,6,0),0)</f>
        <v>1.43</v>
      </c>
      <c r="G409" s="149" t="n">
        <f aca="false">IF(C409="M.O.",VLOOKUP(A409,INSUMOS_AUX!A:F,6,0),0)</f>
        <v>0</v>
      </c>
    </row>
    <row r="410" customFormat="false" ht="21" hidden="false" customHeight="false" outlineLevel="0" collapsed="false">
      <c r="A410" s="154" t="n">
        <v>43488</v>
      </c>
      <c r="B410" s="155" t="s">
        <v>1445</v>
      </c>
      <c r="C410" s="148" t="str">
        <f aca="false">VLOOKUP($A410,INSUMOS_AUX!$A$3:$H$813,3,0)</f>
        <v>MAT.</v>
      </c>
      <c r="D410" s="156" t="s">
        <v>1444</v>
      </c>
      <c r="E410" s="154" t="n">
        <v>0.035</v>
      </c>
      <c r="F410" s="149" t="n">
        <f aca="false">IF(C410="MAT.",VLOOKUP(A410,INSUMOS_AUX!$A$3:$H$813,6,0),0)</f>
        <v>0.89</v>
      </c>
      <c r="G410" s="149" t="n">
        <f aca="false">IF(C410="M.O.",VLOOKUP(A410,INSUMOS_AUX!A:F,6,0),0)</f>
        <v>0</v>
      </c>
    </row>
    <row r="411" customFormat="false" ht="21" hidden="false" customHeight="false" outlineLevel="0" collapsed="false">
      <c r="A411" s="154" t="n">
        <v>43491</v>
      </c>
      <c r="B411" s="155" t="s">
        <v>1457</v>
      </c>
      <c r="C411" s="148" t="str">
        <f aca="false">VLOOKUP($A411,INSUMOS_AUX!$A$3:$H$813,3,0)</f>
        <v>MAT.</v>
      </c>
      <c r="D411" s="156" t="s">
        <v>1444</v>
      </c>
      <c r="E411" s="154" t="n">
        <v>0.0251432</v>
      </c>
      <c r="F411" s="149" t="n">
        <f aca="false">IF(C411="MAT.",VLOOKUP(A411,INSUMOS_AUX!$A$3:$H$813,6,0),0)</f>
        <v>1.39</v>
      </c>
      <c r="G411" s="149" t="n">
        <f aca="false">IF(C411="M.O.",VLOOKUP(A411,INSUMOS_AUX!A:F,6,0),0)</f>
        <v>0</v>
      </c>
    </row>
    <row r="412" customFormat="false" ht="21" hidden="false" customHeight="false" outlineLevel="0" collapsed="false">
      <c r="A412" s="154" t="n">
        <v>37372</v>
      </c>
      <c r="B412" s="155" t="s">
        <v>1446</v>
      </c>
      <c r="C412" s="148" t="str">
        <f aca="false">VLOOKUP($A412,INSUMOS_AUX!$A$3:$H$813,3,0)</f>
        <v>MAT.</v>
      </c>
      <c r="D412" s="156" t="s">
        <v>1444</v>
      </c>
      <c r="E412" s="154" t="n">
        <v>1.5095432</v>
      </c>
      <c r="F412" s="149" t="n">
        <f aca="false">IF(C412="MAT.",VLOOKUP(A412,INSUMOS_AUX!$A$3:$H$813,6,0),0)</f>
        <v>1.43</v>
      </c>
      <c r="G412" s="149" t="n">
        <f aca="false">IF(C412="M.O.",VLOOKUP(A412,INSUMOS_AUX!A:F,6,0),0)</f>
        <v>0</v>
      </c>
    </row>
    <row r="413" customFormat="false" ht="21" hidden="false" customHeight="false" outlineLevel="0" collapsed="false">
      <c r="A413" s="154" t="n">
        <v>43459</v>
      </c>
      <c r="B413" s="155" t="s">
        <v>1487</v>
      </c>
      <c r="C413" s="148" t="str">
        <f aca="false">VLOOKUP($A413,INSUMOS_AUX!$A$3:$H$813,3,0)</f>
        <v>MAT.</v>
      </c>
      <c r="D413" s="156" t="s">
        <v>1444</v>
      </c>
      <c r="E413" s="154" t="n">
        <v>1.4494</v>
      </c>
      <c r="F413" s="149" t="n">
        <f aca="false">IF(C413="MAT.",VLOOKUP(A413,INSUMOS_AUX!$A$3:$H$813,6,0),0)</f>
        <v>0.44</v>
      </c>
      <c r="G413" s="149" t="n">
        <f aca="false">IF(C413="M.O.",VLOOKUP(A413,INSUMOS_AUX!A:F,6,0),0)</f>
        <v>0</v>
      </c>
    </row>
    <row r="414" customFormat="false" ht="21" hidden="false" customHeight="false" outlineLevel="0" collapsed="false">
      <c r="A414" s="154" t="n">
        <v>43464</v>
      </c>
      <c r="B414" s="155" t="s">
        <v>1447</v>
      </c>
      <c r="C414" s="148" t="str">
        <f aca="false">VLOOKUP($A414,INSUMOS_AUX!$A$3:$H$813,3,0)</f>
        <v>MAT.</v>
      </c>
      <c r="D414" s="156" t="s">
        <v>1444</v>
      </c>
      <c r="E414" s="154" t="n">
        <v>0.035</v>
      </c>
      <c r="F414" s="149" t="n">
        <f aca="false">IF(C414="MAT.",VLOOKUP(A414,INSUMOS_AUX!$A$3:$H$813,6,0),0)</f>
        <v>0.01</v>
      </c>
      <c r="G414" s="149" t="n">
        <f aca="false">IF(C414="M.O.",VLOOKUP(A414,INSUMOS_AUX!A:F,6,0),0)</f>
        <v>0</v>
      </c>
    </row>
    <row r="415" customFormat="false" ht="21" hidden="false" customHeight="false" outlineLevel="0" collapsed="false">
      <c r="A415" s="154" t="n">
        <v>43467</v>
      </c>
      <c r="B415" s="155" t="s">
        <v>1459</v>
      </c>
      <c r="C415" s="148" t="s">
        <v>59</v>
      </c>
      <c r="D415" s="156" t="s">
        <v>1444</v>
      </c>
      <c r="E415" s="154" t="n">
        <v>0.0251432</v>
      </c>
      <c r="F415" s="149" t="n">
        <f aca="false">IF(C415="MAT.",VLOOKUP(A415,INSUMOS_AUX!$A$3:$H$813,6,0),0)</f>
        <v>0</v>
      </c>
      <c r="G415" s="149" t="n">
        <f aca="false">IF(C415="M.O.",VLOOKUP(A415,INSUMOS_AUX!A:F,6,0),0)</f>
        <v>0</v>
      </c>
    </row>
    <row r="416" customFormat="false" ht="21" hidden="false" customHeight="false" outlineLevel="0" collapsed="false">
      <c r="A416" s="154" t="n">
        <v>37373</v>
      </c>
      <c r="B416" s="155" t="s">
        <v>1448</v>
      </c>
      <c r="C416" s="148" t="str">
        <f aca="false">VLOOKUP($A416,INSUMOS_AUX!$A$3:$H$813,3,0)</f>
        <v>MAT.</v>
      </c>
      <c r="D416" s="156" t="s">
        <v>1444</v>
      </c>
      <c r="E416" s="154" t="n">
        <v>1.5095432</v>
      </c>
      <c r="F416" s="149" t="n">
        <f aca="false">IF(C416="MAT.",VLOOKUP(A416,INSUMOS_AUX!$A$3:$H$813,6,0),0)</f>
        <v>0.08</v>
      </c>
      <c r="G416" s="149" t="n">
        <f aca="false">IF(C416="M.O.",VLOOKUP(A416,INSUMOS_AUX!A:F,6,0),0)</f>
        <v>0</v>
      </c>
    </row>
    <row r="417" customFormat="false" ht="21" hidden="false" customHeight="false" outlineLevel="0" collapsed="false">
      <c r="A417" s="154" t="n">
        <v>37371</v>
      </c>
      <c r="B417" s="155" t="s">
        <v>1449</v>
      </c>
      <c r="C417" s="148" t="str">
        <f aca="false">VLOOKUP($A417,INSUMOS_AUX!$A$3:$H$813,3,0)</f>
        <v>MAT.</v>
      </c>
      <c r="D417" s="156" t="s">
        <v>1444</v>
      </c>
      <c r="E417" s="154" t="n">
        <v>1.5095432</v>
      </c>
      <c r="F417" s="149" t="n">
        <f aca="false">IF(C417="MAT.",VLOOKUP(A417,INSUMOS_AUX!$A$3:$H$813,6,0),0)</f>
        <v>0.59</v>
      </c>
      <c r="G417" s="149" t="n">
        <f aca="false">IF(C417="M.O.",VLOOKUP(A417,INSUMOS_AUX!A:F,6,0),0)</f>
        <v>0</v>
      </c>
    </row>
    <row r="418" customFormat="false" ht="21" hidden="false" customHeight="false" outlineLevel="0" collapsed="false">
      <c r="A418" s="154" t="n">
        <v>14618</v>
      </c>
      <c r="B418" s="155" t="s">
        <v>1592</v>
      </c>
      <c r="C418" s="148" t="str">
        <f aca="false">VLOOKUP($A418,INSUMOS_AUX!$A$3:$H$813,3,0)</f>
        <v>MAT.</v>
      </c>
      <c r="D418" s="156" t="s">
        <v>31</v>
      </c>
      <c r="E418" s="154" t="n">
        <v>3.388E-006</v>
      </c>
      <c r="F418" s="149" t="n">
        <f aca="false">IF(C418="MAT.",VLOOKUP(A418,INSUMOS_AUX!$A$3:$H$813,6,0),0)</f>
        <v>1283.38</v>
      </c>
      <c r="G418" s="149" t="n">
        <f aca="false">IF(C418="M.O.",VLOOKUP(A418,INSUMOS_AUX!A:F,6,0),0)</f>
        <v>0</v>
      </c>
    </row>
    <row r="419" customFormat="false" ht="15" hidden="false" customHeight="false" outlineLevel="0" collapsed="false">
      <c r="A419" s="154" t="n">
        <v>2705</v>
      </c>
      <c r="B419" s="155" t="s">
        <v>1467</v>
      </c>
      <c r="C419" s="148" t="str">
        <f aca="false">VLOOKUP($A419,INSUMOS_AUX!$A$3:$H$813,3,0)</f>
        <v>MAT.</v>
      </c>
      <c r="D419" s="156" t="s">
        <v>1468</v>
      </c>
      <c r="E419" s="154" t="n">
        <v>0.00952</v>
      </c>
      <c r="F419" s="149" t="n">
        <f aca="false">IF(C419="MAT.",VLOOKUP(A419,INSUMOS_AUX!$A$3:$H$813,6,0),0)</f>
        <v>0.92</v>
      </c>
      <c r="G419" s="149" t="n">
        <f aca="false">IF(C419="M.O.",VLOOKUP(A419,INSUMOS_AUX!A:F,6,0),0)</f>
        <v>0</v>
      </c>
    </row>
    <row r="420" customFormat="false" ht="21" hidden="false" customHeight="false" outlineLevel="0" collapsed="false">
      <c r="A420" s="154" t="n">
        <v>370</v>
      </c>
      <c r="B420" s="155" t="s">
        <v>1527</v>
      </c>
      <c r="C420" s="148" t="str">
        <f aca="false">VLOOKUP($A420,INSUMOS_AUX!$A$3:$H$813,3,0)</f>
        <v>MAT.</v>
      </c>
      <c r="D420" s="156" t="s">
        <v>1442</v>
      </c>
      <c r="E420" s="154" t="n">
        <v>0.0034152</v>
      </c>
      <c r="F420" s="149" t="n">
        <f aca="false">IF(C420="MAT.",VLOOKUP(A420,INSUMOS_AUX!$A$3:$H$813,6,0),0)</f>
        <v>150</v>
      </c>
      <c r="G420" s="149" t="n">
        <f aca="false">IF(C420="M.O.",VLOOKUP(A420,INSUMOS_AUX!A:F,6,0),0)</f>
        <v>0</v>
      </c>
    </row>
    <row r="421" customFormat="false" ht="31.5" hidden="false" customHeight="false" outlineLevel="0" collapsed="false">
      <c r="A421" s="154" t="n">
        <v>4433</v>
      </c>
      <c r="B421" s="155" t="s">
        <v>1532</v>
      </c>
      <c r="C421" s="148" t="str">
        <f aca="false">VLOOKUP($A421,INSUMOS_AUX!$A$3:$H$813,3,0)</f>
        <v>MAT.</v>
      </c>
      <c r="D421" s="156" t="s">
        <v>1455</v>
      </c>
      <c r="E421" s="154" t="n">
        <v>0.4125</v>
      </c>
      <c r="F421" s="149" t="n">
        <f aca="false">IF(C421="MAT.",VLOOKUP(A421,INSUMOS_AUX!$A$3:$H$813,6,0),0)</f>
        <v>21.51</v>
      </c>
      <c r="G421" s="149" t="n">
        <f aca="false">IF(C421="M.O.",VLOOKUP(A421,INSUMOS_AUX!A:F,6,0),0)</f>
        <v>0</v>
      </c>
    </row>
    <row r="422" customFormat="false" ht="15" hidden="false" customHeight="false" outlineLevel="0" collapsed="false">
      <c r="A422" s="154" t="n">
        <v>1379</v>
      </c>
      <c r="B422" s="155" t="s">
        <v>1535</v>
      </c>
      <c r="C422" s="148" t="str">
        <f aca="false">VLOOKUP($A422,INSUMOS_AUX!$A$3:$H$813,3,0)</f>
        <v>MAT.</v>
      </c>
      <c r="D422" s="156" t="s">
        <v>1513</v>
      </c>
      <c r="E422" s="154" t="n">
        <v>0.87572</v>
      </c>
      <c r="F422" s="149" t="n">
        <f aca="false">IF(C422="MAT.",VLOOKUP(A422,INSUMOS_AUX!$A$3:$H$813,6,0),0)</f>
        <v>0.72</v>
      </c>
      <c r="G422" s="149" t="n">
        <f aca="false">IF(C422="M.O.",VLOOKUP(A422,INSUMOS_AUX!A:F,6,0),0)</f>
        <v>0</v>
      </c>
    </row>
    <row r="423" customFormat="false" ht="21" hidden="false" customHeight="false" outlineLevel="0" collapsed="false">
      <c r="A423" s="154" t="n">
        <v>4721</v>
      </c>
      <c r="B423" s="155" t="s">
        <v>1593</v>
      </c>
      <c r="C423" s="148" t="str">
        <f aca="false">VLOOKUP($A423,INSUMOS_AUX!$A$3:$H$813,3,0)</f>
        <v>MAT.</v>
      </c>
      <c r="D423" s="156" t="s">
        <v>1442</v>
      </c>
      <c r="E423" s="154" t="n">
        <v>0.0023884</v>
      </c>
      <c r="F423" s="149" t="n">
        <f aca="false">IF(C423="MAT.",VLOOKUP(A423,INSUMOS_AUX!$A$3:$H$813,6,0),0)</f>
        <v>115.7</v>
      </c>
      <c r="G423" s="149" t="n">
        <f aca="false">IF(C423="M.O.",VLOOKUP(A423,INSUMOS_AUX!A:F,6,0),0)</f>
        <v>0</v>
      </c>
    </row>
    <row r="424" customFormat="false" ht="15" hidden="false" customHeight="false" outlineLevel="0" collapsed="false">
      <c r="A424" s="154" t="n">
        <v>5068</v>
      </c>
      <c r="B424" s="155" t="s">
        <v>1579</v>
      </c>
      <c r="C424" s="148" t="str">
        <f aca="false">VLOOKUP($A424,INSUMOS_AUX!$A$3:$H$813,3,0)</f>
        <v>MAT.</v>
      </c>
      <c r="D424" s="156" t="s">
        <v>1513</v>
      </c>
      <c r="E424" s="154" t="n">
        <v>0.111</v>
      </c>
      <c r="F424" s="149" t="n">
        <f aca="false">IF(C424="MAT.",VLOOKUP(A424,INSUMOS_AUX!$A$3:$H$813,6,0),0)</f>
        <v>20.34</v>
      </c>
      <c r="G424" s="149" t="n">
        <f aca="false">IF(C424="M.O.",VLOOKUP(A424,INSUMOS_AUX!A:F,6,0),0)</f>
        <v>0</v>
      </c>
    </row>
    <row r="425" customFormat="false" ht="31.5" hidden="false" customHeight="false" outlineLevel="0" collapsed="false">
      <c r="A425" s="154" t="n">
        <v>4417</v>
      </c>
      <c r="B425" s="155" t="s">
        <v>1594</v>
      </c>
      <c r="C425" s="148" t="str">
        <f aca="false">VLOOKUP($A425,INSUMOS_AUX!$A$3:$H$813,3,0)</f>
        <v>MAT.</v>
      </c>
      <c r="D425" s="156" t="s">
        <v>1455</v>
      </c>
      <c r="E425" s="154" t="n">
        <v>0.7445</v>
      </c>
      <c r="F425" s="149" t="n">
        <f aca="false">IF(C425="MAT.",VLOOKUP(A425,INSUMOS_AUX!$A$3:$H$813,6,0),0)</f>
        <v>5.98</v>
      </c>
      <c r="G425" s="149" t="n">
        <f aca="false">IF(C425="M.O.",VLOOKUP(A425,INSUMOS_AUX!A:F,6,0),0)</f>
        <v>0</v>
      </c>
    </row>
    <row r="426" customFormat="false" ht="21" hidden="false" customHeight="false" outlineLevel="0" collapsed="false">
      <c r="A426" s="154" t="n">
        <v>10567</v>
      </c>
      <c r="B426" s="155" t="s">
        <v>1595</v>
      </c>
      <c r="C426" s="148" t="str">
        <f aca="false">VLOOKUP($A426,INSUMOS_AUX!$A$3:$H$813,3,0)</f>
        <v>MAT.</v>
      </c>
      <c r="D426" s="156" t="s">
        <v>1455</v>
      </c>
      <c r="E426" s="154" t="n">
        <v>0.55</v>
      </c>
      <c r="F426" s="149" t="n">
        <f aca="false">IF(C426="MAT.",VLOOKUP(A426,INSUMOS_AUX!$A$3:$H$813,6,0),0)</f>
        <v>11.58</v>
      </c>
      <c r="G426" s="149" t="n">
        <f aca="false">IF(C426="M.O.",VLOOKUP(A426,INSUMOS_AUX!A:F,6,0),0)</f>
        <v>0</v>
      </c>
    </row>
    <row r="427" customFormat="false" ht="15" hidden="false" customHeight="false" outlineLevel="0" collapsed="false">
      <c r="A427" s="154" t="n">
        <v>7356</v>
      </c>
      <c r="B427" s="155" t="s">
        <v>1596</v>
      </c>
      <c r="C427" s="148" t="str">
        <f aca="false">VLOOKUP($A427,INSUMOS_AUX!$A$3:$H$813,3,0)</f>
        <v>MAT.</v>
      </c>
      <c r="D427" s="156" t="s">
        <v>1452</v>
      </c>
      <c r="E427" s="154" t="n">
        <v>0.0256</v>
      </c>
      <c r="F427" s="149" t="n">
        <f aca="false">IF(C427="MAT.",VLOOKUP(A427,INSUMOS_AUX!$A$3:$H$813,6,0),0)</f>
        <v>31.59</v>
      </c>
      <c r="G427" s="149" t="n">
        <f aca="false">IF(C427="M.O.",VLOOKUP(A427,INSUMOS_AUX!A:F,6,0),0)</f>
        <v>0</v>
      </c>
    </row>
    <row r="428" customFormat="false" ht="15" hidden="false" customHeight="false" outlineLevel="0" collapsed="false">
      <c r="A428" s="154" t="n">
        <v>6117</v>
      </c>
      <c r="B428" s="155" t="s">
        <v>1555</v>
      </c>
      <c r="C428" s="148" t="str">
        <f aca="false">VLOOKUP($A428,INSUMOS_AUX!$A$3:$H$813,3,0)</f>
        <v>M.O.</v>
      </c>
      <c r="D428" s="156" t="s">
        <v>1444</v>
      </c>
      <c r="E428" s="154" t="n">
        <v>0.735396572</v>
      </c>
      <c r="F428" s="149" t="n">
        <f aca="false">IF(C428="MAT.",VLOOKUP(A428,INSUMOS_AUX!$A$3:$H$813,6,0),0)</f>
        <v>0</v>
      </c>
      <c r="G428" s="149" t="n">
        <f aca="false">IF(C428="M.O.",VLOOKUP(A428,INSUMOS_AUX!A:F,6,0),0)</f>
        <v>13.26</v>
      </c>
    </row>
    <row r="429" customFormat="false" ht="15" hidden="false" customHeight="false" outlineLevel="0" collapsed="false">
      <c r="A429" s="154" t="n">
        <v>1213</v>
      </c>
      <c r="B429" s="155" t="s">
        <v>1516</v>
      </c>
      <c r="C429" s="148" t="str">
        <f aca="false">VLOOKUP($A429,INSUMOS_AUX!$A$3:$H$813,3,0)</f>
        <v>M.O.</v>
      </c>
      <c r="D429" s="156" t="s">
        <v>1444</v>
      </c>
      <c r="E429" s="154" t="n">
        <v>0.733063038</v>
      </c>
      <c r="F429" s="149" t="n">
        <f aca="false">IF(C429="MAT.",VLOOKUP(A429,INSUMOS_AUX!$A$3:$H$813,6,0),0)</f>
        <v>0</v>
      </c>
      <c r="G429" s="149" t="n">
        <f aca="false">IF(C429="M.O.",VLOOKUP(A429,INSUMOS_AUX!A:F,6,0),0)</f>
        <v>20.22</v>
      </c>
    </row>
    <row r="430" customFormat="false" ht="21" hidden="false" customHeight="false" outlineLevel="0" collapsed="false">
      <c r="A430" s="154" t="n">
        <v>4230</v>
      </c>
      <c r="B430" s="155" t="s">
        <v>1597</v>
      </c>
      <c r="C430" s="148" t="str">
        <f aca="false">VLOOKUP($A430,INSUMOS_AUX!$A$3:$H$813,3,0)</f>
        <v>M.O.</v>
      </c>
      <c r="D430" s="156" t="s">
        <v>1444</v>
      </c>
      <c r="E430" s="154" t="n">
        <v>0.0354039</v>
      </c>
      <c r="F430" s="149" t="n">
        <f aca="false">IF(C430="MAT.",VLOOKUP(A430,INSUMOS_AUX!$A$3:$H$813,6,0),0)</f>
        <v>0</v>
      </c>
      <c r="G430" s="149" t="n">
        <f aca="false">IF(C430="M.O.",VLOOKUP(A430,INSUMOS_AUX!A:F,6,0),0)</f>
        <v>14.53</v>
      </c>
    </row>
    <row r="431" customFormat="false" ht="15" hidden="false" customHeight="false" outlineLevel="0" collapsed="false">
      <c r="A431" s="154" t="n">
        <v>6111</v>
      </c>
      <c r="B431" s="155" t="s">
        <v>1464</v>
      </c>
      <c r="C431" s="148" t="str">
        <f aca="false">VLOOKUP($A431,INSUMOS_AUX!$A$3:$H$813,3,0)</f>
        <v>M.O.</v>
      </c>
      <c r="D431" s="156" t="s">
        <v>1444</v>
      </c>
      <c r="E431" s="154" t="n">
        <v>0.02567623584</v>
      </c>
      <c r="F431" s="149" t="n">
        <f aca="false">IF(C431="MAT.",VLOOKUP(A431,INSUMOS_AUX!$A$3:$H$813,6,0),0)</f>
        <v>0</v>
      </c>
      <c r="G431" s="149" t="n">
        <f aca="false">IF(C431="M.O.",VLOOKUP(A431,INSUMOS_AUX!A:F,6,0),0)</f>
        <v>12.95</v>
      </c>
    </row>
    <row r="432" customFormat="false" ht="21" hidden="false" customHeight="false" outlineLevel="0" collapsed="false">
      <c r="A432" s="150" t="s">
        <v>107</v>
      </c>
      <c r="B432" s="151" t="s">
        <v>1598</v>
      </c>
      <c r="C432" s="152" t="s">
        <v>59</v>
      </c>
      <c r="D432" s="152" t="s">
        <v>1477</v>
      </c>
      <c r="E432" s="150"/>
      <c r="F432" s="153" t="n">
        <f aca="false">(SUMPRODUCT($E433:$E441,F433:F441))*1</f>
        <v>354.3999962</v>
      </c>
      <c r="G432" s="153" t="n">
        <f aca="false">(SUMPRODUCT($E433:$E441,G433:G441))*1</f>
        <v>31.034055494628</v>
      </c>
    </row>
    <row r="433" customFormat="false" ht="21" hidden="false" customHeight="false" outlineLevel="0" collapsed="false">
      <c r="A433" s="154" t="n">
        <v>37370</v>
      </c>
      <c r="B433" s="155" t="s">
        <v>1443</v>
      </c>
      <c r="C433" s="148" t="str">
        <f aca="false">VLOOKUP($A433,INSUMOS_AUX!$A$3:$H$813,3,0)</f>
        <v>MAT.</v>
      </c>
      <c r="D433" s="156" t="s">
        <v>1444</v>
      </c>
      <c r="E433" s="154" t="n">
        <v>3.03462</v>
      </c>
      <c r="F433" s="149" t="n">
        <f aca="false">IF(C433="MAT.",VLOOKUP(A433,INSUMOS_AUX!$A$3:$H$813,6,0),0)</f>
        <v>3.32</v>
      </c>
      <c r="G433" s="149" t="n">
        <f aca="false">IF(C433="M.O.",VLOOKUP(A433,INSUMOS_AUX!A:F,6,0),0)</f>
        <v>0</v>
      </c>
    </row>
    <row r="434" customFormat="false" ht="21" hidden="false" customHeight="false" outlineLevel="0" collapsed="false">
      <c r="A434" s="154" t="n">
        <v>43489</v>
      </c>
      <c r="B434" s="155" t="s">
        <v>1456</v>
      </c>
      <c r="C434" s="148" t="str">
        <f aca="false">VLOOKUP($A434,INSUMOS_AUX!$A$3:$H$813,3,0)</f>
        <v>MAT.</v>
      </c>
      <c r="D434" s="156" t="s">
        <v>1444</v>
      </c>
      <c r="E434" s="154" t="n">
        <v>3.03462</v>
      </c>
      <c r="F434" s="149" t="n">
        <f aca="false">IF(C434="MAT.",VLOOKUP(A434,INSUMOS_AUX!$A$3:$H$813,6,0),0)</f>
        <v>1.31</v>
      </c>
      <c r="G434" s="149" t="n">
        <f aca="false">IF(C434="M.O.",VLOOKUP(A434,INSUMOS_AUX!A:F,6,0),0)</f>
        <v>0</v>
      </c>
    </row>
    <row r="435" customFormat="false" ht="21" hidden="false" customHeight="false" outlineLevel="0" collapsed="false">
      <c r="A435" s="154" t="n">
        <v>37372</v>
      </c>
      <c r="B435" s="155" t="s">
        <v>1446</v>
      </c>
      <c r="C435" s="148" t="str">
        <f aca="false">VLOOKUP($A435,INSUMOS_AUX!$A$3:$H$813,3,0)</f>
        <v>MAT.</v>
      </c>
      <c r="D435" s="156" t="s">
        <v>1444</v>
      </c>
      <c r="E435" s="154" t="n">
        <v>3.03462</v>
      </c>
      <c r="F435" s="149" t="n">
        <f aca="false">IF(C435="MAT.",VLOOKUP(A435,INSUMOS_AUX!$A$3:$H$813,6,0),0)</f>
        <v>1.43</v>
      </c>
      <c r="G435" s="149" t="n">
        <f aca="false">IF(C435="M.O.",VLOOKUP(A435,INSUMOS_AUX!A:F,6,0),0)</f>
        <v>0</v>
      </c>
    </row>
    <row r="436" customFormat="false" ht="21" hidden="false" customHeight="false" outlineLevel="0" collapsed="false">
      <c r="A436" s="154" t="n">
        <v>43465</v>
      </c>
      <c r="B436" s="155" t="s">
        <v>1458</v>
      </c>
      <c r="C436" s="148" t="str">
        <f aca="false">VLOOKUP($A436,INSUMOS_AUX!$A$3:$H$813,3,0)</f>
        <v>MAT.</v>
      </c>
      <c r="D436" s="156" t="s">
        <v>1444</v>
      </c>
      <c r="E436" s="154" t="n">
        <v>3.03462</v>
      </c>
      <c r="F436" s="149" t="n">
        <f aca="false">IF(C436="MAT.",VLOOKUP(A436,INSUMOS_AUX!$A$3:$H$813,6,0),0)</f>
        <v>0.78</v>
      </c>
      <c r="G436" s="149" t="n">
        <f aca="false">IF(C436="M.O.",VLOOKUP(A436,INSUMOS_AUX!A:F,6,0),0)</f>
        <v>0</v>
      </c>
    </row>
    <row r="437" customFormat="false" ht="21" hidden="false" customHeight="false" outlineLevel="0" collapsed="false">
      <c r="A437" s="154" t="n">
        <v>37373</v>
      </c>
      <c r="B437" s="155" t="s">
        <v>1448</v>
      </c>
      <c r="C437" s="148" t="str">
        <f aca="false">VLOOKUP($A437,INSUMOS_AUX!$A$3:$H$813,3,0)</f>
        <v>MAT.</v>
      </c>
      <c r="D437" s="156" t="s">
        <v>1444</v>
      </c>
      <c r="E437" s="154" t="n">
        <v>3.03462</v>
      </c>
      <c r="F437" s="149" t="n">
        <f aca="false">IF(C437="MAT.",VLOOKUP(A437,INSUMOS_AUX!$A$3:$H$813,6,0),0)</f>
        <v>0.08</v>
      </c>
      <c r="G437" s="149" t="n">
        <f aca="false">IF(C437="M.O.",VLOOKUP(A437,INSUMOS_AUX!A:F,6,0),0)</f>
        <v>0</v>
      </c>
    </row>
    <row r="438" customFormat="false" ht="21" hidden="false" customHeight="false" outlineLevel="0" collapsed="false">
      <c r="A438" s="154" t="n">
        <v>37371</v>
      </c>
      <c r="B438" s="155" t="s">
        <v>1449</v>
      </c>
      <c r="C438" s="148" t="str">
        <f aca="false">VLOOKUP($A438,INSUMOS_AUX!$A$3:$H$813,3,0)</f>
        <v>MAT.</v>
      </c>
      <c r="D438" s="156" t="s">
        <v>1444</v>
      </c>
      <c r="E438" s="154" t="n">
        <v>3.03462</v>
      </c>
      <c r="F438" s="149" t="n">
        <f aca="false">IF(C438="MAT.",VLOOKUP(A438,INSUMOS_AUX!$A$3:$H$813,6,0),0)</f>
        <v>0.59</v>
      </c>
      <c r="G438" s="149" t="n">
        <f aca="false">IF(C438="M.O.",VLOOKUP(A438,INSUMOS_AUX!A:F,6,0),0)</f>
        <v>0</v>
      </c>
    </row>
    <row r="439" customFormat="false" ht="21" hidden="false" customHeight="false" outlineLevel="0" collapsed="false">
      <c r="A439" s="154" t="n">
        <v>4948</v>
      </c>
      <c r="B439" s="155" t="s">
        <v>1599</v>
      </c>
      <c r="C439" s="148" t="str">
        <f aca="false">VLOOKUP($A439,INSUMOS_AUX!$A$3:$H$813,3,0)</f>
        <v>MAT.</v>
      </c>
      <c r="D439" s="156" t="s">
        <v>1477</v>
      </c>
      <c r="E439" s="154" t="n">
        <v>1</v>
      </c>
      <c r="F439" s="149" t="n">
        <f aca="false">IF(C439="MAT.",VLOOKUP(A439,INSUMOS_AUX!$A$3:$H$813,6,0),0)</f>
        <v>331.61</v>
      </c>
      <c r="G439" s="149" t="n">
        <f aca="false">IF(C439="M.O.",VLOOKUP(A439,INSUMOS_AUX!A:F,6,0),0)</f>
        <v>0</v>
      </c>
    </row>
    <row r="440" customFormat="false" ht="15" hidden="false" customHeight="false" outlineLevel="0" collapsed="false">
      <c r="A440" s="154" t="n">
        <v>252</v>
      </c>
      <c r="B440" s="155" t="s">
        <v>1600</v>
      </c>
      <c r="C440" s="148" t="s">
        <v>59</v>
      </c>
      <c r="D440" s="156" t="s">
        <v>1444</v>
      </c>
      <c r="E440" s="154" t="n">
        <v>1.5348197574</v>
      </c>
      <c r="F440" s="149" t="n">
        <f aca="false">IF(C440="MAT.",VLOOKUP(A440,INSUMOS_AUX!$A$3:$H$813,6,0),0)</f>
        <v>0</v>
      </c>
      <c r="G440" s="149" t="n">
        <f aca="false">IF(C440="M.O.",VLOOKUP(A440,INSUMOS_AUX!A:F,6,0),0)</f>
        <v>0</v>
      </c>
    </row>
    <row r="441" customFormat="false" ht="15" hidden="false" customHeight="false" outlineLevel="0" collapsed="false">
      <c r="A441" s="154" t="n">
        <v>6110</v>
      </c>
      <c r="B441" s="155" t="s">
        <v>1601</v>
      </c>
      <c r="C441" s="148" t="str">
        <f aca="false">VLOOKUP($A441,INSUMOS_AUX!$A$3:$H$813,3,0)</f>
        <v>M.O.</v>
      </c>
      <c r="D441" s="156" t="s">
        <v>1444</v>
      </c>
      <c r="E441" s="154" t="n">
        <v>1.5348197574</v>
      </c>
      <c r="F441" s="149" t="n">
        <f aca="false">IF(C441="MAT.",VLOOKUP(A441,INSUMOS_AUX!$A$3:$H$813,6,0),0)</f>
        <v>0</v>
      </c>
      <c r="G441" s="149" t="n">
        <f aca="false">IF(C441="M.O.",VLOOKUP(A441,INSUMOS_AUX!A:F,6,0),0)</f>
        <v>20.22</v>
      </c>
    </row>
    <row r="442" customFormat="false" ht="52.5" hidden="false" customHeight="false" outlineLevel="0" collapsed="false">
      <c r="A442" s="150" t="s">
        <v>109</v>
      </c>
      <c r="B442" s="151" t="s">
        <v>1602</v>
      </c>
      <c r="C442" s="152" t="s">
        <v>59</v>
      </c>
      <c r="D442" s="152" t="s">
        <v>1477</v>
      </c>
      <c r="E442" s="150"/>
      <c r="F442" s="153" t="n">
        <f aca="false">(SUMPRODUCT($E443:$E464,F443:F464))*1</f>
        <v>188.003193610209</v>
      </c>
      <c r="G442" s="153" t="n">
        <f aca="false">(SUMPRODUCT($E443:$E464,G443:G464))*1</f>
        <v>13.1448865611685</v>
      </c>
    </row>
    <row r="443" customFormat="false" ht="21" hidden="false" customHeight="false" outlineLevel="0" collapsed="false">
      <c r="A443" s="154" t="n">
        <v>37370</v>
      </c>
      <c r="B443" s="155" t="s">
        <v>1443</v>
      </c>
      <c r="C443" s="148" t="str">
        <f aca="false">VLOOKUP($A443,INSUMOS_AUX!$A$3:$H$813,3,0)</f>
        <v>MAT.</v>
      </c>
      <c r="D443" s="156" t="s">
        <v>1444</v>
      </c>
      <c r="E443" s="154" t="n">
        <v>1.9720098</v>
      </c>
      <c r="F443" s="149" t="n">
        <f aca="false">IF(C443="MAT.",VLOOKUP(A443,INSUMOS_AUX!$A$3:$H$813,6,0),0)</f>
        <v>3.32</v>
      </c>
      <c r="G443" s="149" t="n">
        <f aca="false">IF(C443="M.O.",VLOOKUP(A443,INSUMOS_AUX!A:F,6,0),0)</f>
        <v>0</v>
      </c>
    </row>
    <row r="444" customFormat="false" ht="21" hidden="false" customHeight="false" outlineLevel="0" collapsed="false">
      <c r="A444" s="154" t="n">
        <v>43488</v>
      </c>
      <c r="B444" s="155" t="s">
        <v>1445</v>
      </c>
      <c r="C444" s="148" t="str">
        <f aca="false">VLOOKUP($A444,INSUMOS_AUX!$A$3:$H$813,3,0)</f>
        <v>MAT.</v>
      </c>
      <c r="D444" s="156" t="s">
        <v>1444</v>
      </c>
      <c r="E444" s="154" t="n">
        <v>0.00666495</v>
      </c>
      <c r="F444" s="149" t="n">
        <f aca="false">IF(C444="MAT.",VLOOKUP(A444,INSUMOS_AUX!$A$3:$H$813,6,0),0)</f>
        <v>0.89</v>
      </c>
      <c r="G444" s="149" t="n">
        <f aca="false">IF(C444="M.O.",VLOOKUP(A444,INSUMOS_AUX!A:F,6,0),0)</f>
        <v>0</v>
      </c>
    </row>
    <row r="445" customFormat="false" ht="21" hidden="false" customHeight="false" outlineLevel="0" collapsed="false">
      <c r="A445" s="154" t="n">
        <v>43489</v>
      </c>
      <c r="B445" s="155" t="s">
        <v>1456</v>
      </c>
      <c r="C445" s="148" t="str">
        <f aca="false">VLOOKUP($A445,INSUMOS_AUX!$A$3:$H$813,3,0)</f>
        <v>MAT.</v>
      </c>
      <c r="D445" s="156" t="s">
        <v>1444</v>
      </c>
      <c r="E445" s="154" t="n">
        <v>0.9774</v>
      </c>
      <c r="F445" s="149" t="n">
        <f aca="false">IF(C445="MAT.",VLOOKUP(A445,INSUMOS_AUX!$A$3:$H$813,6,0),0)</f>
        <v>1.31</v>
      </c>
      <c r="G445" s="149" t="n">
        <f aca="false">IF(C445="M.O.",VLOOKUP(A445,INSUMOS_AUX!A:F,6,0),0)</f>
        <v>0</v>
      </c>
    </row>
    <row r="446" customFormat="false" ht="21" hidden="false" customHeight="false" outlineLevel="0" collapsed="false">
      <c r="A446" s="154" t="n">
        <v>43491</v>
      </c>
      <c r="B446" s="155" t="s">
        <v>1457</v>
      </c>
      <c r="C446" s="148" t="str">
        <f aca="false">VLOOKUP($A446,INSUMOS_AUX!$A$3:$H$813,3,0)</f>
        <v>MAT.</v>
      </c>
      <c r="D446" s="156" t="s">
        <v>1444</v>
      </c>
      <c r="E446" s="154" t="n">
        <v>0.98794485</v>
      </c>
      <c r="F446" s="149" t="n">
        <f aca="false">IF(C446="MAT.",VLOOKUP(A446,INSUMOS_AUX!$A$3:$H$813,6,0),0)</f>
        <v>1.39</v>
      </c>
      <c r="G446" s="149" t="n">
        <f aca="false">IF(C446="M.O.",VLOOKUP(A446,INSUMOS_AUX!A:F,6,0),0)</f>
        <v>0</v>
      </c>
    </row>
    <row r="447" customFormat="false" ht="21" hidden="false" customHeight="false" outlineLevel="0" collapsed="false">
      <c r="A447" s="154" t="n">
        <v>37372</v>
      </c>
      <c r="B447" s="155" t="s">
        <v>1446</v>
      </c>
      <c r="C447" s="148" t="str">
        <f aca="false">VLOOKUP($A447,INSUMOS_AUX!$A$3:$H$813,3,0)</f>
        <v>MAT.</v>
      </c>
      <c r="D447" s="156" t="s">
        <v>1444</v>
      </c>
      <c r="E447" s="154" t="n">
        <v>1.9720098</v>
      </c>
      <c r="F447" s="149" t="n">
        <f aca="false">IF(C447="MAT.",VLOOKUP(A447,INSUMOS_AUX!$A$3:$H$813,6,0),0)</f>
        <v>1.43</v>
      </c>
      <c r="G447" s="149" t="n">
        <f aca="false">IF(C447="M.O.",VLOOKUP(A447,INSUMOS_AUX!A:F,6,0),0)</f>
        <v>0</v>
      </c>
    </row>
    <row r="448" customFormat="false" ht="21" hidden="false" customHeight="false" outlineLevel="0" collapsed="false">
      <c r="A448" s="154" t="n">
        <v>43464</v>
      </c>
      <c r="B448" s="155" t="s">
        <v>1447</v>
      </c>
      <c r="C448" s="148" t="str">
        <f aca="false">VLOOKUP($A448,INSUMOS_AUX!$A$3:$H$813,3,0)</f>
        <v>MAT.</v>
      </c>
      <c r="D448" s="156" t="s">
        <v>1444</v>
      </c>
      <c r="E448" s="154" t="n">
        <v>0.00666495</v>
      </c>
      <c r="F448" s="149" t="n">
        <f aca="false">IF(C448="MAT.",VLOOKUP(A448,INSUMOS_AUX!$A$3:$H$813,6,0),0)</f>
        <v>0.01</v>
      </c>
      <c r="G448" s="149" t="n">
        <f aca="false">IF(C448="M.O.",VLOOKUP(A448,INSUMOS_AUX!A:F,6,0),0)</f>
        <v>0</v>
      </c>
    </row>
    <row r="449" customFormat="false" ht="21" hidden="false" customHeight="false" outlineLevel="0" collapsed="false">
      <c r="A449" s="154" t="n">
        <v>43465</v>
      </c>
      <c r="B449" s="155" t="s">
        <v>1458</v>
      </c>
      <c r="C449" s="148" t="str">
        <f aca="false">VLOOKUP($A449,INSUMOS_AUX!$A$3:$H$813,3,0)</f>
        <v>MAT.</v>
      </c>
      <c r="D449" s="156" t="s">
        <v>1444</v>
      </c>
      <c r="E449" s="154" t="n">
        <v>0.9774</v>
      </c>
      <c r="F449" s="149" t="n">
        <f aca="false">IF(C449="MAT.",VLOOKUP(A449,INSUMOS_AUX!$A$3:$H$813,6,0),0)</f>
        <v>0.78</v>
      </c>
      <c r="G449" s="149" t="n">
        <f aca="false">IF(C449="M.O.",VLOOKUP(A449,INSUMOS_AUX!A:F,6,0),0)</f>
        <v>0</v>
      </c>
    </row>
    <row r="450" customFormat="false" ht="21" hidden="false" customHeight="false" outlineLevel="0" collapsed="false">
      <c r="A450" s="154" t="n">
        <v>43467</v>
      </c>
      <c r="B450" s="155" t="s">
        <v>1459</v>
      </c>
      <c r="C450" s="148" t="str">
        <f aca="false">VLOOKUP($A450,INSUMOS_AUX!$A$3:$H$813,3,0)</f>
        <v>MAT.</v>
      </c>
      <c r="D450" s="156" t="s">
        <v>1444</v>
      </c>
      <c r="E450" s="154" t="n">
        <v>0.98794485</v>
      </c>
      <c r="F450" s="149" t="n">
        <f aca="false">IF(C450="MAT.",VLOOKUP(A450,INSUMOS_AUX!$A$3:$H$813,6,0),0)</f>
        <v>0.61</v>
      </c>
      <c r="G450" s="149" t="n">
        <f aca="false">IF(C450="M.O.",VLOOKUP(A450,INSUMOS_AUX!A:F,6,0),0)</f>
        <v>0</v>
      </c>
    </row>
    <row r="451" customFormat="false" ht="21" hidden="false" customHeight="false" outlineLevel="0" collapsed="false">
      <c r="A451" s="154" t="n">
        <v>37373</v>
      </c>
      <c r="B451" s="155" t="s">
        <v>1448</v>
      </c>
      <c r="C451" s="148" t="str">
        <f aca="false">VLOOKUP($A451,INSUMOS_AUX!$A$3:$H$813,3,0)</f>
        <v>MAT.</v>
      </c>
      <c r="D451" s="156" t="s">
        <v>1444</v>
      </c>
      <c r="E451" s="154" t="n">
        <v>1.9720098</v>
      </c>
      <c r="F451" s="149" t="n">
        <f aca="false">IF(C451="MAT.",VLOOKUP(A451,INSUMOS_AUX!$A$3:$H$813,6,0),0)</f>
        <v>0.08</v>
      </c>
      <c r="G451" s="149" t="n">
        <f aca="false">IF(C451="M.O.",VLOOKUP(A451,INSUMOS_AUX!A:F,6,0),0)</f>
        <v>0</v>
      </c>
    </row>
    <row r="452" customFormat="false" ht="21" hidden="false" customHeight="false" outlineLevel="0" collapsed="false">
      <c r="A452" s="154" t="n">
        <v>37371</v>
      </c>
      <c r="B452" s="155" t="s">
        <v>1449</v>
      </c>
      <c r="C452" s="148" t="str">
        <f aca="false">VLOOKUP($A452,INSUMOS_AUX!$A$3:$H$813,3,0)</f>
        <v>MAT.</v>
      </c>
      <c r="D452" s="156" t="s">
        <v>1444</v>
      </c>
      <c r="E452" s="154" t="n">
        <v>1.9720098</v>
      </c>
      <c r="F452" s="149" t="n">
        <f aca="false">IF(C452="MAT.",VLOOKUP(A452,INSUMOS_AUX!$A$3:$H$813,6,0),0)</f>
        <v>0.59</v>
      </c>
      <c r="G452" s="149" t="n">
        <f aca="false">IF(C452="M.O.",VLOOKUP(A452,INSUMOS_AUX!A:F,6,0),0)</f>
        <v>0</v>
      </c>
    </row>
    <row r="453" customFormat="false" ht="31.5" hidden="false" customHeight="false" outlineLevel="0" collapsed="false">
      <c r="A453" s="154" t="n">
        <v>10535</v>
      </c>
      <c r="B453" s="155" t="s">
        <v>1525</v>
      </c>
      <c r="C453" s="148" t="str">
        <f aca="false">VLOOKUP($A453,INSUMOS_AUX!$A$3:$H$813,3,0)</f>
        <v>MAT.</v>
      </c>
      <c r="D453" s="156" t="s">
        <v>31</v>
      </c>
      <c r="E453" s="154" t="n">
        <v>7.6532256E-007</v>
      </c>
      <c r="F453" s="149" t="n">
        <f aca="false">IF(C453="MAT.",VLOOKUP(A453,INSUMOS_AUX!$A$3:$H$813,6,0),0)</f>
        <v>4699</v>
      </c>
      <c r="G453" s="149" t="n">
        <f aca="false">IF(C453="M.O.",VLOOKUP(A453,INSUMOS_AUX!A:F,6,0),0)</f>
        <v>0</v>
      </c>
    </row>
    <row r="454" customFormat="false" ht="15" hidden="false" customHeight="false" outlineLevel="0" collapsed="false">
      <c r="A454" s="154" t="n">
        <v>2705</v>
      </c>
      <c r="B454" s="155" t="s">
        <v>1467</v>
      </c>
      <c r="C454" s="148" t="str">
        <f aca="false">VLOOKUP($A454,INSUMOS_AUX!$A$3:$H$813,3,0)</f>
        <v>MAT.</v>
      </c>
      <c r="D454" s="156" t="s">
        <v>1468</v>
      </c>
      <c r="E454" s="154" t="n">
        <v>0.0042879375</v>
      </c>
      <c r="F454" s="149" t="n">
        <f aca="false">IF(C454="MAT.",VLOOKUP(A454,INSUMOS_AUX!$A$3:$H$813,6,0),0)</f>
        <v>0.92</v>
      </c>
      <c r="G454" s="149" t="n">
        <f aca="false">IF(C454="M.O.",VLOOKUP(A454,INSUMOS_AUX!A:F,6,0),0)</f>
        <v>0</v>
      </c>
    </row>
    <row r="455" customFormat="false" ht="21" hidden="false" customHeight="false" outlineLevel="0" collapsed="false">
      <c r="A455" s="154" t="n">
        <v>43130</v>
      </c>
      <c r="B455" s="155" t="s">
        <v>1603</v>
      </c>
      <c r="C455" s="148" t="str">
        <f aca="false">VLOOKUP($A455,INSUMOS_AUX!$A$3:$H$813,3,0)</f>
        <v>MAT.</v>
      </c>
      <c r="D455" s="156" t="s">
        <v>1513</v>
      </c>
      <c r="E455" s="154" t="n">
        <v>0.0797</v>
      </c>
      <c r="F455" s="149" t="n">
        <f aca="false">IF(C455="MAT.",VLOOKUP(A455,INSUMOS_AUX!$A$3:$H$813,6,0),0)</f>
        <v>28</v>
      </c>
      <c r="G455" s="149" t="n">
        <f aca="false">IF(C455="M.O.",VLOOKUP(A455,INSUMOS_AUX!A:F,6,0),0)</f>
        <v>0</v>
      </c>
    </row>
    <row r="456" customFormat="false" ht="21" hidden="false" customHeight="false" outlineLevel="0" collapsed="false">
      <c r="A456" s="154" t="n">
        <v>370</v>
      </c>
      <c r="B456" s="155" t="s">
        <v>1527</v>
      </c>
      <c r="C456" s="148" t="str">
        <f aca="false">VLOOKUP($A456,INSUMOS_AUX!$A$3:$H$813,3,0)</f>
        <v>MAT.</v>
      </c>
      <c r="D456" s="156" t="s">
        <v>1442</v>
      </c>
      <c r="E456" s="154" t="n">
        <v>0.00372105</v>
      </c>
      <c r="F456" s="149" t="n">
        <f aca="false">IF(C456="MAT.",VLOOKUP(A456,INSUMOS_AUX!$A$3:$H$813,6,0),0)</f>
        <v>150</v>
      </c>
      <c r="G456" s="149" t="n">
        <f aca="false">IF(C456="M.O.",VLOOKUP(A456,INSUMOS_AUX!A:F,6,0),0)</f>
        <v>0</v>
      </c>
    </row>
    <row r="457" customFormat="false" ht="15" hidden="false" customHeight="false" outlineLevel="0" collapsed="false">
      <c r="A457" s="154" t="n">
        <v>1379</v>
      </c>
      <c r="B457" s="155" t="s">
        <v>1535</v>
      </c>
      <c r="C457" s="148" t="str">
        <f aca="false">VLOOKUP($A457,INSUMOS_AUX!$A$3:$H$813,3,0)</f>
        <v>MAT.</v>
      </c>
      <c r="D457" s="156" t="s">
        <v>1513</v>
      </c>
      <c r="E457" s="154" t="n">
        <v>0.9540873</v>
      </c>
      <c r="F457" s="149" t="n">
        <f aca="false">IF(C457="MAT.",VLOOKUP(A457,INSUMOS_AUX!$A$3:$H$813,6,0),0)</f>
        <v>0.72</v>
      </c>
      <c r="G457" s="149" t="n">
        <f aca="false">IF(C457="M.O.",VLOOKUP(A457,INSUMOS_AUX!A:F,6,0),0)</f>
        <v>0</v>
      </c>
    </row>
    <row r="458" customFormat="false" ht="15" hidden="false" customHeight="false" outlineLevel="0" collapsed="false">
      <c r="A458" s="154" t="n">
        <v>11002</v>
      </c>
      <c r="B458" s="155" t="s">
        <v>1604</v>
      </c>
      <c r="C458" s="148" t="str">
        <f aca="false">VLOOKUP($A458,INSUMOS_AUX!$A$3:$H$813,3,0)</f>
        <v>MAT.</v>
      </c>
      <c r="D458" s="156" t="s">
        <v>1513</v>
      </c>
      <c r="E458" s="154" t="n">
        <v>0.0025</v>
      </c>
      <c r="F458" s="149" t="n">
        <f aca="false">IF(C458="MAT.",VLOOKUP(A458,INSUMOS_AUX!$A$3:$H$813,6,0),0)</f>
        <v>23.81</v>
      </c>
      <c r="G458" s="149" t="n">
        <f aca="false">IF(C458="M.O.",VLOOKUP(A458,INSUMOS_AUX!A:F,6,0),0)</f>
        <v>0</v>
      </c>
    </row>
    <row r="459" customFormat="false" ht="21" hidden="false" customHeight="false" outlineLevel="0" collapsed="false">
      <c r="A459" s="154" t="n">
        <v>4721</v>
      </c>
      <c r="B459" s="155" t="s">
        <v>1593</v>
      </c>
      <c r="C459" s="148" t="str">
        <f aca="false">VLOOKUP($A459,INSUMOS_AUX!$A$3:$H$813,3,0)</f>
        <v>MAT.</v>
      </c>
      <c r="D459" s="156" t="s">
        <v>1442</v>
      </c>
      <c r="E459" s="154" t="n">
        <v>0.0026019</v>
      </c>
      <c r="F459" s="149" t="n">
        <f aca="false">IF(C459="MAT.",VLOOKUP(A459,INSUMOS_AUX!$A$3:$H$813,6,0),0)</f>
        <v>115.7</v>
      </c>
      <c r="G459" s="149" t="n">
        <f aca="false">IF(C459="M.O.",VLOOKUP(A459,INSUMOS_AUX!A:F,6,0),0)</f>
        <v>0</v>
      </c>
    </row>
    <row r="460" customFormat="false" ht="21" hidden="false" customHeight="false" outlineLevel="0" collapsed="false">
      <c r="A460" s="154" t="n">
        <v>10932</v>
      </c>
      <c r="B460" s="155" t="s">
        <v>1605</v>
      </c>
      <c r="C460" s="148" t="str">
        <f aca="false">VLOOKUP($A460,INSUMOS_AUX!$A$3:$H$813,3,0)</f>
        <v>MAT.</v>
      </c>
      <c r="D460" s="156" t="s">
        <v>1477</v>
      </c>
      <c r="E460" s="154" t="n">
        <v>1.0203</v>
      </c>
      <c r="F460" s="149" t="n">
        <f aca="false">IF(C460="MAT.",VLOOKUP(A460,INSUMOS_AUX!$A$3:$H$813,6,0),0)</f>
        <v>105.2</v>
      </c>
      <c r="G460" s="149" t="n">
        <f aca="false">IF(C460="M.O.",VLOOKUP(A460,INSUMOS_AUX!A:F,6,0),0)</f>
        <v>0</v>
      </c>
    </row>
    <row r="461" customFormat="false" ht="21" hidden="false" customHeight="false" outlineLevel="0" collapsed="false">
      <c r="A461" s="154" t="n">
        <v>7696</v>
      </c>
      <c r="B461" s="155" t="s">
        <v>1606</v>
      </c>
      <c r="C461" s="148" t="str">
        <f aca="false">VLOOKUP($A461,INSUMOS_AUX!$A$3:$H$813,3,0)</f>
        <v>MAT.</v>
      </c>
      <c r="D461" s="156" t="s">
        <v>1455</v>
      </c>
      <c r="E461" s="154" t="n">
        <v>0.812</v>
      </c>
      <c r="F461" s="149" t="n">
        <f aca="false">IF(C461="MAT.",VLOOKUP(A461,INSUMOS_AUX!$A$3:$H$813,6,0),0)</f>
        <v>76.49</v>
      </c>
      <c r="G461" s="149" t="n">
        <f aca="false">IF(C461="M.O.",VLOOKUP(A461,INSUMOS_AUX!A:F,6,0),0)</f>
        <v>0</v>
      </c>
    </row>
    <row r="462" customFormat="false" ht="15" hidden="false" customHeight="false" outlineLevel="0" collapsed="false">
      <c r="A462" s="154" t="n">
        <v>37666</v>
      </c>
      <c r="B462" s="155" t="s">
        <v>1558</v>
      </c>
      <c r="C462" s="148" t="str">
        <f aca="false">VLOOKUP($A462,INSUMOS_AUX!$A$3:$H$813,3,0)</f>
        <v>M.O.</v>
      </c>
      <c r="D462" s="156" t="s">
        <v>1444</v>
      </c>
      <c r="E462" s="154" t="n">
        <v>0.0067203357345</v>
      </c>
      <c r="F462" s="149" t="n">
        <f aca="false">IF(C462="MAT.",VLOOKUP(A462,INSUMOS_AUX!$A$3:$H$813,6,0),0)</f>
        <v>0</v>
      </c>
      <c r="G462" s="149" t="n">
        <f aca="false">IF(C462="M.O.",VLOOKUP(A462,INSUMOS_AUX!A:F,6,0),0)</f>
        <v>11.87</v>
      </c>
    </row>
    <row r="463" customFormat="false" ht="15" hidden="false" customHeight="false" outlineLevel="0" collapsed="false">
      <c r="A463" s="154" t="n">
        <v>6110</v>
      </c>
      <c r="B463" s="155" t="s">
        <v>1601</v>
      </c>
      <c r="C463" s="148" t="s">
        <v>59</v>
      </c>
      <c r="D463" s="156" t="s">
        <v>1444</v>
      </c>
      <c r="E463" s="154" t="n">
        <v>0.988679196</v>
      </c>
      <c r="F463" s="149" t="n">
        <f aca="false">IF(C463="MAT.",VLOOKUP(A463,INSUMOS_AUX!$A$3:$H$813,6,0),0)</f>
        <v>0</v>
      </c>
      <c r="G463" s="149" t="n">
        <f aca="false">IF(C463="M.O.",VLOOKUP(A463,INSUMOS_AUX!A:F,6,0),0)</f>
        <v>0</v>
      </c>
    </row>
    <row r="464" customFormat="false" ht="15" hidden="false" customHeight="false" outlineLevel="0" collapsed="false">
      <c r="A464" s="154" t="n">
        <v>6111</v>
      </c>
      <c r="B464" s="155" t="s">
        <v>1464</v>
      </c>
      <c r="C464" s="148" t="str">
        <f aca="false">VLOOKUP($A464,INSUMOS_AUX!$A$3:$H$813,3,0)</f>
        <v>M.O.</v>
      </c>
      <c r="D464" s="156" t="s">
        <v>1444</v>
      </c>
      <c r="E464" s="154" t="n">
        <v>1.00888928</v>
      </c>
      <c r="F464" s="149" t="n">
        <f aca="false">IF(C464="MAT.",VLOOKUP(A464,INSUMOS_AUX!$A$3:$H$813,6,0),0)</f>
        <v>0</v>
      </c>
      <c r="G464" s="149" t="n">
        <f aca="false">IF(C464="M.O.",VLOOKUP(A464,INSUMOS_AUX!A:F,6,0),0)</f>
        <v>12.95</v>
      </c>
    </row>
    <row r="465" customFormat="false" ht="15" hidden="false" customHeight="false" outlineLevel="0" collapsed="false">
      <c r="A465" s="150" t="s">
        <v>117</v>
      </c>
      <c r="B465" s="151" t="s">
        <v>1607</v>
      </c>
      <c r="C465" s="152" t="s">
        <v>59</v>
      </c>
      <c r="D465" s="152" t="s">
        <v>31</v>
      </c>
      <c r="E465" s="150"/>
      <c r="F465" s="153" t="n">
        <f aca="false">(SUMPRODUCT($E466:$E476,F466:F476))*1</f>
        <v>6162.185</v>
      </c>
      <c r="G465" s="153" t="n">
        <f aca="false">(SUMPRODUCT($E466:$E476,G466:G476))*1</f>
        <v>10.324332</v>
      </c>
    </row>
    <row r="466" customFormat="false" ht="21" hidden="false" customHeight="false" outlineLevel="0" collapsed="false">
      <c r="A466" s="154" t="n">
        <v>37370</v>
      </c>
      <c r="B466" s="155" t="s">
        <v>1443</v>
      </c>
      <c r="C466" s="148" t="str">
        <f aca="false">VLOOKUP($A466,INSUMOS_AUX!$A$3:$H$813,3,0)</f>
        <v>MAT.</v>
      </c>
      <c r="D466" s="156" t="s">
        <v>1444</v>
      </c>
      <c r="E466" s="154" t="n">
        <v>1</v>
      </c>
      <c r="F466" s="149" t="n">
        <f aca="false">IF(C466="MAT.",VLOOKUP(A466,INSUMOS_AUX!$A$3:$H$813,6,0),0)</f>
        <v>3.32</v>
      </c>
      <c r="G466" s="149" t="n">
        <f aca="false">IF(C466="M.O.",VLOOKUP(A466,INSUMOS_AUX!A:F,6,0),0)</f>
        <v>0</v>
      </c>
    </row>
    <row r="467" customFormat="false" ht="21" hidden="false" customHeight="false" outlineLevel="0" collapsed="false">
      <c r="A467" s="154" t="n">
        <v>43489</v>
      </c>
      <c r="B467" s="155" t="s">
        <v>1456</v>
      </c>
      <c r="C467" s="148" t="str">
        <f aca="false">VLOOKUP($A467,INSUMOS_AUX!$A$3:$H$813,3,0)</f>
        <v>MAT.</v>
      </c>
      <c r="D467" s="156" t="s">
        <v>1444</v>
      </c>
      <c r="E467" s="154" t="n">
        <v>0.5</v>
      </c>
      <c r="F467" s="149" t="n">
        <f aca="false">IF(C467="MAT.",VLOOKUP(A467,INSUMOS_AUX!$A$3:$H$813,6,0),0)</f>
        <v>1.31</v>
      </c>
      <c r="G467" s="149" t="n">
        <f aca="false">IF(C467="M.O.",VLOOKUP(A467,INSUMOS_AUX!A:F,6,0),0)</f>
        <v>0</v>
      </c>
    </row>
    <row r="468" customFormat="false" ht="21" hidden="false" customHeight="false" outlineLevel="0" collapsed="false">
      <c r="A468" s="154" t="n">
        <v>43491</v>
      </c>
      <c r="B468" s="155" t="s">
        <v>1457</v>
      </c>
      <c r="C468" s="148" t="str">
        <f aca="false">VLOOKUP($A468,INSUMOS_AUX!$A$3:$H$813,3,0)</f>
        <v>MAT.</v>
      </c>
      <c r="D468" s="156" t="s">
        <v>1444</v>
      </c>
      <c r="E468" s="154" t="n">
        <v>0.5</v>
      </c>
      <c r="F468" s="149" t="n">
        <f aca="false">IF(C468="MAT.",VLOOKUP(A468,INSUMOS_AUX!$A$3:$H$813,6,0),0)</f>
        <v>1.39</v>
      </c>
      <c r="G468" s="149" t="n">
        <f aca="false">IF(C468="M.O.",VLOOKUP(A468,INSUMOS_AUX!A:F,6,0),0)</f>
        <v>0</v>
      </c>
    </row>
    <row r="469" customFormat="false" ht="21" hidden="false" customHeight="false" outlineLevel="0" collapsed="false">
      <c r="A469" s="154" t="n">
        <v>37372</v>
      </c>
      <c r="B469" s="155" t="s">
        <v>1446</v>
      </c>
      <c r="C469" s="148" t="str">
        <f aca="false">VLOOKUP($A469,INSUMOS_AUX!$A$3:$H$813,3,0)</f>
        <v>MAT.</v>
      </c>
      <c r="D469" s="156" t="s">
        <v>1444</v>
      </c>
      <c r="E469" s="154" t="n">
        <v>1</v>
      </c>
      <c r="F469" s="149" t="n">
        <f aca="false">IF(C469="MAT.",VLOOKUP(A469,INSUMOS_AUX!$A$3:$H$813,6,0),0)</f>
        <v>1.43</v>
      </c>
      <c r="G469" s="149" t="n">
        <f aca="false">IF(C469="M.O.",VLOOKUP(A469,INSUMOS_AUX!A:F,6,0),0)</f>
        <v>0</v>
      </c>
    </row>
    <row r="470" customFormat="false" ht="21" hidden="false" customHeight="false" outlineLevel="0" collapsed="false">
      <c r="A470" s="154" t="n">
        <v>43465</v>
      </c>
      <c r="B470" s="155" t="s">
        <v>1458</v>
      </c>
      <c r="C470" s="148" t="str">
        <f aca="false">VLOOKUP($A470,INSUMOS_AUX!$A$3:$H$813,3,0)</f>
        <v>MAT.</v>
      </c>
      <c r="D470" s="156" t="s">
        <v>1444</v>
      </c>
      <c r="E470" s="154" t="n">
        <v>0.5</v>
      </c>
      <c r="F470" s="149" t="n">
        <f aca="false">IF(C470="MAT.",VLOOKUP(A470,INSUMOS_AUX!$A$3:$H$813,6,0),0)</f>
        <v>0.78</v>
      </c>
      <c r="G470" s="149" t="n">
        <f aca="false">IF(C470="M.O.",VLOOKUP(A470,INSUMOS_AUX!A:F,6,0),0)</f>
        <v>0</v>
      </c>
    </row>
    <row r="471" customFormat="false" ht="21" hidden="false" customHeight="false" outlineLevel="0" collapsed="false">
      <c r="A471" s="154" t="n">
        <v>43467</v>
      </c>
      <c r="B471" s="155" t="s">
        <v>1459</v>
      </c>
      <c r="C471" s="148" t="str">
        <f aca="false">VLOOKUP($A471,INSUMOS_AUX!$A$3:$H$813,3,0)</f>
        <v>MAT.</v>
      </c>
      <c r="D471" s="156" t="s">
        <v>1444</v>
      </c>
      <c r="E471" s="154" t="n">
        <v>0.5</v>
      </c>
      <c r="F471" s="149" t="n">
        <f aca="false">IF(C471="MAT.",VLOOKUP(A471,INSUMOS_AUX!$A$3:$H$813,6,0),0)</f>
        <v>0.61</v>
      </c>
      <c r="G471" s="149" t="n">
        <f aca="false">IF(C471="M.O.",VLOOKUP(A471,INSUMOS_AUX!A:F,6,0),0)</f>
        <v>0</v>
      </c>
    </row>
    <row r="472" customFormat="false" ht="21" hidden="false" customHeight="false" outlineLevel="0" collapsed="false">
      <c r="A472" s="154" t="n">
        <v>37373</v>
      </c>
      <c r="B472" s="155" t="s">
        <v>1448</v>
      </c>
      <c r="C472" s="148" t="str">
        <f aca="false">VLOOKUP($A472,INSUMOS_AUX!$A$3:$H$813,3,0)</f>
        <v>MAT.</v>
      </c>
      <c r="D472" s="156" t="s">
        <v>1444</v>
      </c>
      <c r="E472" s="154" t="n">
        <v>1</v>
      </c>
      <c r="F472" s="149" t="n">
        <f aca="false">IF(C472="MAT.",VLOOKUP(A472,INSUMOS_AUX!$A$3:$H$813,6,0),0)</f>
        <v>0.08</v>
      </c>
      <c r="G472" s="149" t="n">
        <f aca="false">IF(C472="M.O.",VLOOKUP(A472,INSUMOS_AUX!A:F,6,0),0)</f>
        <v>0</v>
      </c>
    </row>
    <row r="473" customFormat="false" ht="21" hidden="false" customHeight="false" outlineLevel="0" collapsed="false">
      <c r="A473" s="154" t="n">
        <v>37371</v>
      </c>
      <c r="B473" s="155" t="s">
        <v>1449</v>
      </c>
      <c r="C473" s="148" t="str">
        <f aca="false">VLOOKUP($A473,INSUMOS_AUX!$A$3:$H$813,3,0)</f>
        <v>MAT.</v>
      </c>
      <c r="D473" s="156" t="s">
        <v>1444</v>
      </c>
      <c r="E473" s="154" t="n">
        <v>1</v>
      </c>
      <c r="F473" s="149" t="n">
        <f aca="false">IF(C473="MAT.",VLOOKUP(A473,INSUMOS_AUX!$A$3:$H$813,6,0),0)</f>
        <v>0.59</v>
      </c>
      <c r="G473" s="149" t="n">
        <f aca="false">IF(C473="M.O.",VLOOKUP(A473,INSUMOS_AUX!A:F,6,0),0)</f>
        <v>0</v>
      </c>
    </row>
    <row r="474" customFormat="false" ht="15" hidden="false" customHeight="false" outlineLevel="0" collapsed="false">
      <c r="A474" s="154" t="s">
        <v>1608</v>
      </c>
      <c r="B474" s="155" t="s">
        <v>1607</v>
      </c>
      <c r="C474" s="148" t="str">
        <f aca="false">VLOOKUP($A474,INSUMOS_AUX!$A$3:$H$813,3,0)</f>
        <v>MAT.</v>
      </c>
      <c r="D474" s="156" t="s">
        <v>31</v>
      </c>
      <c r="E474" s="154" t="n">
        <v>1</v>
      </c>
      <c r="F474" s="149" t="n">
        <f aca="false">IF(C474="MAT.",VLOOKUP(A474,INSUMOS_AUX!$A$3:$H$813,6,0),0)</f>
        <v>6154.72</v>
      </c>
      <c r="G474" s="149" t="n">
        <f aca="false">IF(C474="M.O.",VLOOKUP(A474,INSUMOS_AUX!A:F,6,0),0)</f>
        <v>0</v>
      </c>
    </row>
    <row r="475" customFormat="false" ht="15" hidden="false" customHeight="false" outlineLevel="0" collapsed="false">
      <c r="A475" s="154" t="n">
        <v>4750</v>
      </c>
      <c r="B475" s="155" t="s">
        <v>1463</v>
      </c>
      <c r="C475" s="148" t="str">
        <f aca="false">VLOOKUP($A475,INSUMOS_AUX!$A$3:$H$813,3,0)</f>
        <v>M.O.</v>
      </c>
      <c r="D475" s="156" t="s">
        <v>1444</v>
      </c>
      <c r="E475" s="154" t="n">
        <v>0.5106</v>
      </c>
      <c r="F475" s="149" t="n">
        <f aca="false">IF(C475="MAT.",VLOOKUP(A475,INSUMOS_AUX!$A$3:$H$813,6,0),0)</f>
        <v>0</v>
      </c>
      <c r="G475" s="149" t="n">
        <f aca="false">IF(C475="M.O.",VLOOKUP(A475,INSUMOS_AUX!A:F,6,0),0)</f>
        <v>20.22</v>
      </c>
    </row>
    <row r="476" customFormat="false" ht="15" hidden="false" customHeight="false" outlineLevel="0" collapsed="false">
      <c r="A476" s="154" t="n">
        <v>6111</v>
      </c>
      <c r="B476" s="155" t="s">
        <v>1464</v>
      </c>
      <c r="C476" s="148" t="s">
        <v>59</v>
      </c>
      <c r="D476" s="156" t="s">
        <v>1444</v>
      </c>
      <c r="E476" s="154" t="n">
        <v>0.5106</v>
      </c>
      <c r="F476" s="149" t="n">
        <f aca="false">IF(C476="MAT.",VLOOKUP(A476,INSUMOS_AUX!$A$3:$H$813,6,0),0)</f>
        <v>0</v>
      </c>
      <c r="G476" s="149" t="n">
        <f aca="false">IF(C476="M.O.",VLOOKUP(A476,INSUMOS_AUX!A:F,6,0),0)</f>
        <v>0</v>
      </c>
    </row>
    <row r="477" customFormat="false" ht="21" hidden="false" customHeight="false" outlineLevel="0" collapsed="false">
      <c r="A477" s="150" t="n">
        <v>95601</v>
      </c>
      <c r="B477" s="151" t="s">
        <v>1609</v>
      </c>
      <c r="C477" s="152" t="s">
        <v>59</v>
      </c>
      <c r="D477" s="152" t="s">
        <v>31</v>
      </c>
      <c r="E477" s="150"/>
      <c r="F477" s="153" t="n">
        <f aca="false">(SUMPRODUCT($E478:$E489,F478:F489))*1</f>
        <v>5.4374740934</v>
      </c>
      <c r="G477" s="153" t="n">
        <f aca="false">(SUMPRODUCT($E478:$E489,G478:G489))*1</f>
        <v>10.3310177883</v>
      </c>
    </row>
    <row r="478" customFormat="false" ht="21" hidden="false" customHeight="false" outlineLevel="0" collapsed="false">
      <c r="A478" s="154" t="n">
        <v>37370</v>
      </c>
      <c r="B478" s="155" t="s">
        <v>1443</v>
      </c>
      <c r="C478" s="148" t="str">
        <f aca="false">VLOOKUP($A478,INSUMOS_AUX!$A$3:$H$813,3,0)</f>
        <v>MAT.</v>
      </c>
      <c r="D478" s="156" t="s">
        <v>1444</v>
      </c>
      <c r="E478" s="154" t="n">
        <v>0.726</v>
      </c>
      <c r="F478" s="149" t="n">
        <f aca="false">IF(C478="MAT.",VLOOKUP(A478,INSUMOS_AUX!$A$3:$H$813,6,0),0)</f>
        <v>3.32</v>
      </c>
      <c r="G478" s="149" t="n">
        <f aca="false">IF(C478="M.O.",VLOOKUP(A478,INSUMOS_AUX!A:F,6,0),0)</f>
        <v>0</v>
      </c>
    </row>
    <row r="479" customFormat="false" ht="21" hidden="false" customHeight="false" outlineLevel="0" collapsed="false">
      <c r="A479" s="154" t="n">
        <v>43488</v>
      </c>
      <c r="B479" s="155" t="s">
        <v>1445</v>
      </c>
      <c r="C479" s="148" t="str">
        <f aca="false">VLOOKUP($A479,INSUMOS_AUX!$A$3:$H$813,3,0)</f>
        <v>MAT.</v>
      </c>
      <c r="D479" s="156" t="s">
        <v>1444</v>
      </c>
      <c r="E479" s="154" t="n">
        <v>0.363</v>
      </c>
      <c r="F479" s="149" t="n">
        <f aca="false">IF(C479="MAT.",VLOOKUP(A479,INSUMOS_AUX!$A$3:$H$813,6,0),0)</f>
        <v>0.89</v>
      </c>
      <c r="G479" s="149" t="n">
        <f aca="false">IF(C479="M.O.",VLOOKUP(A479,INSUMOS_AUX!A:F,6,0),0)</f>
        <v>0</v>
      </c>
    </row>
    <row r="480" customFormat="false" ht="21" hidden="false" customHeight="false" outlineLevel="0" collapsed="false">
      <c r="A480" s="154" t="n">
        <v>43491</v>
      </c>
      <c r="B480" s="155" t="s">
        <v>1457</v>
      </c>
      <c r="C480" s="148" t="str">
        <f aca="false">VLOOKUP($A480,INSUMOS_AUX!$A$3:$H$813,3,0)</f>
        <v>MAT.</v>
      </c>
      <c r="D480" s="156" t="s">
        <v>1444</v>
      </c>
      <c r="E480" s="154" t="n">
        <v>0.363</v>
      </c>
      <c r="F480" s="149" t="n">
        <f aca="false">IF(C480="MAT.",VLOOKUP(A480,INSUMOS_AUX!$A$3:$H$813,6,0),0)</f>
        <v>1.39</v>
      </c>
      <c r="G480" s="149" t="n">
        <f aca="false">IF(C480="M.O.",VLOOKUP(A480,INSUMOS_AUX!A:F,6,0),0)</f>
        <v>0</v>
      </c>
    </row>
    <row r="481" customFormat="false" ht="21" hidden="false" customHeight="false" outlineLevel="0" collapsed="false">
      <c r="A481" s="154" t="n">
        <v>37372</v>
      </c>
      <c r="B481" s="155" t="s">
        <v>1446</v>
      </c>
      <c r="C481" s="148" t="str">
        <f aca="false">VLOOKUP($A481,INSUMOS_AUX!$A$3:$H$813,3,0)</f>
        <v>MAT.</v>
      </c>
      <c r="D481" s="156" t="s">
        <v>1444</v>
      </c>
      <c r="E481" s="154" t="n">
        <v>0.726</v>
      </c>
      <c r="F481" s="149" t="n">
        <f aca="false">IF(C481="MAT.",VLOOKUP(A481,INSUMOS_AUX!$A$3:$H$813,6,0),0)</f>
        <v>1.43</v>
      </c>
      <c r="G481" s="149" t="n">
        <f aca="false">IF(C481="M.O.",VLOOKUP(A481,INSUMOS_AUX!A:F,6,0),0)</f>
        <v>0</v>
      </c>
    </row>
    <row r="482" customFormat="false" ht="21" hidden="false" customHeight="false" outlineLevel="0" collapsed="false">
      <c r="A482" s="154" t="n">
        <v>43464</v>
      </c>
      <c r="B482" s="155" t="s">
        <v>1447</v>
      </c>
      <c r="C482" s="148" t="str">
        <f aca="false">VLOOKUP($A482,INSUMOS_AUX!$A$3:$H$813,3,0)</f>
        <v>MAT.</v>
      </c>
      <c r="D482" s="156" t="s">
        <v>1444</v>
      </c>
      <c r="E482" s="154" t="n">
        <v>0.363</v>
      </c>
      <c r="F482" s="149" t="n">
        <f aca="false">IF(C482="MAT.",VLOOKUP(A482,INSUMOS_AUX!$A$3:$H$813,6,0),0)</f>
        <v>0.01</v>
      </c>
      <c r="G482" s="149" t="n">
        <f aca="false">IF(C482="M.O.",VLOOKUP(A482,INSUMOS_AUX!A:F,6,0),0)</f>
        <v>0</v>
      </c>
    </row>
    <row r="483" customFormat="false" ht="21" hidden="false" customHeight="false" outlineLevel="0" collapsed="false">
      <c r="A483" s="154" t="n">
        <v>43467</v>
      </c>
      <c r="B483" s="155" t="s">
        <v>1459</v>
      </c>
      <c r="C483" s="148" t="str">
        <f aca="false">VLOOKUP($A483,INSUMOS_AUX!$A$3:$H$813,3,0)</f>
        <v>MAT.</v>
      </c>
      <c r="D483" s="156" t="s">
        <v>1444</v>
      </c>
      <c r="E483" s="154" t="n">
        <v>0.363</v>
      </c>
      <c r="F483" s="149" t="n">
        <f aca="false">IF(C483="MAT.",VLOOKUP(A483,INSUMOS_AUX!$A$3:$H$813,6,0),0)</f>
        <v>0.61</v>
      </c>
      <c r="G483" s="149" t="n">
        <f aca="false">IF(C483="M.O.",VLOOKUP(A483,INSUMOS_AUX!A:F,6,0),0)</f>
        <v>0</v>
      </c>
    </row>
    <row r="484" customFormat="false" ht="21" hidden="false" customHeight="false" outlineLevel="0" collapsed="false">
      <c r="A484" s="154" t="n">
        <v>37373</v>
      </c>
      <c r="B484" s="155" t="s">
        <v>1448</v>
      </c>
      <c r="C484" s="148" t="str">
        <f aca="false">VLOOKUP($A484,INSUMOS_AUX!$A$3:$H$813,3,0)</f>
        <v>MAT.</v>
      </c>
      <c r="D484" s="156" t="s">
        <v>1444</v>
      </c>
      <c r="E484" s="154" t="n">
        <v>0.726</v>
      </c>
      <c r="F484" s="149" t="n">
        <f aca="false">IF(C484="MAT.",VLOOKUP(A484,INSUMOS_AUX!$A$3:$H$813,6,0),0)</f>
        <v>0.08</v>
      </c>
      <c r="G484" s="149" t="n">
        <f aca="false">IF(C484="M.O.",VLOOKUP(A484,INSUMOS_AUX!A:F,6,0),0)</f>
        <v>0</v>
      </c>
    </row>
    <row r="485" customFormat="false" ht="21" hidden="false" customHeight="false" outlineLevel="0" collapsed="false">
      <c r="A485" s="154" t="n">
        <v>37371</v>
      </c>
      <c r="B485" s="155" t="s">
        <v>1449</v>
      </c>
      <c r="C485" s="148" t="str">
        <f aca="false">VLOOKUP($A485,INSUMOS_AUX!$A$3:$H$813,3,0)</f>
        <v>MAT.</v>
      </c>
      <c r="D485" s="156" t="s">
        <v>1444</v>
      </c>
      <c r="E485" s="154" t="n">
        <v>0.726</v>
      </c>
      <c r="F485" s="149" t="n">
        <f aca="false">IF(C485="MAT.",VLOOKUP(A485,INSUMOS_AUX!$A$3:$H$813,6,0),0)</f>
        <v>0.59</v>
      </c>
      <c r="G485" s="149" t="n">
        <f aca="false">IF(C485="M.O.",VLOOKUP(A485,INSUMOS_AUX!A:F,6,0),0)</f>
        <v>0</v>
      </c>
    </row>
    <row r="486" customFormat="false" ht="31.5" hidden="false" customHeight="false" outlineLevel="0" collapsed="false">
      <c r="A486" s="154" t="n">
        <v>40703</v>
      </c>
      <c r="B486" s="155" t="s">
        <v>1466</v>
      </c>
      <c r="C486" s="148" t="str">
        <f aca="false">VLOOKUP($A486,INSUMOS_AUX!$A$3:$H$813,3,0)</f>
        <v>MAT.</v>
      </c>
      <c r="D486" s="156" t="s">
        <v>31</v>
      </c>
      <c r="E486" s="154" t="n">
        <v>4.16204E-005</v>
      </c>
      <c r="F486" s="149" t="n">
        <f aca="false">IF(C486="MAT.",VLOOKUP(A486,INSUMOS_AUX!$A$3:$H$813,6,0),0)</f>
        <v>10808.5</v>
      </c>
      <c r="G486" s="149" t="n">
        <f aca="false">IF(C486="M.O.",VLOOKUP(A486,INSUMOS_AUX!A:F,6,0),0)</f>
        <v>0</v>
      </c>
    </row>
    <row r="487" customFormat="false" ht="15" hidden="false" customHeight="false" outlineLevel="0" collapsed="false">
      <c r="A487" s="154" t="n">
        <v>2705</v>
      </c>
      <c r="B487" s="155" t="s">
        <v>1467</v>
      </c>
      <c r="C487" s="148" t="s">
        <v>59</v>
      </c>
      <c r="D487" s="156" t="s">
        <v>1468</v>
      </c>
      <c r="E487" s="154" t="n">
        <v>0.27659</v>
      </c>
      <c r="F487" s="149" t="n">
        <f aca="false">IF(C487="MAT.",VLOOKUP(A487,INSUMOS_AUX!$A$3:$H$813,6,0),0)</f>
        <v>0</v>
      </c>
      <c r="G487" s="149" t="n">
        <f aca="false">IF(C487="M.O.",VLOOKUP(A487,INSUMOS_AUX!A:F,6,0),0)</f>
        <v>0</v>
      </c>
    </row>
    <row r="488" customFormat="false" ht="15" hidden="false" customHeight="false" outlineLevel="0" collapsed="false">
      <c r="A488" s="154" t="n">
        <v>4257</v>
      </c>
      <c r="B488" s="155" t="s">
        <v>1462</v>
      </c>
      <c r="C488" s="148" t="str">
        <f aca="false">VLOOKUP($A488,INSUMOS_AUX!$A$3:$H$813,3,0)</f>
        <v>M.O.</v>
      </c>
      <c r="D488" s="156" t="s">
        <v>1444</v>
      </c>
      <c r="E488" s="154" t="n">
        <v>0.36601653</v>
      </c>
      <c r="F488" s="149" t="n">
        <f aca="false">IF(C488="MAT.",VLOOKUP(A488,INSUMOS_AUX!$A$3:$H$813,6,0),0)</f>
        <v>0</v>
      </c>
      <c r="G488" s="149" t="n">
        <f aca="false">IF(C488="M.O.",VLOOKUP(A488,INSUMOS_AUX!A:F,6,0),0)</f>
        <v>15.11</v>
      </c>
    </row>
    <row r="489" customFormat="false" ht="15" hidden="false" customHeight="false" outlineLevel="0" collapsed="false">
      <c r="A489" s="154" t="n">
        <v>6111</v>
      </c>
      <c r="B489" s="155" t="s">
        <v>1464</v>
      </c>
      <c r="C489" s="148" t="str">
        <f aca="false">VLOOKUP($A489,INSUMOS_AUX!$A$3:$H$813,3,0)</f>
        <v>M.O.</v>
      </c>
      <c r="D489" s="156" t="s">
        <v>1444</v>
      </c>
      <c r="E489" s="154" t="n">
        <v>0.3706956</v>
      </c>
      <c r="F489" s="149" t="n">
        <f aca="false">IF(C489="MAT.",VLOOKUP(A489,INSUMOS_AUX!$A$3:$H$813,6,0),0)</f>
        <v>0</v>
      </c>
      <c r="G489" s="149" t="n">
        <f aca="false">IF(C489="M.O.",VLOOKUP(A489,INSUMOS_AUX!A:F,6,0),0)</f>
        <v>12.95</v>
      </c>
    </row>
    <row r="490" customFormat="false" ht="31.5" hidden="false" customHeight="false" outlineLevel="0" collapsed="false">
      <c r="A490" s="150" t="s">
        <v>120</v>
      </c>
      <c r="B490" s="151" t="s">
        <v>1610</v>
      </c>
      <c r="C490" s="152" t="s">
        <v>59</v>
      </c>
      <c r="D490" s="152" t="s">
        <v>1455</v>
      </c>
      <c r="E490" s="150"/>
      <c r="F490" s="153" t="n">
        <f aca="false">(SUMPRODUCT($E491:$E522,F491:F522))*1</f>
        <v>138.150002768105</v>
      </c>
      <c r="G490" s="153" t="n">
        <f aca="false">(SUMPRODUCT($E491:$E522,G491:G522))*1</f>
        <v>10.3029174318069</v>
      </c>
    </row>
    <row r="491" customFormat="false" ht="21" hidden="false" customHeight="false" outlineLevel="0" collapsed="false">
      <c r="A491" s="154" t="n">
        <v>37370</v>
      </c>
      <c r="B491" s="155" t="s">
        <v>1443</v>
      </c>
      <c r="C491" s="148" t="str">
        <f aca="false">VLOOKUP($A491,INSUMOS_AUX!$A$3:$H$813,3,0)</f>
        <v>MAT.</v>
      </c>
      <c r="D491" s="156" t="s">
        <v>1444</v>
      </c>
      <c r="E491" s="154" t="n">
        <v>0.41117715</v>
      </c>
      <c r="F491" s="149" t="n">
        <f aca="false">IF(C491="MAT.",VLOOKUP(A491,INSUMOS_AUX!$A$3:$H$813,6,0),0)</f>
        <v>3.32</v>
      </c>
      <c r="G491" s="149" t="n">
        <f aca="false">IF(C491="M.O.",VLOOKUP(A491,INSUMOS_AUX!A:F,6,0),0)</f>
        <v>0</v>
      </c>
    </row>
    <row r="492" customFormat="false" ht="21" hidden="false" customHeight="false" outlineLevel="0" collapsed="false">
      <c r="A492" s="154" t="n">
        <v>43487</v>
      </c>
      <c r="B492" s="155" t="s">
        <v>1611</v>
      </c>
      <c r="C492" s="148" t="str">
        <f aca="false">VLOOKUP($A492,INSUMOS_AUX!$A$3:$H$813,3,0)</f>
        <v>MAT.</v>
      </c>
      <c r="D492" s="156" t="s">
        <v>1444</v>
      </c>
      <c r="E492" s="154" t="n">
        <v>0.0836</v>
      </c>
      <c r="F492" s="149" t="n">
        <f aca="false">IF(C492="MAT.",VLOOKUP(A492,INSUMOS_AUX!$A$3:$H$813,6,0),0)</f>
        <v>1.28</v>
      </c>
      <c r="G492" s="149" t="n">
        <f aca="false">IF(C492="M.O.",VLOOKUP(A492,INSUMOS_AUX!A:F,6,0),0)</f>
        <v>0</v>
      </c>
    </row>
    <row r="493" customFormat="false" ht="21" hidden="false" customHeight="false" outlineLevel="0" collapsed="false">
      <c r="A493" s="154" t="n">
        <v>43486</v>
      </c>
      <c r="B493" s="155" t="s">
        <v>1612</v>
      </c>
      <c r="C493" s="148" t="str">
        <f aca="false">VLOOKUP($A493,INSUMOS_AUX!$A$3:$H$813,3,0)</f>
        <v>MAT.</v>
      </c>
      <c r="D493" s="156" t="s">
        <v>1444</v>
      </c>
      <c r="E493" s="154" t="n">
        <v>0.0157</v>
      </c>
      <c r="F493" s="149" t="n">
        <f aca="false">IF(C493="MAT.",VLOOKUP(A493,INSUMOS_AUX!$A$3:$H$813,6,0),0)</f>
        <v>0.77</v>
      </c>
      <c r="G493" s="149" t="n">
        <f aca="false">IF(C493="M.O.",VLOOKUP(A493,INSUMOS_AUX!A:F,6,0),0)</f>
        <v>0</v>
      </c>
    </row>
    <row r="494" customFormat="false" ht="21" hidden="false" customHeight="false" outlineLevel="0" collapsed="false">
      <c r="A494" s="154" t="n">
        <v>43488</v>
      </c>
      <c r="B494" s="155" t="s">
        <v>1445</v>
      </c>
      <c r="C494" s="148" t="str">
        <f aca="false">VLOOKUP($A494,INSUMOS_AUX!$A$3:$H$813,3,0)</f>
        <v>MAT.</v>
      </c>
      <c r="D494" s="156" t="s">
        <v>1444</v>
      </c>
      <c r="E494" s="154" t="n">
        <v>0.09102994</v>
      </c>
      <c r="F494" s="149" t="n">
        <f aca="false">IF(C494="MAT.",VLOOKUP(A494,INSUMOS_AUX!$A$3:$H$813,6,0),0)</f>
        <v>0.89</v>
      </c>
      <c r="G494" s="149" t="n">
        <f aca="false">IF(C494="M.O.",VLOOKUP(A494,INSUMOS_AUX!A:F,6,0),0)</f>
        <v>0</v>
      </c>
    </row>
    <row r="495" customFormat="false" ht="21" hidden="false" customHeight="false" outlineLevel="0" collapsed="false">
      <c r="A495" s="154" t="n">
        <v>43489</v>
      </c>
      <c r="B495" s="155" t="s">
        <v>1456</v>
      </c>
      <c r="C495" s="148" t="str">
        <f aca="false">VLOOKUP($A495,INSUMOS_AUX!$A$3:$H$813,3,0)</f>
        <v>MAT.</v>
      </c>
      <c r="D495" s="156" t="s">
        <v>1444</v>
      </c>
      <c r="E495" s="154" t="n">
        <v>0.06924721</v>
      </c>
      <c r="F495" s="149" t="n">
        <f aca="false">IF(C495="MAT.",VLOOKUP(A495,INSUMOS_AUX!$A$3:$H$813,6,0),0)</f>
        <v>1.31</v>
      </c>
      <c r="G495" s="149" t="n">
        <f aca="false">IF(C495="M.O.",VLOOKUP(A495,INSUMOS_AUX!A:F,6,0),0)</f>
        <v>0</v>
      </c>
    </row>
    <row r="496" customFormat="false" ht="21" hidden="false" customHeight="false" outlineLevel="0" collapsed="false">
      <c r="A496" s="154" t="n">
        <v>43491</v>
      </c>
      <c r="B496" s="155" t="s">
        <v>1457</v>
      </c>
      <c r="C496" s="148" t="str">
        <f aca="false">VLOOKUP($A496,INSUMOS_AUX!$A$3:$H$813,3,0)</f>
        <v>MAT.</v>
      </c>
      <c r="D496" s="156" t="s">
        <v>1444</v>
      </c>
      <c r="E496" s="154" t="n">
        <v>0.2509</v>
      </c>
      <c r="F496" s="149" t="n">
        <f aca="false">IF(C496="MAT.",VLOOKUP(A496,INSUMOS_AUX!$A$3:$H$813,6,0),0)</f>
        <v>1.39</v>
      </c>
      <c r="G496" s="149" t="n">
        <f aca="false">IF(C496="M.O.",VLOOKUP(A496,INSUMOS_AUX!A:F,6,0),0)</f>
        <v>0</v>
      </c>
    </row>
    <row r="497" customFormat="false" ht="21" hidden="false" customHeight="false" outlineLevel="0" collapsed="false">
      <c r="A497" s="154" t="n">
        <v>37372</v>
      </c>
      <c r="B497" s="155" t="s">
        <v>1446</v>
      </c>
      <c r="C497" s="148" t="str">
        <f aca="false">VLOOKUP($A497,INSUMOS_AUX!$A$3:$H$813,3,0)</f>
        <v>MAT.</v>
      </c>
      <c r="D497" s="156" t="s">
        <v>1444</v>
      </c>
      <c r="E497" s="154" t="n">
        <v>0.51047715</v>
      </c>
      <c r="F497" s="149" t="n">
        <f aca="false">IF(C497="MAT.",VLOOKUP(A497,INSUMOS_AUX!$A$3:$H$813,6,0),0)</f>
        <v>1.43</v>
      </c>
      <c r="G497" s="149" t="n">
        <f aca="false">IF(C497="M.O.",VLOOKUP(A497,INSUMOS_AUX!A:F,6,0),0)</f>
        <v>0</v>
      </c>
    </row>
    <row r="498" customFormat="false" ht="21" hidden="false" customHeight="false" outlineLevel="0" collapsed="false">
      <c r="A498" s="154" t="n">
        <v>43463</v>
      </c>
      <c r="B498" s="155" t="s">
        <v>1613</v>
      </c>
      <c r="C498" s="148" t="str">
        <f aca="false">VLOOKUP($A498,INSUMOS_AUX!$A$3:$H$813,3,0)</f>
        <v>MAT.</v>
      </c>
      <c r="D498" s="156" t="s">
        <v>1444</v>
      </c>
      <c r="E498" s="154" t="n">
        <v>0.0836</v>
      </c>
      <c r="F498" s="149" t="n">
        <f aca="false">IF(C498="MAT.",VLOOKUP(A498,INSUMOS_AUX!$A$3:$H$813,6,0),0)</f>
        <v>0.08</v>
      </c>
      <c r="G498" s="149" t="n">
        <f aca="false">IF(C498="M.O.",VLOOKUP(A498,INSUMOS_AUX!A:F,6,0),0)</f>
        <v>0</v>
      </c>
    </row>
    <row r="499" customFormat="false" ht="21" hidden="false" customHeight="false" outlineLevel="0" collapsed="false">
      <c r="A499" s="154" t="n">
        <v>43462</v>
      </c>
      <c r="B499" s="155" t="s">
        <v>1614</v>
      </c>
      <c r="C499" s="148" t="str">
        <f aca="false">VLOOKUP($A499,INSUMOS_AUX!$A$3:$H$813,3,0)</f>
        <v>MAT.</v>
      </c>
      <c r="D499" s="156" t="s">
        <v>1444</v>
      </c>
      <c r="E499" s="154" t="n">
        <v>0.0157</v>
      </c>
      <c r="F499" s="149" t="n">
        <f aca="false">IF(C499="MAT.",VLOOKUP(A499,INSUMOS_AUX!$A$3:$H$813,6,0),0)</f>
        <v>0.01</v>
      </c>
      <c r="G499" s="149" t="n">
        <f aca="false">IF(C499="M.O.",VLOOKUP(A499,INSUMOS_AUX!A:F,6,0),0)</f>
        <v>0</v>
      </c>
    </row>
    <row r="500" customFormat="false" ht="21" hidden="false" customHeight="false" outlineLevel="0" collapsed="false">
      <c r="A500" s="154" t="n">
        <v>43464</v>
      </c>
      <c r="B500" s="155" t="s">
        <v>1447</v>
      </c>
      <c r="C500" s="148" t="str">
        <f aca="false">VLOOKUP($A500,INSUMOS_AUX!$A$3:$H$813,3,0)</f>
        <v>MAT.</v>
      </c>
      <c r="D500" s="156" t="s">
        <v>1444</v>
      </c>
      <c r="E500" s="154" t="n">
        <v>0.09102994</v>
      </c>
      <c r="F500" s="149" t="n">
        <f aca="false">IF(C500="MAT.",VLOOKUP(A500,INSUMOS_AUX!$A$3:$H$813,6,0),0)</f>
        <v>0.01</v>
      </c>
      <c r="G500" s="149" t="n">
        <f aca="false">IF(C500="M.O.",VLOOKUP(A500,INSUMOS_AUX!A:F,6,0),0)</f>
        <v>0</v>
      </c>
    </row>
    <row r="501" customFormat="false" ht="21" hidden="false" customHeight="false" outlineLevel="0" collapsed="false">
      <c r="A501" s="154" t="n">
        <v>43465</v>
      </c>
      <c r="B501" s="155" t="s">
        <v>1458</v>
      </c>
      <c r="C501" s="148" t="s">
        <v>59</v>
      </c>
      <c r="D501" s="156" t="s">
        <v>1444</v>
      </c>
      <c r="E501" s="154" t="n">
        <v>0.06924721</v>
      </c>
      <c r="F501" s="149" t="n">
        <f aca="false">IF(C501="MAT.",VLOOKUP(A501,INSUMOS_AUX!$A$3:$H$813,6,0),0)</f>
        <v>0</v>
      </c>
      <c r="G501" s="149" t="n">
        <f aca="false">IF(C501="M.O.",VLOOKUP(A501,INSUMOS_AUX!A:F,6,0),0)</f>
        <v>0</v>
      </c>
    </row>
    <row r="502" customFormat="false" ht="21" hidden="false" customHeight="false" outlineLevel="0" collapsed="false">
      <c r="A502" s="154" t="n">
        <v>43467</v>
      </c>
      <c r="B502" s="155" t="s">
        <v>1459</v>
      </c>
      <c r="C502" s="148" t="str">
        <f aca="false">VLOOKUP($A502,INSUMOS_AUX!$A$3:$H$813,3,0)</f>
        <v>MAT.</v>
      </c>
      <c r="D502" s="156" t="s">
        <v>1444</v>
      </c>
      <c r="E502" s="154" t="n">
        <v>0.2509</v>
      </c>
      <c r="F502" s="149" t="n">
        <f aca="false">IF(C502="MAT.",VLOOKUP(A502,INSUMOS_AUX!$A$3:$H$813,6,0),0)</f>
        <v>0.61</v>
      </c>
      <c r="G502" s="149" t="n">
        <f aca="false">IF(C502="M.O.",VLOOKUP(A502,INSUMOS_AUX!A:F,6,0),0)</f>
        <v>0</v>
      </c>
    </row>
    <row r="503" customFormat="false" ht="21" hidden="false" customHeight="false" outlineLevel="0" collapsed="false">
      <c r="A503" s="154" t="n">
        <v>37373</v>
      </c>
      <c r="B503" s="155" t="s">
        <v>1448</v>
      </c>
      <c r="C503" s="148" t="str">
        <f aca="false">VLOOKUP($A503,INSUMOS_AUX!$A$3:$H$813,3,0)</f>
        <v>MAT.</v>
      </c>
      <c r="D503" s="156" t="s">
        <v>1444</v>
      </c>
      <c r="E503" s="154" t="n">
        <v>0.51047715</v>
      </c>
      <c r="F503" s="149" t="n">
        <f aca="false">IF(C503="MAT.",VLOOKUP(A503,INSUMOS_AUX!$A$3:$H$813,6,0),0)</f>
        <v>0.08</v>
      </c>
      <c r="G503" s="149" t="n">
        <f aca="false">IF(C503="M.O.",VLOOKUP(A503,INSUMOS_AUX!A:F,6,0),0)</f>
        <v>0</v>
      </c>
    </row>
    <row r="504" customFormat="false" ht="21" hidden="false" customHeight="false" outlineLevel="0" collapsed="false">
      <c r="A504" s="154" t="n">
        <v>37371</v>
      </c>
      <c r="B504" s="155" t="s">
        <v>1449</v>
      </c>
      <c r="C504" s="148" t="str">
        <f aca="false">VLOOKUP($A504,INSUMOS_AUX!$A$3:$H$813,3,0)</f>
        <v>MAT.</v>
      </c>
      <c r="D504" s="156" t="s">
        <v>1444</v>
      </c>
      <c r="E504" s="154" t="n">
        <v>0.41117715</v>
      </c>
      <c r="F504" s="149" t="n">
        <f aca="false">IF(C504="MAT.",VLOOKUP(A504,INSUMOS_AUX!$A$3:$H$813,6,0),0)</f>
        <v>0.59</v>
      </c>
      <c r="G504" s="149" t="n">
        <f aca="false">IF(C504="M.O.",VLOOKUP(A504,INSUMOS_AUX!A:F,6,0),0)</f>
        <v>0</v>
      </c>
    </row>
    <row r="505" customFormat="false" ht="21" hidden="false" customHeight="false" outlineLevel="0" collapsed="false">
      <c r="A505" s="154" t="n">
        <v>37733</v>
      </c>
      <c r="B505" s="155" t="s">
        <v>1615</v>
      </c>
      <c r="C505" s="148" t="str">
        <f aca="false">VLOOKUP($A505,INSUMOS_AUX!$A$3:$H$813,3,0)</f>
        <v>MAT.</v>
      </c>
      <c r="D505" s="156" t="s">
        <v>31</v>
      </c>
      <c r="E505" s="154" t="n">
        <v>6.74095298E-007</v>
      </c>
      <c r="F505" s="149" t="n">
        <f aca="false">IF(C505="MAT.",VLOOKUP(A505,INSUMOS_AUX!$A$3:$H$813,6,0),0)</f>
        <v>61258.13</v>
      </c>
      <c r="G505" s="149" t="n">
        <f aca="false">IF(C505="M.O.",VLOOKUP(A505,INSUMOS_AUX!A:F,6,0),0)</f>
        <v>0</v>
      </c>
    </row>
    <row r="506" customFormat="false" ht="31.5" hidden="false" customHeight="false" outlineLevel="0" collapsed="false">
      <c r="A506" s="154" t="n">
        <v>37752</v>
      </c>
      <c r="B506" s="155" t="s">
        <v>1616</v>
      </c>
      <c r="C506" s="148" t="str">
        <f aca="false">VLOOKUP($A506,INSUMOS_AUX!$A$3:$H$813,3,0)</f>
        <v>MAT.</v>
      </c>
      <c r="D506" s="156" t="s">
        <v>31</v>
      </c>
      <c r="E506" s="154" t="n">
        <v>4.73038284E-007</v>
      </c>
      <c r="F506" s="149" t="n">
        <f aca="false">IF(C506="MAT.",VLOOKUP(A506,INSUMOS_AUX!$A$3:$H$813,6,0),0)</f>
        <v>578010.79</v>
      </c>
      <c r="G506" s="149" t="n">
        <f aca="false">IF(C506="M.O.",VLOOKUP(A506,INSUMOS_AUX!A:F,6,0),0)</f>
        <v>0</v>
      </c>
    </row>
    <row r="507" customFormat="false" ht="31.5" hidden="false" customHeight="false" outlineLevel="0" collapsed="false">
      <c r="A507" s="154" t="n">
        <v>4262</v>
      </c>
      <c r="B507" s="155" t="s">
        <v>1450</v>
      </c>
      <c r="C507" s="148" t="str">
        <f aca="false">VLOOKUP($A507,INSUMOS_AUX!$A$3:$H$813,3,0)</f>
        <v>MAT.</v>
      </c>
      <c r="D507" s="156" t="s">
        <v>31</v>
      </c>
      <c r="E507" s="154" t="n">
        <v>2.16163752E-007</v>
      </c>
      <c r="F507" s="149" t="n">
        <f aca="false">IF(C507="MAT.",VLOOKUP(A507,INSUMOS_AUX!$A$3:$H$813,6,0),0)</f>
        <v>665000</v>
      </c>
      <c r="G507" s="149" t="n">
        <f aca="false">IF(C507="M.O.",VLOOKUP(A507,INSUMOS_AUX!A:F,6,0),0)</f>
        <v>0</v>
      </c>
    </row>
    <row r="508" customFormat="false" ht="42" hidden="false" customHeight="false" outlineLevel="0" collapsed="false">
      <c r="A508" s="154" t="n">
        <v>38541</v>
      </c>
      <c r="B508" s="155" t="s">
        <v>1617</v>
      </c>
      <c r="C508" s="148" t="str">
        <f aca="false">VLOOKUP($A508,INSUMOS_AUX!$A$3:$H$813,3,0)</f>
        <v>MAT.</v>
      </c>
      <c r="D508" s="156" t="s">
        <v>31</v>
      </c>
      <c r="E508" s="154" t="n">
        <v>7.2655E-006</v>
      </c>
      <c r="F508" s="149" t="n">
        <f aca="false">IF(C508="MAT.",VLOOKUP(A508,INSUMOS_AUX!$A$3:$H$813,6,0),0)</f>
        <v>4594594.59</v>
      </c>
      <c r="G508" s="149" t="n">
        <f aca="false">IF(C508="M.O.",VLOOKUP(A508,INSUMOS_AUX!A:F,6,0),0)</f>
        <v>0</v>
      </c>
    </row>
    <row r="509" customFormat="false" ht="15" hidden="false" customHeight="false" outlineLevel="0" collapsed="false">
      <c r="A509" s="154" t="n">
        <v>43055</v>
      </c>
      <c r="B509" s="155" t="s">
        <v>1618</v>
      </c>
      <c r="C509" s="148" t="str">
        <f aca="false">VLOOKUP($A509,INSUMOS_AUX!$A$3:$H$813,3,0)</f>
        <v>MAT.</v>
      </c>
      <c r="D509" s="156" t="s">
        <v>1513</v>
      </c>
      <c r="E509" s="154" t="n">
        <v>2.489508</v>
      </c>
      <c r="F509" s="149" t="n">
        <f aca="false">IF(C509="MAT.",VLOOKUP(A509,INSUMOS_AUX!$A$3:$H$813,6,0),0)</f>
        <v>6.65</v>
      </c>
      <c r="G509" s="149" t="n">
        <f aca="false">IF(C509="M.O.",VLOOKUP(A509,INSUMOS_AUX!A:F,6,0),0)</f>
        <v>0</v>
      </c>
    </row>
    <row r="510" customFormat="false" ht="15" hidden="false" customHeight="false" outlineLevel="0" collapsed="false">
      <c r="A510" s="154" t="n">
        <v>32</v>
      </c>
      <c r="B510" s="155" t="s">
        <v>1619</v>
      </c>
      <c r="C510" s="148" t="str">
        <f aca="false">VLOOKUP($A510,INSUMOS_AUX!$A$3:$H$813,3,0)</f>
        <v>MAT.</v>
      </c>
      <c r="D510" s="156" t="s">
        <v>1513</v>
      </c>
      <c r="E510" s="154" t="n">
        <v>0.233795</v>
      </c>
      <c r="F510" s="149" t="n">
        <f aca="false">IF(C510="MAT.",VLOOKUP(A510,INSUMOS_AUX!$A$3:$H$813,6,0),0)</f>
        <v>8.1</v>
      </c>
      <c r="G510" s="149" t="n">
        <f aca="false">IF(C510="M.O.",VLOOKUP(A510,INSUMOS_AUX!A:F,6,0),0)</f>
        <v>0</v>
      </c>
    </row>
    <row r="511" customFormat="false" ht="21" hidden="false" customHeight="false" outlineLevel="0" collapsed="false">
      <c r="A511" s="154" t="n">
        <v>43132</v>
      </c>
      <c r="B511" s="155" t="s">
        <v>1565</v>
      </c>
      <c r="C511" s="148" t="str">
        <f aca="false">VLOOKUP($A511,INSUMOS_AUX!$A$3:$H$813,3,0)</f>
        <v>MAT.</v>
      </c>
      <c r="D511" s="156" t="s">
        <v>1513</v>
      </c>
      <c r="E511" s="154" t="n">
        <v>0.049226</v>
      </c>
      <c r="F511" s="149" t="n">
        <f aca="false">IF(C511="MAT.",VLOOKUP(A511,INSUMOS_AUX!$A$3:$H$813,6,0),0)</f>
        <v>28</v>
      </c>
      <c r="G511" s="149" t="n">
        <f aca="false">IF(C511="M.O.",VLOOKUP(A511,INSUMOS_AUX!A:F,6,0),0)</f>
        <v>0</v>
      </c>
    </row>
    <row r="512" customFormat="false" ht="31.5" hidden="false" customHeight="false" outlineLevel="0" collapsed="false">
      <c r="A512" s="154" t="n">
        <v>11145</v>
      </c>
      <c r="B512" s="155" t="s">
        <v>1620</v>
      </c>
      <c r="C512" s="148" t="str">
        <f aca="false">VLOOKUP($A512,INSUMOS_AUX!$A$3:$H$813,3,0)</f>
        <v>MAT.</v>
      </c>
      <c r="D512" s="156" t="s">
        <v>1442</v>
      </c>
      <c r="E512" s="154" t="n">
        <v>0.1133</v>
      </c>
      <c r="F512" s="149" t="n">
        <f aca="false">IF(C512="MAT.",VLOOKUP(A512,INSUMOS_AUX!$A$3:$H$813,6,0),0)</f>
        <v>688.16</v>
      </c>
      <c r="G512" s="149" t="n">
        <f aca="false">IF(C512="M.O.",VLOOKUP(A512,INSUMOS_AUX!A:F,6,0),0)</f>
        <v>0</v>
      </c>
    </row>
    <row r="513" customFormat="false" ht="21" hidden="false" customHeight="false" outlineLevel="0" collapsed="false">
      <c r="A513" s="154" t="n">
        <v>39017</v>
      </c>
      <c r="B513" s="155" t="s">
        <v>1621</v>
      </c>
      <c r="C513" s="148" t="s">
        <v>59</v>
      </c>
      <c r="D513" s="156" t="s">
        <v>31</v>
      </c>
      <c r="E513" s="154" t="n">
        <v>0.6874186</v>
      </c>
      <c r="F513" s="149" t="n">
        <f aca="false">IF(C513="MAT.",VLOOKUP(A513,INSUMOS_AUX!$A$3:$H$813,6,0),0)</f>
        <v>0</v>
      </c>
      <c r="G513" s="149" t="n">
        <f aca="false">IF(C513="M.O.",VLOOKUP(A513,INSUMOS_AUX!A:F,6,0),0)</f>
        <v>0</v>
      </c>
    </row>
    <row r="514" customFormat="false" ht="15" hidden="false" customHeight="false" outlineLevel="0" collapsed="false">
      <c r="A514" s="154" t="n">
        <v>4221</v>
      </c>
      <c r="B514" s="155" t="s">
        <v>1451</v>
      </c>
      <c r="C514" s="148" t="str">
        <f aca="false">VLOOKUP($A514,INSUMOS_AUX!$A$3:$H$813,3,0)</f>
        <v>MAT.</v>
      </c>
      <c r="D514" s="156" t="s">
        <v>1452</v>
      </c>
      <c r="E514" s="154" t="n">
        <v>0.5310162716</v>
      </c>
      <c r="F514" s="149" t="n">
        <f aca="false">IF(C514="MAT.",VLOOKUP(A514,INSUMOS_AUX!$A$3:$H$813,6,0),0)</f>
        <v>6.28</v>
      </c>
      <c r="G514" s="149" t="n">
        <f aca="false">IF(C514="M.O.",VLOOKUP(A514,INSUMOS_AUX!A:F,6,0),0)</f>
        <v>0</v>
      </c>
    </row>
    <row r="515" customFormat="false" ht="15" hidden="false" customHeight="false" outlineLevel="0" collapsed="false">
      <c r="A515" s="154" t="n">
        <v>6114</v>
      </c>
      <c r="B515" s="155" t="s">
        <v>1588</v>
      </c>
      <c r="C515" s="148" t="str">
        <f aca="false">VLOOKUP($A515,INSUMOS_AUX!$A$3:$H$813,3,0)</f>
        <v>M.O.</v>
      </c>
      <c r="D515" s="156" t="s">
        <v>1444</v>
      </c>
      <c r="E515" s="154" t="n">
        <v>0.0104886886062</v>
      </c>
      <c r="F515" s="149" t="n">
        <f aca="false">IF(C515="MAT.",VLOOKUP(A515,INSUMOS_AUX!$A$3:$H$813,6,0),0)</f>
        <v>0</v>
      </c>
      <c r="G515" s="149" t="n">
        <f aca="false">IF(C515="M.O.",VLOOKUP(A515,INSUMOS_AUX!A:F,6,0),0)</f>
        <v>13.26</v>
      </c>
    </row>
    <row r="516" customFormat="false" ht="15" hidden="false" customHeight="false" outlineLevel="0" collapsed="false">
      <c r="A516" s="154" t="n">
        <v>378</v>
      </c>
      <c r="B516" s="155" t="s">
        <v>1589</v>
      </c>
      <c r="C516" s="148" t="str">
        <f aca="false">VLOOKUP($A516,INSUMOS_AUX!$A$3:$H$813,3,0)</f>
        <v>M.O.</v>
      </c>
      <c r="D516" s="156" t="s">
        <v>1444</v>
      </c>
      <c r="E516" s="154" t="n">
        <v>0.0595576341972</v>
      </c>
      <c r="F516" s="149" t="n">
        <f aca="false">IF(C516="MAT.",VLOOKUP(A516,INSUMOS_AUX!$A$3:$H$813,6,0),0)</f>
        <v>0</v>
      </c>
      <c r="G516" s="149" t="n">
        <f aca="false">IF(C516="M.O.",VLOOKUP(A516,INSUMOS_AUX!A:F,6,0),0)</f>
        <v>20.22</v>
      </c>
    </row>
    <row r="517" customFormat="false" ht="15" hidden="false" customHeight="false" outlineLevel="0" collapsed="false">
      <c r="A517" s="154" t="n">
        <v>4083</v>
      </c>
      <c r="B517" s="155" t="s">
        <v>1622</v>
      </c>
      <c r="C517" s="148" t="str">
        <f aca="false">VLOOKUP($A517,INSUMOS_AUX!$A$3:$H$813,3,0)</f>
        <v>M.O.</v>
      </c>
      <c r="D517" s="156" t="s">
        <v>1444</v>
      </c>
      <c r="E517" s="154" t="n">
        <v>0.08537232</v>
      </c>
      <c r="F517" s="149" t="n">
        <f aca="false">IF(C517="MAT.",VLOOKUP(A517,INSUMOS_AUX!$A$3:$H$813,6,0),0)</f>
        <v>0</v>
      </c>
      <c r="G517" s="149" t="n">
        <f aca="false">IF(C517="M.O.",VLOOKUP(A517,INSUMOS_AUX!A:F,6,0),0)</f>
        <v>28.17</v>
      </c>
    </row>
    <row r="518" customFormat="false" ht="15" hidden="false" customHeight="false" outlineLevel="0" collapsed="false">
      <c r="A518" s="154" t="n">
        <v>2707</v>
      </c>
      <c r="B518" s="155" t="s">
        <v>1623</v>
      </c>
      <c r="C518" s="148" t="str">
        <f aca="false">VLOOKUP($A518,INSUMOS_AUX!$A$3:$H$813,3,0)</f>
        <v>M.O.</v>
      </c>
      <c r="D518" s="156" t="s">
        <v>1444</v>
      </c>
      <c r="E518" s="154" t="n">
        <v>0.015931732</v>
      </c>
      <c r="F518" s="149" t="n">
        <f aca="false">IF(C518="MAT.",VLOOKUP(A518,INSUMOS_AUX!$A$3:$H$813,6,0),0)</f>
        <v>0</v>
      </c>
      <c r="G518" s="149" t="n">
        <f aca="false">IF(C518="M.O.",VLOOKUP(A518,INSUMOS_AUX!A:F,6,0),0)</f>
        <v>116.29</v>
      </c>
    </row>
    <row r="519" customFormat="false" ht="15" hidden="false" customHeight="false" outlineLevel="0" collapsed="false">
      <c r="A519" s="154" t="n">
        <v>20020</v>
      </c>
      <c r="B519" s="155" t="s">
        <v>1474</v>
      </c>
      <c r="C519" s="148" t="str">
        <f aca="false">VLOOKUP($A519,INSUMOS_AUX!$A$3:$H$813,3,0)</f>
        <v>M.O.</v>
      </c>
      <c r="D519" s="156" t="s">
        <v>1444</v>
      </c>
      <c r="E519" s="154" t="n">
        <v>0.005195812755</v>
      </c>
      <c r="F519" s="149" t="n">
        <f aca="false">IF(C519="MAT.",VLOOKUP(A519,INSUMOS_AUX!$A$3:$H$813,6,0),0)</f>
        <v>0</v>
      </c>
      <c r="G519" s="149" t="n">
        <f aca="false">IF(C519="M.O.",VLOOKUP(A519,INSUMOS_AUX!A:F,6,0),0)</f>
        <v>24.19</v>
      </c>
    </row>
    <row r="520" customFormat="false" ht="21" hidden="false" customHeight="false" outlineLevel="0" collapsed="false">
      <c r="A520" s="154" t="n">
        <v>4230</v>
      </c>
      <c r="B520" s="155" t="s">
        <v>1597</v>
      </c>
      <c r="C520" s="148" t="str">
        <f aca="false">VLOOKUP($A520,INSUMOS_AUX!$A$3:$H$813,3,0)</f>
        <v>M.O.</v>
      </c>
      <c r="D520" s="156" t="s">
        <v>1444</v>
      </c>
      <c r="E520" s="154" t="n">
        <v>0.084564744</v>
      </c>
      <c r="F520" s="149" t="n">
        <f aca="false">IF(C520="MAT.",VLOOKUP(A520,INSUMOS_AUX!$A$3:$H$813,6,0),0)</f>
        <v>0</v>
      </c>
      <c r="G520" s="149" t="n">
        <f aca="false">IF(C520="M.O.",VLOOKUP(A520,INSUMOS_AUX!A:F,6,0),0)</f>
        <v>14.53</v>
      </c>
    </row>
    <row r="521" customFormat="false" ht="15" hidden="false" customHeight="false" outlineLevel="0" collapsed="false">
      <c r="A521" s="154" t="n">
        <v>4248</v>
      </c>
      <c r="B521" s="155" t="s">
        <v>1453</v>
      </c>
      <c r="C521" s="148" t="str">
        <f aca="false">VLOOKUP($A521,INSUMOS_AUX!$A$3:$H$813,3,0)</f>
        <v>M.O.</v>
      </c>
      <c r="D521" s="156" t="s">
        <v>1444</v>
      </c>
      <c r="E521" s="154" t="n">
        <v>0.0022792242564</v>
      </c>
      <c r="F521" s="149" t="n">
        <f aca="false">IF(C521="MAT.",VLOOKUP(A521,INSUMOS_AUX!$A$3:$H$813,6,0),0)</f>
        <v>0</v>
      </c>
      <c r="G521" s="149" t="n">
        <f aca="false">IF(C521="M.O.",VLOOKUP(A521,INSUMOS_AUX!A:F,6,0),0)</f>
        <v>12.94</v>
      </c>
    </row>
    <row r="522" customFormat="false" ht="15" hidden="false" customHeight="false" outlineLevel="0" collapsed="false">
      <c r="A522" s="154" t="n">
        <v>6111</v>
      </c>
      <c r="B522" s="155" t="s">
        <v>1464</v>
      </c>
      <c r="C522" s="148" t="str">
        <f aca="false">VLOOKUP($A522,INSUMOS_AUX!$A$3:$H$813,3,0)</f>
        <v>M.O.</v>
      </c>
      <c r="D522" s="156" t="s">
        <v>1444</v>
      </c>
      <c r="E522" s="154" t="n">
        <v>0.25621908</v>
      </c>
      <c r="F522" s="149" t="n">
        <f aca="false">IF(C522="MAT.",VLOOKUP(A522,INSUMOS_AUX!$A$3:$H$813,6,0),0)</f>
        <v>0</v>
      </c>
      <c r="G522" s="149" t="n">
        <f aca="false">IF(C522="M.O.",VLOOKUP(A522,INSUMOS_AUX!A:F,6,0),0)</f>
        <v>12.95</v>
      </c>
    </row>
    <row r="523" customFormat="false" ht="31.5" hidden="false" customHeight="false" outlineLevel="0" collapsed="false">
      <c r="A523" s="150" t="n">
        <v>96521</v>
      </c>
      <c r="B523" s="151" t="s">
        <v>1624</v>
      </c>
      <c r="C523" s="152" t="s">
        <v>59</v>
      </c>
      <c r="D523" s="152" t="s">
        <v>1442</v>
      </c>
      <c r="E523" s="150"/>
      <c r="F523" s="153" t="n">
        <f aca="false">(SUMPRODUCT($E524:$E538,F524:F538))*1</f>
        <v>29.675465530752</v>
      </c>
      <c r="G523" s="153" t="n">
        <f aca="false">(SUMPRODUCT($E524:$E538,G524:G538))*1</f>
        <v>8.0586712944</v>
      </c>
    </row>
    <row r="524" customFormat="false" ht="21" hidden="false" customHeight="false" outlineLevel="0" collapsed="false">
      <c r="A524" s="154" t="n">
        <v>37370</v>
      </c>
      <c r="B524" s="155" t="s">
        <v>1443</v>
      </c>
      <c r="C524" s="148" t="str">
        <f aca="false">VLOOKUP($A524,INSUMOS_AUX!$A$3:$H$813,3,0)</f>
        <v>MAT.</v>
      </c>
      <c r="D524" s="156" t="s">
        <v>1444</v>
      </c>
      <c r="E524" s="154" t="n">
        <v>0.559</v>
      </c>
      <c r="F524" s="149" t="n">
        <f aca="false">IF(C524="MAT.",VLOOKUP(A524,INSUMOS_AUX!$A$3:$H$813,6,0),0)</f>
        <v>3.32</v>
      </c>
      <c r="G524" s="149" t="n">
        <f aca="false">IF(C524="M.O.",VLOOKUP(A524,INSUMOS_AUX!A:F,6,0),0)</f>
        <v>0</v>
      </c>
    </row>
    <row r="525" customFormat="false" ht="21" hidden="false" customHeight="false" outlineLevel="0" collapsed="false">
      <c r="A525" s="154" t="n">
        <v>43488</v>
      </c>
      <c r="B525" s="155" t="s">
        <v>1445</v>
      </c>
      <c r="C525" s="148" t="str">
        <f aca="false">VLOOKUP($A525,INSUMOS_AUX!$A$3:$H$813,3,0)</f>
        <v>MAT.</v>
      </c>
      <c r="D525" s="156" t="s">
        <v>1444</v>
      </c>
      <c r="E525" s="154" t="n">
        <v>0.288</v>
      </c>
      <c r="F525" s="149" t="n">
        <f aca="false">IF(C525="MAT.",VLOOKUP(A525,INSUMOS_AUX!$A$3:$H$813,6,0),0)</f>
        <v>0.89</v>
      </c>
      <c r="G525" s="149" t="n">
        <f aca="false">IF(C525="M.O.",VLOOKUP(A525,INSUMOS_AUX!A:F,6,0),0)</f>
        <v>0</v>
      </c>
    </row>
    <row r="526" customFormat="false" ht="21" hidden="false" customHeight="false" outlineLevel="0" collapsed="false">
      <c r="A526" s="154" t="n">
        <v>43489</v>
      </c>
      <c r="B526" s="155" t="s">
        <v>1456</v>
      </c>
      <c r="C526" s="148" t="str">
        <f aca="false">VLOOKUP($A526,INSUMOS_AUX!$A$3:$H$813,3,0)</f>
        <v>MAT.</v>
      </c>
      <c r="D526" s="156" t="s">
        <v>1444</v>
      </c>
      <c r="E526" s="154" t="n">
        <v>0.105</v>
      </c>
      <c r="F526" s="149" t="n">
        <f aca="false">IF(C526="MAT.",VLOOKUP(A526,INSUMOS_AUX!$A$3:$H$813,6,0),0)</f>
        <v>1.31</v>
      </c>
      <c r="G526" s="149" t="n">
        <f aca="false">IF(C526="M.O.",VLOOKUP(A526,INSUMOS_AUX!A:F,6,0),0)</f>
        <v>0</v>
      </c>
    </row>
    <row r="527" customFormat="false" ht="21" hidden="false" customHeight="false" outlineLevel="0" collapsed="false">
      <c r="A527" s="154" t="n">
        <v>43491</v>
      </c>
      <c r="B527" s="155" t="s">
        <v>1457</v>
      </c>
      <c r="C527" s="148" t="s">
        <v>59</v>
      </c>
      <c r="D527" s="156" t="s">
        <v>1444</v>
      </c>
      <c r="E527" s="154" t="n">
        <v>0.166</v>
      </c>
      <c r="F527" s="149" t="n">
        <f aca="false">IF(C527="MAT.",VLOOKUP(A527,INSUMOS_AUX!$A$3:$H$813,6,0),0)</f>
        <v>0</v>
      </c>
      <c r="G527" s="149" t="n">
        <f aca="false">IF(C527="M.O.",VLOOKUP(A527,INSUMOS_AUX!A:F,6,0),0)</f>
        <v>0</v>
      </c>
    </row>
    <row r="528" customFormat="false" ht="21" hidden="false" customHeight="false" outlineLevel="0" collapsed="false">
      <c r="A528" s="154" t="n">
        <v>37372</v>
      </c>
      <c r="B528" s="155" t="s">
        <v>1446</v>
      </c>
      <c r="C528" s="148" t="str">
        <f aca="false">VLOOKUP($A528,INSUMOS_AUX!$A$3:$H$813,3,0)</f>
        <v>MAT.</v>
      </c>
      <c r="D528" s="156" t="s">
        <v>1444</v>
      </c>
      <c r="E528" s="154" t="n">
        <v>0.559</v>
      </c>
      <c r="F528" s="149" t="n">
        <f aca="false">IF(C528="MAT.",VLOOKUP(A528,INSUMOS_AUX!$A$3:$H$813,6,0),0)</f>
        <v>1.43</v>
      </c>
      <c r="G528" s="149" t="n">
        <f aca="false">IF(C528="M.O.",VLOOKUP(A528,INSUMOS_AUX!A:F,6,0),0)</f>
        <v>0</v>
      </c>
    </row>
    <row r="529" customFormat="false" ht="21" hidden="false" customHeight="false" outlineLevel="0" collapsed="false">
      <c r="A529" s="154" t="n">
        <v>43464</v>
      </c>
      <c r="B529" s="155" t="s">
        <v>1447</v>
      </c>
      <c r="C529" s="148" t="str">
        <f aca="false">VLOOKUP($A529,INSUMOS_AUX!$A$3:$H$813,3,0)</f>
        <v>MAT.</v>
      </c>
      <c r="D529" s="156" t="s">
        <v>1444</v>
      </c>
      <c r="E529" s="154" t="n">
        <v>0.288</v>
      </c>
      <c r="F529" s="149" t="n">
        <f aca="false">IF(C529="MAT.",VLOOKUP(A529,INSUMOS_AUX!$A$3:$H$813,6,0),0)</f>
        <v>0.01</v>
      </c>
      <c r="G529" s="149" t="n">
        <f aca="false">IF(C529="M.O.",VLOOKUP(A529,INSUMOS_AUX!A:F,6,0),0)</f>
        <v>0</v>
      </c>
    </row>
    <row r="530" customFormat="false" ht="21" hidden="false" customHeight="false" outlineLevel="0" collapsed="false">
      <c r="A530" s="154" t="n">
        <v>43465</v>
      </c>
      <c r="B530" s="155" t="s">
        <v>1458</v>
      </c>
      <c r="C530" s="148" t="str">
        <f aca="false">VLOOKUP($A530,INSUMOS_AUX!$A$3:$H$813,3,0)</f>
        <v>MAT.</v>
      </c>
      <c r="D530" s="156" t="s">
        <v>1444</v>
      </c>
      <c r="E530" s="154" t="n">
        <v>0.105</v>
      </c>
      <c r="F530" s="149" t="n">
        <f aca="false">IF(C530="MAT.",VLOOKUP(A530,INSUMOS_AUX!$A$3:$H$813,6,0),0)</f>
        <v>0.78</v>
      </c>
      <c r="G530" s="149" t="n">
        <f aca="false">IF(C530="M.O.",VLOOKUP(A530,INSUMOS_AUX!A:F,6,0),0)</f>
        <v>0</v>
      </c>
    </row>
    <row r="531" customFormat="false" ht="21" hidden="false" customHeight="false" outlineLevel="0" collapsed="false">
      <c r="A531" s="154" t="n">
        <v>43467</v>
      </c>
      <c r="B531" s="155" t="s">
        <v>1459</v>
      </c>
      <c r="C531" s="148" t="str">
        <f aca="false">VLOOKUP($A531,INSUMOS_AUX!$A$3:$H$813,3,0)</f>
        <v>MAT.</v>
      </c>
      <c r="D531" s="156" t="s">
        <v>1444</v>
      </c>
      <c r="E531" s="154" t="n">
        <v>0.166</v>
      </c>
      <c r="F531" s="149" t="n">
        <f aca="false">IF(C531="MAT.",VLOOKUP(A531,INSUMOS_AUX!$A$3:$H$813,6,0),0)</f>
        <v>0.61</v>
      </c>
      <c r="G531" s="149" t="n">
        <f aca="false">IF(C531="M.O.",VLOOKUP(A531,INSUMOS_AUX!A:F,6,0),0)</f>
        <v>0</v>
      </c>
    </row>
    <row r="532" customFormat="false" ht="21" hidden="false" customHeight="false" outlineLevel="0" collapsed="false">
      <c r="A532" s="154" t="n">
        <v>37373</v>
      </c>
      <c r="B532" s="155" t="s">
        <v>1448</v>
      </c>
      <c r="C532" s="148" t="str">
        <f aca="false">VLOOKUP($A532,INSUMOS_AUX!$A$3:$H$813,3,0)</f>
        <v>MAT.</v>
      </c>
      <c r="D532" s="156" t="s">
        <v>1444</v>
      </c>
      <c r="E532" s="154" t="n">
        <v>0.559</v>
      </c>
      <c r="F532" s="149" t="n">
        <f aca="false">IF(C532="MAT.",VLOOKUP(A532,INSUMOS_AUX!$A$3:$H$813,6,0),0)</f>
        <v>0.08</v>
      </c>
      <c r="G532" s="149" t="n">
        <f aca="false">IF(C532="M.O.",VLOOKUP(A532,INSUMOS_AUX!A:F,6,0),0)</f>
        <v>0</v>
      </c>
    </row>
    <row r="533" customFormat="false" ht="21" hidden="false" customHeight="false" outlineLevel="0" collapsed="false">
      <c r="A533" s="154" t="n">
        <v>37371</v>
      </c>
      <c r="B533" s="155" t="s">
        <v>1449</v>
      </c>
      <c r="C533" s="148" t="str">
        <f aca="false">VLOOKUP($A533,INSUMOS_AUX!$A$3:$H$813,3,0)</f>
        <v>MAT.</v>
      </c>
      <c r="D533" s="156" t="s">
        <v>1444</v>
      </c>
      <c r="E533" s="154" t="n">
        <v>0.559</v>
      </c>
      <c r="F533" s="149" t="n">
        <f aca="false">IF(C533="MAT.",VLOOKUP(A533,INSUMOS_AUX!$A$3:$H$813,6,0),0)</f>
        <v>0.59</v>
      </c>
      <c r="G533" s="149" t="n">
        <f aca="false">IF(C533="M.O.",VLOOKUP(A533,INSUMOS_AUX!A:F,6,0),0)</f>
        <v>0</v>
      </c>
    </row>
    <row r="534" customFormat="false" ht="52.5" hidden="false" customHeight="false" outlineLevel="0" collapsed="false">
      <c r="A534" s="154" t="n">
        <v>36531</v>
      </c>
      <c r="B534" s="155" t="s">
        <v>1493</v>
      </c>
      <c r="C534" s="148" t="str">
        <f aca="false">VLOOKUP($A534,INSUMOS_AUX!$A$3:$H$813,3,0)</f>
        <v>MAT.</v>
      </c>
      <c r="D534" s="156" t="s">
        <v>31</v>
      </c>
      <c r="E534" s="154" t="n">
        <v>3.38304E-005</v>
      </c>
      <c r="F534" s="149" t="n">
        <f aca="false">IF(C534="MAT.",VLOOKUP(A534,INSUMOS_AUX!$A$3:$H$813,6,0),0)</f>
        <v>466463.38</v>
      </c>
      <c r="G534" s="149" t="n">
        <f aca="false">IF(C534="M.O.",VLOOKUP(A534,INSUMOS_AUX!A:F,6,0),0)</f>
        <v>0</v>
      </c>
    </row>
    <row r="535" customFormat="false" ht="15" hidden="false" customHeight="false" outlineLevel="0" collapsed="false">
      <c r="A535" s="154" t="n">
        <v>4221</v>
      </c>
      <c r="B535" s="155" t="s">
        <v>1451</v>
      </c>
      <c r="C535" s="148" t="str">
        <f aca="false">VLOOKUP($A535,INSUMOS_AUX!$A$3:$H$813,3,0)</f>
        <v>MAT.</v>
      </c>
      <c r="D535" s="156" t="s">
        <v>1452</v>
      </c>
      <c r="E535" s="154" t="n">
        <v>1.63776</v>
      </c>
      <c r="F535" s="149" t="n">
        <f aca="false">IF(C535="MAT.",VLOOKUP(A535,INSUMOS_AUX!$A$3:$H$813,6,0),0)</f>
        <v>6.28</v>
      </c>
      <c r="G535" s="149" t="n">
        <f aca="false">IF(C535="M.O.",VLOOKUP(A535,INSUMOS_AUX!A:F,6,0),0)</f>
        <v>0</v>
      </c>
    </row>
    <row r="536" customFormat="false" ht="15" hidden="false" customHeight="false" outlineLevel="0" collapsed="false">
      <c r="A536" s="154" t="n">
        <v>4234</v>
      </c>
      <c r="B536" s="155" t="s">
        <v>1475</v>
      </c>
      <c r="C536" s="148" t="str">
        <f aca="false">VLOOKUP($A536,INSUMOS_AUX!$A$3:$H$813,3,0)</f>
        <v>M.O.</v>
      </c>
      <c r="D536" s="156" t="s">
        <v>1444</v>
      </c>
      <c r="E536" s="154" t="n">
        <v>0.29132352</v>
      </c>
      <c r="F536" s="149" t="n">
        <f aca="false">IF(C536="MAT.",VLOOKUP(A536,INSUMOS_AUX!$A$3:$H$813,6,0),0)</f>
        <v>0</v>
      </c>
      <c r="G536" s="149" t="n">
        <f aca="false">IF(C536="M.O.",VLOOKUP(A536,INSUMOS_AUX!A:F,6,0),0)</f>
        <v>20.22</v>
      </c>
    </row>
    <row r="537" customFormat="false" ht="15" hidden="false" customHeight="false" outlineLevel="0" collapsed="false">
      <c r="A537" s="154" t="n">
        <v>4750</v>
      </c>
      <c r="B537" s="155" t="s">
        <v>1463</v>
      </c>
      <c r="C537" s="148" t="str">
        <f aca="false">VLOOKUP($A537,INSUMOS_AUX!$A$3:$H$813,3,0)</f>
        <v>M.O.</v>
      </c>
      <c r="D537" s="156" t="s">
        <v>1444</v>
      </c>
      <c r="E537" s="154" t="n">
        <v>0.107226</v>
      </c>
      <c r="F537" s="149" t="n">
        <f aca="false">IF(C537="MAT.",VLOOKUP(A537,INSUMOS_AUX!$A$3:$H$813,6,0),0)</f>
        <v>0</v>
      </c>
      <c r="G537" s="149" t="n">
        <f aca="false">IF(C537="M.O.",VLOOKUP(A537,INSUMOS_AUX!A:F,6,0),0)</f>
        <v>20.22</v>
      </c>
    </row>
    <row r="538" customFormat="false" ht="15" hidden="false" customHeight="false" outlineLevel="0" collapsed="false">
      <c r="A538" s="154" t="n">
        <v>6111</v>
      </c>
      <c r="B538" s="155" t="s">
        <v>1464</v>
      </c>
      <c r="C538" s="148" t="s">
        <v>59</v>
      </c>
      <c r="D538" s="156" t="s">
        <v>1444</v>
      </c>
      <c r="E538" s="154" t="n">
        <v>0.1695192</v>
      </c>
      <c r="F538" s="149" t="n">
        <f aca="false">IF(C538="MAT.",VLOOKUP(A538,INSUMOS_AUX!$A$3:$H$813,6,0),0)</f>
        <v>0</v>
      </c>
      <c r="G538" s="149" t="n">
        <f aca="false">IF(C538="M.O.",VLOOKUP(A538,INSUMOS_AUX!A:F,6,0),0)</f>
        <v>0</v>
      </c>
    </row>
    <row r="539" customFormat="false" ht="31.5" hidden="false" customHeight="false" outlineLevel="0" collapsed="false">
      <c r="A539" s="150" t="n">
        <v>96531</v>
      </c>
      <c r="B539" s="151" t="s">
        <v>1625</v>
      </c>
      <c r="C539" s="152" t="s">
        <v>59</v>
      </c>
      <c r="D539" s="152" t="s">
        <v>1477</v>
      </c>
      <c r="E539" s="150"/>
      <c r="F539" s="153" t="n">
        <f aca="false">(SUMPRODUCT($E540:$E558,F540:F558))*1</f>
        <v>74.432604871704</v>
      </c>
      <c r="G539" s="153" t="n">
        <f aca="false">(SUMPRODUCT($E540:$E558,G540:G558))*1</f>
        <v>37.3469979048</v>
      </c>
    </row>
    <row r="540" customFormat="false" ht="21" hidden="false" customHeight="false" outlineLevel="0" collapsed="false">
      <c r="A540" s="154" t="n">
        <v>37370</v>
      </c>
      <c r="B540" s="155" t="s">
        <v>1443</v>
      </c>
      <c r="C540" s="148" t="str">
        <f aca="false">VLOOKUP($A540,INSUMOS_AUX!$A$3:$H$813,3,0)</f>
        <v>MAT.</v>
      </c>
      <c r="D540" s="156" t="s">
        <v>1444</v>
      </c>
      <c r="E540" s="154" t="n">
        <v>2.141</v>
      </c>
      <c r="F540" s="149" t="n">
        <f aca="false">IF(C540="MAT.",VLOOKUP(A540,INSUMOS_AUX!$A$3:$H$813,6,0),0)</f>
        <v>3.32</v>
      </c>
      <c r="G540" s="149" t="n">
        <f aca="false">IF(C540="M.O.",VLOOKUP(A540,INSUMOS_AUX!A:F,6,0),0)</f>
        <v>0</v>
      </c>
    </row>
    <row r="541" customFormat="false" ht="21" hidden="false" customHeight="false" outlineLevel="0" collapsed="false">
      <c r="A541" s="154" t="n">
        <v>43483</v>
      </c>
      <c r="B541" s="155" t="s">
        <v>1486</v>
      </c>
      <c r="C541" s="148" t="str">
        <f aca="false">VLOOKUP($A541,INSUMOS_AUX!$A$3:$H$813,3,0)</f>
        <v>MAT.</v>
      </c>
      <c r="D541" s="156" t="s">
        <v>1444</v>
      </c>
      <c r="E541" s="154" t="n">
        <v>2.035</v>
      </c>
      <c r="F541" s="149" t="n">
        <f aca="false">IF(C541="MAT.",VLOOKUP(A541,INSUMOS_AUX!$A$3:$H$813,6,0),0)</f>
        <v>1.43</v>
      </c>
      <c r="G541" s="149" t="n">
        <f aca="false">IF(C541="M.O.",VLOOKUP(A541,INSUMOS_AUX!A:F,6,0),0)</f>
        <v>0</v>
      </c>
    </row>
    <row r="542" customFormat="false" ht="21" hidden="false" customHeight="false" outlineLevel="0" collapsed="false">
      <c r="A542" s="154" t="n">
        <v>43488</v>
      </c>
      <c r="B542" s="155" t="s">
        <v>1445</v>
      </c>
      <c r="C542" s="148" t="str">
        <f aca="false">VLOOKUP($A542,INSUMOS_AUX!$A$3:$H$813,3,0)</f>
        <v>MAT.</v>
      </c>
      <c r="D542" s="156" t="s">
        <v>1444</v>
      </c>
      <c r="E542" s="154" t="n">
        <v>0.106</v>
      </c>
      <c r="F542" s="149" t="n">
        <f aca="false">IF(C542="MAT.",VLOOKUP(A542,INSUMOS_AUX!$A$3:$H$813,6,0),0)</f>
        <v>0.89</v>
      </c>
      <c r="G542" s="149" t="n">
        <f aca="false">IF(C542="M.O.",VLOOKUP(A542,INSUMOS_AUX!A:F,6,0),0)</f>
        <v>0</v>
      </c>
    </row>
    <row r="543" customFormat="false" ht="21" hidden="false" customHeight="false" outlineLevel="0" collapsed="false">
      <c r="A543" s="154" t="n">
        <v>37372</v>
      </c>
      <c r="B543" s="155" t="s">
        <v>1446</v>
      </c>
      <c r="C543" s="148" t="str">
        <f aca="false">VLOOKUP($A543,INSUMOS_AUX!$A$3:$H$813,3,0)</f>
        <v>MAT.</v>
      </c>
      <c r="D543" s="156" t="s">
        <v>1444</v>
      </c>
      <c r="E543" s="154" t="n">
        <v>2.141</v>
      </c>
      <c r="F543" s="149" t="n">
        <f aca="false">IF(C543="MAT.",VLOOKUP(A543,INSUMOS_AUX!$A$3:$H$813,6,0),0)</f>
        <v>1.43</v>
      </c>
      <c r="G543" s="149" t="n">
        <f aca="false">IF(C543="M.O.",VLOOKUP(A543,INSUMOS_AUX!A:F,6,0),0)</f>
        <v>0</v>
      </c>
    </row>
    <row r="544" customFormat="false" ht="21" hidden="false" customHeight="false" outlineLevel="0" collapsed="false">
      <c r="A544" s="154" t="n">
        <v>43459</v>
      </c>
      <c r="B544" s="155" t="s">
        <v>1487</v>
      </c>
      <c r="C544" s="148" t="str">
        <f aca="false">VLOOKUP($A544,INSUMOS_AUX!$A$3:$H$813,3,0)</f>
        <v>MAT.</v>
      </c>
      <c r="D544" s="156" t="s">
        <v>1444</v>
      </c>
      <c r="E544" s="154" t="n">
        <v>2.035</v>
      </c>
      <c r="F544" s="149" t="n">
        <f aca="false">IF(C544="MAT.",VLOOKUP(A544,INSUMOS_AUX!$A$3:$H$813,6,0),0)</f>
        <v>0.44</v>
      </c>
      <c r="G544" s="149" t="n">
        <f aca="false">IF(C544="M.O.",VLOOKUP(A544,INSUMOS_AUX!A:F,6,0),0)</f>
        <v>0</v>
      </c>
    </row>
    <row r="545" customFormat="false" ht="21" hidden="false" customHeight="false" outlineLevel="0" collapsed="false">
      <c r="A545" s="154" t="n">
        <v>43464</v>
      </c>
      <c r="B545" s="155" t="s">
        <v>1447</v>
      </c>
      <c r="C545" s="148" t="str">
        <f aca="false">VLOOKUP($A545,INSUMOS_AUX!$A$3:$H$813,3,0)</f>
        <v>MAT.</v>
      </c>
      <c r="D545" s="156" t="s">
        <v>1444</v>
      </c>
      <c r="E545" s="154" t="n">
        <v>0.106</v>
      </c>
      <c r="F545" s="149" t="n">
        <f aca="false">IF(C545="MAT.",VLOOKUP(A545,INSUMOS_AUX!$A$3:$H$813,6,0),0)</f>
        <v>0.01</v>
      </c>
      <c r="G545" s="149" t="n">
        <f aca="false">IF(C545="M.O.",VLOOKUP(A545,INSUMOS_AUX!A:F,6,0),0)</f>
        <v>0</v>
      </c>
    </row>
    <row r="546" customFormat="false" ht="21" hidden="false" customHeight="false" outlineLevel="0" collapsed="false">
      <c r="A546" s="154" t="n">
        <v>37373</v>
      </c>
      <c r="B546" s="155" t="s">
        <v>1448</v>
      </c>
      <c r="C546" s="148" t="str">
        <f aca="false">VLOOKUP($A546,INSUMOS_AUX!$A$3:$H$813,3,0)</f>
        <v>MAT.</v>
      </c>
      <c r="D546" s="156" t="s">
        <v>1444</v>
      </c>
      <c r="E546" s="154" t="n">
        <v>2.141</v>
      </c>
      <c r="F546" s="149" t="n">
        <f aca="false">IF(C546="MAT.",VLOOKUP(A546,INSUMOS_AUX!$A$3:$H$813,6,0),0)</f>
        <v>0.08</v>
      </c>
      <c r="G546" s="149" t="n">
        <f aca="false">IF(C546="M.O.",VLOOKUP(A546,INSUMOS_AUX!A:F,6,0),0)</f>
        <v>0</v>
      </c>
    </row>
    <row r="547" customFormat="false" ht="21" hidden="false" customHeight="false" outlineLevel="0" collapsed="false">
      <c r="A547" s="154" t="n">
        <v>37371</v>
      </c>
      <c r="B547" s="155" t="s">
        <v>1449</v>
      </c>
      <c r="C547" s="148" t="str">
        <f aca="false">VLOOKUP($A547,INSUMOS_AUX!$A$3:$H$813,3,0)</f>
        <v>MAT.</v>
      </c>
      <c r="D547" s="156" t="s">
        <v>1444</v>
      </c>
      <c r="E547" s="154" t="n">
        <v>2.141</v>
      </c>
      <c r="F547" s="149" t="n">
        <f aca="false">IF(C547="MAT.",VLOOKUP(A547,INSUMOS_AUX!$A$3:$H$813,6,0),0)</f>
        <v>0.59</v>
      </c>
      <c r="G547" s="149" t="n">
        <f aca="false">IF(C547="M.O.",VLOOKUP(A547,INSUMOS_AUX!A:F,6,0),0)</f>
        <v>0</v>
      </c>
    </row>
    <row r="548" customFormat="false" ht="21" hidden="false" customHeight="false" outlineLevel="0" collapsed="false">
      <c r="A548" s="154" t="n">
        <v>14618</v>
      </c>
      <c r="B548" s="155" t="s">
        <v>1592</v>
      </c>
      <c r="C548" s="148" t="str">
        <f aca="false">VLOOKUP($A548,INSUMOS_AUX!$A$3:$H$813,3,0)</f>
        <v>MAT.</v>
      </c>
      <c r="D548" s="156" t="s">
        <v>31</v>
      </c>
      <c r="E548" s="154" t="n">
        <v>1.02508E-005</v>
      </c>
      <c r="F548" s="149" t="n">
        <f aca="false">IF(C548="MAT.",VLOOKUP(A548,INSUMOS_AUX!$A$3:$H$813,6,0),0)</f>
        <v>1283.38</v>
      </c>
      <c r="G548" s="149" t="n">
        <f aca="false">IF(C548="M.O.",VLOOKUP(A548,INSUMOS_AUX!A:F,6,0),0)</f>
        <v>0</v>
      </c>
    </row>
    <row r="549" customFormat="false" ht="15" hidden="false" customHeight="false" outlineLevel="0" collapsed="false">
      <c r="A549" s="154" t="n">
        <v>2705</v>
      </c>
      <c r="B549" s="155" t="s">
        <v>1467</v>
      </c>
      <c r="C549" s="148" t="str">
        <f aca="false">VLOOKUP($A549,INSUMOS_AUX!$A$3:$H$813,3,0)</f>
        <v>MAT.</v>
      </c>
      <c r="D549" s="156" t="s">
        <v>1468</v>
      </c>
      <c r="E549" s="154" t="n">
        <v>0.02856</v>
      </c>
      <c r="F549" s="149" t="n">
        <f aca="false">IF(C549="MAT.",VLOOKUP(A549,INSUMOS_AUX!$A$3:$H$813,6,0),0)</f>
        <v>0.92</v>
      </c>
      <c r="G549" s="149" t="n">
        <f aca="false">IF(C549="M.O.",VLOOKUP(A549,INSUMOS_AUX!A:F,6,0),0)</f>
        <v>0</v>
      </c>
    </row>
    <row r="550" customFormat="false" ht="21" hidden="false" customHeight="false" outlineLevel="0" collapsed="false">
      <c r="A550" s="154" t="n">
        <v>2692</v>
      </c>
      <c r="B550" s="155" t="s">
        <v>1570</v>
      </c>
      <c r="C550" s="148" t="str">
        <f aca="false">VLOOKUP($A550,INSUMOS_AUX!$A$3:$H$813,3,0)</f>
        <v>MAT.</v>
      </c>
      <c r="D550" s="156" t="s">
        <v>1452</v>
      </c>
      <c r="E550" s="154" t="n">
        <v>0.0167</v>
      </c>
      <c r="F550" s="149" t="n">
        <f aca="false">IF(C550="MAT.",VLOOKUP(A550,INSUMOS_AUX!$A$3:$H$813,6,0),0)</f>
        <v>6.52</v>
      </c>
      <c r="G550" s="149" t="n">
        <f aca="false">IF(C550="M.O.",VLOOKUP(A550,INSUMOS_AUX!A:F,6,0),0)</f>
        <v>0</v>
      </c>
    </row>
    <row r="551" customFormat="false" ht="21" hidden="false" customHeight="false" outlineLevel="0" collapsed="false">
      <c r="A551" s="154" t="n">
        <v>4491</v>
      </c>
      <c r="B551" s="155" t="s">
        <v>1578</v>
      </c>
      <c r="C551" s="148" t="str">
        <f aca="false">VLOOKUP($A551,INSUMOS_AUX!$A$3:$H$813,3,0)</f>
        <v>MAT.</v>
      </c>
      <c r="D551" s="156" t="s">
        <v>1455</v>
      </c>
      <c r="E551" s="154" t="n">
        <v>1.301</v>
      </c>
      <c r="F551" s="149" t="n">
        <f aca="false">IF(C551="MAT.",VLOOKUP(A551,INSUMOS_AUX!$A$3:$H$813,6,0),0)</f>
        <v>10.25</v>
      </c>
      <c r="G551" s="149" t="n">
        <f aca="false">IF(C551="M.O.",VLOOKUP(A551,INSUMOS_AUX!A:F,6,0),0)</f>
        <v>0</v>
      </c>
    </row>
    <row r="552" customFormat="false" ht="15" hidden="false" customHeight="false" outlineLevel="0" collapsed="false">
      <c r="A552" s="154" t="n">
        <v>5074</v>
      </c>
      <c r="B552" s="155" t="s">
        <v>1547</v>
      </c>
      <c r="C552" s="148" t="str">
        <f aca="false">VLOOKUP($A552,INSUMOS_AUX!$A$3:$H$813,3,0)</f>
        <v>MAT.</v>
      </c>
      <c r="D552" s="156" t="s">
        <v>1513</v>
      </c>
      <c r="E552" s="154" t="n">
        <v>0.022</v>
      </c>
      <c r="F552" s="149" t="n">
        <f aca="false">IF(C552="MAT.",VLOOKUP(A552,INSUMOS_AUX!$A$3:$H$813,6,0),0)</f>
        <v>22.79</v>
      </c>
      <c r="G552" s="149" t="n">
        <f aca="false">IF(C552="M.O.",VLOOKUP(A552,INSUMOS_AUX!A:F,6,0),0)</f>
        <v>0</v>
      </c>
    </row>
    <row r="553" customFormat="false" ht="15" hidden="false" customHeight="false" outlineLevel="0" collapsed="false">
      <c r="A553" s="154" t="n">
        <v>40304</v>
      </c>
      <c r="B553" s="155" t="s">
        <v>1626</v>
      </c>
      <c r="C553" s="148" t="str">
        <f aca="false">VLOOKUP($A553,INSUMOS_AUX!$A$3:$H$813,3,0)</f>
        <v>MAT.</v>
      </c>
      <c r="D553" s="156" t="s">
        <v>1513</v>
      </c>
      <c r="E553" s="154" t="n">
        <v>0.029</v>
      </c>
      <c r="F553" s="149" t="n">
        <f aca="false">IF(C553="MAT.",VLOOKUP(A553,INSUMOS_AUX!$A$3:$H$813,6,0),0)</f>
        <v>25.11</v>
      </c>
      <c r="G553" s="149" t="n">
        <f aca="false">IF(C553="M.O.",VLOOKUP(A553,INSUMOS_AUX!A:F,6,0),0)</f>
        <v>0</v>
      </c>
    </row>
    <row r="554" customFormat="false" ht="21" hidden="false" customHeight="false" outlineLevel="0" collapsed="false">
      <c r="A554" s="154" t="n">
        <v>4517</v>
      </c>
      <c r="B554" s="155" t="s">
        <v>1582</v>
      </c>
      <c r="C554" s="148" t="str">
        <f aca="false">VLOOKUP($A554,INSUMOS_AUX!$A$3:$H$813,3,0)</f>
        <v>MAT.</v>
      </c>
      <c r="D554" s="156" t="s">
        <v>1455</v>
      </c>
      <c r="E554" s="154" t="n">
        <v>1.78</v>
      </c>
      <c r="F554" s="149" t="n">
        <f aca="false">IF(C554="MAT.",VLOOKUP(A554,INSUMOS_AUX!$A$3:$H$813,6,0),0)</f>
        <v>3.58</v>
      </c>
      <c r="G554" s="149" t="n">
        <f aca="false">IF(C554="M.O.",VLOOKUP(A554,INSUMOS_AUX!A:F,6,0),0)</f>
        <v>0</v>
      </c>
    </row>
    <row r="555" customFormat="false" ht="21" hidden="false" customHeight="false" outlineLevel="0" collapsed="false">
      <c r="A555" s="154" t="n">
        <v>6212</v>
      </c>
      <c r="B555" s="155" t="s">
        <v>1627</v>
      </c>
      <c r="C555" s="148" t="str">
        <f aca="false">VLOOKUP($A555,INSUMOS_AUX!$A$3:$H$813,3,0)</f>
        <v>MAT.</v>
      </c>
      <c r="D555" s="156" t="s">
        <v>1455</v>
      </c>
      <c r="E555" s="154" t="n">
        <v>2.226</v>
      </c>
      <c r="F555" s="149" t="n">
        <f aca="false">IF(C555="MAT.",VLOOKUP(A555,INSUMOS_AUX!$A$3:$H$813,6,0),0)</f>
        <v>17</v>
      </c>
      <c r="G555" s="149" t="n">
        <f aca="false">IF(C555="M.O.",VLOOKUP(A555,INSUMOS_AUX!A:F,6,0),0)</f>
        <v>0</v>
      </c>
    </row>
    <row r="556" customFormat="false" ht="15" hidden="false" customHeight="false" outlineLevel="0" collapsed="false">
      <c r="A556" s="154" t="n">
        <v>6117</v>
      </c>
      <c r="B556" s="155" t="s">
        <v>1555</v>
      </c>
      <c r="C556" s="148" t="str">
        <f aca="false">VLOOKUP($A556,INSUMOS_AUX!$A$3:$H$813,3,0)</f>
        <v>M.O.</v>
      </c>
      <c r="D556" s="156" t="s">
        <v>1444</v>
      </c>
      <c r="E556" s="154" t="n">
        <v>0.62001836</v>
      </c>
      <c r="F556" s="149" t="n">
        <f aca="false">IF(C556="MAT.",VLOOKUP(A556,INSUMOS_AUX!$A$3:$H$813,6,0),0)</f>
        <v>0</v>
      </c>
      <c r="G556" s="149" t="n">
        <f aca="false">IF(C556="M.O.",VLOOKUP(A556,INSUMOS_AUX!A:F,6,0),0)</f>
        <v>13.26</v>
      </c>
    </row>
    <row r="557" customFormat="false" ht="15" hidden="false" customHeight="false" outlineLevel="0" collapsed="false">
      <c r="A557" s="154" t="n">
        <v>1213</v>
      </c>
      <c r="B557" s="155" t="s">
        <v>1516</v>
      </c>
      <c r="C557" s="148" t="str">
        <f aca="false">VLOOKUP($A557,INSUMOS_AUX!$A$3:$H$813,3,0)</f>
        <v>M.O.</v>
      </c>
      <c r="D557" s="156" t="s">
        <v>1444</v>
      </c>
      <c r="E557" s="154" t="n">
        <v>1.44043296</v>
      </c>
      <c r="F557" s="149" t="n">
        <f aca="false">IF(C557="MAT.",VLOOKUP(A557,INSUMOS_AUX!$A$3:$H$813,6,0),0)</f>
        <v>0</v>
      </c>
      <c r="G557" s="149" t="n">
        <f aca="false">IF(C557="M.O.",VLOOKUP(A557,INSUMOS_AUX!A:F,6,0),0)</f>
        <v>20.22</v>
      </c>
    </row>
    <row r="558" customFormat="false" ht="21" hidden="false" customHeight="false" outlineLevel="0" collapsed="false">
      <c r="A558" s="154" t="n">
        <v>4230</v>
      </c>
      <c r="B558" s="155" t="s">
        <v>1597</v>
      </c>
      <c r="C558" s="148" t="s">
        <v>59</v>
      </c>
      <c r="D558" s="156" t="s">
        <v>1444</v>
      </c>
      <c r="E558" s="154" t="n">
        <v>0.10722324</v>
      </c>
      <c r="F558" s="149" t="n">
        <f aca="false">IF(C558="MAT.",VLOOKUP(A558,INSUMOS_AUX!$A$3:$H$813,6,0),0)</f>
        <v>0</v>
      </c>
      <c r="G558" s="149" t="n">
        <f aca="false">IF(C558="M.O.",VLOOKUP(A558,INSUMOS_AUX!A:F,6,0),0)</f>
        <v>0</v>
      </c>
    </row>
    <row r="559" customFormat="false" ht="21" hidden="false" customHeight="false" outlineLevel="0" collapsed="false">
      <c r="A559" s="150" t="n">
        <v>96621</v>
      </c>
      <c r="B559" s="151" t="s">
        <v>1628</v>
      </c>
      <c r="C559" s="152" t="s">
        <v>59</v>
      </c>
      <c r="D559" s="152" t="s">
        <v>1442</v>
      </c>
      <c r="E559" s="150"/>
      <c r="F559" s="153" t="n">
        <f aca="false">(SUMPRODUCT($E560:$E572,F560:F572))*1</f>
        <v>25.203982020572</v>
      </c>
      <c r="G559" s="153" t="n">
        <f aca="false">(SUMPRODUCT($E560:$E572,G560:G572))*1</f>
        <v>60.114868068</v>
      </c>
    </row>
    <row r="560" customFormat="false" ht="21" hidden="false" customHeight="false" outlineLevel="0" collapsed="false">
      <c r="A560" s="154" t="n">
        <v>37370</v>
      </c>
      <c r="B560" s="155" t="s">
        <v>1443</v>
      </c>
      <c r="C560" s="148" t="str">
        <f aca="false">VLOOKUP($A560,INSUMOS_AUX!$A$3:$H$813,3,0)</f>
        <v>MAT.</v>
      </c>
      <c r="D560" s="156" t="s">
        <v>1444</v>
      </c>
      <c r="E560" s="154" t="n">
        <v>3.259</v>
      </c>
      <c r="F560" s="149" t="n">
        <f aca="false">IF(C560="MAT.",VLOOKUP(A560,INSUMOS_AUX!$A$3:$H$813,6,0),0)</f>
        <v>3.32</v>
      </c>
      <c r="G560" s="149" t="n">
        <f aca="false">IF(C560="M.O.",VLOOKUP(A560,INSUMOS_AUX!A:F,6,0),0)</f>
        <v>0</v>
      </c>
    </row>
    <row r="561" customFormat="false" ht="21" hidden="false" customHeight="false" outlineLevel="0" collapsed="false">
      <c r="A561" s="154" t="n">
        <v>43489</v>
      </c>
      <c r="B561" s="155" t="s">
        <v>1456</v>
      </c>
      <c r="C561" s="148" t="str">
        <f aca="false">VLOOKUP($A561,INSUMOS_AUX!$A$3:$H$813,3,0)</f>
        <v>MAT.</v>
      </c>
      <c r="D561" s="156" t="s">
        <v>1444</v>
      </c>
      <c r="E561" s="154" t="n">
        <v>2.292</v>
      </c>
      <c r="F561" s="149" t="n">
        <f aca="false">IF(C561="MAT.",VLOOKUP(A561,INSUMOS_AUX!$A$3:$H$813,6,0),0)</f>
        <v>1.31</v>
      </c>
      <c r="G561" s="149" t="n">
        <f aca="false">IF(C561="M.O.",VLOOKUP(A561,INSUMOS_AUX!A:F,6,0),0)</f>
        <v>0</v>
      </c>
    </row>
    <row r="562" customFormat="false" ht="21" hidden="false" customHeight="false" outlineLevel="0" collapsed="false">
      <c r="A562" s="154" t="n">
        <v>43491</v>
      </c>
      <c r="B562" s="155" t="s">
        <v>1457</v>
      </c>
      <c r="C562" s="148" t="str">
        <f aca="false">VLOOKUP($A562,INSUMOS_AUX!$A$3:$H$813,3,0)</f>
        <v>MAT.</v>
      </c>
      <c r="D562" s="156" t="s">
        <v>1444</v>
      </c>
      <c r="E562" s="154" t="n">
        <v>0.967</v>
      </c>
      <c r="F562" s="149" t="n">
        <f aca="false">IF(C562="MAT.",VLOOKUP(A562,INSUMOS_AUX!$A$3:$H$813,6,0),0)</f>
        <v>1.39</v>
      </c>
      <c r="G562" s="149" t="n">
        <f aca="false">IF(C562="M.O.",VLOOKUP(A562,INSUMOS_AUX!A:F,6,0),0)</f>
        <v>0</v>
      </c>
    </row>
    <row r="563" customFormat="false" ht="21" hidden="false" customHeight="false" outlineLevel="0" collapsed="false">
      <c r="A563" s="154" t="n">
        <v>37372</v>
      </c>
      <c r="B563" s="155" t="s">
        <v>1446</v>
      </c>
      <c r="C563" s="148" t="str">
        <f aca="false">VLOOKUP($A563,INSUMOS_AUX!$A$3:$H$813,3,0)</f>
        <v>MAT.</v>
      </c>
      <c r="D563" s="156" t="s">
        <v>1444</v>
      </c>
      <c r="E563" s="154" t="n">
        <v>3.259</v>
      </c>
      <c r="F563" s="149" t="n">
        <f aca="false">IF(C563="MAT.",VLOOKUP(A563,INSUMOS_AUX!$A$3:$H$813,6,0),0)</f>
        <v>1.43</v>
      </c>
      <c r="G563" s="149" t="n">
        <f aca="false">IF(C563="M.O.",VLOOKUP(A563,INSUMOS_AUX!A:F,6,0),0)</f>
        <v>0</v>
      </c>
    </row>
    <row r="564" customFormat="false" ht="21" hidden="false" customHeight="false" outlineLevel="0" collapsed="false">
      <c r="A564" s="154" t="n">
        <v>43465</v>
      </c>
      <c r="B564" s="155" t="s">
        <v>1458</v>
      </c>
      <c r="C564" s="148" t="str">
        <f aca="false">VLOOKUP($A564,INSUMOS_AUX!$A$3:$H$813,3,0)</f>
        <v>MAT.</v>
      </c>
      <c r="D564" s="156" t="s">
        <v>1444</v>
      </c>
      <c r="E564" s="154" t="n">
        <v>2.292</v>
      </c>
      <c r="F564" s="149" t="n">
        <f aca="false">IF(C564="MAT.",VLOOKUP(A564,INSUMOS_AUX!$A$3:$H$813,6,0),0)</f>
        <v>0.78</v>
      </c>
      <c r="G564" s="149" t="n">
        <f aca="false">IF(C564="M.O.",VLOOKUP(A564,INSUMOS_AUX!A:F,6,0),0)</f>
        <v>0</v>
      </c>
    </row>
    <row r="565" customFormat="false" ht="21" hidden="false" customHeight="false" outlineLevel="0" collapsed="false">
      <c r="A565" s="154" t="n">
        <v>43467</v>
      </c>
      <c r="B565" s="155" t="s">
        <v>1459</v>
      </c>
      <c r="C565" s="148" t="str">
        <f aca="false">VLOOKUP($A565,INSUMOS_AUX!$A$3:$H$813,3,0)</f>
        <v>MAT.</v>
      </c>
      <c r="D565" s="156" t="s">
        <v>1444</v>
      </c>
      <c r="E565" s="154" t="n">
        <v>0.967</v>
      </c>
      <c r="F565" s="149" t="n">
        <f aca="false">IF(C565="MAT.",VLOOKUP(A565,INSUMOS_AUX!$A$3:$H$813,6,0),0)</f>
        <v>0.61</v>
      </c>
      <c r="G565" s="149" t="n">
        <f aca="false">IF(C565="M.O.",VLOOKUP(A565,INSUMOS_AUX!A:F,6,0),0)</f>
        <v>0</v>
      </c>
    </row>
    <row r="566" customFormat="false" ht="21" hidden="false" customHeight="false" outlineLevel="0" collapsed="false">
      <c r="A566" s="154" t="n">
        <v>37373</v>
      </c>
      <c r="B566" s="155" t="s">
        <v>1448</v>
      </c>
      <c r="C566" s="148" t="str">
        <f aca="false">VLOOKUP($A566,INSUMOS_AUX!$A$3:$H$813,3,0)</f>
        <v>MAT.</v>
      </c>
      <c r="D566" s="156" t="s">
        <v>1444</v>
      </c>
      <c r="E566" s="154" t="n">
        <v>3.259</v>
      </c>
      <c r="F566" s="149" t="n">
        <f aca="false">IF(C566="MAT.",VLOOKUP(A566,INSUMOS_AUX!$A$3:$H$813,6,0),0)</f>
        <v>0.08</v>
      </c>
      <c r="G566" s="149" t="n">
        <f aca="false">IF(C566="M.O.",VLOOKUP(A566,INSUMOS_AUX!A:F,6,0),0)</f>
        <v>0</v>
      </c>
    </row>
    <row r="567" customFormat="false" ht="21" hidden="false" customHeight="false" outlineLevel="0" collapsed="false">
      <c r="A567" s="154" t="n">
        <v>37371</v>
      </c>
      <c r="B567" s="155" t="s">
        <v>1449</v>
      </c>
      <c r="C567" s="148" t="str">
        <f aca="false">VLOOKUP($A567,INSUMOS_AUX!$A$3:$H$813,3,0)</f>
        <v>MAT.</v>
      </c>
      <c r="D567" s="156" t="s">
        <v>1444</v>
      </c>
      <c r="E567" s="154" t="n">
        <v>3.259</v>
      </c>
      <c r="F567" s="149" t="n">
        <f aca="false">IF(C567="MAT.",VLOOKUP(A567,INSUMOS_AUX!$A$3:$H$813,6,0),0)</f>
        <v>0.59</v>
      </c>
      <c r="G567" s="149" t="n">
        <f aca="false">IF(C567="M.O.",VLOOKUP(A567,INSUMOS_AUX!A:F,6,0),0)</f>
        <v>0</v>
      </c>
    </row>
    <row r="568" customFormat="false" ht="42" hidden="false" customHeight="false" outlineLevel="0" collapsed="false">
      <c r="A568" s="154" t="n">
        <v>1442</v>
      </c>
      <c r="B568" s="155" t="s">
        <v>1562</v>
      </c>
      <c r="C568" s="148" t="str">
        <f aca="false">VLOOKUP($A568,INSUMOS_AUX!$A$3:$H$813,3,0)</f>
        <v>MAT.</v>
      </c>
      <c r="D568" s="156" t="s">
        <v>31</v>
      </c>
      <c r="E568" s="154" t="n">
        <v>1.41988E-005</v>
      </c>
      <c r="F568" s="149" t="n">
        <f aca="false">IF(C568="MAT.",VLOOKUP(A568,INSUMOS_AUX!$A$3:$H$813,6,0),0)</f>
        <v>10731.19</v>
      </c>
      <c r="G568" s="149" t="n">
        <f aca="false">IF(C568="M.O.",VLOOKUP(A568,INSUMOS_AUX!A:F,6,0),0)</f>
        <v>0</v>
      </c>
    </row>
    <row r="569" customFormat="false" ht="15" hidden="false" customHeight="false" outlineLevel="0" collapsed="false">
      <c r="A569" s="154" t="n">
        <v>4222</v>
      </c>
      <c r="B569" s="155" t="s">
        <v>1572</v>
      </c>
      <c r="C569" s="148" t="str">
        <f aca="false">VLOOKUP($A569,INSUMOS_AUX!$A$3:$H$813,3,0)</f>
        <v>MAT.</v>
      </c>
      <c r="D569" s="156" t="s">
        <v>1452</v>
      </c>
      <c r="E569" s="154" t="n">
        <v>0.10368</v>
      </c>
      <c r="F569" s="149" t="n">
        <f aca="false">IF(C569="MAT.",VLOOKUP(A569,INSUMOS_AUX!$A$3:$H$813,6,0),0)</f>
        <v>6.4</v>
      </c>
      <c r="G569" s="149" t="n">
        <f aca="false">IF(C569="M.O.",VLOOKUP(A569,INSUMOS_AUX!A:F,6,0),0)</f>
        <v>0</v>
      </c>
    </row>
    <row r="570" customFormat="false" ht="21" hidden="false" customHeight="false" outlineLevel="0" collapsed="false">
      <c r="A570" s="154" t="n">
        <v>4718</v>
      </c>
      <c r="B570" s="155" t="s">
        <v>1577</v>
      </c>
      <c r="C570" s="148" t="s">
        <v>59</v>
      </c>
      <c r="D570" s="156" t="s">
        <v>1442</v>
      </c>
      <c r="E570" s="154" t="n">
        <v>1.38</v>
      </c>
      <c r="F570" s="149" t="n">
        <f aca="false">IF(C570="MAT.",VLOOKUP(A570,INSUMOS_AUX!$A$3:$H$813,6,0),0)</f>
        <v>0</v>
      </c>
      <c r="G570" s="149" t="n">
        <f aca="false">IF(C570="M.O.",VLOOKUP(A570,INSUMOS_AUX!A:F,6,0),0)</f>
        <v>0</v>
      </c>
    </row>
    <row r="571" customFormat="false" ht="15" hidden="false" customHeight="false" outlineLevel="0" collapsed="false">
      <c r="A571" s="154" t="n">
        <v>4750</v>
      </c>
      <c r="B571" s="155" t="s">
        <v>1463</v>
      </c>
      <c r="C571" s="148" t="str">
        <f aca="false">VLOOKUP($A571,INSUMOS_AUX!$A$3:$H$813,3,0)</f>
        <v>M.O.</v>
      </c>
      <c r="D571" s="156" t="s">
        <v>1444</v>
      </c>
      <c r="E571" s="154" t="n">
        <v>2.3405904</v>
      </c>
      <c r="F571" s="149" t="n">
        <f aca="false">IF(C571="MAT.",VLOOKUP(A571,INSUMOS_AUX!$A$3:$H$813,6,0),0)</f>
        <v>0</v>
      </c>
      <c r="G571" s="149" t="n">
        <f aca="false">IF(C571="M.O.",VLOOKUP(A571,INSUMOS_AUX!A:F,6,0),0)</f>
        <v>20.22</v>
      </c>
    </row>
    <row r="572" customFormat="false" ht="15" hidden="false" customHeight="false" outlineLevel="0" collapsed="false">
      <c r="A572" s="154" t="n">
        <v>6111</v>
      </c>
      <c r="B572" s="155" t="s">
        <v>1464</v>
      </c>
      <c r="C572" s="148" t="str">
        <f aca="false">VLOOKUP($A572,INSUMOS_AUX!$A$3:$H$813,3,0)</f>
        <v>M.O.</v>
      </c>
      <c r="D572" s="156" t="s">
        <v>1444</v>
      </c>
      <c r="E572" s="154" t="n">
        <v>0.9875004</v>
      </c>
      <c r="F572" s="149" t="n">
        <f aca="false">IF(C572="MAT.",VLOOKUP(A572,INSUMOS_AUX!$A$3:$H$813,6,0),0)</f>
        <v>0</v>
      </c>
      <c r="G572" s="149" t="n">
        <f aca="false">IF(C572="M.O.",VLOOKUP(A572,INSUMOS_AUX!A:F,6,0),0)</f>
        <v>12.95</v>
      </c>
    </row>
    <row r="573" customFormat="false" ht="21" hidden="false" customHeight="false" outlineLevel="0" collapsed="false">
      <c r="A573" s="150" t="n">
        <v>96543</v>
      </c>
      <c r="B573" s="151" t="s">
        <v>1629</v>
      </c>
      <c r="C573" s="152" t="s">
        <v>59</v>
      </c>
      <c r="D573" s="152" t="s">
        <v>1513</v>
      </c>
      <c r="E573" s="150"/>
      <c r="F573" s="153" t="n">
        <f aca="false">(SUMPRODUCT($E574:$E584,F574:F584))*1</f>
        <v>11.596866</v>
      </c>
      <c r="G573" s="153" t="n">
        <f aca="false">(SUMPRODUCT($E574:$E584,G574:G584))*1</f>
        <v>7.77106703448</v>
      </c>
    </row>
    <row r="574" customFormat="false" ht="21" hidden="false" customHeight="false" outlineLevel="0" collapsed="false">
      <c r="A574" s="154" t="n">
        <v>37370</v>
      </c>
      <c r="B574" s="155" t="s">
        <v>1443</v>
      </c>
      <c r="C574" s="148" t="str">
        <f aca="false">VLOOKUP($A574,INSUMOS_AUX!$A$3:$H$813,3,0)</f>
        <v>MAT.</v>
      </c>
      <c r="D574" s="156" t="s">
        <v>1444</v>
      </c>
      <c r="E574" s="154" t="n">
        <v>0.4166</v>
      </c>
      <c r="F574" s="149" t="n">
        <f aca="false">IF(C574="MAT.",VLOOKUP(A574,INSUMOS_AUX!$A$3:$H$813,6,0),0)</f>
        <v>3.32</v>
      </c>
      <c r="G574" s="149" t="n">
        <f aca="false">IF(C574="M.O.",VLOOKUP(A574,INSUMOS_AUX!A:F,6,0),0)</f>
        <v>0</v>
      </c>
    </row>
    <row r="575" customFormat="false" ht="21" hidden="false" customHeight="false" outlineLevel="0" collapsed="false">
      <c r="A575" s="154" t="n">
        <v>43489</v>
      </c>
      <c r="B575" s="155" t="s">
        <v>1456</v>
      </c>
      <c r="C575" s="148" t="str">
        <f aca="false">VLOOKUP($A575,INSUMOS_AUX!$A$3:$H$813,3,0)</f>
        <v>MAT.</v>
      </c>
      <c r="D575" s="156" t="s">
        <v>1444</v>
      </c>
      <c r="E575" s="154" t="n">
        <v>0.4166</v>
      </c>
      <c r="F575" s="149" t="n">
        <f aca="false">IF(C575="MAT.",VLOOKUP(A575,INSUMOS_AUX!$A$3:$H$813,6,0),0)</f>
        <v>1.31</v>
      </c>
      <c r="G575" s="149" t="n">
        <f aca="false">IF(C575="M.O.",VLOOKUP(A575,INSUMOS_AUX!A:F,6,0),0)</f>
        <v>0</v>
      </c>
    </row>
    <row r="576" customFormat="false" ht="21" hidden="false" customHeight="false" outlineLevel="0" collapsed="false">
      <c r="A576" s="154" t="n">
        <v>37372</v>
      </c>
      <c r="B576" s="155" t="s">
        <v>1446</v>
      </c>
      <c r="C576" s="148" t="str">
        <f aca="false">VLOOKUP($A576,INSUMOS_AUX!$A$3:$H$813,3,0)</f>
        <v>MAT.</v>
      </c>
      <c r="D576" s="156" t="s">
        <v>1444</v>
      </c>
      <c r="E576" s="154" t="n">
        <v>0.4166</v>
      </c>
      <c r="F576" s="149" t="n">
        <f aca="false">IF(C576="MAT.",VLOOKUP(A576,INSUMOS_AUX!$A$3:$H$813,6,0),0)</f>
        <v>1.43</v>
      </c>
      <c r="G576" s="149" t="n">
        <f aca="false">IF(C576="M.O.",VLOOKUP(A576,INSUMOS_AUX!A:F,6,0),0)</f>
        <v>0</v>
      </c>
    </row>
    <row r="577" customFormat="false" ht="21" hidden="false" customHeight="false" outlineLevel="0" collapsed="false">
      <c r="A577" s="154" t="n">
        <v>43465</v>
      </c>
      <c r="B577" s="155" t="s">
        <v>1458</v>
      </c>
      <c r="C577" s="148" t="str">
        <f aca="false">VLOOKUP($A577,INSUMOS_AUX!$A$3:$H$813,3,0)</f>
        <v>MAT.</v>
      </c>
      <c r="D577" s="156" t="s">
        <v>1444</v>
      </c>
      <c r="E577" s="154" t="n">
        <v>0.4166</v>
      </c>
      <c r="F577" s="149" t="n">
        <f aca="false">IF(C577="MAT.",VLOOKUP(A577,INSUMOS_AUX!$A$3:$H$813,6,0),0)</f>
        <v>0.78</v>
      </c>
      <c r="G577" s="149" t="n">
        <f aca="false">IF(C577="M.O.",VLOOKUP(A577,INSUMOS_AUX!A:F,6,0),0)</f>
        <v>0</v>
      </c>
    </row>
    <row r="578" customFormat="false" ht="21" hidden="false" customHeight="false" outlineLevel="0" collapsed="false">
      <c r="A578" s="154" t="n">
        <v>37373</v>
      </c>
      <c r="B578" s="155" t="s">
        <v>1448</v>
      </c>
      <c r="C578" s="148" t="str">
        <f aca="false">VLOOKUP($A578,INSUMOS_AUX!$A$3:$H$813,3,0)</f>
        <v>MAT.</v>
      </c>
      <c r="D578" s="156" t="s">
        <v>1444</v>
      </c>
      <c r="E578" s="154" t="n">
        <v>0.4166</v>
      </c>
      <c r="F578" s="149" t="n">
        <f aca="false">IF(C578="MAT.",VLOOKUP(A578,INSUMOS_AUX!$A$3:$H$813,6,0),0)</f>
        <v>0.08</v>
      </c>
      <c r="G578" s="149" t="n">
        <f aca="false">IF(C578="M.O.",VLOOKUP(A578,INSUMOS_AUX!A:F,6,0),0)</f>
        <v>0</v>
      </c>
    </row>
    <row r="579" customFormat="false" ht="21" hidden="false" customHeight="false" outlineLevel="0" collapsed="false">
      <c r="A579" s="154" t="n">
        <v>37371</v>
      </c>
      <c r="B579" s="155" t="s">
        <v>1449</v>
      </c>
      <c r="C579" s="148" t="str">
        <f aca="false">VLOOKUP($A579,INSUMOS_AUX!$A$3:$H$813,3,0)</f>
        <v>MAT.</v>
      </c>
      <c r="D579" s="156" t="s">
        <v>1444</v>
      </c>
      <c r="E579" s="154" t="n">
        <v>0.4166</v>
      </c>
      <c r="F579" s="149" t="n">
        <f aca="false">IF(C579="MAT.",VLOOKUP(A579,INSUMOS_AUX!$A$3:$H$813,6,0),0)</f>
        <v>0.59</v>
      </c>
      <c r="G579" s="149" t="n">
        <f aca="false">IF(C579="M.O.",VLOOKUP(A579,INSUMOS_AUX!A:F,6,0),0)</f>
        <v>0</v>
      </c>
    </row>
    <row r="580" customFormat="false" ht="15" hidden="false" customHeight="false" outlineLevel="0" collapsed="false">
      <c r="A580" s="154" t="n">
        <v>43059</v>
      </c>
      <c r="B580" s="155" t="s">
        <v>1630</v>
      </c>
      <c r="C580" s="148" t="str">
        <f aca="false">VLOOKUP($A580,INSUMOS_AUX!$A$3:$H$813,3,0)</f>
        <v>MAT.</v>
      </c>
      <c r="D580" s="156" t="s">
        <v>1513</v>
      </c>
      <c r="E580" s="154" t="n">
        <v>1.07</v>
      </c>
      <c r="F580" s="149" t="n">
        <f aca="false">IF(C580="MAT.",VLOOKUP(A580,INSUMOS_AUX!$A$3:$H$813,6,0),0)</f>
        <v>7.26</v>
      </c>
      <c r="G580" s="149" t="n">
        <f aca="false">IF(C580="M.O.",VLOOKUP(A580,INSUMOS_AUX!A:F,6,0),0)</f>
        <v>0</v>
      </c>
    </row>
    <row r="581" customFormat="false" ht="21" hidden="false" customHeight="false" outlineLevel="0" collapsed="false">
      <c r="A581" s="154" t="n">
        <v>43132</v>
      </c>
      <c r="B581" s="155" t="s">
        <v>1565</v>
      </c>
      <c r="C581" s="148" t="str">
        <f aca="false">VLOOKUP($A581,INSUMOS_AUX!$A$3:$H$813,3,0)</f>
        <v>MAT.</v>
      </c>
      <c r="D581" s="156" t="s">
        <v>1513</v>
      </c>
      <c r="E581" s="154" t="n">
        <v>0.025</v>
      </c>
      <c r="F581" s="149" t="n">
        <f aca="false">IF(C581="MAT.",VLOOKUP(A581,INSUMOS_AUX!$A$3:$H$813,6,0),0)</f>
        <v>28</v>
      </c>
      <c r="G581" s="149" t="n">
        <f aca="false">IF(C581="M.O.",VLOOKUP(A581,INSUMOS_AUX!A:F,6,0),0)</f>
        <v>0</v>
      </c>
    </row>
    <row r="582" customFormat="false" ht="21" hidden="false" customHeight="false" outlineLevel="0" collapsed="false">
      <c r="A582" s="154" t="n">
        <v>39017</v>
      </c>
      <c r="B582" s="155" t="s">
        <v>1621</v>
      </c>
      <c r="C582" s="148" t="s">
        <v>59</v>
      </c>
      <c r="D582" s="156" t="s">
        <v>31</v>
      </c>
      <c r="E582" s="154" t="n">
        <v>1.143</v>
      </c>
      <c r="F582" s="149" t="n">
        <f aca="false">IF(C582="MAT.",VLOOKUP(A582,INSUMOS_AUX!$A$3:$H$813,6,0),0)</f>
        <v>0</v>
      </c>
      <c r="G582" s="149" t="n">
        <f aca="false">IF(C582="M.O.",VLOOKUP(A582,INSUMOS_AUX!A:F,6,0),0)</f>
        <v>0</v>
      </c>
    </row>
    <row r="583" customFormat="false" ht="15" hidden="false" customHeight="false" outlineLevel="0" collapsed="false">
      <c r="A583" s="154" t="n">
        <v>6114</v>
      </c>
      <c r="B583" s="155" t="s">
        <v>1588</v>
      </c>
      <c r="C583" s="148" t="str">
        <f aca="false">VLOOKUP($A583,INSUMOS_AUX!$A$3:$H$813,3,0)</f>
        <v>M.O.</v>
      </c>
      <c r="D583" s="156" t="s">
        <v>1444</v>
      </c>
      <c r="E583" s="154" t="n">
        <v>0.10772901</v>
      </c>
      <c r="F583" s="149" t="n">
        <f aca="false">IF(C583="MAT.",VLOOKUP(A583,INSUMOS_AUX!$A$3:$H$813,6,0),0)</f>
        <v>0</v>
      </c>
      <c r="G583" s="149" t="n">
        <f aca="false">IF(C583="M.O.",VLOOKUP(A583,INSUMOS_AUX!A:F,6,0),0)</f>
        <v>13.26</v>
      </c>
    </row>
    <row r="584" customFormat="false" ht="15" hidden="false" customHeight="false" outlineLevel="0" collapsed="false">
      <c r="A584" s="154" t="n">
        <v>378</v>
      </c>
      <c r="B584" s="155" t="s">
        <v>1589</v>
      </c>
      <c r="C584" s="148" t="str">
        <f aca="false">VLOOKUP($A584,INSUMOS_AUX!$A$3:$H$813,3,0)</f>
        <v>M.O.</v>
      </c>
      <c r="D584" s="156" t="s">
        <v>1444</v>
      </c>
      <c r="E584" s="154" t="n">
        <v>0.313678554</v>
      </c>
      <c r="F584" s="149" t="n">
        <f aca="false">IF(C584="MAT.",VLOOKUP(A584,INSUMOS_AUX!$A$3:$H$813,6,0),0)</f>
        <v>0</v>
      </c>
      <c r="G584" s="149" t="n">
        <f aca="false">IF(C584="M.O.",VLOOKUP(A584,INSUMOS_AUX!A:F,6,0),0)</f>
        <v>20.22</v>
      </c>
    </row>
    <row r="585" customFormat="false" ht="21" hidden="false" customHeight="false" outlineLevel="0" collapsed="false">
      <c r="A585" s="150" t="n">
        <v>96544</v>
      </c>
      <c r="B585" s="151" t="s">
        <v>1631</v>
      </c>
      <c r="C585" s="152" t="s">
        <v>59</v>
      </c>
      <c r="D585" s="152" t="s">
        <v>1513</v>
      </c>
      <c r="E585" s="150"/>
      <c r="F585" s="153" t="n">
        <f aca="false">(SUMPRODUCT($E586:$E596,F586:F596))*1</f>
        <v>11.861641</v>
      </c>
      <c r="G585" s="153" t="n">
        <f aca="false">(SUMPRODUCT($E586:$E596,G586:G596))*1</f>
        <v>5.71729084164</v>
      </c>
    </row>
    <row r="586" customFormat="false" ht="21" hidden="false" customHeight="false" outlineLevel="0" collapsed="false">
      <c r="A586" s="154" t="n">
        <v>37370</v>
      </c>
      <c r="B586" s="155" t="s">
        <v>1443</v>
      </c>
      <c r="C586" s="148" t="str">
        <f aca="false">VLOOKUP($A586,INSUMOS_AUX!$A$3:$H$813,3,0)</f>
        <v>MAT.</v>
      </c>
      <c r="D586" s="156" t="s">
        <v>1444</v>
      </c>
      <c r="E586" s="154" t="n">
        <v>0.3071</v>
      </c>
      <c r="F586" s="149" t="n">
        <f aca="false">IF(C586="MAT.",VLOOKUP(A586,INSUMOS_AUX!$A$3:$H$813,6,0),0)</f>
        <v>3.32</v>
      </c>
      <c r="G586" s="149" t="n">
        <f aca="false">IF(C586="M.O.",VLOOKUP(A586,INSUMOS_AUX!A:F,6,0),0)</f>
        <v>0</v>
      </c>
    </row>
    <row r="587" customFormat="false" ht="21" hidden="false" customHeight="false" outlineLevel="0" collapsed="false">
      <c r="A587" s="154" t="n">
        <v>43489</v>
      </c>
      <c r="B587" s="155" t="s">
        <v>1456</v>
      </c>
      <c r="C587" s="148" t="str">
        <f aca="false">VLOOKUP($A587,INSUMOS_AUX!$A$3:$H$813,3,0)</f>
        <v>MAT.</v>
      </c>
      <c r="D587" s="156" t="s">
        <v>1444</v>
      </c>
      <c r="E587" s="154" t="n">
        <v>0.3071</v>
      </c>
      <c r="F587" s="149" t="n">
        <f aca="false">IF(C587="MAT.",VLOOKUP(A587,INSUMOS_AUX!$A$3:$H$813,6,0),0)</f>
        <v>1.31</v>
      </c>
      <c r="G587" s="149" t="n">
        <f aca="false">IF(C587="M.O.",VLOOKUP(A587,INSUMOS_AUX!A:F,6,0),0)</f>
        <v>0</v>
      </c>
    </row>
    <row r="588" customFormat="false" ht="21" hidden="false" customHeight="false" outlineLevel="0" collapsed="false">
      <c r="A588" s="154" t="n">
        <v>37372</v>
      </c>
      <c r="B588" s="155" t="s">
        <v>1446</v>
      </c>
      <c r="C588" s="148" t="str">
        <f aca="false">VLOOKUP($A588,INSUMOS_AUX!$A$3:$H$813,3,0)</f>
        <v>MAT.</v>
      </c>
      <c r="D588" s="156" t="s">
        <v>1444</v>
      </c>
      <c r="E588" s="154" t="n">
        <v>0.3071</v>
      </c>
      <c r="F588" s="149" t="n">
        <f aca="false">IF(C588="MAT.",VLOOKUP(A588,INSUMOS_AUX!$A$3:$H$813,6,0),0)</f>
        <v>1.43</v>
      </c>
      <c r="G588" s="149" t="n">
        <f aca="false">IF(C588="M.O.",VLOOKUP(A588,INSUMOS_AUX!A:F,6,0),0)</f>
        <v>0</v>
      </c>
    </row>
    <row r="589" customFormat="false" ht="21" hidden="false" customHeight="false" outlineLevel="0" collapsed="false">
      <c r="A589" s="154" t="n">
        <v>43465</v>
      </c>
      <c r="B589" s="155" t="s">
        <v>1458</v>
      </c>
      <c r="C589" s="148" t="str">
        <f aca="false">VLOOKUP($A589,INSUMOS_AUX!$A$3:$H$813,3,0)</f>
        <v>MAT.</v>
      </c>
      <c r="D589" s="156" t="s">
        <v>1444</v>
      </c>
      <c r="E589" s="154" t="n">
        <v>0.3071</v>
      </c>
      <c r="F589" s="149" t="n">
        <f aca="false">IF(C589="MAT.",VLOOKUP(A589,INSUMOS_AUX!$A$3:$H$813,6,0),0)</f>
        <v>0.78</v>
      </c>
      <c r="G589" s="149" t="n">
        <f aca="false">IF(C589="M.O.",VLOOKUP(A589,INSUMOS_AUX!A:F,6,0),0)</f>
        <v>0</v>
      </c>
    </row>
    <row r="590" customFormat="false" ht="21" hidden="false" customHeight="false" outlineLevel="0" collapsed="false">
      <c r="A590" s="154" t="n">
        <v>37373</v>
      </c>
      <c r="B590" s="155" t="s">
        <v>1448</v>
      </c>
      <c r="C590" s="148" t="str">
        <f aca="false">VLOOKUP($A590,INSUMOS_AUX!$A$3:$H$813,3,0)</f>
        <v>MAT.</v>
      </c>
      <c r="D590" s="156" t="s">
        <v>1444</v>
      </c>
      <c r="E590" s="154" t="n">
        <v>0.3071</v>
      </c>
      <c r="F590" s="149" t="n">
        <f aca="false">IF(C590="MAT.",VLOOKUP(A590,INSUMOS_AUX!$A$3:$H$813,6,0),0)</f>
        <v>0.08</v>
      </c>
      <c r="G590" s="149" t="n">
        <f aca="false">IF(C590="M.O.",VLOOKUP(A590,INSUMOS_AUX!A:F,6,0),0)</f>
        <v>0</v>
      </c>
    </row>
    <row r="591" customFormat="false" ht="21" hidden="false" customHeight="false" outlineLevel="0" collapsed="false">
      <c r="A591" s="154" t="n">
        <v>37371</v>
      </c>
      <c r="B591" s="155" t="s">
        <v>1449</v>
      </c>
      <c r="C591" s="148" t="str">
        <f aca="false">VLOOKUP($A591,INSUMOS_AUX!$A$3:$H$813,3,0)</f>
        <v>MAT.</v>
      </c>
      <c r="D591" s="156" t="s">
        <v>1444</v>
      </c>
      <c r="E591" s="154" t="n">
        <v>0.3071</v>
      </c>
      <c r="F591" s="149" t="n">
        <f aca="false">IF(C591="MAT.",VLOOKUP(A591,INSUMOS_AUX!$A$3:$H$813,6,0),0)</f>
        <v>0.59</v>
      </c>
      <c r="G591" s="149" t="n">
        <f aca="false">IF(C591="M.O.",VLOOKUP(A591,INSUMOS_AUX!A:F,6,0),0)</f>
        <v>0</v>
      </c>
    </row>
    <row r="592" customFormat="false" ht="15" hidden="false" customHeight="false" outlineLevel="0" collapsed="false">
      <c r="A592" s="154" t="n">
        <v>32</v>
      </c>
      <c r="B592" s="155" t="s">
        <v>1619</v>
      </c>
      <c r="C592" s="148" t="str">
        <f aca="false">VLOOKUP($A592,INSUMOS_AUX!$A$3:$H$813,3,0)</f>
        <v>MAT.</v>
      </c>
      <c r="D592" s="156" t="s">
        <v>1513</v>
      </c>
      <c r="E592" s="154" t="n">
        <v>1.07</v>
      </c>
      <c r="F592" s="149" t="n">
        <f aca="false">IF(C592="MAT.",VLOOKUP(A592,INSUMOS_AUX!$A$3:$H$813,6,0),0)</f>
        <v>8.1</v>
      </c>
      <c r="G592" s="149" t="n">
        <f aca="false">IF(C592="M.O.",VLOOKUP(A592,INSUMOS_AUX!A:F,6,0),0)</f>
        <v>0</v>
      </c>
    </row>
    <row r="593" customFormat="false" ht="21" hidden="false" customHeight="false" outlineLevel="0" collapsed="false">
      <c r="A593" s="154" t="n">
        <v>43132</v>
      </c>
      <c r="B593" s="155" t="s">
        <v>1565</v>
      </c>
      <c r="C593" s="148" t="str">
        <f aca="false">VLOOKUP($A593,INSUMOS_AUX!$A$3:$H$813,3,0)</f>
        <v>MAT.</v>
      </c>
      <c r="D593" s="156" t="s">
        <v>1513</v>
      </c>
      <c r="E593" s="154" t="n">
        <v>0.025</v>
      </c>
      <c r="F593" s="149" t="n">
        <f aca="false">IF(C593="MAT.",VLOOKUP(A593,INSUMOS_AUX!$A$3:$H$813,6,0),0)</f>
        <v>28</v>
      </c>
      <c r="G593" s="149" t="n">
        <f aca="false">IF(C593="M.O.",VLOOKUP(A593,INSUMOS_AUX!A:F,6,0),0)</f>
        <v>0</v>
      </c>
    </row>
    <row r="594" customFormat="false" ht="21" hidden="false" customHeight="false" outlineLevel="0" collapsed="false">
      <c r="A594" s="154" t="n">
        <v>39017</v>
      </c>
      <c r="B594" s="155" t="s">
        <v>1621</v>
      </c>
      <c r="C594" s="148" t="str">
        <f aca="false">VLOOKUP($A594,INSUMOS_AUX!$A$3:$H$813,3,0)</f>
        <v>MAT.</v>
      </c>
      <c r="D594" s="156" t="s">
        <v>31</v>
      </c>
      <c r="E594" s="154" t="n">
        <v>0.856</v>
      </c>
      <c r="F594" s="149" t="n">
        <f aca="false">IF(C594="MAT.",VLOOKUP(A594,INSUMOS_AUX!$A$3:$H$813,6,0),0)</f>
        <v>0.22</v>
      </c>
      <c r="G594" s="149" t="n">
        <f aca="false">IF(C594="M.O.",VLOOKUP(A594,INSUMOS_AUX!A:F,6,0),0)</f>
        <v>0</v>
      </c>
    </row>
    <row r="595" customFormat="false" ht="15" hidden="false" customHeight="false" outlineLevel="0" collapsed="false">
      <c r="A595" s="154" t="n">
        <v>6114</v>
      </c>
      <c r="B595" s="155" t="s">
        <v>1588</v>
      </c>
      <c r="C595" s="148" t="str">
        <f aca="false">VLOOKUP($A595,INSUMOS_AUX!$A$3:$H$813,3,0)</f>
        <v>M.O.</v>
      </c>
      <c r="D595" s="156" t="s">
        <v>1444</v>
      </c>
      <c r="E595" s="154" t="n">
        <v>0.081024354</v>
      </c>
      <c r="F595" s="149" t="n">
        <f aca="false">IF(C595="MAT.",VLOOKUP(A595,INSUMOS_AUX!$A$3:$H$813,6,0),0)</f>
        <v>0</v>
      </c>
      <c r="G595" s="149" t="n">
        <f aca="false">IF(C595="M.O.",VLOOKUP(A595,INSUMOS_AUX!A:F,6,0),0)</f>
        <v>13.26</v>
      </c>
    </row>
    <row r="596" customFormat="false" ht="15" hidden="false" customHeight="false" outlineLevel="0" collapsed="false">
      <c r="A596" s="154" t="n">
        <v>378</v>
      </c>
      <c r="B596" s="155" t="s">
        <v>1589</v>
      </c>
      <c r="C596" s="148" t="str">
        <f aca="false">VLOOKUP($A596,INSUMOS_AUX!$A$3:$H$813,3,0)</f>
        <v>M.O.</v>
      </c>
      <c r="D596" s="156" t="s">
        <v>1444</v>
      </c>
      <c r="E596" s="154" t="n">
        <v>0.22961958</v>
      </c>
      <c r="F596" s="149" t="n">
        <f aca="false">IF(C596="MAT.",VLOOKUP(A596,INSUMOS_AUX!$A$3:$H$813,6,0),0)</f>
        <v>0</v>
      </c>
      <c r="G596" s="149" t="n">
        <f aca="false">IF(C596="M.O.",VLOOKUP(A596,INSUMOS_AUX!A:F,6,0),0)</f>
        <v>20.22</v>
      </c>
    </row>
    <row r="597" customFormat="false" ht="21" hidden="false" customHeight="false" outlineLevel="0" collapsed="false">
      <c r="A597" s="150" t="n">
        <v>96545</v>
      </c>
      <c r="B597" s="151" t="s">
        <v>1632</v>
      </c>
      <c r="C597" s="152" t="s">
        <v>59</v>
      </c>
      <c r="D597" s="152" t="s">
        <v>1513</v>
      </c>
      <c r="E597" s="150"/>
      <c r="F597" s="153" t="n">
        <f aca="false">(SUMPRODUCT($E598:$E608,F598:F608))*1</f>
        <v>11.394734</v>
      </c>
      <c r="G597" s="153" t="n">
        <f aca="false">(SUMPRODUCT($E598:$E608,G598:G608))*1</f>
        <v>4.1987609244</v>
      </c>
    </row>
    <row r="598" customFormat="false" ht="21" hidden="false" customHeight="false" outlineLevel="0" collapsed="false">
      <c r="A598" s="154" t="n">
        <v>37370</v>
      </c>
      <c r="B598" s="155" t="s">
        <v>1443</v>
      </c>
      <c r="C598" s="148" t="str">
        <f aca="false">VLOOKUP($A598,INSUMOS_AUX!$A$3:$H$813,3,0)</f>
        <v>MAT.</v>
      </c>
      <c r="D598" s="156" t="s">
        <v>1444</v>
      </c>
      <c r="E598" s="154" t="n">
        <v>0.2258</v>
      </c>
      <c r="F598" s="149" t="n">
        <f aca="false">IF(C598="MAT.",VLOOKUP(A598,INSUMOS_AUX!$A$3:$H$813,6,0),0)</f>
        <v>3.32</v>
      </c>
      <c r="G598" s="149" t="n">
        <f aca="false">IF(C598="M.O.",VLOOKUP(A598,INSUMOS_AUX!A:F,6,0),0)</f>
        <v>0</v>
      </c>
    </row>
    <row r="599" customFormat="false" ht="21" hidden="false" customHeight="false" outlineLevel="0" collapsed="false">
      <c r="A599" s="154" t="n">
        <v>43489</v>
      </c>
      <c r="B599" s="155" t="s">
        <v>1456</v>
      </c>
      <c r="C599" s="148" t="str">
        <f aca="false">VLOOKUP($A599,INSUMOS_AUX!$A$3:$H$813,3,0)</f>
        <v>MAT.</v>
      </c>
      <c r="D599" s="156" t="s">
        <v>1444</v>
      </c>
      <c r="E599" s="154" t="n">
        <v>0.2258</v>
      </c>
      <c r="F599" s="149" t="n">
        <f aca="false">IF(C599="MAT.",VLOOKUP(A599,INSUMOS_AUX!$A$3:$H$813,6,0),0)</f>
        <v>1.31</v>
      </c>
      <c r="G599" s="149" t="n">
        <f aca="false">IF(C599="M.O.",VLOOKUP(A599,INSUMOS_AUX!A:F,6,0),0)</f>
        <v>0</v>
      </c>
    </row>
    <row r="600" customFormat="false" ht="21" hidden="false" customHeight="false" outlineLevel="0" collapsed="false">
      <c r="A600" s="154" t="n">
        <v>37372</v>
      </c>
      <c r="B600" s="155" t="s">
        <v>1446</v>
      </c>
      <c r="C600" s="148" t="str">
        <f aca="false">VLOOKUP($A600,INSUMOS_AUX!$A$3:$H$813,3,0)</f>
        <v>MAT.</v>
      </c>
      <c r="D600" s="156" t="s">
        <v>1444</v>
      </c>
      <c r="E600" s="154" t="n">
        <v>0.2258</v>
      </c>
      <c r="F600" s="149" t="n">
        <f aca="false">IF(C600="MAT.",VLOOKUP(A600,INSUMOS_AUX!$A$3:$H$813,6,0),0)</f>
        <v>1.43</v>
      </c>
      <c r="G600" s="149" t="n">
        <f aca="false">IF(C600="M.O.",VLOOKUP(A600,INSUMOS_AUX!A:F,6,0),0)</f>
        <v>0</v>
      </c>
    </row>
    <row r="601" customFormat="false" ht="21" hidden="false" customHeight="false" outlineLevel="0" collapsed="false">
      <c r="A601" s="154" t="n">
        <v>43465</v>
      </c>
      <c r="B601" s="155" t="s">
        <v>1458</v>
      </c>
      <c r="C601" s="148" t="s">
        <v>59</v>
      </c>
      <c r="D601" s="156" t="s">
        <v>1444</v>
      </c>
      <c r="E601" s="154" t="n">
        <v>0.2258</v>
      </c>
      <c r="F601" s="149" t="n">
        <f aca="false">IF(C601="MAT.",VLOOKUP(A601,INSUMOS_AUX!$A$3:$H$813,6,0),0)</f>
        <v>0</v>
      </c>
      <c r="G601" s="149" t="n">
        <f aca="false">IF(C601="M.O.",VLOOKUP(A601,INSUMOS_AUX!A:F,6,0),0)</f>
        <v>0</v>
      </c>
    </row>
    <row r="602" customFormat="false" ht="21" hidden="false" customHeight="false" outlineLevel="0" collapsed="false">
      <c r="A602" s="154" t="n">
        <v>37373</v>
      </c>
      <c r="B602" s="155" t="s">
        <v>1448</v>
      </c>
      <c r="C602" s="148" t="str">
        <f aca="false">VLOOKUP($A602,INSUMOS_AUX!$A$3:$H$813,3,0)</f>
        <v>MAT.</v>
      </c>
      <c r="D602" s="156" t="s">
        <v>1444</v>
      </c>
      <c r="E602" s="154" t="n">
        <v>0.2258</v>
      </c>
      <c r="F602" s="149" t="n">
        <f aca="false">IF(C602="MAT.",VLOOKUP(A602,INSUMOS_AUX!$A$3:$H$813,6,0),0)</f>
        <v>0.08</v>
      </c>
      <c r="G602" s="149" t="n">
        <f aca="false">IF(C602="M.O.",VLOOKUP(A602,INSUMOS_AUX!A:F,6,0),0)</f>
        <v>0</v>
      </c>
    </row>
    <row r="603" customFormat="false" ht="21" hidden="false" customHeight="false" outlineLevel="0" collapsed="false">
      <c r="A603" s="154" t="n">
        <v>37371</v>
      </c>
      <c r="B603" s="155" t="s">
        <v>1449</v>
      </c>
      <c r="C603" s="148" t="str">
        <f aca="false">VLOOKUP($A603,INSUMOS_AUX!$A$3:$H$813,3,0)</f>
        <v>MAT.</v>
      </c>
      <c r="D603" s="156" t="s">
        <v>1444</v>
      </c>
      <c r="E603" s="154" t="n">
        <v>0.2258</v>
      </c>
      <c r="F603" s="149" t="n">
        <f aca="false">IF(C603="MAT.",VLOOKUP(A603,INSUMOS_AUX!$A$3:$H$813,6,0),0)</f>
        <v>0.59</v>
      </c>
      <c r="G603" s="149" t="n">
        <f aca="false">IF(C603="M.O.",VLOOKUP(A603,INSUMOS_AUX!A:F,6,0),0)</f>
        <v>0</v>
      </c>
    </row>
    <row r="604" customFormat="false" ht="15" hidden="false" customHeight="false" outlineLevel="0" collapsed="false">
      <c r="A604" s="154" t="n">
        <v>33</v>
      </c>
      <c r="B604" s="155" t="s">
        <v>1633</v>
      </c>
      <c r="C604" s="148" t="str">
        <f aca="false">VLOOKUP($A604,INSUMOS_AUX!$A$3:$H$813,3,0)</f>
        <v>MAT.</v>
      </c>
      <c r="D604" s="156" t="s">
        <v>1513</v>
      </c>
      <c r="E604" s="154" t="n">
        <v>1.11</v>
      </c>
      <c r="F604" s="149" t="n">
        <f aca="false">IF(C604="MAT.",VLOOKUP(A604,INSUMOS_AUX!$A$3:$H$813,6,0),0)</f>
        <v>8.14</v>
      </c>
      <c r="G604" s="149" t="n">
        <f aca="false">IF(C604="M.O.",VLOOKUP(A604,INSUMOS_AUX!A:F,6,0),0)</f>
        <v>0</v>
      </c>
    </row>
    <row r="605" customFormat="false" ht="21" hidden="false" customHeight="false" outlineLevel="0" collapsed="false">
      <c r="A605" s="154" t="n">
        <v>43132</v>
      </c>
      <c r="B605" s="155" t="s">
        <v>1565</v>
      </c>
      <c r="C605" s="148" t="str">
        <f aca="false">VLOOKUP($A605,INSUMOS_AUX!$A$3:$H$813,3,0)</f>
        <v>MAT.</v>
      </c>
      <c r="D605" s="156" t="s">
        <v>1513</v>
      </c>
      <c r="E605" s="154" t="n">
        <v>0.025</v>
      </c>
      <c r="F605" s="149" t="n">
        <f aca="false">IF(C605="MAT.",VLOOKUP(A605,INSUMOS_AUX!$A$3:$H$813,6,0),0)</f>
        <v>28</v>
      </c>
      <c r="G605" s="149" t="n">
        <f aca="false">IF(C605="M.O.",VLOOKUP(A605,INSUMOS_AUX!A:F,6,0),0)</f>
        <v>0</v>
      </c>
    </row>
    <row r="606" customFormat="false" ht="21" hidden="false" customHeight="false" outlineLevel="0" collapsed="false">
      <c r="A606" s="154" t="n">
        <v>39017</v>
      </c>
      <c r="B606" s="155" t="s">
        <v>1621</v>
      </c>
      <c r="C606" s="148" t="str">
        <f aca="false">VLOOKUP($A606,INSUMOS_AUX!$A$3:$H$813,3,0)</f>
        <v>MAT.</v>
      </c>
      <c r="D606" s="156" t="s">
        <v>31</v>
      </c>
      <c r="E606" s="154" t="n">
        <v>0.635</v>
      </c>
      <c r="F606" s="149" t="n">
        <f aca="false">IF(C606="MAT.",VLOOKUP(A606,INSUMOS_AUX!$A$3:$H$813,6,0),0)</f>
        <v>0.22</v>
      </c>
      <c r="G606" s="149" t="n">
        <f aca="false">IF(C606="M.O.",VLOOKUP(A606,INSUMOS_AUX!A:F,6,0),0)</f>
        <v>0</v>
      </c>
    </row>
    <row r="607" customFormat="false" ht="15" hidden="false" customHeight="false" outlineLevel="0" collapsed="false">
      <c r="A607" s="154" t="n">
        <v>6114</v>
      </c>
      <c r="B607" s="155" t="s">
        <v>1588</v>
      </c>
      <c r="C607" s="148" t="str">
        <f aca="false">VLOOKUP($A607,INSUMOS_AUX!$A$3:$H$813,3,0)</f>
        <v>M.O.</v>
      </c>
      <c r="D607" s="156" t="s">
        <v>1444</v>
      </c>
      <c r="E607" s="154" t="n">
        <v>0.060287784</v>
      </c>
      <c r="F607" s="149" t="n">
        <f aca="false">IF(C607="MAT.",VLOOKUP(A607,INSUMOS_AUX!$A$3:$H$813,6,0),0)</f>
        <v>0</v>
      </c>
      <c r="G607" s="149" t="n">
        <f aca="false">IF(C607="M.O.",VLOOKUP(A607,INSUMOS_AUX!A:F,6,0),0)</f>
        <v>13.26</v>
      </c>
    </row>
    <row r="608" customFormat="false" ht="15" hidden="false" customHeight="false" outlineLevel="0" collapsed="false">
      <c r="A608" s="154" t="n">
        <v>378</v>
      </c>
      <c r="B608" s="155" t="s">
        <v>1589</v>
      </c>
      <c r="C608" s="148" t="str">
        <f aca="false">VLOOKUP($A608,INSUMOS_AUX!$A$3:$H$813,3,0)</f>
        <v>M.O.</v>
      </c>
      <c r="D608" s="156" t="s">
        <v>1444</v>
      </c>
      <c r="E608" s="154" t="n">
        <v>0.168117948</v>
      </c>
      <c r="F608" s="149" t="n">
        <f aca="false">IF(C608="MAT.",VLOOKUP(A608,INSUMOS_AUX!$A$3:$H$813,6,0),0)</f>
        <v>0</v>
      </c>
      <c r="G608" s="149" t="n">
        <f aca="false">IF(C608="M.O.",VLOOKUP(A608,INSUMOS_AUX!A:F,6,0),0)</f>
        <v>20.22</v>
      </c>
    </row>
    <row r="609" customFormat="false" ht="21" hidden="false" customHeight="false" outlineLevel="0" collapsed="false">
      <c r="A609" s="150" t="n">
        <v>104921</v>
      </c>
      <c r="B609" s="151" t="s">
        <v>1634</v>
      </c>
      <c r="C609" s="152" t="s">
        <v>59</v>
      </c>
      <c r="D609" s="152" t="s">
        <v>1513</v>
      </c>
      <c r="E609" s="150"/>
      <c r="F609" s="153" t="n">
        <f aca="false">(SUMPRODUCT($E610:$E620,F610:F620))*1</f>
        <v>8.609865</v>
      </c>
      <c r="G609" s="153" t="n">
        <f aca="false">(SUMPRODUCT($E610:$E620,G610:G620))*1</f>
        <v>1.3081943358</v>
      </c>
    </row>
    <row r="610" customFormat="false" ht="21" hidden="false" customHeight="false" outlineLevel="0" collapsed="false">
      <c r="A610" s="154" t="n">
        <v>37370</v>
      </c>
      <c r="B610" s="155" t="s">
        <v>1443</v>
      </c>
      <c r="C610" s="148" t="str">
        <f aca="false">VLOOKUP($A610,INSUMOS_AUX!$A$3:$H$813,3,0)</f>
        <v>MAT.</v>
      </c>
      <c r="D610" s="156" t="s">
        <v>1444</v>
      </c>
      <c r="E610" s="154" t="n">
        <v>0.0705</v>
      </c>
      <c r="F610" s="149" t="n">
        <f aca="false">IF(C610="MAT.",VLOOKUP(A610,INSUMOS_AUX!$A$3:$H$813,6,0),0)</f>
        <v>3.32</v>
      </c>
      <c r="G610" s="149" t="n">
        <f aca="false">IF(C610="M.O.",VLOOKUP(A610,INSUMOS_AUX!A:F,6,0),0)</f>
        <v>0</v>
      </c>
    </row>
    <row r="611" customFormat="false" ht="21" hidden="false" customHeight="false" outlineLevel="0" collapsed="false">
      <c r="A611" s="154" t="n">
        <v>43489</v>
      </c>
      <c r="B611" s="155" t="s">
        <v>1456</v>
      </c>
      <c r="C611" s="148" t="str">
        <f aca="false">VLOOKUP($A611,INSUMOS_AUX!$A$3:$H$813,3,0)</f>
        <v>MAT.</v>
      </c>
      <c r="D611" s="156" t="s">
        <v>1444</v>
      </c>
      <c r="E611" s="154" t="n">
        <v>0.0705</v>
      </c>
      <c r="F611" s="149" t="n">
        <f aca="false">IF(C611="MAT.",VLOOKUP(A611,INSUMOS_AUX!$A$3:$H$813,6,0),0)</f>
        <v>1.31</v>
      </c>
      <c r="G611" s="149" t="n">
        <f aca="false">IF(C611="M.O.",VLOOKUP(A611,INSUMOS_AUX!A:F,6,0),0)</f>
        <v>0</v>
      </c>
    </row>
    <row r="612" customFormat="false" ht="21" hidden="false" customHeight="false" outlineLevel="0" collapsed="false">
      <c r="A612" s="154" t="n">
        <v>37372</v>
      </c>
      <c r="B612" s="155" t="s">
        <v>1446</v>
      </c>
      <c r="C612" s="148" t="str">
        <f aca="false">VLOOKUP($A612,INSUMOS_AUX!$A$3:$H$813,3,0)</f>
        <v>MAT.</v>
      </c>
      <c r="D612" s="156" t="s">
        <v>1444</v>
      </c>
      <c r="E612" s="154" t="n">
        <v>0.0705</v>
      </c>
      <c r="F612" s="149" t="n">
        <f aca="false">IF(C612="MAT.",VLOOKUP(A612,INSUMOS_AUX!$A$3:$H$813,6,0),0)</f>
        <v>1.43</v>
      </c>
      <c r="G612" s="149" t="n">
        <f aca="false">IF(C612="M.O.",VLOOKUP(A612,INSUMOS_AUX!A:F,6,0),0)</f>
        <v>0</v>
      </c>
    </row>
    <row r="613" customFormat="false" ht="21" hidden="false" customHeight="false" outlineLevel="0" collapsed="false">
      <c r="A613" s="154" t="n">
        <v>43465</v>
      </c>
      <c r="B613" s="155" t="s">
        <v>1458</v>
      </c>
      <c r="C613" s="148" t="s">
        <v>59</v>
      </c>
      <c r="D613" s="156" t="s">
        <v>1444</v>
      </c>
      <c r="E613" s="154" t="n">
        <v>0.0705</v>
      </c>
      <c r="F613" s="149" t="n">
        <f aca="false">IF(C613="MAT.",VLOOKUP(A613,INSUMOS_AUX!$A$3:$H$813,6,0),0)</f>
        <v>0</v>
      </c>
      <c r="G613" s="149" t="n">
        <f aca="false">IF(C613="M.O.",VLOOKUP(A613,INSUMOS_AUX!A:F,6,0),0)</f>
        <v>0</v>
      </c>
    </row>
    <row r="614" customFormat="false" ht="21" hidden="false" customHeight="false" outlineLevel="0" collapsed="false">
      <c r="A614" s="154" t="n">
        <v>37373</v>
      </c>
      <c r="B614" s="155" t="s">
        <v>1448</v>
      </c>
      <c r="C614" s="148" t="str">
        <f aca="false">VLOOKUP($A614,INSUMOS_AUX!$A$3:$H$813,3,0)</f>
        <v>MAT.</v>
      </c>
      <c r="D614" s="156" t="s">
        <v>1444</v>
      </c>
      <c r="E614" s="154" t="n">
        <v>0.0705</v>
      </c>
      <c r="F614" s="149" t="n">
        <f aca="false">IF(C614="MAT.",VLOOKUP(A614,INSUMOS_AUX!$A$3:$H$813,6,0),0)</f>
        <v>0.08</v>
      </c>
      <c r="G614" s="149" t="n">
        <f aca="false">IF(C614="M.O.",VLOOKUP(A614,INSUMOS_AUX!A:F,6,0),0)</f>
        <v>0</v>
      </c>
    </row>
    <row r="615" customFormat="false" ht="21" hidden="false" customHeight="false" outlineLevel="0" collapsed="false">
      <c r="A615" s="154" t="n">
        <v>37371</v>
      </c>
      <c r="B615" s="155" t="s">
        <v>1449</v>
      </c>
      <c r="C615" s="148" t="str">
        <f aca="false">VLOOKUP($A615,INSUMOS_AUX!$A$3:$H$813,3,0)</f>
        <v>MAT.</v>
      </c>
      <c r="D615" s="156" t="s">
        <v>1444</v>
      </c>
      <c r="E615" s="154" t="n">
        <v>0.0705</v>
      </c>
      <c r="F615" s="149" t="n">
        <f aca="false">IF(C615="MAT.",VLOOKUP(A615,INSUMOS_AUX!$A$3:$H$813,6,0),0)</f>
        <v>0.59</v>
      </c>
      <c r="G615" s="149" t="n">
        <f aca="false">IF(C615="M.O.",VLOOKUP(A615,INSUMOS_AUX!A:F,6,0),0)</f>
        <v>0</v>
      </c>
    </row>
    <row r="616" customFormat="false" ht="15" hidden="false" customHeight="false" outlineLevel="0" collapsed="false">
      <c r="A616" s="154" t="n">
        <v>43055</v>
      </c>
      <c r="B616" s="155" t="s">
        <v>1618</v>
      </c>
      <c r="C616" s="148" t="str">
        <f aca="false">VLOOKUP($A616,INSUMOS_AUX!$A$3:$H$813,3,0)</f>
        <v>MAT.</v>
      </c>
      <c r="D616" s="156" t="s">
        <v>1513</v>
      </c>
      <c r="E616" s="154" t="n">
        <v>1.11</v>
      </c>
      <c r="F616" s="149" t="n">
        <f aca="false">IF(C616="MAT.",VLOOKUP(A616,INSUMOS_AUX!$A$3:$H$813,6,0),0)</f>
        <v>6.65</v>
      </c>
      <c r="G616" s="149" t="n">
        <f aca="false">IF(C616="M.O.",VLOOKUP(A616,INSUMOS_AUX!A:F,6,0),0)</f>
        <v>0</v>
      </c>
    </row>
    <row r="617" customFormat="false" ht="21" hidden="false" customHeight="false" outlineLevel="0" collapsed="false">
      <c r="A617" s="154" t="n">
        <v>43132</v>
      </c>
      <c r="B617" s="155" t="s">
        <v>1565</v>
      </c>
      <c r="C617" s="148" t="str">
        <f aca="false">VLOOKUP($A617,INSUMOS_AUX!$A$3:$H$813,3,0)</f>
        <v>MAT.</v>
      </c>
      <c r="D617" s="156" t="s">
        <v>1513</v>
      </c>
      <c r="E617" s="154" t="n">
        <v>0.025</v>
      </c>
      <c r="F617" s="149" t="n">
        <f aca="false">IF(C617="MAT.",VLOOKUP(A617,INSUMOS_AUX!$A$3:$H$813,6,0),0)</f>
        <v>28</v>
      </c>
      <c r="G617" s="149" t="n">
        <f aca="false">IF(C617="M.O.",VLOOKUP(A617,INSUMOS_AUX!A:F,6,0),0)</f>
        <v>0</v>
      </c>
    </row>
    <row r="618" customFormat="false" ht="21" hidden="false" customHeight="false" outlineLevel="0" collapsed="false">
      <c r="A618" s="154" t="n">
        <v>39017</v>
      </c>
      <c r="B618" s="155" t="s">
        <v>1621</v>
      </c>
      <c r="C618" s="148" t="str">
        <f aca="false">VLOOKUP($A618,INSUMOS_AUX!$A$3:$H$813,3,0)</f>
        <v>MAT.</v>
      </c>
      <c r="D618" s="156" t="s">
        <v>31</v>
      </c>
      <c r="E618" s="154" t="n">
        <v>0.245</v>
      </c>
      <c r="F618" s="149" t="n">
        <f aca="false">IF(C618="MAT.",VLOOKUP(A618,INSUMOS_AUX!$A$3:$H$813,6,0),0)</f>
        <v>0.22</v>
      </c>
      <c r="G618" s="149" t="n">
        <f aca="false">IF(C618="M.O.",VLOOKUP(A618,INSUMOS_AUX!A:F,6,0),0)</f>
        <v>0</v>
      </c>
    </row>
    <row r="619" customFormat="false" ht="15" hidden="false" customHeight="false" outlineLevel="0" collapsed="false">
      <c r="A619" s="154" t="n">
        <v>6114</v>
      </c>
      <c r="B619" s="155" t="s">
        <v>1588</v>
      </c>
      <c r="C619" s="148" t="str">
        <f aca="false">VLOOKUP($A619,INSUMOS_AUX!$A$3:$H$813,3,0)</f>
        <v>M.O.</v>
      </c>
      <c r="D619" s="156" t="s">
        <v>1444</v>
      </c>
      <c r="E619" s="154" t="n">
        <v>0.01921926</v>
      </c>
      <c r="F619" s="149" t="n">
        <f aca="false">IF(C619="MAT.",VLOOKUP(A619,INSUMOS_AUX!$A$3:$H$813,6,0),0)</f>
        <v>0</v>
      </c>
      <c r="G619" s="149" t="n">
        <f aca="false">IF(C619="M.O.",VLOOKUP(A619,INSUMOS_AUX!A:F,6,0),0)</f>
        <v>13.26</v>
      </c>
    </row>
    <row r="620" customFormat="false" ht="15" hidden="false" customHeight="false" outlineLevel="0" collapsed="false">
      <c r="A620" s="154" t="n">
        <v>378</v>
      </c>
      <c r="B620" s="155" t="s">
        <v>1589</v>
      </c>
      <c r="C620" s="148" t="str">
        <f aca="false">VLOOKUP($A620,INSUMOS_AUX!$A$3:$H$813,3,0)</f>
        <v>M.O.</v>
      </c>
      <c r="D620" s="156" t="s">
        <v>1444</v>
      </c>
      <c r="E620" s="154" t="n">
        <v>0.05209431</v>
      </c>
      <c r="F620" s="149" t="n">
        <f aca="false">IF(C620="MAT.",VLOOKUP(A620,INSUMOS_AUX!$A$3:$H$813,6,0),0)</f>
        <v>0</v>
      </c>
      <c r="G620" s="149" t="n">
        <f aca="false">IF(C620="M.O.",VLOOKUP(A620,INSUMOS_AUX!A:F,6,0),0)</f>
        <v>20.22</v>
      </c>
    </row>
    <row r="621" customFormat="false" ht="31.5" hidden="false" customHeight="false" outlineLevel="0" collapsed="false">
      <c r="A621" s="150" t="s">
        <v>131</v>
      </c>
      <c r="B621" s="151" t="s">
        <v>1635</v>
      </c>
      <c r="C621" s="152" t="s">
        <v>59</v>
      </c>
      <c r="D621" s="152" t="s">
        <v>1442</v>
      </c>
      <c r="E621" s="150"/>
      <c r="F621" s="153" t="n">
        <f aca="false">(SUMPRODUCT($E622:$E634,F622:F634))*1</f>
        <v>851.632968052008</v>
      </c>
      <c r="G621" s="153" t="n">
        <f aca="false">(SUMPRODUCT($E622:$E634,G622:G634))*1</f>
        <v>13.522148316</v>
      </c>
    </row>
    <row r="622" customFormat="false" ht="21" hidden="false" customHeight="false" outlineLevel="0" collapsed="false">
      <c r="A622" s="154" t="n">
        <v>37370</v>
      </c>
      <c r="B622" s="155" t="s">
        <v>1443</v>
      </c>
      <c r="C622" s="148" t="str">
        <f aca="false">VLOOKUP($A622,INSUMOS_AUX!$A$3:$H$813,3,0)</f>
        <v>MAT.</v>
      </c>
      <c r="D622" s="156" t="s">
        <v>1444</v>
      </c>
      <c r="E622" s="154" t="n">
        <v>0.835</v>
      </c>
      <c r="F622" s="149" t="n">
        <f aca="false">IF(C622="MAT.",VLOOKUP(A622,INSUMOS_AUX!$A$3:$H$813,6,0),0)</f>
        <v>3.32</v>
      </c>
      <c r="G622" s="149" t="n">
        <f aca="false">IF(C622="M.O.",VLOOKUP(A622,INSUMOS_AUX!A:F,6,0),0)</f>
        <v>0</v>
      </c>
    </row>
    <row r="623" customFormat="false" ht="21" hidden="false" customHeight="false" outlineLevel="0" collapsed="false">
      <c r="A623" s="154" t="n">
        <v>43489</v>
      </c>
      <c r="B623" s="155" t="s">
        <v>1456</v>
      </c>
      <c r="C623" s="148" t="str">
        <f aca="false">VLOOKUP($A623,INSUMOS_AUX!$A$3:$H$813,3,0)</f>
        <v>MAT.</v>
      </c>
      <c r="D623" s="156" t="s">
        <v>1444</v>
      </c>
      <c r="E623" s="154" t="n">
        <v>0.334</v>
      </c>
      <c r="F623" s="149" t="n">
        <f aca="false">IF(C623="MAT.",VLOOKUP(A623,INSUMOS_AUX!$A$3:$H$813,6,0),0)</f>
        <v>1.31</v>
      </c>
      <c r="G623" s="149" t="n">
        <f aca="false">IF(C623="M.O.",VLOOKUP(A623,INSUMOS_AUX!A:F,6,0),0)</f>
        <v>0</v>
      </c>
    </row>
    <row r="624" customFormat="false" ht="21" hidden="false" customHeight="false" outlineLevel="0" collapsed="false">
      <c r="A624" s="154" t="n">
        <v>43491</v>
      </c>
      <c r="B624" s="155" t="s">
        <v>1457</v>
      </c>
      <c r="C624" s="148" t="str">
        <f aca="false">VLOOKUP($A624,INSUMOS_AUX!$A$3:$H$813,3,0)</f>
        <v>MAT.</v>
      </c>
      <c r="D624" s="156" t="s">
        <v>1444</v>
      </c>
      <c r="E624" s="154" t="n">
        <v>0.501</v>
      </c>
      <c r="F624" s="149" t="n">
        <f aca="false">IF(C624="MAT.",VLOOKUP(A624,INSUMOS_AUX!$A$3:$H$813,6,0),0)</f>
        <v>1.39</v>
      </c>
      <c r="G624" s="149" t="n">
        <f aca="false">IF(C624="M.O.",VLOOKUP(A624,INSUMOS_AUX!A:F,6,0),0)</f>
        <v>0</v>
      </c>
    </row>
    <row r="625" customFormat="false" ht="21" hidden="false" customHeight="false" outlineLevel="0" collapsed="false">
      <c r="A625" s="154" t="n">
        <v>37372</v>
      </c>
      <c r="B625" s="155" t="s">
        <v>1446</v>
      </c>
      <c r="C625" s="148" t="s">
        <v>59</v>
      </c>
      <c r="D625" s="156" t="s">
        <v>1444</v>
      </c>
      <c r="E625" s="154" t="n">
        <v>0.835</v>
      </c>
      <c r="F625" s="149" t="n">
        <f aca="false">IF(C625="MAT.",VLOOKUP(A625,INSUMOS_AUX!$A$3:$H$813,6,0),0)</f>
        <v>0</v>
      </c>
      <c r="G625" s="149" t="n">
        <f aca="false">IF(C625="M.O.",VLOOKUP(A625,INSUMOS_AUX!A:F,6,0),0)</f>
        <v>0</v>
      </c>
    </row>
    <row r="626" customFormat="false" ht="21" hidden="false" customHeight="false" outlineLevel="0" collapsed="false">
      <c r="A626" s="154" t="n">
        <v>43465</v>
      </c>
      <c r="B626" s="155" t="s">
        <v>1458</v>
      </c>
      <c r="C626" s="148" t="str">
        <f aca="false">VLOOKUP($A626,INSUMOS_AUX!$A$3:$H$813,3,0)</f>
        <v>MAT.</v>
      </c>
      <c r="D626" s="156" t="s">
        <v>1444</v>
      </c>
      <c r="E626" s="154" t="n">
        <v>0.334</v>
      </c>
      <c r="F626" s="149" t="n">
        <f aca="false">IF(C626="MAT.",VLOOKUP(A626,INSUMOS_AUX!$A$3:$H$813,6,0),0)</f>
        <v>0.78</v>
      </c>
      <c r="G626" s="149" t="n">
        <f aca="false">IF(C626="M.O.",VLOOKUP(A626,INSUMOS_AUX!A:F,6,0),0)</f>
        <v>0</v>
      </c>
    </row>
    <row r="627" customFormat="false" ht="21" hidden="false" customHeight="false" outlineLevel="0" collapsed="false">
      <c r="A627" s="154" t="n">
        <v>43467</v>
      </c>
      <c r="B627" s="155" t="s">
        <v>1459</v>
      </c>
      <c r="C627" s="148" t="str">
        <f aca="false">VLOOKUP($A627,INSUMOS_AUX!$A$3:$H$813,3,0)</f>
        <v>MAT.</v>
      </c>
      <c r="D627" s="156" t="s">
        <v>1444</v>
      </c>
      <c r="E627" s="154" t="n">
        <v>0.501</v>
      </c>
      <c r="F627" s="149" t="n">
        <f aca="false">IF(C627="MAT.",VLOOKUP(A627,INSUMOS_AUX!$A$3:$H$813,6,0),0)</f>
        <v>0.61</v>
      </c>
      <c r="G627" s="149" t="n">
        <f aca="false">IF(C627="M.O.",VLOOKUP(A627,INSUMOS_AUX!A:F,6,0),0)</f>
        <v>0</v>
      </c>
    </row>
    <row r="628" customFormat="false" ht="21" hidden="false" customHeight="false" outlineLevel="0" collapsed="false">
      <c r="A628" s="154" t="n">
        <v>37373</v>
      </c>
      <c r="B628" s="155" t="s">
        <v>1448</v>
      </c>
      <c r="C628" s="148" t="str">
        <f aca="false">VLOOKUP($A628,INSUMOS_AUX!$A$3:$H$813,3,0)</f>
        <v>MAT.</v>
      </c>
      <c r="D628" s="156" t="s">
        <v>1444</v>
      </c>
      <c r="E628" s="154" t="n">
        <v>0.835</v>
      </c>
      <c r="F628" s="149" t="n">
        <f aca="false">IF(C628="MAT.",VLOOKUP(A628,INSUMOS_AUX!$A$3:$H$813,6,0),0)</f>
        <v>0.08</v>
      </c>
      <c r="G628" s="149" t="n">
        <f aca="false">IF(C628="M.O.",VLOOKUP(A628,INSUMOS_AUX!A:F,6,0),0)</f>
        <v>0</v>
      </c>
    </row>
    <row r="629" customFormat="false" ht="21" hidden="false" customHeight="false" outlineLevel="0" collapsed="false">
      <c r="A629" s="154" t="n">
        <v>37371</v>
      </c>
      <c r="B629" s="155" t="s">
        <v>1449</v>
      </c>
      <c r="C629" s="148" t="str">
        <f aca="false">VLOOKUP($A629,INSUMOS_AUX!$A$3:$H$813,3,0)</f>
        <v>MAT.</v>
      </c>
      <c r="D629" s="156" t="s">
        <v>1444</v>
      </c>
      <c r="E629" s="154" t="n">
        <v>0.835</v>
      </c>
      <c r="F629" s="149" t="n">
        <f aca="false">IF(C629="MAT.",VLOOKUP(A629,INSUMOS_AUX!$A$3:$H$813,6,0),0)</f>
        <v>0.59</v>
      </c>
      <c r="G629" s="149" t="n">
        <f aca="false">IF(C629="M.O.",VLOOKUP(A629,INSUMOS_AUX!A:F,6,0),0)</f>
        <v>0</v>
      </c>
    </row>
    <row r="630" customFormat="false" ht="21" hidden="false" customHeight="false" outlineLevel="0" collapsed="false">
      <c r="A630" s="154" t="n">
        <v>13896</v>
      </c>
      <c r="B630" s="155" t="s">
        <v>1564</v>
      </c>
      <c r="C630" s="148" t="str">
        <f aca="false">VLOOKUP($A630,INSUMOS_AUX!$A$3:$H$813,3,0)</f>
        <v>MAT.</v>
      </c>
      <c r="D630" s="156" t="s">
        <v>31</v>
      </c>
      <c r="E630" s="154" t="n">
        <v>3.55192E-005</v>
      </c>
      <c r="F630" s="149" t="n">
        <f aca="false">IF(C630="MAT.",VLOOKUP(A630,INSUMOS_AUX!$A$3:$H$813,6,0),0)</f>
        <v>3390.99</v>
      </c>
      <c r="G630" s="149" t="n">
        <f aca="false">IF(C630="M.O.",VLOOKUP(A630,INSUMOS_AUX!A:F,6,0),0)</f>
        <v>0</v>
      </c>
    </row>
    <row r="631" customFormat="false" ht="15" hidden="false" customHeight="false" outlineLevel="0" collapsed="false">
      <c r="A631" s="154" t="n">
        <v>2705</v>
      </c>
      <c r="B631" s="155" t="s">
        <v>1467</v>
      </c>
      <c r="C631" s="148" t="str">
        <f aca="false">VLOOKUP($A631,INSUMOS_AUX!$A$3:$H$813,3,0)</f>
        <v>MAT.</v>
      </c>
      <c r="D631" s="156" t="s">
        <v>1468</v>
      </c>
      <c r="E631" s="154" t="n">
        <v>0.04784</v>
      </c>
      <c r="F631" s="149" t="n">
        <f aca="false">IF(C631="MAT.",VLOOKUP(A631,INSUMOS_AUX!$A$3:$H$813,6,0),0)</f>
        <v>0.92</v>
      </c>
      <c r="G631" s="149" t="n">
        <f aca="false">IF(C631="M.O.",VLOOKUP(A631,INSUMOS_AUX!A:F,6,0),0)</f>
        <v>0</v>
      </c>
    </row>
    <row r="632" customFormat="false" ht="31.5" hidden="false" customHeight="false" outlineLevel="0" collapsed="false">
      <c r="A632" s="154" t="n">
        <v>11145</v>
      </c>
      <c r="B632" s="155" t="s">
        <v>1620</v>
      </c>
      <c r="C632" s="148" t="str">
        <f aca="false">VLOOKUP($A632,INSUMOS_AUX!$A$3:$H$813,3,0)</f>
        <v>MAT.</v>
      </c>
      <c r="D632" s="156" t="s">
        <v>1442</v>
      </c>
      <c r="E632" s="154" t="n">
        <v>1.23</v>
      </c>
      <c r="F632" s="149" t="n">
        <f aca="false">IF(C632="MAT.",VLOOKUP(A632,INSUMOS_AUX!$A$3:$H$813,6,0),0)</f>
        <v>688.16</v>
      </c>
      <c r="G632" s="149" t="n">
        <f aca="false">IF(C632="M.O.",VLOOKUP(A632,INSUMOS_AUX!A:F,6,0),0)</f>
        <v>0</v>
      </c>
    </row>
    <row r="633" customFormat="false" ht="15" hidden="false" customHeight="false" outlineLevel="0" collapsed="false">
      <c r="A633" s="154" t="n">
        <v>4750</v>
      </c>
      <c r="B633" s="155" t="s">
        <v>1463</v>
      </c>
      <c r="C633" s="148" t="str">
        <f aca="false">VLOOKUP($A633,INSUMOS_AUX!$A$3:$H$813,3,0)</f>
        <v>M.O.</v>
      </c>
      <c r="D633" s="156" t="s">
        <v>1444</v>
      </c>
      <c r="E633" s="154" t="n">
        <v>0.3410808</v>
      </c>
      <c r="F633" s="149" t="n">
        <f aca="false">IF(C633="MAT.",VLOOKUP(A633,INSUMOS_AUX!$A$3:$H$813,6,0),0)</f>
        <v>0</v>
      </c>
      <c r="G633" s="149" t="n">
        <f aca="false">IF(C633="M.O.",VLOOKUP(A633,INSUMOS_AUX!A:F,6,0),0)</f>
        <v>20.22</v>
      </c>
    </row>
    <row r="634" customFormat="false" ht="15" hidden="false" customHeight="false" outlineLevel="0" collapsed="false">
      <c r="A634" s="154" t="n">
        <v>6111</v>
      </c>
      <c r="B634" s="155" t="s">
        <v>1464</v>
      </c>
      <c r="C634" s="148" t="str">
        <f aca="false">VLOOKUP($A634,INSUMOS_AUX!$A$3:$H$813,3,0)</f>
        <v>M.O.</v>
      </c>
      <c r="D634" s="156" t="s">
        <v>1444</v>
      </c>
      <c r="E634" s="154" t="n">
        <v>0.5116212</v>
      </c>
      <c r="F634" s="149" t="n">
        <f aca="false">IF(C634="MAT.",VLOOKUP(A634,INSUMOS_AUX!$A$3:$H$813,6,0),0)</f>
        <v>0</v>
      </c>
      <c r="G634" s="149" t="n">
        <f aca="false">IF(C634="M.O.",VLOOKUP(A634,INSUMOS_AUX!A:F,6,0),0)</f>
        <v>12.95</v>
      </c>
    </row>
    <row r="635" customFormat="false" ht="31.5" hidden="false" customHeight="false" outlineLevel="0" collapsed="false">
      <c r="A635" s="150" t="n">
        <v>92415</v>
      </c>
      <c r="B635" s="151" t="s">
        <v>1636</v>
      </c>
      <c r="C635" s="152" t="s">
        <v>59</v>
      </c>
      <c r="D635" s="152" t="s">
        <v>1477</v>
      </c>
      <c r="E635" s="150"/>
      <c r="F635" s="153" t="n">
        <f aca="false">(SUMPRODUCT($E636:$E657,F636:F657))*1</f>
        <v>110.006927622934</v>
      </c>
      <c r="G635" s="153" t="n">
        <f aca="false">(SUMPRODUCT($E636:$E657,G636:G657))*1</f>
        <v>42.67256733879</v>
      </c>
    </row>
    <row r="636" customFormat="false" ht="21" hidden="false" customHeight="false" outlineLevel="0" collapsed="false">
      <c r="A636" s="154" t="n">
        <v>37370</v>
      </c>
      <c r="B636" s="155" t="s">
        <v>1443</v>
      </c>
      <c r="C636" s="148" t="str">
        <f aca="false">VLOOKUP($A636,INSUMOS_AUX!$A$3:$H$813,3,0)</f>
        <v>MAT.</v>
      </c>
      <c r="D636" s="156" t="s">
        <v>1444</v>
      </c>
      <c r="E636" s="154" t="n">
        <v>2.2487</v>
      </c>
      <c r="F636" s="149" t="n">
        <f aca="false">IF(C636="MAT.",VLOOKUP(A636,INSUMOS_AUX!$A$3:$H$813,6,0),0)</f>
        <v>3.32</v>
      </c>
      <c r="G636" s="149" t="n">
        <f aca="false">IF(C636="M.O.",VLOOKUP(A636,INSUMOS_AUX!A:F,6,0),0)</f>
        <v>0</v>
      </c>
    </row>
    <row r="637" customFormat="false" ht="21" hidden="false" customHeight="false" outlineLevel="0" collapsed="false">
      <c r="A637" s="154" t="n">
        <v>43483</v>
      </c>
      <c r="B637" s="155" t="s">
        <v>1486</v>
      </c>
      <c r="C637" s="148" t="str">
        <f aca="false">VLOOKUP($A637,INSUMOS_AUX!$A$3:$H$813,3,0)</f>
        <v>MAT.</v>
      </c>
      <c r="D637" s="156" t="s">
        <v>1444</v>
      </c>
      <c r="E637" s="154" t="n">
        <v>2.08175</v>
      </c>
      <c r="F637" s="149" t="n">
        <f aca="false">IF(C637="MAT.",VLOOKUP(A637,INSUMOS_AUX!$A$3:$H$813,6,0),0)</f>
        <v>1.43</v>
      </c>
      <c r="G637" s="149" t="n">
        <f aca="false">IF(C637="M.O.",VLOOKUP(A637,INSUMOS_AUX!A:F,6,0),0)</f>
        <v>0</v>
      </c>
    </row>
    <row r="638" customFormat="false" ht="21" hidden="false" customHeight="false" outlineLevel="0" collapsed="false">
      <c r="A638" s="154" t="n">
        <v>43488</v>
      </c>
      <c r="B638" s="155" t="s">
        <v>1445</v>
      </c>
      <c r="C638" s="148" t="str">
        <f aca="false">VLOOKUP($A638,INSUMOS_AUX!$A$3:$H$813,3,0)</f>
        <v>MAT.</v>
      </c>
      <c r="D638" s="156" t="s">
        <v>1444</v>
      </c>
      <c r="E638" s="154" t="n">
        <v>0.16695</v>
      </c>
      <c r="F638" s="149" t="n">
        <f aca="false">IF(C638="MAT.",VLOOKUP(A638,INSUMOS_AUX!$A$3:$H$813,6,0),0)</f>
        <v>0.89</v>
      </c>
      <c r="G638" s="149" t="n">
        <f aca="false">IF(C638="M.O.",VLOOKUP(A638,INSUMOS_AUX!A:F,6,0),0)</f>
        <v>0</v>
      </c>
    </row>
    <row r="639" customFormat="false" ht="21" hidden="false" customHeight="false" outlineLevel="0" collapsed="false">
      <c r="A639" s="154" t="n">
        <v>37372</v>
      </c>
      <c r="B639" s="155" t="s">
        <v>1446</v>
      </c>
      <c r="C639" s="148" t="str">
        <f aca="false">VLOOKUP($A639,INSUMOS_AUX!$A$3:$H$813,3,0)</f>
        <v>MAT.</v>
      </c>
      <c r="D639" s="156" t="s">
        <v>1444</v>
      </c>
      <c r="E639" s="154" t="n">
        <v>2.2487</v>
      </c>
      <c r="F639" s="149" t="n">
        <f aca="false">IF(C639="MAT.",VLOOKUP(A639,INSUMOS_AUX!$A$3:$H$813,6,0),0)</f>
        <v>1.43</v>
      </c>
      <c r="G639" s="149" t="n">
        <f aca="false">IF(C639="M.O.",VLOOKUP(A639,INSUMOS_AUX!A:F,6,0),0)</f>
        <v>0</v>
      </c>
    </row>
    <row r="640" customFormat="false" ht="21" hidden="false" customHeight="false" outlineLevel="0" collapsed="false">
      <c r="A640" s="154" t="n">
        <v>43459</v>
      </c>
      <c r="B640" s="155" t="s">
        <v>1487</v>
      </c>
      <c r="C640" s="148" t="str">
        <f aca="false">VLOOKUP($A640,INSUMOS_AUX!$A$3:$H$813,3,0)</f>
        <v>MAT.</v>
      </c>
      <c r="D640" s="156" t="s">
        <v>1444</v>
      </c>
      <c r="E640" s="154" t="n">
        <v>2.08175</v>
      </c>
      <c r="F640" s="149" t="n">
        <f aca="false">IF(C640="MAT.",VLOOKUP(A640,INSUMOS_AUX!$A$3:$H$813,6,0),0)</f>
        <v>0.44</v>
      </c>
      <c r="G640" s="149" t="n">
        <f aca="false">IF(C640="M.O.",VLOOKUP(A640,INSUMOS_AUX!A:F,6,0),0)</f>
        <v>0</v>
      </c>
    </row>
    <row r="641" customFormat="false" ht="21" hidden="false" customHeight="false" outlineLevel="0" collapsed="false">
      <c r="A641" s="154" t="n">
        <v>43464</v>
      </c>
      <c r="B641" s="155" t="s">
        <v>1447</v>
      </c>
      <c r="C641" s="148" t="str">
        <f aca="false">VLOOKUP($A641,INSUMOS_AUX!$A$3:$H$813,3,0)</f>
        <v>MAT.</v>
      </c>
      <c r="D641" s="156" t="s">
        <v>1444</v>
      </c>
      <c r="E641" s="154" t="n">
        <v>0.16695</v>
      </c>
      <c r="F641" s="149" t="n">
        <f aca="false">IF(C641="MAT.",VLOOKUP(A641,INSUMOS_AUX!$A$3:$H$813,6,0),0)</f>
        <v>0.01</v>
      </c>
      <c r="G641" s="149" t="n">
        <f aca="false">IF(C641="M.O.",VLOOKUP(A641,INSUMOS_AUX!A:F,6,0),0)</f>
        <v>0</v>
      </c>
    </row>
    <row r="642" customFormat="false" ht="21" hidden="false" customHeight="false" outlineLevel="0" collapsed="false">
      <c r="A642" s="154" t="n">
        <v>37373</v>
      </c>
      <c r="B642" s="155" t="s">
        <v>1448</v>
      </c>
      <c r="C642" s="148" t="s">
        <v>59</v>
      </c>
      <c r="D642" s="156" t="s">
        <v>1444</v>
      </c>
      <c r="E642" s="154" t="n">
        <v>2.2487</v>
      </c>
      <c r="F642" s="149" t="n">
        <f aca="false">IF(C642="MAT.",VLOOKUP(A642,INSUMOS_AUX!$A$3:$H$813,6,0),0)</f>
        <v>0</v>
      </c>
      <c r="G642" s="149" t="n">
        <f aca="false">IF(C642="M.O.",VLOOKUP(A642,INSUMOS_AUX!A:F,6,0),0)</f>
        <v>0</v>
      </c>
    </row>
    <row r="643" customFormat="false" ht="21" hidden="false" customHeight="false" outlineLevel="0" collapsed="false">
      <c r="A643" s="154" t="n">
        <v>37371</v>
      </c>
      <c r="B643" s="155" t="s">
        <v>1449</v>
      </c>
      <c r="C643" s="148" t="str">
        <f aca="false">VLOOKUP($A643,INSUMOS_AUX!$A$3:$H$813,3,0)</f>
        <v>MAT.</v>
      </c>
      <c r="D643" s="156" t="s">
        <v>1444</v>
      </c>
      <c r="E643" s="154" t="n">
        <v>2.2487</v>
      </c>
      <c r="F643" s="149" t="n">
        <f aca="false">IF(C643="MAT.",VLOOKUP(A643,INSUMOS_AUX!$A$3:$H$813,6,0),0)</f>
        <v>0.59</v>
      </c>
      <c r="G643" s="149" t="n">
        <f aca="false">IF(C643="M.O.",VLOOKUP(A643,INSUMOS_AUX!A:F,6,0),0)</f>
        <v>0</v>
      </c>
    </row>
    <row r="644" customFormat="false" ht="21" hidden="false" customHeight="false" outlineLevel="0" collapsed="false">
      <c r="A644" s="154" t="n">
        <v>40271</v>
      </c>
      <c r="B644" s="155" t="s">
        <v>1637</v>
      </c>
      <c r="C644" s="148" t="str">
        <f aca="false">VLOOKUP($A644,INSUMOS_AUX!$A$3:$H$813,3,0)</f>
        <v>MAT.</v>
      </c>
      <c r="D644" s="156" t="s">
        <v>1638</v>
      </c>
      <c r="E644" s="154" t="n">
        <v>0.196</v>
      </c>
      <c r="F644" s="149" t="n">
        <f aca="false">IF(C644="MAT.",VLOOKUP(A644,INSUMOS_AUX!$A$3:$H$813,6,0),0)</f>
        <v>22.96</v>
      </c>
      <c r="G644" s="149" t="n">
        <f aca="false">IF(C644="M.O.",VLOOKUP(A644,INSUMOS_AUX!A:F,6,0),0)</f>
        <v>0</v>
      </c>
    </row>
    <row r="645" customFormat="false" ht="21" hidden="false" customHeight="false" outlineLevel="0" collapsed="false">
      <c r="A645" s="154" t="n">
        <v>40287</v>
      </c>
      <c r="B645" s="155" t="s">
        <v>1639</v>
      </c>
      <c r="C645" s="148" t="str">
        <f aca="false">VLOOKUP($A645,INSUMOS_AUX!$A$3:$H$813,3,0)</f>
        <v>MAT.</v>
      </c>
      <c r="D645" s="156" t="s">
        <v>1416</v>
      </c>
      <c r="E645" s="154" t="n">
        <v>0.785</v>
      </c>
      <c r="F645" s="149" t="n">
        <f aca="false">IF(C645="MAT.",VLOOKUP(A645,INSUMOS_AUX!$A$3:$H$813,6,0),0)</f>
        <v>8.84</v>
      </c>
      <c r="G645" s="149" t="n">
        <f aca="false">IF(C645="M.O.",VLOOKUP(A645,INSUMOS_AUX!A:F,6,0),0)</f>
        <v>0</v>
      </c>
    </row>
    <row r="646" customFormat="false" ht="31.5" hidden="false" customHeight="false" outlineLevel="0" collapsed="false">
      <c r="A646" s="154" t="n">
        <v>40275</v>
      </c>
      <c r="B646" s="155" t="s">
        <v>1640</v>
      </c>
      <c r="C646" s="148" t="str">
        <f aca="false">VLOOKUP($A646,INSUMOS_AUX!$A$3:$H$813,3,0)</f>
        <v>MAT.</v>
      </c>
      <c r="D646" s="156" t="s">
        <v>1638</v>
      </c>
      <c r="E646" s="154" t="n">
        <v>0.393</v>
      </c>
      <c r="F646" s="149" t="n">
        <f aca="false">IF(C646="MAT.",VLOOKUP(A646,INSUMOS_AUX!$A$3:$H$813,6,0),0)</f>
        <v>24</v>
      </c>
      <c r="G646" s="149" t="n">
        <f aca="false">IF(C646="M.O.",VLOOKUP(A646,INSUMOS_AUX!A:F,6,0),0)</f>
        <v>0</v>
      </c>
    </row>
    <row r="647" customFormat="false" ht="21" hidden="false" customHeight="false" outlineLevel="0" collapsed="false">
      <c r="A647" s="154" t="n">
        <v>14618</v>
      </c>
      <c r="B647" s="155" t="s">
        <v>1592</v>
      </c>
      <c r="C647" s="148" t="str">
        <f aca="false">VLOOKUP($A647,INSUMOS_AUX!$A$3:$H$813,3,0)</f>
        <v>MAT.</v>
      </c>
      <c r="D647" s="156" t="s">
        <v>31</v>
      </c>
      <c r="E647" s="154" t="n">
        <v>1.614501E-005</v>
      </c>
      <c r="F647" s="149" t="n">
        <f aca="false">IF(C647="MAT.",VLOOKUP(A647,INSUMOS_AUX!$A$3:$H$813,6,0),0)</f>
        <v>1283.38</v>
      </c>
      <c r="G647" s="149" t="n">
        <f aca="false">IF(C647="M.O.",VLOOKUP(A647,INSUMOS_AUX!A:F,6,0),0)</f>
        <v>0</v>
      </c>
    </row>
    <row r="648" customFormat="false" ht="15" hidden="false" customHeight="false" outlineLevel="0" collapsed="false">
      <c r="A648" s="154" t="n">
        <v>2705</v>
      </c>
      <c r="B648" s="155" t="s">
        <v>1467</v>
      </c>
      <c r="C648" s="148" t="str">
        <f aca="false">VLOOKUP($A648,INSUMOS_AUX!$A$3:$H$813,3,0)</f>
        <v>MAT.</v>
      </c>
      <c r="D648" s="156" t="s">
        <v>1468</v>
      </c>
      <c r="E648" s="154" t="n">
        <v>0.044982</v>
      </c>
      <c r="F648" s="149" t="n">
        <f aca="false">IF(C648="MAT.",VLOOKUP(A648,INSUMOS_AUX!$A$3:$H$813,6,0),0)</f>
        <v>0.92</v>
      </c>
      <c r="G648" s="149" t="n">
        <f aca="false">IF(C648="M.O.",VLOOKUP(A648,INSUMOS_AUX!A:F,6,0),0)</f>
        <v>0</v>
      </c>
    </row>
    <row r="649" customFormat="false" ht="31.5" hidden="false" customHeight="false" outlineLevel="0" collapsed="false">
      <c r="A649" s="154" t="n">
        <v>1358</v>
      </c>
      <c r="B649" s="155" t="s">
        <v>1641</v>
      </c>
      <c r="C649" s="148" t="str">
        <f aca="false">VLOOKUP($A649,INSUMOS_AUX!$A$3:$H$813,3,0)</f>
        <v>MAT.</v>
      </c>
      <c r="D649" s="156" t="s">
        <v>1477</v>
      </c>
      <c r="E649" s="154" t="n">
        <v>0.7014</v>
      </c>
      <c r="F649" s="149" t="n">
        <f aca="false">IF(C649="MAT.",VLOOKUP(A649,INSUMOS_AUX!$A$3:$H$813,6,0),0)</f>
        <v>57.71</v>
      </c>
      <c r="G649" s="149" t="n">
        <f aca="false">IF(C649="M.O.",VLOOKUP(A649,INSUMOS_AUX!A:F,6,0),0)</f>
        <v>0</v>
      </c>
    </row>
    <row r="650" customFormat="false" ht="21" hidden="false" customHeight="false" outlineLevel="0" collapsed="false">
      <c r="A650" s="154" t="n">
        <v>2692</v>
      </c>
      <c r="B650" s="155" t="s">
        <v>1570</v>
      </c>
      <c r="C650" s="148" t="str">
        <f aca="false">VLOOKUP($A650,INSUMOS_AUX!$A$3:$H$813,3,0)</f>
        <v>MAT.</v>
      </c>
      <c r="D650" s="156" t="s">
        <v>1452</v>
      </c>
      <c r="E650" s="154" t="n">
        <v>0.01</v>
      </c>
      <c r="F650" s="149" t="n">
        <f aca="false">IF(C650="MAT.",VLOOKUP(A650,INSUMOS_AUX!$A$3:$H$813,6,0),0)</f>
        <v>6.52</v>
      </c>
      <c r="G650" s="149" t="n">
        <f aca="false">IF(C650="M.O.",VLOOKUP(A650,INSUMOS_AUX!A:F,6,0),0)</f>
        <v>0</v>
      </c>
    </row>
    <row r="651" customFormat="false" ht="21" hidden="false" customHeight="false" outlineLevel="0" collapsed="false">
      <c r="A651" s="154" t="n">
        <v>4491</v>
      </c>
      <c r="B651" s="155" t="s">
        <v>1578</v>
      </c>
      <c r="C651" s="148" t="str">
        <f aca="false">VLOOKUP($A651,INSUMOS_AUX!$A$3:$H$813,3,0)</f>
        <v>MAT.</v>
      </c>
      <c r="D651" s="156" t="s">
        <v>1455</v>
      </c>
      <c r="E651" s="154" t="n">
        <v>1.2117</v>
      </c>
      <c r="F651" s="149" t="n">
        <f aca="false">IF(C651="MAT.",VLOOKUP(A651,INSUMOS_AUX!$A$3:$H$813,6,0),0)</f>
        <v>10.25</v>
      </c>
      <c r="G651" s="149" t="n">
        <f aca="false">IF(C651="M.O.",VLOOKUP(A651,INSUMOS_AUX!A:F,6,0),0)</f>
        <v>0</v>
      </c>
    </row>
    <row r="652" customFormat="false" ht="15" hidden="false" customHeight="false" outlineLevel="0" collapsed="false">
      <c r="A652" s="154" t="n">
        <v>5068</v>
      </c>
      <c r="B652" s="155" t="s">
        <v>1579</v>
      </c>
      <c r="C652" s="148" t="str">
        <f aca="false">VLOOKUP($A652,INSUMOS_AUX!$A$3:$H$813,3,0)</f>
        <v>MAT.</v>
      </c>
      <c r="D652" s="156" t="s">
        <v>1513</v>
      </c>
      <c r="E652" s="154" t="n">
        <v>0.1092</v>
      </c>
      <c r="F652" s="149" t="n">
        <f aca="false">IF(C652="MAT.",VLOOKUP(A652,INSUMOS_AUX!$A$3:$H$813,6,0),0)</f>
        <v>20.34</v>
      </c>
      <c r="G652" s="149" t="n">
        <f aca="false">IF(C652="M.O.",VLOOKUP(A652,INSUMOS_AUX!A:F,6,0),0)</f>
        <v>0</v>
      </c>
    </row>
    <row r="653" customFormat="false" ht="15" hidden="false" customHeight="false" outlineLevel="0" collapsed="false">
      <c r="A653" s="154" t="n">
        <v>40304</v>
      </c>
      <c r="B653" s="155" t="s">
        <v>1626</v>
      </c>
      <c r="C653" s="148" t="str">
        <f aca="false">VLOOKUP($A653,INSUMOS_AUX!$A$3:$H$813,3,0)</f>
        <v>MAT.</v>
      </c>
      <c r="D653" s="156" t="s">
        <v>1513</v>
      </c>
      <c r="E653" s="154" t="n">
        <v>0.019</v>
      </c>
      <c r="F653" s="149" t="n">
        <f aca="false">IF(C653="MAT.",VLOOKUP(A653,INSUMOS_AUX!$A$3:$H$813,6,0),0)</f>
        <v>25.11</v>
      </c>
      <c r="G653" s="149" t="n">
        <f aca="false">IF(C653="M.O.",VLOOKUP(A653,INSUMOS_AUX!A:F,6,0),0)</f>
        <v>0</v>
      </c>
    </row>
    <row r="654" customFormat="false" ht="21" hidden="false" customHeight="false" outlineLevel="0" collapsed="false">
      <c r="A654" s="154" t="n">
        <v>4517</v>
      </c>
      <c r="B654" s="155" t="s">
        <v>1582</v>
      </c>
      <c r="C654" s="148" t="str">
        <f aca="false">VLOOKUP($A654,INSUMOS_AUX!$A$3:$H$813,3,0)</f>
        <v>MAT.</v>
      </c>
      <c r="D654" s="156" t="s">
        <v>1455</v>
      </c>
      <c r="E654" s="154" t="n">
        <v>4.849425</v>
      </c>
      <c r="F654" s="149" t="n">
        <f aca="false">IF(C654="MAT.",VLOOKUP(A654,INSUMOS_AUX!$A$3:$H$813,6,0),0)</f>
        <v>3.58</v>
      </c>
      <c r="G654" s="149" t="n">
        <f aca="false">IF(C654="M.O.",VLOOKUP(A654,INSUMOS_AUX!A:F,6,0),0)</f>
        <v>0</v>
      </c>
    </row>
    <row r="655" customFormat="false" ht="15" hidden="false" customHeight="false" outlineLevel="0" collapsed="false">
      <c r="A655" s="154" t="n">
        <v>6117</v>
      </c>
      <c r="B655" s="155" t="s">
        <v>1555</v>
      </c>
      <c r="C655" s="148" t="str">
        <f aca="false">VLOOKUP($A655,INSUMOS_AUX!$A$3:$H$813,3,0)</f>
        <v>M.O.</v>
      </c>
      <c r="D655" s="156" t="s">
        <v>1444</v>
      </c>
      <c r="E655" s="154" t="n">
        <v>0.34222781</v>
      </c>
      <c r="F655" s="149" t="n">
        <f aca="false">IF(C655="MAT.",VLOOKUP(A655,INSUMOS_AUX!$A$3:$H$813,6,0),0)</f>
        <v>0</v>
      </c>
      <c r="G655" s="149" t="n">
        <f aca="false">IF(C655="M.O.",VLOOKUP(A655,INSUMOS_AUX!A:F,6,0),0)</f>
        <v>13.26</v>
      </c>
    </row>
    <row r="656" customFormat="false" ht="15" hidden="false" customHeight="false" outlineLevel="0" collapsed="false">
      <c r="A656" s="154" t="n">
        <v>1213</v>
      </c>
      <c r="B656" s="155" t="s">
        <v>1516</v>
      </c>
      <c r="C656" s="148" t="str">
        <f aca="false">VLOOKUP($A656,INSUMOS_AUX!$A$3:$H$813,3,0)</f>
        <v>M.O.</v>
      </c>
      <c r="D656" s="156" t="s">
        <v>1444</v>
      </c>
      <c r="E656" s="154" t="n">
        <v>1.76463153</v>
      </c>
      <c r="F656" s="149" t="n">
        <f aca="false">IF(C656="MAT.",VLOOKUP(A656,INSUMOS_AUX!$A$3:$H$813,6,0),0)</f>
        <v>0</v>
      </c>
      <c r="G656" s="149" t="n">
        <f aca="false">IF(C656="M.O.",VLOOKUP(A656,INSUMOS_AUX!A:F,6,0),0)</f>
        <v>20.22</v>
      </c>
    </row>
    <row r="657" customFormat="false" ht="21" hidden="false" customHeight="false" outlineLevel="0" collapsed="false">
      <c r="A657" s="154" t="n">
        <v>4230</v>
      </c>
      <c r="B657" s="155" t="s">
        <v>1597</v>
      </c>
      <c r="C657" s="148" t="str">
        <f aca="false">VLOOKUP($A657,INSUMOS_AUX!$A$3:$H$813,3,0)</f>
        <v>M.O.</v>
      </c>
      <c r="D657" s="156" t="s">
        <v>1444</v>
      </c>
      <c r="E657" s="154" t="n">
        <v>0.168876603</v>
      </c>
      <c r="F657" s="149" t="n">
        <f aca="false">IF(C657="MAT.",VLOOKUP(A657,INSUMOS_AUX!$A$3:$H$813,6,0),0)</f>
        <v>0</v>
      </c>
      <c r="G657" s="149" t="n">
        <f aca="false">IF(C657="M.O.",VLOOKUP(A657,INSUMOS_AUX!A:F,6,0),0)</f>
        <v>14.53</v>
      </c>
    </row>
    <row r="658" customFormat="false" ht="21" hidden="false" customHeight="false" outlineLevel="0" collapsed="false">
      <c r="A658" s="150" t="s">
        <v>136</v>
      </c>
      <c r="B658" s="151" t="s">
        <v>1642</v>
      </c>
      <c r="C658" s="152" t="s">
        <v>59</v>
      </c>
      <c r="D658" s="152" t="s">
        <v>1442</v>
      </c>
      <c r="E658" s="150"/>
      <c r="F658" s="153" t="n">
        <f aca="false">(SUMPRODUCT($E659:$E674,F659:F674))*1</f>
        <v>7.538894991376</v>
      </c>
      <c r="G658" s="153" t="n">
        <f aca="false">(SUMPRODUCT($E659:$E674,G659:G674))*1</f>
        <v>26.9938549272</v>
      </c>
    </row>
    <row r="659" customFormat="false" ht="21" hidden="false" customHeight="false" outlineLevel="0" collapsed="false">
      <c r="A659" s="154" t="n">
        <v>37370</v>
      </c>
      <c r="B659" s="155" t="s">
        <v>1443</v>
      </c>
      <c r="C659" s="148" t="s">
        <v>59</v>
      </c>
      <c r="D659" s="156" t="s">
        <v>1444</v>
      </c>
      <c r="E659" s="154" t="n">
        <v>1.793</v>
      </c>
      <c r="F659" s="149" t="n">
        <f aca="false">IF(C659="MAT.",VLOOKUP(A659,INSUMOS_AUX!$A$3:$H$813,6,0),0)</f>
        <v>0</v>
      </c>
      <c r="G659" s="149" t="n">
        <f aca="false">IF(C659="M.O.",VLOOKUP(A659,INSUMOS_AUX!A:F,6,0),0)</f>
        <v>0</v>
      </c>
    </row>
    <row r="660" customFormat="false" ht="21" hidden="false" customHeight="false" outlineLevel="0" collapsed="false">
      <c r="A660" s="154" t="n">
        <v>43483</v>
      </c>
      <c r="B660" s="155" t="s">
        <v>1486</v>
      </c>
      <c r="C660" s="148" t="str">
        <f aca="false">VLOOKUP($A660,INSUMOS_AUX!$A$3:$H$813,3,0)</f>
        <v>MAT.</v>
      </c>
      <c r="D660" s="156" t="s">
        <v>1444</v>
      </c>
      <c r="E660" s="154" t="n">
        <v>0.224</v>
      </c>
      <c r="F660" s="149" t="n">
        <f aca="false">IF(C660="MAT.",VLOOKUP(A660,INSUMOS_AUX!$A$3:$H$813,6,0),0)</f>
        <v>1.43</v>
      </c>
      <c r="G660" s="149" t="n">
        <f aca="false">IF(C660="M.O.",VLOOKUP(A660,INSUMOS_AUX!A:F,6,0),0)</f>
        <v>0</v>
      </c>
    </row>
    <row r="661" customFormat="false" ht="21" hidden="false" customHeight="false" outlineLevel="0" collapsed="false">
      <c r="A661" s="154" t="n">
        <v>43489</v>
      </c>
      <c r="B661" s="155" t="s">
        <v>1456</v>
      </c>
      <c r="C661" s="148" t="str">
        <f aca="false">VLOOKUP($A661,INSUMOS_AUX!$A$3:$H$813,3,0)</f>
        <v>MAT.</v>
      </c>
      <c r="D661" s="156" t="s">
        <v>1444</v>
      </c>
      <c r="E661" s="154" t="n">
        <v>0.224</v>
      </c>
      <c r="F661" s="149" t="n">
        <f aca="false">IF(C661="MAT.",VLOOKUP(A661,INSUMOS_AUX!$A$3:$H$813,6,0),0)</f>
        <v>1.31</v>
      </c>
      <c r="G661" s="149" t="n">
        <f aca="false">IF(C661="M.O.",VLOOKUP(A661,INSUMOS_AUX!A:F,6,0),0)</f>
        <v>0</v>
      </c>
    </row>
    <row r="662" customFormat="false" ht="21" hidden="false" customHeight="false" outlineLevel="0" collapsed="false">
      <c r="A662" s="154" t="n">
        <v>43491</v>
      </c>
      <c r="B662" s="155" t="s">
        <v>1457</v>
      </c>
      <c r="C662" s="148" t="str">
        <f aca="false">VLOOKUP($A662,INSUMOS_AUX!$A$3:$H$813,3,0)</f>
        <v>MAT.</v>
      </c>
      <c r="D662" s="156" t="s">
        <v>1444</v>
      </c>
      <c r="E662" s="154" t="n">
        <v>1.345</v>
      </c>
      <c r="F662" s="149" t="n">
        <f aca="false">IF(C662="MAT.",VLOOKUP(A662,INSUMOS_AUX!$A$3:$H$813,6,0),0)</f>
        <v>1.39</v>
      </c>
      <c r="G662" s="149" t="n">
        <f aca="false">IF(C662="M.O.",VLOOKUP(A662,INSUMOS_AUX!A:F,6,0),0)</f>
        <v>0</v>
      </c>
    </row>
    <row r="663" customFormat="false" ht="21" hidden="false" customHeight="false" outlineLevel="0" collapsed="false">
      <c r="A663" s="154" t="n">
        <v>37372</v>
      </c>
      <c r="B663" s="155" t="s">
        <v>1446</v>
      </c>
      <c r="C663" s="148" t="str">
        <f aca="false">VLOOKUP($A663,INSUMOS_AUX!$A$3:$H$813,3,0)</f>
        <v>MAT.</v>
      </c>
      <c r="D663" s="156" t="s">
        <v>1444</v>
      </c>
      <c r="E663" s="154" t="n">
        <v>1.793</v>
      </c>
      <c r="F663" s="149" t="n">
        <f aca="false">IF(C663="MAT.",VLOOKUP(A663,INSUMOS_AUX!$A$3:$H$813,6,0),0)</f>
        <v>1.43</v>
      </c>
      <c r="G663" s="149" t="n">
        <f aca="false">IF(C663="M.O.",VLOOKUP(A663,INSUMOS_AUX!A:F,6,0),0)</f>
        <v>0</v>
      </c>
    </row>
    <row r="664" customFormat="false" ht="21" hidden="false" customHeight="false" outlineLevel="0" collapsed="false">
      <c r="A664" s="154" t="n">
        <v>43459</v>
      </c>
      <c r="B664" s="155" t="s">
        <v>1487</v>
      </c>
      <c r="C664" s="148" t="str">
        <f aca="false">VLOOKUP($A664,INSUMOS_AUX!$A$3:$H$813,3,0)</f>
        <v>MAT.</v>
      </c>
      <c r="D664" s="156" t="s">
        <v>1444</v>
      </c>
      <c r="E664" s="154" t="n">
        <v>0.224</v>
      </c>
      <c r="F664" s="149" t="n">
        <f aca="false">IF(C664="MAT.",VLOOKUP(A664,INSUMOS_AUX!$A$3:$H$813,6,0),0)</f>
        <v>0.44</v>
      </c>
      <c r="G664" s="149" t="n">
        <f aca="false">IF(C664="M.O.",VLOOKUP(A664,INSUMOS_AUX!A:F,6,0),0)</f>
        <v>0</v>
      </c>
    </row>
    <row r="665" customFormat="false" ht="21" hidden="false" customHeight="false" outlineLevel="0" collapsed="false">
      <c r="A665" s="154" t="n">
        <v>43465</v>
      </c>
      <c r="B665" s="155" t="s">
        <v>1458</v>
      </c>
      <c r="C665" s="148" t="str">
        <f aca="false">VLOOKUP($A665,INSUMOS_AUX!$A$3:$H$813,3,0)</f>
        <v>MAT.</v>
      </c>
      <c r="D665" s="156" t="s">
        <v>1444</v>
      </c>
      <c r="E665" s="154" t="n">
        <v>0.224</v>
      </c>
      <c r="F665" s="149" t="n">
        <f aca="false">IF(C665="MAT.",VLOOKUP(A665,INSUMOS_AUX!$A$3:$H$813,6,0),0)</f>
        <v>0.78</v>
      </c>
      <c r="G665" s="149" t="n">
        <f aca="false">IF(C665="M.O.",VLOOKUP(A665,INSUMOS_AUX!A:F,6,0),0)</f>
        <v>0</v>
      </c>
    </row>
    <row r="666" customFormat="false" ht="21" hidden="false" customHeight="false" outlineLevel="0" collapsed="false">
      <c r="A666" s="154" t="n">
        <v>43467</v>
      </c>
      <c r="B666" s="155" t="s">
        <v>1459</v>
      </c>
      <c r="C666" s="148" t="str">
        <f aca="false">VLOOKUP($A666,INSUMOS_AUX!$A$3:$H$813,3,0)</f>
        <v>MAT.</v>
      </c>
      <c r="D666" s="156" t="s">
        <v>1444</v>
      </c>
      <c r="E666" s="154" t="n">
        <v>1.345</v>
      </c>
      <c r="F666" s="149" t="n">
        <f aca="false">IF(C666="MAT.",VLOOKUP(A666,INSUMOS_AUX!$A$3:$H$813,6,0),0)</f>
        <v>0.61</v>
      </c>
      <c r="G666" s="149" t="n">
        <f aca="false">IF(C666="M.O.",VLOOKUP(A666,INSUMOS_AUX!A:F,6,0),0)</f>
        <v>0</v>
      </c>
    </row>
    <row r="667" customFormat="false" ht="21" hidden="false" customHeight="false" outlineLevel="0" collapsed="false">
      <c r="A667" s="154" t="n">
        <v>37373</v>
      </c>
      <c r="B667" s="155" t="s">
        <v>1448</v>
      </c>
      <c r="C667" s="148" t="str">
        <f aca="false">VLOOKUP($A667,INSUMOS_AUX!$A$3:$H$813,3,0)</f>
        <v>MAT.</v>
      </c>
      <c r="D667" s="156" t="s">
        <v>1444</v>
      </c>
      <c r="E667" s="154" t="n">
        <v>1.793</v>
      </c>
      <c r="F667" s="149" t="n">
        <f aca="false">IF(C667="MAT.",VLOOKUP(A667,INSUMOS_AUX!$A$3:$H$813,6,0),0)</f>
        <v>0.08</v>
      </c>
      <c r="G667" s="149" t="n">
        <f aca="false">IF(C667="M.O.",VLOOKUP(A667,INSUMOS_AUX!A:F,6,0),0)</f>
        <v>0</v>
      </c>
    </row>
    <row r="668" customFormat="false" ht="21" hidden="false" customHeight="false" outlineLevel="0" collapsed="false">
      <c r="A668" s="154" t="n">
        <v>37371</v>
      </c>
      <c r="B668" s="155" t="s">
        <v>1449</v>
      </c>
      <c r="C668" s="148" t="str">
        <f aca="false">VLOOKUP($A668,INSUMOS_AUX!$A$3:$H$813,3,0)</f>
        <v>MAT.</v>
      </c>
      <c r="D668" s="156" t="s">
        <v>1444</v>
      </c>
      <c r="E668" s="154" t="n">
        <v>1.793</v>
      </c>
      <c r="F668" s="149" t="n">
        <f aca="false">IF(C668="MAT.",VLOOKUP(A668,INSUMOS_AUX!$A$3:$H$813,6,0),0)</f>
        <v>0.59</v>
      </c>
      <c r="G668" s="149" t="n">
        <f aca="false">IF(C668="M.O.",VLOOKUP(A668,INSUMOS_AUX!A:F,6,0),0)</f>
        <v>0</v>
      </c>
    </row>
    <row r="669" customFormat="false" ht="21" hidden="false" customHeight="false" outlineLevel="0" collapsed="false">
      <c r="A669" s="154" t="n">
        <v>13896</v>
      </c>
      <c r="B669" s="155" t="s">
        <v>1564</v>
      </c>
      <c r="C669" s="148" t="str">
        <f aca="false">VLOOKUP($A669,INSUMOS_AUX!$A$3:$H$813,3,0)</f>
        <v>MAT.</v>
      </c>
      <c r="D669" s="156" t="s">
        <v>31</v>
      </c>
      <c r="E669" s="154" t="n">
        <v>4.47024E-005</v>
      </c>
      <c r="F669" s="149" t="n">
        <f aca="false">IF(C669="MAT.",VLOOKUP(A669,INSUMOS_AUX!$A$3:$H$813,6,0),0)</f>
        <v>3390.99</v>
      </c>
      <c r="G669" s="149" t="n">
        <f aca="false">IF(C669="M.O.",VLOOKUP(A669,INSUMOS_AUX!A:F,6,0),0)</f>
        <v>0</v>
      </c>
    </row>
    <row r="670" customFormat="false" ht="15" hidden="false" customHeight="false" outlineLevel="0" collapsed="false">
      <c r="A670" s="154" t="n">
        <v>2705</v>
      </c>
      <c r="B670" s="155" t="s">
        <v>1467</v>
      </c>
      <c r="C670" s="148" t="str">
        <f aca="false">VLOOKUP($A670,INSUMOS_AUX!$A$3:$H$813,3,0)</f>
        <v>MAT.</v>
      </c>
      <c r="D670" s="156" t="s">
        <v>1468</v>
      </c>
      <c r="E670" s="154" t="n">
        <v>0.04888</v>
      </c>
      <c r="F670" s="149" t="n">
        <f aca="false">IF(C670="MAT.",VLOOKUP(A670,INSUMOS_AUX!$A$3:$H$813,6,0),0)</f>
        <v>0.92</v>
      </c>
      <c r="G670" s="149" t="n">
        <f aca="false">IF(C670="M.O.",VLOOKUP(A670,INSUMOS_AUX!A:F,6,0),0)</f>
        <v>0</v>
      </c>
    </row>
    <row r="671" customFormat="false" ht="31.5" hidden="false" customHeight="false" outlineLevel="0" collapsed="false">
      <c r="A671" s="154" t="n">
        <v>11145</v>
      </c>
      <c r="B671" s="155" t="s">
        <v>1620</v>
      </c>
      <c r="C671" s="148" t="s">
        <v>59</v>
      </c>
      <c r="D671" s="156" t="s">
        <v>1442</v>
      </c>
      <c r="E671" s="154" t="n">
        <v>1.103</v>
      </c>
      <c r="F671" s="149" t="n">
        <f aca="false">IF(C671="MAT.",VLOOKUP(A671,INSUMOS_AUX!$A$3:$H$813,6,0),0)</f>
        <v>0</v>
      </c>
      <c r="G671" s="149" t="n">
        <f aca="false">IF(C671="M.O.",VLOOKUP(A671,INSUMOS_AUX!A:F,6,0),0)</f>
        <v>0</v>
      </c>
    </row>
    <row r="672" customFormat="false" ht="15" hidden="false" customHeight="false" outlineLevel="0" collapsed="false">
      <c r="A672" s="154" t="n">
        <v>1213</v>
      </c>
      <c r="B672" s="155" t="s">
        <v>1516</v>
      </c>
      <c r="C672" s="148" t="str">
        <f aca="false">VLOOKUP($A672,INSUMOS_AUX!$A$3:$H$813,3,0)</f>
        <v>M.O.</v>
      </c>
      <c r="D672" s="156" t="s">
        <v>1444</v>
      </c>
      <c r="E672" s="154" t="n">
        <v>0.22658496</v>
      </c>
      <c r="F672" s="149" t="n">
        <f aca="false">IF(C672="MAT.",VLOOKUP(A672,INSUMOS_AUX!$A$3:$H$813,6,0),0)</f>
        <v>0</v>
      </c>
      <c r="G672" s="149" t="n">
        <f aca="false">IF(C672="M.O.",VLOOKUP(A672,INSUMOS_AUX!A:F,6,0),0)</f>
        <v>20.22</v>
      </c>
    </row>
    <row r="673" customFormat="false" ht="15" hidden="false" customHeight="false" outlineLevel="0" collapsed="false">
      <c r="A673" s="154" t="n">
        <v>4750</v>
      </c>
      <c r="B673" s="155" t="s">
        <v>1463</v>
      </c>
      <c r="C673" s="148" t="str">
        <f aca="false">VLOOKUP($A673,INSUMOS_AUX!$A$3:$H$813,3,0)</f>
        <v>M.O.</v>
      </c>
      <c r="D673" s="156" t="s">
        <v>1444</v>
      </c>
      <c r="E673" s="154" t="n">
        <v>0.2287488</v>
      </c>
      <c r="F673" s="149" t="n">
        <f aca="false">IF(C673="MAT.",VLOOKUP(A673,INSUMOS_AUX!$A$3:$H$813,6,0),0)</f>
        <v>0</v>
      </c>
      <c r="G673" s="149" t="n">
        <f aca="false">IF(C673="M.O.",VLOOKUP(A673,INSUMOS_AUX!A:F,6,0),0)</f>
        <v>20.22</v>
      </c>
    </row>
    <row r="674" customFormat="false" ht="15" hidden="false" customHeight="false" outlineLevel="0" collapsed="false">
      <c r="A674" s="154" t="n">
        <v>6111</v>
      </c>
      <c r="B674" s="155" t="s">
        <v>1464</v>
      </c>
      <c r="C674" s="148" t="str">
        <f aca="false">VLOOKUP($A674,INSUMOS_AUX!$A$3:$H$813,3,0)</f>
        <v>M.O.</v>
      </c>
      <c r="D674" s="156" t="s">
        <v>1444</v>
      </c>
      <c r="E674" s="154" t="n">
        <v>1.373514</v>
      </c>
      <c r="F674" s="149" t="n">
        <f aca="false">IF(C674="MAT.",VLOOKUP(A674,INSUMOS_AUX!$A$3:$H$813,6,0),0)</f>
        <v>0</v>
      </c>
      <c r="G674" s="149" t="n">
        <f aca="false">IF(C674="M.O.",VLOOKUP(A674,INSUMOS_AUX!A:F,6,0),0)</f>
        <v>12.95</v>
      </c>
    </row>
    <row r="675" customFormat="false" ht="31.5" hidden="false" customHeight="false" outlineLevel="0" collapsed="false">
      <c r="A675" s="150" t="n">
        <v>92759</v>
      </c>
      <c r="B675" s="151" t="s">
        <v>1643</v>
      </c>
      <c r="C675" s="152" t="s">
        <v>59</v>
      </c>
      <c r="D675" s="152" t="s">
        <v>1513</v>
      </c>
      <c r="E675" s="150"/>
      <c r="F675" s="153" t="n">
        <f aca="false">(SUMPRODUCT($E676:$E686,F676:F686))*1</f>
        <v>10.17192</v>
      </c>
      <c r="G675" s="153" t="n">
        <f aca="false">(SUMPRODUCT($E676:$E686,G676:G686))*1</f>
        <v>3.7369524528</v>
      </c>
    </row>
    <row r="676" customFormat="false" ht="21" hidden="false" customHeight="false" outlineLevel="0" collapsed="false">
      <c r="A676" s="154" t="n">
        <v>37370</v>
      </c>
      <c r="B676" s="155" t="s">
        <v>1443</v>
      </c>
      <c r="C676" s="148" t="str">
        <f aca="false">VLOOKUP($A676,INSUMOS_AUX!$A$3:$H$813,3,0)</f>
        <v>MAT.</v>
      </c>
      <c r="D676" s="156" t="s">
        <v>1444</v>
      </c>
      <c r="E676" s="154" t="n">
        <v>0.192</v>
      </c>
      <c r="F676" s="149" t="n">
        <f aca="false">IF(C676="MAT.",VLOOKUP(A676,INSUMOS_AUX!$A$3:$H$813,6,0),0)</f>
        <v>3.32</v>
      </c>
      <c r="G676" s="149" t="n">
        <f aca="false">IF(C676="M.O.",VLOOKUP(A676,INSUMOS_AUX!A:F,6,0),0)</f>
        <v>0</v>
      </c>
    </row>
    <row r="677" customFormat="false" ht="21" hidden="false" customHeight="false" outlineLevel="0" collapsed="false">
      <c r="A677" s="154" t="n">
        <v>43489</v>
      </c>
      <c r="B677" s="155" t="s">
        <v>1456</v>
      </c>
      <c r="C677" s="148" t="str">
        <f aca="false">VLOOKUP($A677,INSUMOS_AUX!$A$3:$H$813,3,0)</f>
        <v>MAT.</v>
      </c>
      <c r="D677" s="156" t="s">
        <v>1444</v>
      </c>
      <c r="E677" s="154" t="n">
        <v>0.192</v>
      </c>
      <c r="F677" s="149" t="n">
        <f aca="false">IF(C677="MAT.",VLOOKUP(A677,INSUMOS_AUX!$A$3:$H$813,6,0),0)</f>
        <v>1.31</v>
      </c>
      <c r="G677" s="149" t="n">
        <f aca="false">IF(C677="M.O.",VLOOKUP(A677,INSUMOS_AUX!A:F,6,0),0)</f>
        <v>0</v>
      </c>
    </row>
    <row r="678" customFormat="false" ht="21" hidden="false" customHeight="false" outlineLevel="0" collapsed="false">
      <c r="A678" s="154" t="n">
        <v>37372</v>
      </c>
      <c r="B678" s="155" t="s">
        <v>1446</v>
      </c>
      <c r="C678" s="148" t="str">
        <f aca="false">VLOOKUP($A678,INSUMOS_AUX!$A$3:$H$813,3,0)</f>
        <v>MAT.</v>
      </c>
      <c r="D678" s="156" t="s">
        <v>1444</v>
      </c>
      <c r="E678" s="154" t="n">
        <v>0.192</v>
      </c>
      <c r="F678" s="149" t="n">
        <f aca="false">IF(C678="MAT.",VLOOKUP(A678,INSUMOS_AUX!$A$3:$H$813,6,0),0)</f>
        <v>1.43</v>
      </c>
      <c r="G678" s="149" t="n">
        <f aca="false">IF(C678="M.O.",VLOOKUP(A678,INSUMOS_AUX!A:F,6,0),0)</f>
        <v>0</v>
      </c>
    </row>
    <row r="679" customFormat="false" ht="21" hidden="false" customHeight="false" outlineLevel="0" collapsed="false">
      <c r="A679" s="154" t="n">
        <v>43465</v>
      </c>
      <c r="B679" s="155" t="s">
        <v>1458</v>
      </c>
      <c r="C679" s="148" t="str">
        <f aca="false">VLOOKUP($A679,INSUMOS_AUX!$A$3:$H$813,3,0)</f>
        <v>MAT.</v>
      </c>
      <c r="D679" s="156" t="s">
        <v>1444</v>
      </c>
      <c r="E679" s="154" t="n">
        <v>0.192</v>
      </c>
      <c r="F679" s="149" t="n">
        <f aca="false">IF(C679="MAT.",VLOOKUP(A679,INSUMOS_AUX!$A$3:$H$813,6,0),0)</f>
        <v>0.78</v>
      </c>
      <c r="G679" s="149" t="n">
        <f aca="false">IF(C679="M.O.",VLOOKUP(A679,INSUMOS_AUX!A:F,6,0),0)</f>
        <v>0</v>
      </c>
    </row>
    <row r="680" customFormat="false" ht="21" hidden="false" customHeight="false" outlineLevel="0" collapsed="false">
      <c r="A680" s="154" t="n">
        <v>37373</v>
      </c>
      <c r="B680" s="155" t="s">
        <v>1448</v>
      </c>
      <c r="C680" s="148" t="str">
        <f aca="false">VLOOKUP($A680,INSUMOS_AUX!$A$3:$H$813,3,0)</f>
        <v>MAT.</v>
      </c>
      <c r="D680" s="156" t="s">
        <v>1444</v>
      </c>
      <c r="E680" s="154" t="n">
        <v>0.192</v>
      </c>
      <c r="F680" s="149" t="n">
        <f aca="false">IF(C680="MAT.",VLOOKUP(A680,INSUMOS_AUX!$A$3:$H$813,6,0),0)</f>
        <v>0.08</v>
      </c>
      <c r="G680" s="149" t="n">
        <f aca="false">IF(C680="M.O.",VLOOKUP(A680,INSUMOS_AUX!A:F,6,0),0)</f>
        <v>0</v>
      </c>
    </row>
    <row r="681" customFormat="false" ht="21" hidden="false" customHeight="false" outlineLevel="0" collapsed="false">
      <c r="A681" s="154" t="n">
        <v>37371</v>
      </c>
      <c r="B681" s="155" t="s">
        <v>1449</v>
      </c>
      <c r="C681" s="148" t="str">
        <f aca="false">VLOOKUP($A681,INSUMOS_AUX!$A$3:$H$813,3,0)</f>
        <v>MAT.</v>
      </c>
      <c r="D681" s="156" t="s">
        <v>1444</v>
      </c>
      <c r="E681" s="154" t="n">
        <v>0.192</v>
      </c>
      <c r="F681" s="149" t="n">
        <f aca="false">IF(C681="MAT.",VLOOKUP(A681,INSUMOS_AUX!$A$3:$H$813,6,0),0)</f>
        <v>0.59</v>
      </c>
      <c r="G681" s="149" t="n">
        <f aca="false">IF(C681="M.O.",VLOOKUP(A681,INSUMOS_AUX!A:F,6,0),0)</f>
        <v>0</v>
      </c>
    </row>
    <row r="682" customFormat="false" ht="15" hidden="false" customHeight="false" outlineLevel="0" collapsed="false">
      <c r="A682" s="154" t="n">
        <v>43059</v>
      </c>
      <c r="B682" s="155" t="s">
        <v>1630</v>
      </c>
      <c r="C682" s="148" t="str">
        <f aca="false">VLOOKUP($A682,INSUMOS_AUX!$A$3:$H$813,3,0)</f>
        <v>MAT.</v>
      </c>
      <c r="D682" s="156" t="s">
        <v>1513</v>
      </c>
      <c r="E682" s="154" t="n">
        <v>1.07</v>
      </c>
      <c r="F682" s="149" t="n">
        <f aca="false">IF(C682="MAT.",VLOOKUP(A682,INSUMOS_AUX!$A$3:$H$813,6,0),0)</f>
        <v>7.26</v>
      </c>
      <c r="G682" s="149" t="n">
        <f aca="false">IF(C682="M.O.",VLOOKUP(A682,INSUMOS_AUX!A:F,6,0),0)</f>
        <v>0</v>
      </c>
    </row>
    <row r="683" customFormat="false" ht="21" hidden="false" customHeight="false" outlineLevel="0" collapsed="false">
      <c r="A683" s="154" t="n">
        <v>43132</v>
      </c>
      <c r="B683" s="155" t="s">
        <v>1565</v>
      </c>
      <c r="C683" s="148" t="str">
        <f aca="false">VLOOKUP($A683,INSUMOS_AUX!$A$3:$H$813,3,0)</f>
        <v>MAT.</v>
      </c>
      <c r="D683" s="156" t="s">
        <v>1513</v>
      </c>
      <c r="E683" s="154" t="n">
        <v>0.025</v>
      </c>
      <c r="F683" s="149" t="n">
        <f aca="false">IF(C683="MAT.",VLOOKUP(A683,INSUMOS_AUX!$A$3:$H$813,6,0),0)</f>
        <v>28</v>
      </c>
      <c r="G683" s="149" t="n">
        <f aca="false">IF(C683="M.O.",VLOOKUP(A683,INSUMOS_AUX!A:F,6,0),0)</f>
        <v>0</v>
      </c>
    </row>
    <row r="684" customFormat="false" ht="21" hidden="false" customHeight="false" outlineLevel="0" collapsed="false">
      <c r="A684" s="154" t="n">
        <v>39017</v>
      </c>
      <c r="B684" s="155" t="s">
        <v>1621</v>
      </c>
      <c r="C684" s="148" t="str">
        <f aca="false">VLOOKUP($A684,INSUMOS_AUX!$A$3:$H$813,3,0)</f>
        <v>MAT.</v>
      </c>
      <c r="D684" s="156" t="s">
        <v>31</v>
      </c>
      <c r="E684" s="154" t="n">
        <v>1.19</v>
      </c>
      <c r="F684" s="149" t="n">
        <f aca="false">IF(C684="MAT.",VLOOKUP(A684,INSUMOS_AUX!$A$3:$H$813,6,0),0)</f>
        <v>0.22</v>
      </c>
      <c r="G684" s="149" t="n">
        <f aca="false">IF(C684="M.O.",VLOOKUP(A684,INSUMOS_AUX!A:F,6,0),0)</f>
        <v>0</v>
      </c>
    </row>
    <row r="685" customFormat="false" ht="15" hidden="false" customHeight="false" outlineLevel="0" collapsed="false">
      <c r="A685" s="154" t="n">
        <v>6114</v>
      </c>
      <c r="B685" s="155" t="s">
        <v>1588</v>
      </c>
      <c r="C685" s="148" t="str">
        <f aca="false">VLOOKUP($A685,INSUMOS_AUX!$A$3:$H$813,3,0)</f>
        <v>M.O.</v>
      </c>
      <c r="D685" s="156" t="s">
        <v>1444</v>
      </c>
      <c r="E685" s="154" t="n">
        <v>0.02731158</v>
      </c>
      <c r="F685" s="149" t="n">
        <f aca="false">IF(C685="MAT.",VLOOKUP(A685,INSUMOS_AUX!$A$3:$H$813,6,0),0)</f>
        <v>0</v>
      </c>
      <c r="G685" s="149" t="n">
        <f aca="false">IF(C685="M.O.",VLOOKUP(A685,INSUMOS_AUX!A:F,6,0),0)</f>
        <v>13.26</v>
      </c>
    </row>
    <row r="686" customFormat="false" ht="15" hidden="false" customHeight="false" outlineLevel="0" collapsed="false">
      <c r="A686" s="154" t="n">
        <v>378</v>
      </c>
      <c r="B686" s="155" t="s">
        <v>1589</v>
      </c>
      <c r="C686" s="148" t="str">
        <f aca="false">VLOOKUP($A686,INSUMOS_AUX!$A$3:$H$813,3,0)</f>
        <v>M.O.</v>
      </c>
      <c r="D686" s="156" t="s">
        <v>1444</v>
      </c>
      <c r="E686" s="154" t="n">
        <v>0.1669041</v>
      </c>
      <c r="F686" s="149" t="n">
        <f aca="false">IF(C686="MAT.",VLOOKUP(A686,INSUMOS_AUX!$A$3:$H$813,6,0),0)</f>
        <v>0</v>
      </c>
      <c r="G686" s="149" t="n">
        <f aca="false">IF(C686="M.O.",VLOOKUP(A686,INSUMOS_AUX!A:F,6,0),0)</f>
        <v>20.22</v>
      </c>
    </row>
    <row r="687" customFormat="false" ht="31.5" hidden="false" customHeight="false" outlineLevel="0" collapsed="false">
      <c r="A687" s="150" t="n">
        <v>92762</v>
      </c>
      <c r="B687" s="151" t="s">
        <v>1644</v>
      </c>
      <c r="C687" s="152" t="s">
        <v>59</v>
      </c>
      <c r="D687" s="152" t="s">
        <v>1513</v>
      </c>
      <c r="E687" s="150"/>
      <c r="F687" s="153" t="n">
        <f aca="false">(SUMPRODUCT($E688:$E698,F688:F698))*1</f>
        <v>9.763318</v>
      </c>
      <c r="G687" s="153" t="n">
        <f aca="false">(SUMPRODUCT($E688:$E698,G688:G698))*1</f>
        <v>1.08638182152</v>
      </c>
    </row>
    <row r="688" customFormat="false" ht="21" hidden="false" customHeight="false" outlineLevel="0" collapsed="false">
      <c r="A688" s="154" t="n">
        <v>37370</v>
      </c>
      <c r="B688" s="155" t="s">
        <v>1443</v>
      </c>
      <c r="C688" s="148" t="str">
        <f aca="false">VLOOKUP($A688,INSUMOS_AUX!$A$3:$H$813,3,0)</f>
        <v>MAT.</v>
      </c>
      <c r="D688" s="156" t="s">
        <v>1444</v>
      </c>
      <c r="E688" s="154" t="n">
        <v>0.0558</v>
      </c>
      <c r="F688" s="149" t="n">
        <f aca="false">IF(C688="MAT.",VLOOKUP(A688,INSUMOS_AUX!$A$3:$H$813,6,0),0)</f>
        <v>3.32</v>
      </c>
      <c r="G688" s="149" t="n">
        <f aca="false">IF(C688="M.O.",VLOOKUP(A688,INSUMOS_AUX!A:F,6,0),0)</f>
        <v>0</v>
      </c>
    </row>
    <row r="689" customFormat="false" ht="21" hidden="false" customHeight="false" outlineLevel="0" collapsed="false">
      <c r="A689" s="154" t="n">
        <v>43489</v>
      </c>
      <c r="B689" s="155" t="s">
        <v>1456</v>
      </c>
      <c r="C689" s="148" t="str">
        <f aca="false">VLOOKUP($A689,INSUMOS_AUX!$A$3:$H$813,3,0)</f>
        <v>MAT.</v>
      </c>
      <c r="D689" s="156" t="s">
        <v>1444</v>
      </c>
      <c r="E689" s="154" t="n">
        <v>0.0558</v>
      </c>
      <c r="F689" s="149" t="n">
        <f aca="false">IF(C689="MAT.",VLOOKUP(A689,INSUMOS_AUX!$A$3:$H$813,6,0),0)</f>
        <v>1.31</v>
      </c>
      <c r="G689" s="149" t="n">
        <f aca="false">IF(C689="M.O.",VLOOKUP(A689,INSUMOS_AUX!A:F,6,0),0)</f>
        <v>0</v>
      </c>
    </row>
    <row r="690" customFormat="false" ht="21" hidden="false" customHeight="false" outlineLevel="0" collapsed="false">
      <c r="A690" s="154" t="n">
        <v>37372</v>
      </c>
      <c r="B690" s="155" t="s">
        <v>1446</v>
      </c>
      <c r="C690" s="148" t="str">
        <f aca="false">VLOOKUP($A690,INSUMOS_AUX!$A$3:$H$813,3,0)</f>
        <v>MAT.</v>
      </c>
      <c r="D690" s="156" t="s">
        <v>1444</v>
      </c>
      <c r="E690" s="154" t="n">
        <v>0.0558</v>
      </c>
      <c r="F690" s="149" t="n">
        <f aca="false">IF(C690="MAT.",VLOOKUP(A690,INSUMOS_AUX!$A$3:$H$813,6,0),0)</f>
        <v>1.43</v>
      </c>
      <c r="G690" s="149" t="n">
        <f aca="false">IF(C690="M.O.",VLOOKUP(A690,INSUMOS_AUX!A:F,6,0),0)</f>
        <v>0</v>
      </c>
    </row>
    <row r="691" customFormat="false" ht="21" hidden="false" customHeight="false" outlineLevel="0" collapsed="false">
      <c r="A691" s="154" t="n">
        <v>43465</v>
      </c>
      <c r="B691" s="155" t="s">
        <v>1458</v>
      </c>
      <c r="C691" s="148" t="str">
        <f aca="false">VLOOKUP($A691,INSUMOS_AUX!$A$3:$H$813,3,0)</f>
        <v>MAT.</v>
      </c>
      <c r="D691" s="156" t="s">
        <v>1444</v>
      </c>
      <c r="E691" s="154" t="n">
        <v>0.0558</v>
      </c>
      <c r="F691" s="149" t="n">
        <f aca="false">IF(C691="MAT.",VLOOKUP(A691,INSUMOS_AUX!$A$3:$H$813,6,0),0)</f>
        <v>0.78</v>
      </c>
      <c r="G691" s="149" t="n">
        <f aca="false">IF(C691="M.O.",VLOOKUP(A691,INSUMOS_AUX!A:F,6,0),0)</f>
        <v>0</v>
      </c>
    </row>
    <row r="692" customFormat="false" ht="21" hidden="false" customHeight="false" outlineLevel="0" collapsed="false">
      <c r="A692" s="154" t="n">
        <v>37373</v>
      </c>
      <c r="B692" s="155" t="s">
        <v>1448</v>
      </c>
      <c r="C692" s="148" t="str">
        <f aca="false">VLOOKUP($A692,INSUMOS_AUX!$A$3:$H$813,3,0)</f>
        <v>MAT.</v>
      </c>
      <c r="D692" s="156" t="s">
        <v>1444</v>
      </c>
      <c r="E692" s="154" t="n">
        <v>0.0558</v>
      </c>
      <c r="F692" s="149" t="n">
        <f aca="false">IF(C692="MAT.",VLOOKUP(A692,INSUMOS_AUX!$A$3:$H$813,6,0),0)</f>
        <v>0.08</v>
      </c>
      <c r="G692" s="149" t="n">
        <f aca="false">IF(C692="M.O.",VLOOKUP(A692,INSUMOS_AUX!A:F,6,0),0)</f>
        <v>0</v>
      </c>
    </row>
    <row r="693" customFormat="false" ht="21" hidden="false" customHeight="false" outlineLevel="0" collapsed="false">
      <c r="A693" s="154" t="n">
        <v>37371</v>
      </c>
      <c r="B693" s="155" t="s">
        <v>1449</v>
      </c>
      <c r="C693" s="148" t="str">
        <f aca="false">VLOOKUP($A693,INSUMOS_AUX!$A$3:$H$813,3,0)</f>
        <v>MAT.</v>
      </c>
      <c r="D693" s="156" t="s">
        <v>1444</v>
      </c>
      <c r="E693" s="154" t="n">
        <v>0.0558</v>
      </c>
      <c r="F693" s="149" t="n">
        <f aca="false">IF(C693="MAT.",VLOOKUP(A693,INSUMOS_AUX!$A$3:$H$813,6,0),0)</f>
        <v>0.59</v>
      </c>
      <c r="G693" s="149" t="n">
        <f aca="false">IF(C693="M.O.",VLOOKUP(A693,INSUMOS_AUX!A:F,6,0),0)</f>
        <v>0</v>
      </c>
    </row>
    <row r="694" customFormat="false" ht="15" hidden="false" customHeight="false" outlineLevel="0" collapsed="false">
      <c r="A694" s="154" t="n">
        <v>34</v>
      </c>
      <c r="B694" s="155" t="s">
        <v>1645</v>
      </c>
      <c r="C694" s="148" t="str">
        <f aca="false">VLOOKUP($A694,INSUMOS_AUX!$A$3:$H$813,3,0)</f>
        <v>MAT.</v>
      </c>
      <c r="D694" s="156" t="s">
        <v>1513</v>
      </c>
      <c r="E694" s="154" t="n">
        <v>1.11</v>
      </c>
      <c r="F694" s="149" t="n">
        <f aca="false">IF(C694="MAT.",VLOOKUP(A694,INSUMOS_AUX!$A$3:$H$813,6,0),0)</f>
        <v>7.68</v>
      </c>
      <c r="G694" s="149" t="n">
        <f aca="false">IF(C694="M.O.",VLOOKUP(A694,INSUMOS_AUX!A:F,6,0),0)</f>
        <v>0</v>
      </c>
    </row>
    <row r="695" customFormat="false" ht="21" hidden="false" customHeight="false" outlineLevel="0" collapsed="false">
      <c r="A695" s="154" t="n">
        <v>43132</v>
      </c>
      <c r="B695" s="155" t="s">
        <v>1565</v>
      </c>
      <c r="C695" s="148" t="str">
        <f aca="false">VLOOKUP($A695,INSUMOS_AUX!$A$3:$H$813,3,0)</f>
        <v>MAT.</v>
      </c>
      <c r="D695" s="156" t="s">
        <v>1513</v>
      </c>
      <c r="E695" s="154" t="n">
        <v>0.025</v>
      </c>
      <c r="F695" s="149" t="n">
        <f aca="false">IF(C695="MAT.",VLOOKUP(A695,INSUMOS_AUX!$A$3:$H$813,6,0),0)</f>
        <v>28</v>
      </c>
      <c r="G695" s="149" t="n">
        <f aca="false">IF(C695="M.O.",VLOOKUP(A695,INSUMOS_AUX!A:F,6,0),0)</f>
        <v>0</v>
      </c>
    </row>
    <row r="696" customFormat="false" ht="21" hidden="false" customHeight="false" outlineLevel="0" collapsed="false">
      <c r="A696" s="154" t="n">
        <v>39017</v>
      </c>
      <c r="B696" s="155" t="s">
        <v>1621</v>
      </c>
      <c r="C696" s="148" t="str">
        <f aca="false">VLOOKUP($A696,INSUMOS_AUX!$A$3:$H$813,3,0)</f>
        <v>MAT.</v>
      </c>
      <c r="D696" s="156" t="s">
        <v>31</v>
      </c>
      <c r="E696" s="154" t="n">
        <v>0.543</v>
      </c>
      <c r="F696" s="149" t="n">
        <f aca="false">IF(C696="MAT.",VLOOKUP(A696,INSUMOS_AUX!$A$3:$H$813,6,0),0)</f>
        <v>0.22</v>
      </c>
      <c r="G696" s="149" t="n">
        <f aca="false">IF(C696="M.O.",VLOOKUP(A696,INSUMOS_AUX!A:F,6,0),0)</f>
        <v>0</v>
      </c>
    </row>
    <row r="697" customFormat="false" ht="15" hidden="false" customHeight="false" outlineLevel="0" collapsed="false">
      <c r="A697" s="154" t="n">
        <v>6114</v>
      </c>
      <c r="B697" s="155" t="s">
        <v>1588</v>
      </c>
      <c r="C697" s="148" t="str">
        <f aca="false">VLOOKUP($A697,INSUMOS_AUX!$A$3:$H$813,3,0)</f>
        <v>M.O.</v>
      </c>
      <c r="D697" s="156" t="s">
        <v>1444</v>
      </c>
      <c r="E697" s="154" t="n">
        <v>0.007890012</v>
      </c>
      <c r="F697" s="149" t="n">
        <f aca="false">IF(C697="MAT.",VLOOKUP(A697,INSUMOS_AUX!$A$3:$H$813,6,0),0)</f>
        <v>0</v>
      </c>
      <c r="G697" s="149" t="n">
        <f aca="false">IF(C697="M.O.",VLOOKUP(A697,INSUMOS_AUX!A:F,6,0),0)</f>
        <v>13.26</v>
      </c>
    </row>
    <row r="698" customFormat="false" ht="15" hidden="false" customHeight="false" outlineLevel="0" collapsed="false">
      <c r="A698" s="154" t="n">
        <v>378</v>
      </c>
      <c r="B698" s="155" t="s">
        <v>1589</v>
      </c>
      <c r="C698" s="148" t="str">
        <f aca="false">VLOOKUP($A698,INSUMOS_AUX!$A$3:$H$813,3,0)</f>
        <v>M.O.</v>
      </c>
      <c r="D698" s="156" t="s">
        <v>1444</v>
      </c>
      <c r="E698" s="154" t="n">
        <v>0.04855392</v>
      </c>
      <c r="F698" s="149" t="n">
        <f aca="false">IF(C698="MAT.",VLOOKUP(A698,INSUMOS_AUX!$A$3:$H$813,6,0),0)</f>
        <v>0</v>
      </c>
      <c r="G698" s="149" t="n">
        <f aca="false">IF(C698="M.O.",VLOOKUP(A698,INSUMOS_AUX!A:F,6,0),0)</f>
        <v>20.22</v>
      </c>
    </row>
    <row r="699" customFormat="false" ht="31.5" hidden="false" customHeight="false" outlineLevel="0" collapsed="false">
      <c r="A699" s="150" t="n">
        <v>92763</v>
      </c>
      <c r="B699" s="151" t="s">
        <v>1646</v>
      </c>
      <c r="C699" s="152" t="s">
        <v>59</v>
      </c>
      <c r="D699" s="152" t="s">
        <v>1513</v>
      </c>
      <c r="E699" s="150"/>
      <c r="F699" s="153" t="n">
        <f aca="false">(SUMPRODUCT($E700:$E710,F700:F710))*1</f>
        <v>8.426005</v>
      </c>
      <c r="G699" s="153" t="n">
        <f aca="false">(SUMPRODUCT($E700:$E710,G700:G710))*1</f>
        <v>0.6908919354</v>
      </c>
    </row>
    <row r="700" customFormat="false" ht="21" hidden="false" customHeight="false" outlineLevel="0" collapsed="false">
      <c r="A700" s="154" t="n">
        <v>37370</v>
      </c>
      <c r="B700" s="155" t="s">
        <v>1443</v>
      </c>
      <c r="C700" s="148" t="str">
        <f aca="false">VLOOKUP($A700,INSUMOS_AUX!$A$3:$H$813,3,0)</f>
        <v>MAT.</v>
      </c>
      <c r="D700" s="156" t="s">
        <v>1444</v>
      </c>
      <c r="E700" s="154" t="n">
        <v>0.0355</v>
      </c>
      <c r="F700" s="149" t="n">
        <f aca="false">IF(C700="MAT.",VLOOKUP(A700,INSUMOS_AUX!$A$3:$H$813,6,0),0)</f>
        <v>3.32</v>
      </c>
      <c r="G700" s="149" t="n">
        <f aca="false">IF(C700="M.O.",VLOOKUP(A700,INSUMOS_AUX!A:F,6,0),0)</f>
        <v>0</v>
      </c>
    </row>
    <row r="701" customFormat="false" ht="21" hidden="false" customHeight="false" outlineLevel="0" collapsed="false">
      <c r="A701" s="154" t="n">
        <v>43489</v>
      </c>
      <c r="B701" s="155" t="s">
        <v>1456</v>
      </c>
      <c r="C701" s="148" t="str">
        <f aca="false">VLOOKUP($A701,INSUMOS_AUX!$A$3:$H$813,3,0)</f>
        <v>MAT.</v>
      </c>
      <c r="D701" s="156" t="s">
        <v>1444</v>
      </c>
      <c r="E701" s="154" t="n">
        <v>0.0355</v>
      </c>
      <c r="F701" s="149" t="n">
        <f aca="false">IF(C701="MAT.",VLOOKUP(A701,INSUMOS_AUX!$A$3:$H$813,6,0),0)</f>
        <v>1.31</v>
      </c>
      <c r="G701" s="149" t="n">
        <f aca="false">IF(C701="M.O.",VLOOKUP(A701,INSUMOS_AUX!A:F,6,0),0)</f>
        <v>0</v>
      </c>
    </row>
    <row r="702" customFormat="false" ht="21" hidden="false" customHeight="false" outlineLevel="0" collapsed="false">
      <c r="A702" s="154" t="n">
        <v>37372</v>
      </c>
      <c r="B702" s="155" t="s">
        <v>1446</v>
      </c>
      <c r="C702" s="148" t="str">
        <f aca="false">VLOOKUP($A702,INSUMOS_AUX!$A$3:$H$813,3,0)</f>
        <v>MAT.</v>
      </c>
      <c r="D702" s="156" t="s">
        <v>1444</v>
      </c>
      <c r="E702" s="154" t="n">
        <v>0.0355</v>
      </c>
      <c r="F702" s="149" t="n">
        <f aca="false">IF(C702="MAT.",VLOOKUP(A702,INSUMOS_AUX!$A$3:$H$813,6,0),0)</f>
        <v>1.43</v>
      </c>
      <c r="G702" s="149" t="n">
        <f aca="false">IF(C702="M.O.",VLOOKUP(A702,INSUMOS_AUX!A:F,6,0),0)</f>
        <v>0</v>
      </c>
    </row>
    <row r="703" customFormat="false" ht="21" hidden="false" customHeight="false" outlineLevel="0" collapsed="false">
      <c r="A703" s="154" t="n">
        <v>43465</v>
      </c>
      <c r="B703" s="155" t="s">
        <v>1458</v>
      </c>
      <c r="C703" s="148" t="str">
        <f aca="false">VLOOKUP($A703,INSUMOS_AUX!$A$3:$H$813,3,0)</f>
        <v>MAT.</v>
      </c>
      <c r="D703" s="156" t="s">
        <v>1444</v>
      </c>
      <c r="E703" s="154" t="n">
        <v>0.0355</v>
      </c>
      <c r="F703" s="149" t="n">
        <f aca="false">IF(C703="MAT.",VLOOKUP(A703,INSUMOS_AUX!$A$3:$H$813,6,0),0)</f>
        <v>0.78</v>
      </c>
      <c r="G703" s="149" t="n">
        <f aca="false">IF(C703="M.O.",VLOOKUP(A703,INSUMOS_AUX!A:F,6,0),0)</f>
        <v>0</v>
      </c>
    </row>
    <row r="704" customFormat="false" ht="21" hidden="false" customHeight="false" outlineLevel="0" collapsed="false">
      <c r="A704" s="154" t="n">
        <v>37373</v>
      </c>
      <c r="B704" s="155" t="s">
        <v>1448</v>
      </c>
      <c r="C704" s="148" t="s">
        <v>59</v>
      </c>
      <c r="D704" s="156" t="s">
        <v>1444</v>
      </c>
      <c r="E704" s="154" t="n">
        <v>0.0355</v>
      </c>
      <c r="F704" s="149" t="n">
        <f aca="false">IF(C704="MAT.",VLOOKUP(A704,INSUMOS_AUX!$A$3:$H$813,6,0),0)</f>
        <v>0</v>
      </c>
      <c r="G704" s="149" t="n">
        <f aca="false">IF(C704="M.O.",VLOOKUP(A704,INSUMOS_AUX!A:F,6,0),0)</f>
        <v>0</v>
      </c>
    </row>
    <row r="705" customFormat="false" ht="21" hidden="false" customHeight="false" outlineLevel="0" collapsed="false">
      <c r="A705" s="154" t="n">
        <v>37371</v>
      </c>
      <c r="B705" s="155" t="s">
        <v>1449</v>
      </c>
      <c r="C705" s="148" t="str">
        <f aca="false">VLOOKUP($A705,INSUMOS_AUX!$A$3:$H$813,3,0)</f>
        <v>MAT.</v>
      </c>
      <c r="D705" s="156" t="s">
        <v>1444</v>
      </c>
      <c r="E705" s="154" t="n">
        <v>0.0355</v>
      </c>
      <c r="F705" s="149" t="n">
        <f aca="false">IF(C705="MAT.",VLOOKUP(A705,INSUMOS_AUX!$A$3:$H$813,6,0),0)</f>
        <v>0.59</v>
      </c>
      <c r="G705" s="149" t="n">
        <f aca="false">IF(C705="M.O.",VLOOKUP(A705,INSUMOS_AUX!A:F,6,0),0)</f>
        <v>0</v>
      </c>
    </row>
    <row r="706" customFormat="false" ht="15" hidden="false" customHeight="false" outlineLevel="0" collapsed="false">
      <c r="A706" s="154" t="n">
        <v>43055</v>
      </c>
      <c r="B706" s="155" t="s">
        <v>1618</v>
      </c>
      <c r="C706" s="148" t="str">
        <f aca="false">VLOOKUP($A706,INSUMOS_AUX!$A$3:$H$813,3,0)</f>
        <v>MAT.</v>
      </c>
      <c r="D706" s="156" t="s">
        <v>1513</v>
      </c>
      <c r="E706" s="154" t="n">
        <v>1.11</v>
      </c>
      <c r="F706" s="149" t="n">
        <f aca="false">IF(C706="MAT.",VLOOKUP(A706,INSUMOS_AUX!$A$3:$H$813,6,0),0)</f>
        <v>6.65</v>
      </c>
      <c r="G706" s="149" t="n">
        <f aca="false">IF(C706="M.O.",VLOOKUP(A706,INSUMOS_AUX!A:F,6,0),0)</f>
        <v>0</v>
      </c>
    </row>
    <row r="707" customFormat="false" ht="21" hidden="false" customHeight="false" outlineLevel="0" collapsed="false">
      <c r="A707" s="154" t="n">
        <v>43132</v>
      </c>
      <c r="B707" s="155" t="s">
        <v>1565</v>
      </c>
      <c r="C707" s="148" t="str">
        <f aca="false">VLOOKUP($A707,INSUMOS_AUX!$A$3:$H$813,3,0)</f>
        <v>MAT.</v>
      </c>
      <c r="D707" s="156" t="s">
        <v>1513</v>
      </c>
      <c r="E707" s="154" t="n">
        <v>0.025</v>
      </c>
      <c r="F707" s="149" t="n">
        <f aca="false">IF(C707="MAT.",VLOOKUP(A707,INSUMOS_AUX!$A$3:$H$813,6,0),0)</f>
        <v>28</v>
      </c>
      <c r="G707" s="149" t="n">
        <f aca="false">IF(C707="M.O.",VLOOKUP(A707,INSUMOS_AUX!A:F,6,0),0)</f>
        <v>0</v>
      </c>
    </row>
    <row r="708" customFormat="false" ht="21" hidden="false" customHeight="false" outlineLevel="0" collapsed="false">
      <c r="A708" s="154" t="n">
        <v>39017</v>
      </c>
      <c r="B708" s="155" t="s">
        <v>1621</v>
      </c>
      <c r="C708" s="148" t="str">
        <f aca="false">VLOOKUP($A708,INSUMOS_AUX!$A$3:$H$813,3,0)</f>
        <v>MAT.</v>
      </c>
      <c r="D708" s="156" t="s">
        <v>31</v>
      </c>
      <c r="E708" s="154" t="n">
        <v>0.367</v>
      </c>
      <c r="F708" s="149" t="n">
        <f aca="false">IF(C708="MAT.",VLOOKUP(A708,INSUMOS_AUX!$A$3:$H$813,6,0),0)</f>
        <v>0.22</v>
      </c>
      <c r="G708" s="149" t="n">
        <f aca="false">IF(C708="M.O.",VLOOKUP(A708,INSUMOS_AUX!A:F,6,0),0)</f>
        <v>0</v>
      </c>
    </row>
    <row r="709" customFormat="false" ht="15" hidden="false" customHeight="false" outlineLevel="0" collapsed="false">
      <c r="A709" s="154" t="n">
        <v>6114</v>
      </c>
      <c r="B709" s="155" t="s">
        <v>1588</v>
      </c>
      <c r="C709" s="148" t="str">
        <f aca="false">VLOOKUP($A709,INSUMOS_AUX!$A$3:$H$813,3,0)</f>
        <v>M.O.</v>
      </c>
      <c r="D709" s="156" t="s">
        <v>1444</v>
      </c>
      <c r="E709" s="154" t="n">
        <v>0.0050577</v>
      </c>
      <c r="F709" s="149" t="n">
        <f aca="false">IF(C709="MAT.",VLOOKUP(A709,INSUMOS_AUX!$A$3:$H$813,6,0),0)</f>
        <v>0</v>
      </c>
      <c r="G709" s="149" t="n">
        <f aca="false">IF(C709="M.O.",VLOOKUP(A709,INSUMOS_AUX!A:F,6,0),0)</f>
        <v>13.26</v>
      </c>
    </row>
    <row r="710" customFormat="false" ht="15" hidden="false" customHeight="false" outlineLevel="0" collapsed="false">
      <c r="A710" s="154" t="n">
        <v>378</v>
      </c>
      <c r="B710" s="155" t="s">
        <v>1589</v>
      </c>
      <c r="C710" s="148" t="str">
        <f aca="false">VLOOKUP($A710,INSUMOS_AUX!$A$3:$H$813,3,0)</f>
        <v>M.O.</v>
      </c>
      <c r="D710" s="156" t="s">
        <v>1444</v>
      </c>
      <c r="E710" s="154" t="n">
        <v>0.03085197</v>
      </c>
      <c r="F710" s="149" t="n">
        <f aca="false">IF(C710="MAT.",VLOOKUP(A710,INSUMOS_AUX!$A$3:$H$813,6,0),0)</f>
        <v>0</v>
      </c>
      <c r="G710" s="149" t="n">
        <f aca="false">IF(C710="M.O.",VLOOKUP(A710,INSUMOS_AUX!A:F,6,0),0)</f>
        <v>20.22</v>
      </c>
    </row>
    <row r="711" customFormat="false" ht="31.5" hidden="false" customHeight="false" outlineLevel="0" collapsed="false">
      <c r="A711" s="150" t="n">
        <v>92764</v>
      </c>
      <c r="B711" s="151" t="s">
        <v>1647</v>
      </c>
      <c r="C711" s="152" t="s">
        <v>59</v>
      </c>
      <c r="D711" s="152" t="s">
        <v>1513</v>
      </c>
      <c r="E711" s="150"/>
      <c r="F711" s="153" t="n">
        <f aca="false">(SUMPRODUCT($E712:$E722,F712:F722))*1</f>
        <v>8.270001</v>
      </c>
      <c r="G711" s="153" t="n">
        <f aca="false">(SUMPRODUCT($E712:$E722,G712:G722))*1</f>
        <v>0.490849785</v>
      </c>
    </row>
    <row r="712" customFormat="false" ht="21" hidden="false" customHeight="false" outlineLevel="0" collapsed="false">
      <c r="A712" s="154" t="n">
        <v>37370</v>
      </c>
      <c r="B712" s="155" t="s">
        <v>1443</v>
      </c>
      <c r="C712" s="148" t="str">
        <f aca="false">VLOOKUP($A712,INSUMOS_AUX!$A$3:$H$813,3,0)</f>
        <v>MAT.</v>
      </c>
      <c r="D712" s="156" t="s">
        <v>1444</v>
      </c>
      <c r="E712" s="154" t="n">
        <v>0.0251</v>
      </c>
      <c r="F712" s="149" t="n">
        <f aca="false">IF(C712="MAT.",VLOOKUP(A712,INSUMOS_AUX!$A$3:$H$813,6,0),0)</f>
        <v>3.32</v>
      </c>
      <c r="G712" s="149" t="n">
        <f aca="false">IF(C712="M.O.",VLOOKUP(A712,INSUMOS_AUX!A:F,6,0),0)</f>
        <v>0</v>
      </c>
    </row>
    <row r="713" customFormat="false" ht="21" hidden="false" customHeight="false" outlineLevel="0" collapsed="false">
      <c r="A713" s="154" t="n">
        <v>43489</v>
      </c>
      <c r="B713" s="155" t="s">
        <v>1456</v>
      </c>
      <c r="C713" s="148" t="str">
        <f aca="false">VLOOKUP($A713,INSUMOS_AUX!$A$3:$H$813,3,0)</f>
        <v>MAT.</v>
      </c>
      <c r="D713" s="156" t="s">
        <v>1444</v>
      </c>
      <c r="E713" s="154" t="n">
        <v>0.0251</v>
      </c>
      <c r="F713" s="149" t="n">
        <f aca="false">IF(C713="MAT.",VLOOKUP(A713,INSUMOS_AUX!$A$3:$H$813,6,0),0)</f>
        <v>1.31</v>
      </c>
      <c r="G713" s="149" t="n">
        <f aca="false">IF(C713="M.O.",VLOOKUP(A713,INSUMOS_AUX!A:F,6,0),0)</f>
        <v>0</v>
      </c>
    </row>
    <row r="714" customFormat="false" ht="21" hidden="false" customHeight="false" outlineLevel="0" collapsed="false">
      <c r="A714" s="154" t="n">
        <v>37372</v>
      </c>
      <c r="B714" s="155" t="s">
        <v>1446</v>
      </c>
      <c r="C714" s="148" t="str">
        <f aca="false">VLOOKUP($A714,INSUMOS_AUX!$A$3:$H$813,3,0)</f>
        <v>MAT.</v>
      </c>
      <c r="D714" s="156" t="s">
        <v>1444</v>
      </c>
      <c r="E714" s="154" t="n">
        <v>0.0251</v>
      </c>
      <c r="F714" s="149" t="n">
        <f aca="false">IF(C714="MAT.",VLOOKUP(A714,INSUMOS_AUX!$A$3:$H$813,6,0),0)</f>
        <v>1.43</v>
      </c>
      <c r="G714" s="149" t="n">
        <f aca="false">IF(C714="M.O.",VLOOKUP(A714,INSUMOS_AUX!A:F,6,0),0)</f>
        <v>0</v>
      </c>
    </row>
    <row r="715" customFormat="false" ht="21" hidden="false" customHeight="false" outlineLevel="0" collapsed="false">
      <c r="A715" s="154" t="n">
        <v>43465</v>
      </c>
      <c r="B715" s="155" t="s">
        <v>1458</v>
      </c>
      <c r="C715" s="148" t="str">
        <f aca="false">VLOOKUP($A715,INSUMOS_AUX!$A$3:$H$813,3,0)</f>
        <v>MAT.</v>
      </c>
      <c r="D715" s="156" t="s">
        <v>1444</v>
      </c>
      <c r="E715" s="154" t="n">
        <v>0.0251</v>
      </c>
      <c r="F715" s="149" t="n">
        <f aca="false">IF(C715="MAT.",VLOOKUP(A715,INSUMOS_AUX!$A$3:$H$813,6,0),0)</f>
        <v>0.78</v>
      </c>
      <c r="G715" s="149" t="n">
        <f aca="false">IF(C715="M.O.",VLOOKUP(A715,INSUMOS_AUX!A:F,6,0),0)</f>
        <v>0</v>
      </c>
    </row>
    <row r="716" customFormat="false" ht="21" hidden="false" customHeight="false" outlineLevel="0" collapsed="false">
      <c r="A716" s="154" t="n">
        <v>37373</v>
      </c>
      <c r="B716" s="155" t="s">
        <v>1448</v>
      </c>
      <c r="C716" s="148" t="str">
        <f aca="false">VLOOKUP($A716,INSUMOS_AUX!$A$3:$H$813,3,0)</f>
        <v>MAT.</v>
      </c>
      <c r="D716" s="156" t="s">
        <v>1444</v>
      </c>
      <c r="E716" s="154" t="n">
        <v>0.0251</v>
      </c>
      <c r="F716" s="149" t="n">
        <f aca="false">IF(C716="MAT.",VLOOKUP(A716,INSUMOS_AUX!$A$3:$H$813,6,0),0)</f>
        <v>0.08</v>
      </c>
      <c r="G716" s="149" t="n">
        <f aca="false">IF(C716="M.O.",VLOOKUP(A716,INSUMOS_AUX!A:F,6,0),0)</f>
        <v>0</v>
      </c>
    </row>
    <row r="717" customFormat="false" ht="21" hidden="false" customHeight="false" outlineLevel="0" collapsed="false">
      <c r="A717" s="154" t="n">
        <v>37371</v>
      </c>
      <c r="B717" s="155" t="s">
        <v>1449</v>
      </c>
      <c r="C717" s="148" t="str">
        <f aca="false">VLOOKUP($A717,INSUMOS_AUX!$A$3:$H$813,3,0)</f>
        <v>MAT.</v>
      </c>
      <c r="D717" s="156" t="s">
        <v>1444</v>
      </c>
      <c r="E717" s="154" t="n">
        <v>0.0251</v>
      </c>
      <c r="F717" s="149" t="n">
        <f aca="false">IF(C717="MAT.",VLOOKUP(A717,INSUMOS_AUX!$A$3:$H$813,6,0),0)</f>
        <v>0.59</v>
      </c>
      <c r="G717" s="149" t="n">
        <f aca="false">IF(C717="M.O.",VLOOKUP(A717,INSUMOS_AUX!A:F,6,0),0)</f>
        <v>0</v>
      </c>
    </row>
    <row r="718" customFormat="false" ht="15" hidden="false" customHeight="false" outlineLevel="0" collapsed="false">
      <c r="A718" s="154" t="n">
        <v>43055</v>
      </c>
      <c r="B718" s="155" t="s">
        <v>1618</v>
      </c>
      <c r="C718" s="148" t="str">
        <f aca="false">VLOOKUP($A718,INSUMOS_AUX!$A$3:$H$813,3,0)</f>
        <v>MAT.</v>
      </c>
      <c r="D718" s="156" t="s">
        <v>1513</v>
      </c>
      <c r="E718" s="154" t="n">
        <v>1.11</v>
      </c>
      <c r="F718" s="149" t="n">
        <f aca="false">IF(C718="MAT.",VLOOKUP(A718,INSUMOS_AUX!$A$3:$H$813,6,0),0)</f>
        <v>6.65</v>
      </c>
      <c r="G718" s="149" t="n">
        <f aca="false">IF(C718="M.O.",VLOOKUP(A718,INSUMOS_AUX!A:F,6,0),0)</f>
        <v>0</v>
      </c>
    </row>
    <row r="719" customFormat="false" ht="21" hidden="false" customHeight="false" outlineLevel="0" collapsed="false">
      <c r="A719" s="154" t="n">
        <v>43132</v>
      </c>
      <c r="B719" s="155" t="s">
        <v>1565</v>
      </c>
      <c r="C719" s="148" t="str">
        <f aca="false">VLOOKUP($A719,INSUMOS_AUX!$A$3:$H$813,3,0)</f>
        <v>MAT.</v>
      </c>
      <c r="D719" s="156" t="s">
        <v>1513</v>
      </c>
      <c r="E719" s="154" t="n">
        <v>0.025</v>
      </c>
      <c r="F719" s="149" t="n">
        <f aca="false">IF(C719="MAT.",VLOOKUP(A719,INSUMOS_AUX!$A$3:$H$813,6,0),0)</f>
        <v>28</v>
      </c>
      <c r="G719" s="149" t="n">
        <f aca="false">IF(C719="M.O.",VLOOKUP(A719,INSUMOS_AUX!A:F,6,0),0)</f>
        <v>0</v>
      </c>
    </row>
    <row r="720" customFormat="false" ht="21" hidden="false" customHeight="false" outlineLevel="0" collapsed="false">
      <c r="A720" s="154" t="n">
        <v>39017</v>
      </c>
      <c r="B720" s="155" t="s">
        <v>1621</v>
      </c>
      <c r="C720" s="148" t="s">
        <v>59</v>
      </c>
      <c r="D720" s="156" t="s">
        <v>31</v>
      </c>
      <c r="E720" s="154" t="n">
        <v>0.212</v>
      </c>
      <c r="F720" s="149" t="n">
        <f aca="false">IF(C720="MAT.",VLOOKUP(A720,INSUMOS_AUX!$A$3:$H$813,6,0),0)</f>
        <v>0</v>
      </c>
      <c r="G720" s="149" t="n">
        <f aca="false">IF(C720="M.O.",VLOOKUP(A720,INSUMOS_AUX!A:F,6,0),0)</f>
        <v>0</v>
      </c>
    </row>
    <row r="721" customFormat="false" ht="15" hidden="false" customHeight="false" outlineLevel="0" collapsed="false">
      <c r="A721" s="154" t="n">
        <v>6114</v>
      </c>
      <c r="B721" s="155" t="s">
        <v>1588</v>
      </c>
      <c r="C721" s="148" t="str">
        <f aca="false">VLOOKUP($A721,INSUMOS_AUX!$A$3:$H$813,3,0)</f>
        <v>M.O.</v>
      </c>
      <c r="D721" s="156" t="s">
        <v>1444</v>
      </c>
      <c r="E721" s="154" t="n">
        <v>0.003236928</v>
      </c>
      <c r="F721" s="149" t="n">
        <f aca="false">IF(C721="MAT.",VLOOKUP(A721,INSUMOS_AUX!$A$3:$H$813,6,0),0)</f>
        <v>0</v>
      </c>
      <c r="G721" s="149" t="n">
        <f aca="false">IF(C721="M.O.",VLOOKUP(A721,INSUMOS_AUX!A:F,6,0),0)</f>
        <v>13.26</v>
      </c>
    </row>
    <row r="722" customFormat="false" ht="15" hidden="false" customHeight="false" outlineLevel="0" collapsed="false">
      <c r="A722" s="154" t="n">
        <v>378</v>
      </c>
      <c r="B722" s="155" t="s">
        <v>1589</v>
      </c>
      <c r="C722" s="148" t="str">
        <f aca="false">VLOOKUP($A722,INSUMOS_AUX!$A$3:$H$813,3,0)</f>
        <v>M.O.</v>
      </c>
      <c r="D722" s="156" t="s">
        <v>1444</v>
      </c>
      <c r="E722" s="154" t="n">
        <v>0.022152726</v>
      </c>
      <c r="F722" s="149" t="n">
        <f aca="false">IF(C722="MAT.",VLOOKUP(A722,INSUMOS_AUX!$A$3:$H$813,6,0),0)</f>
        <v>0</v>
      </c>
      <c r="G722" s="149" t="n">
        <f aca="false">IF(C722="M.O.",VLOOKUP(A722,INSUMOS_AUX!A:F,6,0),0)</f>
        <v>20.22</v>
      </c>
    </row>
    <row r="723" customFormat="false" ht="31.5" hidden="false" customHeight="false" outlineLevel="0" collapsed="false">
      <c r="A723" s="150" t="n">
        <v>96525</v>
      </c>
      <c r="B723" s="151" t="s">
        <v>1648</v>
      </c>
      <c r="C723" s="152" t="s">
        <v>59</v>
      </c>
      <c r="D723" s="152" t="s">
        <v>1442</v>
      </c>
      <c r="E723" s="150"/>
      <c r="F723" s="153" t="n">
        <f aca="false">(SUMPRODUCT($E724:$E738,F724:F738))*1</f>
        <v>39.928881683888</v>
      </c>
      <c r="G723" s="153" t="n">
        <f aca="false">(SUMPRODUCT($E724:$E738,G724:G738))*1</f>
        <v>13.6373652336</v>
      </c>
    </row>
    <row r="724" customFormat="false" ht="21" hidden="false" customHeight="false" outlineLevel="0" collapsed="false">
      <c r="A724" s="154" t="n">
        <v>37370</v>
      </c>
      <c r="B724" s="155" t="s">
        <v>1443</v>
      </c>
      <c r="C724" s="148" t="str">
        <f aca="false">VLOOKUP($A724,INSUMOS_AUX!$A$3:$H$813,3,0)</f>
        <v>MAT.</v>
      </c>
      <c r="D724" s="156" t="s">
        <v>1444</v>
      </c>
      <c r="E724" s="154" t="n">
        <v>0.714</v>
      </c>
      <c r="F724" s="149" t="n">
        <f aca="false">IF(C724="MAT.",VLOOKUP(A724,INSUMOS_AUX!$A$3:$H$813,6,0),0)</f>
        <v>3.32</v>
      </c>
      <c r="G724" s="149" t="n">
        <f aca="false">IF(C724="M.O.",VLOOKUP(A724,INSUMOS_AUX!A:F,6,0),0)</f>
        <v>0</v>
      </c>
    </row>
    <row r="725" customFormat="false" ht="21" hidden="false" customHeight="false" outlineLevel="0" collapsed="false">
      <c r="A725" s="154" t="n">
        <v>43488</v>
      </c>
      <c r="B725" s="155" t="s">
        <v>1445</v>
      </c>
      <c r="C725" s="148" t="str">
        <f aca="false">VLOOKUP($A725,INSUMOS_AUX!$A$3:$H$813,3,0)</f>
        <v>MAT.</v>
      </c>
      <c r="D725" s="156" t="s">
        <v>1444</v>
      </c>
      <c r="E725" s="154" t="n">
        <v>0.492</v>
      </c>
      <c r="F725" s="149" t="n">
        <f aca="false">IF(C725="MAT.",VLOOKUP(A725,INSUMOS_AUX!$A$3:$H$813,6,0),0)</f>
        <v>0.89</v>
      </c>
      <c r="G725" s="149" t="n">
        <f aca="false">IF(C725="M.O.",VLOOKUP(A725,INSUMOS_AUX!A:F,6,0),0)</f>
        <v>0</v>
      </c>
    </row>
    <row r="726" customFormat="false" ht="21" hidden="false" customHeight="false" outlineLevel="0" collapsed="false">
      <c r="A726" s="154" t="n">
        <v>43489</v>
      </c>
      <c r="B726" s="155" t="s">
        <v>1456</v>
      </c>
      <c r="C726" s="148" t="str">
        <f aca="false">VLOOKUP($A726,INSUMOS_AUX!$A$3:$H$813,3,0)</f>
        <v>MAT.</v>
      </c>
      <c r="D726" s="156" t="s">
        <v>1444</v>
      </c>
      <c r="E726" s="154" t="n">
        <v>0.086</v>
      </c>
      <c r="F726" s="149" t="n">
        <f aca="false">IF(C726="MAT.",VLOOKUP(A726,INSUMOS_AUX!$A$3:$H$813,6,0),0)</f>
        <v>1.31</v>
      </c>
      <c r="G726" s="149" t="n">
        <f aca="false">IF(C726="M.O.",VLOOKUP(A726,INSUMOS_AUX!A:F,6,0),0)</f>
        <v>0</v>
      </c>
    </row>
    <row r="727" customFormat="false" ht="21" hidden="false" customHeight="false" outlineLevel="0" collapsed="false">
      <c r="A727" s="154" t="n">
        <v>43491</v>
      </c>
      <c r="B727" s="155" t="s">
        <v>1457</v>
      </c>
      <c r="C727" s="148" t="str">
        <f aca="false">VLOOKUP($A727,INSUMOS_AUX!$A$3:$H$813,3,0)</f>
        <v>MAT.</v>
      </c>
      <c r="D727" s="156" t="s">
        <v>1444</v>
      </c>
      <c r="E727" s="154" t="n">
        <v>0.136</v>
      </c>
      <c r="F727" s="149" t="n">
        <f aca="false">IF(C727="MAT.",VLOOKUP(A727,INSUMOS_AUX!$A$3:$H$813,6,0),0)</f>
        <v>1.39</v>
      </c>
      <c r="G727" s="149" t="n">
        <f aca="false">IF(C727="M.O.",VLOOKUP(A727,INSUMOS_AUX!A:F,6,0),0)</f>
        <v>0</v>
      </c>
    </row>
    <row r="728" customFormat="false" ht="21" hidden="false" customHeight="false" outlineLevel="0" collapsed="false">
      <c r="A728" s="154" t="n">
        <v>37372</v>
      </c>
      <c r="B728" s="155" t="s">
        <v>1446</v>
      </c>
      <c r="C728" s="148" t="str">
        <f aca="false">VLOOKUP($A728,INSUMOS_AUX!$A$3:$H$813,3,0)</f>
        <v>MAT.</v>
      </c>
      <c r="D728" s="156" t="s">
        <v>1444</v>
      </c>
      <c r="E728" s="154" t="n">
        <v>0.714</v>
      </c>
      <c r="F728" s="149" t="n">
        <f aca="false">IF(C728="MAT.",VLOOKUP(A728,INSUMOS_AUX!$A$3:$H$813,6,0),0)</f>
        <v>1.43</v>
      </c>
      <c r="G728" s="149" t="n">
        <f aca="false">IF(C728="M.O.",VLOOKUP(A728,INSUMOS_AUX!A:F,6,0),0)</f>
        <v>0</v>
      </c>
    </row>
    <row r="729" customFormat="false" ht="21" hidden="false" customHeight="false" outlineLevel="0" collapsed="false">
      <c r="A729" s="154" t="n">
        <v>43464</v>
      </c>
      <c r="B729" s="155" t="s">
        <v>1447</v>
      </c>
      <c r="C729" s="148" t="str">
        <f aca="false">VLOOKUP($A729,INSUMOS_AUX!$A$3:$H$813,3,0)</f>
        <v>MAT.</v>
      </c>
      <c r="D729" s="156" t="s">
        <v>1444</v>
      </c>
      <c r="E729" s="154" t="n">
        <v>0.492</v>
      </c>
      <c r="F729" s="149" t="n">
        <f aca="false">IF(C729="MAT.",VLOOKUP(A729,INSUMOS_AUX!$A$3:$H$813,6,0),0)</f>
        <v>0.01</v>
      </c>
      <c r="G729" s="149" t="n">
        <f aca="false">IF(C729="M.O.",VLOOKUP(A729,INSUMOS_AUX!A:F,6,0),0)</f>
        <v>0</v>
      </c>
    </row>
    <row r="730" customFormat="false" ht="21" hidden="false" customHeight="false" outlineLevel="0" collapsed="false">
      <c r="A730" s="154" t="n">
        <v>43465</v>
      </c>
      <c r="B730" s="155" t="s">
        <v>1458</v>
      </c>
      <c r="C730" s="148" t="str">
        <f aca="false">VLOOKUP($A730,INSUMOS_AUX!$A$3:$H$813,3,0)</f>
        <v>MAT.</v>
      </c>
      <c r="D730" s="156" t="s">
        <v>1444</v>
      </c>
      <c r="E730" s="154" t="n">
        <v>0.086</v>
      </c>
      <c r="F730" s="149" t="n">
        <f aca="false">IF(C730="MAT.",VLOOKUP(A730,INSUMOS_AUX!$A$3:$H$813,6,0),0)</f>
        <v>0.78</v>
      </c>
      <c r="G730" s="149" t="n">
        <f aca="false">IF(C730="M.O.",VLOOKUP(A730,INSUMOS_AUX!A:F,6,0),0)</f>
        <v>0</v>
      </c>
    </row>
    <row r="731" customFormat="false" ht="21" hidden="false" customHeight="false" outlineLevel="0" collapsed="false">
      <c r="A731" s="154" t="n">
        <v>43467</v>
      </c>
      <c r="B731" s="155" t="s">
        <v>1459</v>
      </c>
      <c r="C731" s="148" t="str">
        <f aca="false">VLOOKUP($A731,INSUMOS_AUX!$A$3:$H$813,3,0)</f>
        <v>MAT.</v>
      </c>
      <c r="D731" s="156" t="s">
        <v>1444</v>
      </c>
      <c r="E731" s="154" t="n">
        <v>0.136</v>
      </c>
      <c r="F731" s="149" t="n">
        <f aca="false">IF(C731="MAT.",VLOOKUP(A731,INSUMOS_AUX!$A$3:$H$813,6,0),0)</f>
        <v>0.61</v>
      </c>
      <c r="G731" s="149" t="n">
        <f aca="false">IF(C731="M.O.",VLOOKUP(A731,INSUMOS_AUX!A:F,6,0),0)</f>
        <v>0</v>
      </c>
    </row>
    <row r="732" customFormat="false" ht="21" hidden="false" customHeight="false" outlineLevel="0" collapsed="false">
      <c r="A732" s="154" t="n">
        <v>37373</v>
      </c>
      <c r="B732" s="155" t="s">
        <v>1448</v>
      </c>
      <c r="C732" s="148" t="str">
        <f aca="false">VLOOKUP($A732,INSUMOS_AUX!$A$3:$H$813,3,0)</f>
        <v>MAT.</v>
      </c>
      <c r="D732" s="156" t="s">
        <v>1444</v>
      </c>
      <c r="E732" s="154" t="n">
        <v>0.714</v>
      </c>
      <c r="F732" s="149" t="n">
        <f aca="false">IF(C732="MAT.",VLOOKUP(A732,INSUMOS_AUX!$A$3:$H$813,6,0),0)</f>
        <v>0.08</v>
      </c>
      <c r="G732" s="149" t="n">
        <f aca="false">IF(C732="M.O.",VLOOKUP(A732,INSUMOS_AUX!A:F,6,0),0)</f>
        <v>0</v>
      </c>
    </row>
    <row r="733" customFormat="false" ht="21" hidden="false" customHeight="false" outlineLevel="0" collapsed="false">
      <c r="A733" s="154" t="n">
        <v>37371</v>
      </c>
      <c r="B733" s="155" t="s">
        <v>1449</v>
      </c>
      <c r="C733" s="148" t="str">
        <f aca="false">VLOOKUP($A733,INSUMOS_AUX!$A$3:$H$813,3,0)</f>
        <v>MAT.</v>
      </c>
      <c r="D733" s="156" t="s">
        <v>1444</v>
      </c>
      <c r="E733" s="154" t="n">
        <v>0.714</v>
      </c>
      <c r="F733" s="149" t="n">
        <f aca="false">IF(C733="MAT.",VLOOKUP(A733,INSUMOS_AUX!$A$3:$H$813,6,0),0)</f>
        <v>0.59</v>
      </c>
      <c r="G733" s="149" t="n">
        <f aca="false">IF(C733="M.O.",VLOOKUP(A733,INSUMOS_AUX!A:F,6,0),0)</f>
        <v>0</v>
      </c>
    </row>
    <row r="734" customFormat="false" ht="21" hidden="false" customHeight="false" outlineLevel="0" collapsed="false">
      <c r="A734" s="154" t="n">
        <v>37520</v>
      </c>
      <c r="B734" s="155" t="s">
        <v>1649</v>
      </c>
      <c r="C734" s="148" t="str">
        <f aca="false">VLOOKUP($A734,INSUMOS_AUX!$A$3:$H$813,3,0)</f>
        <v>MAT.</v>
      </c>
      <c r="D734" s="156" t="s">
        <v>31</v>
      </c>
      <c r="E734" s="154" t="n">
        <v>5.77936E-005</v>
      </c>
      <c r="F734" s="149" t="n">
        <f aca="false">IF(C734="MAT.",VLOOKUP(A734,INSUMOS_AUX!$A$3:$H$813,6,0),0)</f>
        <v>504732.83</v>
      </c>
      <c r="G734" s="149" t="n">
        <f aca="false">IF(C734="M.O.",VLOOKUP(A734,INSUMOS_AUX!A:F,6,0),0)</f>
        <v>0</v>
      </c>
    </row>
    <row r="735" customFormat="false" ht="15" hidden="false" customHeight="false" outlineLevel="0" collapsed="false">
      <c r="A735" s="154" t="n">
        <v>4221</v>
      </c>
      <c r="B735" s="155" t="s">
        <v>1451</v>
      </c>
      <c r="C735" s="148" t="str">
        <f aca="false">VLOOKUP($A735,INSUMOS_AUX!$A$3:$H$813,3,0)</f>
        <v>MAT.</v>
      </c>
      <c r="D735" s="156" t="s">
        <v>1452</v>
      </c>
      <c r="E735" s="154" t="n">
        <v>0.95448</v>
      </c>
      <c r="F735" s="149" t="n">
        <f aca="false">IF(C735="MAT.",VLOOKUP(A735,INSUMOS_AUX!$A$3:$H$813,6,0),0)</f>
        <v>6.28</v>
      </c>
      <c r="G735" s="149" t="n">
        <f aca="false">IF(C735="M.O.",VLOOKUP(A735,INSUMOS_AUX!A:F,6,0),0)</f>
        <v>0</v>
      </c>
    </row>
    <row r="736" customFormat="false" ht="15" hidden="false" customHeight="false" outlineLevel="0" collapsed="false">
      <c r="A736" s="154" t="n">
        <v>4234</v>
      </c>
      <c r="B736" s="155" t="s">
        <v>1475</v>
      </c>
      <c r="C736" s="148" t="str">
        <f aca="false">VLOOKUP($A736,INSUMOS_AUX!$A$3:$H$813,3,0)</f>
        <v>M.O.</v>
      </c>
      <c r="D736" s="156" t="s">
        <v>1444</v>
      </c>
      <c r="E736" s="154" t="n">
        <v>0.49767768</v>
      </c>
      <c r="F736" s="149" t="n">
        <f aca="false">IF(C736="MAT.",VLOOKUP(A736,INSUMOS_AUX!$A$3:$H$813,6,0),0)</f>
        <v>0</v>
      </c>
      <c r="G736" s="149" t="n">
        <f aca="false">IF(C736="M.O.",VLOOKUP(A736,INSUMOS_AUX!A:F,6,0),0)</f>
        <v>20.22</v>
      </c>
    </row>
    <row r="737" customFormat="false" ht="15" hidden="false" customHeight="false" outlineLevel="0" collapsed="false">
      <c r="A737" s="154" t="n">
        <v>4750</v>
      </c>
      <c r="B737" s="155" t="s">
        <v>1463</v>
      </c>
      <c r="C737" s="148" t="str">
        <f aca="false">VLOOKUP($A737,INSUMOS_AUX!$A$3:$H$813,3,0)</f>
        <v>M.O.</v>
      </c>
      <c r="D737" s="156" t="s">
        <v>1444</v>
      </c>
      <c r="E737" s="154" t="n">
        <v>0.0878232</v>
      </c>
      <c r="F737" s="149" t="n">
        <f aca="false">IF(C737="MAT.",VLOOKUP(A737,INSUMOS_AUX!$A$3:$H$813,6,0),0)</f>
        <v>0</v>
      </c>
      <c r="G737" s="149" t="n">
        <f aca="false">IF(C737="M.O.",VLOOKUP(A737,INSUMOS_AUX!A:F,6,0),0)</f>
        <v>20.22</v>
      </c>
    </row>
    <row r="738" customFormat="false" ht="15" hidden="false" customHeight="false" outlineLevel="0" collapsed="false">
      <c r="A738" s="154" t="n">
        <v>6111</v>
      </c>
      <c r="B738" s="155" t="s">
        <v>1464</v>
      </c>
      <c r="C738" s="148" t="str">
        <f aca="false">VLOOKUP($A738,INSUMOS_AUX!$A$3:$H$813,3,0)</f>
        <v>M.O.</v>
      </c>
      <c r="D738" s="156" t="s">
        <v>1444</v>
      </c>
      <c r="E738" s="154" t="n">
        <v>0.1388832</v>
      </c>
      <c r="F738" s="149" t="n">
        <f aca="false">IF(C738="MAT.",VLOOKUP(A738,INSUMOS_AUX!$A$3:$H$813,6,0),0)</f>
        <v>0</v>
      </c>
      <c r="G738" s="149" t="n">
        <f aca="false">IF(C738="M.O.",VLOOKUP(A738,INSUMOS_AUX!A:F,6,0),0)</f>
        <v>12.95</v>
      </c>
    </row>
    <row r="739" customFormat="false" ht="31.5" hidden="false" customHeight="false" outlineLevel="0" collapsed="false">
      <c r="A739" s="150" t="n">
        <v>96533</v>
      </c>
      <c r="B739" s="151" t="s">
        <v>1650</v>
      </c>
      <c r="C739" s="152" t="s">
        <v>59</v>
      </c>
      <c r="D739" s="152" t="s">
        <v>1477</v>
      </c>
      <c r="E739" s="150"/>
      <c r="F739" s="153" t="n">
        <f aca="false">(SUMPRODUCT($E740:$E758,F740:F758))*1</f>
        <v>61.436063856536</v>
      </c>
      <c r="G739" s="153" t="n">
        <f aca="false">(SUMPRODUCT($E740:$E758,G740:G758))*1</f>
        <v>32.7787126278</v>
      </c>
    </row>
    <row r="740" customFormat="false" ht="21" hidden="false" customHeight="false" outlineLevel="0" collapsed="false">
      <c r="A740" s="154" t="n">
        <v>37370</v>
      </c>
      <c r="B740" s="155" t="s">
        <v>1443</v>
      </c>
      <c r="C740" s="148" t="s">
        <v>59</v>
      </c>
      <c r="D740" s="156" t="s">
        <v>1444</v>
      </c>
      <c r="E740" s="154" t="n">
        <v>1.811</v>
      </c>
      <c r="F740" s="149" t="n">
        <f aca="false">IF(C740="MAT.",VLOOKUP(A740,INSUMOS_AUX!$A$3:$H$813,6,0),0)</f>
        <v>0</v>
      </c>
      <c r="G740" s="149" t="n">
        <f aca="false">IF(C740="M.O.",VLOOKUP(A740,INSUMOS_AUX!A:F,6,0),0)</f>
        <v>0</v>
      </c>
    </row>
    <row r="741" customFormat="false" ht="21" hidden="false" customHeight="false" outlineLevel="0" collapsed="false">
      <c r="A741" s="154" t="n">
        <v>43483</v>
      </c>
      <c r="B741" s="155" t="s">
        <v>1486</v>
      </c>
      <c r="C741" s="148" t="str">
        <f aca="false">VLOOKUP($A741,INSUMOS_AUX!$A$3:$H$813,3,0)</f>
        <v>MAT.</v>
      </c>
      <c r="D741" s="156" t="s">
        <v>1444</v>
      </c>
      <c r="E741" s="154" t="n">
        <v>1.682</v>
      </c>
      <c r="F741" s="149" t="n">
        <f aca="false">IF(C741="MAT.",VLOOKUP(A741,INSUMOS_AUX!$A$3:$H$813,6,0),0)</f>
        <v>1.43</v>
      </c>
      <c r="G741" s="149" t="n">
        <f aca="false">IF(C741="M.O.",VLOOKUP(A741,INSUMOS_AUX!A:F,6,0),0)</f>
        <v>0</v>
      </c>
    </row>
    <row r="742" customFormat="false" ht="21" hidden="false" customHeight="false" outlineLevel="0" collapsed="false">
      <c r="A742" s="154" t="n">
        <v>43488</v>
      </c>
      <c r="B742" s="155" t="s">
        <v>1445</v>
      </c>
      <c r="C742" s="148" t="str">
        <f aca="false">VLOOKUP($A742,INSUMOS_AUX!$A$3:$H$813,3,0)</f>
        <v>MAT.</v>
      </c>
      <c r="D742" s="156" t="s">
        <v>1444</v>
      </c>
      <c r="E742" s="154" t="n">
        <v>0.129</v>
      </c>
      <c r="F742" s="149" t="n">
        <f aca="false">IF(C742="MAT.",VLOOKUP(A742,INSUMOS_AUX!$A$3:$H$813,6,0),0)</f>
        <v>0.89</v>
      </c>
      <c r="G742" s="149" t="n">
        <f aca="false">IF(C742="M.O.",VLOOKUP(A742,INSUMOS_AUX!A:F,6,0),0)</f>
        <v>0</v>
      </c>
    </row>
    <row r="743" customFormat="false" ht="21" hidden="false" customHeight="false" outlineLevel="0" collapsed="false">
      <c r="A743" s="154" t="n">
        <v>37372</v>
      </c>
      <c r="B743" s="155" t="s">
        <v>1446</v>
      </c>
      <c r="C743" s="148" t="str">
        <f aca="false">VLOOKUP($A743,INSUMOS_AUX!$A$3:$H$813,3,0)</f>
        <v>MAT.</v>
      </c>
      <c r="D743" s="156" t="s">
        <v>1444</v>
      </c>
      <c r="E743" s="154" t="n">
        <v>1.811</v>
      </c>
      <c r="F743" s="149" t="n">
        <f aca="false">IF(C743="MAT.",VLOOKUP(A743,INSUMOS_AUX!$A$3:$H$813,6,0),0)</f>
        <v>1.43</v>
      </c>
      <c r="G743" s="149" t="n">
        <f aca="false">IF(C743="M.O.",VLOOKUP(A743,INSUMOS_AUX!A:F,6,0),0)</f>
        <v>0</v>
      </c>
    </row>
    <row r="744" customFormat="false" ht="21" hidden="false" customHeight="false" outlineLevel="0" collapsed="false">
      <c r="A744" s="154" t="n">
        <v>43459</v>
      </c>
      <c r="B744" s="155" t="s">
        <v>1487</v>
      </c>
      <c r="C744" s="148" t="str">
        <f aca="false">VLOOKUP($A744,INSUMOS_AUX!$A$3:$H$813,3,0)</f>
        <v>MAT.</v>
      </c>
      <c r="D744" s="156" t="s">
        <v>1444</v>
      </c>
      <c r="E744" s="154" t="n">
        <v>1.682</v>
      </c>
      <c r="F744" s="149" t="n">
        <f aca="false">IF(C744="MAT.",VLOOKUP(A744,INSUMOS_AUX!$A$3:$H$813,6,0),0)</f>
        <v>0.44</v>
      </c>
      <c r="G744" s="149" t="n">
        <f aca="false">IF(C744="M.O.",VLOOKUP(A744,INSUMOS_AUX!A:F,6,0),0)</f>
        <v>0</v>
      </c>
    </row>
    <row r="745" customFormat="false" ht="21" hidden="false" customHeight="false" outlineLevel="0" collapsed="false">
      <c r="A745" s="154" t="n">
        <v>43464</v>
      </c>
      <c r="B745" s="155" t="s">
        <v>1447</v>
      </c>
      <c r="C745" s="148" t="str">
        <f aca="false">VLOOKUP($A745,INSUMOS_AUX!$A$3:$H$813,3,0)</f>
        <v>MAT.</v>
      </c>
      <c r="D745" s="156" t="s">
        <v>1444</v>
      </c>
      <c r="E745" s="154" t="n">
        <v>0.129</v>
      </c>
      <c r="F745" s="149" t="n">
        <f aca="false">IF(C745="MAT.",VLOOKUP(A745,INSUMOS_AUX!$A$3:$H$813,6,0),0)</f>
        <v>0.01</v>
      </c>
      <c r="G745" s="149" t="n">
        <f aca="false">IF(C745="M.O.",VLOOKUP(A745,INSUMOS_AUX!A:F,6,0),0)</f>
        <v>0</v>
      </c>
    </row>
    <row r="746" customFormat="false" ht="21" hidden="false" customHeight="false" outlineLevel="0" collapsed="false">
      <c r="A746" s="154" t="n">
        <v>37373</v>
      </c>
      <c r="B746" s="155" t="s">
        <v>1448</v>
      </c>
      <c r="C746" s="148" t="str">
        <f aca="false">VLOOKUP($A746,INSUMOS_AUX!$A$3:$H$813,3,0)</f>
        <v>MAT.</v>
      </c>
      <c r="D746" s="156" t="s">
        <v>1444</v>
      </c>
      <c r="E746" s="154" t="n">
        <v>1.811</v>
      </c>
      <c r="F746" s="149" t="n">
        <f aca="false">IF(C746="MAT.",VLOOKUP(A746,INSUMOS_AUX!$A$3:$H$813,6,0),0)</f>
        <v>0.08</v>
      </c>
      <c r="G746" s="149" t="n">
        <f aca="false">IF(C746="M.O.",VLOOKUP(A746,INSUMOS_AUX!A:F,6,0),0)</f>
        <v>0</v>
      </c>
    </row>
    <row r="747" customFormat="false" ht="21" hidden="false" customHeight="false" outlineLevel="0" collapsed="false">
      <c r="A747" s="154" t="n">
        <v>37371</v>
      </c>
      <c r="B747" s="155" t="s">
        <v>1449</v>
      </c>
      <c r="C747" s="148" t="str">
        <f aca="false">VLOOKUP($A747,INSUMOS_AUX!$A$3:$H$813,3,0)</f>
        <v>MAT.</v>
      </c>
      <c r="D747" s="156" t="s">
        <v>1444</v>
      </c>
      <c r="E747" s="154" t="n">
        <v>1.811</v>
      </c>
      <c r="F747" s="149" t="n">
        <f aca="false">IF(C747="MAT.",VLOOKUP(A747,INSUMOS_AUX!$A$3:$H$813,6,0),0)</f>
        <v>0.59</v>
      </c>
      <c r="G747" s="149" t="n">
        <f aca="false">IF(C747="M.O.",VLOOKUP(A747,INSUMOS_AUX!A:F,6,0),0)</f>
        <v>0</v>
      </c>
    </row>
    <row r="748" customFormat="false" ht="21" hidden="false" customHeight="false" outlineLevel="0" collapsed="false">
      <c r="A748" s="154" t="n">
        <v>14618</v>
      </c>
      <c r="B748" s="155" t="s">
        <v>1592</v>
      </c>
      <c r="C748" s="148" t="str">
        <f aca="false">VLOOKUP($A748,INSUMOS_AUX!$A$3:$H$813,3,0)</f>
        <v>MAT.</v>
      </c>
      <c r="D748" s="156" t="s">
        <v>31</v>
      </c>
      <c r="E748" s="154" t="n">
        <v>1.24972E-005</v>
      </c>
      <c r="F748" s="149" t="n">
        <f aca="false">IF(C748="MAT.",VLOOKUP(A748,INSUMOS_AUX!$A$3:$H$813,6,0),0)</f>
        <v>1283.38</v>
      </c>
      <c r="G748" s="149" t="n">
        <f aca="false">IF(C748="M.O.",VLOOKUP(A748,INSUMOS_AUX!A:F,6,0),0)</f>
        <v>0</v>
      </c>
    </row>
    <row r="749" customFormat="false" ht="15" hidden="false" customHeight="false" outlineLevel="0" collapsed="false">
      <c r="A749" s="154" t="n">
        <v>2705</v>
      </c>
      <c r="B749" s="155" t="s">
        <v>1467</v>
      </c>
      <c r="C749" s="148" t="str">
        <f aca="false">VLOOKUP($A749,INSUMOS_AUX!$A$3:$H$813,3,0)</f>
        <v>MAT.</v>
      </c>
      <c r="D749" s="156" t="s">
        <v>1468</v>
      </c>
      <c r="E749" s="154" t="n">
        <v>0.03536</v>
      </c>
      <c r="F749" s="149" t="n">
        <f aca="false">IF(C749="MAT.",VLOOKUP(A749,INSUMOS_AUX!$A$3:$H$813,6,0),0)</f>
        <v>0.92</v>
      </c>
      <c r="G749" s="149" t="n">
        <f aca="false">IF(C749="M.O.",VLOOKUP(A749,INSUMOS_AUX!A:F,6,0),0)</f>
        <v>0</v>
      </c>
    </row>
    <row r="750" customFormat="false" ht="21" hidden="false" customHeight="false" outlineLevel="0" collapsed="false">
      <c r="A750" s="154" t="n">
        <v>2692</v>
      </c>
      <c r="B750" s="155" t="s">
        <v>1570</v>
      </c>
      <c r="C750" s="148" t="str">
        <f aca="false">VLOOKUP($A750,INSUMOS_AUX!$A$3:$H$813,3,0)</f>
        <v>MAT.</v>
      </c>
      <c r="D750" s="156" t="s">
        <v>1452</v>
      </c>
      <c r="E750" s="154" t="n">
        <v>0.0167</v>
      </c>
      <c r="F750" s="149" t="n">
        <f aca="false">IF(C750="MAT.",VLOOKUP(A750,INSUMOS_AUX!$A$3:$H$813,6,0),0)</f>
        <v>6.52</v>
      </c>
      <c r="G750" s="149" t="n">
        <f aca="false">IF(C750="M.O.",VLOOKUP(A750,INSUMOS_AUX!A:F,6,0),0)</f>
        <v>0</v>
      </c>
    </row>
    <row r="751" customFormat="false" ht="21" hidden="false" customHeight="false" outlineLevel="0" collapsed="false">
      <c r="A751" s="154" t="n">
        <v>4491</v>
      </c>
      <c r="B751" s="155" t="s">
        <v>1578</v>
      </c>
      <c r="C751" s="148" t="str">
        <f aca="false">VLOOKUP($A751,INSUMOS_AUX!$A$3:$H$813,3,0)</f>
        <v>MAT.</v>
      </c>
      <c r="D751" s="156" t="s">
        <v>1455</v>
      </c>
      <c r="E751" s="154" t="n">
        <v>1.166</v>
      </c>
      <c r="F751" s="149" t="n">
        <f aca="false">IF(C751="MAT.",VLOOKUP(A751,INSUMOS_AUX!$A$3:$H$813,6,0),0)</f>
        <v>10.25</v>
      </c>
      <c r="G751" s="149" t="n">
        <f aca="false">IF(C751="M.O.",VLOOKUP(A751,INSUMOS_AUX!A:F,6,0),0)</f>
        <v>0</v>
      </c>
    </row>
    <row r="752" customFormat="false" ht="15" hidden="false" customHeight="false" outlineLevel="0" collapsed="false">
      <c r="A752" s="154" t="n">
        <v>5073</v>
      </c>
      <c r="B752" s="155" t="s">
        <v>1651</v>
      </c>
      <c r="C752" s="148" t="s">
        <v>59</v>
      </c>
      <c r="D752" s="156" t="s">
        <v>1513</v>
      </c>
      <c r="E752" s="154" t="n">
        <v>0.049</v>
      </c>
      <c r="F752" s="149" t="n">
        <f aca="false">IF(C752="MAT.",VLOOKUP(A752,INSUMOS_AUX!$A$3:$H$813,6,0),0)</f>
        <v>0</v>
      </c>
      <c r="G752" s="149" t="n">
        <f aca="false">IF(C752="M.O.",VLOOKUP(A752,INSUMOS_AUX!A:F,6,0),0)</f>
        <v>0</v>
      </c>
    </row>
    <row r="753" customFormat="false" ht="15" hidden="false" customHeight="false" outlineLevel="0" collapsed="false">
      <c r="A753" s="154" t="n">
        <v>40304</v>
      </c>
      <c r="B753" s="155" t="s">
        <v>1626</v>
      </c>
      <c r="C753" s="148" t="str">
        <f aca="false">VLOOKUP($A753,INSUMOS_AUX!$A$3:$H$813,3,0)</f>
        <v>MAT.</v>
      </c>
      <c r="D753" s="156" t="s">
        <v>1513</v>
      </c>
      <c r="E753" s="154" t="n">
        <v>0.053</v>
      </c>
      <c r="F753" s="149" t="n">
        <f aca="false">IF(C753="MAT.",VLOOKUP(A753,INSUMOS_AUX!$A$3:$H$813,6,0),0)</f>
        <v>25.11</v>
      </c>
      <c r="G753" s="149" t="n">
        <f aca="false">IF(C753="M.O.",VLOOKUP(A753,INSUMOS_AUX!A:F,6,0),0)</f>
        <v>0</v>
      </c>
    </row>
    <row r="754" customFormat="false" ht="21" hidden="false" customHeight="false" outlineLevel="0" collapsed="false">
      <c r="A754" s="154" t="n">
        <v>4517</v>
      </c>
      <c r="B754" s="155" t="s">
        <v>1582</v>
      </c>
      <c r="C754" s="148" t="str">
        <f aca="false">VLOOKUP($A754,INSUMOS_AUX!$A$3:$H$813,3,0)</f>
        <v>MAT.</v>
      </c>
      <c r="D754" s="156" t="s">
        <v>1455</v>
      </c>
      <c r="E754" s="154" t="n">
        <v>1.053</v>
      </c>
      <c r="F754" s="149" t="n">
        <f aca="false">IF(C754="MAT.",VLOOKUP(A754,INSUMOS_AUX!$A$3:$H$813,6,0),0)</f>
        <v>3.58</v>
      </c>
      <c r="G754" s="149" t="n">
        <f aca="false">IF(C754="M.O.",VLOOKUP(A754,INSUMOS_AUX!A:F,6,0),0)</f>
        <v>0</v>
      </c>
    </row>
    <row r="755" customFormat="false" ht="21" hidden="false" customHeight="false" outlineLevel="0" collapsed="false">
      <c r="A755" s="154" t="n">
        <v>6212</v>
      </c>
      <c r="B755" s="155" t="s">
        <v>1627</v>
      </c>
      <c r="C755" s="148" t="str">
        <f aca="false">VLOOKUP($A755,INSUMOS_AUX!$A$3:$H$813,3,0)</f>
        <v>MAT.</v>
      </c>
      <c r="D755" s="156" t="s">
        <v>1455</v>
      </c>
      <c r="E755" s="154" t="n">
        <v>2.186</v>
      </c>
      <c r="F755" s="149" t="n">
        <f aca="false">IF(C755="MAT.",VLOOKUP(A755,INSUMOS_AUX!$A$3:$H$813,6,0),0)</f>
        <v>17</v>
      </c>
      <c r="G755" s="149" t="n">
        <f aca="false">IF(C755="M.O.",VLOOKUP(A755,INSUMOS_AUX!A:F,6,0),0)</f>
        <v>0</v>
      </c>
    </row>
    <row r="756" customFormat="false" ht="15" hidden="false" customHeight="false" outlineLevel="0" collapsed="false">
      <c r="A756" s="154" t="n">
        <v>6117</v>
      </c>
      <c r="B756" s="155" t="s">
        <v>1555</v>
      </c>
      <c r="C756" s="148" t="str">
        <f aca="false">VLOOKUP($A756,INSUMOS_AUX!$A$3:$H$813,3,0)</f>
        <v>M.O.</v>
      </c>
      <c r="D756" s="156" t="s">
        <v>1444</v>
      </c>
      <c r="E756" s="154" t="n">
        <v>0.51042428</v>
      </c>
      <c r="F756" s="149" t="n">
        <f aca="false">IF(C756="MAT.",VLOOKUP(A756,INSUMOS_AUX!$A$3:$H$813,6,0),0)</f>
        <v>0</v>
      </c>
      <c r="G756" s="149" t="n">
        <f aca="false">IF(C756="M.O.",VLOOKUP(A756,INSUMOS_AUX!A:F,6,0),0)</f>
        <v>13.26</v>
      </c>
    </row>
    <row r="757" customFormat="false" ht="15" hidden="false" customHeight="false" outlineLevel="0" collapsed="false">
      <c r="A757" s="154" t="n">
        <v>1213</v>
      </c>
      <c r="B757" s="155" t="s">
        <v>1516</v>
      </c>
      <c r="C757" s="148" t="str">
        <f aca="false">VLOOKUP($A757,INSUMOS_AUX!$A$3:$H$813,3,0)</f>
        <v>M.O.</v>
      </c>
      <c r="D757" s="156" t="s">
        <v>1444</v>
      </c>
      <c r="E757" s="154" t="n">
        <v>1.19260566</v>
      </c>
      <c r="F757" s="149" t="n">
        <f aca="false">IF(C757="MAT.",VLOOKUP(A757,INSUMOS_AUX!$A$3:$H$813,6,0),0)</f>
        <v>0</v>
      </c>
      <c r="G757" s="149" t="n">
        <f aca="false">IF(C757="M.O.",VLOOKUP(A757,INSUMOS_AUX!A:F,6,0),0)</f>
        <v>20.22</v>
      </c>
    </row>
    <row r="758" customFormat="false" ht="21" hidden="false" customHeight="false" outlineLevel="0" collapsed="false">
      <c r="A758" s="154" t="n">
        <v>4230</v>
      </c>
      <c r="B758" s="155" t="s">
        <v>1597</v>
      </c>
      <c r="C758" s="148" t="str">
        <f aca="false">VLOOKUP($A758,INSUMOS_AUX!$A$3:$H$813,3,0)</f>
        <v>M.O.</v>
      </c>
      <c r="D758" s="156" t="s">
        <v>1444</v>
      </c>
      <c r="E758" s="154" t="n">
        <v>0.13048866</v>
      </c>
      <c r="F758" s="149" t="n">
        <f aca="false">IF(C758="MAT.",VLOOKUP(A758,INSUMOS_AUX!$A$3:$H$813,6,0),0)</f>
        <v>0</v>
      </c>
      <c r="G758" s="149" t="n">
        <f aca="false">IF(C758="M.O.",VLOOKUP(A758,INSUMOS_AUX!A:F,6,0),0)</f>
        <v>14.53</v>
      </c>
    </row>
    <row r="759" customFormat="false" ht="21" hidden="false" customHeight="false" outlineLevel="0" collapsed="false">
      <c r="A759" s="150" t="n">
        <v>96622</v>
      </c>
      <c r="B759" s="151" t="s">
        <v>1652</v>
      </c>
      <c r="C759" s="152" t="s">
        <v>59</v>
      </c>
      <c r="D759" s="152" t="s">
        <v>1442</v>
      </c>
      <c r="E759" s="150"/>
      <c r="F759" s="153" t="n">
        <f aca="false">(SUMPRODUCT($E760:$E772,F760:F772))*1</f>
        <v>179.616553215464</v>
      </c>
      <c r="G759" s="153" t="n">
        <f aca="false">(SUMPRODUCT($E760:$E772,G760:G772))*1</f>
        <v>50.216478588</v>
      </c>
    </row>
    <row r="760" customFormat="false" ht="21" hidden="false" customHeight="false" outlineLevel="0" collapsed="false">
      <c r="A760" s="154" t="n">
        <v>37370</v>
      </c>
      <c r="B760" s="155" t="s">
        <v>1443</v>
      </c>
      <c r="C760" s="148" t="str">
        <f aca="false">VLOOKUP($A760,INSUMOS_AUX!$A$3:$H$813,3,0)</f>
        <v>MAT.</v>
      </c>
      <c r="D760" s="156" t="s">
        <v>1444</v>
      </c>
      <c r="E760" s="154" t="n">
        <v>2.707</v>
      </c>
      <c r="F760" s="149" t="n">
        <f aca="false">IF(C760="MAT.",VLOOKUP(A760,INSUMOS_AUX!$A$3:$H$813,6,0),0)</f>
        <v>3.32</v>
      </c>
      <c r="G760" s="149" t="n">
        <f aca="false">IF(C760="M.O.",VLOOKUP(A760,INSUMOS_AUX!A:F,6,0),0)</f>
        <v>0</v>
      </c>
    </row>
    <row r="761" customFormat="false" ht="21" hidden="false" customHeight="false" outlineLevel="0" collapsed="false">
      <c r="A761" s="154" t="n">
        <v>43489</v>
      </c>
      <c r="B761" s="155" t="s">
        <v>1456</v>
      </c>
      <c r="C761" s="148" t="str">
        <f aca="false">VLOOKUP($A761,INSUMOS_AUX!$A$3:$H$813,3,0)</f>
        <v>MAT.</v>
      </c>
      <c r="D761" s="156" t="s">
        <v>1444</v>
      </c>
      <c r="E761" s="154" t="n">
        <v>1.942</v>
      </c>
      <c r="F761" s="149" t="n">
        <f aca="false">IF(C761="MAT.",VLOOKUP(A761,INSUMOS_AUX!$A$3:$H$813,6,0),0)</f>
        <v>1.31</v>
      </c>
      <c r="G761" s="149" t="n">
        <f aca="false">IF(C761="M.O.",VLOOKUP(A761,INSUMOS_AUX!A:F,6,0),0)</f>
        <v>0</v>
      </c>
    </row>
    <row r="762" customFormat="false" ht="21" hidden="false" customHeight="false" outlineLevel="0" collapsed="false">
      <c r="A762" s="154" t="n">
        <v>43491</v>
      </c>
      <c r="B762" s="155" t="s">
        <v>1457</v>
      </c>
      <c r="C762" s="148" t="str">
        <f aca="false">VLOOKUP($A762,INSUMOS_AUX!$A$3:$H$813,3,0)</f>
        <v>MAT.</v>
      </c>
      <c r="D762" s="156" t="s">
        <v>1444</v>
      </c>
      <c r="E762" s="154" t="n">
        <v>0.765</v>
      </c>
      <c r="F762" s="149" t="n">
        <f aca="false">IF(C762="MAT.",VLOOKUP(A762,INSUMOS_AUX!$A$3:$H$813,6,0),0)</f>
        <v>1.39</v>
      </c>
      <c r="G762" s="149" t="n">
        <f aca="false">IF(C762="M.O.",VLOOKUP(A762,INSUMOS_AUX!A:F,6,0),0)</f>
        <v>0</v>
      </c>
    </row>
    <row r="763" customFormat="false" ht="21" hidden="false" customHeight="false" outlineLevel="0" collapsed="false">
      <c r="A763" s="154" t="n">
        <v>37372</v>
      </c>
      <c r="B763" s="155" t="s">
        <v>1446</v>
      </c>
      <c r="C763" s="148" t="str">
        <f aca="false">VLOOKUP($A763,INSUMOS_AUX!$A$3:$H$813,3,0)</f>
        <v>MAT.</v>
      </c>
      <c r="D763" s="156" t="s">
        <v>1444</v>
      </c>
      <c r="E763" s="154" t="n">
        <v>2.707</v>
      </c>
      <c r="F763" s="149" t="n">
        <f aca="false">IF(C763="MAT.",VLOOKUP(A763,INSUMOS_AUX!$A$3:$H$813,6,0),0)</f>
        <v>1.43</v>
      </c>
      <c r="G763" s="149" t="n">
        <f aca="false">IF(C763="M.O.",VLOOKUP(A763,INSUMOS_AUX!A:F,6,0),0)</f>
        <v>0</v>
      </c>
    </row>
    <row r="764" customFormat="false" ht="21" hidden="false" customHeight="false" outlineLevel="0" collapsed="false">
      <c r="A764" s="154" t="n">
        <v>43465</v>
      </c>
      <c r="B764" s="155" t="s">
        <v>1458</v>
      </c>
      <c r="C764" s="148" t="s">
        <v>59</v>
      </c>
      <c r="D764" s="156" t="s">
        <v>1444</v>
      </c>
      <c r="E764" s="154" t="n">
        <v>1.942</v>
      </c>
      <c r="F764" s="149" t="n">
        <f aca="false">IF(C764="MAT.",VLOOKUP(A764,INSUMOS_AUX!$A$3:$H$813,6,0),0)</f>
        <v>0</v>
      </c>
      <c r="G764" s="149" t="n">
        <f aca="false">IF(C764="M.O.",VLOOKUP(A764,INSUMOS_AUX!A:F,6,0),0)</f>
        <v>0</v>
      </c>
    </row>
    <row r="765" customFormat="false" ht="21" hidden="false" customHeight="false" outlineLevel="0" collapsed="false">
      <c r="A765" s="154" t="n">
        <v>43467</v>
      </c>
      <c r="B765" s="155" t="s">
        <v>1459</v>
      </c>
      <c r="C765" s="148" t="str">
        <f aca="false">VLOOKUP($A765,INSUMOS_AUX!$A$3:$H$813,3,0)</f>
        <v>MAT.</v>
      </c>
      <c r="D765" s="156" t="s">
        <v>1444</v>
      </c>
      <c r="E765" s="154" t="n">
        <v>0.765</v>
      </c>
      <c r="F765" s="149" t="n">
        <f aca="false">IF(C765="MAT.",VLOOKUP(A765,INSUMOS_AUX!$A$3:$H$813,6,0),0)</f>
        <v>0.61</v>
      </c>
      <c r="G765" s="149" t="n">
        <f aca="false">IF(C765="M.O.",VLOOKUP(A765,INSUMOS_AUX!A:F,6,0),0)</f>
        <v>0</v>
      </c>
    </row>
    <row r="766" customFormat="false" ht="21" hidden="false" customHeight="false" outlineLevel="0" collapsed="false">
      <c r="A766" s="154" t="n">
        <v>37373</v>
      </c>
      <c r="B766" s="155" t="s">
        <v>1448</v>
      </c>
      <c r="C766" s="148" t="str">
        <f aca="false">VLOOKUP($A766,INSUMOS_AUX!$A$3:$H$813,3,0)</f>
        <v>MAT.</v>
      </c>
      <c r="D766" s="156" t="s">
        <v>1444</v>
      </c>
      <c r="E766" s="154" t="n">
        <v>2.707</v>
      </c>
      <c r="F766" s="149" t="n">
        <f aca="false">IF(C766="MAT.",VLOOKUP(A766,INSUMOS_AUX!$A$3:$H$813,6,0),0)</f>
        <v>0.08</v>
      </c>
      <c r="G766" s="149" t="n">
        <f aca="false">IF(C766="M.O.",VLOOKUP(A766,INSUMOS_AUX!A:F,6,0),0)</f>
        <v>0</v>
      </c>
    </row>
    <row r="767" customFormat="false" ht="21" hidden="false" customHeight="false" outlineLevel="0" collapsed="false">
      <c r="A767" s="154" t="n">
        <v>37371</v>
      </c>
      <c r="B767" s="155" t="s">
        <v>1449</v>
      </c>
      <c r="C767" s="148" t="str">
        <f aca="false">VLOOKUP($A767,INSUMOS_AUX!$A$3:$H$813,3,0)</f>
        <v>MAT.</v>
      </c>
      <c r="D767" s="156" t="s">
        <v>1444</v>
      </c>
      <c r="E767" s="154" t="n">
        <v>2.707</v>
      </c>
      <c r="F767" s="149" t="n">
        <f aca="false">IF(C767="MAT.",VLOOKUP(A767,INSUMOS_AUX!$A$3:$H$813,6,0),0)</f>
        <v>0.59</v>
      </c>
      <c r="G767" s="149" t="n">
        <f aca="false">IF(C767="M.O.",VLOOKUP(A767,INSUMOS_AUX!A:F,6,0),0)</f>
        <v>0</v>
      </c>
    </row>
    <row r="768" customFormat="false" ht="42" hidden="false" customHeight="false" outlineLevel="0" collapsed="false">
      <c r="A768" s="154" t="n">
        <v>1442</v>
      </c>
      <c r="B768" s="155" t="s">
        <v>1562</v>
      </c>
      <c r="C768" s="148" t="str">
        <f aca="false">VLOOKUP($A768,INSUMOS_AUX!$A$3:$H$813,3,0)</f>
        <v>MAT.</v>
      </c>
      <c r="D768" s="156" t="s">
        <v>31</v>
      </c>
      <c r="E768" s="154" t="n">
        <v>6.3256E-006</v>
      </c>
      <c r="F768" s="149" t="n">
        <f aca="false">IF(C768="MAT.",VLOOKUP(A768,INSUMOS_AUX!$A$3:$H$813,6,0),0)</f>
        <v>10731.19</v>
      </c>
      <c r="G768" s="149" t="n">
        <f aca="false">IF(C768="M.O.",VLOOKUP(A768,INSUMOS_AUX!A:F,6,0),0)</f>
        <v>0</v>
      </c>
    </row>
    <row r="769" customFormat="false" ht="15" hidden="false" customHeight="false" outlineLevel="0" collapsed="false">
      <c r="A769" s="154" t="n">
        <v>4222</v>
      </c>
      <c r="B769" s="155" t="s">
        <v>1572</v>
      </c>
      <c r="C769" s="148" t="str">
        <f aca="false">VLOOKUP($A769,INSUMOS_AUX!$A$3:$H$813,3,0)</f>
        <v>MAT.</v>
      </c>
      <c r="D769" s="156" t="s">
        <v>1452</v>
      </c>
      <c r="E769" s="154" t="n">
        <v>0.04608</v>
      </c>
      <c r="F769" s="149" t="n">
        <f aca="false">IF(C769="MAT.",VLOOKUP(A769,INSUMOS_AUX!$A$3:$H$813,6,0),0)</f>
        <v>6.4</v>
      </c>
      <c r="G769" s="149" t="n">
        <f aca="false">IF(C769="M.O.",VLOOKUP(A769,INSUMOS_AUX!A:F,6,0),0)</f>
        <v>0</v>
      </c>
    </row>
    <row r="770" customFormat="false" ht="21" hidden="false" customHeight="false" outlineLevel="0" collapsed="false">
      <c r="A770" s="154" t="n">
        <v>4718</v>
      </c>
      <c r="B770" s="155" t="s">
        <v>1577</v>
      </c>
      <c r="C770" s="148" t="str">
        <f aca="false">VLOOKUP($A770,INSUMOS_AUX!$A$3:$H$813,3,0)</f>
        <v>MAT.</v>
      </c>
      <c r="D770" s="156" t="s">
        <v>1442</v>
      </c>
      <c r="E770" s="154" t="n">
        <v>1.38</v>
      </c>
      <c r="F770" s="149" t="n">
        <f aca="false">IF(C770="MAT.",VLOOKUP(A770,INSUMOS_AUX!$A$3:$H$813,6,0),0)</f>
        <v>116.31</v>
      </c>
      <c r="G770" s="149" t="n">
        <f aca="false">IF(C770="M.O.",VLOOKUP(A770,INSUMOS_AUX!A:F,6,0),0)</f>
        <v>0</v>
      </c>
    </row>
    <row r="771" customFormat="false" ht="15" hidden="false" customHeight="false" outlineLevel="0" collapsed="false">
      <c r="A771" s="154" t="n">
        <v>4750</v>
      </c>
      <c r="B771" s="155" t="s">
        <v>1463</v>
      </c>
      <c r="C771" s="148" t="str">
        <f aca="false">VLOOKUP($A771,INSUMOS_AUX!$A$3:$H$813,3,0)</f>
        <v>M.O.</v>
      </c>
      <c r="D771" s="156" t="s">
        <v>1444</v>
      </c>
      <c r="E771" s="154" t="n">
        <v>1.9831704</v>
      </c>
      <c r="F771" s="149" t="n">
        <f aca="false">IF(C771="MAT.",VLOOKUP(A771,INSUMOS_AUX!$A$3:$H$813,6,0),0)</f>
        <v>0</v>
      </c>
      <c r="G771" s="149" t="n">
        <f aca="false">IF(C771="M.O.",VLOOKUP(A771,INSUMOS_AUX!A:F,6,0),0)</f>
        <v>20.22</v>
      </c>
    </row>
    <row r="772" customFormat="false" ht="15" hidden="false" customHeight="false" outlineLevel="0" collapsed="false">
      <c r="A772" s="154" t="n">
        <v>6111</v>
      </c>
      <c r="B772" s="155" t="s">
        <v>1464</v>
      </c>
      <c r="C772" s="148" t="str">
        <f aca="false">VLOOKUP($A772,INSUMOS_AUX!$A$3:$H$813,3,0)</f>
        <v>M.O.</v>
      </c>
      <c r="D772" s="156" t="s">
        <v>1444</v>
      </c>
      <c r="E772" s="154" t="n">
        <v>0.781218</v>
      </c>
      <c r="F772" s="149" t="n">
        <f aca="false">IF(C772="MAT.",VLOOKUP(A772,INSUMOS_AUX!$A$3:$H$813,6,0),0)</f>
        <v>0</v>
      </c>
      <c r="G772" s="149" t="n">
        <f aca="false">IF(C772="M.O.",VLOOKUP(A772,INSUMOS_AUX!A:F,6,0),0)</f>
        <v>12.95</v>
      </c>
    </row>
    <row r="773" customFormat="false" ht="21" hidden="false" customHeight="false" outlineLevel="0" collapsed="false">
      <c r="A773" s="150" t="n">
        <v>104916</v>
      </c>
      <c r="B773" s="151" t="s">
        <v>1653</v>
      </c>
      <c r="C773" s="152" t="s">
        <v>59</v>
      </c>
      <c r="D773" s="152" t="s">
        <v>1513</v>
      </c>
      <c r="E773" s="150"/>
      <c r="F773" s="153" t="n">
        <f aca="false">(SUMPRODUCT($E774:$E784,F774:F784))*1</f>
        <v>10.457788</v>
      </c>
      <c r="G773" s="153" t="n">
        <f aca="false">(SUMPRODUCT($E774:$E784,G774:G784))*1</f>
        <v>5.56945022448</v>
      </c>
    </row>
    <row r="774" customFormat="false" ht="21" hidden="false" customHeight="false" outlineLevel="0" collapsed="false">
      <c r="A774" s="154" t="n">
        <v>37370</v>
      </c>
      <c r="B774" s="155" t="s">
        <v>1443</v>
      </c>
      <c r="C774" s="148" t="str">
        <f aca="false">VLOOKUP($A774,INSUMOS_AUX!$A$3:$H$813,3,0)</f>
        <v>MAT.</v>
      </c>
      <c r="D774" s="156" t="s">
        <v>1444</v>
      </c>
      <c r="E774" s="154" t="n">
        <v>0.2976</v>
      </c>
      <c r="F774" s="149" t="n">
        <f aca="false">IF(C774="MAT.",VLOOKUP(A774,INSUMOS_AUX!$A$3:$H$813,6,0),0)</f>
        <v>3.32</v>
      </c>
      <c r="G774" s="149" t="n">
        <f aca="false">IF(C774="M.O.",VLOOKUP(A774,INSUMOS_AUX!A:F,6,0),0)</f>
        <v>0</v>
      </c>
    </row>
    <row r="775" customFormat="false" ht="21" hidden="false" customHeight="false" outlineLevel="0" collapsed="false">
      <c r="A775" s="154" t="n">
        <v>43489</v>
      </c>
      <c r="B775" s="155" t="s">
        <v>1456</v>
      </c>
      <c r="C775" s="148" t="str">
        <f aca="false">VLOOKUP($A775,INSUMOS_AUX!$A$3:$H$813,3,0)</f>
        <v>MAT.</v>
      </c>
      <c r="D775" s="156" t="s">
        <v>1444</v>
      </c>
      <c r="E775" s="154" t="n">
        <v>0.2976</v>
      </c>
      <c r="F775" s="149" t="n">
        <f aca="false">IF(C775="MAT.",VLOOKUP(A775,INSUMOS_AUX!$A$3:$H$813,6,0),0)</f>
        <v>1.31</v>
      </c>
      <c r="G775" s="149" t="n">
        <f aca="false">IF(C775="M.O.",VLOOKUP(A775,INSUMOS_AUX!A:F,6,0),0)</f>
        <v>0</v>
      </c>
    </row>
    <row r="776" customFormat="false" ht="21" hidden="false" customHeight="false" outlineLevel="0" collapsed="false">
      <c r="A776" s="154" t="n">
        <v>37372</v>
      </c>
      <c r="B776" s="155" t="s">
        <v>1446</v>
      </c>
      <c r="C776" s="148" t="s">
        <v>59</v>
      </c>
      <c r="D776" s="156" t="s">
        <v>1444</v>
      </c>
      <c r="E776" s="154" t="n">
        <v>0.2976</v>
      </c>
      <c r="F776" s="149" t="n">
        <f aca="false">IF(C776="MAT.",VLOOKUP(A776,INSUMOS_AUX!$A$3:$H$813,6,0),0)</f>
        <v>0</v>
      </c>
      <c r="G776" s="149" t="n">
        <f aca="false">IF(C776="M.O.",VLOOKUP(A776,INSUMOS_AUX!A:F,6,0),0)</f>
        <v>0</v>
      </c>
    </row>
    <row r="777" customFormat="false" ht="21" hidden="false" customHeight="false" outlineLevel="0" collapsed="false">
      <c r="A777" s="154" t="n">
        <v>43465</v>
      </c>
      <c r="B777" s="155" t="s">
        <v>1458</v>
      </c>
      <c r="C777" s="148" t="str">
        <f aca="false">VLOOKUP($A777,INSUMOS_AUX!$A$3:$H$813,3,0)</f>
        <v>MAT.</v>
      </c>
      <c r="D777" s="156" t="s">
        <v>1444</v>
      </c>
      <c r="E777" s="154" t="n">
        <v>0.2976</v>
      </c>
      <c r="F777" s="149" t="n">
        <f aca="false">IF(C777="MAT.",VLOOKUP(A777,INSUMOS_AUX!$A$3:$H$813,6,0),0)</f>
        <v>0.78</v>
      </c>
      <c r="G777" s="149" t="n">
        <f aca="false">IF(C777="M.O.",VLOOKUP(A777,INSUMOS_AUX!A:F,6,0),0)</f>
        <v>0</v>
      </c>
    </row>
    <row r="778" customFormat="false" ht="21" hidden="false" customHeight="false" outlineLevel="0" collapsed="false">
      <c r="A778" s="154" t="n">
        <v>37373</v>
      </c>
      <c r="B778" s="155" t="s">
        <v>1448</v>
      </c>
      <c r="C778" s="148" t="str">
        <f aca="false">VLOOKUP($A778,INSUMOS_AUX!$A$3:$H$813,3,0)</f>
        <v>MAT.</v>
      </c>
      <c r="D778" s="156" t="s">
        <v>1444</v>
      </c>
      <c r="E778" s="154" t="n">
        <v>0.2976</v>
      </c>
      <c r="F778" s="149" t="n">
        <f aca="false">IF(C778="MAT.",VLOOKUP(A778,INSUMOS_AUX!$A$3:$H$813,6,0),0)</f>
        <v>0.08</v>
      </c>
      <c r="G778" s="149" t="n">
        <f aca="false">IF(C778="M.O.",VLOOKUP(A778,INSUMOS_AUX!A:F,6,0),0)</f>
        <v>0</v>
      </c>
    </row>
    <row r="779" customFormat="false" ht="21" hidden="false" customHeight="false" outlineLevel="0" collapsed="false">
      <c r="A779" s="154" t="n">
        <v>37371</v>
      </c>
      <c r="B779" s="155" t="s">
        <v>1449</v>
      </c>
      <c r="C779" s="148" t="str">
        <f aca="false">VLOOKUP($A779,INSUMOS_AUX!$A$3:$H$813,3,0)</f>
        <v>MAT.</v>
      </c>
      <c r="D779" s="156" t="s">
        <v>1444</v>
      </c>
      <c r="E779" s="154" t="n">
        <v>0.2976</v>
      </c>
      <c r="F779" s="149" t="n">
        <f aca="false">IF(C779="MAT.",VLOOKUP(A779,INSUMOS_AUX!$A$3:$H$813,6,0),0)</f>
        <v>0.59</v>
      </c>
      <c r="G779" s="149" t="n">
        <f aca="false">IF(C779="M.O.",VLOOKUP(A779,INSUMOS_AUX!A:F,6,0),0)</f>
        <v>0</v>
      </c>
    </row>
    <row r="780" customFormat="false" ht="15" hidden="false" customHeight="false" outlineLevel="0" collapsed="false">
      <c r="A780" s="154" t="n">
        <v>43059</v>
      </c>
      <c r="B780" s="155" t="s">
        <v>1630</v>
      </c>
      <c r="C780" s="148" t="str">
        <f aca="false">VLOOKUP($A780,INSUMOS_AUX!$A$3:$H$813,3,0)</f>
        <v>MAT.</v>
      </c>
      <c r="D780" s="156" t="s">
        <v>1513</v>
      </c>
      <c r="E780" s="154" t="n">
        <v>1.07</v>
      </c>
      <c r="F780" s="149" t="n">
        <f aca="false">IF(C780="MAT.",VLOOKUP(A780,INSUMOS_AUX!$A$3:$H$813,6,0),0)</f>
        <v>7.26</v>
      </c>
      <c r="G780" s="149" t="n">
        <f aca="false">IF(C780="M.O.",VLOOKUP(A780,INSUMOS_AUX!A:F,6,0),0)</f>
        <v>0</v>
      </c>
    </row>
    <row r="781" customFormat="false" ht="21" hidden="false" customHeight="false" outlineLevel="0" collapsed="false">
      <c r="A781" s="154" t="n">
        <v>43132</v>
      </c>
      <c r="B781" s="155" t="s">
        <v>1565</v>
      </c>
      <c r="C781" s="148" t="str">
        <f aca="false">VLOOKUP($A781,INSUMOS_AUX!$A$3:$H$813,3,0)</f>
        <v>MAT.</v>
      </c>
      <c r="D781" s="156" t="s">
        <v>1513</v>
      </c>
      <c r="E781" s="154" t="n">
        <v>0.025</v>
      </c>
      <c r="F781" s="149" t="n">
        <f aca="false">IF(C781="MAT.",VLOOKUP(A781,INSUMOS_AUX!$A$3:$H$813,6,0),0)</f>
        <v>28</v>
      </c>
      <c r="G781" s="149" t="n">
        <f aca="false">IF(C781="M.O.",VLOOKUP(A781,INSUMOS_AUX!A:F,6,0),0)</f>
        <v>0</v>
      </c>
    </row>
    <row r="782" customFormat="false" ht="21" hidden="false" customHeight="false" outlineLevel="0" collapsed="false">
      <c r="A782" s="154" t="n">
        <v>39017</v>
      </c>
      <c r="B782" s="155" t="s">
        <v>1621</v>
      </c>
      <c r="C782" s="148" t="str">
        <f aca="false">VLOOKUP($A782,INSUMOS_AUX!$A$3:$H$813,3,0)</f>
        <v>MAT.</v>
      </c>
      <c r="D782" s="156" t="s">
        <v>31</v>
      </c>
      <c r="E782" s="154" t="n">
        <v>0.819</v>
      </c>
      <c r="F782" s="149" t="n">
        <f aca="false">IF(C782="MAT.",VLOOKUP(A782,INSUMOS_AUX!$A$3:$H$813,6,0),0)</f>
        <v>0.22</v>
      </c>
      <c r="G782" s="149" t="n">
        <f aca="false">IF(C782="M.O.",VLOOKUP(A782,INSUMOS_AUX!A:F,6,0),0)</f>
        <v>0</v>
      </c>
    </row>
    <row r="783" customFormat="false" ht="15" hidden="false" customHeight="false" outlineLevel="0" collapsed="false">
      <c r="A783" s="154" t="n">
        <v>6114</v>
      </c>
      <c r="B783" s="155" t="s">
        <v>1588</v>
      </c>
      <c r="C783" s="148" t="str">
        <f aca="false">VLOOKUP($A783,INSUMOS_AUX!$A$3:$H$813,3,0)</f>
        <v>M.O.</v>
      </c>
      <c r="D783" s="156" t="s">
        <v>1444</v>
      </c>
      <c r="E783" s="154" t="n">
        <v>0.07434819</v>
      </c>
      <c r="F783" s="149" t="n">
        <f aca="false">IF(C783="MAT.",VLOOKUP(A783,INSUMOS_AUX!$A$3:$H$813,6,0),0)</f>
        <v>0</v>
      </c>
      <c r="G783" s="149" t="n">
        <f aca="false">IF(C783="M.O.",VLOOKUP(A783,INSUMOS_AUX!A:F,6,0),0)</f>
        <v>13.26</v>
      </c>
    </row>
    <row r="784" customFormat="false" ht="15" hidden="false" customHeight="false" outlineLevel="0" collapsed="false">
      <c r="A784" s="154" t="n">
        <v>378</v>
      </c>
      <c r="B784" s="155" t="s">
        <v>1589</v>
      </c>
      <c r="C784" s="148" t="str">
        <f aca="false">VLOOKUP($A784,INSUMOS_AUX!$A$3:$H$813,3,0)</f>
        <v>M.O.</v>
      </c>
      <c r="D784" s="156" t="s">
        <v>1444</v>
      </c>
      <c r="E784" s="154" t="n">
        <v>0.226686114</v>
      </c>
      <c r="F784" s="149" t="n">
        <f aca="false">IF(C784="MAT.",VLOOKUP(A784,INSUMOS_AUX!$A$3:$H$813,6,0),0)</f>
        <v>0</v>
      </c>
      <c r="G784" s="149" t="n">
        <f aca="false">IF(C784="M.O.",VLOOKUP(A784,INSUMOS_AUX!A:F,6,0),0)</f>
        <v>20.22</v>
      </c>
    </row>
    <row r="785" customFormat="false" ht="21" hidden="false" customHeight="false" outlineLevel="0" collapsed="false">
      <c r="A785" s="150" t="n">
        <v>104917</v>
      </c>
      <c r="B785" s="151" t="s">
        <v>1654</v>
      </c>
      <c r="C785" s="152" t="s">
        <v>59</v>
      </c>
      <c r="D785" s="152" t="s">
        <v>1513</v>
      </c>
      <c r="E785" s="150"/>
      <c r="F785" s="153" t="n">
        <f aca="false">(SUMPRODUCT($E786:$E796,F786:F796))*1</f>
        <v>10.828648</v>
      </c>
      <c r="G785" s="153" t="n">
        <f aca="false">(SUMPRODUCT($E786:$E796,G786:G796))*1</f>
        <v>4.05249830964</v>
      </c>
    </row>
    <row r="786" customFormat="false" ht="21" hidden="false" customHeight="false" outlineLevel="0" collapsed="false">
      <c r="A786" s="154" t="n">
        <v>37370</v>
      </c>
      <c r="B786" s="155" t="s">
        <v>1443</v>
      </c>
      <c r="C786" s="148" t="str">
        <f aca="false">VLOOKUP($A786,INSUMOS_AUX!$A$3:$H$813,3,0)</f>
        <v>MAT.</v>
      </c>
      <c r="D786" s="156" t="s">
        <v>1444</v>
      </c>
      <c r="E786" s="154" t="n">
        <v>0.2171</v>
      </c>
      <c r="F786" s="149" t="n">
        <f aca="false">IF(C786="MAT.",VLOOKUP(A786,INSUMOS_AUX!$A$3:$H$813,6,0),0)</f>
        <v>3.32</v>
      </c>
      <c r="G786" s="149" t="n">
        <f aca="false">IF(C786="M.O.",VLOOKUP(A786,INSUMOS_AUX!A:F,6,0),0)</f>
        <v>0</v>
      </c>
    </row>
    <row r="787" customFormat="false" ht="21" hidden="false" customHeight="false" outlineLevel="0" collapsed="false">
      <c r="A787" s="154" t="n">
        <v>43489</v>
      </c>
      <c r="B787" s="155" t="s">
        <v>1456</v>
      </c>
      <c r="C787" s="148" t="str">
        <f aca="false">VLOOKUP($A787,INSUMOS_AUX!$A$3:$H$813,3,0)</f>
        <v>MAT.</v>
      </c>
      <c r="D787" s="156" t="s">
        <v>1444</v>
      </c>
      <c r="E787" s="154" t="n">
        <v>0.2171</v>
      </c>
      <c r="F787" s="149" t="n">
        <f aca="false">IF(C787="MAT.",VLOOKUP(A787,INSUMOS_AUX!$A$3:$H$813,6,0),0)</f>
        <v>1.31</v>
      </c>
      <c r="G787" s="149" t="n">
        <f aca="false">IF(C787="M.O.",VLOOKUP(A787,INSUMOS_AUX!A:F,6,0),0)</f>
        <v>0</v>
      </c>
    </row>
    <row r="788" customFormat="false" ht="21" hidden="false" customHeight="false" outlineLevel="0" collapsed="false">
      <c r="A788" s="154" t="n">
        <v>37372</v>
      </c>
      <c r="B788" s="155" t="s">
        <v>1446</v>
      </c>
      <c r="C788" s="148" t="s">
        <v>59</v>
      </c>
      <c r="D788" s="156" t="s">
        <v>1444</v>
      </c>
      <c r="E788" s="154" t="n">
        <v>0.2171</v>
      </c>
      <c r="F788" s="149" t="n">
        <f aca="false">IF(C788="MAT.",VLOOKUP(A788,INSUMOS_AUX!$A$3:$H$813,6,0),0)</f>
        <v>0</v>
      </c>
      <c r="G788" s="149" t="n">
        <f aca="false">IF(C788="M.O.",VLOOKUP(A788,INSUMOS_AUX!A:F,6,0),0)</f>
        <v>0</v>
      </c>
    </row>
    <row r="789" customFormat="false" ht="21" hidden="false" customHeight="false" outlineLevel="0" collapsed="false">
      <c r="A789" s="154" t="n">
        <v>43465</v>
      </c>
      <c r="B789" s="155" t="s">
        <v>1458</v>
      </c>
      <c r="C789" s="148" t="str">
        <f aca="false">VLOOKUP($A789,INSUMOS_AUX!$A$3:$H$813,3,0)</f>
        <v>MAT.</v>
      </c>
      <c r="D789" s="156" t="s">
        <v>1444</v>
      </c>
      <c r="E789" s="154" t="n">
        <v>0.2171</v>
      </c>
      <c r="F789" s="149" t="n">
        <f aca="false">IF(C789="MAT.",VLOOKUP(A789,INSUMOS_AUX!$A$3:$H$813,6,0),0)</f>
        <v>0.78</v>
      </c>
      <c r="G789" s="149" t="n">
        <f aca="false">IF(C789="M.O.",VLOOKUP(A789,INSUMOS_AUX!A:F,6,0),0)</f>
        <v>0</v>
      </c>
    </row>
    <row r="790" customFormat="false" ht="21" hidden="false" customHeight="false" outlineLevel="0" collapsed="false">
      <c r="A790" s="154" t="n">
        <v>37373</v>
      </c>
      <c r="B790" s="155" t="s">
        <v>1448</v>
      </c>
      <c r="C790" s="148" t="str">
        <f aca="false">VLOOKUP($A790,INSUMOS_AUX!$A$3:$H$813,3,0)</f>
        <v>MAT.</v>
      </c>
      <c r="D790" s="156" t="s">
        <v>1444</v>
      </c>
      <c r="E790" s="154" t="n">
        <v>0.2171</v>
      </c>
      <c r="F790" s="149" t="n">
        <f aca="false">IF(C790="MAT.",VLOOKUP(A790,INSUMOS_AUX!$A$3:$H$813,6,0),0)</f>
        <v>0.08</v>
      </c>
      <c r="G790" s="149" t="n">
        <f aca="false">IF(C790="M.O.",VLOOKUP(A790,INSUMOS_AUX!A:F,6,0),0)</f>
        <v>0</v>
      </c>
    </row>
    <row r="791" customFormat="false" ht="21" hidden="false" customHeight="false" outlineLevel="0" collapsed="false">
      <c r="A791" s="154" t="n">
        <v>37371</v>
      </c>
      <c r="B791" s="155" t="s">
        <v>1449</v>
      </c>
      <c r="C791" s="148" t="str">
        <f aca="false">VLOOKUP($A791,INSUMOS_AUX!$A$3:$H$813,3,0)</f>
        <v>MAT.</v>
      </c>
      <c r="D791" s="156" t="s">
        <v>1444</v>
      </c>
      <c r="E791" s="154" t="n">
        <v>0.2171</v>
      </c>
      <c r="F791" s="149" t="n">
        <f aca="false">IF(C791="MAT.",VLOOKUP(A791,INSUMOS_AUX!$A$3:$H$813,6,0),0)</f>
        <v>0.59</v>
      </c>
      <c r="G791" s="149" t="n">
        <f aca="false">IF(C791="M.O.",VLOOKUP(A791,INSUMOS_AUX!A:F,6,0),0)</f>
        <v>0</v>
      </c>
    </row>
    <row r="792" customFormat="false" ht="15" hidden="false" customHeight="false" outlineLevel="0" collapsed="false">
      <c r="A792" s="154" t="n">
        <v>32</v>
      </c>
      <c r="B792" s="155" t="s">
        <v>1619</v>
      </c>
      <c r="C792" s="148" t="str">
        <f aca="false">VLOOKUP($A792,INSUMOS_AUX!$A$3:$H$813,3,0)</f>
        <v>MAT.</v>
      </c>
      <c r="D792" s="156" t="s">
        <v>1513</v>
      </c>
      <c r="E792" s="154" t="n">
        <v>1.07</v>
      </c>
      <c r="F792" s="149" t="n">
        <f aca="false">IF(C792="MAT.",VLOOKUP(A792,INSUMOS_AUX!$A$3:$H$813,6,0),0)</f>
        <v>8.1</v>
      </c>
      <c r="G792" s="149" t="n">
        <f aca="false">IF(C792="M.O.",VLOOKUP(A792,INSUMOS_AUX!A:F,6,0),0)</f>
        <v>0</v>
      </c>
    </row>
    <row r="793" customFormat="false" ht="21" hidden="false" customHeight="false" outlineLevel="0" collapsed="false">
      <c r="A793" s="154" t="n">
        <v>43132</v>
      </c>
      <c r="B793" s="155" t="s">
        <v>1565</v>
      </c>
      <c r="C793" s="148" t="str">
        <f aca="false">VLOOKUP($A793,INSUMOS_AUX!$A$3:$H$813,3,0)</f>
        <v>MAT.</v>
      </c>
      <c r="D793" s="156" t="s">
        <v>1513</v>
      </c>
      <c r="E793" s="154" t="n">
        <v>0.025</v>
      </c>
      <c r="F793" s="149" t="n">
        <f aca="false">IF(C793="MAT.",VLOOKUP(A793,INSUMOS_AUX!$A$3:$H$813,6,0),0)</f>
        <v>28</v>
      </c>
      <c r="G793" s="149" t="n">
        <f aca="false">IF(C793="M.O.",VLOOKUP(A793,INSUMOS_AUX!A:F,6,0),0)</f>
        <v>0</v>
      </c>
    </row>
    <row r="794" customFormat="false" ht="21" hidden="false" customHeight="false" outlineLevel="0" collapsed="false">
      <c r="A794" s="154" t="n">
        <v>39017</v>
      </c>
      <c r="B794" s="155" t="s">
        <v>1621</v>
      </c>
      <c r="C794" s="148" t="str">
        <f aca="false">VLOOKUP($A794,INSUMOS_AUX!$A$3:$H$813,3,0)</f>
        <v>MAT.</v>
      </c>
      <c r="D794" s="156" t="s">
        <v>31</v>
      </c>
      <c r="E794" s="154" t="n">
        <v>0.644</v>
      </c>
      <c r="F794" s="149" t="n">
        <f aca="false">IF(C794="MAT.",VLOOKUP(A794,INSUMOS_AUX!$A$3:$H$813,6,0),0)</f>
        <v>0.22</v>
      </c>
      <c r="G794" s="149" t="n">
        <f aca="false">IF(C794="M.O.",VLOOKUP(A794,INSUMOS_AUX!A:F,6,0),0)</f>
        <v>0</v>
      </c>
    </row>
    <row r="795" customFormat="false" ht="15" hidden="false" customHeight="false" outlineLevel="0" collapsed="false">
      <c r="A795" s="154" t="n">
        <v>6114</v>
      </c>
      <c r="B795" s="155" t="s">
        <v>1588</v>
      </c>
      <c r="C795" s="148" t="str">
        <f aca="false">VLOOKUP($A795,INSUMOS_AUX!$A$3:$H$813,3,0)</f>
        <v>M.O.</v>
      </c>
      <c r="D795" s="156" t="s">
        <v>1444</v>
      </c>
      <c r="E795" s="154" t="n">
        <v>0.055735854</v>
      </c>
      <c r="F795" s="149" t="n">
        <f aca="false">IF(C795="MAT.",VLOOKUP(A795,INSUMOS_AUX!$A$3:$H$813,6,0),0)</f>
        <v>0</v>
      </c>
      <c r="G795" s="149" t="n">
        <f aca="false">IF(C795="M.O.",VLOOKUP(A795,INSUMOS_AUX!A:F,6,0),0)</f>
        <v>13.26</v>
      </c>
    </row>
    <row r="796" customFormat="false" ht="15" hidden="false" customHeight="false" outlineLevel="0" collapsed="false">
      <c r="A796" s="154" t="n">
        <v>378</v>
      </c>
      <c r="B796" s="155" t="s">
        <v>1589</v>
      </c>
      <c r="C796" s="148" t="str">
        <f aca="false">VLOOKUP($A796,INSUMOS_AUX!$A$3:$H$813,3,0)</f>
        <v>M.O.</v>
      </c>
      <c r="D796" s="156" t="s">
        <v>1444</v>
      </c>
      <c r="E796" s="154" t="n">
        <v>0.16386948</v>
      </c>
      <c r="F796" s="149" t="n">
        <f aca="false">IF(C796="MAT.",VLOOKUP(A796,INSUMOS_AUX!$A$3:$H$813,6,0),0)</f>
        <v>0</v>
      </c>
      <c r="G796" s="149" t="n">
        <f aca="false">IF(C796="M.O.",VLOOKUP(A796,INSUMOS_AUX!A:F,6,0),0)</f>
        <v>20.22</v>
      </c>
    </row>
    <row r="797" customFormat="false" ht="21" hidden="false" customHeight="false" outlineLevel="0" collapsed="false">
      <c r="A797" s="150" t="n">
        <v>104918</v>
      </c>
      <c r="B797" s="151" t="s">
        <v>1655</v>
      </c>
      <c r="C797" s="152" t="s">
        <v>59</v>
      </c>
      <c r="D797" s="152" t="s">
        <v>1513</v>
      </c>
      <c r="E797" s="150"/>
      <c r="F797" s="153" t="n">
        <f aca="false">(SUMPRODUCT($E798:$E808,F798:F808))*1</f>
        <v>10.817644</v>
      </c>
      <c r="G797" s="153" t="n">
        <f aca="false">(SUMPRODUCT($E798:$E808,G798:G808))*1</f>
        <v>2.9755662948</v>
      </c>
    </row>
    <row r="798" customFormat="false" ht="21" hidden="false" customHeight="false" outlineLevel="0" collapsed="false">
      <c r="A798" s="154" t="n">
        <v>37370</v>
      </c>
      <c r="B798" s="155" t="s">
        <v>1443</v>
      </c>
      <c r="C798" s="148" t="str">
        <f aca="false">VLOOKUP($A798,INSUMOS_AUX!$A$3:$H$813,3,0)</f>
        <v>MAT.</v>
      </c>
      <c r="D798" s="156" t="s">
        <v>1444</v>
      </c>
      <c r="E798" s="154" t="n">
        <v>0.1598</v>
      </c>
      <c r="F798" s="149" t="n">
        <f aca="false">IF(C798="MAT.",VLOOKUP(A798,INSUMOS_AUX!$A$3:$H$813,6,0),0)</f>
        <v>3.32</v>
      </c>
      <c r="G798" s="149" t="n">
        <f aca="false">IF(C798="M.O.",VLOOKUP(A798,INSUMOS_AUX!A:F,6,0),0)</f>
        <v>0</v>
      </c>
    </row>
    <row r="799" customFormat="false" ht="21" hidden="false" customHeight="false" outlineLevel="0" collapsed="false">
      <c r="A799" s="154" t="n">
        <v>43489</v>
      </c>
      <c r="B799" s="155" t="s">
        <v>1456</v>
      </c>
      <c r="C799" s="148" t="str">
        <f aca="false">VLOOKUP($A799,INSUMOS_AUX!$A$3:$H$813,3,0)</f>
        <v>MAT.</v>
      </c>
      <c r="D799" s="156" t="s">
        <v>1444</v>
      </c>
      <c r="E799" s="154" t="n">
        <v>0.1598</v>
      </c>
      <c r="F799" s="149" t="n">
        <f aca="false">IF(C799="MAT.",VLOOKUP(A799,INSUMOS_AUX!$A$3:$H$813,6,0),0)</f>
        <v>1.31</v>
      </c>
      <c r="G799" s="149" t="n">
        <f aca="false">IF(C799="M.O.",VLOOKUP(A799,INSUMOS_AUX!A:F,6,0),0)</f>
        <v>0</v>
      </c>
    </row>
    <row r="800" customFormat="false" ht="21" hidden="false" customHeight="false" outlineLevel="0" collapsed="false">
      <c r="A800" s="154" t="n">
        <v>37372</v>
      </c>
      <c r="B800" s="155" t="s">
        <v>1446</v>
      </c>
      <c r="C800" s="148" t="s">
        <v>59</v>
      </c>
      <c r="D800" s="156" t="s">
        <v>1444</v>
      </c>
      <c r="E800" s="154" t="n">
        <v>0.1598</v>
      </c>
      <c r="F800" s="149" t="n">
        <f aca="false">IF(C800="MAT.",VLOOKUP(A800,INSUMOS_AUX!$A$3:$H$813,6,0),0)</f>
        <v>0</v>
      </c>
      <c r="G800" s="149" t="n">
        <f aca="false">IF(C800="M.O.",VLOOKUP(A800,INSUMOS_AUX!A:F,6,0),0)</f>
        <v>0</v>
      </c>
    </row>
    <row r="801" customFormat="false" ht="21" hidden="false" customHeight="false" outlineLevel="0" collapsed="false">
      <c r="A801" s="154" t="n">
        <v>43465</v>
      </c>
      <c r="B801" s="155" t="s">
        <v>1458</v>
      </c>
      <c r="C801" s="148" t="str">
        <f aca="false">VLOOKUP($A801,INSUMOS_AUX!$A$3:$H$813,3,0)</f>
        <v>MAT.</v>
      </c>
      <c r="D801" s="156" t="s">
        <v>1444</v>
      </c>
      <c r="E801" s="154" t="n">
        <v>0.1598</v>
      </c>
      <c r="F801" s="149" t="n">
        <f aca="false">IF(C801="MAT.",VLOOKUP(A801,INSUMOS_AUX!$A$3:$H$813,6,0),0)</f>
        <v>0.78</v>
      </c>
      <c r="G801" s="149" t="n">
        <f aca="false">IF(C801="M.O.",VLOOKUP(A801,INSUMOS_AUX!A:F,6,0),0)</f>
        <v>0</v>
      </c>
    </row>
    <row r="802" customFormat="false" ht="21" hidden="false" customHeight="false" outlineLevel="0" collapsed="false">
      <c r="A802" s="154" t="n">
        <v>37373</v>
      </c>
      <c r="B802" s="155" t="s">
        <v>1448</v>
      </c>
      <c r="C802" s="148" t="str">
        <f aca="false">VLOOKUP($A802,INSUMOS_AUX!$A$3:$H$813,3,0)</f>
        <v>MAT.</v>
      </c>
      <c r="D802" s="156" t="s">
        <v>1444</v>
      </c>
      <c r="E802" s="154" t="n">
        <v>0.1598</v>
      </c>
      <c r="F802" s="149" t="n">
        <f aca="false">IF(C802="MAT.",VLOOKUP(A802,INSUMOS_AUX!$A$3:$H$813,6,0),0)</f>
        <v>0.08</v>
      </c>
      <c r="G802" s="149" t="n">
        <f aca="false">IF(C802="M.O.",VLOOKUP(A802,INSUMOS_AUX!A:F,6,0),0)</f>
        <v>0</v>
      </c>
    </row>
    <row r="803" customFormat="false" ht="21" hidden="false" customHeight="false" outlineLevel="0" collapsed="false">
      <c r="A803" s="154" t="n">
        <v>37371</v>
      </c>
      <c r="B803" s="155" t="s">
        <v>1449</v>
      </c>
      <c r="C803" s="148" t="str">
        <f aca="false">VLOOKUP($A803,INSUMOS_AUX!$A$3:$H$813,3,0)</f>
        <v>MAT.</v>
      </c>
      <c r="D803" s="156" t="s">
        <v>1444</v>
      </c>
      <c r="E803" s="154" t="n">
        <v>0.1598</v>
      </c>
      <c r="F803" s="149" t="n">
        <f aca="false">IF(C803="MAT.",VLOOKUP(A803,INSUMOS_AUX!$A$3:$H$813,6,0),0)</f>
        <v>0.59</v>
      </c>
      <c r="G803" s="149" t="n">
        <f aca="false">IF(C803="M.O.",VLOOKUP(A803,INSUMOS_AUX!A:F,6,0),0)</f>
        <v>0</v>
      </c>
    </row>
    <row r="804" customFormat="false" ht="15" hidden="false" customHeight="false" outlineLevel="0" collapsed="false">
      <c r="A804" s="154" t="n">
        <v>33</v>
      </c>
      <c r="B804" s="155" t="s">
        <v>1633</v>
      </c>
      <c r="C804" s="148" t="str">
        <f aca="false">VLOOKUP($A804,INSUMOS_AUX!$A$3:$H$813,3,0)</f>
        <v>MAT.</v>
      </c>
      <c r="D804" s="156" t="s">
        <v>1513</v>
      </c>
      <c r="E804" s="154" t="n">
        <v>1.11</v>
      </c>
      <c r="F804" s="149" t="n">
        <f aca="false">IF(C804="MAT.",VLOOKUP(A804,INSUMOS_AUX!$A$3:$H$813,6,0),0)</f>
        <v>8.14</v>
      </c>
      <c r="G804" s="149" t="n">
        <f aca="false">IF(C804="M.O.",VLOOKUP(A804,INSUMOS_AUX!A:F,6,0),0)</f>
        <v>0</v>
      </c>
    </row>
    <row r="805" customFormat="false" ht="21" hidden="false" customHeight="false" outlineLevel="0" collapsed="false">
      <c r="A805" s="154" t="n">
        <v>43132</v>
      </c>
      <c r="B805" s="155" t="s">
        <v>1565</v>
      </c>
      <c r="C805" s="148" t="str">
        <f aca="false">VLOOKUP($A805,INSUMOS_AUX!$A$3:$H$813,3,0)</f>
        <v>MAT.</v>
      </c>
      <c r="D805" s="156" t="s">
        <v>1513</v>
      </c>
      <c r="E805" s="154" t="n">
        <v>0.025</v>
      </c>
      <c r="F805" s="149" t="n">
        <f aca="false">IF(C805="MAT.",VLOOKUP(A805,INSUMOS_AUX!$A$3:$H$813,6,0),0)</f>
        <v>28</v>
      </c>
      <c r="G805" s="149" t="n">
        <f aca="false">IF(C805="M.O.",VLOOKUP(A805,INSUMOS_AUX!A:F,6,0),0)</f>
        <v>0</v>
      </c>
    </row>
    <row r="806" customFormat="false" ht="21" hidden="false" customHeight="false" outlineLevel="0" collapsed="false">
      <c r="A806" s="154" t="n">
        <v>39017</v>
      </c>
      <c r="B806" s="155" t="s">
        <v>1621</v>
      </c>
      <c r="C806" s="148" t="str">
        <f aca="false">VLOOKUP($A806,INSUMOS_AUX!$A$3:$H$813,3,0)</f>
        <v>MAT.</v>
      </c>
      <c r="D806" s="156" t="s">
        <v>31</v>
      </c>
      <c r="E806" s="154" t="n">
        <v>0.503</v>
      </c>
      <c r="F806" s="149" t="n">
        <f aca="false">IF(C806="MAT.",VLOOKUP(A806,INSUMOS_AUX!$A$3:$H$813,6,0),0)</f>
        <v>0.22</v>
      </c>
      <c r="G806" s="149" t="n">
        <f aca="false">IF(C806="M.O.",VLOOKUP(A806,INSUMOS_AUX!A:F,6,0),0)</f>
        <v>0</v>
      </c>
    </row>
    <row r="807" customFormat="false" ht="15" hidden="false" customHeight="false" outlineLevel="0" collapsed="false">
      <c r="A807" s="154" t="n">
        <v>6114</v>
      </c>
      <c r="B807" s="155" t="s">
        <v>1588</v>
      </c>
      <c r="C807" s="148" t="str">
        <f aca="false">VLOOKUP($A807,INSUMOS_AUX!$A$3:$H$813,3,0)</f>
        <v>M.O.</v>
      </c>
      <c r="D807" s="156" t="s">
        <v>1444</v>
      </c>
      <c r="E807" s="154" t="n">
        <v>0.042080064</v>
      </c>
      <c r="F807" s="149" t="n">
        <f aca="false">IF(C807="MAT.",VLOOKUP(A807,INSUMOS_AUX!$A$3:$H$813,6,0),0)</f>
        <v>0</v>
      </c>
      <c r="G807" s="149" t="n">
        <f aca="false">IF(C807="M.O.",VLOOKUP(A807,INSUMOS_AUX!A:F,6,0),0)</f>
        <v>13.26</v>
      </c>
    </row>
    <row r="808" customFormat="false" ht="15" hidden="false" customHeight="false" outlineLevel="0" collapsed="false">
      <c r="A808" s="154" t="n">
        <v>378</v>
      </c>
      <c r="B808" s="155" t="s">
        <v>1589</v>
      </c>
      <c r="C808" s="148" t="str">
        <f aca="false">VLOOKUP($A808,INSUMOS_AUX!$A$3:$H$813,3,0)</f>
        <v>M.O.</v>
      </c>
      <c r="D808" s="156" t="s">
        <v>1444</v>
      </c>
      <c r="E808" s="154" t="n">
        <v>0.119564028</v>
      </c>
      <c r="F808" s="149" t="n">
        <f aca="false">IF(C808="MAT.",VLOOKUP(A808,INSUMOS_AUX!$A$3:$H$813,6,0),0)</f>
        <v>0</v>
      </c>
      <c r="G808" s="149" t="n">
        <f aca="false">IF(C808="M.O.",VLOOKUP(A808,INSUMOS_AUX!A:F,6,0),0)</f>
        <v>20.22</v>
      </c>
    </row>
    <row r="809" customFormat="false" ht="21" hidden="false" customHeight="false" outlineLevel="0" collapsed="false">
      <c r="A809" s="150" t="n">
        <v>104919</v>
      </c>
      <c r="B809" s="151" t="s">
        <v>1656</v>
      </c>
      <c r="C809" s="152" t="s">
        <v>59</v>
      </c>
      <c r="D809" s="152" t="s">
        <v>1513</v>
      </c>
      <c r="E809" s="150"/>
      <c r="F809" s="153" t="n">
        <f aca="false">(SUMPRODUCT($E810:$E820,F810:F820))*1</f>
        <v>10.230302</v>
      </c>
      <c r="G809" s="153" t="n">
        <f aca="false">(SUMPRODUCT($E810:$E820,G810:G820))*1</f>
        <v>2.2712916852</v>
      </c>
    </row>
    <row r="810" customFormat="false" ht="21" hidden="false" customHeight="false" outlineLevel="0" collapsed="false">
      <c r="A810" s="154" t="n">
        <v>37370</v>
      </c>
      <c r="B810" s="155" t="s">
        <v>1443</v>
      </c>
      <c r="C810" s="148" t="str">
        <f aca="false">VLOOKUP($A810,INSUMOS_AUX!$A$3:$H$813,3,0)</f>
        <v>MAT.</v>
      </c>
      <c r="D810" s="156" t="s">
        <v>1444</v>
      </c>
      <c r="E810" s="154" t="n">
        <v>0.1222</v>
      </c>
      <c r="F810" s="149" t="n">
        <f aca="false">IF(C810="MAT.",VLOOKUP(A810,INSUMOS_AUX!$A$3:$H$813,6,0),0)</f>
        <v>3.32</v>
      </c>
      <c r="G810" s="149" t="n">
        <f aca="false">IF(C810="M.O.",VLOOKUP(A810,INSUMOS_AUX!A:F,6,0),0)</f>
        <v>0</v>
      </c>
    </row>
    <row r="811" customFormat="false" ht="21" hidden="false" customHeight="false" outlineLevel="0" collapsed="false">
      <c r="A811" s="154" t="n">
        <v>43489</v>
      </c>
      <c r="B811" s="155" t="s">
        <v>1456</v>
      </c>
      <c r="C811" s="148" t="str">
        <f aca="false">VLOOKUP($A811,INSUMOS_AUX!$A$3:$H$813,3,0)</f>
        <v>MAT.</v>
      </c>
      <c r="D811" s="156" t="s">
        <v>1444</v>
      </c>
      <c r="E811" s="154" t="n">
        <v>0.1222</v>
      </c>
      <c r="F811" s="149" t="n">
        <f aca="false">IF(C811="MAT.",VLOOKUP(A811,INSUMOS_AUX!$A$3:$H$813,6,0),0)</f>
        <v>1.31</v>
      </c>
      <c r="G811" s="149" t="n">
        <f aca="false">IF(C811="M.O.",VLOOKUP(A811,INSUMOS_AUX!A:F,6,0),0)</f>
        <v>0</v>
      </c>
    </row>
    <row r="812" customFormat="false" ht="21" hidden="false" customHeight="false" outlineLevel="0" collapsed="false">
      <c r="A812" s="154" t="n">
        <v>37372</v>
      </c>
      <c r="B812" s="155" t="s">
        <v>1446</v>
      </c>
      <c r="C812" s="148" t="str">
        <f aca="false">VLOOKUP($A812,INSUMOS_AUX!$A$3:$H$813,3,0)</f>
        <v>MAT.</v>
      </c>
      <c r="D812" s="156" t="s">
        <v>1444</v>
      </c>
      <c r="E812" s="154" t="n">
        <v>0.1222</v>
      </c>
      <c r="F812" s="149" t="n">
        <f aca="false">IF(C812="MAT.",VLOOKUP(A812,INSUMOS_AUX!$A$3:$H$813,6,0),0)</f>
        <v>1.43</v>
      </c>
      <c r="G812" s="149" t="n">
        <f aca="false">IF(C812="M.O.",VLOOKUP(A812,INSUMOS_AUX!A:F,6,0),0)</f>
        <v>0</v>
      </c>
    </row>
    <row r="813" customFormat="false" ht="21" hidden="false" customHeight="false" outlineLevel="0" collapsed="false">
      <c r="A813" s="154" t="n">
        <v>43465</v>
      </c>
      <c r="B813" s="155" t="s">
        <v>1458</v>
      </c>
      <c r="C813" s="148" t="str">
        <f aca="false">VLOOKUP($A813,INSUMOS_AUX!$A$3:$H$813,3,0)</f>
        <v>MAT.</v>
      </c>
      <c r="D813" s="156" t="s">
        <v>1444</v>
      </c>
      <c r="E813" s="154" t="n">
        <v>0.1222</v>
      </c>
      <c r="F813" s="149" t="n">
        <f aca="false">IF(C813="MAT.",VLOOKUP(A813,INSUMOS_AUX!$A$3:$H$813,6,0),0)</f>
        <v>0.78</v>
      </c>
      <c r="G813" s="149" t="n">
        <f aca="false">IF(C813="M.O.",VLOOKUP(A813,INSUMOS_AUX!A:F,6,0),0)</f>
        <v>0</v>
      </c>
    </row>
    <row r="814" customFormat="false" ht="21" hidden="false" customHeight="false" outlineLevel="0" collapsed="false">
      <c r="A814" s="154" t="n">
        <v>37373</v>
      </c>
      <c r="B814" s="155" t="s">
        <v>1448</v>
      </c>
      <c r="C814" s="148" t="str">
        <f aca="false">VLOOKUP($A814,INSUMOS_AUX!$A$3:$H$813,3,0)</f>
        <v>MAT.</v>
      </c>
      <c r="D814" s="156" t="s">
        <v>1444</v>
      </c>
      <c r="E814" s="154" t="n">
        <v>0.1222</v>
      </c>
      <c r="F814" s="149" t="n">
        <f aca="false">IF(C814="MAT.",VLOOKUP(A814,INSUMOS_AUX!$A$3:$H$813,6,0),0)</f>
        <v>0.08</v>
      </c>
      <c r="G814" s="149" t="n">
        <f aca="false">IF(C814="M.O.",VLOOKUP(A814,INSUMOS_AUX!A:F,6,0),0)</f>
        <v>0</v>
      </c>
    </row>
    <row r="815" customFormat="false" ht="21" hidden="false" customHeight="false" outlineLevel="0" collapsed="false">
      <c r="A815" s="154" t="n">
        <v>37371</v>
      </c>
      <c r="B815" s="155" t="s">
        <v>1449</v>
      </c>
      <c r="C815" s="148" t="str">
        <f aca="false">VLOOKUP($A815,INSUMOS_AUX!$A$3:$H$813,3,0)</f>
        <v>MAT.</v>
      </c>
      <c r="D815" s="156" t="s">
        <v>1444</v>
      </c>
      <c r="E815" s="154" t="n">
        <v>0.1222</v>
      </c>
      <c r="F815" s="149" t="n">
        <f aca="false">IF(C815="MAT.",VLOOKUP(A815,INSUMOS_AUX!$A$3:$H$813,6,0),0)</f>
        <v>0.59</v>
      </c>
      <c r="G815" s="149" t="n">
        <f aca="false">IF(C815="M.O.",VLOOKUP(A815,INSUMOS_AUX!A:F,6,0),0)</f>
        <v>0</v>
      </c>
    </row>
    <row r="816" customFormat="false" ht="15" hidden="false" customHeight="false" outlineLevel="0" collapsed="false">
      <c r="A816" s="154" t="n">
        <v>34</v>
      </c>
      <c r="B816" s="155" t="s">
        <v>1645</v>
      </c>
      <c r="C816" s="148" t="str">
        <f aca="false">VLOOKUP($A816,INSUMOS_AUX!$A$3:$H$813,3,0)</f>
        <v>MAT.</v>
      </c>
      <c r="D816" s="156" t="s">
        <v>1513</v>
      </c>
      <c r="E816" s="154" t="n">
        <v>1.11</v>
      </c>
      <c r="F816" s="149" t="n">
        <f aca="false">IF(C816="MAT.",VLOOKUP(A816,INSUMOS_AUX!$A$3:$H$813,6,0),0)</f>
        <v>7.68</v>
      </c>
      <c r="G816" s="149" t="n">
        <f aca="false">IF(C816="M.O.",VLOOKUP(A816,INSUMOS_AUX!A:F,6,0),0)</f>
        <v>0</v>
      </c>
    </row>
    <row r="817" customFormat="false" ht="21" hidden="false" customHeight="false" outlineLevel="0" collapsed="false">
      <c r="A817" s="154" t="n">
        <v>43132</v>
      </c>
      <c r="B817" s="155" t="s">
        <v>1565</v>
      </c>
      <c r="C817" s="148" t="str">
        <f aca="false">VLOOKUP($A817,INSUMOS_AUX!$A$3:$H$813,3,0)</f>
        <v>MAT.</v>
      </c>
      <c r="D817" s="156" t="s">
        <v>1513</v>
      </c>
      <c r="E817" s="154" t="n">
        <v>0.025</v>
      </c>
      <c r="F817" s="149" t="n">
        <f aca="false">IF(C817="MAT.",VLOOKUP(A817,INSUMOS_AUX!$A$3:$H$813,6,0),0)</f>
        <v>28</v>
      </c>
      <c r="G817" s="149" t="n">
        <f aca="false">IF(C817="M.O.",VLOOKUP(A817,INSUMOS_AUX!A:F,6,0),0)</f>
        <v>0</v>
      </c>
    </row>
    <row r="818" customFormat="false" ht="21" hidden="false" customHeight="false" outlineLevel="0" collapsed="false">
      <c r="A818" s="154" t="n">
        <v>39017</v>
      </c>
      <c r="B818" s="155" t="s">
        <v>1621</v>
      </c>
      <c r="C818" s="148" t="str">
        <f aca="false">VLOOKUP($A818,INSUMOS_AUX!$A$3:$H$813,3,0)</f>
        <v>MAT.</v>
      </c>
      <c r="D818" s="156" t="s">
        <v>31</v>
      </c>
      <c r="E818" s="154" t="n">
        <v>0.399</v>
      </c>
      <c r="F818" s="149" t="n">
        <f aca="false">IF(C818="MAT.",VLOOKUP(A818,INSUMOS_AUX!$A$3:$H$813,6,0),0)</f>
        <v>0.22</v>
      </c>
      <c r="G818" s="149" t="n">
        <f aca="false">IF(C818="M.O.",VLOOKUP(A818,INSUMOS_AUX!A:F,6,0),0)</f>
        <v>0</v>
      </c>
    </row>
    <row r="819" customFormat="false" ht="15" hidden="false" customHeight="false" outlineLevel="0" collapsed="false">
      <c r="A819" s="154" t="n">
        <v>6114</v>
      </c>
      <c r="B819" s="155" t="s">
        <v>1588</v>
      </c>
      <c r="C819" s="148" t="str">
        <f aca="false">VLOOKUP($A819,INSUMOS_AUX!$A$3:$H$813,3,0)</f>
        <v>M.O.</v>
      </c>
      <c r="D819" s="156" t="s">
        <v>1444</v>
      </c>
      <c r="E819" s="154" t="n">
        <v>0.032773896</v>
      </c>
      <c r="F819" s="149" t="n">
        <f aca="false">IF(C819="MAT.",VLOOKUP(A819,INSUMOS_AUX!$A$3:$H$813,6,0),0)</f>
        <v>0</v>
      </c>
      <c r="G819" s="149" t="n">
        <f aca="false">IF(C819="M.O.",VLOOKUP(A819,INSUMOS_AUX!A:F,6,0),0)</f>
        <v>13.26</v>
      </c>
    </row>
    <row r="820" customFormat="false" ht="15" hidden="false" customHeight="false" outlineLevel="0" collapsed="false">
      <c r="A820" s="154" t="n">
        <v>378</v>
      </c>
      <c r="B820" s="155" t="s">
        <v>1589</v>
      </c>
      <c r="C820" s="148" t="str">
        <f aca="false">VLOOKUP($A820,INSUMOS_AUX!$A$3:$H$813,3,0)</f>
        <v>M.O.</v>
      </c>
      <c r="D820" s="156" t="s">
        <v>1444</v>
      </c>
      <c r="E820" s="154" t="n">
        <v>0.090836292</v>
      </c>
      <c r="F820" s="149" t="n">
        <f aca="false">IF(C820="MAT.",VLOOKUP(A820,INSUMOS_AUX!$A$3:$H$813,6,0),0)</f>
        <v>0</v>
      </c>
      <c r="G820" s="149" t="n">
        <f aca="false">IF(C820="M.O.",VLOOKUP(A820,INSUMOS_AUX!A:F,6,0),0)</f>
        <v>20.22</v>
      </c>
    </row>
    <row r="821" customFormat="false" ht="31.5" hidden="false" customHeight="false" outlineLevel="0" collapsed="false">
      <c r="A821" s="150" t="n">
        <v>104920</v>
      </c>
      <c r="B821" s="151" t="s">
        <v>1657</v>
      </c>
      <c r="C821" s="152" t="s">
        <v>59</v>
      </c>
      <c r="D821" s="152" t="s">
        <v>1513</v>
      </c>
      <c r="E821" s="150"/>
      <c r="F821" s="153" t="n">
        <f aca="false">(SUMPRODUCT($E822:$E832,F822:F832))*1</f>
        <v>8.73776</v>
      </c>
      <c r="G821" s="153" t="n">
        <f aca="false">(SUMPRODUCT($E822:$E832,G822:G832))*1</f>
        <v>1.75324563576</v>
      </c>
    </row>
    <row r="822" customFormat="false" ht="21" hidden="false" customHeight="false" outlineLevel="0" collapsed="false">
      <c r="A822" s="154" t="n">
        <v>37370</v>
      </c>
      <c r="B822" s="155" t="s">
        <v>1443</v>
      </c>
      <c r="C822" s="148" t="str">
        <f aca="false">VLOOKUP($A822,INSUMOS_AUX!$A$3:$H$813,3,0)</f>
        <v>MAT.</v>
      </c>
      <c r="D822" s="156" t="s">
        <v>1444</v>
      </c>
      <c r="E822" s="154" t="n">
        <v>0.0946</v>
      </c>
      <c r="F822" s="149" t="n">
        <f aca="false">IF(C822="MAT.",VLOOKUP(A822,INSUMOS_AUX!$A$3:$H$813,6,0),0)</f>
        <v>3.32</v>
      </c>
      <c r="G822" s="149" t="n">
        <f aca="false">IF(C822="M.O.",VLOOKUP(A822,INSUMOS_AUX!A:F,6,0),0)</f>
        <v>0</v>
      </c>
    </row>
    <row r="823" customFormat="false" ht="21" hidden="false" customHeight="false" outlineLevel="0" collapsed="false">
      <c r="A823" s="154" t="n">
        <v>43489</v>
      </c>
      <c r="B823" s="155" t="s">
        <v>1456</v>
      </c>
      <c r="C823" s="148" t="s">
        <v>59</v>
      </c>
      <c r="D823" s="156" t="s">
        <v>1444</v>
      </c>
      <c r="E823" s="154" t="n">
        <v>0.0946</v>
      </c>
      <c r="F823" s="149" t="n">
        <f aca="false">IF(C823="MAT.",VLOOKUP(A823,INSUMOS_AUX!$A$3:$H$813,6,0),0)</f>
        <v>0</v>
      </c>
      <c r="G823" s="149" t="n">
        <f aca="false">IF(C823="M.O.",VLOOKUP(A823,INSUMOS_AUX!A:F,6,0),0)</f>
        <v>0</v>
      </c>
    </row>
    <row r="824" customFormat="false" ht="21" hidden="false" customHeight="false" outlineLevel="0" collapsed="false">
      <c r="A824" s="154" t="n">
        <v>37372</v>
      </c>
      <c r="B824" s="155" t="s">
        <v>1446</v>
      </c>
      <c r="C824" s="148" t="str">
        <f aca="false">VLOOKUP($A824,INSUMOS_AUX!$A$3:$H$813,3,0)</f>
        <v>MAT.</v>
      </c>
      <c r="D824" s="156" t="s">
        <v>1444</v>
      </c>
      <c r="E824" s="154" t="n">
        <v>0.0946</v>
      </c>
      <c r="F824" s="149" t="n">
        <f aca="false">IF(C824="MAT.",VLOOKUP(A824,INSUMOS_AUX!$A$3:$H$813,6,0),0)</f>
        <v>1.43</v>
      </c>
      <c r="G824" s="149" t="n">
        <f aca="false">IF(C824="M.O.",VLOOKUP(A824,INSUMOS_AUX!A:F,6,0),0)</f>
        <v>0</v>
      </c>
    </row>
    <row r="825" customFormat="false" ht="21" hidden="false" customHeight="false" outlineLevel="0" collapsed="false">
      <c r="A825" s="154" t="n">
        <v>43465</v>
      </c>
      <c r="B825" s="155" t="s">
        <v>1458</v>
      </c>
      <c r="C825" s="148" t="str">
        <f aca="false">VLOOKUP($A825,INSUMOS_AUX!$A$3:$H$813,3,0)</f>
        <v>MAT.</v>
      </c>
      <c r="D825" s="156" t="s">
        <v>1444</v>
      </c>
      <c r="E825" s="154" t="n">
        <v>0.0946</v>
      </c>
      <c r="F825" s="149" t="n">
        <f aca="false">IF(C825="MAT.",VLOOKUP(A825,INSUMOS_AUX!$A$3:$H$813,6,0),0)</f>
        <v>0.78</v>
      </c>
      <c r="G825" s="149" t="n">
        <f aca="false">IF(C825="M.O.",VLOOKUP(A825,INSUMOS_AUX!A:F,6,0),0)</f>
        <v>0</v>
      </c>
    </row>
    <row r="826" customFormat="false" ht="21" hidden="false" customHeight="false" outlineLevel="0" collapsed="false">
      <c r="A826" s="154" t="n">
        <v>37373</v>
      </c>
      <c r="B826" s="155" t="s">
        <v>1448</v>
      </c>
      <c r="C826" s="148" t="str">
        <f aca="false">VLOOKUP($A826,INSUMOS_AUX!$A$3:$H$813,3,0)</f>
        <v>MAT.</v>
      </c>
      <c r="D826" s="156" t="s">
        <v>1444</v>
      </c>
      <c r="E826" s="154" t="n">
        <v>0.0946</v>
      </c>
      <c r="F826" s="149" t="n">
        <f aca="false">IF(C826="MAT.",VLOOKUP(A826,INSUMOS_AUX!$A$3:$H$813,6,0),0)</f>
        <v>0.08</v>
      </c>
      <c r="G826" s="149" t="n">
        <f aca="false">IF(C826="M.O.",VLOOKUP(A826,INSUMOS_AUX!A:F,6,0),0)</f>
        <v>0</v>
      </c>
    </row>
    <row r="827" customFormat="false" ht="21" hidden="false" customHeight="false" outlineLevel="0" collapsed="false">
      <c r="A827" s="154" t="n">
        <v>37371</v>
      </c>
      <c r="B827" s="155" t="s">
        <v>1449</v>
      </c>
      <c r="C827" s="148" t="str">
        <f aca="false">VLOOKUP($A827,INSUMOS_AUX!$A$3:$H$813,3,0)</f>
        <v>MAT.</v>
      </c>
      <c r="D827" s="156" t="s">
        <v>1444</v>
      </c>
      <c r="E827" s="154" t="n">
        <v>0.0946</v>
      </c>
      <c r="F827" s="149" t="n">
        <f aca="false">IF(C827="MAT.",VLOOKUP(A827,INSUMOS_AUX!$A$3:$H$813,6,0),0)</f>
        <v>0.59</v>
      </c>
      <c r="G827" s="149" t="n">
        <f aca="false">IF(C827="M.O.",VLOOKUP(A827,INSUMOS_AUX!A:F,6,0),0)</f>
        <v>0</v>
      </c>
    </row>
    <row r="828" customFormat="false" ht="15" hidden="false" customHeight="false" outlineLevel="0" collapsed="false">
      <c r="A828" s="154" t="n">
        <v>43055</v>
      </c>
      <c r="B828" s="155" t="s">
        <v>1618</v>
      </c>
      <c r="C828" s="148" t="str">
        <f aca="false">VLOOKUP($A828,INSUMOS_AUX!$A$3:$H$813,3,0)</f>
        <v>MAT.</v>
      </c>
      <c r="D828" s="156" t="s">
        <v>1513</v>
      </c>
      <c r="E828" s="154" t="n">
        <v>1.11</v>
      </c>
      <c r="F828" s="149" t="n">
        <f aca="false">IF(C828="MAT.",VLOOKUP(A828,INSUMOS_AUX!$A$3:$H$813,6,0),0)</f>
        <v>6.65</v>
      </c>
      <c r="G828" s="149" t="n">
        <f aca="false">IF(C828="M.O.",VLOOKUP(A828,INSUMOS_AUX!A:F,6,0),0)</f>
        <v>0</v>
      </c>
    </row>
    <row r="829" customFormat="false" ht="21" hidden="false" customHeight="false" outlineLevel="0" collapsed="false">
      <c r="A829" s="154" t="n">
        <v>43132</v>
      </c>
      <c r="B829" s="155" t="s">
        <v>1565</v>
      </c>
      <c r="C829" s="148" t="str">
        <f aca="false">VLOOKUP($A829,INSUMOS_AUX!$A$3:$H$813,3,0)</f>
        <v>MAT.</v>
      </c>
      <c r="D829" s="156" t="s">
        <v>1513</v>
      </c>
      <c r="E829" s="154" t="n">
        <v>0.025</v>
      </c>
      <c r="F829" s="149" t="n">
        <f aca="false">IF(C829="MAT.",VLOOKUP(A829,INSUMOS_AUX!$A$3:$H$813,6,0),0)</f>
        <v>28</v>
      </c>
      <c r="G829" s="149" t="n">
        <f aca="false">IF(C829="M.O.",VLOOKUP(A829,INSUMOS_AUX!A:F,6,0),0)</f>
        <v>0</v>
      </c>
    </row>
    <row r="830" customFormat="false" ht="21" hidden="false" customHeight="false" outlineLevel="0" collapsed="false">
      <c r="A830" s="154" t="n">
        <v>39017</v>
      </c>
      <c r="B830" s="155" t="s">
        <v>1621</v>
      </c>
      <c r="C830" s="148" t="str">
        <f aca="false">VLOOKUP($A830,INSUMOS_AUX!$A$3:$H$813,3,0)</f>
        <v>MAT.</v>
      </c>
      <c r="D830" s="156" t="s">
        <v>31</v>
      </c>
      <c r="E830" s="154" t="n">
        <v>0.317</v>
      </c>
      <c r="F830" s="149" t="n">
        <f aca="false">IF(C830="MAT.",VLOOKUP(A830,INSUMOS_AUX!$A$3:$H$813,6,0),0)</f>
        <v>0.22</v>
      </c>
      <c r="G830" s="149" t="n">
        <f aca="false">IF(C830="M.O.",VLOOKUP(A830,INSUMOS_AUX!A:F,6,0),0)</f>
        <v>0</v>
      </c>
    </row>
    <row r="831" customFormat="false" ht="15" hidden="false" customHeight="false" outlineLevel="0" collapsed="false">
      <c r="A831" s="154" t="n">
        <v>6114</v>
      </c>
      <c r="B831" s="155" t="s">
        <v>1588</v>
      </c>
      <c r="C831" s="148" t="str">
        <f aca="false">VLOOKUP($A831,INSUMOS_AUX!$A$3:$H$813,3,0)</f>
        <v>M.O.</v>
      </c>
      <c r="D831" s="156" t="s">
        <v>1444</v>
      </c>
      <c r="E831" s="154" t="n">
        <v>0.026097732</v>
      </c>
      <c r="F831" s="149" t="n">
        <f aca="false">IF(C831="MAT.",VLOOKUP(A831,INSUMOS_AUX!$A$3:$H$813,6,0),0)</f>
        <v>0</v>
      </c>
      <c r="G831" s="149" t="n">
        <f aca="false">IF(C831="M.O.",VLOOKUP(A831,INSUMOS_AUX!A:F,6,0),0)</f>
        <v>13.26</v>
      </c>
    </row>
    <row r="832" customFormat="false" ht="15" hidden="false" customHeight="false" outlineLevel="0" collapsed="false">
      <c r="A832" s="154" t="n">
        <v>378</v>
      </c>
      <c r="B832" s="155" t="s">
        <v>1589</v>
      </c>
      <c r="C832" s="148" t="str">
        <f aca="false">VLOOKUP($A832,INSUMOS_AUX!$A$3:$H$813,3,0)</f>
        <v>M.O.</v>
      </c>
      <c r="D832" s="156" t="s">
        <v>1444</v>
      </c>
      <c r="E832" s="154" t="n">
        <v>0.069593952</v>
      </c>
      <c r="F832" s="149" t="n">
        <f aca="false">IF(C832="MAT.",VLOOKUP(A832,INSUMOS_AUX!$A$3:$H$813,6,0),0)</f>
        <v>0</v>
      </c>
      <c r="G832" s="149" t="n">
        <f aca="false">IF(C832="M.O.",VLOOKUP(A832,INSUMOS_AUX!A:F,6,0),0)</f>
        <v>20.22</v>
      </c>
    </row>
    <row r="833" customFormat="false" ht="21" hidden="false" customHeight="false" outlineLevel="0" collapsed="false">
      <c r="A833" s="150" t="n">
        <v>98557</v>
      </c>
      <c r="B833" s="151" t="s">
        <v>1658</v>
      </c>
      <c r="C833" s="152" t="s">
        <v>59</v>
      </c>
      <c r="D833" s="152" t="s">
        <v>1477</v>
      </c>
      <c r="E833" s="150"/>
      <c r="F833" s="153" t="n">
        <f aca="false">(SUMPRODUCT($E834:$E844,F834:F844))*1</f>
        <v>28.389378</v>
      </c>
      <c r="G833" s="153" t="n">
        <f aca="false">(SUMPRODUCT($E834:$E844,G834:G844))*1</f>
        <v>10.21088870946</v>
      </c>
    </row>
    <row r="834" customFormat="false" ht="21" hidden="false" customHeight="false" outlineLevel="0" collapsed="false">
      <c r="A834" s="154" t="n">
        <v>37370</v>
      </c>
      <c r="B834" s="155" t="s">
        <v>1443</v>
      </c>
      <c r="C834" s="148" t="str">
        <f aca="false">VLOOKUP($A834,INSUMOS_AUX!$A$3:$H$813,3,0)</f>
        <v>MAT.</v>
      </c>
      <c r="D834" s="156" t="s">
        <v>1444</v>
      </c>
      <c r="E834" s="154" t="n">
        <v>0.5268</v>
      </c>
      <c r="F834" s="149" t="n">
        <f aca="false">IF(C834="MAT.",VLOOKUP(A834,INSUMOS_AUX!$A$3:$H$813,6,0),0)</f>
        <v>3.32</v>
      </c>
      <c r="G834" s="149" t="n">
        <f aca="false">IF(C834="M.O.",VLOOKUP(A834,INSUMOS_AUX!A:F,6,0),0)</f>
        <v>0</v>
      </c>
    </row>
    <row r="835" customFormat="false" ht="21" hidden="false" customHeight="false" outlineLevel="0" collapsed="false">
      <c r="A835" s="154" t="n">
        <v>43489</v>
      </c>
      <c r="B835" s="155" t="s">
        <v>1456</v>
      </c>
      <c r="C835" s="148" t="s">
        <v>59</v>
      </c>
      <c r="D835" s="156" t="s">
        <v>1444</v>
      </c>
      <c r="E835" s="154" t="n">
        <v>0.4299</v>
      </c>
      <c r="F835" s="149" t="n">
        <f aca="false">IF(C835="MAT.",VLOOKUP(A835,INSUMOS_AUX!$A$3:$H$813,6,0),0)</f>
        <v>0</v>
      </c>
      <c r="G835" s="149" t="n">
        <f aca="false">IF(C835="M.O.",VLOOKUP(A835,INSUMOS_AUX!A:F,6,0),0)</f>
        <v>0</v>
      </c>
    </row>
    <row r="836" customFormat="false" ht="21" hidden="false" customHeight="false" outlineLevel="0" collapsed="false">
      <c r="A836" s="154" t="n">
        <v>43491</v>
      </c>
      <c r="B836" s="155" t="s">
        <v>1457</v>
      </c>
      <c r="C836" s="148" t="str">
        <f aca="false">VLOOKUP($A836,INSUMOS_AUX!$A$3:$H$813,3,0)</f>
        <v>MAT.</v>
      </c>
      <c r="D836" s="156" t="s">
        <v>1444</v>
      </c>
      <c r="E836" s="154" t="n">
        <v>0.0969</v>
      </c>
      <c r="F836" s="149" t="n">
        <f aca="false">IF(C836="MAT.",VLOOKUP(A836,INSUMOS_AUX!$A$3:$H$813,6,0),0)</f>
        <v>1.39</v>
      </c>
      <c r="G836" s="149" t="n">
        <f aca="false">IF(C836="M.O.",VLOOKUP(A836,INSUMOS_AUX!A:F,6,0),0)</f>
        <v>0</v>
      </c>
    </row>
    <row r="837" customFormat="false" ht="21" hidden="false" customHeight="false" outlineLevel="0" collapsed="false">
      <c r="A837" s="154" t="n">
        <v>37372</v>
      </c>
      <c r="B837" s="155" t="s">
        <v>1446</v>
      </c>
      <c r="C837" s="148" t="str">
        <f aca="false">VLOOKUP($A837,INSUMOS_AUX!$A$3:$H$813,3,0)</f>
        <v>MAT.</v>
      </c>
      <c r="D837" s="156" t="s">
        <v>1444</v>
      </c>
      <c r="E837" s="154" t="n">
        <v>0.5268</v>
      </c>
      <c r="F837" s="149" t="n">
        <f aca="false">IF(C837="MAT.",VLOOKUP(A837,INSUMOS_AUX!$A$3:$H$813,6,0),0)</f>
        <v>1.43</v>
      </c>
      <c r="G837" s="149" t="n">
        <f aca="false">IF(C837="M.O.",VLOOKUP(A837,INSUMOS_AUX!A:F,6,0),0)</f>
        <v>0</v>
      </c>
    </row>
    <row r="838" customFormat="false" ht="21" hidden="false" customHeight="false" outlineLevel="0" collapsed="false">
      <c r="A838" s="154" t="n">
        <v>43465</v>
      </c>
      <c r="B838" s="155" t="s">
        <v>1458</v>
      </c>
      <c r="C838" s="148" t="str">
        <f aca="false">VLOOKUP($A838,INSUMOS_AUX!$A$3:$H$813,3,0)</f>
        <v>MAT.</v>
      </c>
      <c r="D838" s="156" t="s">
        <v>1444</v>
      </c>
      <c r="E838" s="154" t="n">
        <v>0.4299</v>
      </c>
      <c r="F838" s="149" t="n">
        <f aca="false">IF(C838="MAT.",VLOOKUP(A838,INSUMOS_AUX!$A$3:$H$813,6,0),0)</f>
        <v>0.78</v>
      </c>
      <c r="G838" s="149" t="n">
        <f aca="false">IF(C838="M.O.",VLOOKUP(A838,INSUMOS_AUX!A:F,6,0),0)</f>
        <v>0</v>
      </c>
    </row>
    <row r="839" customFormat="false" ht="21" hidden="false" customHeight="false" outlineLevel="0" collapsed="false">
      <c r="A839" s="154" t="n">
        <v>43467</v>
      </c>
      <c r="B839" s="155" t="s">
        <v>1459</v>
      </c>
      <c r="C839" s="148" t="str">
        <f aca="false">VLOOKUP($A839,INSUMOS_AUX!$A$3:$H$813,3,0)</f>
        <v>MAT.</v>
      </c>
      <c r="D839" s="156" t="s">
        <v>1444</v>
      </c>
      <c r="E839" s="154" t="n">
        <v>0.0969</v>
      </c>
      <c r="F839" s="149" t="n">
        <f aca="false">IF(C839="MAT.",VLOOKUP(A839,INSUMOS_AUX!$A$3:$H$813,6,0),0)</f>
        <v>0.61</v>
      </c>
      <c r="G839" s="149" t="n">
        <f aca="false">IF(C839="M.O.",VLOOKUP(A839,INSUMOS_AUX!A:F,6,0),0)</f>
        <v>0</v>
      </c>
    </row>
    <row r="840" customFormat="false" ht="21" hidden="false" customHeight="false" outlineLevel="0" collapsed="false">
      <c r="A840" s="154" t="n">
        <v>37373</v>
      </c>
      <c r="B840" s="155" t="s">
        <v>1448</v>
      </c>
      <c r="C840" s="148" t="str">
        <f aca="false">VLOOKUP($A840,INSUMOS_AUX!$A$3:$H$813,3,0)</f>
        <v>MAT.</v>
      </c>
      <c r="D840" s="156" t="s">
        <v>1444</v>
      </c>
      <c r="E840" s="154" t="n">
        <v>0.5268</v>
      </c>
      <c r="F840" s="149" t="n">
        <f aca="false">IF(C840="MAT.",VLOOKUP(A840,INSUMOS_AUX!$A$3:$H$813,6,0),0)</f>
        <v>0.08</v>
      </c>
      <c r="G840" s="149" t="n">
        <f aca="false">IF(C840="M.O.",VLOOKUP(A840,INSUMOS_AUX!A:F,6,0),0)</f>
        <v>0</v>
      </c>
    </row>
    <row r="841" customFormat="false" ht="21" hidden="false" customHeight="false" outlineLevel="0" collapsed="false">
      <c r="A841" s="154" t="n">
        <v>37371</v>
      </c>
      <c r="B841" s="155" t="s">
        <v>1449</v>
      </c>
      <c r="C841" s="148" t="str">
        <f aca="false">VLOOKUP($A841,INSUMOS_AUX!$A$3:$H$813,3,0)</f>
        <v>MAT.</v>
      </c>
      <c r="D841" s="156" t="s">
        <v>1444</v>
      </c>
      <c r="E841" s="154" t="n">
        <v>0.5268</v>
      </c>
      <c r="F841" s="149" t="n">
        <f aca="false">IF(C841="MAT.",VLOOKUP(A841,INSUMOS_AUX!$A$3:$H$813,6,0),0)</f>
        <v>0.59</v>
      </c>
      <c r="G841" s="149" t="n">
        <f aca="false">IF(C841="M.O.",VLOOKUP(A841,INSUMOS_AUX!A:F,6,0),0)</f>
        <v>0</v>
      </c>
    </row>
    <row r="842" customFormat="false" ht="42" hidden="false" customHeight="false" outlineLevel="0" collapsed="false">
      <c r="A842" s="154" t="n">
        <v>626</v>
      </c>
      <c r="B842" s="155" t="s">
        <v>1659</v>
      </c>
      <c r="C842" s="148" t="str">
        <f aca="false">VLOOKUP($A842,INSUMOS_AUX!$A$3:$H$813,3,0)</f>
        <v>MAT.</v>
      </c>
      <c r="D842" s="156" t="s">
        <v>1513</v>
      </c>
      <c r="E842" s="154" t="n">
        <v>1.5</v>
      </c>
      <c r="F842" s="149" t="n">
        <f aca="false">IF(C842="MAT.",VLOOKUP(A842,INSUMOS_AUX!$A$3:$H$813,6,0),0)</f>
        <v>16.67</v>
      </c>
      <c r="G842" s="149" t="n">
        <f aca="false">IF(C842="M.O.",VLOOKUP(A842,INSUMOS_AUX!A:F,6,0),0)</f>
        <v>0</v>
      </c>
    </row>
    <row r="843" customFormat="false" ht="15" hidden="false" customHeight="false" outlineLevel="0" collapsed="false">
      <c r="A843" s="154" t="n">
        <v>242</v>
      </c>
      <c r="B843" s="155" t="s">
        <v>1660</v>
      </c>
      <c r="C843" s="148" t="str">
        <f aca="false">VLOOKUP($A843,INSUMOS_AUX!$A$3:$H$813,3,0)</f>
        <v>M.O.</v>
      </c>
      <c r="D843" s="156" t="s">
        <v>1444</v>
      </c>
      <c r="E843" s="154" t="n">
        <v>0.098018226</v>
      </c>
      <c r="F843" s="149" t="n">
        <f aca="false">IF(C843="MAT.",VLOOKUP(A843,INSUMOS_AUX!$A$3:$H$813,6,0),0)</f>
        <v>0</v>
      </c>
      <c r="G843" s="149" t="n">
        <f aca="false">IF(C843="M.O.",VLOOKUP(A843,INSUMOS_AUX!A:F,6,0),0)</f>
        <v>13.61</v>
      </c>
    </row>
    <row r="844" customFormat="false" ht="15" hidden="false" customHeight="false" outlineLevel="0" collapsed="false">
      <c r="A844" s="154" t="n">
        <v>12873</v>
      </c>
      <c r="B844" s="155" t="s">
        <v>1661</v>
      </c>
      <c r="C844" s="148" t="str">
        <f aca="false">VLOOKUP($A844,INSUMOS_AUX!$A$3:$H$813,3,0)</f>
        <v>M.O.</v>
      </c>
      <c r="D844" s="156" t="s">
        <v>1444</v>
      </c>
      <c r="E844" s="154" t="n">
        <v>0.43901388</v>
      </c>
      <c r="F844" s="149" t="n">
        <f aca="false">IF(C844="MAT.",VLOOKUP(A844,INSUMOS_AUX!$A$3:$H$813,6,0),0)</f>
        <v>0</v>
      </c>
      <c r="G844" s="149" t="n">
        <f aca="false">IF(C844="M.O.",VLOOKUP(A844,INSUMOS_AUX!A:F,6,0),0)</f>
        <v>20.22</v>
      </c>
    </row>
    <row r="845" customFormat="false" ht="21" hidden="false" customHeight="false" outlineLevel="0" collapsed="false">
      <c r="A845" s="150" t="s">
        <v>156</v>
      </c>
      <c r="B845" s="151" t="s">
        <v>1662</v>
      </c>
      <c r="C845" s="152" t="s">
        <v>59</v>
      </c>
      <c r="D845" s="152" t="s">
        <v>1513</v>
      </c>
      <c r="E845" s="150"/>
      <c r="F845" s="153" t="n">
        <f aca="false">(SUMPRODUCT($E846:$E856,F846:F856))*1</f>
        <v>9.8534</v>
      </c>
      <c r="G845" s="153" t="n">
        <f aca="false">(SUMPRODUCT($E846:$E856,G846:G856))*1</f>
        <v>3.7987978062</v>
      </c>
    </row>
    <row r="846" customFormat="false" ht="21" hidden="false" customHeight="false" outlineLevel="0" collapsed="false">
      <c r="A846" s="154" t="n">
        <v>37370</v>
      </c>
      <c r="B846" s="155" t="s">
        <v>1443</v>
      </c>
      <c r="C846" s="148" t="str">
        <f aca="false">VLOOKUP($A846,INSUMOS_AUX!$A$3:$H$813,3,0)</f>
        <v>MAT.</v>
      </c>
      <c r="D846" s="156" t="s">
        <v>1444</v>
      </c>
      <c r="E846" s="154" t="n">
        <v>0.189</v>
      </c>
      <c r="F846" s="149" t="n">
        <f aca="false">IF(C846="MAT.",VLOOKUP(A846,INSUMOS_AUX!$A$3:$H$813,6,0),0)</f>
        <v>3.32</v>
      </c>
      <c r="G846" s="149" t="n">
        <f aca="false">IF(C846="M.O.",VLOOKUP(A846,INSUMOS_AUX!A:F,6,0),0)</f>
        <v>0</v>
      </c>
    </row>
    <row r="847" customFormat="false" ht="21" hidden="false" customHeight="false" outlineLevel="0" collapsed="false">
      <c r="A847" s="154" t="n">
        <v>43489</v>
      </c>
      <c r="B847" s="155" t="s">
        <v>1456</v>
      </c>
      <c r="C847" s="148" t="s">
        <v>59</v>
      </c>
      <c r="D847" s="156" t="s">
        <v>1444</v>
      </c>
      <c r="E847" s="154" t="n">
        <v>0.189</v>
      </c>
      <c r="F847" s="149" t="n">
        <f aca="false">IF(C847="MAT.",VLOOKUP(A847,INSUMOS_AUX!$A$3:$H$813,6,0),0)</f>
        <v>0</v>
      </c>
      <c r="G847" s="149" t="n">
        <f aca="false">IF(C847="M.O.",VLOOKUP(A847,INSUMOS_AUX!A:F,6,0),0)</f>
        <v>0</v>
      </c>
    </row>
    <row r="848" customFormat="false" ht="21" hidden="false" customHeight="false" outlineLevel="0" collapsed="false">
      <c r="A848" s="154" t="n">
        <v>37372</v>
      </c>
      <c r="B848" s="155" t="s">
        <v>1446</v>
      </c>
      <c r="C848" s="148" t="str">
        <f aca="false">VLOOKUP($A848,INSUMOS_AUX!$A$3:$H$813,3,0)</f>
        <v>MAT.</v>
      </c>
      <c r="D848" s="156" t="s">
        <v>1444</v>
      </c>
      <c r="E848" s="154" t="n">
        <v>0.189</v>
      </c>
      <c r="F848" s="149" t="n">
        <f aca="false">IF(C848="MAT.",VLOOKUP(A848,INSUMOS_AUX!$A$3:$H$813,6,0),0)</f>
        <v>1.43</v>
      </c>
      <c r="G848" s="149" t="n">
        <f aca="false">IF(C848="M.O.",VLOOKUP(A848,INSUMOS_AUX!A:F,6,0),0)</f>
        <v>0</v>
      </c>
    </row>
    <row r="849" customFormat="false" ht="21" hidden="false" customHeight="false" outlineLevel="0" collapsed="false">
      <c r="A849" s="154" t="n">
        <v>43465</v>
      </c>
      <c r="B849" s="155" t="s">
        <v>1458</v>
      </c>
      <c r="C849" s="148" t="str">
        <f aca="false">VLOOKUP($A849,INSUMOS_AUX!$A$3:$H$813,3,0)</f>
        <v>MAT.</v>
      </c>
      <c r="D849" s="156" t="s">
        <v>1444</v>
      </c>
      <c r="E849" s="154" t="n">
        <v>0.189</v>
      </c>
      <c r="F849" s="149" t="n">
        <f aca="false">IF(C849="MAT.",VLOOKUP(A849,INSUMOS_AUX!$A$3:$H$813,6,0),0)</f>
        <v>0.78</v>
      </c>
      <c r="G849" s="149" t="n">
        <f aca="false">IF(C849="M.O.",VLOOKUP(A849,INSUMOS_AUX!A:F,6,0),0)</f>
        <v>0</v>
      </c>
    </row>
    <row r="850" customFormat="false" ht="21" hidden="false" customHeight="false" outlineLevel="0" collapsed="false">
      <c r="A850" s="154" t="n">
        <v>37373</v>
      </c>
      <c r="B850" s="155" t="s">
        <v>1448</v>
      </c>
      <c r="C850" s="148" t="str">
        <f aca="false">VLOOKUP($A850,INSUMOS_AUX!$A$3:$H$813,3,0)</f>
        <v>MAT.</v>
      </c>
      <c r="D850" s="156" t="s">
        <v>1444</v>
      </c>
      <c r="E850" s="154" t="n">
        <v>0.189</v>
      </c>
      <c r="F850" s="149" t="n">
        <f aca="false">IF(C850="MAT.",VLOOKUP(A850,INSUMOS_AUX!$A$3:$H$813,6,0),0)</f>
        <v>0.08</v>
      </c>
      <c r="G850" s="149" t="n">
        <f aca="false">IF(C850="M.O.",VLOOKUP(A850,INSUMOS_AUX!A:F,6,0),0)</f>
        <v>0</v>
      </c>
    </row>
    <row r="851" customFormat="false" ht="21" hidden="false" customHeight="false" outlineLevel="0" collapsed="false">
      <c r="A851" s="154" t="n">
        <v>37371</v>
      </c>
      <c r="B851" s="155" t="s">
        <v>1449</v>
      </c>
      <c r="C851" s="148" t="str">
        <f aca="false">VLOOKUP($A851,INSUMOS_AUX!$A$3:$H$813,3,0)</f>
        <v>MAT.</v>
      </c>
      <c r="D851" s="156" t="s">
        <v>1444</v>
      </c>
      <c r="E851" s="154" t="n">
        <v>0.189</v>
      </c>
      <c r="F851" s="149" t="n">
        <f aca="false">IF(C851="MAT.",VLOOKUP(A851,INSUMOS_AUX!$A$3:$H$813,6,0),0)</f>
        <v>0.59</v>
      </c>
      <c r="G851" s="149" t="n">
        <f aca="false">IF(C851="M.O.",VLOOKUP(A851,INSUMOS_AUX!A:F,6,0),0)</f>
        <v>0</v>
      </c>
    </row>
    <row r="852" customFormat="false" ht="15" hidden="false" customHeight="false" outlineLevel="0" collapsed="false">
      <c r="A852" s="154" t="n">
        <v>43059</v>
      </c>
      <c r="B852" s="155" t="s">
        <v>1630</v>
      </c>
      <c r="C852" s="148" t="str">
        <f aca="false">VLOOKUP($A852,INSUMOS_AUX!$A$3:$H$813,3,0)</f>
        <v>MAT.</v>
      </c>
      <c r="D852" s="156" t="s">
        <v>1513</v>
      </c>
      <c r="E852" s="154" t="n">
        <v>1.07</v>
      </c>
      <c r="F852" s="149" t="n">
        <f aca="false">IF(C852="MAT.",VLOOKUP(A852,INSUMOS_AUX!$A$3:$H$813,6,0),0)</f>
        <v>7.26</v>
      </c>
      <c r="G852" s="149" t="n">
        <f aca="false">IF(C852="M.O.",VLOOKUP(A852,INSUMOS_AUX!A:F,6,0),0)</f>
        <v>0</v>
      </c>
    </row>
    <row r="853" customFormat="false" ht="21" hidden="false" customHeight="false" outlineLevel="0" collapsed="false">
      <c r="A853" s="154" t="n">
        <v>43132</v>
      </c>
      <c r="B853" s="155" t="s">
        <v>1565</v>
      </c>
      <c r="C853" s="148" t="str">
        <f aca="false">VLOOKUP($A853,INSUMOS_AUX!$A$3:$H$813,3,0)</f>
        <v>MAT.</v>
      </c>
      <c r="D853" s="156" t="s">
        <v>1513</v>
      </c>
      <c r="E853" s="154" t="n">
        <v>0.025</v>
      </c>
      <c r="F853" s="149" t="n">
        <f aca="false">IF(C853="MAT.",VLOOKUP(A853,INSUMOS_AUX!$A$3:$H$813,6,0),0)</f>
        <v>28</v>
      </c>
      <c r="G853" s="149" t="n">
        <f aca="false">IF(C853="M.O.",VLOOKUP(A853,INSUMOS_AUX!A:F,6,0),0)</f>
        <v>0</v>
      </c>
    </row>
    <row r="854" customFormat="false" ht="21" hidden="false" customHeight="false" outlineLevel="0" collapsed="false">
      <c r="A854" s="154" t="n">
        <v>39017</v>
      </c>
      <c r="B854" s="155" t="s">
        <v>1621</v>
      </c>
      <c r="C854" s="148" t="str">
        <f aca="false">VLOOKUP($A854,INSUMOS_AUX!$A$3:$H$813,3,0)</f>
        <v>MAT.</v>
      </c>
      <c r="D854" s="156" t="s">
        <v>31</v>
      </c>
      <c r="E854" s="154" t="n">
        <v>0.97</v>
      </c>
      <c r="F854" s="149" t="n">
        <f aca="false">IF(C854="MAT.",VLOOKUP(A854,INSUMOS_AUX!$A$3:$H$813,6,0),0)</f>
        <v>0.22</v>
      </c>
      <c r="G854" s="149" t="n">
        <f aca="false">IF(C854="M.O.",VLOOKUP(A854,INSUMOS_AUX!A:F,6,0),0)</f>
        <v>0</v>
      </c>
    </row>
    <row r="855" customFormat="false" ht="15" hidden="false" customHeight="false" outlineLevel="0" collapsed="false">
      <c r="A855" s="154" t="n">
        <v>6114</v>
      </c>
      <c r="B855" s="155" t="s">
        <v>1588</v>
      </c>
      <c r="C855" s="148" t="str">
        <f aca="false">VLOOKUP($A855,INSUMOS_AUX!$A$3:$H$813,3,0)</f>
        <v>M.O.</v>
      </c>
      <c r="D855" s="156" t="s">
        <v>1444</v>
      </c>
      <c r="E855" s="154" t="n">
        <v>0.00960963</v>
      </c>
      <c r="F855" s="149" t="n">
        <f aca="false">IF(C855="MAT.",VLOOKUP(A855,INSUMOS_AUX!$A$3:$H$813,6,0),0)</f>
        <v>0</v>
      </c>
      <c r="G855" s="149" t="n">
        <f aca="false">IF(C855="M.O.",VLOOKUP(A855,INSUMOS_AUX!A:F,6,0),0)</f>
        <v>13.26</v>
      </c>
    </row>
    <row r="856" customFormat="false" ht="15" hidden="false" customHeight="false" outlineLevel="0" collapsed="false">
      <c r="A856" s="154" t="n">
        <v>378</v>
      </c>
      <c r="B856" s="155" t="s">
        <v>1589</v>
      </c>
      <c r="C856" s="148" t="str">
        <f aca="false">VLOOKUP($A856,INSUMOS_AUX!$A$3:$H$813,3,0)</f>
        <v>M.O.</v>
      </c>
      <c r="D856" s="156" t="s">
        <v>1444</v>
      </c>
      <c r="E856" s="154" t="n">
        <v>0.18157142</v>
      </c>
      <c r="F856" s="149" t="n">
        <f aca="false">IF(C856="MAT.",VLOOKUP(A856,INSUMOS_AUX!$A$3:$H$813,6,0),0)</f>
        <v>0</v>
      </c>
      <c r="G856" s="149" t="n">
        <f aca="false">IF(C856="M.O.",VLOOKUP(A856,INSUMOS_AUX!A:F,6,0),0)</f>
        <v>20.22</v>
      </c>
    </row>
    <row r="857" customFormat="false" ht="21" hidden="false" customHeight="false" outlineLevel="0" collapsed="false">
      <c r="A857" s="150" t="n">
        <v>100342</v>
      </c>
      <c r="B857" s="151" t="s">
        <v>1663</v>
      </c>
      <c r="C857" s="152" t="s">
        <v>59</v>
      </c>
      <c r="D857" s="152" t="s">
        <v>1513</v>
      </c>
      <c r="E857" s="150"/>
      <c r="F857" s="153" t="n">
        <f aca="false">(SUMPRODUCT($E858:$E868,F858:F868))*1</f>
        <v>11.36753844</v>
      </c>
      <c r="G857" s="153" t="n">
        <f aca="false">(SUMPRODUCT($E858:$E868,G858:G868))*1</f>
        <v>5.2463122946316</v>
      </c>
    </row>
    <row r="858" customFormat="false" ht="21" hidden="false" customHeight="false" outlineLevel="0" collapsed="false">
      <c r="A858" s="154" t="n">
        <v>37370</v>
      </c>
      <c r="B858" s="155" t="s">
        <v>1443</v>
      </c>
      <c r="C858" s="148" t="str">
        <f aca="false">VLOOKUP($A858,INSUMOS_AUX!$A$3:$H$813,3,0)</f>
        <v>MAT.</v>
      </c>
      <c r="D858" s="156" t="s">
        <v>1444</v>
      </c>
      <c r="E858" s="154" t="n">
        <v>0.258257</v>
      </c>
      <c r="F858" s="149" t="n">
        <f aca="false">IF(C858="MAT.",VLOOKUP(A858,INSUMOS_AUX!$A$3:$H$813,6,0),0)</f>
        <v>3.32</v>
      </c>
      <c r="G858" s="149" t="n">
        <f aca="false">IF(C858="M.O.",VLOOKUP(A858,INSUMOS_AUX!A:F,6,0),0)</f>
        <v>0</v>
      </c>
    </row>
    <row r="859" customFormat="false" ht="21" hidden="false" customHeight="false" outlineLevel="0" collapsed="false">
      <c r="A859" s="154" t="n">
        <v>43489</v>
      </c>
      <c r="B859" s="155" t="s">
        <v>1456</v>
      </c>
      <c r="C859" s="148" t="str">
        <f aca="false">VLOOKUP($A859,INSUMOS_AUX!$A$3:$H$813,3,0)</f>
        <v>MAT.</v>
      </c>
      <c r="D859" s="156" t="s">
        <v>1444</v>
      </c>
      <c r="E859" s="154" t="n">
        <v>0.258257</v>
      </c>
      <c r="F859" s="149" t="n">
        <f aca="false">IF(C859="MAT.",VLOOKUP(A859,INSUMOS_AUX!$A$3:$H$813,6,0),0)</f>
        <v>1.31</v>
      </c>
      <c r="G859" s="149" t="n">
        <f aca="false">IF(C859="M.O.",VLOOKUP(A859,INSUMOS_AUX!A:F,6,0),0)</f>
        <v>0</v>
      </c>
    </row>
    <row r="860" customFormat="false" ht="21" hidden="false" customHeight="false" outlineLevel="0" collapsed="false">
      <c r="A860" s="154" t="n">
        <v>37372</v>
      </c>
      <c r="B860" s="155" t="s">
        <v>1446</v>
      </c>
      <c r="C860" s="148" t="str">
        <f aca="false">VLOOKUP($A860,INSUMOS_AUX!$A$3:$H$813,3,0)</f>
        <v>MAT.</v>
      </c>
      <c r="D860" s="156" t="s">
        <v>1444</v>
      </c>
      <c r="E860" s="154" t="n">
        <v>0.258257</v>
      </c>
      <c r="F860" s="149" t="n">
        <f aca="false">IF(C860="MAT.",VLOOKUP(A860,INSUMOS_AUX!$A$3:$H$813,6,0),0)</f>
        <v>1.43</v>
      </c>
      <c r="G860" s="149" t="n">
        <f aca="false">IF(C860="M.O.",VLOOKUP(A860,INSUMOS_AUX!A:F,6,0),0)</f>
        <v>0</v>
      </c>
    </row>
    <row r="861" customFormat="false" ht="21" hidden="false" customHeight="false" outlineLevel="0" collapsed="false">
      <c r="A861" s="154" t="n">
        <v>43465</v>
      </c>
      <c r="B861" s="155" t="s">
        <v>1458</v>
      </c>
      <c r="C861" s="148" t="str">
        <f aca="false">VLOOKUP($A861,INSUMOS_AUX!$A$3:$H$813,3,0)</f>
        <v>MAT.</v>
      </c>
      <c r="D861" s="156" t="s">
        <v>1444</v>
      </c>
      <c r="E861" s="154" t="n">
        <v>0.258257</v>
      </c>
      <c r="F861" s="149" t="n">
        <f aca="false">IF(C861="MAT.",VLOOKUP(A861,INSUMOS_AUX!$A$3:$H$813,6,0),0)</f>
        <v>0.78</v>
      </c>
      <c r="G861" s="149" t="n">
        <f aca="false">IF(C861="M.O.",VLOOKUP(A861,INSUMOS_AUX!A:F,6,0),0)</f>
        <v>0</v>
      </c>
    </row>
    <row r="862" customFormat="false" ht="21" hidden="false" customHeight="false" outlineLevel="0" collapsed="false">
      <c r="A862" s="154" t="n">
        <v>37373</v>
      </c>
      <c r="B862" s="155" t="s">
        <v>1448</v>
      </c>
      <c r="C862" s="148" t="str">
        <f aca="false">VLOOKUP($A862,INSUMOS_AUX!$A$3:$H$813,3,0)</f>
        <v>MAT.</v>
      </c>
      <c r="D862" s="156" t="s">
        <v>1444</v>
      </c>
      <c r="E862" s="154" t="n">
        <v>0.258257</v>
      </c>
      <c r="F862" s="149" t="n">
        <f aca="false">IF(C862="MAT.",VLOOKUP(A862,INSUMOS_AUX!$A$3:$H$813,6,0),0)</f>
        <v>0.08</v>
      </c>
      <c r="G862" s="149" t="n">
        <f aca="false">IF(C862="M.O.",VLOOKUP(A862,INSUMOS_AUX!A:F,6,0),0)</f>
        <v>0</v>
      </c>
    </row>
    <row r="863" customFormat="false" ht="21" hidden="false" customHeight="false" outlineLevel="0" collapsed="false">
      <c r="A863" s="154" t="n">
        <v>37371</v>
      </c>
      <c r="B863" s="155" t="s">
        <v>1449</v>
      </c>
      <c r="C863" s="148" t="s">
        <v>59</v>
      </c>
      <c r="D863" s="156" t="s">
        <v>1444</v>
      </c>
      <c r="E863" s="154" t="n">
        <v>0.258257</v>
      </c>
      <c r="F863" s="149" t="n">
        <f aca="false">IF(C863="MAT.",VLOOKUP(A863,INSUMOS_AUX!$A$3:$H$813,6,0),0)</f>
        <v>0</v>
      </c>
      <c r="G863" s="149" t="n">
        <f aca="false">IF(C863="M.O.",VLOOKUP(A863,INSUMOS_AUX!A:F,6,0),0)</f>
        <v>0</v>
      </c>
    </row>
    <row r="864" customFormat="false" ht="15" hidden="false" customHeight="false" outlineLevel="0" collapsed="false">
      <c r="A864" s="154" t="n">
        <v>32</v>
      </c>
      <c r="B864" s="155" t="s">
        <v>1619</v>
      </c>
      <c r="C864" s="148" t="str">
        <f aca="false">VLOOKUP($A864,INSUMOS_AUX!$A$3:$H$813,3,0)</f>
        <v>MAT.</v>
      </c>
      <c r="D864" s="156" t="s">
        <v>1513</v>
      </c>
      <c r="E864" s="154" t="n">
        <v>1.07</v>
      </c>
      <c r="F864" s="149" t="n">
        <f aca="false">IF(C864="MAT.",VLOOKUP(A864,INSUMOS_AUX!$A$3:$H$813,6,0),0)</f>
        <v>8.1</v>
      </c>
      <c r="G864" s="149" t="n">
        <f aca="false">IF(C864="M.O.",VLOOKUP(A864,INSUMOS_AUX!A:F,6,0),0)</f>
        <v>0</v>
      </c>
    </row>
    <row r="865" customFormat="false" ht="21" hidden="false" customHeight="false" outlineLevel="0" collapsed="false">
      <c r="A865" s="154" t="n">
        <v>43132</v>
      </c>
      <c r="B865" s="155" t="s">
        <v>1565</v>
      </c>
      <c r="C865" s="148" t="str">
        <f aca="false">VLOOKUP($A865,INSUMOS_AUX!$A$3:$H$813,3,0)</f>
        <v>MAT.</v>
      </c>
      <c r="D865" s="156" t="s">
        <v>1513</v>
      </c>
      <c r="E865" s="154" t="n">
        <v>0.025</v>
      </c>
      <c r="F865" s="149" t="n">
        <f aca="false">IF(C865="MAT.",VLOOKUP(A865,INSUMOS_AUX!$A$3:$H$813,6,0),0)</f>
        <v>28</v>
      </c>
      <c r="G865" s="149" t="n">
        <f aca="false">IF(C865="M.O.",VLOOKUP(A865,INSUMOS_AUX!A:F,6,0),0)</f>
        <v>0</v>
      </c>
    </row>
    <row r="866" customFormat="false" ht="21" hidden="false" customHeight="false" outlineLevel="0" collapsed="false">
      <c r="A866" s="154" t="n">
        <v>39017</v>
      </c>
      <c r="B866" s="155" t="s">
        <v>1621</v>
      </c>
      <c r="C866" s="148" t="str">
        <f aca="false">VLOOKUP($A866,INSUMOS_AUX!$A$3:$H$813,3,0)</f>
        <v>MAT.</v>
      </c>
      <c r="D866" s="156" t="s">
        <v>31</v>
      </c>
      <c r="E866" s="154" t="n">
        <v>0.97</v>
      </c>
      <c r="F866" s="149" t="n">
        <f aca="false">IF(C866="MAT.",VLOOKUP(A866,INSUMOS_AUX!$A$3:$H$813,6,0),0)</f>
        <v>0.22</v>
      </c>
      <c r="G866" s="149" t="n">
        <f aca="false">IF(C866="M.O.",VLOOKUP(A866,INSUMOS_AUX!A:F,6,0),0)</f>
        <v>0</v>
      </c>
    </row>
    <row r="867" customFormat="false" ht="15" hidden="false" customHeight="false" outlineLevel="0" collapsed="false">
      <c r="A867" s="154" t="n">
        <v>6114</v>
      </c>
      <c r="B867" s="155" t="s">
        <v>1588</v>
      </c>
      <c r="C867" s="148" t="str">
        <f aca="false">VLOOKUP($A867,INSUMOS_AUX!$A$3:$H$813,3,0)</f>
        <v>M.O.</v>
      </c>
      <c r="D867" s="156" t="s">
        <v>1444</v>
      </c>
      <c r="E867" s="154" t="n">
        <v>0.005158854</v>
      </c>
      <c r="F867" s="149" t="n">
        <f aca="false">IF(C867="MAT.",VLOOKUP(A867,INSUMOS_AUX!$A$3:$H$813,6,0),0)</f>
        <v>0</v>
      </c>
      <c r="G867" s="149" t="n">
        <f aca="false">IF(C867="M.O.",VLOOKUP(A867,INSUMOS_AUX!A:F,6,0),0)</f>
        <v>13.26</v>
      </c>
    </row>
    <row r="868" customFormat="false" ht="15" hidden="false" customHeight="false" outlineLevel="0" collapsed="false">
      <c r="A868" s="154" t="n">
        <v>378</v>
      </c>
      <c r="B868" s="155" t="s">
        <v>1589</v>
      </c>
      <c r="C868" s="148" t="str">
        <f aca="false">VLOOKUP($A868,INSUMOS_AUX!$A$3:$H$813,3,0)</f>
        <v>M.O.</v>
      </c>
      <c r="D868" s="156" t="s">
        <v>1444</v>
      </c>
      <c r="E868" s="154" t="n">
        <v>0.25607843178</v>
      </c>
      <c r="F868" s="149" t="n">
        <f aca="false">IF(C868="MAT.",VLOOKUP(A868,INSUMOS_AUX!$A$3:$H$813,6,0),0)</f>
        <v>0</v>
      </c>
      <c r="G868" s="149" t="n">
        <f aca="false">IF(C868="M.O.",VLOOKUP(A868,INSUMOS_AUX!A:F,6,0),0)</f>
        <v>20.22</v>
      </c>
    </row>
    <row r="869" customFormat="false" ht="21" hidden="false" customHeight="false" outlineLevel="0" collapsed="false">
      <c r="A869" s="150" t="n">
        <v>100344</v>
      </c>
      <c r="B869" s="151" t="s">
        <v>1664</v>
      </c>
      <c r="C869" s="152" t="s">
        <v>59</v>
      </c>
      <c r="D869" s="152" t="s">
        <v>1513</v>
      </c>
      <c r="E869" s="150"/>
      <c r="F869" s="153" t="n">
        <f aca="false">(SUMPRODUCT($E870:$E880,F870:F880))*1</f>
        <v>10.119062945</v>
      </c>
      <c r="G869" s="153" t="n">
        <f aca="false">(SUMPRODUCT($E870:$E880,G870:G880))*1</f>
        <v>2.1003042915666</v>
      </c>
    </row>
    <row r="870" customFormat="false" ht="21" hidden="false" customHeight="false" outlineLevel="0" collapsed="false">
      <c r="A870" s="154" t="n">
        <v>37370</v>
      </c>
      <c r="B870" s="155" t="s">
        <v>1443</v>
      </c>
      <c r="C870" s="148" t="str">
        <f aca="false">VLOOKUP($A870,INSUMOS_AUX!$A$3:$H$813,3,0)</f>
        <v>MAT.</v>
      </c>
      <c r="D870" s="156" t="s">
        <v>1444</v>
      </c>
      <c r="E870" s="154" t="n">
        <v>0.1031695</v>
      </c>
      <c r="F870" s="149" t="n">
        <f aca="false">IF(C870="MAT.",VLOOKUP(A870,INSUMOS_AUX!$A$3:$H$813,6,0),0)</f>
        <v>3.32</v>
      </c>
      <c r="G870" s="149" t="n">
        <f aca="false">IF(C870="M.O.",VLOOKUP(A870,INSUMOS_AUX!A:F,6,0),0)</f>
        <v>0</v>
      </c>
    </row>
    <row r="871" customFormat="false" ht="21" hidden="false" customHeight="false" outlineLevel="0" collapsed="false">
      <c r="A871" s="154" t="n">
        <v>43489</v>
      </c>
      <c r="B871" s="155" t="s">
        <v>1456</v>
      </c>
      <c r="C871" s="148" t="str">
        <f aca="false">VLOOKUP($A871,INSUMOS_AUX!$A$3:$H$813,3,0)</f>
        <v>MAT.</v>
      </c>
      <c r="D871" s="156" t="s">
        <v>1444</v>
      </c>
      <c r="E871" s="154" t="n">
        <v>0.1031695</v>
      </c>
      <c r="F871" s="149" t="n">
        <f aca="false">IF(C871="MAT.",VLOOKUP(A871,INSUMOS_AUX!$A$3:$H$813,6,0),0)</f>
        <v>1.31</v>
      </c>
      <c r="G871" s="149" t="n">
        <f aca="false">IF(C871="M.O.",VLOOKUP(A871,INSUMOS_AUX!A:F,6,0),0)</f>
        <v>0</v>
      </c>
    </row>
    <row r="872" customFormat="false" ht="21" hidden="false" customHeight="false" outlineLevel="0" collapsed="false">
      <c r="A872" s="154" t="n">
        <v>37372</v>
      </c>
      <c r="B872" s="155" t="s">
        <v>1446</v>
      </c>
      <c r="C872" s="148" t="str">
        <f aca="false">VLOOKUP($A872,INSUMOS_AUX!$A$3:$H$813,3,0)</f>
        <v>MAT.</v>
      </c>
      <c r="D872" s="156" t="s">
        <v>1444</v>
      </c>
      <c r="E872" s="154" t="n">
        <v>0.1031695</v>
      </c>
      <c r="F872" s="149" t="n">
        <f aca="false">IF(C872="MAT.",VLOOKUP(A872,INSUMOS_AUX!$A$3:$H$813,6,0),0)</f>
        <v>1.43</v>
      </c>
      <c r="G872" s="149" t="n">
        <f aca="false">IF(C872="M.O.",VLOOKUP(A872,INSUMOS_AUX!A:F,6,0),0)</f>
        <v>0</v>
      </c>
    </row>
    <row r="873" customFormat="false" ht="21" hidden="false" customHeight="false" outlineLevel="0" collapsed="false">
      <c r="A873" s="154" t="n">
        <v>43465</v>
      </c>
      <c r="B873" s="155" t="s">
        <v>1458</v>
      </c>
      <c r="C873" s="148" t="str">
        <f aca="false">VLOOKUP($A873,INSUMOS_AUX!$A$3:$H$813,3,0)</f>
        <v>MAT.</v>
      </c>
      <c r="D873" s="156" t="s">
        <v>1444</v>
      </c>
      <c r="E873" s="154" t="n">
        <v>0.1031695</v>
      </c>
      <c r="F873" s="149" t="n">
        <f aca="false">IF(C873="MAT.",VLOOKUP(A873,INSUMOS_AUX!$A$3:$H$813,6,0),0)</f>
        <v>0.78</v>
      </c>
      <c r="G873" s="149" t="n">
        <f aca="false">IF(C873="M.O.",VLOOKUP(A873,INSUMOS_AUX!A:F,6,0),0)</f>
        <v>0</v>
      </c>
    </row>
    <row r="874" customFormat="false" ht="21" hidden="false" customHeight="false" outlineLevel="0" collapsed="false">
      <c r="A874" s="154" t="n">
        <v>37373</v>
      </c>
      <c r="B874" s="155" t="s">
        <v>1448</v>
      </c>
      <c r="C874" s="148" t="str">
        <f aca="false">VLOOKUP($A874,INSUMOS_AUX!$A$3:$H$813,3,0)</f>
        <v>MAT.</v>
      </c>
      <c r="D874" s="156" t="s">
        <v>1444</v>
      </c>
      <c r="E874" s="154" t="n">
        <v>0.1031695</v>
      </c>
      <c r="F874" s="149" t="n">
        <f aca="false">IF(C874="MAT.",VLOOKUP(A874,INSUMOS_AUX!$A$3:$H$813,6,0),0)</f>
        <v>0.08</v>
      </c>
      <c r="G874" s="149" t="n">
        <f aca="false">IF(C874="M.O.",VLOOKUP(A874,INSUMOS_AUX!A:F,6,0),0)</f>
        <v>0</v>
      </c>
    </row>
    <row r="875" customFormat="false" ht="21" hidden="false" customHeight="false" outlineLevel="0" collapsed="false">
      <c r="A875" s="154" t="n">
        <v>37371</v>
      </c>
      <c r="B875" s="155" t="s">
        <v>1449</v>
      </c>
      <c r="C875" s="148" t="str">
        <f aca="false">VLOOKUP($A875,INSUMOS_AUX!$A$3:$H$813,3,0)</f>
        <v>MAT.</v>
      </c>
      <c r="D875" s="156" t="s">
        <v>1444</v>
      </c>
      <c r="E875" s="154" t="n">
        <v>0.1031695</v>
      </c>
      <c r="F875" s="149" t="n">
        <f aca="false">IF(C875="MAT.",VLOOKUP(A875,INSUMOS_AUX!$A$3:$H$813,6,0),0)</f>
        <v>0.59</v>
      </c>
      <c r="G875" s="149" t="n">
        <f aca="false">IF(C875="M.O.",VLOOKUP(A875,INSUMOS_AUX!A:F,6,0),0)</f>
        <v>0</v>
      </c>
    </row>
    <row r="876" customFormat="false" ht="15" hidden="false" customHeight="false" outlineLevel="0" collapsed="false">
      <c r="A876" s="154" t="n">
        <v>34</v>
      </c>
      <c r="B876" s="155" t="s">
        <v>1645</v>
      </c>
      <c r="C876" s="148" t="str">
        <f aca="false">VLOOKUP($A876,INSUMOS_AUX!$A$3:$H$813,3,0)</f>
        <v>MAT.</v>
      </c>
      <c r="D876" s="156" t="s">
        <v>1513</v>
      </c>
      <c r="E876" s="154" t="n">
        <v>1.11</v>
      </c>
      <c r="F876" s="149" t="n">
        <f aca="false">IF(C876="MAT.",VLOOKUP(A876,INSUMOS_AUX!$A$3:$H$813,6,0),0)</f>
        <v>7.68</v>
      </c>
      <c r="G876" s="149" t="n">
        <f aca="false">IF(C876="M.O.",VLOOKUP(A876,INSUMOS_AUX!A:F,6,0),0)</f>
        <v>0</v>
      </c>
    </row>
    <row r="877" customFormat="false" ht="21" hidden="false" customHeight="false" outlineLevel="0" collapsed="false">
      <c r="A877" s="154" t="n">
        <v>43132</v>
      </c>
      <c r="B877" s="155" t="s">
        <v>1565</v>
      </c>
      <c r="C877" s="148" t="str">
        <f aca="false">VLOOKUP($A877,INSUMOS_AUX!$A$3:$H$813,3,0)</f>
        <v>MAT.</v>
      </c>
      <c r="D877" s="156" t="s">
        <v>1513</v>
      </c>
      <c r="E877" s="154" t="n">
        <v>0.025</v>
      </c>
      <c r="F877" s="149" t="n">
        <f aca="false">IF(C877="MAT.",VLOOKUP(A877,INSUMOS_AUX!$A$3:$H$813,6,0),0)</f>
        <v>28</v>
      </c>
      <c r="G877" s="149" t="n">
        <f aca="false">IF(C877="M.O.",VLOOKUP(A877,INSUMOS_AUX!A:F,6,0),0)</f>
        <v>0</v>
      </c>
    </row>
    <row r="878" customFormat="false" ht="21" hidden="false" customHeight="false" outlineLevel="0" collapsed="false">
      <c r="A878" s="154" t="n">
        <v>39017</v>
      </c>
      <c r="B878" s="155" t="s">
        <v>1621</v>
      </c>
      <c r="C878" s="148" t="str">
        <f aca="false">VLOOKUP($A878,INSUMOS_AUX!$A$3:$H$813,3,0)</f>
        <v>MAT.</v>
      </c>
      <c r="D878" s="156" t="s">
        <v>31</v>
      </c>
      <c r="E878" s="154" t="n">
        <v>0.543</v>
      </c>
      <c r="F878" s="149" t="n">
        <f aca="false">IF(C878="MAT.",VLOOKUP(A878,INSUMOS_AUX!$A$3:$H$813,6,0),0)</f>
        <v>0.22</v>
      </c>
      <c r="G878" s="149" t="n">
        <f aca="false">IF(C878="M.O.",VLOOKUP(A878,INSUMOS_AUX!A:F,6,0),0)</f>
        <v>0</v>
      </c>
    </row>
    <row r="879" customFormat="false" ht="15" hidden="false" customHeight="false" outlineLevel="0" collapsed="false">
      <c r="A879" s="154" t="n">
        <v>6114</v>
      </c>
      <c r="B879" s="155" t="s">
        <v>1588</v>
      </c>
      <c r="C879" s="148" t="str">
        <f aca="false">VLOOKUP($A879,INSUMOS_AUX!$A$3:$H$813,3,0)</f>
        <v>M.O.</v>
      </c>
      <c r="D879" s="156" t="s">
        <v>1444</v>
      </c>
      <c r="E879" s="154" t="n">
        <v>0.001416156</v>
      </c>
      <c r="F879" s="149" t="n">
        <f aca="false">IF(C879="MAT.",VLOOKUP(A879,INSUMOS_AUX!$A$3:$H$813,6,0),0)</f>
        <v>0</v>
      </c>
      <c r="G879" s="149" t="n">
        <f aca="false">IF(C879="M.O.",VLOOKUP(A879,INSUMOS_AUX!A:F,6,0),0)</f>
        <v>13.26</v>
      </c>
    </row>
    <row r="880" customFormat="false" ht="15" hidden="false" customHeight="false" outlineLevel="0" collapsed="false">
      <c r="A880" s="154" t="n">
        <v>378</v>
      </c>
      <c r="B880" s="155" t="s">
        <v>1589</v>
      </c>
      <c r="C880" s="148" t="str">
        <f aca="false">VLOOKUP($A880,INSUMOS_AUX!$A$3:$H$813,3,0)</f>
        <v>M.O.</v>
      </c>
      <c r="D880" s="156" t="s">
        <v>1444</v>
      </c>
      <c r="E880" s="154" t="n">
        <v>0.10294392003</v>
      </c>
      <c r="F880" s="149" t="n">
        <f aca="false">IF(C880="MAT.",VLOOKUP(A880,INSUMOS_AUX!$A$3:$H$813,6,0),0)</f>
        <v>0</v>
      </c>
      <c r="G880" s="149" t="n">
        <f aca="false">IF(C880="M.O.",VLOOKUP(A880,INSUMOS_AUX!A:F,6,0),0)</f>
        <v>20.22</v>
      </c>
    </row>
    <row r="881" customFormat="false" ht="31.5" hidden="false" customHeight="false" outlineLevel="0" collapsed="false">
      <c r="A881" s="150" t="n">
        <v>100341</v>
      </c>
      <c r="B881" s="151" t="s">
        <v>1665</v>
      </c>
      <c r="C881" s="152" t="s">
        <v>59</v>
      </c>
      <c r="D881" s="152" t="s">
        <v>1477</v>
      </c>
      <c r="E881" s="150"/>
      <c r="F881" s="153" t="n">
        <f aca="false">(SUMPRODUCT($E882:$E901,F882:F901))*1</f>
        <v>23.6354931477794</v>
      </c>
      <c r="G881" s="153" t="n">
        <f aca="false">(SUMPRODUCT($E882:$E901,G882:G901))*1</f>
        <v>14.8635001054181</v>
      </c>
    </row>
    <row r="882" customFormat="false" ht="21" hidden="false" customHeight="false" outlineLevel="0" collapsed="false">
      <c r="A882" s="154" t="n">
        <v>37370</v>
      </c>
      <c r="B882" s="155" t="s">
        <v>1443</v>
      </c>
      <c r="C882" s="148" t="str">
        <f aca="false">VLOOKUP($A882,INSUMOS_AUX!$A$3:$H$813,3,0)</f>
        <v>MAT.</v>
      </c>
      <c r="D882" s="156" t="s">
        <v>1444</v>
      </c>
      <c r="E882" s="154" t="n">
        <v>0.7326196</v>
      </c>
      <c r="F882" s="149" t="n">
        <f aca="false">IF(C882="MAT.",VLOOKUP(A882,INSUMOS_AUX!$A$3:$H$813,6,0),0)</f>
        <v>3.32</v>
      </c>
      <c r="G882" s="149" t="n">
        <f aca="false">IF(C882="M.O.",VLOOKUP(A882,INSUMOS_AUX!A:F,6,0),0)</f>
        <v>0</v>
      </c>
    </row>
    <row r="883" customFormat="false" ht="21" hidden="false" customHeight="false" outlineLevel="0" collapsed="false">
      <c r="A883" s="154" t="n">
        <v>43483</v>
      </c>
      <c r="B883" s="155" t="s">
        <v>1486</v>
      </c>
      <c r="C883" s="148" t="s">
        <v>59</v>
      </c>
      <c r="D883" s="156" t="s">
        <v>1444</v>
      </c>
      <c r="E883" s="154" t="n">
        <v>0.7253749</v>
      </c>
      <c r="F883" s="149" t="n">
        <f aca="false">IF(C883="MAT.",VLOOKUP(A883,INSUMOS_AUX!$A$3:$H$813,6,0),0)</f>
        <v>0</v>
      </c>
      <c r="G883" s="149" t="n">
        <f aca="false">IF(C883="M.O.",VLOOKUP(A883,INSUMOS_AUX!A:F,6,0),0)</f>
        <v>0</v>
      </c>
    </row>
    <row r="884" customFormat="false" ht="21" hidden="false" customHeight="false" outlineLevel="0" collapsed="false">
      <c r="A884" s="154" t="n">
        <v>43488</v>
      </c>
      <c r="B884" s="155" t="s">
        <v>1445</v>
      </c>
      <c r="C884" s="148" t="str">
        <f aca="false">VLOOKUP($A884,INSUMOS_AUX!$A$3:$H$813,3,0)</f>
        <v>MAT.</v>
      </c>
      <c r="D884" s="156" t="s">
        <v>1444</v>
      </c>
      <c r="E884" s="154" t="n">
        <v>0.0072447</v>
      </c>
      <c r="F884" s="149" t="n">
        <f aca="false">IF(C884="MAT.",VLOOKUP(A884,INSUMOS_AUX!$A$3:$H$813,6,0),0)</f>
        <v>0.89</v>
      </c>
      <c r="G884" s="149" t="n">
        <f aca="false">IF(C884="M.O.",VLOOKUP(A884,INSUMOS_AUX!A:F,6,0),0)</f>
        <v>0</v>
      </c>
    </row>
    <row r="885" customFormat="false" ht="21" hidden="false" customHeight="false" outlineLevel="0" collapsed="false">
      <c r="A885" s="154" t="n">
        <v>37372</v>
      </c>
      <c r="B885" s="155" t="s">
        <v>1446</v>
      </c>
      <c r="C885" s="148" t="str">
        <f aca="false">VLOOKUP($A885,INSUMOS_AUX!$A$3:$H$813,3,0)</f>
        <v>MAT.</v>
      </c>
      <c r="D885" s="156" t="s">
        <v>1444</v>
      </c>
      <c r="E885" s="154" t="n">
        <v>0.7326196</v>
      </c>
      <c r="F885" s="149" t="n">
        <f aca="false">IF(C885="MAT.",VLOOKUP(A885,INSUMOS_AUX!$A$3:$H$813,6,0),0)</f>
        <v>1.43</v>
      </c>
      <c r="G885" s="149" t="n">
        <f aca="false">IF(C885="M.O.",VLOOKUP(A885,INSUMOS_AUX!A:F,6,0),0)</f>
        <v>0</v>
      </c>
    </row>
    <row r="886" customFormat="false" ht="21" hidden="false" customHeight="false" outlineLevel="0" collapsed="false">
      <c r="A886" s="154" t="n">
        <v>43459</v>
      </c>
      <c r="B886" s="155" t="s">
        <v>1487</v>
      </c>
      <c r="C886" s="148" t="str">
        <f aca="false">VLOOKUP($A886,INSUMOS_AUX!$A$3:$H$813,3,0)</f>
        <v>MAT.</v>
      </c>
      <c r="D886" s="156" t="s">
        <v>1444</v>
      </c>
      <c r="E886" s="154" t="n">
        <v>0.7253749</v>
      </c>
      <c r="F886" s="149" t="n">
        <f aca="false">IF(C886="MAT.",VLOOKUP(A886,INSUMOS_AUX!$A$3:$H$813,6,0),0)</f>
        <v>0.44</v>
      </c>
      <c r="G886" s="149" t="n">
        <f aca="false">IF(C886="M.O.",VLOOKUP(A886,INSUMOS_AUX!A:F,6,0),0)</f>
        <v>0</v>
      </c>
    </row>
    <row r="887" customFormat="false" ht="21" hidden="false" customHeight="false" outlineLevel="0" collapsed="false">
      <c r="A887" s="154" t="n">
        <v>43464</v>
      </c>
      <c r="B887" s="155" t="s">
        <v>1447</v>
      </c>
      <c r="C887" s="148" t="str">
        <f aca="false">VLOOKUP($A887,INSUMOS_AUX!$A$3:$H$813,3,0)</f>
        <v>MAT.</v>
      </c>
      <c r="D887" s="156" t="s">
        <v>1444</v>
      </c>
      <c r="E887" s="154" t="n">
        <v>0.0072447</v>
      </c>
      <c r="F887" s="149" t="n">
        <f aca="false">IF(C887="MAT.",VLOOKUP(A887,INSUMOS_AUX!$A$3:$H$813,6,0),0)</f>
        <v>0.01</v>
      </c>
      <c r="G887" s="149" t="n">
        <f aca="false">IF(C887="M.O.",VLOOKUP(A887,INSUMOS_AUX!A:F,6,0),0)</f>
        <v>0</v>
      </c>
    </row>
    <row r="888" customFormat="false" ht="21" hidden="false" customHeight="false" outlineLevel="0" collapsed="false">
      <c r="A888" s="154" t="n">
        <v>37373</v>
      </c>
      <c r="B888" s="155" t="s">
        <v>1448</v>
      </c>
      <c r="C888" s="148" t="str">
        <f aca="false">VLOOKUP($A888,INSUMOS_AUX!$A$3:$H$813,3,0)</f>
        <v>MAT.</v>
      </c>
      <c r="D888" s="156" t="s">
        <v>1444</v>
      </c>
      <c r="E888" s="154" t="n">
        <v>0.7326196</v>
      </c>
      <c r="F888" s="149" t="n">
        <f aca="false">IF(C888="MAT.",VLOOKUP(A888,INSUMOS_AUX!$A$3:$H$813,6,0),0)</f>
        <v>0.08</v>
      </c>
      <c r="G888" s="149" t="n">
        <f aca="false">IF(C888="M.O.",VLOOKUP(A888,INSUMOS_AUX!A:F,6,0),0)</f>
        <v>0</v>
      </c>
    </row>
    <row r="889" customFormat="false" ht="21" hidden="false" customHeight="false" outlineLevel="0" collapsed="false">
      <c r="A889" s="154" t="n">
        <v>37371</v>
      </c>
      <c r="B889" s="155" t="s">
        <v>1449</v>
      </c>
      <c r="C889" s="148" t="str">
        <f aca="false">VLOOKUP($A889,INSUMOS_AUX!$A$3:$H$813,3,0)</f>
        <v>MAT.</v>
      </c>
      <c r="D889" s="156" t="s">
        <v>1444</v>
      </c>
      <c r="E889" s="154" t="n">
        <v>0.7326196</v>
      </c>
      <c r="F889" s="149" t="n">
        <f aca="false">IF(C889="MAT.",VLOOKUP(A889,INSUMOS_AUX!$A$3:$H$813,6,0),0)</f>
        <v>0.59</v>
      </c>
      <c r="G889" s="149" t="n">
        <f aca="false">IF(C889="M.O.",VLOOKUP(A889,INSUMOS_AUX!A:F,6,0),0)</f>
        <v>0</v>
      </c>
    </row>
    <row r="890" customFormat="false" ht="21" hidden="false" customHeight="false" outlineLevel="0" collapsed="false">
      <c r="A890" s="154" t="n">
        <v>40271</v>
      </c>
      <c r="B890" s="155" t="s">
        <v>1637</v>
      </c>
      <c r="C890" s="148" t="str">
        <f aca="false">VLOOKUP($A890,INSUMOS_AUX!$A$3:$H$813,3,0)</f>
        <v>MAT.</v>
      </c>
      <c r="D890" s="156" t="s">
        <v>1638</v>
      </c>
      <c r="E890" s="154" t="n">
        <v>0.1246753</v>
      </c>
      <c r="F890" s="149" t="n">
        <f aca="false">IF(C890="MAT.",VLOOKUP(A890,INSUMOS_AUX!$A$3:$H$813,6,0),0)</f>
        <v>22.96</v>
      </c>
      <c r="G890" s="149" t="n">
        <f aca="false">IF(C890="M.O.",VLOOKUP(A890,INSUMOS_AUX!A:F,6,0),0)</f>
        <v>0</v>
      </c>
    </row>
    <row r="891" customFormat="false" ht="21" hidden="false" customHeight="false" outlineLevel="0" collapsed="false">
      <c r="A891" s="154" t="n">
        <v>40287</v>
      </c>
      <c r="B891" s="155" t="s">
        <v>1639</v>
      </c>
      <c r="C891" s="148" t="str">
        <f aca="false">VLOOKUP($A891,INSUMOS_AUX!$A$3:$H$813,3,0)</f>
        <v>MAT.</v>
      </c>
      <c r="D891" s="156" t="s">
        <v>1416</v>
      </c>
      <c r="E891" s="154" t="n">
        <v>0.2493506</v>
      </c>
      <c r="F891" s="149" t="n">
        <f aca="false">IF(C891="MAT.",VLOOKUP(A891,INSUMOS_AUX!$A$3:$H$813,6,0),0)</f>
        <v>8.84</v>
      </c>
      <c r="G891" s="149" t="n">
        <f aca="false">IF(C891="M.O.",VLOOKUP(A891,INSUMOS_AUX!A:F,6,0),0)</f>
        <v>0</v>
      </c>
    </row>
    <row r="892" customFormat="false" ht="31.5" hidden="false" customHeight="false" outlineLevel="0" collapsed="false">
      <c r="A892" s="154" t="n">
        <v>40275</v>
      </c>
      <c r="B892" s="155" t="s">
        <v>1640</v>
      </c>
      <c r="C892" s="148" t="str">
        <f aca="false">VLOOKUP($A892,INSUMOS_AUX!$A$3:$H$813,3,0)</f>
        <v>MAT.</v>
      </c>
      <c r="D892" s="156" t="s">
        <v>1638</v>
      </c>
      <c r="E892" s="154" t="n">
        <v>0.1371429</v>
      </c>
      <c r="F892" s="149" t="n">
        <f aca="false">IF(C892="MAT.",VLOOKUP(A892,INSUMOS_AUX!$A$3:$H$813,6,0),0)</f>
        <v>24</v>
      </c>
      <c r="G892" s="149" t="n">
        <f aca="false">IF(C892="M.O.",VLOOKUP(A892,INSUMOS_AUX!A:F,6,0),0)</f>
        <v>0</v>
      </c>
    </row>
    <row r="893" customFormat="false" ht="21" hidden="false" customHeight="false" outlineLevel="0" collapsed="false">
      <c r="A893" s="154" t="n">
        <v>14618</v>
      </c>
      <c r="B893" s="155" t="s">
        <v>1592</v>
      </c>
      <c r="C893" s="148" t="str">
        <f aca="false">VLOOKUP($A893,INSUMOS_AUX!$A$3:$H$813,3,0)</f>
        <v>MAT.</v>
      </c>
      <c r="D893" s="156" t="s">
        <v>31</v>
      </c>
      <c r="E893" s="154" t="n">
        <v>7.0101496E-007</v>
      </c>
      <c r="F893" s="149" t="n">
        <f aca="false">IF(C893="MAT.",VLOOKUP(A893,INSUMOS_AUX!$A$3:$H$813,6,0),0)</f>
        <v>1283.38</v>
      </c>
      <c r="G893" s="149" t="n">
        <f aca="false">IF(C893="M.O.",VLOOKUP(A893,INSUMOS_AUX!A:F,6,0),0)</f>
        <v>0</v>
      </c>
    </row>
    <row r="894" customFormat="false" ht="15" hidden="false" customHeight="false" outlineLevel="0" collapsed="false">
      <c r="A894" s="154" t="n">
        <v>2705</v>
      </c>
      <c r="B894" s="155" t="s">
        <v>1467</v>
      </c>
      <c r="C894" s="148" t="str">
        <f aca="false">VLOOKUP($A894,INSUMOS_AUX!$A$3:$H$813,3,0)</f>
        <v>MAT.</v>
      </c>
      <c r="D894" s="156" t="s">
        <v>1468</v>
      </c>
      <c r="E894" s="154" t="n">
        <v>0.00196316</v>
      </c>
      <c r="F894" s="149" t="n">
        <f aca="false">IF(C894="MAT.",VLOOKUP(A894,INSUMOS_AUX!$A$3:$H$813,6,0),0)</f>
        <v>0.92</v>
      </c>
      <c r="G894" s="149" t="n">
        <f aca="false">IF(C894="M.O.",VLOOKUP(A894,INSUMOS_AUX!A:F,6,0),0)</f>
        <v>0</v>
      </c>
    </row>
    <row r="895" customFormat="false" ht="31.5" hidden="false" customHeight="false" outlineLevel="0" collapsed="false">
      <c r="A895" s="154" t="n">
        <v>1345</v>
      </c>
      <c r="B895" s="155" t="s">
        <v>1666</v>
      </c>
      <c r="C895" s="148" t="str">
        <f aca="false">VLOOKUP($A895,INSUMOS_AUX!$A$3:$H$813,3,0)</f>
        <v>MAT.</v>
      </c>
      <c r="D895" s="156" t="s">
        <v>1477</v>
      </c>
      <c r="E895" s="154" t="n">
        <v>0.11025</v>
      </c>
      <c r="F895" s="149" t="n">
        <f aca="false">IF(C895="MAT.",VLOOKUP(A895,INSUMOS_AUX!$A$3:$H$813,6,0),0)</f>
        <v>97.73</v>
      </c>
      <c r="G895" s="149" t="n">
        <f aca="false">IF(C895="M.O.",VLOOKUP(A895,INSUMOS_AUX!A:F,6,0),0)</f>
        <v>0</v>
      </c>
    </row>
    <row r="896" customFormat="false" ht="21" hidden="false" customHeight="false" outlineLevel="0" collapsed="false">
      <c r="A896" s="154" t="n">
        <v>2692</v>
      </c>
      <c r="B896" s="155" t="s">
        <v>1570</v>
      </c>
      <c r="C896" s="148" t="str">
        <f aca="false">VLOOKUP($A896,INSUMOS_AUX!$A$3:$H$813,3,0)</f>
        <v>MAT.</v>
      </c>
      <c r="D896" s="156" t="s">
        <v>1452</v>
      </c>
      <c r="E896" s="154" t="n">
        <v>0.0035072</v>
      </c>
      <c r="F896" s="149" t="n">
        <f aca="false">IF(C896="MAT.",VLOOKUP(A896,INSUMOS_AUX!$A$3:$H$813,6,0),0)</f>
        <v>6.52</v>
      </c>
      <c r="G896" s="149" t="n">
        <f aca="false">IF(C896="M.O.",VLOOKUP(A896,INSUMOS_AUX!A:F,6,0),0)</f>
        <v>0</v>
      </c>
    </row>
    <row r="897" customFormat="false" ht="21" hidden="false" customHeight="false" outlineLevel="0" collapsed="false">
      <c r="A897" s="154" t="n">
        <v>4491</v>
      </c>
      <c r="B897" s="155" t="s">
        <v>1578</v>
      </c>
      <c r="C897" s="148" t="s">
        <v>59</v>
      </c>
      <c r="D897" s="156" t="s">
        <v>1455</v>
      </c>
      <c r="E897" s="154" t="n">
        <v>0.42</v>
      </c>
      <c r="F897" s="149" t="n">
        <f aca="false">IF(C897="MAT.",VLOOKUP(A897,INSUMOS_AUX!$A$3:$H$813,6,0),0)</f>
        <v>0</v>
      </c>
      <c r="G897" s="149" t="n">
        <f aca="false">IF(C897="M.O.",VLOOKUP(A897,INSUMOS_AUX!A:F,6,0),0)</f>
        <v>0</v>
      </c>
    </row>
    <row r="898" customFormat="false" ht="15" hidden="false" customHeight="false" outlineLevel="0" collapsed="false">
      <c r="A898" s="154" t="n">
        <v>5068</v>
      </c>
      <c r="B898" s="155" t="s">
        <v>1579</v>
      </c>
      <c r="C898" s="148" t="str">
        <f aca="false">VLOOKUP($A898,INSUMOS_AUX!$A$3:$H$813,3,0)</f>
        <v>MAT.</v>
      </c>
      <c r="D898" s="156" t="s">
        <v>1513</v>
      </c>
      <c r="E898" s="154" t="n">
        <v>0.0088727</v>
      </c>
      <c r="F898" s="149" t="n">
        <f aca="false">IF(C898="MAT.",VLOOKUP(A898,INSUMOS_AUX!$A$3:$H$813,6,0),0)</f>
        <v>20.34</v>
      </c>
      <c r="G898" s="149" t="n">
        <f aca="false">IF(C898="M.O.",VLOOKUP(A898,INSUMOS_AUX!A:F,6,0),0)</f>
        <v>0</v>
      </c>
    </row>
    <row r="899" customFormat="false" ht="15" hidden="false" customHeight="false" outlineLevel="0" collapsed="false">
      <c r="A899" s="154" t="n">
        <v>6117</v>
      </c>
      <c r="B899" s="155" t="s">
        <v>1555</v>
      </c>
      <c r="C899" s="148" t="str">
        <f aca="false">VLOOKUP($A899,INSUMOS_AUX!$A$3:$H$813,3,0)</f>
        <v>M.O.</v>
      </c>
      <c r="D899" s="156" t="s">
        <v>1444</v>
      </c>
      <c r="E899" s="154" t="n">
        <v>0.011502406076</v>
      </c>
      <c r="F899" s="149" t="n">
        <f aca="false">IF(C899="MAT.",VLOOKUP(A899,INSUMOS_AUX!$A$3:$H$813,6,0),0)</f>
        <v>0</v>
      </c>
      <c r="G899" s="149" t="n">
        <f aca="false">IF(C899="M.O.",VLOOKUP(A899,INSUMOS_AUX!A:F,6,0),0)</f>
        <v>13.26</v>
      </c>
    </row>
    <row r="900" customFormat="false" ht="15" hidden="false" customHeight="false" outlineLevel="0" collapsed="false">
      <c r="A900" s="154" t="n">
        <v>1213</v>
      </c>
      <c r="B900" s="155" t="s">
        <v>1516</v>
      </c>
      <c r="C900" s="148" t="str">
        <f aca="false">VLOOKUP($A900,INSUMOS_AUX!$A$3:$H$813,3,0)</f>
        <v>M.O.</v>
      </c>
      <c r="D900" s="156" t="s">
        <v>1444</v>
      </c>
      <c r="E900" s="154" t="n">
        <v>0.722279819292</v>
      </c>
      <c r="F900" s="149" t="n">
        <f aca="false">IF(C900="MAT.",VLOOKUP(A900,INSUMOS_AUX!$A$3:$H$813,6,0),0)</f>
        <v>0</v>
      </c>
      <c r="G900" s="149" t="n">
        <f aca="false">IF(C900="M.O.",VLOOKUP(A900,INSUMOS_AUX!A:F,6,0),0)</f>
        <v>20.22</v>
      </c>
    </row>
    <row r="901" customFormat="false" ht="21" hidden="false" customHeight="false" outlineLevel="0" collapsed="false">
      <c r="A901" s="154" t="n">
        <v>4230</v>
      </c>
      <c r="B901" s="155" t="s">
        <v>1597</v>
      </c>
      <c r="C901" s="148" t="str">
        <f aca="false">VLOOKUP($A901,INSUMOS_AUX!$A$3:$H$813,3,0)</f>
        <v>M.O.</v>
      </c>
      <c r="D901" s="156" t="s">
        <v>1444</v>
      </c>
      <c r="E901" s="154" t="n">
        <v>0.007328303838</v>
      </c>
      <c r="F901" s="149" t="n">
        <f aca="false">IF(C901="MAT.",VLOOKUP(A901,INSUMOS_AUX!$A$3:$H$813,6,0),0)</f>
        <v>0</v>
      </c>
      <c r="G901" s="149" t="n">
        <f aca="false">IF(C901="M.O.",VLOOKUP(A901,INSUMOS_AUX!A:F,6,0),0)</f>
        <v>14.53</v>
      </c>
    </row>
    <row r="902" customFormat="false" ht="21" hidden="false" customHeight="false" outlineLevel="0" collapsed="false">
      <c r="A902" s="150" t="s">
        <v>161</v>
      </c>
      <c r="B902" s="151" t="s">
        <v>1667</v>
      </c>
      <c r="C902" s="152" t="s">
        <v>59</v>
      </c>
      <c r="D902" s="152" t="s">
        <v>1442</v>
      </c>
      <c r="E902" s="150"/>
      <c r="F902" s="153" t="n">
        <f aca="false">(SUMPRODUCT($E903:$E912,F903:F912))*1</f>
        <v>767.2426888</v>
      </c>
      <c r="G902" s="153" t="n">
        <f aca="false">(SUMPRODUCT($E903:$E912,G903:G912))*1</f>
        <v>22.3914112416</v>
      </c>
    </row>
    <row r="903" customFormat="false" ht="21" hidden="false" customHeight="false" outlineLevel="0" collapsed="false">
      <c r="A903" s="154" t="n">
        <v>37370</v>
      </c>
      <c r="B903" s="155" t="s">
        <v>1443</v>
      </c>
      <c r="C903" s="148" t="str">
        <f aca="false">VLOOKUP($A903,INSUMOS_AUX!$A$3:$H$813,3,0)</f>
        <v>MAT.</v>
      </c>
      <c r="D903" s="156" t="s">
        <v>1444</v>
      </c>
      <c r="E903" s="154" t="n">
        <v>1.0844</v>
      </c>
      <c r="F903" s="149" t="n">
        <f aca="false">IF(C903="MAT.",VLOOKUP(A903,INSUMOS_AUX!$A$3:$H$813,6,0),0)</f>
        <v>3.32</v>
      </c>
      <c r="G903" s="149" t="n">
        <f aca="false">IF(C903="M.O.",VLOOKUP(A903,INSUMOS_AUX!A:F,6,0),0)</f>
        <v>0</v>
      </c>
    </row>
    <row r="904" customFormat="false" ht="21" hidden="false" customHeight="false" outlineLevel="0" collapsed="false">
      <c r="A904" s="154" t="n">
        <v>43489</v>
      </c>
      <c r="B904" s="155" t="s">
        <v>1456</v>
      </c>
      <c r="C904" s="148" t="str">
        <f aca="false">VLOOKUP($A904,INSUMOS_AUX!$A$3:$H$813,3,0)</f>
        <v>MAT.</v>
      </c>
      <c r="D904" s="156" t="s">
        <v>1444</v>
      </c>
      <c r="E904" s="154" t="n">
        <v>1.0844</v>
      </c>
      <c r="F904" s="149" t="n">
        <f aca="false">IF(C904="MAT.",VLOOKUP(A904,INSUMOS_AUX!$A$3:$H$813,6,0),0)</f>
        <v>1.31</v>
      </c>
      <c r="G904" s="149" t="n">
        <f aca="false">IF(C904="M.O.",VLOOKUP(A904,INSUMOS_AUX!A:F,6,0),0)</f>
        <v>0</v>
      </c>
    </row>
    <row r="905" customFormat="false" ht="21" hidden="false" customHeight="false" outlineLevel="0" collapsed="false">
      <c r="A905" s="154" t="n">
        <v>37372</v>
      </c>
      <c r="B905" s="155" t="s">
        <v>1446</v>
      </c>
      <c r="C905" s="148" t="str">
        <f aca="false">VLOOKUP($A905,INSUMOS_AUX!$A$3:$H$813,3,0)</f>
        <v>MAT.</v>
      </c>
      <c r="D905" s="156" t="s">
        <v>1444</v>
      </c>
      <c r="E905" s="154" t="n">
        <v>1.0844</v>
      </c>
      <c r="F905" s="149" t="n">
        <f aca="false">IF(C905="MAT.",VLOOKUP(A905,INSUMOS_AUX!$A$3:$H$813,6,0),0)</f>
        <v>1.43</v>
      </c>
      <c r="G905" s="149" t="n">
        <f aca="false">IF(C905="M.O.",VLOOKUP(A905,INSUMOS_AUX!A:F,6,0),0)</f>
        <v>0</v>
      </c>
    </row>
    <row r="906" customFormat="false" ht="21" hidden="false" customHeight="false" outlineLevel="0" collapsed="false">
      <c r="A906" s="154" t="n">
        <v>43465</v>
      </c>
      <c r="B906" s="155" t="s">
        <v>1458</v>
      </c>
      <c r="C906" s="148" t="str">
        <f aca="false">VLOOKUP($A906,INSUMOS_AUX!$A$3:$H$813,3,0)</f>
        <v>MAT.</v>
      </c>
      <c r="D906" s="156" t="s">
        <v>1444</v>
      </c>
      <c r="E906" s="154" t="n">
        <v>1.0844</v>
      </c>
      <c r="F906" s="149" t="n">
        <f aca="false">IF(C906="MAT.",VLOOKUP(A906,INSUMOS_AUX!$A$3:$H$813,6,0),0)</f>
        <v>0.78</v>
      </c>
      <c r="G906" s="149" t="n">
        <f aca="false">IF(C906="M.O.",VLOOKUP(A906,INSUMOS_AUX!A:F,6,0),0)</f>
        <v>0</v>
      </c>
    </row>
    <row r="907" customFormat="false" ht="21" hidden="false" customHeight="false" outlineLevel="0" collapsed="false">
      <c r="A907" s="154" t="n">
        <v>37373</v>
      </c>
      <c r="B907" s="155" t="s">
        <v>1448</v>
      </c>
      <c r="C907" s="148" t="str">
        <f aca="false">VLOOKUP($A907,INSUMOS_AUX!$A$3:$H$813,3,0)</f>
        <v>MAT.</v>
      </c>
      <c r="D907" s="156" t="s">
        <v>1444</v>
      </c>
      <c r="E907" s="154" t="n">
        <v>1.0844</v>
      </c>
      <c r="F907" s="149" t="n">
        <f aca="false">IF(C907="MAT.",VLOOKUP(A907,INSUMOS_AUX!$A$3:$H$813,6,0),0)</f>
        <v>0.08</v>
      </c>
      <c r="G907" s="149" t="n">
        <f aca="false">IF(C907="M.O.",VLOOKUP(A907,INSUMOS_AUX!A:F,6,0),0)</f>
        <v>0</v>
      </c>
    </row>
    <row r="908" customFormat="false" ht="21" hidden="false" customHeight="false" outlineLevel="0" collapsed="false">
      <c r="A908" s="154" t="n">
        <v>37371</v>
      </c>
      <c r="B908" s="155" t="s">
        <v>1449</v>
      </c>
      <c r="C908" s="148" t="str">
        <f aca="false">VLOOKUP($A908,INSUMOS_AUX!$A$3:$H$813,3,0)</f>
        <v>MAT.</v>
      </c>
      <c r="D908" s="156" t="s">
        <v>1444</v>
      </c>
      <c r="E908" s="154" t="n">
        <v>1.0844</v>
      </c>
      <c r="F908" s="149" t="n">
        <f aca="false">IF(C908="MAT.",VLOOKUP(A908,INSUMOS_AUX!$A$3:$H$813,6,0),0)</f>
        <v>0.59</v>
      </c>
      <c r="G908" s="149" t="n">
        <f aca="false">IF(C908="M.O.",VLOOKUP(A908,INSUMOS_AUX!A:F,6,0),0)</f>
        <v>0</v>
      </c>
    </row>
    <row r="909" customFormat="false" ht="21" hidden="false" customHeight="false" outlineLevel="0" collapsed="false">
      <c r="A909" s="154" t="n">
        <v>13896</v>
      </c>
      <c r="B909" s="155" t="s">
        <v>1564</v>
      </c>
      <c r="C909" s="148" t="s">
        <v>59</v>
      </c>
      <c r="D909" s="156" t="s">
        <v>31</v>
      </c>
      <c r="E909" s="154" t="n">
        <v>5.492536E-005</v>
      </c>
      <c r="F909" s="149" t="n">
        <f aca="false">IF(C909="MAT.",VLOOKUP(A909,INSUMOS_AUX!$A$3:$H$813,6,0),0)</f>
        <v>0</v>
      </c>
      <c r="G909" s="149" t="n">
        <f aca="false">IF(C909="M.O.",VLOOKUP(A909,INSUMOS_AUX!A:F,6,0),0)</f>
        <v>0</v>
      </c>
    </row>
    <row r="910" customFormat="false" ht="15" hidden="false" customHeight="false" outlineLevel="0" collapsed="false">
      <c r="A910" s="154" t="n">
        <v>2705</v>
      </c>
      <c r="B910" s="155" t="s">
        <v>1467</v>
      </c>
      <c r="C910" s="148" t="str">
        <f aca="false">VLOOKUP($A910,INSUMOS_AUX!$A$3:$H$813,3,0)</f>
        <v>MAT.</v>
      </c>
      <c r="D910" s="156" t="s">
        <v>1468</v>
      </c>
      <c r="E910" s="154" t="n">
        <v>0.06344</v>
      </c>
      <c r="F910" s="149" t="n">
        <f aca="false">IF(C910="MAT.",VLOOKUP(A910,INSUMOS_AUX!$A$3:$H$813,6,0),0)</f>
        <v>0.92</v>
      </c>
      <c r="G910" s="149" t="n">
        <f aca="false">IF(C910="M.O.",VLOOKUP(A910,INSUMOS_AUX!A:F,6,0),0)</f>
        <v>0</v>
      </c>
    </row>
    <row r="911" customFormat="false" ht="31.5" hidden="false" customHeight="false" outlineLevel="0" collapsed="false">
      <c r="A911" s="154" t="n">
        <v>11145</v>
      </c>
      <c r="B911" s="155" t="s">
        <v>1620</v>
      </c>
      <c r="C911" s="148" t="str">
        <f aca="false">VLOOKUP($A911,INSUMOS_AUX!$A$3:$H$813,3,0)</f>
        <v>MAT.</v>
      </c>
      <c r="D911" s="156" t="s">
        <v>1442</v>
      </c>
      <c r="E911" s="154" t="n">
        <v>1.103</v>
      </c>
      <c r="F911" s="149" t="n">
        <f aca="false">IF(C911="MAT.",VLOOKUP(A911,INSUMOS_AUX!$A$3:$H$813,6,0),0)</f>
        <v>688.16</v>
      </c>
      <c r="G911" s="149" t="n">
        <f aca="false">IF(C911="M.O.",VLOOKUP(A911,INSUMOS_AUX!A:F,6,0),0)</f>
        <v>0</v>
      </c>
    </row>
    <row r="912" customFormat="false" ht="15" hidden="false" customHeight="false" outlineLevel="0" collapsed="false">
      <c r="A912" s="154" t="n">
        <v>4750</v>
      </c>
      <c r="B912" s="155" t="s">
        <v>1463</v>
      </c>
      <c r="C912" s="148" t="str">
        <f aca="false">VLOOKUP($A912,INSUMOS_AUX!$A$3:$H$813,3,0)</f>
        <v>M.O.</v>
      </c>
      <c r="D912" s="156" t="s">
        <v>1444</v>
      </c>
      <c r="E912" s="154" t="n">
        <v>1.10738928</v>
      </c>
      <c r="F912" s="149" t="n">
        <f aca="false">IF(C912="MAT.",VLOOKUP(A912,INSUMOS_AUX!$A$3:$H$813,6,0),0)</f>
        <v>0</v>
      </c>
      <c r="G912" s="149" t="n">
        <f aca="false">IF(C912="M.O.",VLOOKUP(A912,INSUMOS_AUX!A:F,6,0),0)</f>
        <v>20.22</v>
      </c>
    </row>
    <row r="913" customFormat="false" ht="31.5" hidden="false" customHeight="false" outlineLevel="0" collapsed="false">
      <c r="A913" s="150" t="n">
        <v>92760</v>
      </c>
      <c r="B913" s="151" t="s">
        <v>1668</v>
      </c>
      <c r="C913" s="152" t="s">
        <v>59</v>
      </c>
      <c r="D913" s="152" t="s">
        <v>1513</v>
      </c>
      <c r="E913" s="150"/>
      <c r="F913" s="153" t="n">
        <f aca="false">(SUMPRODUCT($E914:$E924,F914:F924))*1</f>
        <v>9.84168</v>
      </c>
      <c r="G913" s="153" t="n">
        <f aca="false">(SUMPRODUCT($E914:$E924,G914:G924))*1</f>
        <v>2.4913016352</v>
      </c>
    </row>
    <row r="914" customFormat="false" ht="21" hidden="false" customHeight="false" outlineLevel="0" collapsed="false">
      <c r="A914" s="154" t="n">
        <v>37370</v>
      </c>
      <c r="B914" s="155" t="s">
        <v>1443</v>
      </c>
      <c r="C914" s="148" t="str">
        <f aca="false">VLOOKUP($A914,INSUMOS_AUX!$A$3:$H$813,3,0)</f>
        <v>MAT.</v>
      </c>
      <c r="D914" s="156" t="s">
        <v>1444</v>
      </c>
      <c r="E914" s="154" t="n">
        <v>0.128</v>
      </c>
      <c r="F914" s="149" t="n">
        <f aca="false">IF(C914="MAT.",VLOOKUP(A914,INSUMOS_AUX!$A$3:$H$813,6,0),0)</f>
        <v>3.32</v>
      </c>
      <c r="G914" s="149" t="n">
        <f aca="false">IF(C914="M.O.",VLOOKUP(A914,INSUMOS_AUX!A:F,6,0),0)</f>
        <v>0</v>
      </c>
    </row>
    <row r="915" customFormat="false" ht="21" hidden="false" customHeight="false" outlineLevel="0" collapsed="false">
      <c r="A915" s="154" t="n">
        <v>43489</v>
      </c>
      <c r="B915" s="155" t="s">
        <v>1456</v>
      </c>
      <c r="C915" s="148" t="str">
        <f aca="false">VLOOKUP($A915,INSUMOS_AUX!$A$3:$H$813,3,0)</f>
        <v>MAT.</v>
      </c>
      <c r="D915" s="156" t="s">
        <v>1444</v>
      </c>
      <c r="E915" s="154" t="n">
        <v>0.128</v>
      </c>
      <c r="F915" s="149" t="n">
        <f aca="false">IF(C915="MAT.",VLOOKUP(A915,INSUMOS_AUX!$A$3:$H$813,6,0),0)</f>
        <v>1.31</v>
      </c>
      <c r="G915" s="149" t="n">
        <f aca="false">IF(C915="M.O.",VLOOKUP(A915,INSUMOS_AUX!A:F,6,0),0)</f>
        <v>0</v>
      </c>
    </row>
    <row r="916" customFormat="false" ht="21" hidden="false" customHeight="false" outlineLevel="0" collapsed="false">
      <c r="A916" s="154" t="n">
        <v>37372</v>
      </c>
      <c r="B916" s="155" t="s">
        <v>1446</v>
      </c>
      <c r="C916" s="148" t="str">
        <f aca="false">VLOOKUP($A916,INSUMOS_AUX!$A$3:$H$813,3,0)</f>
        <v>MAT.</v>
      </c>
      <c r="D916" s="156" t="s">
        <v>1444</v>
      </c>
      <c r="E916" s="154" t="n">
        <v>0.128</v>
      </c>
      <c r="F916" s="149" t="n">
        <f aca="false">IF(C916="MAT.",VLOOKUP(A916,INSUMOS_AUX!$A$3:$H$813,6,0),0)</f>
        <v>1.43</v>
      </c>
      <c r="G916" s="149" t="n">
        <f aca="false">IF(C916="M.O.",VLOOKUP(A916,INSUMOS_AUX!A:F,6,0),0)</f>
        <v>0</v>
      </c>
    </row>
    <row r="917" customFormat="false" ht="21" hidden="false" customHeight="false" outlineLevel="0" collapsed="false">
      <c r="A917" s="154" t="n">
        <v>43465</v>
      </c>
      <c r="B917" s="155" t="s">
        <v>1458</v>
      </c>
      <c r="C917" s="148" t="str">
        <f aca="false">VLOOKUP($A917,INSUMOS_AUX!$A$3:$H$813,3,0)</f>
        <v>MAT.</v>
      </c>
      <c r="D917" s="156" t="s">
        <v>1444</v>
      </c>
      <c r="E917" s="154" t="n">
        <v>0.128</v>
      </c>
      <c r="F917" s="149" t="n">
        <f aca="false">IF(C917="MAT.",VLOOKUP(A917,INSUMOS_AUX!$A$3:$H$813,6,0),0)</f>
        <v>0.78</v>
      </c>
      <c r="G917" s="149" t="n">
        <f aca="false">IF(C917="M.O.",VLOOKUP(A917,INSUMOS_AUX!A:F,6,0),0)</f>
        <v>0</v>
      </c>
    </row>
    <row r="918" customFormat="false" ht="21" hidden="false" customHeight="false" outlineLevel="0" collapsed="false">
      <c r="A918" s="154" t="n">
        <v>37373</v>
      </c>
      <c r="B918" s="155" t="s">
        <v>1448</v>
      </c>
      <c r="C918" s="148" t="str">
        <f aca="false">VLOOKUP($A918,INSUMOS_AUX!$A$3:$H$813,3,0)</f>
        <v>MAT.</v>
      </c>
      <c r="D918" s="156" t="s">
        <v>1444</v>
      </c>
      <c r="E918" s="154" t="n">
        <v>0.128</v>
      </c>
      <c r="F918" s="149" t="n">
        <f aca="false">IF(C918="MAT.",VLOOKUP(A918,INSUMOS_AUX!$A$3:$H$813,6,0),0)</f>
        <v>0.08</v>
      </c>
      <c r="G918" s="149" t="n">
        <f aca="false">IF(C918="M.O.",VLOOKUP(A918,INSUMOS_AUX!A:F,6,0),0)</f>
        <v>0</v>
      </c>
    </row>
    <row r="919" customFormat="false" ht="21" hidden="false" customHeight="false" outlineLevel="0" collapsed="false">
      <c r="A919" s="154" t="n">
        <v>37371</v>
      </c>
      <c r="B919" s="155" t="s">
        <v>1449</v>
      </c>
      <c r="C919" s="148" t="str">
        <f aca="false">VLOOKUP($A919,INSUMOS_AUX!$A$3:$H$813,3,0)</f>
        <v>MAT.</v>
      </c>
      <c r="D919" s="156" t="s">
        <v>1444</v>
      </c>
      <c r="E919" s="154" t="n">
        <v>0.128</v>
      </c>
      <c r="F919" s="149" t="n">
        <f aca="false">IF(C919="MAT.",VLOOKUP(A919,INSUMOS_AUX!$A$3:$H$813,6,0),0)</f>
        <v>0.59</v>
      </c>
      <c r="G919" s="149" t="n">
        <f aca="false">IF(C919="M.O.",VLOOKUP(A919,INSUMOS_AUX!A:F,6,0),0)</f>
        <v>0</v>
      </c>
    </row>
    <row r="920" customFormat="false" ht="15" hidden="false" customHeight="false" outlineLevel="0" collapsed="false">
      <c r="A920" s="154" t="n">
        <v>32</v>
      </c>
      <c r="B920" s="155" t="s">
        <v>1619</v>
      </c>
      <c r="C920" s="148" t="str">
        <f aca="false">VLOOKUP($A920,INSUMOS_AUX!$A$3:$H$813,3,0)</f>
        <v>MAT.</v>
      </c>
      <c r="D920" s="156" t="s">
        <v>1513</v>
      </c>
      <c r="E920" s="154" t="n">
        <v>1.07</v>
      </c>
      <c r="F920" s="149" t="n">
        <f aca="false">IF(C920="MAT.",VLOOKUP(A920,INSUMOS_AUX!$A$3:$H$813,6,0),0)</f>
        <v>8.1</v>
      </c>
      <c r="G920" s="149" t="n">
        <f aca="false">IF(C920="M.O.",VLOOKUP(A920,INSUMOS_AUX!A:F,6,0),0)</f>
        <v>0</v>
      </c>
    </row>
    <row r="921" customFormat="false" ht="21" hidden="false" customHeight="false" outlineLevel="0" collapsed="false">
      <c r="A921" s="154" t="n">
        <v>43132</v>
      </c>
      <c r="B921" s="155" t="s">
        <v>1565</v>
      </c>
      <c r="C921" s="148" t="s">
        <v>59</v>
      </c>
      <c r="D921" s="156" t="s">
        <v>1513</v>
      </c>
      <c r="E921" s="154" t="n">
        <v>0.025</v>
      </c>
      <c r="F921" s="149" t="n">
        <f aca="false">IF(C921="MAT.",VLOOKUP(A921,INSUMOS_AUX!$A$3:$H$813,6,0),0)</f>
        <v>0</v>
      </c>
      <c r="G921" s="149" t="n">
        <f aca="false">IF(C921="M.O.",VLOOKUP(A921,INSUMOS_AUX!A:F,6,0),0)</f>
        <v>0</v>
      </c>
    </row>
    <row r="922" customFormat="false" ht="21" hidden="false" customHeight="false" outlineLevel="0" collapsed="false">
      <c r="A922" s="154" t="n">
        <v>39017</v>
      </c>
      <c r="B922" s="155" t="s">
        <v>1621</v>
      </c>
      <c r="C922" s="148" t="str">
        <f aca="false">VLOOKUP($A922,INSUMOS_AUX!$A$3:$H$813,3,0)</f>
        <v>MAT.</v>
      </c>
      <c r="D922" s="156" t="s">
        <v>31</v>
      </c>
      <c r="E922" s="154" t="n">
        <v>0.97</v>
      </c>
      <c r="F922" s="149" t="n">
        <f aca="false">IF(C922="MAT.",VLOOKUP(A922,INSUMOS_AUX!$A$3:$H$813,6,0),0)</f>
        <v>0.22</v>
      </c>
      <c r="G922" s="149" t="n">
        <f aca="false">IF(C922="M.O.",VLOOKUP(A922,INSUMOS_AUX!A:F,6,0),0)</f>
        <v>0</v>
      </c>
    </row>
    <row r="923" customFormat="false" ht="15" hidden="false" customHeight="false" outlineLevel="0" collapsed="false">
      <c r="A923" s="154" t="n">
        <v>6114</v>
      </c>
      <c r="B923" s="155" t="s">
        <v>1588</v>
      </c>
      <c r="C923" s="148" t="str">
        <f aca="false">VLOOKUP($A923,INSUMOS_AUX!$A$3:$H$813,3,0)</f>
        <v>M.O.</v>
      </c>
      <c r="D923" s="156" t="s">
        <v>1444</v>
      </c>
      <c r="E923" s="154" t="n">
        <v>0.01820772</v>
      </c>
      <c r="F923" s="149" t="n">
        <f aca="false">IF(C923="MAT.",VLOOKUP(A923,INSUMOS_AUX!$A$3:$H$813,6,0),0)</f>
        <v>0</v>
      </c>
      <c r="G923" s="149" t="n">
        <f aca="false">IF(C923="M.O.",VLOOKUP(A923,INSUMOS_AUX!A:F,6,0),0)</f>
        <v>13.26</v>
      </c>
    </row>
    <row r="924" customFormat="false" ht="15" hidden="false" customHeight="false" outlineLevel="0" collapsed="false">
      <c r="A924" s="154" t="n">
        <v>378</v>
      </c>
      <c r="B924" s="155" t="s">
        <v>1589</v>
      </c>
      <c r="C924" s="148" t="str">
        <f aca="false">VLOOKUP($A924,INSUMOS_AUX!$A$3:$H$813,3,0)</f>
        <v>M.O.</v>
      </c>
      <c r="D924" s="156" t="s">
        <v>1444</v>
      </c>
      <c r="E924" s="154" t="n">
        <v>0.1112694</v>
      </c>
      <c r="F924" s="149" t="n">
        <f aca="false">IF(C924="MAT.",VLOOKUP(A924,INSUMOS_AUX!$A$3:$H$813,6,0),0)</f>
        <v>0</v>
      </c>
      <c r="G924" s="149" t="n">
        <f aca="false">IF(C924="M.O.",VLOOKUP(A924,INSUMOS_AUX!A:F,6,0),0)</f>
        <v>20.22</v>
      </c>
    </row>
    <row r="925" customFormat="false" ht="31.5" hidden="false" customHeight="false" outlineLevel="0" collapsed="false">
      <c r="A925" s="150" t="n">
        <v>92761</v>
      </c>
      <c r="B925" s="151" t="s">
        <v>1669</v>
      </c>
      <c r="C925" s="152" t="s">
        <v>59</v>
      </c>
      <c r="D925" s="152" t="s">
        <v>1513</v>
      </c>
      <c r="E925" s="150"/>
      <c r="F925" s="153" t="n">
        <f aca="false">(SUMPRODUCT($E926:$E936,F926:F936))*1</f>
        <v>9.830451</v>
      </c>
      <c r="G925" s="153" t="n">
        <f aca="false">(SUMPRODUCT($E926:$E936,G926:G936))*1</f>
        <v>1.63705003596</v>
      </c>
    </row>
    <row r="926" customFormat="false" ht="21" hidden="false" customHeight="false" outlineLevel="0" collapsed="false">
      <c r="A926" s="154" t="n">
        <v>37370</v>
      </c>
      <c r="B926" s="155" t="s">
        <v>1443</v>
      </c>
      <c r="C926" s="148" t="str">
        <f aca="false">VLOOKUP($A926,INSUMOS_AUX!$A$3:$H$813,3,0)</f>
        <v>MAT.</v>
      </c>
      <c r="D926" s="156" t="s">
        <v>1444</v>
      </c>
      <c r="E926" s="154" t="n">
        <v>0.0841</v>
      </c>
      <c r="F926" s="149" t="n">
        <f aca="false">IF(C926="MAT.",VLOOKUP(A926,INSUMOS_AUX!$A$3:$H$813,6,0),0)</f>
        <v>3.32</v>
      </c>
      <c r="G926" s="149" t="n">
        <f aca="false">IF(C926="M.O.",VLOOKUP(A926,INSUMOS_AUX!A:F,6,0),0)</f>
        <v>0</v>
      </c>
    </row>
    <row r="927" customFormat="false" ht="21" hidden="false" customHeight="false" outlineLevel="0" collapsed="false">
      <c r="A927" s="154" t="n">
        <v>43489</v>
      </c>
      <c r="B927" s="155" t="s">
        <v>1456</v>
      </c>
      <c r="C927" s="148" t="str">
        <f aca="false">VLOOKUP($A927,INSUMOS_AUX!$A$3:$H$813,3,0)</f>
        <v>MAT.</v>
      </c>
      <c r="D927" s="156" t="s">
        <v>1444</v>
      </c>
      <c r="E927" s="154" t="n">
        <v>0.0841</v>
      </c>
      <c r="F927" s="149" t="n">
        <f aca="false">IF(C927="MAT.",VLOOKUP(A927,INSUMOS_AUX!$A$3:$H$813,6,0),0)</f>
        <v>1.31</v>
      </c>
      <c r="G927" s="149" t="n">
        <f aca="false">IF(C927="M.O.",VLOOKUP(A927,INSUMOS_AUX!A:F,6,0),0)</f>
        <v>0</v>
      </c>
    </row>
    <row r="928" customFormat="false" ht="21" hidden="false" customHeight="false" outlineLevel="0" collapsed="false">
      <c r="A928" s="154" t="n">
        <v>37372</v>
      </c>
      <c r="B928" s="155" t="s">
        <v>1446</v>
      </c>
      <c r="C928" s="148" t="str">
        <f aca="false">VLOOKUP($A928,INSUMOS_AUX!$A$3:$H$813,3,0)</f>
        <v>MAT.</v>
      </c>
      <c r="D928" s="156" t="s">
        <v>1444</v>
      </c>
      <c r="E928" s="154" t="n">
        <v>0.0841</v>
      </c>
      <c r="F928" s="149" t="n">
        <f aca="false">IF(C928="MAT.",VLOOKUP(A928,INSUMOS_AUX!$A$3:$H$813,6,0),0)</f>
        <v>1.43</v>
      </c>
      <c r="G928" s="149" t="n">
        <f aca="false">IF(C928="M.O.",VLOOKUP(A928,INSUMOS_AUX!A:F,6,0),0)</f>
        <v>0</v>
      </c>
    </row>
    <row r="929" customFormat="false" ht="21" hidden="false" customHeight="false" outlineLevel="0" collapsed="false">
      <c r="A929" s="154" t="n">
        <v>43465</v>
      </c>
      <c r="B929" s="155" t="s">
        <v>1458</v>
      </c>
      <c r="C929" s="148" t="str">
        <f aca="false">VLOOKUP($A929,INSUMOS_AUX!$A$3:$H$813,3,0)</f>
        <v>MAT.</v>
      </c>
      <c r="D929" s="156" t="s">
        <v>1444</v>
      </c>
      <c r="E929" s="154" t="n">
        <v>0.0841</v>
      </c>
      <c r="F929" s="149" t="n">
        <f aca="false">IF(C929="MAT.",VLOOKUP(A929,INSUMOS_AUX!$A$3:$H$813,6,0),0)</f>
        <v>0.78</v>
      </c>
      <c r="G929" s="149" t="n">
        <f aca="false">IF(C929="M.O.",VLOOKUP(A929,INSUMOS_AUX!A:F,6,0),0)</f>
        <v>0</v>
      </c>
    </row>
    <row r="930" customFormat="false" ht="21" hidden="false" customHeight="false" outlineLevel="0" collapsed="false">
      <c r="A930" s="154" t="n">
        <v>37373</v>
      </c>
      <c r="B930" s="155" t="s">
        <v>1448</v>
      </c>
      <c r="C930" s="148" t="str">
        <f aca="false">VLOOKUP($A930,INSUMOS_AUX!$A$3:$H$813,3,0)</f>
        <v>MAT.</v>
      </c>
      <c r="D930" s="156" t="s">
        <v>1444</v>
      </c>
      <c r="E930" s="154" t="n">
        <v>0.0841</v>
      </c>
      <c r="F930" s="149" t="n">
        <f aca="false">IF(C930="MAT.",VLOOKUP(A930,INSUMOS_AUX!$A$3:$H$813,6,0),0)</f>
        <v>0.08</v>
      </c>
      <c r="G930" s="149" t="n">
        <f aca="false">IF(C930="M.O.",VLOOKUP(A930,INSUMOS_AUX!A:F,6,0),0)</f>
        <v>0</v>
      </c>
    </row>
    <row r="931" customFormat="false" ht="21" hidden="false" customHeight="false" outlineLevel="0" collapsed="false">
      <c r="A931" s="154" t="n">
        <v>37371</v>
      </c>
      <c r="B931" s="155" t="s">
        <v>1449</v>
      </c>
      <c r="C931" s="148" t="str">
        <f aca="false">VLOOKUP($A931,INSUMOS_AUX!$A$3:$H$813,3,0)</f>
        <v>MAT.</v>
      </c>
      <c r="D931" s="156" t="s">
        <v>1444</v>
      </c>
      <c r="E931" s="154" t="n">
        <v>0.0841</v>
      </c>
      <c r="F931" s="149" t="n">
        <f aca="false">IF(C931="MAT.",VLOOKUP(A931,INSUMOS_AUX!$A$3:$H$813,6,0),0)</f>
        <v>0.59</v>
      </c>
      <c r="G931" s="149" t="n">
        <f aca="false">IF(C931="M.O.",VLOOKUP(A931,INSUMOS_AUX!A:F,6,0),0)</f>
        <v>0</v>
      </c>
    </row>
    <row r="932" customFormat="false" ht="15" hidden="false" customHeight="false" outlineLevel="0" collapsed="false">
      <c r="A932" s="154" t="n">
        <v>33</v>
      </c>
      <c r="B932" s="155" t="s">
        <v>1633</v>
      </c>
      <c r="C932" s="148" t="str">
        <f aca="false">VLOOKUP($A932,INSUMOS_AUX!$A$3:$H$813,3,0)</f>
        <v>MAT.</v>
      </c>
      <c r="D932" s="156" t="s">
        <v>1513</v>
      </c>
      <c r="E932" s="154" t="n">
        <v>1.11</v>
      </c>
      <c r="F932" s="149" t="n">
        <f aca="false">IF(C932="MAT.",VLOOKUP(A932,INSUMOS_AUX!$A$3:$H$813,6,0),0)</f>
        <v>8.14</v>
      </c>
      <c r="G932" s="149" t="n">
        <f aca="false">IF(C932="M.O.",VLOOKUP(A932,INSUMOS_AUX!A:F,6,0),0)</f>
        <v>0</v>
      </c>
    </row>
    <row r="933" customFormat="false" ht="21" hidden="false" customHeight="false" outlineLevel="0" collapsed="false">
      <c r="A933" s="154" t="n">
        <v>43132</v>
      </c>
      <c r="B933" s="155" t="s">
        <v>1565</v>
      </c>
      <c r="C933" s="148" t="s">
        <v>59</v>
      </c>
      <c r="D933" s="156" t="s">
        <v>1513</v>
      </c>
      <c r="E933" s="154" t="n">
        <v>0.025</v>
      </c>
      <c r="F933" s="149" t="n">
        <f aca="false">IF(C933="MAT.",VLOOKUP(A933,INSUMOS_AUX!$A$3:$H$813,6,0),0)</f>
        <v>0</v>
      </c>
      <c r="G933" s="149" t="n">
        <f aca="false">IF(C933="M.O.",VLOOKUP(A933,INSUMOS_AUX!A:F,6,0),0)</f>
        <v>0</v>
      </c>
    </row>
    <row r="934" customFormat="false" ht="21" hidden="false" customHeight="false" outlineLevel="0" collapsed="false">
      <c r="A934" s="154" t="n">
        <v>39017</v>
      </c>
      <c r="B934" s="155" t="s">
        <v>1621</v>
      </c>
      <c r="C934" s="148" t="str">
        <f aca="false">VLOOKUP($A934,INSUMOS_AUX!$A$3:$H$813,3,0)</f>
        <v>MAT.</v>
      </c>
      <c r="D934" s="156" t="s">
        <v>31</v>
      </c>
      <c r="E934" s="154" t="n">
        <v>0.743</v>
      </c>
      <c r="F934" s="149" t="n">
        <f aca="false">IF(C934="MAT.",VLOOKUP(A934,INSUMOS_AUX!$A$3:$H$813,6,0),0)</f>
        <v>0.22</v>
      </c>
      <c r="G934" s="149" t="n">
        <f aca="false">IF(C934="M.O.",VLOOKUP(A934,INSUMOS_AUX!A:F,6,0),0)</f>
        <v>0</v>
      </c>
    </row>
    <row r="935" customFormat="false" ht="15" hidden="false" customHeight="false" outlineLevel="0" collapsed="false">
      <c r="A935" s="154" t="n">
        <v>6114</v>
      </c>
      <c r="B935" s="155" t="s">
        <v>1588</v>
      </c>
      <c r="C935" s="148" t="str">
        <f aca="false">VLOOKUP($A935,INSUMOS_AUX!$A$3:$H$813,3,0)</f>
        <v>M.O.</v>
      </c>
      <c r="D935" s="156" t="s">
        <v>1444</v>
      </c>
      <c r="E935" s="154" t="n">
        <v>0.011936172</v>
      </c>
      <c r="F935" s="149" t="n">
        <f aca="false">IF(C935="MAT.",VLOOKUP(A935,INSUMOS_AUX!$A$3:$H$813,6,0),0)</f>
        <v>0</v>
      </c>
      <c r="G935" s="149" t="n">
        <f aca="false">IF(C935="M.O.",VLOOKUP(A935,INSUMOS_AUX!A:F,6,0),0)</f>
        <v>13.26</v>
      </c>
    </row>
    <row r="936" customFormat="false" ht="15" hidden="false" customHeight="false" outlineLevel="0" collapsed="false">
      <c r="A936" s="154" t="n">
        <v>378</v>
      </c>
      <c r="B936" s="155" t="s">
        <v>1589</v>
      </c>
      <c r="C936" s="148" t="str">
        <f aca="false">VLOOKUP($A936,INSUMOS_AUX!$A$3:$H$813,3,0)</f>
        <v>M.O.</v>
      </c>
      <c r="D936" s="156" t="s">
        <v>1444</v>
      </c>
      <c r="E936" s="154" t="n">
        <v>0.073134342</v>
      </c>
      <c r="F936" s="149" t="n">
        <f aca="false">IF(C936="MAT.",VLOOKUP(A936,INSUMOS_AUX!$A$3:$H$813,6,0),0)</f>
        <v>0</v>
      </c>
      <c r="G936" s="149" t="n">
        <f aca="false">IF(C936="M.O.",VLOOKUP(A936,INSUMOS_AUX!A:F,6,0),0)</f>
        <v>20.22</v>
      </c>
    </row>
    <row r="937" customFormat="false" ht="31.5" hidden="false" customHeight="false" outlineLevel="0" collapsed="false">
      <c r="A937" s="150" t="n">
        <v>92765</v>
      </c>
      <c r="B937" s="151" t="s">
        <v>1670</v>
      </c>
      <c r="C937" s="152" t="s">
        <v>59</v>
      </c>
      <c r="D937" s="152" t="s">
        <v>1513</v>
      </c>
      <c r="E937" s="150"/>
      <c r="F937" s="153" t="n">
        <f aca="false">(SUMPRODUCT($E938:$E948,F938:F948))*1</f>
        <v>8.91135</v>
      </c>
      <c r="G937" s="153" t="n">
        <f aca="false">(SUMPRODUCT($E938:$E948,G938:G948))*1</f>
        <v>0.3710126412</v>
      </c>
    </row>
    <row r="938" customFormat="false" ht="21" hidden="false" customHeight="false" outlineLevel="0" collapsed="false">
      <c r="A938" s="154" t="n">
        <v>37370</v>
      </c>
      <c r="B938" s="155" t="s">
        <v>1443</v>
      </c>
      <c r="C938" s="148" t="str">
        <f aca="false">VLOOKUP($A938,INSUMOS_AUX!$A$3:$H$813,3,0)</f>
        <v>MAT.</v>
      </c>
      <c r="D938" s="156" t="s">
        <v>1444</v>
      </c>
      <c r="E938" s="154" t="n">
        <v>0.019</v>
      </c>
      <c r="F938" s="149" t="n">
        <f aca="false">IF(C938="MAT.",VLOOKUP(A938,INSUMOS_AUX!$A$3:$H$813,6,0),0)</f>
        <v>3.32</v>
      </c>
      <c r="G938" s="149" t="n">
        <f aca="false">IF(C938="M.O.",VLOOKUP(A938,INSUMOS_AUX!A:F,6,0),0)</f>
        <v>0</v>
      </c>
    </row>
    <row r="939" customFormat="false" ht="21" hidden="false" customHeight="false" outlineLevel="0" collapsed="false">
      <c r="A939" s="154" t="n">
        <v>43489</v>
      </c>
      <c r="B939" s="155" t="s">
        <v>1456</v>
      </c>
      <c r="C939" s="148" t="str">
        <f aca="false">VLOOKUP($A939,INSUMOS_AUX!$A$3:$H$813,3,0)</f>
        <v>MAT.</v>
      </c>
      <c r="D939" s="156" t="s">
        <v>1444</v>
      </c>
      <c r="E939" s="154" t="n">
        <v>0.019</v>
      </c>
      <c r="F939" s="149" t="n">
        <f aca="false">IF(C939="MAT.",VLOOKUP(A939,INSUMOS_AUX!$A$3:$H$813,6,0),0)</f>
        <v>1.31</v>
      </c>
      <c r="G939" s="149" t="n">
        <f aca="false">IF(C939="M.O.",VLOOKUP(A939,INSUMOS_AUX!A:F,6,0),0)</f>
        <v>0</v>
      </c>
    </row>
    <row r="940" customFormat="false" ht="21" hidden="false" customHeight="false" outlineLevel="0" collapsed="false">
      <c r="A940" s="154" t="n">
        <v>37372</v>
      </c>
      <c r="B940" s="155" t="s">
        <v>1446</v>
      </c>
      <c r="C940" s="148" t="str">
        <f aca="false">VLOOKUP($A940,INSUMOS_AUX!$A$3:$H$813,3,0)</f>
        <v>MAT.</v>
      </c>
      <c r="D940" s="156" t="s">
        <v>1444</v>
      </c>
      <c r="E940" s="154" t="n">
        <v>0.019</v>
      </c>
      <c r="F940" s="149" t="n">
        <f aca="false">IF(C940="MAT.",VLOOKUP(A940,INSUMOS_AUX!$A$3:$H$813,6,0),0)</f>
        <v>1.43</v>
      </c>
      <c r="G940" s="149" t="n">
        <f aca="false">IF(C940="M.O.",VLOOKUP(A940,INSUMOS_AUX!A:F,6,0),0)</f>
        <v>0</v>
      </c>
    </row>
    <row r="941" customFormat="false" ht="21" hidden="false" customHeight="false" outlineLevel="0" collapsed="false">
      <c r="A941" s="154" t="n">
        <v>43465</v>
      </c>
      <c r="B941" s="155" t="s">
        <v>1458</v>
      </c>
      <c r="C941" s="148" t="str">
        <f aca="false">VLOOKUP($A941,INSUMOS_AUX!$A$3:$H$813,3,0)</f>
        <v>MAT.</v>
      </c>
      <c r="D941" s="156" t="s">
        <v>1444</v>
      </c>
      <c r="E941" s="154" t="n">
        <v>0.019</v>
      </c>
      <c r="F941" s="149" t="n">
        <f aca="false">IF(C941="MAT.",VLOOKUP(A941,INSUMOS_AUX!$A$3:$H$813,6,0),0)</f>
        <v>0.78</v>
      </c>
      <c r="G941" s="149" t="n">
        <f aca="false">IF(C941="M.O.",VLOOKUP(A941,INSUMOS_AUX!A:F,6,0),0)</f>
        <v>0</v>
      </c>
    </row>
    <row r="942" customFormat="false" ht="21" hidden="false" customHeight="false" outlineLevel="0" collapsed="false">
      <c r="A942" s="154" t="n">
        <v>37373</v>
      </c>
      <c r="B942" s="155" t="s">
        <v>1448</v>
      </c>
      <c r="C942" s="148" t="str">
        <f aca="false">VLOOKUP($A942,INSUMOS_AUX!$A$3:$H$813,3,0)</f>
        <v>MAT.</v>
      </c>
      <c r="D942" s="156" t="s">
        <v>1444</v>
      </c>
      <c r="E942" s="154" t="n">
        <v>0.019</v>
      </c>
      <c r="F942" s="149" t="n">
        <f aca="false">IF(C942="MAT.",VLOOKUP(A942,INSUMOS_AUX!$A$3:$H$813,6,0),0)</f>
        <v>0.08</v>
      </c>
      <c r="G942" s="149" t="n">
        <f aca="false">IF(C942="M.O.",VLOOKUP(A942,INSUMOS_AUX!A:F,6,0),0)</f>
        <v>0</v>
      </c>
    </row>
    <row r="943" customFormat="false" ht="21" hidden="false" customHeight="false" outlineLevel="0" collapsed="false">
      <c r="A943" s="154" t="n">
        <v>37371</v>
      </c>
      <c r="B943" s="155" t="s">
        <v>1449</v>
      </c>
      <c r="C943" s="148" t="str">
        <f aca="false">VLOOKUP($A943,INSUMOS_AUX!$A$3:$H$813,3,0)</f>
        <v>MAT.</v>
      </c>
      <c r="D943" s="156" t="s">
        <v>1444</v>
      </c>
      <c r="E943" s="154" t="n">
        <v>0.019</v>
      </c>
      <c r="F943" s="149" t="n">
        <f aca="false">IF(C943="MAT.",VLOOKUP(A943,INSUMOS_AUX!$A$3:$H$813,6,0),0)</f>
        <v>0.59</v>
      </c>
      <c r="G943" s="149" t="n">
        <f aca="false">IF(C943="M.O.",VLOOKUP(A943,INSUMOS_AUX!A:F,6,0),0)</f>
        <v>0</v>
      </c>
    </row>
    <row r="944" customFormat="false" ht="15" hidden="false" customHeight="false" outlineLevel="0" collapsed="false">
      <c r="A944" s="154" t="n">
        <v>43056</v>
      </c>
      <c r="B944" s="155" t="s">
        <v>1671</v>
      </c>
      <c r="C944" s="148" t="str">
        <f aca="false">VLOOKUP($A944,INSUMOS_AUX!$A$3:$H$813,3,0)</f>
        <v>MAT.</v>
      </c>
      <c r="D944" s="156" t="s">
        <v>1513</v>
      </c>
      <c r="E944" s="154" t="n">
        <v>1.14</v>
      </c>
      <c r="F944" s="149" t="n">
        <f aca="false">IF(C944="MAT.",VLOOKUP(A944,INSUMOS_AUX!$A$3:$H$813,6,0),0)</f>
        <v>7.67</v>
      </c>
      <c r="G944" s="149" t="n">
        <f aca="false">IF(C944="M.O.",VLOOKUP(A944,INSUMOS_AUX!A:F,6,0),0)</f>
        <v>0</v>
      </c>
    </row>
    <row r="945" customFormat="false" ht="21" hidden="false" customHeight="false" outlineLevel="0" collapsed="false">
      <c r="A945" s="154" t="n">
        <v>43132</v>
      </c>
      <c r="B945" s="155" t="s">
        <v>1565</v>
      </c>
      <c r="C945" s="148" t="s">
        <v>59</v>
      </c>
      <c r="D945" s="156" t="s">
        <v>1513</v>
      </c>
      <c r="E945" s="154" t="n">
        <v>0.025</v>
      </c>
      <c r="F945" s="149" t="n">
        <f aca="false">IF(C945="MAT.",VLOOKUP(A945,INSUMOS_AUX!$A$3:$H$813,6,0),0)</f>
        <v>0</v>
      </c>
      <c r="G945" s="149" t="n">
        <f aca="false">IF(C945="M.O.",VLOOKUP(A945,INSUMOS_AUX!A:F,6,0),0)</f>
        <v>0</v>
      </c>
    </row>
    <row r="946" customFormat="false" ht="21" hidden="false" customHeight="false" outlineLevel="0" collapsed="false">
      <c r="A946" s="154" t="n">
        <v>39017</v>
      </c>
      <c r="B946" s="155" t="s">
        <v>1621</v>
      </c>
      <c r="C946" s="148" t="str">
        <f aca="false">VLOOKUP($A946,INSUMOS_AUX!$A$3:$H$813,3,0)</f>
        <v>MAT.</v>
      </c>
      <c r="D946" s="156" t="s">
        <v>31</v>
      </c>
      <c r="E946" s="154" t="n">
        <v>0.113</v>
      </c>
      <c r="F946" s="149" t="n">
        <f aca="false">IF(C946="MAT.",VLOOKUP(A946,INSUMOS_AUX!$A$3:$H$813,6,0),0)</f>
        <v>0.22</v>
      </c>
      <c r="G946" s="149" t="n">
        <f aca="false">IF(C946="M.O.",VLOOKUP(A946,INSUMOS_AUX!A:F,6,0),0)</f>
        <v>0</v>
      </c>
    </row>
    <row r="947" customFormat="false" ht="15" hidden="false" customHeight="false" outlineLevel="0" collapsed="false">
      <c r="A947" s="154" t="n">
        <v>6114</v>
      </c>
      <c r="B947" s="155" t="s">
        <v>1588</v>
      </c>
      <c r="C947" s="148" t="str">
        <f aca="false">VLOOKUP($A947,INSUMOS_AUX!$A$3:$H$813,3,0)</f>
        <v>M.O.</v>
      </c>
      <c r="D947" s="156" t="s">
        <v>1444</v>
      </c>
      <c r="E947" s="154" t="n">
        <v>0.00252885</v>
      </c>
      <c r="F947" s="149" t="n">
        <f aca="false">IF(C947="MAT.",VLOOKUP(A947,INSUMOS_AUX!$A$3:$H$813,6,0),0)</f>
        <v>0</v>
      </c>
      <c r="G947" s="149" t="n">
        <f aca="false">IF(C947="M.O.",VLOOKUP(A947,INSUMOS_AUX!A:F,6,0),0)</f>
        <v>13.26</v>
      </c>
    </row>
    <row r="948" customFormat="false" ht="15" hidden="false" customHeight="false" outlineLevel="0" collapsed="false">
      <c r="A948" s="154" t="n">
        <v>378</v>
      </c>
      <c r="B948" s="155" t="s">
        <v>1589</v>
      </c>
      <c r="C948" s="148" t="str">
        <f aca="false">VLOOKUP($A948,INSUMOS_AUX!$A$3:$H$813,3,0)</f>
        <v>M.O.</v>
      </c>
      <c r="D948" s="156" t="s">
        <v>1444</v>
      </c>
      <c r="E948" s="154" t="n">
        <v>0.01669041</v>
      </c>
      <c r="F948" s="149" t="n">
        <f aca="false">IF(C948="MAT.",VLOOKUP(A948,INSUMOS_AUX!$A$3:$H$813,6,0),0)</f>
        <v>0</v>
      </c>
      <c r="G948" s="149" t="n">
        <f aca="false">IF(C948="M.O.",VLOOKUP(A948,INSUMOS_AUX!A:F,6,0),0)</f>
        <v>20.22</v>
      </c>
    </row>
    <row r="949" customFormat="false" ht="31.5" hidden="false" customHeight="false" outlineLevel="0" collapsed="false">
      <c r="A949" s="150" t="n">
        <v>92766</v>
      </c>
      <c r="B949" s="151" t="s">
        <v>1672</v>
      </c>
      <c r="C949" s="152" t="s">
        <v>59</v>
      </c>
      <c r="D949" s="152" t="s">
        <v>1513</v>
      </c>
      <c r="E949" s="150"/>
      <c r="F949" s="153" t="n">
        <f aca="false">(SUMPRODUCT($E950:$E960,F950:F960))*1</f>
        <v>8.868641</v>
      </c>
      <c r="G949" s="153" t="n">
        <f aca="false">(SUMPRODUCT($E950:$E960,G950:G960))*1</f>
        <v>0.29476477908</v>
      </c>
    </row>
    <row r="950" customFormat="false" ht="21" hidden="false" customHeight="false" outlineLevel="0" collapsed="false">
      <c r="A950" s="154" t="n">
        <v>37370</v>
      </c>
      <c r="B950" s="155" t="s">
        <v>1443</v>
      </c>
      <c r="C950" s="148" t="str">
        <f aca="false">VLOOKUP($A950,INSUMOS_AUX!$A$3:$H$813,3,0)</f>
        <v>MAT.</v>
      </c>
      <c r="D950" s="156" t="s">
        <v>1444</v>
      </c>
      <c r="E950" s="154" t="n">
        <v>0.0151</v>
      </c>
      <c r="F950" s="149" t="n">
        <f aca="false">IF(C950="MAT.",VLOOKUP(A950,INSUMOS_AUX!$A$3:$H$813,6,0),0)</f>
        <v>3.32</v>
      </c>
      <c r="G950" s="149" t="n">
        <f aca="false">IF(C950="M.O.",VLOOKUP(A950,INSUMOS_AUX!A:F,6,0),0)</f>
        <v>0</v>
      </c>
    </row>
    <row r="951" customFormat="false" ht="21" hidden="false" customHeight="false" outlineLevel="0" collapsed="false">
      <c r="A951" s="154" t="n">
        <v>43489</v>
      </c>
      <c r="B951" s="155" t="s">
        <v>1456</v>
      </c>
      <c r="C951" s="148" t="str">
        <f aca="false">VLOOKUP($A951,INSUMOS_AUX!$A$3:$H$813,3,0)</f>
        <v>MAT.</v>
      </c>
      <c r="D951" s="156" t="s">
        <v>1444</v>
      </c>
      <c r="E951" s="154" t="n">
        <v>0.0151</v>
      </c>
      <c r="F951" s="149" t="n">
        <f aca="false">IF(C951="MAT.",VLOOKUP(A951,INSUMOS_AUX!$A$3:$H$813,6,0),0)</f>
        <v>1.31</v>
      </c>
      <c r="G951" s="149" t="n">
        <f aca="false">IF(C951="M.O.",VLOOKUP(A951,INSUMOS_AUX!A:F,6,0),0)</f>
        <v>0</v>
      </c>
    </row>
    <row r="952" customFormat="false" ht="21" hidden="false" customHeight="false" outlineLevel="0" collapsed="false">
      <c r="A952" s="154" t="n">
        <v>37372</v>
      </c>
      <c r="B952" s="155" t="s">
        <v>1446</v>
      </c>
      <c r="C952" s="148" t="str">
        <f aca="false">VLOOKUP($A952,INSUMOS_AUX!$A$3:$H$813,3,0)</f>
        <v>MAT.</v>
      </c>
      <c r="D952" s="156" t="s">
        <v>1444</v>
      </c>
      <c r="E952" s="154" t="n">
        <v>0.0151</v>
      </c>
      <c r="F952" s="149" t="n">
        <f aca="false">IF(C952="MAT.",VLOOKUP(A952,INSUMOS_AUX!$A$3:$H$813,6,0),0)</f>
        <v>1.43</v>
      </c>
      <c r="G952" s="149" t="n">
        <f aca="false">IF(C952="M.O.",VLOOKUP(A952,INSUMOS_AUX!A:F,6,0),0)</f>
        <v>0</v>
      </c>
    </row>
    <row r="953" customFormat="false" ht="21" hidden="false" customHeight="false" outlineLevel="0" collapsed="false">
      <c r="A953" s="154" t="n">
        <v>43465</v>
      </c>
      <c r="B953" s="155" t="s">
        <v>1458</v>
      </c>
      <c r="C953" s="148" t="str">
        <f aca="false">VLOOKUP($A953,INSUMOS_AUX!$A$3:$H$813,3,0)</f>
        <v>MAT.</v>
      </c>
      <c r="D953" s="156" t="s">
        <v>1444</v>
      </c>
      <c r="E953" s="154" t="n">
        <v>0.0151</v>
      </c>
      <c r="F953" s="149" t="n">
        <f aca="false">IF(C953="MAT.",VLOOKUP(A953,INSUMOS_AUX!$A$3:$H$813,6,0),0)</f>
        <v>0.78</v>
      </c>
      <c r="G953" s="149" t="n">
        <f aca="false">IF(C953="M.O.",VLOOKUP(A953,INSUMOS_AUX!A:F,6,0),0)</f>
        <v>0</v>
      </c>
    </row>
    <row r="954" customFormat="false" ht="21" hidden="false" customHeight="false" outlineLevel="0" collapsed="false">
      <c r="A954" s="154" t="n">
        <v>37373</v>
      </c>
      <c r="B954" s="155" t="s">
        <v>1448</v>
      </c>
      <c r="C954" s="148" t="str">
        <f aca="false">VLOOKUP($A954,INSUMOS_AUX!$A$3:$H$813,3,0)</f>
        <v>MAT.</v>
      </c>
      <c r="D954" s="156" t="s">
        <v>1444</v>
      </c>
      <c r="E954" s="154" t="n">
        <v>0.0151</v>
      </c>
      <c r="F954" s="149" t="n">
        <f aca="false">IF(C954="MAT.",VLOOKUP(A954,INSUMOS_AUX!$A$3:$H$813,6,0),0)</f>
        <v>0.08</v>
      </c>
      <c r="G954" s="149" t="n">
        <f aca="false">IF(C954="M.O.",VLOOKUP(A954,INSUMOS_AUX!A:F,6,0),0)</f>
        <v>0</v>
      </c>
    </row>
    <row r="955" customFormat="false" ht="21" hidden="false" customHeight="false" outlineLevel="0" collapsed="false">
      <c r="A955" s="154" t="n">
        <v>37371</v>
      </c>
      <c r="B955" s="155" t="s">
        <v>1449</v>
      </c>
      <c r="C955" s="148" t="str">
        <f aca="false">VLOOKUP($A955,INSUMOS_AUX!$A$3:$H$813,3,0)</f>
        <v>MAT.</v>
      </c>
      <c r="D955" s="156" t="s">
        <v>1444</v>
      </c>
      <c r="E955" s="154" t="n">
        <v>0.0151</v>
      </c>
      <c r="F955" s="149" t="n">
        <f aca="false">IF(C955="MAT.",VLOOKUP(A955,INSUMOS_AUX!$A$3:$H$813,6,0),0)</f>
        <v>0.59</v>
      </c>
      <c r="G955" s="149" t="n">
        <f aca="false">IF(C955="M.O.",VLOOKUP(A955,INSUMOS_AUX!A:F,6,0),0)</f>
        <v>0</v>
      </c>
    </row>
    <row r="956" customFormat="false" ht="15" hidden="false" customHeight="false" outlineLevel="0" collapsed="false">
      <c r="A956" s="154" t="n">
        <v>43056</v>
      </c>
      <c r="B956" s="155" t="s">
        <v>1671</v>
      </c>
      <c r="C956" s="148" t="str">
        <f aca="false">VLOOKUP($A956,INSUMOS_AUX!$A$3:$H$813,3,0)</f>
        <v>MAT.</v>
      </c>
      <c r="D956" s="156" t="s">
        <v>1513</v>
      </c>
      <c r="E956" s="154" t="n">
        <v>1.14</v>
      </c>
      <c r="F956" s="149" t="n">
        <f aca="false">IF(C956="MAT.",VLOOKUP(A956,INSUMOS_AUX!$A$3:$H$813,6,0),0)</f>
        <v>7.67</v>
      </c>
      <c r="G956" s="149" t="n">
        <f aca="false">IF(C956="M.O.",VLOOKUP(A956,INSUMOS_AUX!A:F,6,0),0)</f>
        <v>0</v>
      </c>
    </row>
    <row r="957" customFormat="false" ht="21" hidden="false" customHeight="false" outlineLevel="0" collapsed="false">
      <c r="A957" s="154" t="n">
        <v>43132</v>
      </c>
      <c r="B957" s="155" t="s">
        <v>1565</v>
      </c>
      <c r="C957" s="148" t="s">
        <v>59</v>
      </c>
      <c r="D957" s="156" t="s">
        <v>1513</v>
      </c>
      <c r="E957" s="154" t="n">
        <v>0.025</v>
      </c>
      <c r="F957" s="149" t="n">
        <f aca="false">IF(C957="MAT.",VLOOKUP(A957,INSUMOS_AUX!$A$3:$H$813,6,0),0)</f>
        <v>0</v>
      </c>
      <c r="G957" s="149" t="n">
        <f aca="false">IF(C957="M.O.",VLOOKUP(A957,INSUMOS_AUX!A:F,6,0),0)</f>
        <v>0</v>
      </c>
    </row>
    <row r="958" customFormat="false" ht="21" hidden="false" customHeight="false" outlineLevel="0" collapsed="false">
      <c r="A958" s="154" t="n">
        <v>39017</v>
      </c>
      <c r="B958" s="155" t="s">
        <v>1621</v>
      </c>
      <c r="C958" s="148" t="str">
        <f aca="false">VLOOKUP($A958,INSUMOS_AUX!$A$3:$H$813,3,0)</f>
        <v>MAT.</v>
      </c>
      <c r="D958" s="156" t="s">
        <v>31</v>
      </c>
      <c r="E958" s="154" t="n">
        <v>0.052</v>
      </c>
      <c r="F958" s="149" t="n">
        <f aca="false">IF(C958="MAT.",VLOOKUP(A958,INSUMOS_AUX!$A$3:$H$813,6,0),0)</f>
        <v>0.22</v>
      </c>
      <c r="G958" s="149" t="n">
        <f aca="false">IF(C958="M.O.",VLOOKUP(A958,INSUMOS_AUX!A:F,6,0),0)</f>
        <v>0</v>
      </c>
    </row>
    <row r="959" customFormat="false" ht="15" hidden="false" customHeight="false" outlineLevel="0" collapsed="false">
      <c r="A959" s="154" t="n">
        <v>6114</v>
      </c>
      <c r="B959" s="155" t="s">
        <v>1588</v>
      </c>
      <c r="C959" s="148" t="str">
        <f aca="false">VLOOKUP($A959,INSUMOS_AUX!$A$3:$H$813,3,0)</f>
        <v>M.O.</v>
      </c>
      <c r="D959" s="156" t="s">
        <v>1444</v>
      </c>
      <c r="E959" s="154" t="n">
        <v>0.00202308</v>
      </c>
      <c r="F959" s="149" t="n">
        <f aca="false">IF(C959="MAT.",VLOOKUP(A959,INSUMOS_AUX!$A$3:$H$813,6,0),0)</f>
        <v>0</v>
      </c>
      <c r="G959" s="149" t="n">
        <f aca="false">IF(C959="M.O.",VLOOKUP(A959,INSUMOS_AUX!A:F,6,0),0)</f>
        <v>13.26</v>
      </c>
    </row>
    <row r="960" customFormat="false" ht="15" hidden="false" customHeight="false" outlineLevel="0" collapsed="false">
      <c r="A960" s="154" t="n">
        <v>378</v>
      </c>
      <c r="B960" s="155" t="s">
        <v>1589</v>
      </c>
      <c r="C960" s="148" t="str">
        <f aca="false">VLOOKUP($A960,INSUMOS_AUX!$A$3:$H$813,3,0)</f>
        <v>M.O.</v>
      </c>
      <c r="D960" s="156" t="s">
        <v>1444</v>
      </c>
      <c r="E960" s="154" t="n">
        <v>0.013251174</v>
      </c>
      <c r="F960" s="149" t="n">
        <f aca="false">IF(C960="MAT.",VLOOKUP(A960,INSUMOS_AUX!$A$3:$H$813,6,0),0)</f>
        <v>0</v>
      </c>
      <c r="G960" s="149" t="n">
        <f aca="false">IF(C960="M.O.",VLOOKUP(A960,INSUMOS_AUX!A:F,6,0),0)</f>
        <v>20.22</v>
      </c>
    </row>
    <row r="961" customFormat="false" ht="31.5" hidden="false" customHeight="false" outlineLevel="0" collapsed="false">
      <c r="A961" s="150" t="s">
        <v>183</v>
      </c>
      <c r="B961" s="151" t="s">
        <v>1673</v>
      </c>
      <c r="C961" s="152" t="s">
        <v>59</v>
      </c>
      <c r="D961" s="152" t="s">
        <v>1442</v>
      </c>
      <c r="E961" s="150"/>
      <c r="F961" s="153" t="n">
        <f aca="false">(SUMPRODUCT($E962:$E977,F962:F977))*1</f>
        <v>771.464059306024</v>
      </c>
      <c r="G961" s="153" t="n">
        <f aca="false">(SUMPRODUCT($E962:$E977,G962:G977))*1</f>
        <v>29.028581382</v>
      </c>
    </row>
    <row r="962" customFormat="false" ht="21" hidden="false" customHeight="false" outlineLevel="0" collapsed="false">
      <c r="A962" s="154" t="n">
        <v>37370</v>
      </c>
      <c r="B962" s="155" t="s">
        <v>1443</v>
      </c>
      <c r="C962" s="148" t="str">
        <f aca="false">VLOOKUP($A962,INSUMOS_AUX!$A$3:$H$813,3,0)</f>
        <v>MAT.</v>
      </c>
      <c r="D962" s="156" t="s">
        <v>1444</v>
      </c>
      <c r="E962" s="154" t="n">
        <v>1.704</v>
      </c>
      <c r="F962" s="149" t="n">
        <f aca="false">IF(C962="MAT.",VLOOKUP(A962,INSUMOS_AUX!$A$3:$H$813,6,0),0)</f>
        <v>3.32</v>
      </c>
      <c r="G962" s="149" t="n">
        <f aca="false">IF(C962="M.O.",VLOOKUP(A962,INSUMOS_AUX!A:F,6,0),0)</f>
        <v>0</v>
      </c>
    </row>
    <row r="963" customFormat="false" ht="21" hidden="false" customHeight="false" outlineLevel="0" collapsed="false">
      <c r="A963" s="154" t="n">
        <v>43483</v>
      </c>
      <c r="B963" s="155" t="s">
        <v>1486</v>
      </c>
      <c r="C963" s="148" t="str">
        <f aca="false">VLOOKUP($A963,INSUMOS_AUX!$A$3:$H$813,3,0)</f>
        <v>MAT.</v>
      </c>
      <c r="D963" s="156" t="s">
        <v>1444</v>
      </c>
      <c r="E963" s="154" t="n">
        <v>0.125</v>
      </c>
      <c r="F963" s="149" t="n">
        <f aca="false">IF(C963="MAT.",VLOOKUP(A963,INSUMOS_AUX!$A$3:$H$813,6,0),0)</f>
        <v>1.43</v>
      </c>
      <c r="G963" s="149" t="n">
        <f aca="false">IF(C963="M.O.",VLOOKUP(A963,INSUMOS_AUX!A:F,6,0),0)</f>
        <v>0</v>
      </c>
    </row>
    <row r="964" customFormat="false" ht="21" hidden="false" customHeight="false" outlineLevel="0" collapsed="false">
      <c r="A964" s="154" t="n">
        <v>43489</v>
      </c>
      <c r="B964" s="155" t="s">
        <v>1456</v>
      </c>
      <c r="C964" s="148" t="str">
        <f aca="false">VLOOKUP($A964,INSUMOS_AUX!$A$3:$H$813,3,0)</f>
        <v>MAT.</v>
      </c>
      <c r="D964" s="156" t="s">
        <v>1444</v>
      </c>
      <c r="E964" s="154" t="n">
        <v>0.753</v>
      </c>
      <c r="F964" s="149" t="n">
        <f aca="false">IF(C964="MAT.",VLOOKUP(A964,INSUMOS_AUX!$A$3:$H$813,6,0),0)</f>
        <v>1.31</v>
      </c>
      <c r="G964" s="149" t="n">
        <f aca="false">IF(C964="M.O.",VLOOKUP(A964,INSUMOS_AUX!A:F,6,0),0)</f>
        <v>0</v>
      </c>
    </row>
    <row r="965" customFormat="false" ht="21" hidden="false" customHeight="false" outlineLevel="0" collapsed="false">
      <c r="A965" s="154" t="n">
        <v>43491</v>
      </c>
      <c r="B965" s="155" t="s">
        <v>1457</v>
      </c>
      <c r="C965" s="148" t="str">
        <f aca="false">VLOOKUP($A965,INSUMOS_AUX!$A$3:$H$813,3,0)</f>
        <v>MAT.</v>
      </c>
      <c r="D965" s="156" t="s">
        <v>1444</v>
      </c>
      <c r="E965" s="154" t="n">
        <v>0.826</v>
      </c>
      <c r="F965" s="149" t="n">
        <f aca="false">IF(C965="MAT.",VLOOKUP(A965,INSUMOS_AUX!$A$3:$H$813,6,0),0)</f>
        <v>1.39</v>
      </c>
      <c r="G965" s="149" t="n">
        <f aca="false">IF(C965="M.O.",VLOOKUP(A965,INSUMOS_AUX!A:F,6,0),0)</f>
        <v>0</v>
      </c>
    </row>
    <row r="966" customFormat="false" ht="21" hidden="false" customHeight="false" outlineLevel="0" collapsed="false">
      <c r="A966" s="154" t="n">
        <v>37372</v>
      </c>
      <c r="B966" s="155" t="s">
        <v>1446</v>
      </c>
      <c r="C966" s="148" t="str">
        <f aca="false">VLOOKUP($A966,INSUMOS_AUX!$A$3:$H$813,3,0)</f>
        <v>MAT.</v>
      </c>
      <c r="D966" s="156" t="s">
        <v>1444</v>
      </c>
      <c r="E966" s="154" t="n">
        <v>1.704</v>
      </c>
      <c r="F966" s="149" t="n">
        <f aca="false">IF(C966="MAT.",VLOOKUP(A966,INSUMOS_AUX!$A$3:$H$813,6,0),0)</f>
        <v>1.43</v>
      </c>
      <c r="G966" s="149" t="n">
        <f aca="false">IF(C966="M.O.",VLOOKUP(A966,INSUMOS_AUX!A:F,6,0),0)</f>
        <v>0</v>
      </c>
    </row>
    <row r="967" customFormat="false" ht="21" hidden="false" customHeight="false" outlineLevel="0" collapsed="false">
      <c r="A967" s="154" t="n">
        <v>43459</v>
      </c>
      <c r="B967" s="155" t="s">
        <v>1487</v>
      </c>
      <c r="C967" s="148" t="str">
        <f aca="false">VLOOKUP($A967,INSUMOS_AUX!$A$3:$H$813,3,0)</f>
        <v>MAT.</v>
      </c>
      <c r="D967" s="156" t="s">
        <v>1444</v>
      </c>
      <c r="E967" s="154" t="n">
        <v>0.125</v>
      </c>
      <c r="F967" s="149" t="n">
        <f aca="false">IF(C967="MAT.",VLOOKUP(A967,INSUMOS_AUX!$A$3:$H$813,6,0),0)</f>
        <v>0.44</v>
      </c>
      <c r="G967" s="149" t="n">
        <f aca="false">IF(C967="M.O.",VLOOKUP(A967,INSUMOS_AUX!A:F,6,0),0)</f>
        <v>0</v>
      </c>
    </row>
    <row r="968" customFormat="false" ht="21" hidden="false" customHeight="false" outlineLevel="0" collapsed="false">
      <c r="A968" s="154" t="n">
        <v>43465</v>
      </c>
      <c r="B968" s="155" t="s">
        <v>1458</v>
      </c>
      <c r="C968" s="148" t="str">
        <f aca="false">VLOOKUP($A968,INSUMOS_AUX!$A$3:$H$813,3,0)</f>
        <v>MAT.</v>
      </c>
      <c r="D968" s="156" t="s">
        <v>1444</v>
      </c>
      <c r="E968" s="154" t="n">
        <v>0.753</v>
      </c>
      <c r="F968" s="149" t="n">
        <f aca="false">IF(C968="MAT.",VLOOKUP(A968,INSUMOS_AUX!$A$3:$H$813,6,0),0)</f>
        <v>0.78</v>
      </c>
      <c r="G968" s="149" t="n">
        <f aca="false">IF(C968="M.O.",VLOOKUP(A968,INSUMOS_AUX!A:F,6,0),0)</f>
        <v>0</v>
      </c>
    </row>
    <row r="969" customFormat="false" ht="21" hidden="false" customHeight="false" outlineLevel="0" collapsed="false">
      <c r="A969" s="154" t="n">
        <v>43467</v>
      </c>
      <c r="B969" s="155" t="s">
        <v>1459</v>
      </c>
      <c r="C969" s="148" t="s">
        <v>59</v>
      </c>
      <c r="D969" s="156" t="s">
        <v>1444</v>
      </c>
      <c r="E969" s="154" t="n">
        <v>0.826</v>
      </c>
      <c r="F969" s="149" t="n">
        <f aca="false">IF(C969="MAT.",VLOOKUP(A969,INSUMOS_AUX!$A$3:$H$813,6,0),0)</f>
        <v>0</v>
      </c>
      <c r="G969" s="149" t="n">
        <f aca="false">IF(C969="M.O.",VLOOKUP(A969,INSUMOS_AUX!A:F,6,0),0)</f>
        <v>0</v>
      </c>
    </row>
    <row r="970" customFormat="false" ht="21" hidden="false" customHeight="false" outlineLevel="0" collapsed="false">
      <c r="A970" s="154" t="n">
        <v>37373</v>
      </c>
      <c r="B970" s="155" t="s">
        <v>1448</v>
      </c>
      <c r="C970" s="148" t="str">
        <f aca="false">VLOOKUP($A970,INSUMOS_AUX!$A$3:$H$813,3,0)</f>
        <v>MAT.</v>
      </c>
      <c r="D970" s="156" t="s">
        <v>1444</v>
      </c>
      <c r="E970" s="154" t="n">
        <v>1.704</v>
      </c>
      <c r="F970" s="149" t="n">
        <f aca="false">IF(C970="MAT.",VLOOKUP(A970,INSUMOS_AUX!$A$3:$H$813,6,0),0)</f>
        <v>0.08</v>
      </c>
      <c r="G970" s="149" t="n">
        <f aca="false">IF(C970="M.O.",VLOOKUP(A970,INSUMOS_AUX!A:F,6,0),0)</f>
        <v>0</v>
      </c>
    </row>
    <row r="971" customFormat="false" ht="21" hidden="false" customHeight="false" outlineLevel="0" collapsed="false">
      <c r="A971" s="154" t="n">
        <v>37371</v>
      </c>
      <c r="B971" s="155" t="s">
        <v>1449</v>
      </c>
      <c r="C971" s="148" t="str">
        <f aca="false">VLOOKUP($A971,INSUMOS_AUX!$A$3:$H$813,3,0)</f>
        <v>MAT.</v>
      </c>
      <c r="D971" s="156" t="s">
        <v>1444</v>
      </c>
      <c r="E971" s="154" t="n">
        <v>1.704</v>
      </c>
      <c r="F971" s="149" t="n">
        <f aca="false">IF(C971="MAT.",VLOOKUP(A971,INSUMOS_AUX!$A$3:$H$813,6,0),0)</f>
        <v>0.59</v>
      </c>
      <c r="G971" s="149" t="n">
        <f aca="false">IF(C971="M.O.",VLOOKUP(A971,INSUMOS_AUX!A:F,6,0),0)</f>
        <v>0</v>
      </c>
    </row>
    <row r="972" customFormat="false" ht="21" hidden="false" customHeight="false" outlineLevel="0" collapsed="false">
      <c r="A972" s="154" t="n">
        <v>13896</v>
      </c>
      <c r="B972" s="155" t="s">
        <v>1564</v>
      </c>
      <c r="C972" s="148" t="str">
        <f aca="false">VLOOKUP($A972,INSUMOS_AUX!$A$3:$H$813,3,0)</f>
        <v>MAT.</v>
      </c>
      <c r="D972" s="156" t="s">
        <v>31</v>
      </c>
      <c r="E972" s="154" t="n">
        <v>5.15576E-005</v>
      </c>
      <c r="F972" s="149" t="n">
        <f aca="false">IF(C972="MAT.",VLOOKUP(A972,INSUMOS_AUX!$A$3:$H$813,6,0),0)</f>
        <v>3390.99</v>
      </c>
      <c r="G972" s="149" t="n">
        <f aca="false">IF(C972="M.O.",VLOOKUP(A972,INSUMOS_AUX!A:F,6,0),0)</f>
        <v>0</v>
      </c>
    </row>
    <row r="973" customFormat="false" ht="15" hidden="false" customHeight="false" outlineLevel="0" collapsed="false">
      <c r="A973" s="154" t="n">
        <v>2705</v>
      </c>
      <c r="B973" s="155" t="s">
        <v>1467</v>
      </c>
      <c r="C973" s="148" t="str">
        <f aca="false">VLOOKUP($A973,INSUMOS_AUX!$A$3:$H$813,3,0)</f>
        <v>MAT.</v>
      </c>
      <c r="D973" s="156" t="s">
        <v>1468</v>
      </c>
      <c r="E973" s="154" t="n">
        <v>0.0624</v>
      </c>
      <c r="F973" s="149" t="n">
        <f aca="false">IF(C973="MAT.",VLOOKUP(A973,INSUMOS_AUX!$A$3:$H$813,6,0),0)</f>
        <v>0.92</v>
      </c>
      <c r="G973" s="149" t="n">
        <f aca="false">IF(C973="M.O.",VLOOKUP(A973,INSUMOS_AUX!A:F,6,0),0)</f>
        <v>0</v>
      </c>
    </row>
    <row r="974" customFormat="false" ht="31.5" hidden="false" customHeight="false" outlineLevel="0" collapsed="false">
      <c r="A974" s="154" t="n">
        <v>11145</v>
      </c>
      <c r="B974" s="155" t="s">
        <v>1620</v>
      </c>
      <c r="C974" s="148" t="str">
        <f aca="false">VLOOKUP($A974,INSUMOS_AUX!$A$3:$H$813,3,0)</f>
        <v>MAT.</v>
      </c>
      <c r="D974" s="156" t="s">
        <v>1442</v>
      </c>
      <c r="E974" s="154" t="n">
        <v>1.103</v>
      </c>
      <c r="F974" s="149" t="n">
        <f aca="false">IF(C974="MAT.",VLOOKUP(A974,INSUMOS_AUX!$A$3:$H$813,6,0),0)</f>
        <v>688.16</v>
      </c>
      <c r="G974" s="149" t="n">
        <f aca="false">IF(C974="M.O.",VLOOKUP(A974,INSUMOS_AUX!A:F,6,0),0)</f>
        <v>0</v>
      </c>
    </row>
    <row r="975" customFormat="false" ht="15" hidden="false" customHeight="false" outlineLevel="0" collapsed="false">
      <c r="A975" s="154" t="n">
        <v>1213</v>
      </c>
      <c r="B975" s="155" t="s">
        <v>1516</v>
      </c>
      <c r="C975" s="148" t="str">
        <f aca="false">VLOOKUP($A975,INSUMOS_AUX!$A$3:$H$813,3,0)</f>
        <v>M.O.</v>
      </c>
      <c r="D975" s="156" t="s">
        <v>1444</v>
      </c>
      <c r="E975" s="154" t="n">
        <v>0.1264425</v>
      </c>
      <c r="F975" s="149" t="n">
        <f aca="false">IF(C975="MAT.",VLOOKUP(A975,INSUMOS_AUX!$A$3:$H$813,6,0),0)</f>
        <v>0</v>
      </c>
      <c r="G975" s="149" t="n">
        <f aca="false">IF(C975="M.O.",VLOOKUP(A975,INSUMOS_AUX!A:F,6,0),0)</f>
        <v>20.22</v>
      </c>
    </row>
    <row r="976" customFormat="false" ht="15" hidden="false" customHeight="false" outlineLevel="0" collapsed="false">
      <c r="A976" s="154" t="n">
        <v>4750</v>
      </c>
      <c r="B976" s="155" t="s">
        <v>1463</v>
      </c>
      <c r="C976" s="148" t="str">
        <f aca="false">VLOOKUP($A976,INSUMOS_AUX!$A$3:$H$813,3,0)</f>
        <v>M.O.</v>
      </c>
      <c r="D976" s="156" t="s">
        <v>1444</v>
      </c>
      <c r="E976" s="154" t="n">
        <v>0.7689636</v>
      </c>
      <c r="F976" s="149" t="n">
        <f aca="false">IF(C976="MAT.",VLOOKUP(A976,INSUMOS_AUX!$A$3:$H$813,6,0),0)</f>
        <v>0</v>
      </c>
      <c r="G976" s="149" t="n">
        <f aca="false">IF(C976="M.O.",VLOOKUP(A976,INSUMOS_AUX!A:F,6,0),0)</f>
        <v>20.22</v>
      </c>
    </row>
    <row r="977" customFormat="false" ht="15" hidden="false" customHeight="false" outlineLevel="0" collapsed="false">
      <c r="A977" s="154" t="n">
        <v>6111</v>
      </c>
      <c r="B977" s="155" t="s">
        <v>1464</v>
      </c>
      <c r="C977" s="148" t="str">
        <f aca="false">VLOOKUP($A977,INSUMOS_AUX!$A$3:$H$813,3,0)</f>
        <v>M.O.</v>
      </c>
      <c r="D977" s="156" t="s">
        <v>1444</v>
      </c>
      <c r="E977" s="154" t="n">
        <v>0.8435112</v>
      </c>
      <c r="F977" s="149" t="n">
        <f aca="false">IF(C977="MAT.",VLOOKUP(A977,INSUMOS_AUX!$A$3:$H$813,6,0),0)</f>
        <v>0</v>
      </c>
      <c r="G977" s="149" t="n">
        <f aca="false">IF(C977="M.O.",VLOOKUP(A977,INSUMOS_AUX!A:F,6,0),0)</f>
        <v>12.95</v>
      </c>
    </row>
    <row r="978" customFormat="false" ht="31.5" hidden="false" customHeight="false" outlineLevel="0" collapsed="false">
      <c r="A978" s="150" t="n">
        <v>92452</v>
      </c>
      <c r="B978" s="151" t="s">
        <v>1674</v>
      </c>
      <c r="C978" s="152" t="s">
        <v>59</v>
      </c>
      <c r="D978" s="152" t="s">
        <v>1477</v>
      </c>
      <c r="E978" s="150"/>
      <c r="F978" s="153" t="n">
        <f aca="false">(SUMPRODUCT($E979:$E1001,F979:F1001))*1</f>
        <v>135.248520666504</v>
      </c>
      <c r="G978" s="153" t="n">
        <f aca="false">(SUMPRODUCT($E979:$E1001,G979:G1001))*1</f>
        <v>53.907364012452</v>
      </c>
    </row>
    <row r="979" customFormat="false" ht="21" hidden="false" customHeight="false" outlineLevel="0" collapsed="false">
      <c r="A979" s="154" t="n">
        <v>37370</v>
      </c>
      <c r="B979" s="155" t="s">
        <v>1443</v>
      </c>
      <c r="C979" s="148" t="str">
        <f aca="false">VLOOKUP($A979,INSUMOS_AUX!$A$3:$H$813,3,0)</f>
        <v>MAT.</v>
      </c>
      <c r="D979" s="156" t="s">
        <v>1444</v>
      </c>
      <c r="E979" s="154" t="n">
        <v>2.9694</v>
      </c>
      <c r="F979" s="149" t="n">
        <f aca="false">IF(C979="MAT.",VLOOKUP(A979,INSUMOS_AUX!$A$3:$H$813,6,0),0)</f>
        <v>3.32</v>
      </c>
      <c r="G979" s="149" t="n">
        <f aca="false">IF(C979="M.O.",VLOOKUP(A979,INSUMOS_AUX!A:F,6,0),0)</f>
        <v>0</v>
      </c>
    </row>
    <row r="980" customFormat="false" ht="21" hidden="false" customHeight="false" outlineLevel="0" collapsed="false">
      <c r="A980" s="154" t="n">
        <v>43483</v>
      </c>
      <c r="B980" s="155" t="s">
        <v>1486</v>
      </c>
      <c r="C980" s="148" t="str">
        <f aca="false">VLOOKUP($A980,INSUMOS_AUX!$A$3:$H$813,3,0)</f>
        <v>MAT.</v>
      </c>
      <c r="D980" s="156" t="s">
        <v>1444</v>
      </c>
      <c r="E980" s="154" t="n">
        <v>2.789738</v>
      </c>
      <c r="F980" s="149" t="n">
        <f aca="false">IF(C980="MAT.",VLOOKUP(A980,INSUMOS_AUX!$A$3:$H$813,6,0),0)</f>
        <v>1.43</v>
      </c>
      <c r="G980" s="149" t="n">
        <f aca="false">IF(C980="M.O.",VLOOKUP(A980,INSUMOS_AUX!A:F,6,0),0)</f>
        <v>0</v>
      </c>
    </row>
    <row r="981" customFormat="false" ht="21" hidden="false" customHeight="false" outlineLevel="0" collapsed="false">
      <c r="A981" s="154" t="n">
        <v>43488</v>
      </c>
      <c r="B981" s="155" t="s">
        <v>1445</v>
      </c>
      <c r="C981" s="148" t="str">
        <f aca="false">VLOOKUP($A981,INSUMOS_AUX!$A$3:$H$813,3,0)</f>
        <v>MAT.</v>
      </c>
      <c r="D981" s="156" t="s">
        <v>1444</v>
      </c>
      <c r="E981" s="154" t="n">
        <v>0.179662</v>
      </c>
      <c r="F981" s="149" t="n">
        <f aca="false">IF(C981="MAT.",VLOOKUP(A981,INSUMOS_AUX!$A$3:$H$813,6,0),0)</f>
        <v>0.89</v>
      </c>
      <c r="G981" s="149" t="n">
        <f aca="false">IF(C981="M.O.",VLOOKUP(A981,INSUMOS_AUX!A:F,6,0),0)</f>
        <v>0</v>
      </c>
    </row>
    <row r="982" customFormat="false" ht="21" hidden="false" customHeight="false" outlineLevel="0" collapsed="false">
      <c r="A982" s="154" t="n">
        <v>37372</v>
      </c>
      <c r="B982" s="155" t="s">
        <v>1446</v>
      </c>
      <c r="C982" s="148" t="str">
        <f aca="false">VLOOKUP($A982,INSUMOS_AUX!$A$3:$H$813,3,0)</f>
        <v>MAT.</v>
      </c>
      <c r="D982" s="156" t="s">
        <v>1444</v>
      </c>
      <c r="E982" s="154" t="n">
        <v>2.9694</v>
      </c>
      <c r="F982" s="149" t="n">
        <f aca="false">IF(C982="MAT.",VLOOKUP(A982,INSUMOS_AUX!$A$3:$H$813,6,0),0)</f>
        <v>1.43</v>
      </c>
      <c r="G982" s="149" t="n">
        <f aca="false">IF(C982="M.O.",VLOOKUP(A982,INSUMOS_AUX!A:F,6,0),0)</f>
        <v>0</v>
      </c>
    </row>
    <row r="983" customFormat="false" ht="21" hidden="false" customHeight="false" outlineLevel="0" collapsed="false">
      <c r="A983" s="154" t="n">
        <v>43459</v>
      </c>
      <c r="B983" s="155" t="s">
        <v>1487</v>
      </c>
      <c r="C983" s="148" t="str">
        <f aca="false">VLOOKUP($A983,INSUMOS_AUX!$A$3:$H$813,3,0)</f>
        <v>MAT.</v>
      </c>
      <c r="D983" s="156" t="s">
        <v>1444</v>
      </c>
      <c r="E983" s="154" t="n">
        <v>2.789738</v>
      </c>
      <c r="F983" s="149" t="n">
        <f aca="false">IF(C983="MAT.",VLOOKUP(A983,INSUMOS_AUX!$A$3:$H$813,6,0),0)</f>
        <v>0.44</v>
      </c>
      <c r="G983" s="149" t="n">
        <f aca="false">IF(C983="M.O.",VLOOKUP(A983,INSUMOS_AUX!A:F,6,0),0)</f>
        <v>0</v>
      </c>
    </row>
    <row r="984" customFormat="false" ht="21" hidden="false" customHeight="false" outlineLevel="0" collapsed="false">
      <c r="A984" s="154" t="n">
        <v>43464</v>
      </c>
      <c r="B984" s="155" t="s">
        <v>1447</v>
      </c>
      <c r="C984" s="148" t="str">
        <f aca="false">VLOOKUP($A984,INSUMOS_AUX!$A$3:$H$813,3,0)</f>
        <v>MAT.</v>
      </c>
      <c r="D984" s="156" t="s">
        <v>1444</v>
      </c>
      <c r="E984" s="154" t="n">
        <v>0.179662</v>
      </c>
      <c r="F984" s="149" t="n">
        <f aca="false">IF(C984="MAT.",VLOOKUP(A984,INSUMOS_AUX!$A$3:$H$813,6,0),0)</f>
        <v>0.01</v>
      </c>
      <c r="G984" s="149" t="n">
        <f aca="false">IF(C984="M.O.",VLOOKUP(A984,INSUMOS_AUX!A:F,6,0),0)</f>
        <v>0</v>
      </c>
    </row>
    <row r="985" customFormat="false" ht="21" hidden="false" customHeight="false" outlineLevel="0" collapsed="false">
      <c r="A985" s="154" t="n">
        <v>37373</v>
      </c>
      <c r="B985" s="155" t="s">
        <v>1448</v>
      </c>
      <c r="C985" s="148" t="str">
        <f aca="false">VLOOKUP($A985,INSUMOS_AUX!$A$3:$H$813,3,0)</f>
        <v>MAT.</v>
      </c>
      <c r="D985" s="156" t="s">
        <v>1444</v>
      </c>
      <c r="E985" s="154" t="n">
        <v>2.9694</v>
      </c>
      <c r="F985" s="149" t="n">
        <f aca="false">IF(C985="MAT.",VLOOKUP(A985,INSUMOS_AUX!$A$3:$H$813,6,0),0)</f>
        <v>0.08</v>
      </c>
      <c r="G985" s="149" t="n">
        <f aca="false">IF(C985="M.O.",VLOOKUP(A985,INSUMOS_AUX!A:F,6,0),0)</f>
        <v>0</v>
      </c>
    </row>
    <row r="986" customFormat="false" ht="21" hidden="false" customHeight="false" outlineLevel="0" collapsed="false">
      <c r="A986" s="154" t="n">
        <v>37371</v>
      </c>
      <c r="B986" s="155" t="s">
        <v>1449</v>
      </c>
      <c r="C986" s="148" t="str">
        <f aca="false">VLOOKUP($A986,INSUMOS_AUX!$A$3:$H$813,3,0)</f>
        <v>MAT.</v>
      </c>
      <c r="D986" s="156" t="s">
        <v>1444</v>
      </c>
      <c r="E986" s="154" t="n">
        <v>2.9694</v>
      </c>
      <c r="F986" s="149" t="n">
        <f aca="false">IF(C986="MAT.",VLOOKUP(A986,INSUMOS_AUX!$A$3:$H$813,6,0),0)</f>
        <v>0.59</v>
      </c>
      <c r="G986" s="149" t="n">
        <f aca="false">IF(C986="M.O.",VLOOKUP(A986,INSUMOS_AUX!A:F,6,0),0)</f>
        <v>0</v>
      </c>
    </row>
    <row r="987" customFormat="false" ht="21" hidden="false" customHeight="false" outlineLevel="0" collapsed="false">
      <c r="A987" s="154" t="n">
        <v>40287</v>
      </c>
      <c r="B987" s="155" t="s">
        <v>1639</v>
      </c>
      <c r="C987" s="148" t="str">
        <f aca="false">VLOOKUP($A987,INSUMOS_AUX!$A$3:$H$813,3,0)</f>
        <v>MAT.</v>
      </c>
      <c r="D987" s="156" t="s">
        <v>1416</v>
      </c>
      <c r="E987" s="154" t="n">
        <v>0.474</v>
      </c>
      <c r="F987" s="149" t="n">
        <f aca="false">IF(C987="MAT.",VLOOKUP(A987,INSUMOS_AUX!$A$3:$H$813,6,0),0)</f>
        <v>8.84</v>
      </c>
      <c r="G987" s="149" t="n">
        <f aca="false">IF(C987="M.O.",VLOOKUP(A987,INSUMOS_AUX!A:F,6,0),0)</f>
        <v>0</v>
      </c>
    </row>
    <row r="988" customFormat="false" ht="31.5" hidden="false" customHeight="false" outlineLevel="0" collapsed="false">
      <c r="A988" s="154" t="n">
        <v>40339</v>
      </c>
      <c r="B988" s="155" t="s">
        <v>1675</v>
      </c>
      <c r="C988" s="148" t="str">
        <f aca="false">VLOOKUP($A988,INSUMOS_AUX!$A$3:$H$813,3,0)</f>
        <v>MAT.</v>
      </c>
      <c r="D988" s="156" t="s">
        <v>1638</v>
      </c>
      <c r="E988" s="154" t="n">
        <v>1.186</v>
      </c>
      <c r="F988" s="149" t="n">
        <f aca="false">IF(C988="MAT.",VLOOKUP(A988,INSUMOS_AUX!$A$3:$H$813,6,0),0)</f>
        <v>8.05</v>
      </c>
      <c r="G988" s="149" t="n">
        <f aca="false">IF(C988="M.O.",VLOOKUP(A988,INSUMOS_AUX!A:F,6,0),0)</f>
        <v>0</v>
      </c>
    </row>
    <row r="989" customFormat="false" ht="31.5" hidden="false" customHeight="false" outlineLevel="0" collapsed="false">
      <c r="A989" s="154" t="n">
        <v>10749</v>
      </c>
      <c r="B989" s="155" t="s">
        <v>1676</v>
      </c>
      <c r="C989" s="148" t="str">
        <f aca="false">VLOOKUP($A989,INSUMOS_AUX!$A$3:$H$813,3,0)</f>
        <v>MAT.</v>
      </c>
      <c r="D989" s="156" t="s">
        <v>1638</v>
      </c>
      <c r="E989" s="154" t="n">
        <v>1.186</v>
      </c>
      <c r="F989" s="149" t="n">
        <f aca="false">IF(C989="MAT.",VLOOKUP(A989,INSUMOS_AUX!$A$3:$H$813,6,0),0)</f>
        <v>26.62</v>
      </c>
      <c r="G989" s="149" t="n">
        <f aca="false">IF(C989="M.O.",VLOOKUP(A989,INSUMOS_AUX!A:F,6,0),0)</f>
        <v>0</v>
      </c>
    </row>
    <row r="990" customFormat="false" ht="31.5" hidden="false" customHeight="false" outlineLevel="0" collapsed="false">
      <c r="A990" s="154" t="n">
        <v>40275</v>
      </c>
      <c r="B990" s="155" t="s">
        <v>1640</v>
      </c>
      <c r="C990" s="148" t="s">
        <v>59</v>
      </c>
      <c r="D990" s="156" t="s">
        <v>1638</v>
      </c>
      <c r="E990" s="154" t="n">
        <v>0.356</v>
      </c>
      <c r="F990" s="149" t="n">
        <f aca="false">IF(C990="MAT.",VLOOKUP(A990,INSUMOS_AUX!$A$3:$H$813,6,0),0)</f>
        <v>0</v>
      </c>
      <c r="G990" s="149" t="n">
        <f aca="false">IF(C990="M.O.",VLOOKUP(A990,INSUMOS_AUX!A:F,6,0),0)</f>
        <v>0</v>
      </c>
    </row>
    <row r="991" customFormat="false" ht="21" hidden="false" customHeight="false" outlineLevel="0" collapsed="false">
      <c r="A991" s="154" t="n">
        <v>14618</v>
      </c>
      <c r="B991" s="155" t="s">
        <v>1592</v>
      </c>
      <c r="C991" s="148" t="str">
        <f aca="false">VLOOKUP($A991,INSUMOS_AUX!$A$3:$H$813,3,0)</f>
        <v>MAT.</v>
      </c>
      <c r="D991" s="156" t="s">
        <v>31</v>
      </c>
      <c r="E991" s="154" t="n">
        <v>1.71596616E-005</v>
      </c>
      <c r="F991" s="149" t="n">
        <f aca="false">IF(C991="MAT.",VLOOKUP(A991,INSUMOS_AUX!$A$3:$H$813,6,0),0)</f>
        <v>1283.38</v>
      </c>
      <c r="G991" s="149" t="n">
        <f aca="false">IF(C991="M.O.",VLOOKUP(A991,INSUMOS_AUX!A:F,6,0),0)</f>
        <v>0</v>
      </c>
    </row>
    <row r="992" customFormat="false" ht="15" hidden="false" customHeight="false" outlineLevel="0" collapsed="false">
      <c r="A992" s="154" t="n">
        <v>2705</v>
      </c>
      <c r="B992" s="155" t="s">
        <v>1467</v>
      </c>
      <c r="C992" s="148" t="str">
        <f aca="false">VLOOKUP($A992,INSUMOS_AUX!$A$3:$H$813,3,0)</f>
        <v>MAT.</v>
      </c>
      <c r="D992" s="156" t="s">
        <v>1468</v>
      </c>
      <c r="E992" s="154" t="n">
        <v>0.042568</v>
      </c>
      <c r="F992" s="149" t="n">
        <f aca="false">IF(C992="MAT.",VLOOKUP(A992,INSUMOS_AUX!$A$3:$H$813,6,0),0)</f>
        <v>0.92</v>
      </c>
      <c r="G992" s="149" t="n">
        <f aca="false">IF(C992="M.O.",VLOOKUP(A992,INSUMOS_AUX!A:F,6,0),0)</f>
        <v>0</v>
      </c>
    </row>
    <row r="993" customFormat="false" ht="31.5" hidden="false" customHeight="false" outlineLevel="0" collapsed="false">
      <c r="A993" s="154" t="n">
        <v>1358</v>
      </c>
      <c r="B993" s="155" t="s">
        <v>1641</v>
      </c>
      <c r="C993" s="148" t="str">
        <f aca="false">VLOOKUP($A993,INSUMOS_AUX!$A$3:$H$813,3,0)</f>
        <v>MAT.</v>
      </c>
      <c r="D993" s="156" t="s">
        <v>1477</v>
      </c>
      <c r="E993" s="154" t="n">
        <v>0.717396</v>
      </c>
      <c r="F993" s="149" t="n">
        <f aca="false">IF(C993="MAT.",VLOOKUP(A993,INSUMOS_AUX!$A$3:$H$813,6,0),0)</f>
        <v>57.71</v>
      </c>
      <c r="G993" s="149" t="n">
        <f aca="false">IF(C993="M.O.",VLOOKUP(A993,INSUMOS_AUX!A:F,6,0),0)</f>
        <v>0</v>
      </c>
    </row>
    <row r="994" customFormat="false" ht="21" hidden="false" customHeight="false" outlineLevel="0" collapsed="false">
      <c r="A994" s="154" t="n">
        <v>2692</v>
      </c>
      <c r="B994" s="155" t="s">
        <v>1570</v>
      </c>
      <c r="C994" s="148" t="str">
        <f aca="false">VLOOKUP($A994,INSUMOS_AUX!$A$3:$H$813,3,0)</f>
        <v>MAT.</v>
      </c>
      <c r="D994" s="156" t="s">
        <v>1452</v>
      </c>
      <c r="E994" s="154" t="n">
        <v>0.01</v>
      </c>
      <c r="F994" s="149" t="n">
        <f aca="false">IF(C994="MAT.",VLOOKUP(A994,INSUMOS_AUX!$A$3:$H$813,6,0),0)</f>
        <v>6.52</v>
      </c>
      <c r="G994" s="149" t="n">
        <f aca="false">IF(C994="M.O.",VLOOKUP(A994,INSUMOS_AUX!A:F,6,0),0)</f>
        <v>0</v>
      </c>
    </row>
    <row r="995" customFormat="false" ht="21" hidden="false" customHeight="false" outlineLevel="0" collapsed="false">
      <c r="A995" s="154" t="n">
        <v>4491</v>
      </c>
      <c r="B995" s="155" t="s">
        <v>1578</v>
      </c>
      <c r="C995" s="148" t="str">
        <f aca="false">VLOOKUP($A995,INSUMOS_AUX!$A$3:$H$813,3,0)</f>
        <v>MAT.</v>
      </c>
      <c r="D995" s="156" t="s">
        <v>1455</v>
      </c>
      <c r="E995" s="154" t="n">
        <v>0.829916</v>
      </c>
      <c r="F995" s="149" t="n">
        <f aca="false">IF(C995="MAT.",VLOOKUP(A995,INSUMOS_AUX!$A$3:$H$813,6,0),0)</f>
        <v>10.25</v>
      </c>
      <c r="G995" s="149" t="n">
        <f aca="false">IF(C995="M.O.",VLOOKUP(A995,INSUMOS_AUX!A:F,6,0),0)</f>
        <v>0</v>
      </c>
    </row>
    <row r="996" customFormat="false" ht="15" hidden="false" customHeight="false" outlineLevel="0" collapsed="false">
      <c r="A996" s="154" t="n">
        <v>5068</v>
      </c>
      <c r="B996" s="155" t="s">
        <v>1579</v>
      </c>
      <c r="C996" s="148" t="str">
        <f aca="false">VLOOKUP($A996,INSUMOS_AUX!$A$3:$H$813,3,0)</f>
        <v>MAT.</v>
      </c>
      <c r="D996" s="156" t="s">
        <v>1513</v>
      </c>
      <c r="E996" s="154" t="n">
        <v>0.099534</v>
      </c>
      <c r="F996" s="149" t="n">
        <f aca="false">IF(C996="MAT.",VLOOKUP(A996,INSUMOS_AUX!$A$3:$H$813,6,0),0)</f>
        <v>20.34</v>
      </c>
      <c r="G996" s="149" t="n">
        <f aca="false">IF(C996="M.O.",VLOOKUP(A996,INSUMOS_AUX!A:F,6,0),0)</f>
        <v>0</v>
      </c>
    </row>
    <row r="997" customFormat="false" ht="15" hidden="false" customHeight="false" outlineLevel="0" collapsed="false">
      <c r="A997" s="154" t="n">
        <v>40304</v>
      </c>
      <c r="B997" s="155" t="s">
        <v>1626</v>
      </c>
      <c r="C997" s="148" t="str">
        <f aca="false">VLOOKUP($A997,INSUMOS_AUX!$A$3:$H$813,3,0)</f>
        <v>MAT.</v>
      </c>
      <c r="D997" s="156" t="s">
        <v>1513</v>
      </c>
      <c r="E997" s="154" t="n">
        <v>0.033</v>
      </c>
      <c r="F997" s="149" t="n">
        <f aca="false">IF(C997="MAT.",VLOOKUP(A997,INSUMOS_AUX!$A$3:$H$813,6,0),0)</f>
        <v>25.11</v>
      </c>
      <c r="G997" s="149" t="n">
        <f aca="false">IF(C997="M.O.",VLOOKUP(A997,INSUMOS_AUX!A:F,6,0),0)</f>
        <v>0</v>
      </c>
    </row>
    <row r="998" customFormat="false" ht="21" hidden="false" customHeight="false" outlineLevel="0" collapsed="false">
      <c r="A998" s="154" t="n">
        <v>4517</v>
      </c>
      <c r="B998" s="155" t="s">
        <v>1582</v>
      </c>
      <c r="C998" s="148" t="str">
        <f aca="false">VLOOKUP($A998,INSUMOS_AUX!$A$3:$H$813,3,0)</f>
        <v>MAT.</v>
      </c>
      <c r="D998" s="156" t="s">
        <v>1455</v>
      </c>
      <c r="E998" s="154" t="n">
        <v>4.351952</v>
      </c>
      <c r="F998" s="149" t="n">
        <f aca="false">IF(C998="MAT.",VLOOKUP(A998,INSUMOS_AUX!$A$3:$H$813,6,0),0)</f>
        <v>3.58</v>
      </c>
      <c r="G998" s="149" t="n">
        <f aca="false">IF(C998="M.O.",VLOOKUP(A998,INSUMOS_AUX!A:F,6,0),0)</f>
        <v>0</v>
      </c>
    </row>
    <row r="999" customFormat="false" ht="15" hidden="false" customHeight="false" outlineLevel="0" collapsed="false">
      <c r="A999" s="154" t="n">
        <v>6117</v>
      </c>
      <c r="B999" s="155" t="s">
        <v>1555</v>
      </c>
      <c r="C999" s="148" t="str">
        <f aca="false">VLOOKUP($A999,INSUMOS_AUX!$A$3:$H$813,3,0)</f>
        <v>M.O.</v>
      </c>
      <c r="D999" s="156" t="s">
        <v>1444</v>
      </c>
      <c r="E999" s="154" t="n">
        <v>0.45710067152</v>
      </c>
      <c r="F999" s="149" t="n">
        <f aca="false">IF(C999="MAT.",VLOOKUP(A999,INSUMOS_AUX!$A$3:$H$813,6,0),0)</f>
        <v>0</v>
      </c>
      <c r="G999" s="149" t="n">
        <f aca="false">IF(C999="M.O.",VLOOKUP(A999,INSUMOS_AUX!A:F,6,0),0)</f>
        <v>13.26</v>
      </c>
    </row>
    <row r="1000" customFormat="false" ht="15" hidden="false" customHeight="false" outlineLevel="0" collapsed="false">
      <c r="A1000" s="154" t="n">
        <v>1213</v>
      </c>
      <c r="B1000" s="155" t="s">
        <v>1516</v>
      </c>
      <c r="C1000" s="148" t="str">
        <f aca="false">VLOOKUP($A1000,INSUMOS_AUX!$A$3:$H$813,3,0)</f>
        <v>M.O.</v>
      </c>
      <c r="D1000" s="156" t="s">
        <v>1444</v>
      </c>
      <c r="E1000" s="154" t="n">
        <v>2.36628136044</v>
      </c>
      <c r="F1000" s="149" t="n">
        <f aca="false">IF(C1000="MAT.",VLOOKUP(A1000,INSUMOS_AUX!$A$3:$H$813,6,0),0)</f>
        <v>0</v>
      </c>
      <c r="G1000" s="149" t="n">
        <f aca="false">IF(C1000="M.O.",VLOOKUP(A1000,INSUMOS_AUX!A:F,6,0),0)</f>
        <v>20.22</v>
      </c>
    </row>
    <row r="1001" customFormat="false" ht="21" hidden="false" customHeight="false" outlineLevel="0" collapsed="false">
      <c r="A1001" s="154" t="n">
        <v>4230</v>
      </c>
      <c r="B1001" s="155" t="s">
        <v>1597</v>
      </c>
      <c r="C1001" s="148" t="s">
        <v>59</v>
      </c>
      <c r="D1001" s="156" t="s">
        <v>1444</v>
      </c>
      <c r="E1001" s="154" t="n">
        <v>0.18173529948</v>
      </c>
      <c r="F1001" s="149" t="n">
        <f aca="false">IF(C1001="MAT.",VLOOKUP(A1001,INSUMOS_AUX!$A$3:$H$813,6,0),0)</f>
        <v>0</v>
      </c>
      <c r="G1001" s="149" t="n">
        <f aca="false">IF(C1001="M.O.",VLOOKUP(A1001,INSUMOS_AUX!A:F,6,0),0)</f>
        <v>0</v>
      </c>
    </row>
    <row r="1002" customFormat="false" ht="31.5" hidden="false" customHeight="false" outlineLevel="0" collapsed="false">
      <c r="A1002" s="150" t="s">
        <v>190</v>
      </c>
      <c r="B1002" s="151" t="s">
        <v>1677</v>
      </c>
      <c r="C1002" s="152" t="s">
        <v>59</v>
      </c>
      <c r="D1002" s="152" t="s">
        <v>1477</v>
      </c>
      <c r="E1002" s="150"/>
      <c r="F1002" s="153" t="n">
        <f aca="false">(SUMPRODUCT($E1003:$E1033,F1003:F1033))*1</f>
        <v>156.180203598088</v>
      </c>
      <c r="G1002" s="153" t="n">
        <f aca="false">(SUMPRODUCT($E1003:$E1033,G1003:G1033))*1</f>
        <v>19.8727710761031</v>
      </c>
    </row>
    <row r="1003" customFormat="false" ht="21" hidden="false" customHeight="false" outlineLevel="0" collapsed="false">
      <c r="A1003" s="154" t="n">
        <v>37370</v>
      </c>
      <c r="B1003" s="155" t="s">
        <v>1443</v>
      </c>
      <c r="C1003" s="148" t="str">
        <f aca="false">VLOOKUP($A1003,INSUMOS_AUX!$A$3:$H$813,3,0)</f>
        <v>MAT.</v>
      </c>
      <c r="D1003" s="156" t="s">
        <v>1444</v>
      </c>
      <c r="E1003" s="154" t="n">
        <v>1.13399141</v>
      </c>
      <c r="F1003" s="149" t="n">
        <f aca="false">IF(C1003="MAT.",VLOOKUP(A1003,INSUMOS_AUX!$A$3:$H$813,6,0),0)</f>
        <v>3.32</v>
      </c>
      <c r="G1003" s="149" t="n">
        <f aca="false">IF(C1003="M.O.",VLOOKUP(A1003,INSUMOS_AUX!A:F,6,0),0)</f>
        <v>0</v>
      </c>
    </row>
    <row r="1004" customFormat="false" ht="21" hidden="false" customHeight="false" outlineLevel="0" collapsed="false">
      <c r="A1004" s="154" t="n">
        <v>43483</v>
      </c>
      <c r="B1004" s="155" t="s">
        <v>1486</v>
      </c>
      <c r="C1004" s="148" t="str">
        <f aca="false">VLOOKUP($A1004,INSUMOS_AUX!$A$3:$H$813,3,0)</f>
        <v>MAT.</v>
      </c>
      <c r="D1004" s="156" t="s">
        <v>1444</v>
      </c>
      <c r="E1004" s="154" t="n">
        <v>0.56183183</v>
      </c>
      <c r="F1004" s="149" t="n">
        <f aca="false">IF(C1004="MAT.",VLOOKUP(A1004,INSUMOS_AUX!$A$3:$H$813,6,0),0)</f>
        <v>1.43</v>
      </c>
      <c r="G1004" s="149" t="n">
        <f aca="false">IF(C1004="M.O.",VLOOKUP(A1004,INSUMOS_AUX!A:F,6,0),0)</f>
        <v>0</v>
      </c>
    </row>
    <row r="1005" customFormat="false" ht="21" hidden="false" customHeight="false" outlineLevel="0" collapsed="false">
      <c r="A1005" s="154" t="n">
        <v>43488</v>
      </c>
      <c r="B1005" s="155" t="s">
        <v>1445</v>
      </c>
      <c r="C1005" s="148" t="str">
        <f aca="false">VLOOKUP($A1005,INSUMOS_AUX!$A$3:$H$813,3,0)</f>
        <v>MAT.</v>
      </c>
      <c r="D1005" s="156" t="s">
        <v>1444</v>
      </c>
      <c r="E1005" s="154" t="n">
        <v>0.00388808321</v>
      </c>
      <c r="F1005" s="149" t="n">
        <f aca="false">IF(C1005="MAT.",VLOOKUP(A1005,INSUMOS_AUX!$A$3:$H$813,6,0),0)</f>
        <v>0.89</v>
      </c>
      <c r="G1005" s="149" t="n">
        <f aca="false">IF(C1005="M.O.",VLOOKUP(A1005,INSUMOS_AUX!A:F,6,0),0)</f>
        <v>0</v>
      </c>
    </row>
    <row r="1006" customFormat="false" ht="21" hidden="false" customHeight="false" outlineLevel="0" collapsed="false">
      <c r="A1006" s="154" t="n">
        <v>43489</v>
      </c>
      <c r="B1006" s="155" t="s">
        <v>1456</v>
      </c>
      <c r="C1006" s="148" t="str">
        <f aca="false">VLOOKUP($A1006,INSUMOS_AUX!$A$3:$H$813,3,0)</f>
        <v>MAT.</v>
      </c>
      <c r="D1006" s="156" t="s">
        <v>1444</v>
      </c>
      <c r="E1006" s="154" t="n">
        <v>0.1364505</v>
      </c>
      <c r="F1006" s="149" t="n">
        <f aca="false">IF(C1006="MAT.",VLOOKUP(A1006,INSUMOS_AUX!$A$3:$H$813,6,0),0)</f>
        <v>1.31</v>
      </c>
      <c r="G1006" s="149" t="n">
        <f aca="false">IF(C1006="M.O.",VLOOKUP(A1006,INSUMOS_AUX!A:F,6,0),0)</f>
        <v>0</v>
      </c>
    </row>
    <row r="1007" customFormat="false" ht="21" hidden="false" customHeight="false" outlineLevel="0" collapsed="false">
      <c r="A1007" s="154" t="n">
        <v>43491</v>
      </c>
      <c r="B1007" s="155" t="s">
        <v>1457</v>
      </c>
      <c r="C1007" s="148" t="str">
        <f aca="false">VLOOKUP($A1007,INSUMOS_AUX!$A$3:$H$813,3,0)</f>
        <v>MAT.</v>
      </c>
      <c r="D1007" s="156" t="s">
        <v>1444</v>
      </c>
      <c r="E1007" s="154" t="n">
        <v>0.431821</v>
      </c>
      <c r="F1007" s="149" t="n">
        <f aca="false">IF(C1007="MAT.",VLOOKUP(A1007,INSUMOS_AUX!$A$3:$H$813,6,0),0)</f>
        <v>1.39</v>
      </c>
      <c r="G1007" s="149" t="n">
        <f aca="false">IF(C1007="M.O.",VLOOKUP(A1007,INSUMOS_AUX!A:F,6,0),0)</f>
        <v>0</v>
      </c>
    </row>
    <row r="1008" customFormat="false" ht="21" hidden="false" customHeight="false" outlineLevel="0" collapsed="false">
      <c r="A1008" s="154" t="n">
        <v>37372</v>
      </c>
      <c r="B1008" s="155" t="s">
        <v>1446</v>
      </c>
      <c r="C1008" s="148" t="str">
        <f aca="false">VLOOKUP($A1008,INSUMOS_AUX!$A$3:$H$813,3,0)</f>
        <v>MAT.</v>
      </c>
      <c r="D1008" s="156" t="s">
        <v>1444</v>
      </c>
      <c r="E1008" s="154" t="n">
        <v>1.13399141</v>
      </c>
      <c r="F1008" s="149" t="n">
        <f aca="false">IF(C1008="MAT.",VLOOKUP(A1008,INSUMOS_AUX!$A$3:$H$813,6,0),0)</f>
        <v>1.43</v>
      </c>
      <c r="G1008" s="149" t="n">
        <f aca="false">IF(C1008="M.O.",VLOOKUP(A1008,INSUMOS_AUX!A:F,6,0),0)</f>
        <v>0</v>
      </c>
    </row>
    <row r="1009" customFormat="false" ht="21" hidden="false" customHeight="false" outlineLevel="0" collapsed="false">
      <c r="A1009" s="154" t="n">
        <v>43459</v>
      </c>
      <c r="B1009" s="155" t="s">
        <v>1487</v>
      </c>
      <c r="C1009" s="148" t="str">
        <f aca="false">VLOOKUP($A1009,INSUMOS_AUX!$A$3:$H$813,3,0)</f>
        <v>MAT.</v>
      </c>
      <c r="D1009" s="156" t="s">
        <v>1444</v>
      </c>
      <c r="E1009" s="154" t="n">
        <v>0.56183183</v>
      </c>
      <c r="F1009" s="149" t="n">
        <f aca="false">IF(C1009="MAT.",VLOOKUP(A1009,INSUMOS_AUX!$A$3:$H$813,6,0),0)</f>
        <v>0.44</v>
      </c>
      <c r="G1009" s="149" t="n">
        <f aca="false">IF(C1009="M.O.",VLOOKUP(A1009,INSUMOS_AUX!A:F,6,0),0)</f>
        <v>0</v>
      </c>
    </row>
    <row r="1010" customFormat="false" ht="21" hidden="false" customHeight="false" outlineLevel="0" collapsed="false">
      <c r="A1010" s="154" t="n">
        <v>43464</v>
      </c>
      <c r="B1010" s="155" t="s">
        <v>1447</v>
      </c>
      <c r="C1010" s="148" t="str">
        <f aca="false">VLOOKUP($A1010,INSUMOS_AUX!$A$3:$H$813,3,0)</f>
        <v>MAT.</v>
      </c>
      <c r="D1010" s="156" t="s">
        <v>1444</v>
      </c>
      <c r="E1010" s="154" t="n">
        <v>0.00388808321</v>
      </c>
      <c r="F1010" s="149" t="n">
        <f aca="false">IF(C1010="MAT.",VLOOKUP(A1010,INSUMOS_AUX!$A$3:$H$813,6,0),0)</f>
        <v>0.01</v>
      </c>
      <c r="G1010" s="149" t="n">
        <f aca="false">IF(C1010="M.O.",VLOOKUP(A1010,INSUMOS_AUX!A:F,6,0),0)</f>
        <v>0</v>
      </c>
    </row>
    <row r="1011" customFormat="false" ht="21" hidden="false" customHeight="false" outlineLevel="0" collapsed="false">
      <c r="A1011" s="154" t="n">
        <v>43465</v>
      </c>
      <c r="B1011" s="155" t="s">
        <v>1458</v>
      </c>
      <c r="C1011" s="148" t="str">
        <f aca="false">VLOOKUP($A1011,INSUMOS_AUX!$A$3:$H$813,3,0)</f>
        <v>MAT.</v>
      </c>
      <c r="D1011" s="156" t="s">
        <v>1444</v>
      </c>
      <c r="E1011" s="154" t="n">
        <v>0.1364505</v>
      </c>
      <c r="F1011" s="149" t="n">
        <f aca="false">IF(C1011="MAT.",VLOOKUP(A1011,INSUMOS_AUX!$A$3:$H$813,6,0),0)</f>
        <v>0.78</v>
      </c>
      <c r="G1011" s="149" t="n">
        <f aca="false">IF(C1011="M.O.",VLOOKUP(A1011,INSUMOS_AUX!A:F,6,0),0)</f>
        <v>0</v>
      </c>
    </row>
    <row r="1012" customFormat="false" ht="21" hidden="false" customHeight="false" outlineLevel="0" collapsed="false">
      <c r="A1012" s="154" t="n">
        <v>43467</v>
      </c>
      <c r="B1012" s="155" t="s">
        <v>1459</v>
      </c>
      <c r="C1012" s="148" t="str">
        <f aca="false">VLOOKUP($A1012,INSUMOS_AUX!$A$3:$H$813,3,0)</f>
        <v>MAT.</v>
      </c>
      <c r="D1012" s="156" t="s">
        <v>1444</v>
      </c>
      <c r="E1012" s="154" t="n">
        <v>0.431821</v>
      </c>
      <c r="F1012" s="149" t="n">
        <f aca="false">IF(C1012="MAT.",VLOOKUP(A1012,INSUMOS_AUX!$A$3:$H$813,6,0),0)</f>
        <v>0.61</v>
      </c>
      <c r="G1012" s="149" t="n">
        <f aca="false">IF(C1012="M.O.",VLOOKUP(A1012,INSUMOS_AUX!A:F,6,0),0)</f>
        <v>0</v>
      </c>
    </row>
    <row r="1013" customFormat="false" ht="21" hidden="false" customHeight="false" outlineLevel="0" collapsed="false">
      <c r="A1013" s="154" t="n">
        <v>37373</v>
      </c>
      <c r="B1013" s="155" t="s">
        <v>1448</v>
      </c>
      <c r="C1013" s="148" t="s">
        <v>59</v>
      </c>
      <c r="D1013" s="156" t="s">
        <v>1444</v>
      </c>
      <c r="E1013" s="154" t="n">
        <v>1.13399141</v>
      </c>
      <c r="F1013" s="149" t="n">
        <f aca="false">IF(C1013="MAT.",VLOOKUP(A1013,INSUMOS_AUX!$A$3:$H$813,6,0),0)</f>
        <v>0</v>
      </c>
      <c r="G1013" s="149" t="n">
        <f aca="false">IF(C1013="M.O.",VLOOKUP(A1013,INSUMOS_AUX!A:F,6,0),0)</f>
        <v>0</v>
      </c>
    </row>
    <row r="1014" customFormat="false" ht="21" hidden="false" customHeight="false" outlineLevel="0" collapsed="false">
      <c r="A1014" s="154" t="n">
        <v>37371</v>
      </c>
      <c r="B1014" s="155" t="s">
        <v>1449</v>
      </c>
      <c r="C1014" s="148" t="str">
        <f aca="false">VLOOKUP($A1014,INSUMOS_AUX!$A$3:$H$813,3,0)</f>
        <v>MAT.</v>
      </c>
      <c r="D1014" s="156" t="s">
        <v>1444</v>
      </c>
      <c r="E1014" s="154" t="n">
        <v>1.13399141</v>
      </c>
      <c r="F1014" s="149" t="n">
        <f aca="false">IF(C1014="MAT.",VLOOKUP(A1014,INSUMOS_AUX!$A$3:$H$813,6,0),0)</f>
        <v>0.59</v>
      </c>
      <c r="G1014" s="149" t="n">
        <f aca="false">IF(C1014="M.O.",VLOOKUP(A1014,INSUMOS_AUX!A:F,6,0),0)</f>
        <v>0</v>
      </c>
    </row>
    <row r="1015" customFormat="false" ht="21" hidden="false" customHeight="false" outlineLevel="0" collapsed="false">
      <c r="A1015" s="154" t="n">
        <v>14618</v>
      </c>
      <c r="B1015" s="155" t="s">
        <v>1592</v>
      </c>
      <c r="C1015" s="148" t="str">
        <f aca="false">VLOOKUP($A1015,INSUMOS_AUX!$A$3:$H$813,3,0)</f>
        <v>MAT.</v>
      </c>
      <c r="D1015" s="156" t="s">
        <v>31</v>
      </c>
      <c r="E1015" s="154" t="n">
        <v>3.74264788128E-007</v>
      </c>
      <c r="F1015" s="149" t="n">
        <f aca="false">IF(C1015="MAT.",VLOOKUP(A1015,INSUMOS_AUX!$A$3:$H$813,6,0),0)</f>
        <v>1283.38</v>
      </c>
      <c r="G1015" s="149" t="n">
        <f aca="false">IF(C1015="M.O.",VLOOKUP(A1015,INSUMOS_AUX!A:F,6,0),0)</f>
        <v>0</v>
      </c>
    </row>
    <row r="1016" customFormat="false" ht="21" hidden="false" customHeight="false" outlineLevel="0" collapsed="false">
      <c r="A1016" s="154" t="n">
        <v>13896</v>
      </c>
      <c r="B1016" s="155" t="s">
        <v>1564</v>
      </c>
      <c r="C1016" s="148" t="str">
        <f aca="false">VLOOKUP($A1016,INSUMOS_AUX!$A$3:$H$813,3,0)</f>
        <v>MAT.</v>
      </c>
      <c r="D1016" s="156" t="s">
        <v>31</v>
      </c>
      <c r="E1016" s="154" t="n">
        <v>3.0161196E-006</v>
      </c>
      <c r="F1016" s="149" t="n">
        <f aca="false">IF(C1016="MAT.",VLOOKUP(A1016,INSUMOS_AUX!$A$3:$H$813,6,0),0)</f>
        <v>3390.99</v>
      </c>
      <c r="G1016" s="149" t="n">
        <f aca="false">IF(C1016="M.O.",VLOOKUP(A1016,INSUMOS_AUX!A:F,6,0),0)</f>
        <v>0</v>
      </c>
    </row>
    <row r="1017" customFormat="false" ht="15" hidden="false" customHeight="false" outlineLevel="0" collapsed="false">
      <c r="A1017" s="154" t="n">
        <v>2705</v>
      </c>
      <c r="B1017" s="155" t="s">
        <v>1467</v>
      </c>
      <c r="C1017" s="148" t="str">
        <f aca="false">VLOOKUP($A1017,INSUMOS_AUX!$A$3:$H$813,3,0)</f>
        <v>MAT.</v>
      </c>
      <c r="D1017" s="156" t="s">
        <v>1468</v>
      </c>
      <c r="E1017" s="154" t="n">
        <v>0.0046507933016</v>
      </c>
      <c r="F1017" s="149" t="n">
        <f aca="false">IF(C1017="MAT.",VLOOKUP(A1017,INSUMOS_AUX!$A$3:$H$813,6,0),0)</f>
        <v>0.92</v>
      </c>
      <c r="G1017" s="149" t="n">
        <f aca="false">IF(C1017="M.O.",VLOOKUP(A1017,INSUMOS_AUX!A:F,6,0),0)</f>
        <v>0</v>
      </c>
    </row>
    <row r="1018" customFormat="false" ht="21" hidden="false" customHeight="false" outlineLevel="0" collapsed="false">
      <c r="A1018" s="154" t="n">
        <v>43132</v>
      </c>
      <c r="B1018" s="155" t="s">
        <v>1565</v>
      </c>
      <c r="C1018" s="148" t="str">
        <f aca="false">VLOOKUP($A1018,INSUMOS_AUX!$A$3:$H$813,3,0)</f>
        <v>MAT.</v>
      </c>
      <c r="D1018" s="156" t="s">
        <v>1513</v>
      </c>
      <c r="E1018" s="154" t="n">
        <v>0.0242</v>
      </c>
      <c r="F1018" s="149" t="n">
        <f aca="false">IF(C1018="MAT.",VLOOKUP(A1018,INSUMOS_AUX!$A$3:$H$813,6,0),0)</f>
        <v>28</v>
      </c>
      <c r="G1018" s="149" t="n">
        <f aca="false">IF(C1018="M.O.",VLOOKUP(A1018,INSUMOS_AUX!A:F,6,0),0)</f>
        <v>0</v>
      </c>
    </row>
    <row r="1019" customFormat="false" ht="31.5" hidden="false" customHeight="false" outlineLevel="0" collapsed="false">
      <c r="A1019" s="154" t="n">
        <v>11145</v>
      </c>
      <c r="B1019" s="155" t="s">
        <v>1620</v>
      </c>
      <c r="C1019" s="148" t="str">
        <f aca="false">VLOOKUP($A1019,INSUMOS_AUX!$A$3:$H$813,3,0)</f>
        <v>MAT.</v>
      </c>
      <c r="D1019" s="156" t="s">
        <v>1442</v>
      </c>
      <c r="E1019" s="154" t="n">
        <v>0.0645255</v>
      </c>
      <c r="F1019" s="149" t="n">
        <f aca="false">IF(C1019="MAT.",VLOOKUP(A1019,INSUMOS_AUX!$A$3:$H$813,6,0),0)</f>
        <v>688.16</v>
      </c>
      <c r="G1019" s="149" t="n">
        <f aca="false">IF(C1019="M.O.",VLOOKUP(A1019,INSUMOS_AUX!A:F,6,0),0)</f>
        <v>0</v>
      </c>
    </row>
    <row r="1020" customFormat="false" ht="31.5" hidden="false" customHeight="false" outlineLevel="0" collapsed="false">
      <c r="A1020" s="154" t="n">
        <v>3738</v>
      </c>
      <c r="B1020" s="155" t="s">
        <v>1678</v>
      </c>
      <c r="C1020" s="148" t="str">
        <f aca="false">VLOOKUP($A1020,INSUMOS_AUX!$A$3:$H$813,3,0)</f>
        <v>MAT.</v>
      </c>
      <c r="D1020" s="156" t="s">
        <v>1477</v>
      </c>
      <c r="E1020" s="154" t="n">
        <v>1</v>
      </c>
      <c r="F1020" s="149" t="n">
        <f aca="false">IF(C1020="MAT.",VLOOKUP(A1020,INSUMOS_AUX!$A$3:$H$813,6,0),0)</f>
        <v>63.22</v>
      </c>
      <c r="G1020" s="149" t="n">
        <f aca="false">IF(C1020="M.O.",VLOOKUP(A1020,INSUMOS_AUX!A:F,6,0),0)</f>
        <v>0</v>
      </c>
    </row>
    <row r="1021" customFormat="false" ht="21" hidden="false" customHeight="false" outlineLevel="0" collapsed="false">
      <c r="A1021" s="154" t="n">
        <v>4491</v>
      </c>
      <c r="B1021" s="155" t="s">
        <v>1578</v>
      </c>
      <c r="C1021" s="148" t="str">
        <f aca="false">VLOOKUP($A1021,INSUMOS_AUX!$A$3:$H$813,3,0)</f>
        <v>MAT.</v>
      </c>
      <c r="D1021" s="156" t="s">
        <v>1455</v>
      </c>
      <c r="E1021" s="154" t="n">
        <v>0.1376591623</v>
      </c>
      <c r="F1021" s="149" t="n">
        <f aca="false">IF(C1021="MAT.",VLOOKUP(A1021,INSUMOS_AUX!$A$3:$H$813,6,0),0)</f>
        <v>10.25</v>
      </c>
      <c r="G1021" s="149" t="n">
        <f aca="false">IF(C1021="M.O.",VLOOKUP(A1021,INSUMOS_AUX!A:F,6,0),0)</f>
        <v>0</v>
      </c>
    </row>
    <row r="1022" customFormat="false" ht="15" hidden="false" customHeight="false" outlineLevel="0" collapsed="false">
      <c r="A1022" s="154" t="n">
        <v>5068</v>
      </c>
      <c r="B1022" s="155" t="s">
        <v>1579</v>
      </c>
      <c r="C1022" s="148" t="str">
        <f aca="false">VLOOKUP($A1022,INSUMOS_AUX!$A$3:$H$813,3,0)</f>
        <v>MAT.</v>
      </c>
      <c r="D1022" s="156" t="s">
        <v>1513</v>
      </c>
      <c r="E1022" s="154" t="n">
        <v>0.00241691659</v>
      </c>
      <c r="F1022" s="149" t="n">
        <f aca="false">IF(C1022="MAT.",VLOOKUP(A1022,INSUMOS_AUX!$A$3:$H$813,6,0),0)</f>
        <v>20.34</v>
      </c>
      <c r="G1022" s="149" t="n">
        <f aca="false">IF(C1022="M.O.",VLOOKUP(A1022,INSUMOS_AUX!A:F,6,0),0)</f>
        <v>0</v>
      </c>
    </row>
    <row r="1023" customFormat="false" ht="15" hidden="false" customHeight="false" outlineLevel="0" collapsed="false">
      <c r="A1023" s="154" t="n">
        <v>40304</v>
      </c>
      <c r="B1023" s="155" t="s">
        <v>1626</v>
      </c>
      <c r="C1023" s="148" t="str">
        <f aca="false">VLOOKUP($A1023,INSUMOS_AUX!$A$3:$H$813,3,0)</f>
        <v>MAT.</v>
      </c>
      <c r="D1023" s="156" t="s">
        <v>1513</v>
      </c>
      <c r="E1023" s="154" t="n">
        <v>0.04333333</v>
      </c>
      <c r="F1023" s="149" t="n">
        <f aca="false">IF(C1023="MAT.",VLOOKUP(A1023,INSUMOS_AUX!$A$3:$H$813,6,0),0)</f>
        <v>25.11</v>
      </c>
      <c r="G1023" s="149" t="n">
        <f aca="false">IF(C1023="M.O.",VLOOKUP(A1023,INSUMOS_AUX!A:F,6,0),0)</f>
        <v>0</v>
      </c>
    </row>
    <row r="1024" customFormat="false" ht="31.5" hidden="false" customHeight="false" outlineLevel="0" collapsed="false">
      <c r="A1024" s="154" t="n">
        <v>6193</v>
      </c>
      <c r="B1024" s="155" t="s">
        <v>1584</v>
      </c>
      <c r="C1024" s="148" t="str">
        <f aca="false">VLOOKUP($A1024,INSUMOS_AUX!$A$3:$H$813,3,0)</f>
        <v>MAT.</v>
      </c>
      <c r="D1024" s="156" t="s">
        <v>1455</v>
      </c>
      <c r="E1024" s="154" t="n">
        <v>2.02583333</v>
      </c>
      <c r="F1024" s="149" t="n">
        <f aca="false">IF(C1024="MAT.",VLOOKUP(A1024,INSUMOS_AUX!$A$3:$H$813,6,0),0)</f>
        <v>15.54</v>
      </c>
      <c r="G1024" s="149" t="n">
        <f aca="false">IF(C1024="M.O.",VLOOKUP(A1024,INSUMOS_AUX!A:F,6,0),0)</f>
        <v>0</v>
      </c>
    </row>
    <row r="1025" customFormat="false" ht="31.5" hidden="false" customHeight="false" outlineLevel="0" collapsed="false">
      <c r="A1025" s="154" t="n">
        <v>7155</v>
      </c>
      <c r="B1025" s="155" t="s">
        <v>1679</v>
      </c>
      <c r="C1025" s="148" t="s">
        <v>59</v>
      </c>
      <c r="D1025" s="156" t="s">
        <v>1477</v>
      </c>
      <c r="E1025" s="154" t="n">
        <v>1.221</v>
      </c>
      <c r="F1025" s="149" t="n">
        <f aca="false">IF(C1025="MAT.",VLOOKUP(A1025,INSUMOS_AUX!$A$3:$H$813,6,0),0)</f>
        <v>0</v>
      </c>
      <c r="G1025" s="149" t="n">
        <f aca="false">IF(C1025="M.O.",VLOOKUP(A1025,INSUMOS_AUX!A:F,6,0),0)</f>
        <v>0</v>
      </c>
    </row>
    <row r="1026" customFormat="false" ht="31.5" hidden="false" customHeight="false" outlineLevel="0" collapsed="false">
      <c r="A1026" s="154" t="n">
        <v>42407</v>
      </c>
      <c r="B1026" s="155" t="s">
        <v>1586</v>
      </c>
      <c r="C1026" s="148" t="str">
        <f aca="false">VLOOKUP($A1026,INSUMOS_AUX!$A$3:$H$813,3,0)</f>
        <v>MAT.</v>
      </c>
      <c r="D1026" s="156" t="s">
        <v>1455</v>
      </c>
      <c r="E1026" s="154" t="n">
        <v>1.001</v>
      </c>
      <c r="F1026" s="149" t="n">
        <f aca="false">IF(C1026="MAT.",VLOOKUP(A1026,INSUMOS_AUX!$A$3:$H$813,6,0),0)</f>
        <v>5.57</v>
      </c>
      <c r="G1026" s="149" t="n">
        <f aca="false">IF(C1026="M.O.",VLOOKUP(A1026,INSUMOS_AUX!A:F,6,0),0)</f>
        <v>0</v>
      </c>
    </row>
    <row r="1027" customFormat="false" ht="15" hidden="false" customHeight="false" outlineLevel="0" collapsed="false">
      <c r="A1027" s="154" t="n">
        <v>6114</v>
      </c>
      <c r="B1027" s="155" t="s">
        <v>1588</v>
      </c>
      <c r="C1027" s="148" t="str">
        <f aca="false">VLOOKUP($A1027,INSUMOS_AUX!$A$3:$H$813,3,0)</f>
        <v>M.O.</v>
      </c>
      <c r="D1027" s="156" t="s">
        <v>1444</v>
      </c>
      <c r="E1027" s="154" t="n">
        <v>0.024479268</v>
      </c>
      <c r="F1027" s="149" t="n">
        <f aca="false">IF(C1027="MAT.",VLOOKUP(A1027,INSUMOS_AUX!$A$3:$H$813,6,0),0)</f>
        <v>0</v>
      </c>
      <c r="G1027" s="149" t="n">
        <f aca="false">IF(C1027="M.O.",VLOOKUP(A1027,INSUMOS_AUX!A:F,6,0),0)</f>
        <v>13.26</v>
      </c>
    </row>
    <row r="1028" customFormat="false" ht="15" hidden="false" customHeight="false" outlineLevel="0" collapsed="false">
      <c r="A1028" s="154" t="n">
        <v>378</v>
      </c>
      <c r="B1028" s="155" t="s">
        <v>1589</v>
      </c>
      <c r="C1028" s="148" t="str">
        <f aca="false">VLOOKUP($A1028,INSUMOS_AUX!$A$3:$H$813,3,0)</f>
        <v>M.O.</v>
      </c>
      <c r="D1028" s="156" t="s">
        <v>1444</v>
      </c>
      <c r="E1028" s="154" t="n">
        <v>0.068987028</v>
      </c>
      <c r="F1028" s="149" t="n">
        <f aca="false">IF(C1028="MAT.",VLOOKUP(A1028,INSUMOS_AUX!$A$3:$H$813,6,0),0)</f>
        <v>0</v>
      </c>
      <c r="G1028" s="149" t="n">
        <f aca="false">IF(C1028="M.O.",VLOOKUP(A1028,INSUMOS_AUX!A:F,6,0),0)</f>
        <v>20.22</v>
      </c>
    </row>
    <row r="1029" customFormat="false" ht="15" hidden="false" customHeight="false" outlineLevel="0" collapsed="false">
      <c r="A1029" s="154" t="n">
        <v>6117</v>
      </c>
      <c r="B1029" s="155" t="s">
        <v>1555</v>
      </c>
      <c r="C1029" s="148" t="str">
        <f aca="false">VLOOKUP($A1029,INSUMOS_AUX!$A$3:$H$813,3,0)</f>
        <v>M.O.</v>
      </c>
      <c r="D1029" s="156" t="s">
        <v>1444</v>
      </c>
      <c r="E1029" s="154" t="n">
        <v>0.0022393215589668</v>
      </c>
      <c r="F1029" s="149" t="n">
        <f aca="false">IF(C1029="MAT.",VLOOKUP(A1029,INSUMOS_AUX!$A$3:$H$813,6,0),0)</f>
        <v>0</v>
      </c>
      <c r="G1029" s="149" t="n">
        <f aca="false">IF(C1029="M.O.",VLOOKUP(A1029,INSUMOS_AUX!A:F,6,0),0)</f>
        <v>13.26</v>
      </c>
    </row>
    <row r="1030" customFormat="false" ht="15" hidden="false" customHeight="false" outlineLevel="0" collapsed="false">
      <c r="A1030" s="154" t="n">
        <v>1213</v>
      </c>
      <c r="B1030" s="155" t="s">
        <v>1516</v>
      </c>
      <c r="C1030" s="148" t="str">
        <f aca="false">VLOOKUP($A1030,INSUMOS_AUX!$A$3:$H$813,3,0)</f>
        <v>M.O.</v>
      </c>
      <c r="D1030" s="156" t="s">
        <v>1444</v>
      </c>
      <c r="E1030" s="154" t="n">
        <v>0.56608314</v>
      </c>
      <c r="F1030" s="149" t="n">
        <f aca="false">IF(C1030="MAT.",VLOOKUP(A1030,INSUMOS_AUX!$A$3:$H$813,6,0),0)</f>
        <v>0</v>
      </c>
      <c r="G1030" s="149" t="n">
        <f aca="false">IF(C1030="M.O.",VLOOKUP(A1030,INSUMOS_AUX!A:F,6,0),0)</f>
        <v>20.22</v>
      </c>
    </row>
    <row r="1031" customFormat="false" ht="21" hidden="false" customHeight="false" outlineLevel="0" collapsed="false">
      <c r="A1031" s="154" t="n">
        <v>4230</v>
      </c>
      <c r="B1031" s="155" t="s">
        <v>1597</v>
      </c>
      <c r="C1031" s="148" t="str">
        <f aca="false">VLOOKUP($A1031,INSUMOS_AUX!$A$3:$H$813,3,0)</f>
        <v>M.O.</v>
      </c>
      <c r="D1031" s="156" t="s">
        <v>1444</v>
      </c>
      <c r="E1031" s="154" t="n">
        <v>0.0039329516902434</v>
      </c>
      <c r="F1031" s="149" t="n">
        <f aca="false">IF(C1031="MAT.",VLOOKUP(A1031,INSUMOS_AUX!$A$3:$H$813,6,0),0)</f>
        <v>0</v>
      </c>
      <c r="G1031" s="149" t="n">
        <f aca="false">IF(C1031="M.O.",VLOOKUP(A1031,INSUMOS_AUX!A:F,6,0),0)</f>
        <v>14.53</v>
      </c>
    </row>
    <row r="1032" customFormat="false" ht="15" hidden="false" customHeight="false" outlineLevel="0" collapsed="false">
      <c r="A1032" s="154" t="n">
        <v>4750</v>
      </c>
      <c r="B1032" s="155" t="s">
        <v>1463</v>
      </c>
      <c r="C1032" s="148" t="str">
        <f aca="false">VLOOKUP($A1032,INSUMOS_AUX!$A$3:$H$813,3,0)</f>
        <v>M.O.</v>
      </c>
      <c r="D1032" s="156" t="s">
        <v>1444</v>
      </c>
      <c r="E1032" s="154" t="n">
        <v>0.0449843706</v>
      </c>
      <c r="F1032" s="149" t="n">
        <f aca="false">IF(C1032="MAT.",VLOOKUP(A1032,INSUMOS_AUX!$A$3:$H$813,6,0),0)</f>
        <v>0</v>
      </c>
      <c r="G1032" s="149" t="n">
        <f aca="false">IF(C1032="M.O.",VLOOKUP(A1032,INSUMOS_AUX!A:F,6,0),0)</f>
        <v>20.22</v>
      </c>
    </row>
    <row r="1033" customFormat="false" ht="15" hidden="false" customHeight="false" outlineLevel="0" collapsed="false">
      <c r="A1033" s="154" t="n">
        <v>6111</v>
      </c>
      <c r="B1033" s="155" t="s">
        <v>1464</v>
      </c>
      <c r="C1033" s="148" t="str">
        <f aca="false">VLOOKUP($A1033,INSUMOS_AUX!$A$3:$H$813,3,0)</f>
        <v>M.O.</v>
      </c>
      <c r="D1033" s="156" t="s">
        <v>1444</v>
      </c>
      <c r="E1033" s="154" t="n">
        <v>0.4409756</v>
      </c>
      <c r="F1033" s="149" t="n">
        <f aca="false">IF(C1033="MAT.",VLOOKUP(A1033,INSUMOS_AUX!$A$3:$H$813,6,0),0)</f>
        <v>0</v>
      </c>
      <c r="G1033" s="149" t="n">
        <f aca="false">IF(C1033="M.O.",VLOOKUP(A1033,INSUMOS_AUX!A:F,6,0),0)</f>
        <v>12.95</v>
      </c>
    </row>
    <row r="1034" customFormat="false" ht="31.5" hidden="false" customHeight="false" outlineLevel="0" collapsed="false">
      <c r="A1034" s="150" t="s">
        <v>192</v>
      </c>
      <c r="B1034" s="151" t="s">
        <v>1680</v>
      </c>
      <c r="C1034" s="152" t="s">
        <v>59</v>
      </c>
      <c r="D1034" s="152" t="s">
        <v>1477</v>
      </c>
      <c r="E1034" s="150"/>
      <c r="F1034" s="153" t="n">
        <f aca="false">(SUMPRODUCT($E1035:$E1065,F1035:F1065))*1</f>
        <v>221.99686537184</v>
      </c>
      <c r="G1034" s="153" t="n">
        <f aca="false">(SUMPRODUCT($E1035:$E1065,G1035:G1065))*1</f>
        <v>28.7823254384863</v>
      </c>
    </row>
    <row r="1035" customFormat="false" ht="21" hidden="false" customHeight="false" outlineLevel="0" collapsed="false">
      <c r="A1035" s="154" t="n">
        <v>37370</v>
      </c>
      <c r="B1035" s="155" t="s">
        <v>1443</v>
      </c>
      <c r="C1035" s="148" t="str">
        <f aca="false">VLOOKUP($A1035,INSUMOS_AUX!$A$3:$H$813,3,0)</f>
        <v>MAT.</v>
      </c>
      <c r="D1035" s="156" t="s">
        <v>1444</v>
      </c>
      <c r="E1035" s="154" t="n">
        <v>1.63875683</v>
      </c>
      <c r="F1035" s="149" t="n">
        <f aca="false">IF(C1035="MAT.",VLOOKUP(A1035,INSUMOS_AUX!$A$3:$H$813,6,0),0)</f>
        <v>3.32</v>
      </c>
      <c r="G1035" s="149" t="n">
        <f aca="false">IF(C1035="M.O.",VLOOKUP(A1035,INSUMOS_AUX!A:F,6,0),0)</f>
        <v>0</v>
      </c>
    </row>
    <row r="1036" customFormat="false" ht="21" hidden="false" customHeight="false" outlineLevel="0" collapsed="false">
      <c r="A1036" s="154" t="n">
        <v>43483</v>
      </c>
      <c r="B1036" s="155" t="s">
        <v>1486</v>
      </c>
      <c r="C1036" s="148" t="str">
        <f aca="false">VLOOKUP($A1036,INSUMOS_AUX!$A$3:$H$813,3,0)</f>
        <v>MAT.</v>
      </c>
      <c r="D1036" s="156" t="s">
        <v>1444</v>
      </c>
      <c r="E1036" s="154" t="n">
        <v>0.87321916</v>
      </c>
      <c r="F1036" s="149" t="n">
        <f aca="false">IF(C1036="MAT.",VLOOKUP(A1036,INSUMOS_AUX!$A$3:$H$813,6,0),0)</f>
        <v>1.43</v>
      </c>
      <c r="G1036" s="149" t="n">
        <f aca="false">IF(C1036="M.O.",VLOOKUP(A1036,INSUMOS_AUX!A:F,6,0),0)</f>
        <v>0</v>
      </c>
    </row>
    <row r="1037" customFormat="false" ht="21" hidden="false" customHeight="false" outlineLevel="0" collapsed="false">
      <c r="A1037" s="154" t="n">
        <v>43488</v>
      </c>
      <c r="B1037" s="155" t="s">
        <v>1445</v>
      </c>
      <c r="C1037" s="148" t="s">
        <v>59</v>
      </c>
      <c r="D1037" s="156" t="s">
        <v>1444</v>
      </c>
      <c r="E1037" s="154" t="n">
        <v>0.05084416642</v>
      </c>
      <c r="F1037" s="149" t="n">
        <f aca="false">IF(C1037="MAT.",VLOOKUP(A1037,INSUMOS_AUX!$A$3:$H$813,6,0),0)</f>
        <v>0</v>
      </c>
      <c r="G1037" s="149" t="n">
        <f aca="false">IF(C1037="M.O.",VLOOKUP(A1037,INSUMOS_AUX!A:F,6,0),0)</f>
        <v>0</v>
      </c>
    </row>
    <row r="1038" customFormat="false" ht="21" hidden="false" customHeight="false" outlineLevel="0" collapsed="false">
      <c r="A1038" s="154" t="n">
        <v>43489</v>
      </c>
      <c r="B1038" s="155" t="s">
        <v>1456</v>
      </c>
      <c r="C1038" s="148" t="str">
        <f aca="false">VLOOKUP($A1038,INSUMOS_AUX!$A$3:$H$813,3,0)</f>
        <v>MAT.</v>
      </c>
      <c r="D1038" s="156" t="s">
        <v>1444</v>
      </c>
      <c r="E1038" s="154" t="n">
        <v>0.1500045</v>
      </c>
      <c r="F1038" s="149" t="n">
        <f aca="false">IF(C1038="MAT.",VLOOKUP(A1038,INSUMOS_AUX!$A$3:$H$813,6,0),0)</f>
        <v>1.31</v>
      </c>
      <c r="G1038" s="149" t="n">
        <f aca="false">IF(C1038="M.O.",VLOOKUP(A1038,INSUMOS_AUX!A:F,6,0),0)</f>
        <v>0</v>
      </c>
    </row>
    <row r="1039" customFormat="false" ht="21" hidden="false" customHeight="false" outlineLevel="0" collapsed="false">
      <c r="A1039" s="154" t="n">
        <v>43491</v>
      </c>
      <c r="B1039" s="155" t="s">
        <v>1457</v>
      </c>
      <c r="C1039" s="148" t="str">
        <f aca="false">VLOOKUP($A1039,INSUMOS_AUX!$A$3:$H$813,3,0)</f>
        <v>MAT.</v>
      </c>
      <c r="D1039" s="156" t="s">
        <v>1444</v>
      </c>
      <c r="E1039" s="154" t="n">
        <v>0.564689</v>
      </c>
      <c r="F1039" s="149" t="n">
        <f aca="false">IF(C1039="MAT.",VLOOKUP(A1039,INSUMOS_AUX!$A$3:$H$813,6,0),0)</f>
        <v>1.39</v>
      </c>
      <c r="G1039" s="149" t="n">
        <f aca="false">IF(C1039="M.O.",VLOOKUP(A1039,INSUMOS_AUX!A:F,6,0),0)</f>
        <v>0</v>
      </c>
    </row>
    <row r="1040" customFormat="false" ht="21" hidden="false" customHeight="false" outlineLevel="0" collapsed="false">
      <c r="A1040" s="154" t="n">
        <v>37372</v>
      </c>
      <c r="B1040" s="155" t="s">
        <v>1446</v>
      </c>
      <c r="C1040" s="148" t="str">
        <f aca="false">VLOOKUP($A1040,INSUMOS_AUX!$A$3:$H$813,3,0)</f>
        <v>MAT.</v>
      </c>
      <c r="D1040" s="156" t="s">
        <v>1444</v>
      </c>
      <c r="E1040" s="154" t="n">
        <v>1.63875683</v>
      </c>
      <c r="F1040" s="149" t="n">
        <f aca="false">IF(C1040="MAT.",VLOOKUP(A1040,INSUMOS_AUX!$A$3:$H$813,6,0),0)</f>
        <v>1.43</v>
      </c>
      <c r="G1040" s="149" t="n">
        <f aca="false">IF(C1040="M.O.",VLOOKUP(A1040,INSUMOS_AUX!A:F,6,0),0)</f>
        <v>0</v>
      </c>
    </row>
    <row r="1041" customFormat="false" ht="21" hidden="false" customHeight="false" outlineLevel="0" collapsed="false">
      <c r="A1041" s="154" t="n">
        <v>43459</v>
      </c>
      <c r="B1041" s="155" t="s">
        <v>1487</v>
      </c>
      <c r="C1041" s="148" t="str">
        <f aca="false">VLOOKUP($A1041,INSUMOS_AUX!$A$3:$H$813,3,0)</f>
        <v>MAT.</v>
      </c>
      <c r="D1041" s="156" t="s">
        <v>1444</v>
      </c>
      <c r="E1041" s="154" t="n">
        <v>0.87321916</v>
      </c>
      <c r="F1041" s="149" t="n">
        <f aca="false">IF(C1041="MAT.",VLOOKUP(A1041,INSUMOS_AUX!$A$3:$H$813,6,0),0)</f>
        <v>0.44</v>
      </c>
      <c r="G1041" s="149" t="n">
        <f aca="false">IF(C1041="M.O.",VLOOKUP(A1041,INSUMOS_AUX!A:F,6,0),0)</f>
        <v>0</v>
      </c>
    </row>
    <row r="1042" customFormat="false" ht="21" hidden="false" customHeight="false" outlineLevel="0" collapsed="false">
      <c r="A1042" s="154" t="n">
        <v>43464</v>
      </c>
      <c r="B1042" s="155" t="s">
        <v>1447</v>
      </c>
      <c r="C1042" s="148" t="str">
        <f aca="false">VLOOKUP($A1042,INSUMOS_AUX!$A$3:$H$813,3,0)</f>
        <v>MAT.</v>
      </c>
      <c r="D1042" s="156" t="s">
        <v>1444</v>
      </c>
      <c r="E1042" s="154" t="n">
        <v>0.05084416642</v>
      </c>
      <c r="F1042" s="149" t="n">
        <f aca="false">IF(C1042="MAT.",VLOOKUP(A1042,INSUMOS_AUX!$A$3:$H$813,6,0),0)</f>
        <v>0.01</v>
      </c>
      <c r="G1042" s="149" t="n">
        <f aca="false">IF(C1042="M.O.",VLOOKUP(A1042,INSUMOS_AUX!A:F,6,0),0)</f>
        <v>0</v>
      </c>
    </row>
    <row r="1043" customFormat="false" ht="21" hidden="false" customHeight="false" outlineLevel="0" collapsed="false">
      <c r="A1043" s="154" t="n">
        <v>43465</v>
      </c>
      <c r="B1043" s="155" t="s">
        <v>1458</v>
      </c>
      <c r="C1043" s="148" t="str">
        <f aca="false">VLOOKUP($A1043,INSUMOS_AUX!$A$3:$H$813,3,0)</f>
        <v>MAT.</v>
      </c>
      <c r="D1043" s="156" t="s">
        <v>1444</v>
      </c>
      <c r="E1043" s="154" t="n">
        <v>0.1500045</v>
      </c>
      <c r="F1043" s="149" t="n">
        <f aca="false">IF(C1043="MAT.",VLOOKUP(A1043,INSUMOS_AUX!$A$3:$H$813,6,0),0)</f>
        <v>0.78</v>
      </c>
      <c r="G1043" s="149" t="n">
        <f aca="false">IF(C1043="M.O.",VLOOKUP(A1043,INSUMOS_AUX!A:F,6,0),0)</f>
        <v>0</v>
      </c>
    </row>
    <row r="1044" customFormat="false" ht="21" hidden="false" customHeight="false" outlineLevel="0" collapsed="false">
      <c r="A1044" s="154" t="n">
        <v>43467</v>
      </c>
      <c r="B1044" s="155" t="s">
        <v>1459</v>
      </c>
      <c r="C1044" s="148" t="str">
        <f aca="false">VLOOKUP($A1044,INSUMOS_AUX!$A$3:$H$813,3,0)</f>
        <v>MAT.</v>
      </c>
      <c r="D1044" s="156" t="s">
        <v>1444</v>
      </c>
      <c r="E1044" s="154" t="n">
        <v>0.564689</v>
      </c>
      <c r="F1044" s="149" t="n">
        <f aca="false">IF(C1044="MAT.",VLOOKUP(A1044,INSUMOS_AUX!$A$3:$H$813,6,0),0)</f>
        <v>0.61</v>
      </c>
      <c r="G1044" s="149" t="n">
        <f aca="false">IF(C1044="M.O.",VLOOKUP(A1044,INSUMOS_AUX!A:F,6,0),0)</f>
        <v>0</v>
      </c>
    </row>
    <row r="1045" customFormat="false" ht="21" hidden="false" customHeight="false" outlineLevel="0" collapsed="false">
      <c r="A1045" s="154" t="n">
        <v>37373</v>
      </c>
      <c r="B1045" s="155" t="s">
        <v>1448</v>
      </c>
      <c r="C1045" s="148" t="str">
        <f aca="false">VLOOKUP($A1045,INSUMOS_AUX!$A$3:$H$813,3,0)</f>
        <v>MAT.</v>
      </c>
      <c r="D1045" s="156" t="s">
        <v>1444</v>
      </c>
      <c r="E1045" s="154" t="n">
        <v>1.63875683</v>
      </c>
      <c r="F1045" s="149" t="n">
        <f aca="false">IF(C1045="MAT.",VLOOKUP(A1045,INSUMOS_AUX!$A$3:$H$813,6,0),0)</f>
        <v>0.08</v>
      </c>
      <c r="G1045" s="149" t="n">
        <f aca="false">IF(C1045="M.O.",VLOOKUP(A1045,INSUMOS_AUX!A:F,6,0),0)</f>
        <v>0</v>
      </c>
    </row>
    <row r="1046" customFormat="false" ht="21" hidden="false" customHeight="false" outlineLevel="0" collapsed="false">
      <c r="A1046" s="154" t="n">
        <v>37371</v>
      </c>
      <c r="B1046" s="155" t="s">
        <v>1449</v>
      </c>
      <c r="C1046" s="148" t="str">
        <f aca="false">VLOOKUP($A1046,INSUMOS_AUX!$A$3:$H$813,3,0)</f>
        <v>MAT.</v>
      </c>
      <c r="D1046" s="156" t="s">
        <v>1444</v>
      </c>
      <c r="E1046" s="154" t="n">
        <v>1.63875683</v>
      </c>
      <c r="F1046" s="149" t="n">
        <f aca="false">IF(C1046="MAT.",VLOOKUP(A1046,INSUMOS_AUX!$A$3:$H$813,6,0),0)</f>
        <v>0.59</v>
      </c>
      <c r="G1046" s="149" t="n">
        <f aca="false">IF(C1046="M.O.",VLOOKUP(A1046,INSUMOS_AUX!A:F,6,0),0)</f>
        <v>0</v>
      </c>
    </row>
    <row r="1047" customFormat="false" ht="21" hidden="false" customHeight="false" outlineLevel="0" collapsed="false">
      <c r="A1047" s="154" t="n">
        <v>14618</v>
      </c>
      <c r="B1047" s="155" t="s">
        <v>1592</v>
      </c>
      <c r="C1047" s="148" t="str">
        <f aca="false">VLOOKUP($A1047,INSUMOS_AUX!$A$3:$H$813,3,0)</f>
        <v>MAT.</v>
      </c>
      <c r="D1047" s="156" t="s">
        <v>31</v>
      </c>
      <c r="E1047" s="154" t="n">
        <v>4.894231976256E-006</v>
      </c>
      <c r="F1047" s="149" t="n">
        <f aca="false">IF(C1047="MAT.",VLOOKUP(A1047,INSUMOS_AUX!$A$3:$H$813,6,0),0)</f>
        <v>1283.38</v>
      </c>
      <c r="G1047" s="149" t="n">
        <f aca="false">IF(C1047="M.O.",VLOOKUP(A1047,INSUMOS_AUX!A:F,6,0),0)</f>
        <v>0</v>
      </c>
    </row>
    <row r="1048" customFormat="false" ht="21" hidden="false" customHeight="false" outlineLevel="0" collapsed="false">
      <c r="A1048" s="154" t="n">
        <v>13896</v>
      </c>
      <c r="B1048" s="155" t="s">
        <v>1564</v>
      </c>
      <c r="C1048" s="148" t="str">
        <f aca="false">VLOOKUP($A1048,INSUMOS_AUX!$A$3:$H$813,3,0)</f>
        <v>MAT.</v>
      </c>
      <c r="D1048" s="156" t="s">
        <v>31</v>
      </c>
      <c r="E1048" s="154" t="n">
        <v>3.9441564E-006</v>
      </c>
      <c r="F1048" s="149" t="n">
        <f aca="false">IF(C1048="MAT.",VLOOKUP(A1048,INSUMOS_AUX!$A$3:$H$813,6,0),0)</f>
        <v>3390.99</v>
      </c>
      <c r="G1048" s="149" t="n">
        <f aca="false">IF(C1048="M.O.",VLOOKUP(A1048,INSUMOS_AUX!A:F,6,0),0)</f>
        <v>0</v>
      </c>
    </row>
    <row r="1049" customFormat="false" ht="15" hidden="false" customHeight="false" outlineLevel="0" collapsed="false">
      <c r="A1049" s="154" t="n">
        <v>2705</v>
      </c>
      <c r="B1049" s="155" t="s">
        <v>1467</v>
      </c>
      <c r="C1049" s="148" t="s">
        <v>59</v>
      </c>
      <c r="D1049" s="156" t="s">
        <v>1468</v>
      </c>
      <c r="E1049" s="154" t="n">
        <v>0.0178556666032</v>
      </c>
      <c r="F1049" s="149" t="n">
        <f aca="false">IF(C1049="MAT.",VLOOKUP(A1049,INSUMOS_AUX!$A$3:$H$813,6,0),0)</f>
        <v>0</v>
      </c>
      <c r="G1049" s="149" t="n">
        <f aca="false">IF(C1049="M.O.",VLOOKUP(A1049,INSUMOS_AUX!A:F,6,0),0)</f>
        <v>0</v>
      </c>
    </row>
    <row r="1050" customFormat="false" ht="21" hidden="false" customHeight="false" outlineLevel="0" collapsed="false">
      <c r="A1050" s="154" t="n">
        <v>43132</v>
      </c>
      <c r="B1050" s="155" t="s">
        <v>1565</v>
      </c>
      <c r="C1050" s="148" t="str">
        <f aca="false">VLOOKUP($A1050,INSUMOS_AUX!$A$3:$H$813,3,0)</f>
        <v>MAT.</v>
      </c>
      <c r="D1050" s="156" t="s">
        <v>1513</v>
      </c>
      <c r="E1050" s="154" t="n">
        <v>0.0242</v>
      </c>
      <c r="F1050" s="149" t="n">
        <f aca="false">IF(C1050="MAT.",VLOOKUP(A1050,INSUMOS_AUX!$A$3:$H$813,6,0),0)</f>
        <v>28</v>
      </c>
      <c r="G1050" s="149" t="n">
        <f aca="false">IF(C1050="M.O.",VLOOKUP(A1050,INSUMOS_AUX!A:F,6,0),0)</f>
        <v>0</v>
      </c>
    </row>
    <row r="1051" customFormat="false" ht="31.5" hidden="false" customHeight="false" outlineLevel="0" collapsed="false">
      <c r="A1051" s="154" t="n">
        <v>11145</v>
      </c>
      <c r="B1051" s="155" t="s">
        <v>1620</v>
      </c>
      <c r="C1051" s="148" t="str">
        <f aca="false">VLOOKUP($A1051,INSUMOS_AUX!$A$3:$H$813,3,0)</f>
        <v>MAT.</v>
      </c>
      <c r="D1051" s="156" t="s">
        <v>1442</v>
      </c>
      <c r="E1051" s="154" t="n">
        <v>0.0843795</v>
      </c>
      <c r="F1051" s="149" t="n">
        <f aca="false">IF(C1051="MAT.",VLOOKUP(A1051,INSUMOS_AUX!$A$3:$H$813,6,0),0)</f>
        <v>688.16</v>
      </c>
      <c r="G1051" s="149" t="n">
        <f aca="false">IF(C1051="M.O.",VLOOKUP(A1051,INSUMOS_AUX!A:F,6,0),0)</f>
        <v>0</v>
      </c>
    </row>
    <row r="1052" customFormat="false" ht="31.5" hidden="false" customHeight="false" outlineLevel="0" collapsed="false">
      <c r="A1052" s="154" t="n">
        <v>3738</v>
      </c>
      <c r="B1052" s="155" t="s">
        <v>1678</v>
      </c>
      <c r="C1052" s="148" t="str">
        <f aca="false">VLOOKUP($A1052,INSUMOS_AUX!$A$3:$H$813,3,0)</f>
        <v>MAT.</v>
      </c>
      <c r="D1052" s="156" t="s">
        <v>1477</v>
      </c>
      <c r="E1052" s="154" t="n">
        <v>1</v>
      </c>
      <c r="F1052" s="149" t="n">
        <f aca="false">IF(C1052="MAT.",VLOOKUP(A1052,INSUMOS_AUX!$A$3:$H$813,6,0),0)</f>
        <v>63.22</v>
      </c>
      <c r="G1052" s="149" t="n">
        <f aca="false">IF(C1052="M.O.",VLOOKUP(A1052,INSUMOS_AUX!A:F,6,0),0)</f>
        <v>0</v>
      </c>
    </row>
    <row r="1053" customFormat="false" ht="21" hidden="false" customHeight="false" outlineLevel="0" collapsed="false">
      <c r="A1053" s="154" t="n">
        <v>4491</v>
      </c>
      <c r="B1053" s="155" t="s">
        <v>1578</v>
      </c>
      <c r="C1053" s="148" t="str">
        <f aca="false">VLOOKUP($A1053,INSUMOS_AUX!$A$3:$H$813,3,0)</f>
        <v>MAT.</v>
      </c>
      <c r="D1053" s="156" t="s">
        <v>1455</v>
      </c>
      <c r="E1053" s="154" t="n">
        <v>1.8001583246</v>
      </c>
      <c r="F1053" s="149" t="n">
        <f aca="false">IF(C1053="MAT.",VLOOKUP(A1053,INSUMOS_AUX!$A$3:$H$813,6,0),0)</f>
        <v>10.25</v>
      </c>
      <c r="G1053" s="149" t="n">
        <f aca="false">IF(C1053="M.O.",VLOOKUP(A1053,INSUMOS_AUX!A:F,6,0),0)</f>
        <v>0</v>
      </c>
    </row>
    <row r="1054" customFormat="false" ht="15" hidden="false" customHeight="false" outlineLevel="0" collapsed="false">
      <c r="A1054" s="154" t="n">
        <v>5068</v>
      </c>
      <c r="B1054" s="155" t="s">
        <v>1579</v>
      </c>
      <c r="C1054" s="148" t="str">
        <f aca="false">VLOOKUP($A1054,INSUMOS_AUX!$A$3:$H$813,3,0)</f>
        <v>MAT.</v>
      </c>
      <c r="D1054" s="156" t="s">
        <v>1513</v>
      </c>
      <c r="E1054" s="154" t="n">
        <v>0.03160583318</v>
      </c>
      <c r="F1054" s="149" t="n">
        <f aca="false">IF(C1054="MAT.",VLOOKUP(A1054,INSUMOS_AUX!$A$3:$H$813,6,0),0)</f>
        <v>20.34</v>
      </c>
      <c r="G1054" s="149" t="n">
        <f aca="false">IF(C1054="M.O.",VLOOKUP(A1054,INSUMOS_AUX!A:F,6,0),0)</f>
        <v>0</v>
      </c>
    </row>
    <row r="1055" customFormat="false" ht="15" hidden="false" customHeight="false" outlineLevel="0" collapsed="false">
      <c r="A1055" s="154" t="n">
        <v>40304</v>
      </c>
      <c r="B1055" s="155" t="s">
        <v>1626</v>
      </c>
      <c r="C1055" s="148" t="str">
        <f aca="false">VLOOKUP($A1055,INSUMOS_AUX!$A$3:$H$813,3,0)</f>
        <v>MAT.</v>
      </c>
      <c r="D1055" s="156" t="s">
        <v>1513</v>
      </c>
      <c r="E1055" s="154" t="n">
        <v>0.05666666</v>
      </c>
      <c r="F1055" s="149" t="n">
        <f aca="false">IF(C1055="MAT.",VLOOKUP(A1055,INSUMOS_AUX!$A$3:$H$813,6,0),0)</f>
        <v>25.11</v>
      </c>
      <c r="G1055" s="149" t="n">
        <f aca="false">IF(C1055="M.O.",VLOOKUP(A1055,INSUMOS_AUX!A:F,6,0),0)</f>
        <v>0</v>
      </c>
    </row>
    <row r="1056" customFormat="false" ht="31.5" hidden="false" customHeight="false" outlineLevel="0" collapsed="false">
      <c r="A1056" s="154" t="n">
        <v>6193</v>
      </c>
      <c r="B1056" s="155" t="s">
        <v>1584</v>
      </c>
      <c r="C1056" s="148" t="str">
        <f aca="false">VLOOKUP($A1056,INSUMOS_AUX!$A$3:$H$813,3,0)</f>
        <v>MAT.</v>
      </c>
      <c r="D1056" s="156" t="s">
        <v>1455</v>
      </c>
      <c r="E1056" s="154" t="n">
        <v>2.64916666</v>
      </c>
      <c r="F1056" s="149" t="n">
        <f aca="false">IF(C1056="MAT.",VLOOKUP(A1056,INSUMOS_AUX!$A$3:$H$813,6,0),0)</f>
        <v>15.54</v>
      </c>
      <c r="G1056" s="149" t="n">
        <f aca="false">IF(C1056="M.O.",VLOOKUP(A1056,INSUMOS_AUX!A:F,6,0),0)</f>
        <v>0</v>
      </c>
    </row>
    <row r="1057" customFormat="false" ht="31.5" hidden="false" customHeight="false" outlineLevel="0" collapsed="false">
      <c r="A1057" s="154" t="n">
        <v>7155</v>
      </c>
      <c r="B1057" s="155" t="s">
        <v>1679</v>
      </c>
      <c r="C1057" s="148" t="str">
        <f aca="false">VLOOKUP($A1057,INSUMOS_AUX!$A$3:$H$813,3,0)</f>
        <v>MAT.</v>
      </c>
      <c r="D1057" s="156" t="s">
        <v>1477</v>
      </c>
      <c r="E1057" s="154" t="n">
        <v>1.221</v>
      </c>
      <c r="F1057" s="149" t="n">
        <f aca="false">IF(C1057="MAT.",VLOOKUP(A1057,INSUMOS_AUX!$A$3:$H$813,6,0),0)</f>
        <v>17.03</v>
      </c>
      <c r="G1057" s="149" t="n">
        <f aca="false">IF(C1057="M.O.",VLOOKUP(A1057,INSUMOS_AUX!A:F,6,0),0)</f>
        <v>0</v>
      </c>
    </row>
    <row r="1058" customFormat="false" ht="31.5" hidden="false" customHeight="false" outlineLevel="0" collapsed="false">
      <c r="A1058" s="154" t="n">
        <v>42407</v>
      </c>
      <c r="B1058" s="155" t="s">
        <v>1586</v>
      </c>
      <c r="C1058" s="148" t="str">
        <f aca="false">VLOOKUP($A1058,INSUMOS_AUX!$A$3:$H$813,3,0)</f>
        <v>MAT.</v>
      </c>
      <c r="D1058" s="156" t="s">
        <v>1455</v>
      </c>
      <c r="E1058" s="154" t="n">
        <v>1.001</v>
      </c>
      <c r="F1058" s="149" t="n">
        <f aca="false">IF(C1058="MAT.",VLOOKUP(A1058,INSUMOS_AUX!$A$3:$H$813,6,0),0)</f>
        <v>5.57</v>
      </c>
      <c r="G1058" s="149" t="n">
        <f aca="false">IF(C1058="M.O.",VLOOKUP(A1058,INSUMOS_AUX!A:F,6,0),0)</f>
        <v>0</v>
      </c>
    </row>
    <row r="1059" customFormat="false" ht="15" hidden="false" customHeight="false" outlineLevel="0" collapsed="false">
      <c r="A1059" s="154" t="n">
        <v>6114</v>
      </c>
      <c r="B1059" s="155" t="s">
        <v>1588</v>
      </c>
      <c r="C1059" s="148" t="str">
        <f aca="false">VLOOKUP($A1059,INSUMOS_AUX!$A$3:$H$813,3,0)</f>
        <v>M.O.</v>
      </c>
      <c r="D1059" s="156" t="s">
        <v>1444</v>
      </c>
      <c r="E1059" s="154" t="n">
        <v>0.024479268</v>
      </c>
      <c r="F1059" s="149" t="n">
        <f aca="false">IF(C1059="MAT.",VLOOKUP(A1059,INSUMOS_AUX!$A$3:$H$813,6,0),0)</f>
        <v>0</v>
      </c>
      <c r="G1059" s="149" t="n">
        <f aca="false">IF(C1059="M.O.",VLOOKUP(A1059,INSUMOS_AUX!A:F,6,0),0)</f>
        <v>13.26</v>
      </c>
    </row>
    <row r="1060" customFormat="false" ht="15" hidden="false" customHeight="false" outlineLevel="0" collapsed="false">
      <c r="A1060" s="154" t="n">
        <v>378</v>
      </c>
      <c r="B1060" s="155" t="s">
        <v>1589</v>
      </c>
      <c r="C1060" s="148" t="str">
        <f aca="false">VLOOKUP($A1060,INSUMOS_AUX!$A$3:$H$813,3,0)</f>
        <v>M.O.</v>
      </c>
      <c r="D1060" s="156" t="s">
        <v>1444</v>
      </c>
      <c r="E1060" s="154" t="n">
        <v>0.068987028</v>
      </c>
      <c r="F1060" s="149" t="n">
        <f aca="false">IF(C1060="MAT.",VLOOKUP(A1060,INSUMOS_AUX!$A$3:$H$813,6,0),0)</f>
        <v>0</v>
      </c>
      <c r="G1060" s="149" t="n">
        <f aca="false">IF(C1060="M.O.",VLOOKUP(A1060,INSUMOS_AUX!A:F,6,0),0)</f>
        <v>20.22</v>
      </c>
    </row>
    <row r="1061" customFormat="false" ht="15" hidden="false" customHeight="false" outlineLevel="0" collapsed="false">
      <c r="A1061" s="154" t="n">
        <v>6117</v>
      </c>
      <c r="B1061" s="155" t="s">
        <v>1555</v>
      </c>
      <c r="C1061" s="148" t="str">
        <f aca="false">VLOOKUP($A1061,INSUMOS_AUX!$A$3:$H$813,3,0)</f>
        <v>M.O.</v>
      </c>
      <c r="D1061" s="156" t="s">
        <v>1444</v>
      </c>
      <c r="E1061" s="154" t="n">
        <v>0.0292834365579336</v>
      </c>
      <c r="F1061" s="149" t="n">
        <f aca="false">IF(C1061="MAT.",VLOOKUP(A1061,INSUMOS_AUX!$A$3:$H$813,6,0),0)</f>
        <v>0</v>
      </c>
      <c r="G1061" s="149" t="n">
        <f aca="false">IF(C1061="M.O.",VLOOKUP(A1061,INSUMOS_AUX!A:F,6,0),0)</f>
        <v>13.26</v>
      </c>
    </row>
    <row r="1062" customFormat="false" ht="15" hidden="false" customHeight="false" outlineLevel="0" collapsed="false">
      <c r="A1062" s="154" t="n">
        <v>1213</v>
      </c>
      <c r="B1062" s="155" t="s">
        <v>1516</v>
      </c>
      <c r="C1062" s="148" t="str">
        <f aca="false">VLOOKUP($A1062,INSUMOS_AUX!$A$3:$H$813,3,0)</f>
        <v>M.O.</v>
      </c>
      <c r="D1062" s="156" t="s">
        <v>1444</v>
      </c>
      <c r="E1062" s="154" t="n">
        <v>0.85410559</v>
      </c>
      <c r="F1062" s="149" t="n">
        <f aca="false">IF(C1062="MAT.",VLOOKUP(A1062,INSUMOS_AUX!$A$3:$H$813,6,0),0)</f>
        <v>0</v>
      </c>
      <c r="G1062" s="149" t="n">
        <f aca="false">IF(C1062="M.O.",VLOOKUP(A1062,INSUMOS_AUX!A:F,6,0),0)</f>
        <v>20.22</v>
      </c>
    </row>
    <row r="1063" customFormat="false" ht="21" hidden="false" customHeight="false" outlineLevel="0" collapsed="false">
      <c r="A1063" s="154" t="n">
        <v>4230</v>
      </c>
      <c r="B1063" s="155" t="s">
        <v>1597</v>
      </c>
      <c r="C1063" s="148" t="str">
        <f aca="false">VLOOKUP($A1063,INSUMOS_AUX!$A$3:$H$813,3,0)</f>
        <v>M.O.</v>
      </c>
      <c r="D1063" s="156" t="s">
        <v>1444</v>
      </c>
      <c r="E1063" s="154" t="n">
        <v>0.0514309081004868</v>
      </c>
      <c r="F1063" s="149" t="n">
        <f aca="false">IF(C1063="MAT.",VLOOKUP(A1063,INSUMOS_AUX!$A$3:$H$813,6,0),0)</f>
        <v>0</v>
      </c>
      <c r="G1063" s="149" t="n">
        <f aca="false">IF(C1063="M.O.",VLOOKUP(A1063,INSUMOS_AUX!A:F,6,0),0)</f>
        <v>14.53</v>
      </c>
    </row>
    <row r="1064" customFormat="false" ht="15" hidden="false" customHeight="false" outlineLevel="0" collapsed="false">
      <c r="A1064" s="154" t="n">
        <v>4750</v>
      </c>
      <c r="B1064" s="155" t="s">
        <v>1463</v>
      </c>
      <c r="C1064" s="148" t="str">
        <f aca="false">VLOOKUP($A1064,INSUMOS_AUX!$A$3:$H$813,3,0)</f>
        <v>M.O.</v>
      </c>
      <c r="D1064" s="156" t="s">
        <v>1444</v>
      </c>
      <c r="E1064" s="154" t="n">
        <v>0.0588257154</v>
      </c>
      <c r="F1064" s="149" t="n">
        <f aca="false">IF(C1064="MAT.",VLOOKUP(A1064,INSUMOS_AUX!$A$3:$H$813,6,0),0)</f>
        <v>0</v>
      </c>
      <c r="G1064" s="149" t="n">
        <f aca="false">IF(C1064="M.O.",VLOOKUP(A1064,INSUMOS_AUX!A:F,6,0),0)</f>
        <v>20.22</v>
      </c>
    </row>
    <row r="1065" customFormat="false" ht="15" hidden="false" customHeight="false" outlineLevel="0" collapsed="false">
      <c r="A1065" s="154" t="n">
        <v>6111</v>
      </c>
      <c r="B1065" s="155" t="s">
        <v>1464</v>
      </c>
      <c r="C1065" s="148" t="str">
        <f aca="false">VLOOKUP($A1065,INSUMOS_AUX!$A$3:$H$813,3,0)</f>
        <v>M.O.</v>
      </c>
      <c r="D1065" s="156" t="s">
        <v>1444</v>
      </c>
      <c r="E1065" s="154" t="n">
        <v>0.5766604</v>
      </c>
      <c r="F1065" s="149" t="n">
        <f aca="false">IF(C1065="MAT.",VLOOKUP(A1065,INSUMOS_AUX!$A$3:$H$813,6,0),0)</f>
        <v>0</v>
      </c>
      <c r="G1065" s="149" t="n">
        <f aca="false">IF(C1065="M.O.",VLOOKUP(A1065,INSUMOS_AUX!A:F,6,0),0)</f>
        <v>12.95</v>
      </c>
    </row>
    <row r="1066" customFormat="false" ht="31.5" hidden="false" customHeight="false" outlineLevel="0" collapsed="false">
      <c r="A1066" s="150" t="s">
        <v>194</v>
      </c>
      <c r="B1066" s="151" t="s">
        <v>1681</v>
      </c>
      <c r="C1066" s="152" t="s">
        <v>59</v>
      </c>
      <c r="D1066" s="152" t="s">
        <v>1477</v>
      </c>
      <c r="E1066" s="150"/>
      <c r="F1066" s="153" t="n">
        <f aca="false">(SUMPRODUCT($E1067:$E1097,F1067:F1097))*1</f>
        <v>252.430469937757</v>
      </c>
      <c r="G1066" s="153" t="n">
        <f aca="false">(SUMPRODUCT($E1067:$E1097,G1067:G1097))*1</f>
        <v>35.1500460423615</v>
      </c>
    </row>
    <row r="1067" customFormat="false" ht="21" hidden="false" customHeight="false" outlineLevel="0" collapsed="false">
      <c r="A1067" s="154" t="n">
        <v>37370</v>
      </c>
      <c r="B1067" s="155" t="s">
        <v>1443</v>
      </c>
      <c r="C1067" s="148" t="str">
        <f aca="false">VLOOKUP($A1067,INSUMOS_AUX!$A$3:$H$813,3,0)</f>
        <v>MAT.</v>
      </c>
      <c r="D1067" s="156" t="s">
        <v>1444</v>
      </c>
      <c r="E1067" s="154" t="n">
        <v>2.0026055</v>
      </c>
      <c r="F1067" s="149" t="n">
        <f aca="false">IF(C1067="MAT.",VLOOKUP(A1067,INSUMOS_AUX!$A$3:$H$813,6,0),0)</f>
        <v>3.32</v>
      </c>
      <c r="G1067" s="149" t="n">
        <f aca="false">IF(C1067="M.O.",VLOOKUP(A1067,INSUMOS_AUX!A:F,6,0),0)</f>
        <v>0</v>
      </c>
    </row>
    <row r="1068" customFormat="false" ht="21" hidden="false" customHeight="false" outlineLevel="0" collapsed="false">
      <c r="A1068" s="154" t="n">
        <v>43483</v>
      </c>
      <c r="B1068" s="155" t="s">
        <v>1486</v>
      </c>
      <c r="C1068" s="148" t="str">
        <f aca="false">VLOOKUP($A1068,INSUMOS_AUX!$A$3:$H$813,3,0)</f>
        <v>MAT.</v>
      </c>
      <c r="D1068" s="156" t="s">
        <v>1444</v>
      </c>
      <c r="E1068" s="154" t="n">
        <v>1.0786825</v>
      </c>
      <c r="F1068" s="149" t="n">
        <f aca="false">IF(C1068="MAT.",VLOOKUP(A1068,INSUMOS_AUX!$A$3:$H$813,6,0),0)</f>
        <v>1.43</v>
      </c>
      <c r="G1068" s="149" t="n">
        <f aca="false">IF(C1068="M.O.",VLOOKUP(A1068,INSUMOS_AUX!A:F,6,0),0)</f>
        <v>0</v>
      </c>
    </row>
    <row r="1069" customFormat="false" ht="21" hidden="false" customHeight="false" outlineLevel="0" collapsed="false">
      <c r="A1069" s="154" t="n">
        <v>43488</v>
      </c>
      <c r="B1069" s="155" t="s">
        <v>1445</v>
      </c>
      <c r="C1069" s="148" t="str">
        <f aca="false">VLOOKUP($A1069,INSUMOS_AUX!$A$3:$H$813,3,0)</f>
        <v>MAT.</v>
      </c>
      <c r="D1069" s="156" t="s">
        <v>1444</v>
      </c>
      <c r="E1069" s="154" t="n">
        <v>0.0628075</v>
      </c>
      <c r="F1069" s="149" t="n">
        <f aca="false">IF(C1069="MAT.",VLOOKUP(A1069,INSUMOS_AUX!$A$3:$H$813,6,0),0)</f>
        <v>0.89</v>
      </c>
      <c r="G1069" s="149" t="n">
        <f aca="false">IF(C1069="M.O.",VLOOKUP(A1069,INSUMOS_AUX!A:F,6,0),0)</f>
        <v>0</v>
      </c>
    </row>
    <row r="1070" customFormat="false" ht="21" hidden="false" customHeight="false" outlineLevel="0" collapsed="false">
      <c r="A1070" s="154" t="n">
        <v>43489</v>
      </c>
      <c r="B1070" s="155" t="s">
        <v>1456</v>
      </c>
      <c r="C1070" s="148" t="str">
        <f aca="false">VLOOKUP($A1070,INSUMOS_AUX!$A$3:$H$813,3,0)</f>
        <v>MAT.</v>
      </c>
      <c r="D1070" s="156" t="s">
        <v>1444</v>
      </c>
      <c r="E1070" s="154" t="n">
        <v>0.1635585</v>
      </c>
      <c r="F1070" s="149" t="n">
        <f aca="false">IF(C1070="MAT.",VLOOKUP(A1070,INSUMOS_AUX!$A$3:$H$813,6,0),0)</f>
        <v>1.31</v>
      </c>
      <c r="G1070" s="149" t="n">
        <f aca="false">IF(C1070="M.O.",VLOOKUP(A1070,INSUMOS_AUX!A:F,6,0),0)</f>
        <v>0</v>
      </c>
    </row>
    <row r="1071" customFormat="false" ht="21" hidden="false" customHeight="false" outlineLevel="0" collapsed="false">
      <c r="A1071" s="154" t="n">
        <v>43491</v>
      </c>
      <c r="B1071" s="155" t="s">
        <v>1457</v>
      </c>
      <c r="C1071" s="148" t="str">
        <f aca="false">VLOOKUP($A1071,INSUMOS_AUX!$A$3:$H$813,3,0)</f>
        <v>MAT.</v>
      </c>
      <c r="D1071" s="156" t="s">
        <v>1444</v>
      </c>
      <c r="E1071" s="154" t="n">
        <v>0.697557</v>
      </c>
      <c r="F1071" s="149" t="n">
        <f aca="false">IF(C1071="MAT.",VLOOKUP(A1071,INSUMOS_AUX!$A$3:$H$813,6,0),0)</f>
        <v>1.39</v>
      </c>
      <c r="G1071" s="149" t="n">
        <f aca="false">IF(C1071="M.O.",VLOOKUP(A1071,INSUMOS_AUX!A:F,6,0),0)</f>
        <v>0</v>
      </c>
    </row>
    <row r="1072" customFormat="false" ht="21" hidden="false" customHeight="false" outlineLevel="0" collapsed="false">
      <c r="A1072" s="154" t="n">
        <v>37372</v>
      </c>
      <c r="B1072" s="155" t="s">
        <v>1446</v>
      </c>
      <c r="C1072" s="148" t="str">
        <f aca="false">VLOOKUP($A1072,INSUMOS_AUX!$A$3:$H$813,3,0)</f>
        <v>MAT.</v>
      </c>
      <c r="D1072" s="156" t="s">
        <v>1444</v>
      </c>
      <c r="E1072" s="154" t="n">
        <v>2.0026055</v>
      </c>
      <c r="F1072" s="149" t="n">
        <f aca="false">IF(C1072="MAT.",VLOOKUP(A1072,INSUMOS_AUX!$A$3:$H$813,6,0),0)</f>
        <v>1.43</v>
      </c>
      <c r="G1072" s="149" t="n">
        <f aca="false">IF(C1072="M.O.",VLOOKUP(A1072,INSUMOS_AUX!A:F,6,0),0)</f>
        <v>0</v>
      </c>
    </row>
    <row r="1073" customFormat="false" ht="21" hidden="false" customHeight="false" outlineLevel="0" collapsed="false">
      <c r="A1073" s="154" t="n">
        <v>43459</v>
      </c>
      <c r="B1073" s="155" t="s">
        <v>1487</v>
      </c>
      <c r="C1073" s="148" t="s">
        <v>59</v>
      </c>
      <c r="D1073" s="156" t="s">
        <v>1444</v>
      </c>
      <c r="E1073" s="154" t="n">
        <v>1.0786825</v>
      </c>
      <c r="F1073" s="149" t="n">
        <f aca="false">IF(C1073="MAT.",VLOOKUP(A1073,INSUMOS_AUX!$A$3:$H$813,6,0),0)</f>
        <v>0</v>
      </c>
      <c r="G1073" s="149" t="n">
        <f aca="false">IF(C1073="M.O.",VLOOKUP(A1073,INSUMOS_AUX!A:F,6,0),0)</f>
        <v>0</v>
      </c>
    </row>
    <row r="1074" customFormat="false" ht="21" hidden="false" customHeight="false" outlineLevel="0" collapsed="false">
      <c r="A1074" s="154" t="n">
        <v>43464</v>
      </c>
      <c r="B1074" s="155" t="s">
        <v>1447</v>
      </c>
      <c r="C1074" s="148" t="str">
        <f aca="false">VLOOKUP($A1074,INSUMOS_AUX!$A$3:$H$813,3,0)</f>
        <v>MAT.</v>
      </c>
      <c r="D1074" s="156" t="s">
        <v>1444</v>
      </c>
      <c r="E1074" s="154" t="n">
        <v>0.0628075</v>
      </c>
      <c r="F1074" s="149" t="n">
        <f aca="false">IF(C1074="MAT.",VLOOKUP(A1074,INSUMOS_AUX!$A$3:$H$813,6,0),0)</f>
        <v>0.01</v>
      </c>
      <c r="G1074" s="149" t="n">
        <f aca="false">IF(C1074="M.O.",VLOOKUP(A1074,INSUMOS_AUX!A:F,6,0),0)</f>
        <v>0</v>
      </c>
    </row>
    <row r="1075" customFormat="false" ht="21" hidden="false" customHeight="false" outlineLevel="0" collapsed="false">
      <c r="A1075" s="154" t="n">
        <v>43465</v>
      </c>
      <c r="B1075" s="155" t="s">
        <v>1458</v>
      </c>
      <c r="C1075" s="148" t="str">
        <f aca="false">VLOOKUP($A1075,INSUMOS_AUX!$A$3:$H$813,3,0)</f>
        <v>MAT.</v>
      </c>
      <c r="D1075" s="156" t="s">
        <v>1444</v>
      </c>
      <c r="E1075" s="154" t="n">
        <v>0.1635585</v>
      </c>
      <c r="F1075" s="149" t="n">
        <f aca="false">IF(C1075="MAT.",VLOOKUP(A1075,INSUMOS_AUX!$A$3:$H$813,6,0),0)</f>
        <v>0.78</v>
      </c>
      <c r="G1075" s="149" t="n">
        <f aca="false">IF(C1075="M.O.",VLOOKUP(A1075,INSUMOS_AUX!A:F,6,0),0)</f>
        <v>0</v>
      </c>
    </row>
    <row r="1076" customFormat="false" ht="21" hidden="false" customHeight="false" outlineLevel="0" collapsed="false">
      <c r="A1076" s="154" t="n">
        <v>43467</v>
      </c>
      <c r="B1076" s="155" t="s">
        <v>1459</v>
      </c>
      <c r="C1076" s="148" t="str">
        <f aca="false">VLOOKUP($A1076,INSUMOS_AUX!$A$3:$H$813,3,0)</f>
        <v>MAT.</v>
      </c>
      <c r="D1076" s="156" t="s">
        <v>1444</v>
      </c>
      <c r="E1076" s="154" t="n">
        <v>0.697557</v>
      </c>
      <c r="F1076" s="149" t="n">
        <f aca="false">IF(C1076="MAT.",VLOOKUP(A1076,INSUMOS_AUX!$A$3:$H$813,6,0),0)</f>
        <v>0.61</v>
      </c>
      <c r="G1076" s="149" t="n">
        <f aca="false">IF(C1076="M.O.",VLOOKUP(A1076,INSUMOS_AUX!A:F,6,0),0)</f>
        <v>0</v>
      </c>
    </row>
    <row r="1077" customFormat="false" ht="21" hidden="false" customHeight="false" outlineLevel="0" collapsed="false">
      <c r="A1077" s="154" t="n">
        <v>37373</v>
      </c>
      <c r="B1077" s="155" t="s">
        <v>1448</v>
      </c>
      <c r="C1077" s="148" t="str">
        <f aca="false">VLOOKUP($A1077,INSUMOS_AUX!$A$3:$H$813,3,0)</f>
        <v>MAT.</v>
      </c>
      <c r="D1077" s="156" t="s">
        <v>1444</v>
      </c>
      <c r="E1077" s="154" t="n">
        <v>2.0026055</v>
      </c>
      <c r="F1077" s="149" t="n">
        <f aca="false">IF(C1077="MAT.",VLOOKUP(A1077,INSUMOS_AUX!$A$3:$H$813,6,0),0)</f>
        <v>0.08</v>
      </c>
      <c r="G1077" s="149" t="n">
        <f aca="false">IF(C1077="M.O.",VLOOKUP(A1077,INSUMOS_AUX!A:F,6,0),0)</f>
        <v>0</v>
      </c>
    </row>
    <row r="1078" customFormat="false" ht="21" hidden="false" customHeight="false" outlineLevel="0" collapsed="false">
      <c r="A1078" s="154" t="n">
        <v>37371</v>
      </c>
      <c r="B1078" s="155" t="s">
        <v>1449</v>
      </c>
      <c r="C1078" s="148" t="str">
        <f aca="false">VLOOKUP($A1078,INSUMOS_AUX!$A$3:$H$813,3,0)</f>
        <v>MAT.</v>
      </c>
      <c r="D1078" s="156" t="s">
        <v>1444</v>
      </c>
      <c r="E1078" s="154" t="n">
        <v>2.0026055</v>
      </c>
      <c r="F1078" s="149" t="n">
        <f aca="false">IF(C1078="MAT.",VLOOKUP(A1078,INSUMOS_AUX!$A$3:$H$813,6,0),0)</f>
        <v>0.59</v>
      </c>
      <c r="G1078" s="149" t="n">
        <f aca="false">IF(C1078="M.O.",VLOOKUP(A1078,INSUMOS_AUX!A:F,6,0),0)</f>
        <v>0</v>
      </c>
    </row>
    <row r="1079" customFormat="false" ht="21" hidden="false" customHeight="false" outlineLevel="0" collapsed="false">
      <c r="A1079" s="154" t="n">
        <v>14618</v>
      </c>
      <c r="B1079" s="155" t="s">
        <v>1592</v>
      </c>
      <c r="C1079" s="148" t="str">
        <f aca="false">VLOOKUP($A1079,INSUMOS_AUX!$A$3:$H$813,3,0)</f>
        <v>MAT.</v>
      </c>
      <c r="D1079" s="156" t="s">
        <v>31</v>
      </c>
      <c r="E1079" s="154" t="n">
        <v>6.045816E-006</v>
      </c>
      <c r="F1079" s="149" t="n">
        <f aca="false">IF(C1079="MAT.",VLOOKUP(A1079,INSUMOS_AUX!$A$3:$H$813,6,0),0)</f>
        <v>1283.38</v>
      </c>
      <c r="G1079" s="149" t="n">
        <f aca="false">IF(C1079="M.O.",VLOOKUP(A1079,INSUMOS_AUX!A:F,6,0),0)</f>
        <v>0</v>
      </c>
    </row>
    <row r="1080" customFormat="false" ht="21" hidden="false" customHeight="false" outlineLevel="0" collapsed="false">
      <c r="A1080" s="154" t="n">
        <v>13896</v>
      </c>
      <c r="B1080" s="155" t="s">
        <v>1564</v>
      </c>
      <c r="C1080" s="148" t="str">
        <f aca="false">VLOOKUP($A1080,INSUMOS_AUX!$A$3:$H$813,3,0)</f>
        <v>MAT.</v>
      </c>
      <c r="D1080" s="156" t="s">
        <v>31</v>
      </c>
      <c r="E1080" s="154" t="n">
        <v>4.8721932E-006</v>
      </c>
      <c r="F1080" s="149" t="n">
        <f aca="false">IF(C1080="MAT.",VLOOKUP(A1080,INSUMOS_AUX!$A$3:$H$813,6,0),0)</f>
        <v>3390.99</v>
      </c>
      <c r="G1080" s="149" t="n">
        <f aca="false">IF(C1080="M.O.",VLOOKUP(A1080,INSUMOS_AUX!A:F,6,0),0)</f>
        <v>0</v>
      </c>
    </row>
    <row r="1081" customFormat="false" ht="15" hidden="false" customHeight="false" outlineLevel="0" collapsed="false">
      <c r="A1081" s="154" t="n">
        <v>2705</v>
      </c>
      <c r="B1081" s="155" t="s">
        <v>1467</v>
      </c>
      <c r="C1081" s="148" t="str">
        <f aca="false">VLOOKUP($A1081,INSUMOS_AUX!$A$3:$H$813,3,0)</f>
        <v>MAT.</v>
      </c>
      <c r="D1081" s="156" t="s">
        <v>1468</v>
      </c>
      <c r="E1081" s="154" t="n">
        <v>0.022057</v>
      </c>
      <c r="F1081" s="149" t="n">
        <f aca="false">IF(C1081="MAT.",VLOOKUP(A1081,INSUMOS_AUX!$A$3:$H$813,6,0),0)</f>
        <v>0.92</v>
      </c>
      <c r="G1081" s="149" t="n">
        <f aca="false">IF(C1081="M.O.",VLOOKUP(A1081,INSUMOS_AUX!A:F,6,0),0)</f>
        <v>0</v>
      </c>
    </row>
    <row r="1082" customFormat="false" ht="21" hidden="false" customHeight="false" outlineLevel="0" collapsed="false">
      <c r="A1082" s="154" t="n">
        <v>43132</v>
      </c>
      <c r="B1082" s="155" t="s">
        <v>1565</v>
      </c>
      <c r="C1082" s="148" t="str">
        <f aca="false">VLOOKUP($A1082,INSUMOS_AUX!$A$3:$H$813,3,0)</f>
        <v>MAT.</v>
      </c>
      <c r="D1082" s="156" t="s">
        <v>1513</v>
      </c>
      <c r="E1082" s="154" t="n">
        <v>0.0242</v>
      </c>
      <c r="F1082" s="149" t="n">
        <f aca="false">IF(C1082="MAT.",VLOOKUP(A1082,INSUMOS_AUX!$A$3:$H$813,6,0),0)</f>
        <v>28</v>
      </c>
      <c r="G1082" s="149" t="n">
        <f aca="false">IF(C1082="M.O.",VLOOKUP(A1082,INSUMOS_AUX!A:F,6,0),0)</f>
        <v>0</v>
      </c>
    </row>
    <row r="1083" customFormat="false" ht="31.5" hidden="false" customHeight="false" outlineLevel="0" collapsed="false">
      <c r="A1083" s="154" t="n">
        <v>11145</v>
      </c>
      <c r="B1083" s="155" t="s">
        <v>1620</v>
      </c>
      <c r="C1083" s="148" t="str">
        <f aca="false">VLOOKUP($A1083,INSUMOS_AUX!$A$3:$H$813,3,0)</f>
        <v>MAT.</v>
      </c>
      <c r="D1083" s="156" t="s">
        <v>1442</v>
      </c>
      <c r="E1083" s="154" t="n">
        <v>0.1042335</v>
      </c>
      <c r="F1083" s="149" t="n">
        <f aca="false">IF(C1083="MAT.",VLOOKUP(A1083,INSUMOS_AUX!$A$3:$H$813,6,0),0)</f>
        <v>688.16</v>
      </c>
      <c r="G1083" s="149" t="n">
        <f aca="false">IF(C1083="M.O.",VLOOKUP(A1083,INSUMOS_AUX!A:F,6,0),0)</f>
        <v>0</v>
      </c>
    </row>
    <row r="1084" customFormat="false" ht="31.5" hidden="false" customHeight="false" outlineLevel="0" collapsed="false">
      <c r="A1084" s="154" t="n">
        <v>3738</v>
      </c>
      <c r="B1084" s="155" t="s">
        <v>1678</v>
      </c>
      <c r="C1084" s="148" t="str">
        <f aca="false">VLOOKUP($A1084,INSUMOS_AUX!$A$3:$H$813,3,0)</f>
        <v>MAT.</v>
      </c>
      <c r="D1084" s="156" t="s">
        <v>1477</v>
      </c>
      <c r="E1084" s="154" t="n">
        <v>1</v>
      </c>
      <c r="F1084" s="149" t="n">
        <f aca="false">IF(C1084="MAT.",VLOOKUP(A1084,INSUMOS_AUX!$A$3:$H$813,6,0),0)</f>
        <v>63.22</v>
      </c>
      <c r="G1084" s="149" t="n">
        <f aca="false">IF(C1084="M.O.",VLOOKUP(A1084,INSUMOS_AUX!A:F,6,0),0)</f>
        <v>0</v>
      </c>
    </row>
    <row r="1085" customFormat="false" ht="21" hidden="false" customHeight="false" outlineLevel="0" collapsed="false">
      <c r="A1085" s="154" t="n">
        <v>4491</v>
      </c>
      <c r="B1085" s="155" t="s">
        <v>1578</v>
      </c>
      <c r="C1085" s="148" t="str">
        <f aca="false">VLOOKUP($A1085,INSUMOS_AUX!$A$3:$H$813,3,0)</f>
        <v>MAT.</v>
      </c>
      <c r="D1085" s="156" t="s">
        <v>1455</v>
      </c>
      <c r="E1085" s="154" t="n">
        <v>2.223725</v>
      </c>
      <c r="F1085" s="149" t="n">
        <f aca="false">IF(C1085="MAT.",VLOOKUP(A1085,INSUMOS_AUX!$A$3:$H$813,6,0),0)</f>
        <v>10.25</v>
      </c>
      <c r="G1085" s="149" t="n">
        <f aca="false">IF(C1085="M.O.",VLOOKUP(A1085,INSUMOS_AUX!A:F,6,0),0)</f>
        <v>0</v>
      </c>
    </row>
    <row r="1086" customFormat="false" ht="15" hidden="false" customHeight="false" outlineLevel="0" collapsed="false">
      <c r="A1086" s="154" t="n">
        <v>5068</v>
      </c>
      <c r="B1086" s="155" t="s">
        <v>1579</v>
      </c>
      <c r="C1086" s="148" t="str">
        <f aca="false">VLOOKUP($A1086,INSUMOS_AUX!$A$3:$H$813,3,0)</f>
        <v>MAT.</v>
      </c>
      <c r="D1086" s="156" t="s">
        <v>1513</v>
      </c>
      <c r="E1086" s="154" t="n">
        <v>0.0390425</v>
      </c>
      <c r="F1086" s="149" t="n">
        <f aca="false">IF(C1086="MAT.",VLOOKUP(A1086,INSUMOS_AUX!$A$3:$H$813,6,0),0)</f>
        <v>20.34</v>
      </c>
      <c r="G1086" s="149" t="n">
        <f aca="false">IF(C1086="M.O.",VLOOKUP(A1086,INSUMOS_AUX!A:F,6,0),0)</f>
        <v>0</v>
      </c>
    </row>
    <row r="1087" customFormat="false" ht="15" hidden="false" customHeight="false" outlineLevel="0" collapsed="false">
      <c r="A1087" s="154" t="n">
        <v>40304</v>
      </c>
      <c r="B1087" s="155" t="s">
        <v>1626</v>
      </c>
      <c r="C1087" s="148" t="str">
        <f aca="false">VLOOKUP($A1087,INSUMOS_AUX!$A$3:$H$813,3,0)</f>
        <v>MAT.</v>
      </c>
      <c r="D1087" s="156" t="s">
        <v>1513</v>
      </c>
      <c r="E1087" s="154" t="n">
        <v>0.07</v>
      </c>
      <c r="F1087" s="149" t="n">
        <f aca="false">IF(C1087="MAT.",VLOOKUP(A1087,INSUMOS_AUX!$A$3:$H$813,6,0),0)</f>
        <v>25.11</v>
      </c>
      <c r="G1087" s="149" t="n">
        <f aca="false">IF(C1087="M.O.",VLOOKUP(A1087,INSUMOS_AUX!A:F,6,0),0)</f>
        <v>0</v>
      </c>
    </row>
    <row r="1088" customFormat="false" ht="31.5" hidden="false" customHeight="false" outlineLevel="0" collapsed="false">
      <c r="A1088" s="154" t="n">
        <v>6193</v>
      </c>
      <c r="B1088" s="155" t="s">
        <v>1584</v>
      </c>
      <c r="C1088" s="148" t="str">
        <f aca="false">VLOOKUP($A1088,INSUMOS_AUX!$A$3:$H$813,3,0)</f>
        <v>MAT.</v>
      </c>
      <c r="D1088" s="156" t="s">
        <v>1455</v>
      </c>
      <c r="E1088" s="154" t="n">
        <v>3.2725</v>
      </c>
      <c r="F1088" s="149" t="n">
        <f aca="false">IF(C1088="MAT.",VLOOKUP(A1088,INSUMOS_AUX!$A$3:$H$813,6,0),0)</f>
        <v>15.54</v>
      </c>
      <c r="G1088" s="149" t="n">
        <f aca="false">IF(C1088="M.O.",VLOOKUP(A1088,INSUMOS_AUX!A:F,6,0),0)</f>
        <v>0</v>
      </c>
    </row>
    <row r="1089" customFormat="false" ht="31.5" hidden="false" customHeight="false" outlineLevel="0" collapsed="false">
      <c r="A1089" s="154" t="n">
        <v>7155</v>
      </c>
      <c r="B1089" s="155" t="s">
        <v>1679</v>
      </c>
      <c r="C1089" s="148" t="str">
        <f aca="false">VLOOKUP($A1089,INSUMOS_AUX!$A$3:$H$813,3,0)</f>
        <v>MAT.</v>
      </c>
      <c r="D1089" s="156" t="s">
        <v>1477</v>
      </c>
      <c r="E1089" s="154" t="n">
        <v>1.221</v>
      </c>
      <c r="F1089" s="149" t="n">
        <f aca="false">IF(C1089="MAT.",VLOOKUP(A1089,INSUMOS_AUX!$A$3:$H$813,6,0),0)</f>
        <v>17.03</v>
      </c>
      <c r="G1089" s="149" t="n">
        <f aca="false">IF(C1089="M.O.",VLOOKUP(A1089,INSUMOS_AUX!A:F,6,0),0)</f>
        <v>0</v>
      </c>
    </row>
    <row r="1090" customFormat="false" ht="31.5" hidden="false" customHeight="false" outlineLevel="0" collapsed="false">
      <c r="A1090" s="154" t="n">
        <v>42407</v>
      </c>
      <c r="B1090" s="155" t="s">
        <v>1586</v>
      </c>
      <c r="C1090" s="148" t="str">
        <f aca="false">VLOOKUP($A1090,INSUMOS_AUX!$A$3:$H$813,3,0)</f>
        <v>MAT.</v>
      </c>
      <c r="D1090" s="156" t="s">
        <v>1455</v>
      </c>
      <c r="E1090" s="154" t="n">
        <v>1.001</v>
      </c>
      <c r="F1090" s="149" t="n">
        <f aca="false">IF(C1090="MAT.",VLOOKUP(A1090,INSUMOS_AUX!$A$3:$H$813,6,0),0)</f>
        <v>5.57</v>
      </c>
      <c r="G1090" s="149" t="n">
        <f aca="false">IF(C1090="M.O.",VLOOKUP(A1090,INSUMOS_AUX!A:F,6,0),0)</f>
        <v>0</v>
      </c>
    </row>
    <row r="1091" customFormat="false" ht="15" hidden="false" customHeight="false" outlineLevel="0" collapsed="false">
      <c r="A1091" s="154" t="n">
        <v>6114</v>
      </c>
      <c r="B1091" s="155" t="s">
        <v>1588</v>
      </c>
      <c r="C1091" s="148" t="str">
        <f aca="false">VLOOKUP($A1091,INSUMOS_AUX!$A$3:$H$813,3,0)</f>
        <v>M.O.</v>
      </c>
      <c r="D1091" s="156" t="s">
        <v>1444</v>
      </c>
      <c r="E1091" s="154" t="n">
        <v>0.024479268</v>
      </c>
      <c r="F1091" s="149" t="n">
        <f aca="false">IF(C1091="MAT.",VLOOKUP(A1091,INSUMOS_AUX!$A$3:$H$813,6,0),0)</f>
        <v>0</v>
      </c>
      <c r="G1091" s="149" t="n">
        <f aca="false">IF(C1091="M.O.",VLOOKUP(A1091,INSUMOS_AUX!A:F,6,0),0)</f>
        <v>13.26</v>
      </c>
    </row>
    <row r="1092" customFormat="false" ht="15" hidden="false" customHeight="false" outlineLevel="0" collapsed="false">
      <c r="A1092" s="154" t="n">
        <v>378</v>
      </c>
      <c r="B1092" s="155" t="s">
        <v>1589</v>
      </c>
      <c r="C1092" s="148" t="str">
        <f aca="false">VLOOKUP($A1092,INSUMOS_AUX!$A$3:$H$813,3,0)</f>
        <v>M.O.</v>
      </c>
      <c r="D1092" s="156" t="s">
        <v>1444</v>
      </c>
      <c r="E1092" s="154" t="n">
        <v>0.068987028</v>
      </c>
      <c r="F1092" s="149" t="n">
        <f aca="false">IF(C1092="MAT.",VLOOKUP(A1092,INSUMOS_AUX!$A$3:$H$813,6,0),0)</f>
        <v>0</v>
      </c>
      <c r="G1092" s="149" t="n">
        <f aca="false">IF(C1092="M.O.",VLOOKUP(A1092,INSUMOS_AUX!A:F,6,0),0)</f>
        <v>20.22</v>
      </c>
    </row>
    <row r="1093" customFormat="false" ht="15" hidden="false" customHeight="false" outlineLevel="0" collapsed="false">
      <c r="A1093" s="154" t="n">
        <v>6117</v>
      </c>
      <c r="B1093" s="155" t="s">
        <v>1555</v>
      </c>
      <c r="C1093" s="148" t="str">
        <f aca="false">VLOOKUP($A1093,INSUMOS_AUX!$A$3:$H$813,3,0)</f>
        <v>M.O.</v>
      </c>
      <c r="D1093" s="156" t="s">
        <v>1444</v>
      </c>
      <c r="E1093" s="154" t="n">
        <v>0.0361736571</v>
      </c>
      <c r="F1093" s="149" t="n">
        <f aca="false">IF(C1093="MAT.",VLOOKUP(A1093,INSUMOS_AUX!$A$3:$H$813,6,0),0)</f>
        <v>0</v>
      </c>
      <c r="G1093" s="149" t="n">
        <f aca="false">IF(C1093="M.O.",VLOOKUP(A1093,INSUMOS_AUX!A:F,6,0),0)</f>
        <v>13.26</v>
      </c>
    </row>
    <row r="1094" customFormat="false" ht="15" hidden="false" customHeight="false" outlineLevel="0" collapsed="false">
      <c r="A1094" s="154" t="n">
        <v>1213</v>
      </c>
      <c r="B1094" s="155" t="s">
        <v>1516</v>
      </c>
      <c r="C1094" s="148" t="str">
        <f aca="false">VLOOKUP($A1094,INSUMOS_AUX!$A$3:$H$813,3,0)</f>
        <v>M.O.</v>
      </c>
      <c r="D1094" s="156" t="s">
        <v>1444</v>
      </c>
      <c r="E1094" s="154" t="n">
        <v>1.05507161</v>
      </c>
      <c r="F1094" s="149" t="n">
        <f aca="false">IF(C1094="MAT.",VLOOKUP(A1094,INSUMOS_AUX!$A$3:$H$813,6,0),0)</f>
        <v>0</v>
      </c>
      <c r="G1094" s="149" t="n">
        <f aca="false">IF(C1094="M.O.",VLOOKUP(A1094,INSUMOS_AUX!A:F,6,0),0)</f>
        <v>20.22</v>
      </c>
    </row>
    <row r="1095" customFormat="false" ht="21" hidden="false" customHeight="false" outlineLevel="0" collapsed="false">
      <c r="A1095" s="154" t="n">
        <v>4230</v>
      </c>
      <c r="B1095" s="155" t="s">
        <v>1597</v>
      </c>
      <c r="C1095" s="148" t="str">
        <f aca="false">VLOOKUP($A1095,INSUMOS_AUX!$A$3:$H$813,3,0)</f>
        <v>M.O.</v>
      </c>
      <c r="D1095" s="156" t="s">
        <v>1444</v>
      </c>
      <c r="E1095" s="154" t="n">
        <v>0.06353229855</v>
      </c>
      <c r="F1095" s="149" t="n">
        <f aca="false">IF(C1095="MAT.",VLOOKUP(A1095,INSUMOS_AUX!$A$3:$H$813,6,0),0)</f>
        <v>0</v>
      </c>
      <c r="G1095" s="149" t="n">
        <f aca="false">IF(C1095="M.O.",VLOOKUP(A1095,INSUMOS_AUX!A:F,6,0),0)</f>
        <v>14.53</v>
      </c>
    </row>
    <row r="1096" customFormat="false" ht="15" hidden="false" customHeight="false" outlineLevel="0" collapsed="false">
      <c r="A1096" s="154" t="n">
        <v>4750</v>
      </c>
      <c r="B1096" s="155" t="s">
        <v>1463</v>
      </c>
      <c r="C1096" s="148" t="str">
        <f aca="false">VLOOKUP($A1096,INSUMOS_AUX!$A$3:$H$813,3,0)</f>
        <v>M.O.</v>
      </c>
      <c r="D1096" s="156" t="s">
        <v>1444</v>
      </c>
      <c r="E1096" s="154" t="n">
        <v>0.0726670602</v>
      </c>
      <c r="F1096" s="149" t="n">
        <f aca="false">IF(C1096="MAT.",VLOOKUP(A1096,INSUMOS_AUX!$A$3:$H$813,6,0),0)</f>
        <v>0</v>
      </c>
      <c r="G1096" s="149" t="n">
        <f aca="false">IF(C1096="M.O.",VLOOKUP(A1096,INSUMOS_AUX!A:F,6,0),0)</f>
        <v>20.22</v>
      </c>
    </row>
    <row r="1097" customFormat="false" ht="15" hidden="false" customHeight="false" outlineLevel="0" collapsed="false">
      <c r="A1097" s="154" t="n">
        <v>6111</v>
      </c>
      <c r="B1097" s="155" t="s">
        <v>1464</v>
      </c>
      <c r="C1097" s="148" t="str">
        <f aca="false">VLOOKUP($A1097,INSUMOS_AUX!$A$3:$H$813,3,0)</f>
        <v>M.O.</v>
      </c>
      <c r="D1097" s="156" t="s">
        <v>1444</v>
      </c>
      <c r="E1097" s="154" t="n">
        <v>0.7123452</v>
      </c>
      <c r="F1097" s="149" t="n">
        <f aca="false">IF(C1097="MAT.",VLOOKUP(A1097,INSUMOS_AUX!$A$3:$H$813,6,0),0)</f>
        <v>0</v>
      </c>
      <c r="G1097" s="149" t="n">
        <f aca="false">IF(C1097="M.O.",VLOOKUP(A1097,INSUMOS_AUX!A:F,6,0),0)</f>
        <v>12.95</v>
      </c>
    </row>
    <row r="1098" customFormat="false" ht="31.5" hidden="false" customHeight="false" outlineLevel="0" collapsed="false">
      <c r="A1098" s="150" t="s">
        <v>196</v>
      </c>
      <c r="B1098" s="151" t="s">
        <v>1682</v>
      </c>
      <c r="C1098" s="152" t="s">
        <v>59</v>
      </c>
      <c r="D1098" s="152" t="s">
        <v>1477</v>
      </c>
      <c r="E1098" s="150"/>
      <c r="F1098" s="153" t="n">
        <f aca="false">(SUMPRODUCT($E1099:$E1129,F1099:F1129))*1</f>
        <v>283.186611798267</v>
      </c>
      <c r="G1098" s="153" t="n">
        <f aca="false">(SUMPRODUCT($E1099:$E1129,G1099:G1129))*1</f>
        <v>41.5177669696729</v>
      </c>
    </row>
    <row r="1099" customFormat="false" ht="21" hidden="false" customHeight="false" outlineLevel="0" collapsed="false">
      <c r="A1099" s="154" t="n">
        <v>37370</v>
      </c>
      <c r="B1099" s="155" t="s">
        <v>1443</v>
      </c>
      <c r="C1099" s="148" t="str">
        <f aca="false">VLOOKUP($A1099,INSUMOS_AUX!$A$3:$H$813,3,0)</f>
        <v>MAT.</v>
      </c>
      <c r="D1099" s="156" t="s">
        <v>1444</v>
      </c>
      <c r="E1099" s="154" t="n">
        <v>2.36645416</v>
      </c>
      <c r="F1099" s="149" t="n">
        <f aca="false">IF(C1099="MAT.",VLOOKUP(A1099,INSUMOS_AUX!$A$3:$H$813,6,0),0)</f>
        <v>3.32</v>
      </c>
      <c r="G1099" s="149" t="n">
        <f aca="false">IF(C1099="M.O.",VLOOKUP(A1099,INSUMOS_AUX!A:F,6,0),0)</f>
        <v>0</v>
      </c>
    </row>
    <row r="1100" customFormat="false" ht="21" hidden="false" customHeight="false" outlineLevel="0" collapsed="false">
      <c r="A1100" s="154" t="n">
        <v>43483</v>
      </c>
      <c r="B1100" s="155" t="s">
        <v>1486</v>
      </c>
      <c r="C1100" s="148" t="str">
        <f aca="false">VLOOKUP($A1100,INSUMOS_AUX!$A$3:$H$813,3,0)</f>
        <v>MAT.</v>
      </c>
      <c r="D1100" s="156" t="s">
        <v>1444</v>
      </c>
      <c r="E1100" s="154" t="n">
        <v>1.28414583</v>
      </c>
      <c r="F1100" s="149" t="n">
        <f aca="false">IF(C1100="MAT.",VLOOKUP(A1100,INSUMOS_AUX!$A$3:$H$813,6,0),0)</f>
        <v>1.43</v>
      </c>
      <c r="G1100" s="149" t="n">
        <f aca="false">IF(C1100="M.O.",VLOOKUP(A1100,INSUMOS_AUX!A:F,6,0),0)</f>
        <v>0</v>
      </c>
    </row>
    <row r="1101" customFormat="false" ht="21" hidden="false" customHeight="false" outlineLevel="0" collapsed="false">
      <c r="A1101" s="154" t="n">
        <v>43488</v>
      </c>
      <c r="B1101" s="155" t="s">
        <v>1445</v>
      </c>
      <c r="C1101" s="148" t="str">
        <f aca="false">VLOOKUP($A1101,INSUMOS_AUX!$A$3:$H$813,3,0)</f>
        <v>MAT.</v>
      </c>
      <c r="D1101" s="156" t="s">
        <v>1444</v>
      </c>
      <c r="E1101" s="154" t="n">
        <v>0.07477083321</v>
      </c>
      <c r="F1101" s="149" t="n">
        <f aca="false">IF(C1101="MAT.",VLOOKUP(A1101,INSUMOS_AUX!$A$3:$H$813,6,0),0)</f>
        <v>0.89</v>
      </c>
      <c r="G1101" s="149" t="n">
        <f aca="false">IF(C1101="M.O.",VLOOKUP(A1101,INSUMOS_AUX!A:F,6,0),0)</f>
        <v>0</v>
      </c>
    </row>
    <row r="1102" customFormat="false" ht="21" hidden="false" customHeight="false" outlineLevel="0" collapsed="false">
      <c r="A1102" s="154" t="n">
        <v>43489</v>
      </c>
      <c r="B1102" s="155" t="s">
        <v>1456</v>
      </c>
      <c r="C1102" s="148" t="str">
        <f aca="false">VLOOKUP($A1102,INSUMOS_AUX!$A$3:$H$813,3,0)</f>
        <v>MAT.</v>
      </c>
      <c r="D1102" s="156" t="s">
        <v>1444</v>
      </c>
      <c r="E1102" s="154" t="n">
        <v>0.1771125</v>
      </c>
      <c r="F1102" s="149" t="n">
        <f aca="false">IF(C1102="MAT.",VLOOKUP(A1102,INSUMOS_AUX!$A$3:$H$813,6,0),0)</f>
        <v>1.31</v>
      </c>
      <c r="G1102" s="149" t="n">
        <f aca="false">IF(C1102="M.O.",VLOOKUP(A1102,INSUMOS_AUX!A:F,6,0),0)</f>
        <v>0</v>
      </c>
    </row>
    <row r="1103" customFormat="false" ht="21" hidden="false" customHeight="false" outlineLevel="0" collapsed="false">
      <c r="A1103" s="154" t="n">
        <v>43491</v>
      </c>
      <c r="B1103" s="155" t="s">
        <v>1457</v>
      </c>
      <c r="C1103" s="148" t="str">
        <f aca="false">VLOOKUP($A1103,INSUMOS_AUX!$A$3:$H$813,3,0)</f>
        <v>MAT.</v>
      </c>
      <c r="D1103" s="156" t="s">
        <v>1444</v>
      </c>
      <c r="E1103" s="154" t="n">
        <v>0.830425</v>
      </c>
      <c r="F1103" s="149" t="n">
        <f aca="false">IF(C1103="MAT.",VLOOKUP(A1103,INSUMOS_AUX!$A$3:$H$813,6,0),0)</f>
        <v>1.39</v>
      </c>
      <c r="G1103" s="149" t="n">
        <f aca="false">IF(C1103="M.O.",VLOOKUP(A1103,INSUMOS_AUX!A:F,6,0),0)</f>
        <v>0</v>
      </c>
    </row>
    <row r="1104" customFormat="false" ht="21" hidden="false" customHeight="false" outlineLevel="0" collapsed="false">
      <c r="A1104" s="154" t="n">
        <v>37372</v>
      </c>
      <c r="B1104" s="155" t="s">
        <v>1446</v>
      </c>
      <c r="C1104" s="148" t="str">
        <f aca="false">VLOOKUP($A1104,INSUMOS_AUX!$A$3:$H$813,3,0)</f>
        <v>MAT.</v>
      </c>
      <c r="D1104" s="156" t="s">
        <v>1444</v>
      </c>
      <c r="E1104" s="154" t="n">
        <v>2.36645416</v>
      </c>
      <c r="F1104" s="149" t="n">
        <f aca="false">IF(C1104="MAT.",VLOOKUP(A1104,INSUMOS_AUX!$A$3:$H$813,6,0),0)</f>
        <v>1.43</v>
      </c>
      <c r="G1104" s="149" t="n">
        <f aca="false">IF(C1104="M.O.",VLOOKUP(A1104,INSUMOS_AUX!A:F,6,0),0)</f>
        <v>0</v>
      </c>
    </row>
    <row r="1105" customFormat="false" ht="21" hidden="false" customHeight="false" outlineLevel="0" collapsed="false">
      <c r="A1105" s="154" t="n">
        <v>43459</v>
      </c>
      <c r="B1105" s="155" t="s">
        <v>1487</v>
      </c>
      <c r="C1105" s="148" t="s">
        <v>59</v>
      </c>
      <c r="D1105" s="156" t="s">
        <v>1444</v>
      </c>
      <c r="E1105" s="154" t="n">
        <v>1.28414583</v>
      </c>
      <c r="F1105" s="149" t="n">
        <f aca="false">IF(C1105="MAT.",VLOOKUP(A1105,INSUMOS_AUX!$A$3:$H$813,6,0),0)</f>
        <v>0</v>
      </c>
      <c r="G1105" s="149" t="n">
        <f aca="false">IF(C1105="M.O.",VLOOKUP(A1105,INSUMOS_AUX!A:F,6,0),0)</f>
        <v>0</v>
      </c>
    </row>
    <row r="1106" customFormat="false" ht="21" hidden="false" customHeight="false" outlineLevel="0" collapsed="false">
      <c r="A1106" s="154" t="n">
        <v>43464</v>
      </c>
      <c r="B1106" s="155" t="s">
        <v>1447</v>
      </c>
      <c r="C1106" s="148" t="str">
        <f aca="false">VLOOKUP($A1106,INSUMOS_AUX!$A$3:$H$813,3,0)</f>
        <v>MAT.</v>
      </c>
      <c r="D1106" s="156" t="s">
        <v>1444</v>
      </c>
      <c r="E1106" s="154" t="n">
        <v>0.07477083321</v>
      </c>
      <c r="F1106" s="149" t="n">
        <f aca="false">IF(C1106="MAT.",VLOOKUP(A1106,INSUMOS_AUX!$A$3:$H$813,6,0),0)</f>
        <v>0.01</v>
      </c>
      <c r="G1106" s="149" t="n">
        <f aca="false">IF(C1106="M.O.",VLOOKUP(A1106,INSUMOS_AUX!A:F,6,0),0)</f>
        <v>0</v>
      </c>
    </row>
    <row r="1107" customFormat="false" ht="21" hidden="false" customHeight="false" outlineLevel="0" collapsed="false">
      <c r="A1107" s="154" t="n">
        <v>43465</v>
      </c>
      <c r="B1107" s="155" t="s">
        <v>1458</v>
      </c>
      <c r="C1107" s="148" t="str">
        <f aca="false">VLOOKUP($A1107,INSUMOS_AUX!$A$3:$H$813,3,0)</f>
        <v>MAT.</v>
      </c>
      <c r="D1107" s="156" t="s">
        <v>1444</v>
      </c>
      <c r="E1107" s="154" t="n">
        <v>0.1771125</v>
      </c>
      <c r="F1107" s="149" t="n">
        <f aca="false">IF(C1107="MAT.",VLOOKUP(A1107,INSUMOS_AUX!$A$3:$H$813,6,0),0)</f>
        <v>0.78</v>
      </c>
      <c r="G1107" s="149" t="n">
        <f aca="false">IF(C1107="M.O.",VLOOKUP(A1107,INSUMOS_AUX!A:F,6,0),0)</f>
        <v>0</v>
      </c>
    </row>
    <row r="1108" customFormat="false" ht="21" hidden="false" customHeight="false" outlineLevel="0" collapsed="false">
      <c r="A1108" s="154" t="n">
        <v>43467</v>
      </c>
      <c r="B1108" s="155" t="s">
        <v>1459</v>
      </c>
      <c r="C1108" s="148" t="str">
        <f aca="false">VLOOKUP($A1108,INSUMOS_AUX!$A$3:$H$813,3,0)</f>
        <v>MAT.</v>
      </c>
      <c r="D1108" s="156" t="s">
        <v>1444</v>
      </c>
      <c r="E1108" s="154" t="n">
        <v>0.830425</v>
      </c>
      <c r="F1108" s="149" t="n">
        <f aca="false">IF(C1108="MAT.",VLOOKUP(A1108,INSUMOS_AUX!$A$3:$H$813,6,0),0)</f>
        <v>0.61</v>
      </c>
      <c r="G1108" s="149" t="n">
        <f aca="false">IF(C1108="M.O.",VLOOKUP(A1108,INSUMOS_AUX!A:F,6,0),0)</f>
        <v>0</v>
      </c>
    </row>
    <row r="1109" customFormat="false" ht="21" hidden="false" customHeight="false" outlineLevel="0" collapsed="false">
      <c r="A1109" s="154" t="n">
        <v>37373</v>
      </c>
      <c r="B1109" s="155" t="s">
        <v>1448</v>
      </c>
      <c r="C1109" s="148" t="str">
        <f aca="false">VLOOKUP($A1109,INSUMOS_AUX!$A$3:$H$813,3,0)</f>
        <v>MAT.</v>
      </c>
      <c r="D1109" s="156" t="s">
        <v>1444</v>
      </c>
      <c r="E1109" s="154" t="n">
        <v>2.36645416</v>
      </c>
      <c r="F1109" s="149" t="n">
        <f aca="false">IF(C1109="MAT.",VLOOKUP(A1109,INSUMOS_AUX!$A$3:$H$813,6,0),0)</f>
        <v>0.08</v>
      </c>
      <c r="G1109" s="149" t="n">
        <f aca="false">IF(C1109="M.O.",VLOOKUP(A1109,INSUMOS_AUX!A:F,6,0),0)</f>
        <v>0</v>
      </c>
    </row>
    <row r="1110" customFormat="false" ht="21" hidden="false" customHeight="false" outlineLevel="0" collapsed="false">
      <c r="A1110" s="154" t="n">
        <v>37371</v>
      </c>
      <c r="B1110" s="155" t="s">
        <v>1449</v>
      </c>
      <c r="C1110" s="148" t="str">
        <f aca="false">VLOOKUP($A1110,INSUMOS_AUX!$A$3:$H$813,3,0)</f>
        <v>MAT.</v>
      </c>
      <c r="D1110" s="156" t="s">
        <v>1444</v>
      </c>
      <c r="E1110" s="154" t="n">
        <v>2.36645416</v>
      </c>
      <c r="F1110" s="149" t="n">
        <f aca="false">IF(C1110="MAT.",VLOOKUP(A1110,INSUMOS_AUX!$A$3:$H$813,6,0),0)</f>
        <v>0.59</v>
      </c>
      <c r="G1110" s="149" t="n">
        <f aca="false">IF(C1110="M.O.",VLOOKUP(A1110,INSUMOS_AUX!A:F,6,0),0)</f>
        <v>0</v>
      </c>
    </row>
    <row r="1111" customFormat="false" ht="21" hidden="false" customHeight="false" outlineLevel="0" collapsed="false">
      <c r="A1111" s="154" t="n">
        <v>14618</v>
      </c>
      <c r="B1111" s="155" t="s">
        <v>1592</v>
      </c>
      <c r="C1111" s="148" t="str">
        <f aca="false">VLOOKUP($A1111,INSUMOS_AUX!$A$3:$H$813,3,0)</f>
        <v>MAT.</v>
      </c>
      <c r="D1111" s="156" t="s">
        <v>31</v>
      </c>
      <c r="E1111" s="154" t="n">
        <v>7.197399988128E-006</v>
      </c>
      <c r="F1111" s="149" t="n">
        <f aca="false">IF(C1111="MAT.",VLOOKUP(A1111,INSUMOS_AUX!$A$3:$H$813,6,0),0)</f>
        <v>1283.38</v>
      </c>
      <c r="G1111" s="149" t="n">
        <f aca="false">IF(C1111="M.O.",VLOOKUP(A1111,INSUMOS_AUX!A:F,6,0),0)</f>
        <v>0</v>
      </c>
    </row>
    <row r="1112" customFormat="false" ht="21" hidden="false" customHeight="false" outlineLevel="0" collapsed="false">
      <c r="A1112" s="154" t="n">
        <v>13896</v>
      </c>
      <c r="B1112" s="155" t="s">
        <v>1564</v>
      </c>
      <c r="C1112" s="148" t="str">
        <f aca="false">VLOOKUP($A1112,INSUMOS_AUX!$A$3:$H$813,3,0)</f>
        <v>MAT.</v>
      </c>
      <c r="D1112" s="156" t="s">
        <v>31</v>
      </c>
      <c r="E1112" s="154" t="n">
        <v>5.80023E-006</v>
      </c>
      <c r="F1112" s="149" t="n">
        <f aca="false">IF(C1112="MAT.",VLOOKUP(A1112,INSUMOS_AUX!$A$3:$H$813,6,0),0)</f>
        <v>3390.99</v>
      </c>
      <c r="G1112" s="149" t="n">
        <f aca="false">IF(C1112="M.O.",VLOOKUP(A1112,INSUMOS_AUX!A:F,6,0),0)</f>
        <v>0</v>
      </c>
    </row>
    <row r="1113" customFormat="false" ht="15" hidden="false" customHeight="false" outlineLevel="0" collapsed="false">
      <c r="A1113" s="154" t="n">
        <v>2705</v>
      </c>
      <c r="B1113" s="155" t="s">
        <v>1467</v>
      </c>
      <c r="C1113" s="148" t="str">
        <f aca="false">VLOOKUP($A1113,INSUMOS_AUX!$A$3:$H$813,3,0)</f>
        <v>MAT.</v>
      </c>
      <c r="D1113" s="156" t="s">
        <v>1468</v>
      </c>
      <c r="E1113" s="154" t="n">
        <v>0.0262583333016</v>
      </c>
      <c r="F1113" s="149" t="n">
        <f aca="false">IF(C1113="MAT.",VLOOKUP(A1113,INSUMOS_AUX!$A$3:$H$813,6,0),0)</f>
        <v>0.92</v>
      </c>
      <c r="G1113" s="149" t="n">
        <f aca="false">IF(C1113="M.O.",VLOOKUP(A1113,INSUMOS_AUX!A:F,6,0),0)</f>
        <v>0</v>
      </c>
    </row>
    <row r="1114" customFormat="false" ht="21" hidden="false" customHeight="false" outlineLevel="0" collapsed="false">
      <c r="A1114" s="154" t="n">
        <v>43132</v>
      </c>
      <c r="B1114" s="155" t="s">
        <v>1565</v>
      </c>
      <c r="C1114" s="148" t="str">
        <f aca="false">VLOOKUP($A1114,INSUMOS_AUX!$A$3:$H$813,3,0)</f>
        <v>MAT.</v>
      </c>
      <c r="D1114" s="156" t="s">
        <v>1513</v>
      </c>
      <c r="E1114" s="154" t="n">
        <v>0.0242</v>
      </c>
      <c r="F1114" s="149" t="n">
        <f aca="false">IF(C1114="MAT.",VLOOKUP(A1114,INSUMOS_AUX!$A$3:$H$813,6,0),0)</f>
        <v>28</v>
      </c>
      <c r="G1114" s="149" t="n">
        <f aca="false">IF(C1114="M.O.",VLOOKUP(A1114,INSUMOS_AUX!A:F,6,0),0)</f>
        <v>0</v>
      </c>
    </row>
    <row r="1115" customFormat="false" ht="31.5" hidden="false" customHeight="false" outlineLevel="0" collapsed="false">
      <c r="A1115" s="154" t="n">
        <v>11145</v>
      </c>
      <c r="B1115" s="155" t="s">
        <v>1620</v>
      </c>
      <c r="C1115" s="148" t="str">
        <f aca="false">VLOOKUP($A1115,INSUMOS_AUX!$A$3:$H$813,3,0)</f>
        <v>MAT.</v>
      </c>
      <c r="D1115" s="156" t="s">
        <v>1442</v>
      </c>
      <c r="E1115" s="154" t="n">
        <v>0.1240875</v>
      </c>
      <c r="F1115" s="149" t="n">
        <f aca="false">IF(C1115="MAT.",VLOOKUP(A1115,INSUMOS_AUX!$A$3:$H$813,6,0),0)</f>
        <v>688.16</v>
      </c>
      <c r="G1115" s="149" t="n">
        <f aca="false">IF(C1115="M.O.",VLOOKUP(A1115,INSUMOS_AUX!A:F,6,0),0)</f>
        <v>0</v>
      </c>
    </row>
    <row r="1116" customFormat="false" ht="31.5" hidden="false" customHeight="false" outlineLevel="0" collapsed="false">
      <c r="A1116" s="154" t="n">
        <v>3738</v>
      </c>
      <c r="B1116" s="155" t="s">
        <v>1678</v>
      </c>
      <c r="C1116" s="148" t="str">
        <f aca="false">VLOOKUP($A1116,INSUMOS_AUX!$A$3:$H$813,3,0)</f>
        <v>MAT.</v>
      </c>
      <c r="D1116" s="156" t="s">
        <v>1477</v>
      </c>
      <c r="E1116" s="154" t="n">
        <v>1</v>
      </c>
      <c r="F1116" s="149" t="n">
        <f aca="false">IF(C1116="MAT.",VLOOKUP(A1116,INSUMOS_AUX!$A$3:$H$813,6,0),0)</f>
        <v>63.22</v>
      </c>
      <c r="G1116" s="149" t="n">
        <f aca="false">IF(C1116="M.O.",VLOOKUP(A1116,INSUMOS_AUX!A:F,6,0),0)</f>
        <v>0</v>
      </c>
    </row>
    <row r="1117" customFormat="false" ht="21" hidden="false" customHeight="false" outlineLevel="0" collapsed="false">
      <c r="A1117" s="154" t="n">
        <v>4491</v>
      </c>
      <c r="B1117" s="155" t="s">
        <v>1578</v>
      </c>
      <c r="C1117" s="148" t="str">
        <f aca="false">VLOOKUP($A1117,INSUMOS_AUX!$A$3:$H$813,3,0)</f>
        <v>MAT.</v>
      </c>
      <c r="D1117" s="156" t="s">
        <v>1455</v>
      </c>
      <c r="E1117" s="154" t="n">
        <v>2.6472916623</v>
      </c>
      <c r="F1117" s="149" t="n">
        <f aca="false">IF(C1117="MAT.",VLOOKUP(A1117,INSUMOS_AUX!$A$3:$H$813,6,0),0)</f>
        <v>10.25</v>
      </c>
      <c r="G1117" s="149" t="n">
        <f aca="false">IF(C1117="M.O.",VLOOKUP(A1117,INSUMOS_AUX!A:F,6,0),0)</f>
        <v>0</v>
      </c>
    </row>
    <row r="1118" customFormat="false" ht="15" hidden="false" customHeight="false" outlineLevel="0" collapsed="false">
      <c r="A1118" s="154" t="n">
        <v>5068</v>
      </c>
      <c r="B1118" s="155" t="s">
        <v>1579</v>
      </c>
      <c r="C1118" s="148" t="str">
        <f aca="false">VLOOKUP($A1118,INSUMOS_AUX!$A$3:$H$813,3,0)</f>
        <v>MAT.</v>
      </c>
      <c r="D1118" s="156" t="s">
        <v>1513</v>
      </c>
      <c r="E1118" s="154" t="n">
        <v>0.04647916659</v>
      </c>
      <c r="F1118" s="149" t="n">
        <f aca="false">IF(C1118="MAT.",VLOOKUP(A1118,INSUMOS_AUX!$A$3:$H$813,6,0),0)</f>
        <v>20.34</v>
      </c>
      <c r="G1118" s="149" t="n">
        <f aca="false">IF(C1118="M.O.",VLOOKUP(A1118,INSUMOS_AUX!A:F,6,0),0)</f>
        <v>0</v>
      </c>
    </row>
    <row r="1119" customFormat="false" ht="15" hidden="false" customHeight="false" outlineLevel="0" collapsed="false">
      <c r="A1119" s="154" t="n">
        <v>40304</v>
      </c>
      <c r="B1119" s="155" t="s">
        <v>1626</v>
      </c>
      <c r="C1119" s="148" t="str">
        <f aca="false">VLOOKUP($A1119,INSUMOS_AUX!$A$3:$H$813,3,0)</f>
        <v>MAT.</v>
      </c>
      <c r="D1119" s="156" t="s">
        <v>1513</v>
      </c>
      <c r="E1119" s="154" t="n">
        <v>0.08333333</v>
      </c>
      <c r="F1119" s="149" t="n">
        <f aca="false">IF(C1119="MAT.",VLOOKUP(A1119,INSUMOS_AUX!$A$3:$H$813,6,0),0)</f>
        <v>25.11</v>
      </c>
      <c r="G1119" s="149" t="n">
        <f aca="false">IF(C1119="M.O.",VLOOKUP(A1119,INSUMOS_AUX!A:F,6,0),0)</f>
        <v>0</v>
      </c>
    </row>
    <row r="1120" customFormat="false" ht="31.5" hidden="false" customHeight="false" outlineLevel="0" collapsed="false">
      <c r="A1120" s="154" t="n">
        <v>6193</v>
      </c>
      <c r="B1120" s="155" t="s">
        <v>1584</v>
      </c>
      <c r="C1120" s="148" t="str">
        <f aca="false">VLOOKUP($A1120,INSUMOS_AUX!$A$3:$H$813,3,0)</f>
        <v>MAT.</v>
      </c>
      <c r="D1120" s="156" t="s">
        <v>1455</v>
      </c>
      <c r="E1120" s="154" t="n">
        <v>3.89583333</v>
      </c>
      <c r="F1120" s="149" t="n">
        <f aca="false">IF(C1120="MAT.",VLOOKUP(A1120,INSUMOS_AUX!$A$3:$H$813,6,0),0)</f>
        <v>15.54</v>
      </c>
      <c r="G1120" s="149" t="n">
        <f aca="false">IF(C1120="M.O.",VLOOKUP(A1120,INSUMOS_AUX!A:F,6,0),0)</f>
        <v>0</v>
      </c>
    </row>
    <row r="1121" customFormat="false" ht="31.5" hidden="false" customHeight="false" outlineLevel="0" collapsed="false">
      <c r="A1121" s="154" t="n">
        <v>7155</v>
      </c>
      <c r="B1121" s="155" t="s">
        <v>1679</v>
      </c>
      <c r="C1121" s="148" t="str">
        <f aca="false">VLOOKUP($A1121,INSUMOS_AUX!$A$3:$H$813,3,0)</f>
        <v>MAT.</v>
      </c>
      <c r="D1121" s="156" t="s">
        <v>1477</v>
      </c>
      <c r="E1121" s="154" t="n">
        <v>1.221</v>
      </c>
      <c r="F1121" s="149" t="n">
        <f aca="false">IF(C1121="MAT.",VLOOKUP(A1121,INSUMOS_AUX!$A$3:$H$813,6,0),0)</f>
        <v>17.03</v>
      </c>
      <c r="G1121" s="149" t="n">
        <f aca="false">IF(C1121="M.O.",VLOOKUP(A1121,INSUMOS_AUX!A:F,6,0),0)</f>
        <v>0</v>
      </c>
    </row>
    <row r="1122" customFormat="false" ht="31.5" hidden="false" customHeight="false" outlineLevel="0" collapsed="false">
      <c r="A1122" s="154" t="n">
        <v>42407</v>
      </c>
      <c r="B1122" s="155" t="s">
        <v>1586</v>
      </c>
      <c r="C1122" s="148" t="str">
        <f aca="false">VLOOKUP($A1122,INSUMOS_AUX!$A$3:$H$813,3,0)</f>
        <v>MAT.</v>
      </c>
      <c r="D1122" s="156" t="s">
        <v>1455</v>
      </c>
      <c r="E1122" s="154" t="n">
        <v>1.001</v>
      </c>
      <c r="F1122" s="149" t="n">
        <f aca="false">IF(C1122="MAT.",VLOOKUP(A1122,INSUMOS_AUX!$A$3:$H$813,6,0),0)</f>
        <v>5.57</v>
      </c>
      <c r="G1122" s="149" t="n">
        <f aca="false">IF(C1122="M.O.",VLOOKUP(A1122,INSUMOS_AUX!A:F,6,0),0)</f>
        <v>0</v>
      </c>
    </row>
    <row r="1123" customFormat="false" ht="15" hidden="false" customHeight="false" outlineLevel="0" collapsed="false">
      <c r="A1123" s="154" t="n">
        <v>6114</v>
      </c>
      <c r="B1123" s="155" t="s">
        <v>1588</v>
      </c>
      <c r="C1123" s="148" t="str">
        <f aca="false">VLOOKUP($A1123,INSUMOS_AUX!$A$3:$H$813,3,0)</f>
        <v>M.O.</v>
      </c>
      <c r="D1123" s="156" t="s">
        <v>1444</v>
      </c>
      <c r="E1123" s="154" t="n">
        <v>0.024479268</v>
      </c>
      <c r="F1123" s="149" t="n">
        <f aca="false">IF(C1123="MAT.",VLOOKUP(A1123,INSUMOS_AUX!$A$3:$H$813,6,0),0)</f>
        <v>0</v>
      </c>
      <c r="G1123" s="149" t="n">
        <f aca="false">IF(C1123="M.O.",VLOOKUP(A1123,INSUMOS_AUX!A:F,6,0),0)</f>
        <v>13.26</v>
      </c>
    </row>
    <row r="1124" customFormat="false" ht="15" hidden="false" customHeight="false" outlineLevel="0" collapsed="false">
      <c r="A1124" s="154" t="n">
        <v>378</v>
      </c>
      <c r="B1124" s="155" t="s">
        <v>1589</v>
      </c>
      <c r="C1124" s="148" t="str">
        <f aca="false">VLOOKUP($A1124,INSUMOS_AUX!$A$3:$H$813,3,0)</f>
        <v>M.O.</v>
      </c>
      <c r="D1124" s="156" t="s">
        <v>1444</v>
      </c>
      <c r="E1124" s="154" t="n">
        <v>0.068987028</v>
      </c>
      <c r="F1124" s="149" t="n">
        <f aca="false">IF(C1124="MAT.",VLOOKUP(A1124,INSUMOS_AUX!$A$3:$H$813,6,0),0)</f>
        <v>0</v>
      </c>
      <c r="G1124" s="149" t="n">
        <f aca="false">IF(C1124="M.O.",VLOOKUP(A1124,INSUMOS_AUX!A:F,6,0),0)</f>
        <v>20.22</v>
      </c>
    </row>
    <row r="1125" customFormat="false" ht="15" hidden="false" customHeight="false" outlineLevel="0" collapsed="false">
      <c r="A1125" s="154" t="n">
        <v>6117</v>
      </c>
      <c r="B1125" s="155" t="s">
        <v>1555</v>
      </c>
      <c r="C1125" s="148" t="str">
        <f aca="false">VLOOKUP($A1125,INSUMOS_AUX!$A$3:$H$813,3,0)</f>
        <v>M.O.</v>
      </c>
      <c r="D1125" s="156" t="s">
        <v>1444</v>
      </c>
      <c r="E1125" s="154" t="n">
        <v>0.0430638774289668</v>
      </c>
      <c r="F1125" s="149" t="n">
        <f aca="false">IF(C1125="MAT.",VLOOKUP(A1125,INSUMOS_AUX!$A$3:$H$813,6,0),0)</f>
        <v>0</v>
      </c>
      <c r="G1125" s="149" t="n">
        <f aca="false">IF(C1125="M.O.",VLOOKUP(A1125,INSUMOS_AUX!A:F,6,0),0)</f>
        <v>13.26</v>
      </c>
    </row>
    <row r="1126" customFormat="false" ht="15" hidden="false" customHeight="false" outlineLevel="0" collapsed="false">
      <c r="A1126" s="154" t="n">
        <v>1213</v>
      </c>
      <c r="B1126" s="155" t="s">
        <v>1516</v>
      </c>
      <c r="C1126" s="148" t="str">
        <f aca="false">VLOOKUP($A1126,INSUMOS_AUX!$A$3:$H$813,3,0)</f>
        <v>M.O.</v>
      </c>
      <c r="D1126" s="156" t="s">
        <v>1444</v>
      </c>
      <c r="E1126" s="154" t="n">
        <v>1.25603764</v>
      </c>
      <c r="F1126" s="149" t="n">
        <f aca="false">IF(C1126="MAT.",VLOOKUP(A1126,INSUMOS_AUX!$A$3:$H$813,6,0),0)</f>
        <v>0</v>
      </c>
      <c r="G1126" s="149" t="n">
        <f aca="false">IF(C1126="M.O.",VLOOKUP(A1126,INSUMOS_AUX!A:F,6,0),0)</f>
        <v>20.22</v>
      </c>
    </row>
    <row r="1127" customFormat="false" ht="21" hidden="false" customHeight="false" outlineLevel="0" collapsed="false">
      <c r="A1127" s="154" t="n">
        <v>4230</v>
      </c>
      <c r="B1127" s="155" t="s">
        <v>1597</v>
      </c>
      <c r="C1127" s="148" t="str">
        <f aca="false">VLOOKUP($A1127,INSUMOS_AUX!$A$3:$H$813,3,0)</f>
        <v>M.O.</v>
      </c>
      <c r="D1127" s="156" t="s">
        <v>1444</v>
      </c>
      <c r="E1127" s="154" t="n">
        <v>0.0756336886252434</v>
      </c>
      <c r="F1127" s="149" t="n">
        <f aca="false">IF(C1127="MAT.",VLOOKUP(A1127,INSUMOS_AUX!$A$3:$H$813,6,0),0)</f>
        <v>0</v>
      </c>
      <c r="G1127" s="149" t="n">
        <f aca="false">IF(C1127="M.O.",VLOOKUP(A1127,INSUMOS_AUX!A:F,6,0),0)</f>
        <v>14.53</v>
      </c>
    </row>
    <row r="1128" customFormat="false" ht="15" hidden="false" customHeight="false" outlineLevel="0" collapsed="false">
      <c r="A1128" s="154" t="n">
        <v>4750</v>
      </c>
      <c r="B1128" s="155" t="s">
        <v>1463</v>
      </c>
      <c r="C1128" s="148" t="str">
        <f aca="false">VLOOKUP($A1128,INSUMOS_AUX!$A$3:$H$813,3,0)</f>
        <v>M.O.</v>
      </c>
      <c r="D1128" s="156" t="s">
        <v>1444</v>
      </c>
      <c r="E1128" s="154" t="n">
        <v>0.086508405</v>
      </c>
      <c r="F1128" s="149" t="n">
        <f aca="false">IF(C1128="MAT.",VLOOKUP(A1128,INSUMOS_AUX!$A$3:$H$813,6,0),0)</f>
        <v>0</v>
      </c>
      <c r="G1128" s="149" t="n">
        <f aca="false">IF(C1128="M.O.",VLOOKUP(A1128,INSUMOS_AUX!A:F,6,0),0)</f>
        <v>20.22</v>
      </c>
    </row>
    <row r="1129" customFormat="false" ht="15" hidden="false" customHeight="false" outlineLevel="0" collapsed="false">
      <c r="A1129" s="154" t="n">
        <v>6111</v>
      </c>
      <c r="B1129" s="155" t="s">
        <v>1464</v>
      </c>
      <c r="C1129" s="148" t="str">
        <f aca="false">VLOOKUP($A1129,INSUMOS_AUX!$A$3:$H$813,3,0)</f>
        <v>M.O.</v>
      </c>
      <c r="D1129" s="156" t="s">
        <v>1444</v>
      </c>
      <c r="E1129" s="154" t="n">
        <v>0.84803001</v>
      </c>
      <c r="F1129" s="149" t="n">
        <f aca="false">IF(C1129="MAT.",VLOOKUP(A1129,INSUMOS_AUX!$A$3:$H$813,6,0),0)</f>
        <v>0</v>
      </c>
      <c r="G1129" s="149" t="n">
        <f aca="false">IF(C1129="M.O.",VLOOKUP(A1129,INSUMOS_AUX!A:F,6,0),0)</f>
        <v>12.95</v>
      </c>
    </row>
    <row r="1130" customFormat="false" ht="15" hidden="false" customHeight="false" outlineLevel="0" collapsed="false">
      <c r="A1130" s="150" t="s">
        <v>198</v>
      </c>
      <c r="B1130" s="151" t="s">
        <v>1683</v>
      </c>
      <c r="C1130" s="152" t="s">
        <v>59</v>
      </c>
      <c r="D1130" s="152" t="s">
        <v>1477</v>
      </c>
      <c r="E1130" s="150"/>
      <c r="F1130" s="153" t="n">
        <f aca="false">(SUMPRODUCT($E1131:$E1141,F1131:F1141))*1</f>
        <v>7.944602</v>
      </c>
      <c r="G1130" s="153" t="n">
        <f aca="false">(SUMPRODUCT($E1131:$E1141,G1131:G1141))*1</f>
        <v>8.0831748228</v>
      </c>
    </row>
    <row r="1131" customFormat="false" ht="21" hidden="false" customHeight="false" outlineLevel="0" collapsed="false">
      <c r="A1131" s="154" t="n">
        <v>37370</v>
      </c>
      <c r="B1131" s="155" t="s">
        <v>1443</v>
      </c>
      <c r="C1131" s="148" t="str">
        <f aca="false">VLOOKUP($A1131,INSUMOS_AUX!$A$3:$H$813,3,0)</f>
        <v>MAT.</v>
      </c>
      <c r="D1131" s="156" t="s">
        <v>1444</v>
      </c>
      <c r="E1131" s="154" t="n">
        <v>0.60985</v>
      </c>
      <c r="F1131" s="149" t="n">
        <f aca="false">IF(C1131="MAT.",VLOOKUP(A1131,INSUMOS_AUX!$A$3:$H$813,6,0),0)</f>
        <v>3.32</v>
      </c>
      <c r="G1131" s="149" t="n">
        <f aca="false">IF(C1131="M.O.",VLOOKUP(A1131,INSUMOS_AUX!A:F,6,0),0)</f>
        <v>0</v>
      </c>
    </row>
    <row r="1132" customFormat="false" ht="21" hidden="false" customHeight="false" outlineLevel="0" collapsed="false">
      <c r="A1132" s="154" t="n">
        <v>43489</v>
      </c>
      <c r="B1132" s="155" t="s">
        <v>1456</v>
      </c>
      <c r="C1132" s="148" t="str">
        <f aca="false">VLOOKUP($A1132,INSUMOS_AUX!$A$3:$H$813,3,0)</f>
        <v>MAT.</v>
      </c>
      <c r="D1132" s="156" t="s">
        <v>1444</v>
      </c>
      <c r="E1132" s="154" t="n">
        <v>0.00245</v>
      </c>
      <c r="F1132" s="149" t="n">
        <f aca="false">IF(C1132="MAT.",VLOOKUP(A1132,INSUMOS_AUX!$A$3:$H$813,6,0),0)</f>
        <v>1.31</v>
      </c>
      <c r="G1132" s="149" t="n">
        <f aca="false">IF(C1132="M.O.",VLOOKUP(A1132,INSUMOS_AUX!A:F,6,0),0)</f>
        <v>0</v>
      </c>
    </row>
    <row r="1133" customFormat="false" ht="21" hidden="false" customHeight="false" outlineLevel="0" collapsed="false">
      <c r="A1133" s="154" t="n">
        <v>43491</v>
      </c>
      <c r="B1133" s="155" t="s">
        <v>1457</v>
      </c>
      <c r="C1133" s="148" t="str">
        <f aca="false">VLOOKUP($A1133,INSUMOS_AUX!$A$3:$H$813,3,0)</f>
        <v>MAT.</v>
      </c>
      <c r="D1133" s="156" t="s">
        <v>1444</v>
      </c>
      <c r="E1133" s="154" t="n">
        <v>0.6074</v>
      </c>
      <c r="F1133" s="149" t="n">
        <f aca="false">IF(C1133="MAT.",VLOOKUP(A1133,INSUMOS_AUX!$A$3:$H$813,6,0),0)</f>
        <v>1.39</v>
      </c>
      <c r="G1133" s="149" t="n">
        <f aca="false">IF(C1133="M.O.",VLOOKUP(A1133,INSUMOS_AUX!A:F,6,0),0)</f>
        <v>0</v>
      </c>
    </row>
    <row r="1134" customFormat="false" ht="21" hidden="false" customHeight="false" outlineLevel="0" collapsed="false">
      <c r="A1134" s="154" t="n">
        <v>37372</v>
      </c>
      <c r="B1134" s="155" t="s">
        <v>1446</v>
      </c>
      <c r="C1134" s="148" t="str">
        <f aca="false">VLOOKUP($A1134,INSUMOS_AUX!$A$3:$H$813,3,0)</f>
        <v>MAT.</v>
      </c>
      <c r="D1134" s="156" t="s">
        <v>1444</v>
      </c>
      <c r="E1134" s="154" t="n">
        <v>0.60985</v>
      </c>
      <c r="F1134" s="149" t="n">
        <f aca="false">IF(C1134="MAT.",VLOOKUP(A1134,INSUMOS_AUX!$A$3:$H$813,6,0),0)</f>
        <v>1.43</v>
      </c>
      <c r="G1134" s="149" t="n">
        <f aca="false">IF(C1134="M.O.",VLOOKUP(A1134,INSUMOS_AUX!A:F,6,0),0)</f>
        <v>0</v>
      </c>
    </row>
    <row r="1135" customFormat="false" ht="21" hidden="false" customHeight="false" outlineLevel="0" collapsed="false">
      <c r="A1135" s="154" t="n">
        <v>43465</v>
      </c>
      <c r="B1135" s="155" t="s">
        <v>1458</v>
      </c>
      <c r="C1135" s="148" t="str">
        <f aca="false">VLOOKUP($A1135,INSUMOS_AUX!$A$3:$H$813,3,0)</f>
        <v>MAT.</v>
      </c>
      <c r="D1135" s="156" t="s">
        <v>1444</v>
      </c>
      <c r="E1135" s="154" t="n">
        <v>0.00245</v>
      </c>
      <c r="F1135" s="149" t="n">
        <f aca="false">IF(C1135="MAT.",VLOOKUP(A1135,INSUMOS_AUX!$A$3:$H$813,6,0),0)</f>
        <v>0.78</v>
      </c>
      <c r="G1135" s="149" t="n">
        <f aca="false">IF(C1135="M.O.",VLOOKUP(A1135,INSUMOS_AUX!A:F,6,0),0)</f>
        <v>0</v>
      </c>
    </row>
    <row r="1136" customFormat="false" ht="21" hidden="false" customHeight="false" outlineLevel="0" collapsed="false">
      <c r="A1136" s="154" t="n">
        <v>43467</v>
      </c>
      <c r="B1136" s="155" t="s">
        <v>1459</v>
      </c>
      <c r="C1136" s="148" t="str">
        <f aca="false">VLOOKUP($A1136,INSUMOS_AUX!$A$3:$H$813,3,0)</f>
        <v>MAT.</v>
      </c>
      <c r="D1136" s="156" t="s">
        <v>1444</v>
      </c>
      <c r="E1136" s="154" t="n">
        <v>0.6074</v>
      </c>
      <c r="F1136" s="149" t="n">
        <f aca="false">IF(C1136="MAT.",VLOOKUP(A1136,INSUMOS_AUX!$A$3:$H$813,6,0),0)</f>
        <v>0.61</v>
      </c>
      <c r="G1136" s="149" t="n">
        <f aca="false">IF(C1136="M.O.",VLOOKUP(A1136,INSUMOS_AUX!A:F,6,0),0)</f>
        <v>0</v>
      </c>
    </row>
    <row r="1137" customFormat="false" ht="21" hidden="false" customHeight="false" outlineLevel="0" collapsed="false">
      <c r="A1137" s="154" t="n">
        <v>37373</v>
      </c>
      <c r="B1137" s="155" t="s">
        <v>1448</v>
      </c>
      <c r="C1137" s="148" t="s">
        <v>59</v>
      </c>
      <c r="D1137" s="156" t="s">
        <v>1444</v>
      </c>
      <c r="E1137" s="154" t="n">
        <v>0.60985</v>
      </c>
      <c r="F1137" s="149" t="n">
        <f aca="false">IF(C1137="MAT.",VLOOKUP(A1137,INSUMOS_AUX!$A$3:$H$813,6,0),0)</f>
        <v>0</v>
      </c>
      <c r="G1137" s="149" t="n">
        <f aca="false">IF(C1137="M.O.",VLOOKUP(A1137,INSUMOS_AUX!A:F,6,0),0)</f>
        <v>0</v>
      </c>
    </row>
    <row r="1138" customFormat="false" ht="21" hidden="false" customHeight="false" outlineLevel="0" collapsed="false">
      <c r="A1138" s="154" t="n">
        <v>37371</v>
      </c>
      <c r="B1138" s="155" t="s">
        <v>1449</v>
      </c>
      <c r="C1138" s="148" t="str">
        <f aca="false">VLOOKUP($A1138,INSUMOS_AUX!$A$3:$H$813,3,0)</f>
        <v>MAT.</v>
      </c>
      <c r="D1138" s="156" t="s">
        <v>1444</v>
      </c>
      <c r="E1138" s="154" t="n">
        <v>0.60985</v>
      </c>
      <c r="F1138" s="149" t="n">
        <f aca="false">IF(C1138="MAT.",VLOOKUP(A1138,INSUMOS_AUX!$A$3:$H$813,6,0),0)</f>
        <v>0.59</v>
      </c>
      <c r="G1138" s="149" t="n">
        <f aca="false">IF(C1138="M.O.",VLOOKUP(A1138,INSUMOS_AUX!A:F,6,0),0)</f>
        <v>0</v>
      </c>
    </row>
    <row r="1139" customFormat="false" ht="21" hidden="false" customHeight="false" outlineLevel="0" collapsed="false">
      <c r="A1139" s="154" t="n">
        <v>4013</v>
      </c>
      <c r="B1139" s="155" t="s">
        <v>1684</v>
      </c>
      <c r="C1139" s="148" t="str">
        <f aca="false">VLOOKUP($A1139,INSUMOS_AUX!$A$3:$H$813,3,0)</f>
        <v>MAT.</v>
      </c>
      <c r="D1139" s="156" t="s">
        <v>1477</v>
      </c>
      <c r="E1139" s="154" t="n">
        <v>0.60525</v>
      </c>
      <c r="F1139" s="149" t="n">
        <f aca="false">IF(C1139="MAT.",VLOOKUP(A1139,INSUMOS_AUX!$A$3:$H$813,6,0),0)</f>
        <v>5.73</v>
      </c>
      <c r="G1139" s="149" t="n">
        <f aca="false">IF(C1139="M.O.",VLOOKUP(A1139,INSUMOS_AUX!A:F,6,0),0)</f>
        <v>0</v>
      </c>
    </row>
    <row r="1140" customFormat="false" ht="15" hidden="false" customHeight="false" outlineLevel="0" collapsed="false">
      <c r="A1140" s="154" t="n">
        <v>4750</v>
      </c>
      <c r="B1140" s="155" t="s">
        <v>1463</v>
      </c>
      <c r="C1140" s="148" t="str">
        <f aca="false">VLOOKUP($A1140,INSUMOS_AUX!$A$3:$H$813,3,0)</f>
        <v>M.O.</v>
      </c>
      <c r="D1140" s="156" t="s">
        <v>1444</v>
      </c>
      <c r="E1140" s="154" t="n">
        <v>0.00250194</v>
      </c>
      <c r="F1140" s="149" t="n">
        <f aca="false">IF(C1140="MAT.",VLOOKUP(A1140,INSUMOS_AUX!$A$3:$H$813,6,0),0)</f>
        <v>0</v>
      </c>
      <c r="G1140" s="149" t="n">
        <f aca="false">IF(C1140="M.O.",VLOOKUP(A1140,INSUMOS_AUX!A:F,6,0),0)</f>
        <v>20.22</v>
      </c>
    </row>
    <row r="1141" customFormat="false" ht="15" hidden="false" customHeight="false" outlineLevel="0" collapsed="false">
      <c r="A1141" s="154" t="n">
        <v>6111</v>
      </c>
      <c r="B1141" s="155" t="s">
        <v>1464</v>
      </c>
      <c r="C1141" s="148" t="str">
        <f aca="false">VLOOKUP($A1141,INSUMOS_AUX!$A$3:$H$813,3,0)</f>
        <v>M.O.</v>
      </c>
      <c r="D1141" s="156" t="s">
        <v>1444</v>
      </c>
      <c r="E1141" s="154" t="n">
        <v>0.62027688</v>
      </c>
      <c r="F1141" s="149" t="n">
        <f aca="false">IF(C1141="MAT.",VLOOKUP(A1141,INSUMOS_AUX!$A$3:$H$813,6,0),0)</f>
        <v>0</v>
      </c>
      <c r="G1141" s="149" t="n">
        <f aca="false">IF(C1141="M.O.",VLOOKUP(A1141,INSUMOS_AUX!A:F,6,0),0)</f>
        <v>12.95</v>
      </c>
    </row>
    <row r="1142" customFormat="false" ht="31.5" hidden="false" customHeight="false" outlineLevel="0" collapsed="false">
      <c r="A1142" s="150" t="n">
        <v>92510</v>
      </c>
      <c r="B1142" s="151" t="s">
        <v>1685</v>
      </c>
      <c r="C1142" s="152" t="s">
        <v>59</v>
      </c>
      <c r="D1142" s="152" t="s">
        <v>1477</v>
      </c>
      <c r="E1142" s="150"/>
      <c r="F1142" s="153" t="n">
        <f aca="false">(SUMPRODUCT($E1143:$E1159,F1143:F1159))*1</f>
        <v>56.4596663794103</v>
      </c>
      <c r="G1142" s="153" t="n">
        <f aca="false">(SUMPRODUCT($E1143:$E1159,G1143:G1159))*1</f>
        <v>16.0736668984338</v>
      </c>
    </row>
    <row r="1143" customFormat="false" ht="21" hidden="false" customHeight="false" outlineLevel="0" collapsed="false">
      <c r="A1143" s="154" t="n">
        <v>37370</v>
      </c>
      <c r="B1143" s="155" t="s">
        <v>1443</v>
      </c>
      <c r="C1143" s="148" t="str">
        <f aca="false">VLOOKUP($A1143,INSUMOS_AUX!$A$3:$H$813,3,0)</f>
        <v>MAT.</v>
      </c>
      <c r="D1143" s="156" t="s">
        <v>1444</v>
      </c>
      <c r="E1143" s="154" t="n">
        <v>0.834349</v>
      </c>
      <c r="F1143" s="149" t="n">
        <f aca="false">IF(C1143="MAT.",VLOOKUP(A1143,INSUMOS_AUX!$A$3:$H$813,6,0),0)</f>
        <v>3.32</v>
      </c>
      <c r="G1143" s="149" t="n">
        <f aca="false">IF(C1143="M.O.",VLOOKUP(A1143,INSUMOS_AUX!A:F,6,0),0)</f>
        <v>0</v>
      </c>
    </row>
    <row r="1144" customFormat="false" ht="21" hidden="false" customHeight="false" outlineLevel="0" collapsed="false">
      <c r="A1144" s="154" t="n">
        <v>43483</v>
      </c>
      <c r="B1144" s="155" t="s">
        <v>1486</v>
      </c>
      <c r="C1144" s="148" t="str">
        <f aca="false">VLOOKUP($A1144,INSUMOS_AUX!$A$3:$H$813,3,0)</f>
        <v>MAT.</v>
      </c>
      <c r="D1144" s="156" t="s">
        <v>1444</v>
      </c>
      <c r="E1144" s="154" t="n">
        <v>0.81877</v>
      </c>
      <c r="F1144" s="149" t="n">
        <f aca="false">IF(C1144="MAT.",VLOOKUP(A1144,INSUMOS_AUX!$A$3:$H$813,6,0),0)</f>
        <v>1.43</v>
      </c>
      <c r="G1144" s="149" t="n">
        <f aca="false">IF(C1144="M.O.",VLOOKUP(A1144,INSUMOS_AUX!A:F,6,0),0)</f>
        <v>0</v>
      </c>
    </row>
    <row r="1145" customFormat="false" ht="21" hidden="false" customHeight="false" outlineLevel="0" collapsed="false">
      <c r="A1145" s="154" t="n">
        <v>43488</v>
      </c>
      <c r="B1145" s="155" t="s">
        <v>1445</v>
      </c>
      <c r="C1145" s="148" t="str">
        <f aca="false">VLOOKUP($A1145,INSUMOS_AUX!$A$3:$H$813,3,0)</f>
        <v>MAT.</v>
      </c>
      <c r="D1145" s="156" t="s">
        <v>1444</v>
      </c>
      <c r="E1145" s="154" t="n">
        <v>0.015579</v>
      </c>
      <c r="F1145" s="149" t="n">
        <f aca="false">IF(C1145="MAT.",VLOOKUP(A1145,INSUMOS_AUX!$A$3:$H$813,6,0),0)</f>
        <v>0.89</v>
      </c>
      <c r="G1145" s="149" t="n">
        <f aca="false">IF(C1145="M.O.",VLOOKUP(A1145,INSUMOS_AUX!A:F,6,0),0)</f>
        <v>0</v>
      </c>
    </row>
    <row r="1146" customFormat="false" ht="21" hidden="false" customHeight="false" outlineLevel="0" collapsed="false">
      <c r="A1146" s="154" t="n">
        <v>37372</v>
      </c>
      <c r="B1146" s="155" t="s">
        <v>1446</v>
      </c>
      <c r="C1146" s="148" t="str">
        <f aca="false">VLOOKUP($A1146,INSUMOS_AUX!$A$3:$H$813,3,0)</f>
        <v>MAT.</v>
      </c>
      <c r="D1146" s="156" t="s">
        <v>1444</v>
      </c>
      <c r="E1146" s="154" t="n">
        <v>0.834349</v>
      </c>
      <c r="F1146" s="149" t="n">
        <f aca="false">IF(C1146="MAT.",VLOOKUP(A1146,INSUMOS_AUX!$A$3:$H$813,6,0),0)</f>
        <v>1.43</v>
      </c>
      <c r="G1146" s="149" t="n">
        <f aca="false">IF(C1146="M.O.",VLOOKUP(A1146,INSUMOS_AUX!A:F,6,0),0)</f>
        <v>0</v>
      </c>
    </row>
    <row r="1147" customFormat="false" ht="21" hidden="false" customHeight="false" outlineLevel="0" collapsed="false">
      <c r="A1147" s="154" t="n">
        <v>43459</v>
      </c>
      <c r="B1147" s="155" t="s">
        <v>1487</v>
      </c>
      <c r="C1147" s="148" t="str">
        <f aca="false">VLOOKUP($A1147,INSUMOS_AUX!$A$3:$H$813,3,0)</f>
        <v>MAT.</v>
      </c>
      <c r="D1147" s="156" t="s">
        <v>1444</v>
      </c>
      <c r="E1147" s="154" t="n">
        <v>0.81877</v>
      </c>
      <c r="F1147" s="149" t="n">
        <f aca="false">IF(C1147="MAT.",VLOOKUP(A1147,INSUMOS_AUX!$A$3:$H$813,6,0),0)</f>
        <v>0.44</v>
      </c>
      <c r="G1147" s="149" t="n">
        <f aca="false">IF(C1147="M.O.",VLOOKUP(A1147,INSUMOS_AUX!A:F,6,0),0)</f>
        <v>0</v>
      </c>
    </row>
    <row r="1148" customFormat="false" ht="21" hidden="false" customHeight="false" outlineLevel="0" collapsed="false">
      <c r="A1148" s="154" t="n">
        <v>43464</v>
      </c>
      <c r="B1148" s="155" t="s">
        <v>1447</v>
      </c>
      <c r="C1148" s="148" t="str">
        <f aca="false">VLOOKUP($A1148,INSUMOS_AUX!$A$3:$H$813,3,0)</f>
        <v>MAT.</v>
      </c>
      <c r="D1148" s="156" t="s">
        <v>1444</v>
      </c>
      <c r="E1148" s="154" t="n">
        <v>0.015579</v>
      </c>
      <c r="F1148" s="149" t="n">
        <f aca="false">IF(C1148="MAT.",VLOOKUP(A1148,INSUMOS_AUX!$A$3:$H$813,6,0),0)</f>
        <v>0.01</v>
      </c>
      <c r="G1148" s="149" t="n">
        <f aca="false">IF(C1148="M.O.",VLOOKUP(A1148,INSUMOS_AUX!A:F,6,0),0)</f>
        <v>0</v>
      </c>
    </row>
    <row r="1149" customFormat="false" ht="21" hidden="false" customHeight="false" outlineLevel="0" collapsed="false">
      <c r="A1149" s="154" t="n">
        <v>37373</v>
      </c>
      <c r="B1149" s="155" t="s">
        <v>1448</v>
      </c>
      <c r="C1149" s="148" t="str">
        <f aca="false">VLOOKUP($A1149,INSUMOS_AUX!$A$3:$H$813,3,0)</f>
        <v>MAT.</v>
      </c>
      <c r="D1149" s="156" t="s">
        <v>1444</v>
      </c>
      <c r="E1149" s="154" t="n">
        <v>0.834349</v>
      </c>
      <c r="F1149" s="149" t="n">
        <f aca="false">IF(C1149="MAT.",VLOOKUP(A1149,INSUMOS_AUX!$A$3:$H$813,6,0),0)</f>
        <v>0.08</v>
      </c>
      <c r="G1149" s="149" t="n">
        <f aca="false">IF(C1149="M.O.",VLOOKUP(A1149,INSUMOS_AUX!A:F,6,0),0)</f>
        <v>0</v>
      </c>
    </row>
    <row r="1150" customFormat="false" ht="21" hidden="false" customHeight="false" outlineLevel="0" collapsed="false">
      <c r="A1150" s="154" t="n">
        <v>37371</v>
      </c>
      <c r="B1150" s="155" t="s">
        <v>1449</v>
      </c>
      <c r="C1150" s="148" t="str">
        <f aca="false">VLOOKUP($A1150,INSUMOS_AUX!$A$3:$H$813,3,0)</f>
        <v>MAT.</v>
      </c>
      <c r="D1150" s="156" t="s">
        <v>1444</v>
      </c>
      <c r="E1150" s="154" t="n">
        <v>0.834349</v>
      </c>
      <c r="F1150" s="149" t="n">
        <f aca="false">IF(C1150="MAT.",VLOOKUP(A1150,INSUMOS_AUX!$A$3:$H$813,6,0),0)</f>
        <v>0.59</v>
      </c>
      <c r="G1150" s="149" t="n">
        <f aca="false">IF(C1150="M.O.",VLOOKUP(A1150,INSUMOS_AUX!A:F,6,0),0)</f>
        <v>0</v>
      </c>
    </row>
    <row r="1151" customFormat="false" ht="31.5" hidden="false" customHeight="false" outlineLevel="0" collapsed="false">
      <c r="A1151" s="154" t="n">
        <v>10749</v>
      </c>
      <c r="B1151" s="155" t="s">
        <v>1676</v>
      </c>
      <c r="C1151" s="148" t="str">
        <f aca="false">VLOOKUP($A1151,INSUMOS_AUX!$A$3:$H$813,3,0)</f>
        <v>MAT.</v>
      </c>
      <c r="D1151" s="156" t="s">
        <v>1638</v>
      </c>
      <c r="E1151" s="154" t="n">
        <v>0.397</v>
      </c>
      <c r="F1151" s="149" t="n">
        <f aca="false">IF(C1151="MAT.",VLOOKUP(A1151,INSUMOS_AUX!$A$3:$H$813,6,0),0)</f>
        <v>26.62</v>
      </c>
      <c r="G1151" s="149" t="n">
        <f aca="false">IF(C1151="M.O.",VLOOKUP(A1151,INSUMOS_AUX!A:F,6,0),0)</f>
        <v>0</v>
      </c>
    </row>
    <row r="1152" customFormat="false" ht="21" hidden="false" customHeight="false" outlineLevel="0" collapsed="false">
      <c r="A1152" s="154" t="n">
        <v>14618</v>
      </c>
      <c r="B1152" s="155" t="s">
        <v>1592</v>
      </c>
      <c r="C1152" s="148" t="str">
        <f aca="false">VLOOKUP($A1152,INSUMOS_AUX!$A$3:$H$813,3,0)</f>
        <v>MAT.</v>
      </c>
      <c r="D1152" s="156" t="s">
        <v>31</v>
      </c>
      <c r="E1152" s="154" t="n">
        <v>1.4965072E-006</v>
      </c>
      <c r="F1152" s="149" t="n">
        <f aca="false">IF(C1152="MAT.",VLOOKUP(A1152,INSUMOS_AUX!$A$3:$H$813,6,0),0)</f>
        <v>1283.38</v>
      </c>
      <c r="G1152" s="149" t="n">
        <f aca="false">IF(C1152="M.O.",VLOOKUP(A1152,INSUMOS_AUX!A:F,6,0),0)</f>
        <v>0</v>
      </c>
    </row>
    <row r="1153" customFormat="false" ht="15" hidden="false" customHeight="false" outlineLevel="0" collapsed="false">
      <c r="A1153" s="154" t="n">
        <v>2705</v>
      </c>
      <c r="B1153" s="155" t="s">
        <v>1467</v>
      </c>
      <c r="C1153" s="148" t="str">
        <f aca="false">VLOOKUP($A1153,INSUMOS_AUX!$A$3:$H$813,3,0)</f>
        <v>MAT.</v>
      </c>
      <c r="D1153" s="156" t="s">
        <v>1468</v>
      </c>
      <c r="E1153" s="154" t="n">
        <v>0.0039236</v>
      </c>
      <c r="F1153" s="149" t="n">
        <f aca="false">IF(C1153="MAT.",VLOOKUP(A1153,INSUMOS_AUX!$A$3:$H$813,6,0),0)</f>
        <v>0.92</v>
      </c>
      <c r="G1153" s="149" t="n">
        <f aca="false">IF(C1153="M.O.",VLOOKUP(A1153,INSUMOS_AUX!A:F,6,0),0)</f>
        <v>0</v>
      </c>
    </row>
    <row r="1154" customFormat="false" ht="31.5" hidden="false" customHeight="false" outlineLevel="0" collapsed="false">
      <c r="A1154" s="154" t="n">
        <v>1358</v>
      </c>
      <c r="B1154" s="155" t="s">
        <v>1641</v>
      </c>
      <c r="C1154" s="148" t="str">
        <f aca="false">VLOOKUP($A1154,INSUMOS_AUX!$A$3:$H$813,3,0)</f>
        <v>MAT.</v>
      </c>
      <c r="D1154" s="156" t="s">
        <v>1477</v>
      </c>
      <c r="E1154" s="154" t="n">
        <v>0.60585</v>
      </c>
      <c r="F1154" s="149" t="n">
        <f aca="false">IF(C1154="MAT.",VLOOKUP(A1154,INSUMOS_AUX!$A$3:$H$813,6,0),0)</f>
        <v>57.71</v>
      </c>
      <c r="G1154" s="149" t="n">
        <f aca="false">IF(C1154="M.O.",VLOOKUP(A1154,INSUMOS_AUX!A:F,6,0),0)</f>
        <v>0</v>
      </c>
    </row>
    <row r="1155" customFormat="false" ht="21" hidden="false" customHeight="false" outlineLevel="0" collapsed="false">
      <c r="A1155" s="154" t="n">
        <v>2692</v>
      </c>
      <c r="B1155" s="155" t="s">
        <v>1570</v>
      </c>
      <c r="C1155" s="148" t="str">
        <f aca="false">VLOOKUP($A1155,INSUMOS_AUX!$A$3:$H$813,3,0)</f>
        <v>MAT.</v>
      </c>
      <c r="D1155" s="156" t="s">
        <v>1452</v>
      </c>
      <c r="E1155" s="154" t="n">
        <v>0.01</v>
      </c>
      <c r="F1155" s="149" t="n">
        <f aca="false">IF(C1155="MAT.",VLOOKUP(A1155,INSUMOS_AUX!$A$3:$H$813,6,0),0)</f>
        <v>6.52</v>
      </c>
      <c r="G1155" s="149" t="n">
        <f aca="false">IF(C1155="M.O.",VLOOKUP(A1155,INSUMOS_AUX!A:F,6,0),0)</f>
        <v>0</v>
      </c>
    </row>
    <row r="1156" customFormat="false" ht="21" hidden="false" customHeight="false" outlineLevel="0" collapsed="false">
      <c r="A1156" s="154" t="n">
        <v>40270</v>
      </c>
      <c r="B1156" s="155" t="s">
        <v>1686</v>
      </c>
      <c r="C1156" s="148" t="str">
        <f aca="false">VLOOKUP($A1156,INSUMOS_AUX!$A$3:$H$813,3,0)</f>
        <v>MAT.</v>
      </c>
      <c r="D1156" s="156" t="s">
        <v>1455</v>
      </c>
      <c r="E1156" s="154" t="n">
        <v>0.038</v>
      </c>
      <c r="F1156" s="149" t="n">
        <f aca="false">IF(C1156="MAT.",VLOOKUP(A1156,INSUMOS_AUX!$A$3:$H$813,6,0),0)</f>
        <v>126.05</v>
      </c>
      <c r="G1156" s="149" t="n">
        <f aca="false">IF(C1156="M.O.",VLOOKUP(A1156,INSUMOS_AUX!A:F,6,0),0)</f>
        <v>0</v>
      </c>
    </row>
    <row r="1157" customFormat="false" ht="15" hidden="false" customHeight="false" outlineLevel="0" collapsed="false">
      <c r="A1157" s="154" t="n">
        <v>6117</v>
      </c>
      <c r="B1157" s="155" t="s">
        <v>1555</v>
      </c>
      <c r="C1157" s="148" t="str">
        <f aca="false">VLOOKUP($A1157,INSUMOS_AUX!$A$3:$H$813,3,0)</f>
        <v>M.O.</v>
      </c>
      <c r="D1157" s="156" t="s">
        <v>1444</v>
      </c>
      <c r="E1157" s="154" t="n">
        <v>0.1307873426</v>
      </c>
      <c r="F1157" s="149" t="n">
        <f aca="false">IF(C1157="MAT.",VLOOKUP(A1157,INSUMOS_AUX!$A$3:$H$813,6,0),0)</f>
        <v>0</v>
      </c>
      <c r="G1157" s="149" t="n">
        <f aca="false">IF(C1157="M.O.",VLOOKUP(A1157,INSUMOS_AUX!A:F,6,0),0)</f>
        <v>13.26</v>
      </c>
    </row>
    <row r="1158" customFormat="false" ht="15" hidden="false" customHeight="false" outlineLevel="0" collapsed="false">
      <c r="A1158" s="154" t="n">
        <v>1213</v>
      </c>
      <c r="B1158" s="155" t="s">
        <v>1516</v>
      </c>
      <c r="C1158" s="148" t="str">
        <f aca="false">VLOOKUP($A1158,INSUMOS_AUX!$A$3:$H$813,3,0)</f>
        <v>M.O.</v>
      </c>
      <c r="D1158" s="156" t="s">
        <v>1444</v>
      </c>
      <c r="E1158" s="154" t="n">
        <v>0.6978462729</v>
      </c>
      <c r="F1158" s="149" t="n">
        <f aca="false">IF(C1158="MAT.",VLOOKUP(A1158,INSUMOS_AUX!$A$3:$H$813,6,0),0)</f>
        <v>0</v>
      </c>
      <c r="G1158" s="149" t="n">
        <f aca="false">IF(C1158="M.O.",VLOOKUP(A1158,INSUMOS_AUX!A:F,6,0),0)</f>
        <v>20.22</v>
      </c>
    </row>
    <row r="1159" customFormat="false" ht="21" hidden="false" customHeight="false" outlineLevel="0" collapsed="false">
      <c r="A1159" s="154" t="n">
        <v>4230</v>
      </c>
      <c r="B1159" s="155" t="s">
        <v>1597</v>
      </c>
      <c r="C1159" s="148" t="str">
        <f aca="false">VLOOKUP($A1159,INSUMOS_AUX!$A$3:$H$813,3,0)</f>
        <v>M.O.</v>
      </c>
      <c r="D1159" s="156" t="s">
        <v>1444</v>
      </c>
      <c r="E1159" s="154" t="n">
        <v>0.01575878166</v>
      </c>
      <c r="F1159" s="149" t="n">
        <f aca="false">IF(C1159="MAT.",VLOOKUP(A1159,INSUMOS_AUX!$A$3:$H$813,6,0),0)</f>
        <v>0</v>
      </c>
      <c r="G1159" s="149" t="n">
        <f aca="false">IF(C1159="M.O.",VLOOKUP(A1159,INSUMOS_AUX!A:F,6,0),0)</f>
        <v>14.53</v>
      </c>
    </row>
    <row r="1160" customFormat="false" ht="21" hidden="false" customHeight="false" outlineLevel="0" collapsed="false">
      <c r="A1160" s="150" t="n">
        <v>92768</v>
      </c>
      <c r="B1160" s="151" t="s">
        <v>1687</v>
      </c>
      <c r="C1160" s="152" t="s">
        <v>59</v>
      </c>
      <c r="D1160" s="152" t="s">
        <v>1513</v>
      </c>
      <c r="E1160" s="150"/>
      <c r="F1160" s="153" t="n">
        <f aca="false">(SUMPRODUCT($E1161:$E1171,F1161:F1171))*1</f>
        <v>9.705848</v>
      </c>
      <c r="G1160" s="153" t="n">
        <f aca="false">(SUMPRODUCT($E1161:$E1171,G1161:G1171))*1</f>
        <v>3.2080788792</v>
      </c>
    </row>
    <row r="1161" customFormat="false" ht="21" hidden="false" customHeight="false" outlineLevel="0" collapsed="false">
      <c r="A1161" s="154" t="n">
        <v>37370</v>
      </c>
      <c r="B1161" s="155" t="s">
        <v>1443</v>
      </c>
      <c r="C1161" s="148" t="str">
        <f aca="false">VLOOKUP($A1161,INSUMOS_AUX!$A$3:$H$813,3,0)</f>
        <v>MAT.</v>
      </c>
      <c r="D1161" s="156" t="s">
        <v>1444</v>
      </c>
      <c r="E1161" s="154" t="n">
        <v>0.1648</v>
      </c>
      <c r="F1161" s="149" t="n">
        <f aca="false">IF(C1161="MAT.",VLOOKUP(A1161,INSUMOS_AUX!$A$3:$H$813,6,0),0)</f>
        <v>3.32</v>
      </c>
      <c r="G1161" s="149" t="n">
        <f aca="false">IF(C1161="M.O.",VLOOKUP(A1161,INSUMOS_AUX!A:F,6,0),0)</f>
        <v>0</v>
      </c>
    </row>
    <row r="1162" customFormat="false" ht="21" hidden="false" customHeight="false" outlineLevel="0" collapsed="false">
      <c r="A1162" s="154" t="n">
        <v>43489</v>
      </c>
      <c r="B1162" s="155" t="s">
        <v>1456</v>
      </c>
      <c r="C1162" s="148" t="str">
        <f aca="false">VLOOKUP($A1162,INSUMOS_AUX!$A$3:$H$813,3,0)</f>
        <v>MAT.</v>
      </c>
      <c r="D1162" s="156" t="s">
        <v>1444</v>
      </c>
      <c r="E1162" s="154" t="n">
        <v>0.1648</v>
      </c>
      <c r="F1162" s="149" t="n">
        <f aca="false">IF(C1162="MAT.",VLOOKUP(A1162,INSUMOS_AUX!$A$3:$H$813,6,0),0)</f>
        <v>1.31</v>
      </c>
      <c r="G1162" s="149" t="n">
        <f aca="false">IF(C1162="M.O.",VLOOKUP(A1162,INSUMOS_AUX!A:F,6,0),0)</f>
        <v>0</v>
      </c>
    </row>
    <row r="1163" customFormat="false" ht="21" hidden="false" customHeight="false" outlineLevel="0" collapsed="false">
      <c r="A1163" s="154" t="n">
        <v>37372</v>
      </c>
      <c r="B1163" s="155" t="s">
        <v>1446</v>
      </c>
      <c r="C1163" s="148" t="str">
        <f aca="false">VLOOKUP($A1163,INSUMOS_AUX!$A$3:$H$813,3,0)</f>
        <v>MAT.</v>
      </c>
      <c r="D1163" s="156" t="s">
        <v>1444</v>
      </c>
      <c r="E1163" s="154" t="n">
        <v>0.1648</v>
      </c>
      <c r="F1163" s="149" t="n">
        <f aca="false">IF(C1163="MAT.",VLOOKUP(A1163,INSUMOS_AUX!$A$3:$H$813,6,0),0)</f>
        <v>1.43</v>
      </c>
      <c r="G1163" s="149" t="n">
        <f aca="false">IF(C1163="M.O.",VLOOKUP(A1163,INSUMOS_AUX!A:F,6,0),0)</f>
        <v>0</v>
      </c>
    </row>
    <row r="1164" customFormat="false" ht="21" hidden="false" customHeight="false" outlineLevel="0" collapsed="false">
      <c r="A1164" s="154" t="n">
        <v>43465</v>
      </c>
      <c r="B1164" s="155" t="s">
        <v>1458</v>
      </c>
      <c r="C1164" s="148" t="str">
        <f aca="false">VLOOKUP($A1164,INSUMOS_AUX!$A$3:$H$813,3,0)</f>
        <v>MAT.</v>
      </c>
      <c r="D1164" s="156" t="s">
        <v>1444</v>
      </c>
      <c r="E1164" s="154" t="n">
        <v>0.1648</v>
      </c>
      <c r="F1164" s="149" t="n">
        <f aca="false">IF(C1164="MAT.",VLOOKUP(A1164,INSUMOS_AUX!$A$3:$H$813,6,0),0)</f>
        <v>0.78</v>
      </c>
      <c r="G1164" s="149" t="n">
        <f aca="false">IF(C1164="M.O.",VLOOKUP(A1164,INSUMOS_AUX!A:F,6,0),0)</f>
        <v>0</v>
      </c>
    </row>
    <row r="1165" customFormat="false" ht="21" hidden="false" customHeight="false" outlineLevel="0" collapsed="false">
      <c r="A1165" s="154" t="n">
        <v>37373</v>
      </c>
      <c r="B1165" s="155" t="s">
        <v>1448</v>
      </c>
      <c r="C1165" s="148" t="str">
        <f aca="false">VLOOKUP($A1165,INSUMOS_AUX!$A$3:$H$813,3,0)</f>
        <v>MAT.</v>
      </c>
      <c r="D1165" s="156" t="s">
        <v>1444</v>
      </c>
      <c r="E1165" s="154" t="n">
        <v>0.1648</v>
      </c>
      <c r="F1165" s="149" t="n">
        <f aca="false">IF(C1165="MAT.",VLOOKUP(A1165,INSUMOS_AUX!$A$3:$H$813,6,0),0)</f>
        <v>0.08</v>
      </c>
      <c r="G1165" s="149" t="n">
        <f aca="false">IF(C1165="M.O.",VLOOKUP(A1165,INSUMOS_AUX!A:F,6,0),0)</f>
        <v>0</v>
      </c>
    </row>
    <row r="1166" customFormat="false" ht="21" hidden="false" customHeight="false" outlineLevel="0" collapsed="false">
      <c r="A1166" s="154" t="n">
        <v>37371</v>
      </c>
      <c r="B1166" s="155" t="s">
        <v>1449</v>
      </c>
      <c r="C1166" s="148" t="str">
        <f aca="false">VLOOKUP($A1166,INSUMOS_AUX!$A$3:$H$813,3,0)</f>
        <v>MAT.</v>
      </c>
      <c r="D1166" s="156" t="s">
        <v>1444</v>
      </c>
      <c r="E1166" s="154" t="n">
        <v>0.1648</v>
      </c>
      <c r="F1166" s="149" t="n">
        <f aca="false">IF(C1166="MAT.",VLOOKUP(A1166,INSUMOS_AUX!$A$3:$H$813,6,0),0)</f>
        <v>0.59</v>
      </c>
      <c r="G1166" s="149" t="n">
        <f aca="false">IF(C1166="M.O.",VLOOKUP(A1166,INSUMOS_AUX!A:F,6,0),0)</f>
        <v>0</v>
      </c>
    </row>
    <row r="1167" customFormat="false" ht="15" hidden="false" customHeight="false" outlineLevel="0" collapsed="false">
      <c r="A1167" s="154" t="n">
        <v>43059</v>
      </c>
      <c r="B1167" s="155" t="s">
        <v>1630</v>
      </c>
      <c r="C1167" s="148" t="str">
        <f aca="false">VLOOKUP($A1167,INSUMOS_AUX!$A$3:$H$813,3,0)</f>
        <v>MAT.</v>
      </c>
      <c r="D1167" s="156" t="s">
        <v>1513</v>
      </c>
      <c r="E1167" s="154" t="n">
        <v>1.07</v>
      </c>
      <c r="F1167" s="149" t="n">
        <f aca="false">IF(C1167="MAT.",VLOOKUP(A1167,INSUMOS_AUX!$A$3:$H$813,6,0),0)</f>
        <v>7.26</v>
      </c>
      <c r="G1167" s="149" t="n">
        <f aca="false">IF(C1167="M.O.",VLOOKUP(A1167,INSUMOS_AUX!A:F,6,0),0)</f>
        <v>0</v>
      </c>
    </row>
    <row r="1168" customFormat="false" ht="21" hidden="false" customHeight="false" outlineLevel="0" collapsed="false">
      <c r="A1168" s="154" t="n">
        <v>43132</v>
      </c>
      <c r="B1168" s="155" t="s">
        <v>1565</v>
      </c>
      <c r="C1168" s="148" t="str">
        <f aca="false">VLOOKUP($A1168,INSUMOS_AUX!$A$3:$H$813,3,0)</f>
        <v>MAT.</v>
      </c>
      <c r="D1168" s="156" t="s">
        <v>1513</v>
      </c>
      <c r="E1168" s="154" t="n">
        <v>0.025</v>
      </c>
      <c r="F1168" s="149" t="n">
        <f aca="false">IF(C1168="MAT.",VLOOKUP(A1168,INSUMOS_AUX!$A$3:$H$813,6,0),0)</f>
        <v>28</v>
      </c>
      <c r="G1168" s="149" t="n">
        <f aca="false">IF(C1168="M.O.",VLOOKUP(A1168,INSUMOS_AUX!A:F,6,0),0)</f>
        <v>0</v>
      </c>
    </row>
    <row r="1169" customFormat="false" ht="21" hidden="false" customHeight="false" outlineLevel="0" collapsed="false">
      <c r="A1169" s="154" t="n">
        <v>39017</v>
      </c>
      <c r="B1169" s="155" t="s">
        <v>1621</v>
      </c>
      <c r="C1169" s="148" t="s">
        <v>59</v>
      </c>
      <c r="D1169" s="156" t="s">
        <v>31</v>
      </c>
      <c r="E1169" s="154" t="n">
        <v>2.118</v>
      </c>
      <c r="F1169" s="149" t="n">
        <f aca="false">IF(C1169="MAT.",VLOOKUP(A1169,INSUMOS_AUX!$A$3:$H$813,6,0),0)</f>
        <v>0</v>
      </c>
      <c r="G1169" s="149" t="n">
        <f aca="false">IF(C1169="M.O.",VLOOKUP(A1169,INSUMOS_AUX!A:F,6,0),0)</f>
        <v>0</v>
      </c>
    </row>
    <row r="1170" customFormat="false" ht="15" hidden="false" customHeight="false" outlineLevel="0" collapsed="false">
      <c r="A1170" s="154" t="n">
        <v>6114</v>
      </c>
      <c r="B1170" s="155" t="s">
        <v>1588</v>
      </c>
      <c r="C1170" s="148" t="str">
        <f aca="false">VLOOKUP($A1170,INSUMOS_AUX!$A$3:$H$813,3,0)</f>
        <v>M.O.</v>
      </c>
      <c r="D1170" s="156" t="s">
        <v>1444</v>
      </c>
      <c r="E1170" s="154" t="n">
        <v>0.023366574</v>
      </c>
      <c r="F1170" s="149" t="n">
        <f aca="false">IF(C1170="MAT.",VLOOKUP(A1170,INSUMOS_AUX!$A$3:$H$813,6,0),0)</f>
        <v>0</v>
      </c>
      <c r="G1170" s="149" t="n">
        <f aca="false">IF(C1170="M.O.",VLOOKUP(A1170,INSUMOS_AUX!A:F,6,0),0)</f>
        <v>13.26</v>
      </c>
    </row>
    <row r="1171" customFormat="false" ht="15" hidden="false" customHeight="false" outlineLevel="0" collapsed="false">
      <c r="A1171" s="154" t="n">
        <v>378</v>
      </c>
      <c r="B1171" s="155" t="s">
        <v>1589</v>
      </c>
      <c r="C1171" s="148" t="str">
        <f aca="false">VLOOKUP($A1171,INSUMOS_AUX!$A$3:$H$813,3,0)</f>
        <v>M.O.</v>
      </c>
      <c r="D1171" s="156" t="s">
        <v>1444</v>
      </c>
      <c r="E1171" s="154" t="n">
        <v>0.143335218</v>
      </c>
      <c r="F1171" s="149" t="n">
        <f aca="false">IF(C1171="MAT.",VLOOKUP(A1171,INSUMOS_AUX!$A$3:$H$813,6,0),0)</f>
        <v>0</v>
      </c>
      <c r="G1171" s="149" t="n">
        <f aca="false">IF(C1171="M.O.",VLOOKUP(A1171,INSUMOS_AUX!A:F,6,0),0)</f>
        <v>20.22</v>
      </c>
    </row>
    <row r="1172" customFormat="false" ht="21" hidden="false" customHeight="false" outlineLevel="0" collapsed="false">
      <c r="A1172" s="150" t="n">
        <v>92769</v>
      </c>
      <c r="B1172" s="151" t="s">
        <v>1688</v>
      </c>
      <c r="C1172" s="152" t="s">
        <v>59</v>
      </c>
      <c r="D1172" s="152" t="s">
        <v>1513</v>
      </c>
      <c r="E1172" s="150"/>
      <c r="F1172" s="153" t="n">
        <f aca="false">(SUMPRODUCT($E1173:$E1183,F1173:F1183))*1</f>
        <v>10.453316</v>
      </c>
      <c r="G1172" s="153" t="n">
        <f aca="false">(SUMPRODUCT($E1173:$E1183,G1173:G1183))*1</f>
        <v>2.05497183312</v>
      </c>
    </row>
    <row r="1173" customFormat="false" ht="21" hidden="false" customHeight="false" outlineLevel="0" collapsed="false">
      <c r="A1173" s="154" t="n">
        <v>37370</v>
      </c>
      <c r="B1173" s="155" t="s">
        <v>1443</v>
      </c>
      <c r="C1173" s="148" t="str">
        <f aca="false">VLOOKUP($A1173,INSUMOS_AUX!$A$3:$H$813,3,0)</f>
        <v>MAT.</v>
      </c>
      <c r="D1173" s="156" t="s">
        <v>1444</v>
      </c>
      <c r="E1173" s="154" t="n">
        <v>0.1056</v>
      </c>
      <c r="F1173" s="149" t="n">
        <f aca="false">IF(C1173="MAT.",VLOOKUP(A1173,INSUMOS_AUX!$A$3:$H$813,6,0),0)</f>
        <v>3.32</v>
      </c>
      <c r="G1173" s="149" t="n">
        <f aca="false">IF(C1173="M.O.",VLOOKUP(A1173,INSUMOS_AUX!A:F,6,0),0)</f>
        <v>0</v>
      </c>
    </row>
    <row r="1174" customFormat="false" ht="21" hidden="false" customHeight="false" outlineLevel="0" collapsed="false">
      <c r="A1174" s="154" t="n">
        <v>43489</v>
      </c>
      <c r="B1174" s="155" t="s">
        <v>1456</v>
      </c>
      <c r="C1174" s="148" t="str">
        <f aca="false">VLOOKUP($A1174,INSUMOS_AUX!$A$3:$H$813,3,0)</f>
        <v>MAT.</v>
      </c>
      <c r="D1174" s="156" t="s">
        <v>1444</v>
      </c>
      <c r="E1174" s="154" t="n">
        <v>0.1056</v>
      </c>
      <c r="F1174" s="149" t="n">
        <f aca="false">IF(C1174="MAT.",VLOOKUP(A1174,INSUMOS_AUX!$A$3:$H$813,6,0),0)</f>
        <v>1.31</v>
      </c>
      <c r="G1174" s="149" t="n">
        <f aca="false">IF(C1174="M.O.",VLOOKUP(A1174,INSUMOS_AUX!A:F,6,0),0)</f>
        <v>0</v>
      </c>
    </row>
    <row r="1175" customFormat="false" ht="21" hidden="false" customHeight="false" outlineLevel="0" collapsed="false">
      <c r="A1175" s="154" t="n">
        <v>37372</v>
      </c>
      <c r="B1175" s="155" t="s">
        <v>1446</v>
      </c>
      <c r="C1175" s="148" t="str">
        <f aca="false">VLOOKUP($A1175,INSUMOS_AUX!$A$3:$H$813,3,0)</f>
        <v>MAT.</v>
      </c>
      <c r="D1175" s="156" t="s">
        <v>1444</v>
      </c>
      <c r="E1175" s="154" t="n">
        <v>0.1056</v>
      </c>
      <c r="F1175" s="149" t="n">
        <f aca="false">IF(C1175="MAT.",VLOOKUP(A1175,INSUMOS_AUX!$A$3:$H$813,6,0),0)</f>
        <v>1.43</v>
      </c>
      <c r="G1175" s="149" t="n">
        <f aca="false">IF(C1175="M.O.",VLOOKUP(A1175,INSUMOS_AUX!A:F,6,0),0)</f>
        <v>0</v>
      </c>
    </row>
    <row r="1176" customFormat="false" ht="21" hidden="false" customHeight="false" outlineLevel="0" collapsed="false">
      <c r="A1176" s="154" t="n">
        <v>43465</v>
      </c>
      <c r="B1176" s="155" t="s">
        <v>1458</v>
      </c>
      <c r="C1176" s="148" t="str">
        <f aca="false">VLOOKUP($A1176,INSUMOS_AUX!$A$3:$H$813,3,0)</f>
        <v>MAT.</v>
      </c>
      <c r="D1176" s="156" t="s">
        <v>1444</v>
      </c>
      <c r="E1176" s="154" t="n">
        <v>0.1056</v>
      </c>
      <c r="F1176" s="149" t="n">
        <f aca="false">IF(C1176="MAT.",VLOOKUP(A1176,INSUMOS_AUX!$A$3:$H$813,6,0),0)</f>
        <v>0.78</v>
      </c>
      <c r="G1176" s="149" t="n">
        <f aca="false">IF(C1176="M.O.",VLOOKUP(A1176,INSUMOS_AUX!A:F,6,0),0)</f>
        <v>0</v>
      </c>
    </row>
    <row r="1177" customFormat="false" ht="21" hidden="false" customHeight="false" outlineLevel="0" collapsed="false">
      <c r="A1177" s="154" t="n">
        <v>37373</v>
      </c>
      <c r="B1177" s="155" t="s">
        <v>1448</v>
      </c>
      <c r="C1177" s="148" t="str">
        <f aca="false">VLOOKUP($A1177,INSUMOS_AUX!$A$3:$H$813,3,0)</f>
        <v>MAT.</v>
      </c>
      <c r="D1177" s="156" t="s">
        <v>1444</v>
      </c>
      <c r="E1177" s="154" t="n">
        <v>0.1056</v>
      </c>
      <c r="F1177" s="149" t="n">
        <f aca="false">IF(C1177="MAT.",VLOOKUP(A1177,INSUMOS_AUX!$A$3:$H$813,6,0),0)</f>
        <v>0.08</v>
      </c>
      <c r="G1177" s="149" t="n">
        <f aca="false">IF(C1177="M.O.",VLOOKUP(A1177,INSUMOS_AUX!A:F,6,0),0)</f>
        <v>0</v>
      </c>
    </row>
    <row r="1178" customFormat="false" ht="21" hidden="false" customHeight="false" outlineLevel="0" collapsed="false">
      <c r="A1178" s="154" t="n">
        <v>37371</v>
      </c>
      <c r="B1178" s="155" t="s">
        <v>1449</v>
      </c>
      <c r="C1178" s="148" t="str">
        <f aca="false">VLOOKUP($A1178,INSUMOS_AUX!$A$3:$H$813,3,0)</f>
        <v>MAT.</v>
      </c>
      <c r="D1178" s="156" t="s">
        <v>1444</v>
      </c>
      <c r="E1178" s="154" t="n">
        <v>0.1056</v>
      </c>
      <c r="F1178" s="149" t="n">
        <f aca="false">IF(C1178="MAT.",VLOOKUP(A1178,INSUMOS_AUX!$A$3:$H$813,6,0),0)</f>
        <v>0.59</v>
      </c>
      <c r="G1178" s="149" t="n">
        <f aca="false">IF(C1178="M.O.",VLOOKUP(A1178,INSUMOS_AUX!A:F,6,0),0)</f>
        <v>0</v>
      </c>
    </row>
    <row r="1179" customFormat="false" ht="15" hidden="false" customHeight="false" outlineLevel="0" collapsed="false">
      <c r="A1179" s="154" t="n">
        <v>32</v>
      </c>
      <c r="B1179" s="155" t="s">
        <v>1619</v>
      </c>
      <c r="C1179" s="148" t="str">
        <f aca="false">VLOOKUP($A1179,INSUMOS_AUX!$A$3:$H$813,3,0)</f>
        <v>MAT.</v>
      </c>
      <c r="D1179" s="156" t="s">
        <v>1513</v>
      </c>
      <c r="E1179" s="154" t="n">
        <v>1.07</v>
      </c>
      <c r="F1179" s="149" t="n">
        <f aca="false">IF(C1179="MAT.",VLOOKUP(A1179,INSUMOS_AUX!$A$3:$H$813,6,0),0)</f>
        <v>8.1</v>
      </c>
      <c r="G1179" s="149" t="n">
        <f aca="false">IF(C1179="M.O.",VLOOKUP(A1179,INSUMOS_AUX!A:F,6,0),0)</f>
        <v>0</v>
      </c>
    </row>
    <row r="1180" customFormat="false" ht="21" hidden="false" customHeight="false" outlineLevel="0" collapsed="false">
      <c r="A1180" s="154" t="n">
        <v>43132</v>
      </c>
      <c r="B1180" s="155" t="s">
        <v>1565</v>
      </c>
      <c r="C1180" s="148" t="str">
        <f aca="false">VLOOKUP($A1180,INSUMOS_AUX!$A$3:$H$813,3,0)</f>
        <v>MAT.</v>
      </c>
      <c r="D1180" s="156" t="s">
        <v>1513</v>
      </c>
      <c r="E1180" s="154" t="n">
        <v>0.025</v>
      </c>
      <c r="F1180" s="149" t="n">
        <f aca="false">IF(C1180="MAT.",VLOOKUP(A1180,INSUMOS_AUX!$A$3:$H$813,6,0),0)</f>
        <v>28</v>
      </c>
      <c r="G1180" s="149" t="n">
        <f aca="false">IF(C1180="M.O.",VLOOKUP(A1180,INSUMOS_AUX!A:F,6,0),0)</f>
        <v>0</v>
      </c>
    </row>
    <row r="1181" customFormat="false" ht="21" hidden="false" customHeight="false" outlineLevel="0" collapsed="false">
      <c r="A1181" s="154" t="n">
        <v>39017</v>
      </c>
      <c r="B1181" s="155" t="s">
        <v>1621</v>
      </c>
      <c r="C1181" s="148" t="str">
        <f aca="false">VLOOKUP($A1181,INSUMOS_AUX!$A$3:$H$813,3,0)</f>
        <v>MAT.</v>
      </c>
      <c r="D1181" s="156" t="s">
        <v>31</v>
      </c>
      <c r="E1181" s="154" t="n">
        <v>1.333</v>
      </c>
      <c r="F1181" s="149" t="n">
        <f aca="false">IF(C1181="MAT.",VLOOKUP(A1181,INSUMOS_AUX!$A$3:$H$813,6,0),0)</f>
        <v>0.22</v>
      </c>
      <c r="G1181" s="149" t="n">
        <f aca="false">IF(C1181="M.O.",VLOOKUP(A1181,INSUMOS_AUX!A:F,6,0),0)</f>
        <v>0</v>
      </c>
    </row>
    <row r="1182" customFormat="false" ht="15" hidden="false" customHeight="false" outlineLevel="0" collapsed="false">
      <c r="A1182" s="154" t="n">
        <v>6114</v>
      </c>
      <c r="B1182" s="155" t="s">
        <v>1588</v>
      </c>
      <c r="C1182" s="148" t="str">
        <f aca="false">VLOOKUP($A1182,INSUMOS_AUX!$A$3:$H$813,3,0)</f>
        <v>M.O.</v>
      </c>
      <c r="D1182" s="156" t="s">
        <v>1444</v>
      </c>
      <c r="E1182" s="154" t="n">
        <v>0.015071946</v>
      </c>
      <c r="F1182" s="149" t="n">
        <f aca="false">IF(C1182="MAT.",VLOOKUP(A1182,INSUMOS_AUX!$A$3:$H$813,6,0),0)</f>
        <v>0</v>
      </c>
      <c r="G1182" s="149" t="n">
        <f aca="false">IF(C1182="M.O.",VLOOKUP(A1182,INSUMOS_AUX!A:F,6,0),0)</f>
        <v>13.26</v>
      </c>
    </row>
    <row r="1183" customFormat="false" ht="15" hidden="false" customHeight="false" outlineLevel="0" collapsed="false">
      <c r="A1183" s="154" t="n">
        <v>378</v>
      </c>
      <c r="B1183" s="155" t="s">
        <v>1589</v>
      </c>
      <c r="C1183" s="148" t="str">
        <f aca="false">VLOOKUP($A1183,INSUMOS_AUX!$A$3:$H$813,3,0)</f>
        <v>M.O.</v>
      </c>
      <c r="D1183" s="156" t="s">
        <v>1444</v>
      </c>
      <c r="E1183" s="154" t="n">
        <v>0.091746678</v>
      </c>
      <c r="F1183" s="149" t="n">
        <f aca="false">IF(C1183="MAT.",VLOOKUP(A1183,INSUMOS_AUX!$A$3:$H$813,6,0),0)</f>
        <v>0</v>
      </c>
      <c r="G1183" s="149" t="n">
        <f aca="false">IF(C1183="M.O.",VLOOKUP(A1183,INSUMOS_AUX!A:F,6,0),0)</f>
        <v>20.22</v>
      </c>
    </row>
    <row r="1184" customFormat="false" ht="21" hidden="false" customHeight="false" outlineLevel="0" collapsed="false">
      <c r="A1184" s="150" t="n">
        <v>92770</v>
      </c>
      <c r="B1184" s="151" t="s">
        <v>1689</v>
      </c>
      <c r="C1184" s="152" t="s">
        <v>59</v>
      </c>
      <c r="D1184" s="152" t="s">
        <v>1513</v>
      </c>
      <c r="E1184" s="150"/>
      <c r="F1184" s="153" t="n">
        <f aca="false">(SUMPRODUCT($E1185:$E1195,F1185:F1195))*1</f>
        <v>10.388967</v>
      </c>
      <c r="G1184" s="153" t="n">
        <f aca="false">(SUMPRODUCT($E1185:$E1195,G1185:G1195))*1</f>
        <v>1.27901342988</v>
      </c>
    </row>
    <row r="1185" customFormat="false" ht="21" hidden="false" customHeight="false" outlineLevel="0" collapsed="false">
      <c r="A1185" s="154" t="n">
        <v>37370</v>
      </c>
      <c r="B1185" s="155" t="s">
        <v>1443</v>
      </c>
      <c r="C1185" s="148" t="str">
        <f aca="false">VLOOKUP($A1185,INSUMOS_AUX!$A$3:$H$813,3,0)</f>
        <v>MAT.</v>
      </c>
      <c r="D1185" s="156" t="s">
        <v>1444</v>
      </c>
      <c r="E1185" s="154" t="n">
        <v>0.0657</v>
      </c>
      <c r="F1185" s="149" t="n">
        <f aca="false">IF(C1185="MAT.",VLOOKUP(A1185,INSUMOS_AUX!$A$3:$H$813,6,0),0)</f>
        <v>3.32</v>
      </c>
      <c r="G1185" s="149" t="n">
        <f aca="false">IF(C1185="M.O.",VLOOKUP(A1185,INSUMOS_AUX!A:F,6,0),0)</f>
        <v>0</v>
      </c>
    </row>
    <row r="1186" customFormat="false" ht="21" hidden="false" customHeight="false" outlineLevel="0" collapsed="false">
      <c r="A1186" s="154" t="n">
        <v>43489</v>
      </c>
      <c r="B1186" s="155" t="s">
        <v>1456</v>
      </c>
      <c r="C1186" s="148" t="str">
        <f aca="false">VLOOKUP($A1186,INSUMOS_AUX!$A$3:$H$813,3,0)</f>
        <v>MAT.</v>
      </c>
      <c r="D1186" s="156" t="s">
        <v>1444</v>
      </c>
      <c r="E1186" s="154" t="n">
        <v>0.0657</v>
      </c>
      <c r="F1186" s="149" t="n">
        <f aca="false">IF(C1186="MAT.",VLOOKUP(A1186,INSUMOS_AUX!$A$3:$H$813,6,0),0)</f>
        <v>1.31</v>
      </c>
      <c r="G1186" s="149" t="n">
        <f aca="false">IF(C1186="M.O.",VLOOKUP(A1186,INSUMOS_AUX!A:F,6,0),0)</f>
        <v>0</v>
      </c>
    </row>
    <row r="1187" customFormat="false" ht="21" hidden="false" customHeight="false" outlineLevel="0" collapsed="false">
      <c r="A1187" s="154" t="n">
        <v>37372</v>
      </c>
      <c r="B1187" s="155" t="s">
        <v>1446</v>
      </c>
      <c r="C1187" s="148" t="str">
        <f aca="false">VLOOKUP($A1187,INSUMOS_AUX!$A$3:$H$813,3,0)</f>
        <v>MAT.</v>
      </c>
      <c r="D1187" s="156" t="s">
        <v>1444</v>
      </c>
      <c r="E1187" s="154" t="n">
        <v>0.0657</v>
      </c>
      <c r="F1187" s="149" t="n">
        <f aca="false">IF(C1187="MAT.",VLOOKUP(A1187,INSUMOS_AUX!$A$3:$H$813,6,0),0)</f>
        <v>1.43</v>
      </c>
      <c r="G1187" s="149" t="n">
        <f aca="false">IF(C1187="M.O.",VLOOKUP(A1187,INSUMOS_AUX!A:F,6,0),0)</f>
        <v>0</v>
      </c>
    </row>
    <row r="1188" customFormat="false" ht="21" hidden="false" customHeight="false" outlineLevel="0" collapsed="false">
      <c r="A1188" s="154" t="n">
        <v>43465</v>
      </c>
      <c r="B1188" s="155" t="s">
        <v>1458</v>
      </c>
      <c r="C1188" s="148" t="str">
        <f aca="false">VLOOKUP($A1188,INSUMOS_AUX!$A$3:$H$813,3,0)</f>
        <v>MAT.</v>
      </c>
      <c r="D1188" s="156" t="s">
        <v>1444</v>
      </c>
      <c r="E1188" s="154" t="n">
        <v>0.0657</v>
      </c>
      <c r="F1188" s="149" t="n">
        <f aca="false">IF(C1188="MAT.",VLOOKUP(A1188,INSUMOS_AUX!$A$3:$H$813,6,0),0)</f>
        <v>0.78</v>
      </c>
      <c r="G1188" s="149" t="n">
        <f aca="false">IF(C1188="M.O.",VLOOKUP(A1188,INSUMOS_AUX!A:F,6,0),0)</f>
        <v>0</v>
      </c>
    </row>
    <row r="1189" customFormat="false" ht="21" hidden="false" customHeight="false" outlineLevel="0" collapsed="false">
      <c r="A1189" s="154" t="n">
        <v>37373</v>
      </c>
      <c r="B1189" s="155" t="s">
        <v>1448</v>
      </c>
      <c r="C1189" s="148" t="str">
        <f aca="false">VLOOKUP($A1189,INSUMOS_AUX!$A$3:$H$813,3,0)</f>
        <v>MAT.</v>
      </c>
      <c r="D1189" s="156" t="s">
        <v>1444</v>
      </c>
      <c r="E1189" s="154" t="n">
        <v>0.0657</v>
      </c>
      <c r="F1189" s="149" t="n">
        <f aca="false">IF(C1189="MAT.",VLOOKUP(A1189,INSUMOS_AUX!$A$3:$H$813,6,0),0)</f>
        <v>0.08</v>
      </c>
      <c r="G1189" s="149" t="n">
        <f aca="false">IF(C1189="M.O.",VLOOKUP(A1189,INSUMOS_AUX!A:F,6,0),0)</f>
        <v>0</v>
      </c>
    </row>
    <row r="1190" customFormat="false" ht="21" hidden="false" customHeight="false" outlineLevel="0" collapsed="false">
      <c r="A1190" s="154" t="n">
        <v>37371</v>
      </c>
      <c r="B1190" s="155" t="s">
        <v>1449</v>
      </c>
      <c r="C1190" s="148" t="str">
        <f aca="false">VLOOKUP($A1190,INSUMOS_AUX!$A$3:$H$813,3,0)</f>
        <v>MAT.</v>
      </c>
      <c r="D1190" s="156" t="s">
        <v>1444</v>
      </c>
      <c r="E1190" s="154" t="n">
        <v>0.0657</v>
      </c>
      <c r="F1190" s="149" t="n">
        <f aca="false">IF(C1190="MAT.",VLOOKUP(A1190,INSUMOS_AUX!$A$3:$H$813,6,0),0)</f>
        <v>0.59</v>
      </c>
      <c r="G1190" s="149" t="n">
        <f aca="false">IF(C1190="M.O.",VLOOKUP(A1190,INSUMOS_AUX!A:F,6,0),0)</f>
        <v>0</v>
      </c>
    </row>
    <row r="1191" customFormat="false" ht="15" hidden="false" customHeight="false" outlineLevel="0" collapsed="false">
      <c r="A1191" s="154" t="n">
        <v>33</v>
      </c>
      <c r="B1191" s="155" t="s">
        <v>1633</v>
      </c>
      <c r="C1191" s="148" t="str">
        <f aca="false">VLOOKUP($A1191,INSUMOS_AUX!$A$3:$H$813,3,0)</f>
        <v>MAT.</v>
      </c>
      <c r="D1191" s="156" t="s">
        <v>1513</v>
      </c>
      <c r="E1191" s="154" t="n">
        <v>1.11</v>
      </c>
      <c r="F1191" s="149" t="n">
        <f aca="false">IF(C1191="MAT.",VLOOKUP(A1191,INSUMOS_AUX!$A$3:$H$813,6,0),0)</f>
        <v>8.14</v>
      </c>
      <c r="G1191" s="149" t="n">
        <f aca="false">IF(C1191="M.O.",VLOOKUP(A1191,INSUMOS_AUX!A:F,6,0),0)</f>
        <v>0</v>
      </c>
    </row>
    <row r="1192" customFormat="false" ht="21" hidden="false" customHeight="false" outlineLevel="0" collapsed="false">
      <c r="A1192" s="154" t="n">
        <v>43132</v>
      </c>
      <c r="B1192" s="155" t="s">
        <v>1565</v>
      </c>
      <c r="C1192" s="148" t="str">
        <f aca="false">VLOOKUP($A1192,INSUMOS_AUX!$A$3:$H$813,3,0)</f>
        <v>MAT.</v>
      </c>
      <c r="D1192" s="156" t="s">
        <v>1513</v>
      </c>
      <c r="E1192" s="154" t="n">
        <v>0.025</v>
      </c>
      <c r="F1192" s="149" t="n">
        <f aca="false">IF(C1192="MAT.",VLOOKUP(A1192,INSUMOS_AUX!$A$3:$H$813,6,0),0)</f>
        <v>28</v>
      </c>
      <c r="G1192" s="149" t="n">
        <f aca="false">IF(C1192="M.O.",VLOOKUP(A1192,INSUMOS_AUX!A:F,6,0),0)</f>
        <v>0</v>
      </c>
    </row>
    <row r="1193" customFormat="false" ht="21" hidden="false" customHeight="false" outlineLevel="0" collapsed="false">
      <c r="A1193" s="154" t="n">
        <v>39017</v>
      </c>
      <c r="B1193" s="155" t="s">
        <v>1621</v>
      </c>
      <c r="C1193" s="148" t="str">
        <f aca="false">VLOOKUP($A1193,INSUMOS_AUX!$A$3:$H$813,3,0)</f>
        <v>MAT.</v>
      </c>
      <c r="D1193" s="156" t="s">
        <v>31</v>
      </c>
      <c r="E1193" s="154" t="n">
        <v>0.728</v>
      </c>
      <c r="F1193" s="149" t="n">
        <f aca="false">IF(C1193="MAT.",VLOOKUP(A1193,INSUMOS_AUX!$A$3:$H$813,6,0),0)</f>
        <v>0.22</v>
      </c>
      <c r="G1193" s="149" t="n">
        <f aca="false">IF(C1193="M.O.",VLOOKUP(A1193,INSUMOS_AUX!A:F,6,0),0)</f>
        <v>0</v>
      </c>
    </row>
    <row r="1194" customFormat="false" ht="15" hidden="false" customHeight="false" outlineLevel="0" collapsed="false">
      <c r="A1194" s="154" t="n">
        <v>6114</v>
      </c>
      <c r="B1194" s="155" t="s">
        <v>1588</v>
      </c>
      <c r="C1194" s="148" t="str">
        <f aca="false">VLOOKUP($A1194,INSUMOS_AUX!$A$3:$H$813,3,0)</f>
        <v>M.O.</v>
      </c>
      <c r="D1194" s="156" t="s">
        <v>1444</v>
      </c>
      <c r="E1194" s="154" t="n">
        <v>0.009306168</v>
      </c>
      <c r="F1194" s="149" t="n">
        <f aca="false">IF(C1194="MAT.",VLOOKUP(A1194,INSUMOS_AUX!$A$3:$H$813,6,0),0)</f>
        <v>0</v>
      </c>
      <c r="G1194" s="149" t="n">
        <f aca="false">IF(C1194="M.O.",VLOOKUP(A1194,INSUMOS_AUX!A:F,6,0),0)</f>
        <v>13.26</v>
      </c>
    </row>
    <row r="1195" customFormat="false" ht="15" hidden="false" customHeight="false" outlineLevel="0" collapsed="false">
      <c r="A1195" s="154" t="n">
        <v>378</v>
      </c>
      <c r="B1195" s="155" t="s">
        <v>1589</v>
      </c>
      <c r="C1195" s="148" t="str">
        <f aca="false">VLOOKUP($A1195,INSUMOS_AUX!$A$3:$H$813,3,0)</f>
        <v>M.O.</v>
      </c>
      <c r="D1195" s="156" t="s">
        <v>1444</v>
      </c>
      <c r="E1195" s="154" t="n">
        <v>0.05715201</v>
      </c>
      <c r="F1195" s="149" t="n">
        <f aca="false">IF(C1195="MAT.",VLOOKUP(A1195,INSUMOS_AUX!$A$3:$H$813,6,0),0)</f>
        <v>0</v>
      </c>
      <c r="G1195" s="149" t="n">
        <f aca="false">IF(C1195="M.O.",VLOOKUP(A1195,INSUMOS_AUX!A:F,6,0),0)</f>
        <v>20.22</v>
      </c>
    </row>
    <row r="1196" customFormat="false" ht="31.5" hidden="false" customHeight="false" outlineLevel="0" collapsed="false">
      <c r="A1196" s="150" t="n">
        <v>92771</v>
      </c>
      <c r="B1196" s="151" t="s">
        <v>1690</v>
      </c>
      <c r="C1196" s="152" t="s">
        <v>59</v>
      </c>
      <c r="D1196" s="152" t="s">
        <v>1513</v>
      </c>
      <c r="E1196" s="150"/>
      <c r="F1196" s="153" t="n">
        <f aca="false">(SUMPRODUCT($E1197:$E1207,F1197:F1207))*1</f>
        <v>9.602769</v>
      </c>
      <c r="G1196" s="153" t="n">
        <f aca="false">(SUMPRODUCT($E1197:$E1207,G1197:G1207))*1</f>
        <v>0.7848437706</v>
      </c>
    </row>
    <row r="1197" customFormat="false" ht="21" hidden="false" customHeight="false" outlineLevel="0" collapsed="false">
      <c r="A1197" s="154" t="n">
        <v>37370</v>
      </c>
      <c r="B1197" s="155" t="s">
        <v>1443</v>
      </c>
      <c r="C1197" s="148" t="str">
        <f aca="false">VLOOKUP($A1197,INSUMOS_AUX!$A$3:$H$813,3,0)</f>
        <v>MAT.</v>
      </c>
      <c r="D1197" s="156" t="s">
        <v>1444</v>
      </c>
      <c r="E1197" s="154" t="n">
        <v>0.0403</v>
      </c>
      <c r="F1197" s="149" t="n">
        <f aca="false">IF(C1197="MAT.",VLOOKUP(A1197,INSUMOS_AUX!$A$3:$H$813,6,0),0)</f>
        <v>3.32</v>
      </c>
      <c r="G1197" s="149" t="n">
        <f aca="false">IF(C1197="M.O.",VLOOKUP(A1197,INSUMOS_AUX!A:F,6,0),0)</f>
        <v>0</v>
      </c>
    </row>
    <row r="1198" customFormat="false" ht="21" hidden="false" customHeight="false" outlineLevel="0" collapsed="false">
      <c r="A1198" s="154" t="n">
        <v>43489</v>
      </c>
      <c r="B1198" s="155" t="s">
        <v>1456</v>
      </c>
      <c r="C1198" s="148" t="str">
        <f aca="false">VLOOKUP($A1198,INSUMOS_AUX!$A$3:$H$813,3,0)</f>
        <v>MAT.</v>
      </c>
      <c r="D1198" s="156" t="s">
        <v>1444</v>
      </c>
      <c r="E1198" s="154" t="n">
        <v>0.0403</v>
      </c>
      <c r="F1198" s="149" t="n">
        <f aca="false">IF(C1198="MAT.",VLOOKUP(A1198,INSUMOS_AUX!$A$3:$H$813,6,0),0)</f>
        <v>1.31</v>
      </c>
      <c r="G1198" s="149" t="n">
        <f aca="false">IF(C1198="M.O.",VLOOKUP(A1198,INSUMOS_AUX!A:F,6,0),0)</f>
        <v>0</v>
      </c>
    </row>
    <row r="1199" customFormat="false" ht="21" hidden="false" customHeight="false" outlineLevel="0" collapsed="false">
      <c r="A1199" s="154" t="n">
        <v>37372</v>
      </c>
      <c r="B1199" s="155" t="s">
        <v>1446</v>
      </c>
      <c r="C1199" s="148" t="str">
        <f aca="false">VLOOKUP($A1199,INSUMOS_AUX!$A$3:$H$813,3,0)</f>
        <v>MAT.</v>
      </c>
      <c r="D1199" s="156" t="s">
        <v>1444</v>
      </c>
      <c r="E1199" s="154" t="n">
        <v>0.0403</v>
      </c>
      <c r="F1199" s="149" t="n">
        <f aca="false">IF(C1199="MAT.",VLOOKUP(A1199,INSUMOS_AUX!$A$3:$H$813,6,0),0)</f>
        <v>1.43</v>
      </c>
      <c r="G1199" s="149" t="n">
        <f aca="false">IF(C1199="M.O.",VLOOKUP(A1199,INSUMOS_AUX!A:F,6,0),0)</f>
        <v>0</v>
      </c>
    </row>
    <row r="1200" customFormat="false" ht="21" hidden="false" customHeight="false" outlineLevel="0" collapsed="false">
      <c r="A1200" s="154" t="n">
        <v>43465</v>
      </c>
      <c r="B1200" s="155" t="s">
        <v>1458</v>
      </c>
      <c r="C1200" s="148" t="str">
        <f aca="false">VLOOKUP($A1200,INSUMOS_AUX!$A$3:$H$813,3,0)</f>
        <v>MAT.</v>
      </c>
      <c r="D1200" s="156" t="s">
        <v>1444</v>
      </c>
      <c r="E1200" s="154" t="n">
        <v>0.0403</v>
      </c>
      <c r="F1200" s="149" t="n">
        <f aca="false">IF(C1200="MAT.",VLOOKUP(A1200,INSUMOS_AUX!$A$3:$H$813,6,0),0)</f>
        <v>0.78</v>
      </c>
      <c r="G1200" s="149" t="n">
        <f aca="false">IF(C1200="M.O.",VLOOKUP(A1200,INSUMOS_AUX!A:F,6,0),0)</f>
        <v>0</v>
      </c>
    </row>
    <row r="1201" customFormat="false" ht="21" hidden="false" customHeight="false" outlineLevel="0" collapsed="false">
      <c r="A1201" s="154" t="n">
        <v>37373</v>
      </c>
      <c r="B1201" s="155" t="s">
        <v>1448</v>
      </c>
      <c r="C1201" s="148" t="s">
        <v>59</v>
      </c>
      <c r="D1201" s="156" t="s">
        <v>1444</v>
      </c>
      <c r="E1201" s="154" t="n">
        <v>0.0403</v>
      </c>
      <c r="F1201" s="149" t="n">
        <f aca="false">IF(C1201="MAT.",VLOOKUP(A1201,INSUMOS_AUX!$A$3:$H$813,6,0),0)</f>
        <v>0</v>
      </c>
      <c r="G1201" s="149" t="n">
        <f aca="false">IF(C1201="M.O.",VLOOKUP(A1201,INSUMOS_AUX!A:F,6,0),0)</f>
        <v>0</v>
      </c>
    </row>
    <row r="1202" customFormat="false" ht="21" hidden="false" customHeight="false" outlineLevel="0" collapsed="false">
      <c r="A1202" s="154" t="n">
        <v>37371</v>
      </c>
      <c r="B1202" s="155" t="s">
        <v>1449</v>
      </c>
      <c r="C1202" s="148" t="str">
        <f aca="false">VLOOKUP($A1202,INSUMOS_AUX!$A$3:$H$813,3,0)</f>
        <v>MAT.</v>
      </c>
      <c r="D1202" s="156" t="s">
        <v>1444</v>
      </c>
      <c r="E1202" s="154" t="n">
        <v>0.0403</v>
      </c>
      <c r="F1202" s="149" t="n">
        <f aca="false">IF(C1202="MAT.",VLOOKUP(A1202,INSUMOS_AUX!$A$3:$H$813,6,0),0)</f>
        <v>0.59</v>
      </c>
      <c r="G1202" s="149" t="n">
        <f aca="false">IF(C1202="M.O.",VLOOKUP(A1202,INSUMOS_AUX!A:F,6,0),0)</f>
        <v>0</v>
      </c>
    </row>
    <row r="1203" customFormat="false" ht="15" hidden="false" customHeight="false" outlineLevel="0" collapsed="false">
      <c r="A1203" s="154" t="n">
        <v>34</v>
      </c>
      <c r="B1203" s="155" t="s">
        <v>1645</v>
      </c>
      <c r="C1203" s="148" t="str">
        <f aca="false">VLOOKUP($A1203,INSUMOS_AUX!$A$3:$H$813,3,0)</f>
        <v>MAT.</v>
      </c>
      <c r="D1203" s="156" t="s">
        <v>1513</v>
      </c>
      <c r="E1203" s="154" t="n">
        <v>1.11</v>
      </c>
      <c r="F1203" s="149" t="n">
        <f aca="false">IF(C1203="MAT.",VLOOKUP(A1203,INSUMOS_AUX!$A$3:$H$813,6,0),0)</f>
        <v>7.68</v>
      </c>
      <c r="G1203" s="149" t="n">
        <f aca="false">IF(C1203="M.O.",VLOOKUP(A1203,INSUMOS_AUX!A:F,6,0),0)</f>
        <v>0</v>
      </c>
    </row>
    <row r="1204" customFormat="false" ht="21" hidden="false" customHeight="false" outlineLevel="0" collapsed="false">
      <c r="A1204" s="154" t="n">
        <v>43132</v>
      </c>
      <c r="B1204" s="155" t="s">
        <v>1565</v>
      </c>
      <c r="C1204" s="148" t="str">
        <f aca="false">VLOOKUP($A1204,INSUMOS_AUX!$A$3:$H$813,3,0)</f>
        <v>MAT.</v>
      </c>
      <c r="D1204" s="156" t="s">
        <v>1513</v>
      </c>
      <c r="E1204" s="154" t="n">
        <v>0.025</v>
      </c>
      <c r="F1204" s="149" t="n">
        <f aca="false">IF(C1204="MAT.",VLOOKUP(A1204,INSUMOS_AUX!$A$3:$H$813,6,0),0)</f>
        <v>28</v>
      </c>
      <c r="G1204" s="149" t="n">
        <f aca="false">IF(C1204="M.O.",VLOOKUP(A1204,INSUMOS_AUX!A:F,6,0),0)</f>
        <v>0</v>
      </c>
    </row>
    <row r="1205" customFormat="false" ht="21" hidden="false" customHeight="false" outlineLevel="0" collapsed="false">
      <c r="A1205" s="154" t="n">
        <v>39017</v>
      </c>
      <c r="B1205" s="155" t="s">
        <v>1621</v>
      </c>
      <c r="C1205" s="148" t="str">
        <f aca="false">VLOOKUP($A1205,INSUMOS_AUX!$A$3:$H$813,3,0)</f>
        <v>MAT.</v>
      </c>
      <c r="D1205" s="156" t="s">
        <v>31</v>
      </c>
      <c r="E1205" s="154" t="n">
        <v>0.357</v>
      </c>
      <c r="F1205" s="149" t="n">
        <f aca="false">IF(C1205="MAT.",VLOOKUP(A1205,INSUMOS_AUX!$A$3:$H$813,6,0),0)</f>
        <v>0.22</v>
      </c>
      <c r="G1205" s="149" t="n">
        <f aca="false">IF(C1205="M.O.",VLOOKUP(A1205,INSUMOS_AUX!A:F,6,0),0)</f>
        <v>0</v>
      </c>
    </row>
    <row r="1206" customFormat="false" ht="15" hidden="false" customHeight="false" outlineLevel="0" collapsed="false">
      <c r="A1206" s="154" t="n">
        <v>6114</v>
      </c>
      <c r="B1206" s="155" t="s">
        <v>1588</v>
      </c>
      <c r="C1206" s="148" t="str">
        <f aca="false">VLOOKUP($A1206,INSUMOS_AUX!$A$3:$H$813,3,0)</f>
        <v>M.O.</v>
      </c>
      <c r="D1206" s="156" t="s">
        <v>1444</v>
      </c>
      <c r="E1206" s="154" t="n">
        <v>0.005664624</v>
      </c>
      <c r="F1206" s="149" t="n">
        <f aca="false">IF(C1206="MAT.",VLOOKUP(A1206,INSUMOS_AUX!$A$3:$H$813,6,0),0)</f>
        <v>0</v>
      </c>
      <c r="G1206" s="149" t="n">
        <f aca="false">IF(C1206="M.O.",VLOOKUP(A1206,INSUMOS_AUX!A:F,6,0),0)</f>
        <v>13.26</v>
      </c>
    </row>
    <row r="1207" customFormat="false" ht="15" hidden="false" customHeight="false" outlineLevel="0" collapsed="false">
      <c r="A1207" s="154" t="n">
        <v>378</v>
      </c>
      <c r="B1207" s="155" t="s">
        <v>1589</v>
      </c>
      <c r="C1207" s="148" t="str">
        <f aca="false">VLOOKUP($A1207,INSUMOS_AUX!$A$3:$H$813,3,0)</f>
        <v>M.O.</v>
      </c>
      <c r="D1207" s="156" t="s">
        <v>1444</v>
      </c>
      <c r="E1207" s="154" t="n">
        <v>0.035100438</v>
      </c>
      <c r="F1207" s="149" t="n">
        <f aca="false">IF(C1207="MAT.",VLOOKUP(A1207,INSUMOS_AUX!$A$3:$H$813,6,0),0)</f>
        <v>0</v>
      </c>
      <c r="G1207" s="149" t="n">
        <f aca="false">IF(C1207="M.O.",VLOOKUP(A1207,INSUMOS_AUX!A:F,6,0),0)</f>
        <v>20.22</v>
      </c>
    </row>
    <row r="1208" customFormat="false" ht="31.5" hidden="false" customHeight="false" outlineLevel="0" collapsed="false">
      <c r="A1208" s="150" t="n">
        <v>92772</v>
      </c>
      <c r="B1208" s="151" t="s">
        <v>1691</v>
      </c>
      <c r="C1208" s="152" t="s">
        <v>59</v>
      </c>
      <c r="D1208" s="152" t="s">
        <v>1513</v>
      </c>
      <c r="E1208" s="150"/>
      <c r="F1208" s="153" t="n">
        <f aca="false">(SUMPRODUCT($E1209:$E1219,F1209:F1219))*1</f>
        <v>8.278786</v>
      </c>
      <c r="G1208" s="153" t="n">
        <f aca="false">(SUMPRODUCT($E1209:$E1219,G1209:G1219))*1</f>
        <v>0.43223913432</v>
      </c>
    </row>
    <row r="1209" customFormat="false" ht="21" hidden="false" customHeight="false" outlineLevel="0" collapsed="false">
      <c r="A1209" s="154" t="n">
        <v>37370</v>
      </c>
      <c r="B1209" s="155" t="s">
        <v>1443</v>
      </c>
      <c r="C1209" s="148" t="str">
        <f aca="false">VLOOKUP($A1209,INSUMOS_AUX!$A$3:$H$813,3,0)</f>
        <v>MAT.</v>
      </c>
      <c r="D1209" s="156" t="s">
        <v>1444</v>
      </c>
      <c r="E1209" s="154" t="n">
        <v>0.0222</v>
      </c>
      <c r="F1209" s="149" t="n">
        <f aca="false">IF(C1209="MAT.",VLOOKUP(A1209,INSUMOS_AUX!$A$3:$H$813,6,0),0)</f>
        <v>3.32</v>
      </c>
      <c r="G1209" s="149" t="n">
        <f aca="false">IF(C1209="M.O.",VLOOKUP(A1209,INSUMOS_AUX!A:F,6,0),0)</f>
        <v>0</v>
      </c>
    </row>
    <row r="1210" customFormat="false" ht="21" hidden="false" customHeight="false" outlineLevel="0" collapsed="false">
      <c r="A1210" s="154" t="n">
        <v>43489</v>
      </c>
      <c r="B1210" s="155" t="s">
        <v>1456</v>
      </c>
      <c r="C1210" s="148" t="str">
        <f aca="false">VLOOKUP($A1210,INSUMOS_AUX!$A$3:$H$813,3,0)</f>
        <v>MAT.</v>
      </c>
      <c r="D1210" s="156" t="s">
        <v>1444</v>
      </c>
      <c r="E1210" s="154" t="n">
        <v>0.0222</v>
      </c>
      <c r="F1210" s="149" t="n">
        <f aca="false">IF(C1210="MAT.",VLOOKUP(A1210,INSUMOS_AUX!$A$3:$H$813,6,0),0)</f>
        <v>1.31</v>
      </c>
      <c r="G1210" s="149" t="n">
        <f aca="false">IF(C1210="M.O.",VLOOKUP(A1210,INSUMOS_AUX!A:F,6,0),0)</f>
        <v>0</v>
      </c>
    </row>
    <row r="1211" customFormat="false" ht="21" hidden="false" customHeight="false" outlineLevel="0" collapsed="false">
      <c r="A1211" s="154" t="n">
        <v>37372</v>
      </c>
      <c r="B1211" s="155" t="s">
        <v>1446</v>
      </c>
      <c r="C1211" s="148" t="str">
        <f aca="false">VLOOKUP($A1211,INSUMOS_AUX!$A$3:$H$813,3,0)</f>
        <v>MAT.</v>
      </c>
      <c r="D1211" s="156" t="s">
        <v>1444</v>
      </c>
      <c r="E1211" s="154" t="n">
        <v>0.0222</v>
      </c>
      <c r="F1211" s="149" t="n">
        <f aca="false">IF(C1211="MAT.",VLOOKUP(A1211,INSUMOS_AUX!$A$3:$H$813,6,0),0)</f>
        <v>1.43</v>
      </c>
      <c r="G1211" s="149" t="n">
        <f aca="false">IF(C1211="M.O.",VLOOKUP(A1211,INSUMOS_AUX!A:F,6,0),0)</f>
        <v>0</v>
      </c>
    </row>
    <row r="1212" customFormat="false" ht="21" hidden="false" customHeight="false" outlineLevel="0" collapsed="false">
      <c r="A1212" s="154" t="n">
        <v>43465</v>
      </c>
      <c r="B1212" s="155" t="s">
        <v>1458</v>
      </c>
      <c r="C1212" s="148" t="str">
        <f aca="false">VLOOKUP($A1212,INSUMOS_AUX!$A$3:$H$813,3,0)</f>
        <v>MAT.</v>
      </c>
      <c r="D1212" s="156" t="s">
        <v>1444</v>
      </c>
      <c r="E1212" s="154" t="n">
        <v>0.0222</v>
      </c>
      <c r="F1212" s="149" t="n">
        <f aca="false">IF(C1212="MAT.",VLOOKUP(A1212,INSUMOS_AUX!$A$3:$H$813,6,0),0)</f>
        <v>0.78</v>
      </c>
      <c r="G1212" s="149" t="n">
        <f aca="false">IF(C1212="M.O.",VLOOKUP(A1212,INSUMOS_AUX!A:F,6,0),0)</f>
        <v>0</v>
      </c>
    </row>
    <row r="1213" customFormat="false" ht="21" hidden="false" customHeight="false" outlineLevel="0" collapsed="false">
      <c r="A1213" s="154" t="n">
        <v>37373</v>
      </c>
      <c r="B1213" s="155" t="s">
        <v>1448</v>
      </c>
      <c r="C1213" s="148" t="s">
        <v>59</v>
      </c>
      <c r="D1213" s="156" t="s">
        <v>1444</v>
      </c>
      <c r="E1213" s="154" t="n">
        <v>0.0222</v>
      </c>
      <c r="F1213" s="149" t="n">
        <f aca="false">IF(C1213="MAT.",VLOOKUP(A1213,INSUMOS_AUX!$A$3:$H$813,6,0),0)</f>
        <v>0</v>
      </c>
      <c r="G1213" s="149" t="n">
        <f aca="false">IF(C1213="M.O.",VLOOKUP(A1213,INSUMOS_AUX!A:F,6,0),0)</f>
        <v>0</v>
      </c>
    </row>
    <row r="1214" customFormat="false" ht="21" hidden="false" customHeight="false" outlineLevel="0" collapsed="false">
      <c r="A1214" s="154" t="n">
        <v>37371</v>
      </c>
      <c r="B1214" s="155" t="s">
        <v>1449</v>
      </c>
      <c r="C1214" s="148" t="str">
        <f aca="false">VLOOKUP($A1214,INSUMOS_AUX!$A$3:$H$813,3,0)</f>
        <v>MAT.</v>
      </c>
      <c r="D1214" s="156" t="s">
        <v>1444</v>
      </c>
      <c r="E1214" s="154" t="n">
        <v>0.0222</v>
      </c>
      <c r="F1214" s="149" t="n">
        <f aca="false">IF(C1214="MAT.",VLOOKUP(A1214,INSUMOS_AUX!$A$3:$H$813,6,0),0)</f>
        <v>0.59</v>
      </c>
      <c r="G1214" s="149" t="n">
        <f aca="false">IF(C1214="M.O.",VLOOKUP(A1214,INSUMOS_AUX!A:F,6,0),0)</f>
        <v>0</v>
      </c>
    </row>
    <row r="1215" customFormat="false" ht="15" hidden="false" customHeight="false" outlineLevel="0" collapsed="false">
      <c r="A1215" s="154" t="n">
        <v>43055</v>
      </c>
      <c r="B1215" s="155" t="s">
        <v>1618</v>
      </c>
      <c r="C1215" s="148" t="str">
        <f aca="false">VLOOKUP($A1215,INSUMOS_AUX!$A$3:$H$813,3,0)</f>
        <v>MAT.</v>
      </c>
      <c r="D1215" s="156" t="s">
        <v>1513</v>
      </c>
      <c r="E1215" s="154" t="n">
        <v>1.11</v>
      </c>
      <c r="F1215" s="149" t="n">
        <f aca="false">IF(C1215="MAT.",VLOOKUP(A1215,INSUMOS_AUX!$A$3:$H$813,6,0),0)</f>
        <v>6.65</v>
      </c>
      <c r="G1215" s="149" t="n">
        <f aca="false">IF(C1215="M.O.",VLOOKUP(A1215,INSUMOS_AUX!A:F,6,0),0)</f>
        <v>0</v>
      </c>
    </row>
    <row r="1216" customFormat="false" ht="21" hidden="false" customHeight="false" outlineLevel="0" collapsed="false">
      <c r="A1216" s="154" t="n">
        <v>43132</v>
      </c>
      <c r="B1216" s="155" t="s">
        <v>1565</v>
      </c>
      <c r="C1216" s="148" t="str">
        <f aca="false">VLOOKUP($A1216,INSUMOS_AUX!$A$3:$H$813,3,0)</f>
        <v>MAT.</v>
      </c>
      <c r="D1216" s="156" t="s">
        <v>1513</v>
      </c>
      <c r="E1216" s="154" t="n">
        <v>0.025</v>
      </c>
      <c r="F1216" s="149" t="n">
        <f aca="false">IF(C1216="MAT.",VLOOKUP(A1216,INSUMOS_AUX!$A$3:$H$813,6,0),0)</f>
        <v>28</v>
      </c>
      <c r="G1216" s="149" t="n">
        <f aca="false">IF(C1216="M.O.",VLOOKUP(A1216,INSUMOS_AUX!A:F,6,0),0)</f>
        <v>0</v>
      </c>
    </row>
    <row r="1217" customFormat="false" ht="21" hidden="false" customHeight="false" outlineLevel="0" collapsed="false">
      <c r="A1217" s="154" t="n">
        <v>39017</v>
      </c>
      <c r="B1217" s="155" t="s">
        <v>1621</v>
      </c>
      <c r="C1217" s="148" t="str">
        <f aca="false">VLOOKUP($A1217,INSUMOS_AUX!$A$3:$H$813,3,0)</f>
        <v>MAT.</v>
      </c>
      <c r="D1217" s="156" t="s">
        <v>31</v>
      </c>
      <c r="E1217" s="154" t="n">
        <v>0.147</v>
      </c>
      <c r="F1217" s="149" t="n">
        <f aca="false">IF(C1217="MAT.",VLOOKUP(A1217,INSUMOS_AUX!$A$3:$H$813,6,0),0)</f>
        <v>0.22</v>
      </c>
      <c r="G1217" s="149" t="n">
        <f aca="false">IF(C1217="M.O.",VLOOKUP(A1217,INSUMOS_AUX!A:F,6,0),0)</f>
        <v>0</v>
      </c>
    </row>
    <row r="1218" customFormat="false" ht="15" hidden="false" customHeight="false" outlineLevel="0" collapsed="false">
      <c r="A1218" s="154" t="n">
        <v>6114</v>
      </c>
      <c r="B1218" s="155" t="s">
        <v>1588</v>
      </c>
      <c r="C1218" s="148" t="str">
        <f aca="false">VLOOKUP($A1218,INSUMOS_AUX!$A$3:$H$813,3,0)</f>
        <v>M.O.</v>
      </c>
      <c r="D1218" s="156" t="s">
        <v>1444</v>
      </c>
      <c r="E1218" s="154" t="n">
        <v>0.003135774</v>
      </c>
      <c r="F1218" s="149" t="n">
        <f aca="false">IF(C1218="MAT.",VLOOKUP(A1218,INSUMOS_AUX!$A$3:$H$813,6,0),0)</f>
        <v>0</v>
      </c>
      <c r="G1218" s="149" t="n">
        <f aca="false">IF(C1218="M.O.",VLOOKUP(A1218,INSUMOS_AUX!A:F,6,0),0)</f>
        <v>13.26</v>
      </c>
    </row>
    <row r="1219" customFormat="false" ht="15" hidden="false" customHeight="false" outlineLevel="0" collapsed="false">
      <c r="A1219" s="154" t="n">
        <v>378</v>
      </c>
      <c r="B1219" s="155" t="s">
        <v>1589</v>
      </c>
      <c r="C1219" s="148" t="str">
        <f aca="false">VLOOKUP($A1219,INSUMOS_AUX!$A$3:$H$813,3,0)</f>
        <v>M.O.</v>
      </c>
      <c r="D1219" s="156" t="s">
        <v>1444</v>
      </c>
      <c r="E1219" s="154" t="n">
        <v>0.019320414</v>
      </c>
      <c r="F1219" s="149" t="n">
        <f aca="false">IF(C1219="MAT.",VLOOKUP(A1219,INSUMOS_AUX!$A$3:$H$813,6,0),0)</f>
        <v>0</v>
      </c>
      <c r="G1219" s="149" t="n">
        <f aca="false">IF(C1219="M.O.",VLOOKUP(A1219,INSUMOS_AUX!A:F,6,0),0)</f>
        <v>20.22</v>
      </c>
    </row>
    <row r="1220" customFormat="false" ht="21" hidden="false" customHeight="false" outlineLevel="0" collapsed="false">
      <c r="A1220" s="150" t="n">
        <v>97088</v>
      </c>
      <c r="B1220" s="151" t="s">
        <v>1692</v>
      </c>
      <c r="C1220" s="152" t="s">
        <v>59</v>
      </c>
      <c r="D1220" s="152" t="s">
        <v>1513</v>
      </c>
      <c r="E1220" s="150"/>
      <c r="F1220" s="153" t="n">
        <f aca="false">(SUMPRODUCT($E1221:$E1231,F1221:F1231))*1</f>
        <v>13.91971</v>
      </c>
      <c r="G1220" s="153" t="n">
        <f aca="false">(SUMPRODUCT($E1221:$E1231,G1221:G1231))*1</f>
        <v>0.201195306</v>
      </c>
    </row>
    <row r="1221" customFormat="false" ht="21" hidden="false" customHeight="false" outlineLevel="0" collapsed="false">
      <c r="A1221" s="154" t="n">
        <v>37370</v>
      </c>
      <c r="B1221" s="155" t="s">
        <v>1443</v>
      </c>
      <c r="C1221" s="148" t="str">
        <f aca="false">VLOOKUP($A1221,INSUMOS_AUX!$A$3:$H$813,3,0)</f>
        <v>MAT.</v>
      </c>
      <c r="D1221" s="156" t="s">
        <v>1444</v>
      </c>
      <c r="E1221" s="154" t="n">
        <v>0.057</v>
      </c>
      <c r="F1221" s="149" t="n">
        <f aca="false">IF(C1221="MAT.",VLOOKUP(A1221,INSUMOS_AUX!$A$3:$H$813,6,0),0)</f>
        <v>3.32</v>
      </c>
      <c r="G1221" s="149" t="n">
        <f aca="false">IF(C1221="M.O.",VLOOKUP(A1221,INSUMOS_AUX!A:F,6,0),0)</f>
        <v>0</v>
      </c>
    </row>
    <row r="1222" customFormat="false" ht="21" hidden="false" customHeight="false" outlineLevel="0" collapsed="false">
      <c r="A1222" s="154" t="n">
        <v>43489</v>
      </c>
      <c r="B1222" s="155" t="s">
        <v>1456</v>
      </c>
      <c r="C1222" s="148" t="str">
        <f aca="false">VLOOKUP($A1222,INSUMOS_AUX!$A$3:$H$813,3,0)</f>
        <v>MAT.</v>
      </c>
      <c r="D1222" s="156" t="s">
        <v>1444</v>
      </c>
      <c r="E1222" s="154" t="n">
        <v>0.057</v>
      </c>
      <c r="F1222" s="149" t="n">
        <f aca="false">IF(C1222="MAT.",VLOOKUP(A1222,INSUMOS_AUX!$A$3:$H$813,6,0),0)</f>
        <v>1.31</v>
      </c>
      <c r="G1222" s="149" t="n">
        <f aca="false">IF(C1222="M.O.",VLOOKUP(A1222,INSUMOS_AUX!A:F,6,0),0)</f>
        <v>0</v>
      </c>
    </row>
    <row r="1223" customFormat="false" ht="21" hidden="false" customHeight="false" outlineLevel="0" collapsed="false">
      <c r="A1223" s="154" t="n">
        <v>37372</v>
      </c>
      <c r="B1223" s="155" t="s">
        <v>1446</v>
      </c>
      <c r="C1223" s="148" t="str">
        <f aca="false">VLOOKUP($A1223,INSUMOS_AUX!$A$3:$H$813,3,0)</f>
        <v>MAT.</v>
      </c>
      <c r="D1223" s="156" t="s">
        <v>1444</v>
      </c>
      <c r="E1223" s="154" t="n">
        <v>0.057</v>
      </c>
      <c r="F1223" s="149" t="n">
        <f aca="false">IF(C1223="MAT.",VLOOKUP(A1223,INSUMOS_AUX!$A$3:$H$813,6,0),0)</f>
        <v>1.43</v>
      </c>
      <c r="G1223" s="149" t="n">
        <f aca="false">IF(C1223="M.O.",VLOOKUP(A1223,INSUMOS_AUX!A:F,6,0),0)</f>
        <v>0</v>
      </c>
    </row>
    <row r="1224" customFormat="false" ht="21" hidden="false" customHeight="false" outlineLevel="0" collapsed="false">
      <c r="A1224" s="154" t="n">
        <v>43465</v>
      </c>
      <c r="B1224" s="155" t="s">
        <v>1458</v>
      </c>
      <c r="C1224" s="148" t="str">
        <f aca="false">VLOOKUP($A1224,INSUMOS_AUX!$A$3:$H$813,3,0)</f>
        <v>MAT.</v>
      </c>
      <c r="D1224" s="156" t="s">
        <v>1444</v>
      </c>
      <c r="E1224" s="154" t="n">
        <v>0.057</v>
      </c>
      <c r="F1224" s="149" t="n">
        <f aca="false">IF(C1224="MAT.",VLOOKUP(A1224,INSUMOS_AUX!$A$3:$H$813,6,0),0)</f>
        <v>0.78</v>
      </c>
      <c r="G1224" s="149" t="n">
        <f aca="false">IF(C1224="M.O.",VLOOKUP(A1224,INSUMOS_AUX!A:F,6,0),0)</f>
        <v>0</v>
      </c>
    </row>
    <row r="1225" customFormat="false" ht="21" hidden="false" customHeight="false" outlineLevel="0" collapsed="false">
      <c r="A1225" s="154" t="n">
        <v>37373</v>
      </c>
      <c r="B1225" s="155" t="s">
        <v>1448</v>
      </c>
      <c r="C1225" s="148" t="str">
        <f aca="false">VLOOKUP($A1225,INSUMOS_AUX!$A$3:$H$813,3,0)</f>
        <v>MAT.</v>
      </c>
      <c r="D1225" s="156" t="s">
        <v>1444</v>
      </c>
      <c r="E1225" s="154" t="n">
        <v>0.057</v>
      </c>
      <c r="F1225" s="149" t="n">
        <f aca="false">IF(C1225="MAT.",VLOOKUP(A1225,INSUMOS_AUX!$A$3:$H$813,6,0),0)</f>
        <v>0.08</v>
      </c>
      <c r="G1225" s="149" t="n">
        <f aca="false">IF(C1225="M.O.",VLOOKUP(A1225,INSUMOS_AUX!A:F,6,0),0)</f>
        <v>0</v>
      </c>
    </row>
    <row r="1226" customFormat="false" ht="21" hidden="false" customHeight="false" outlineLevel="0" collapsed="false">
      <c r="A1226" s="154" t="n">
        <v>37371</v>
      </c>
      <c r="B1226" s="155" t="s">
        <v>1449</v>
      </c>
      <c r="C1226" s="148" t="str">
        <f aca="false">VLOOKUP($A1226,INSUMOS_AUX!$A$3:$H$813,3,0)</f>
        <v>MAT.</v>
      </c>
      <c r="D1226" s="156" t="s">
        <v>1444</v>
      </c>
      <c r="E1226" s="154" t="n">
        <v>0.057</v>
      </c>
      <c r="F1226" s="149" t="n">
        <f aca="false">IF(C1226="MAT.",VLOOKUP(A1226,INSUMOS_AUX!$A$3:$H$813,6,0),0)</f>
        <v>0.59</v>
      </c>
      <c r="G1226" s="149" t="n">
        <f aca="false">IF(C1226="M.O.",VLOOKUP(A1226,INSUMOS_AUX!A:F,6,0),0)</f>
        <v>0</v>
      </c>
    </row>
    <row r="1227" customFormat="false" ht="21" hidden="false" customHeight="false" outlineLevel="0" collapsed="false">
      <c r="A1227" s="154" t="n">
        <v>43132</v>
      </c>
      <c r="B1227" s="155" t="s">
        <v>1565</v>
      </c>
      <c r="C1227" s="148" t="str">
        <f aca="false">VLOOKUP($A1227,INSUMOS_AUX!$A$3:$H$813,3,0)</f>
        <v>MAT.</v>
      </c>
      <c r="D1227" s="156" t="s">
        <v>1513</v>
      </c>
      <c r="E1227" s="154" t="n">
        <v>0.011</v>
      </c>
      <c r="F1227" s="149" t="n">
        <f aca="false">IF(C1227="MAT.",VLOOKUP(A1227,INSUMOS_AUX!$A$3:$H$813,6,0),0)</f>
        <v>28</v>
      </c>
      <c r="G1227" s="149" t="n">
        <f aca="false">IF(C1227="M.O.",VLOOKUP(A1227,INSUMOS_AUX!A:F,6,0),0)</f>
        <v>0</v>
      </c>
    </row>
    <row r="1228" customFormat="false" ht="31.5" hidden="false" customHeight="false" outlineLevel="0" collapsed="false">
      <c r="A1228" s="154" t="n">
        <v>21141</v>
      </c>
      <c r="B1228" s="155" t="s">
        <v>1693</v>
      </c>
      <c r="C1228" s="148" t="str">
        <f aca="false">VLOOKUP($A1228,INSUMOS_AUX!$A$3:$H$813,3,0)</f>
        <v>MAT.</v>
      </c>
      <c r="D1228" s="156" t="s">
        <v>1477</v>
      </c>
      <c r="E1228" s="154" t="n">
        <v>0.824</v>
      </c>
      <c r="F1228" s="149" t="n">
        <f aca="false">IF(C1228="MAT.",VLOOKUP(A1228,INSUMOS_AUX!$A$3:$H$813,6,0),0)</f>
        <v>11.43</v>
      </c>
      <c r="G1228" s="149" t="n">
        <f aca="false">IF(C1228="M.O.",VLOOKUP(A1228,INSUMOS_AUX!A:F,6,0),0)</f>
        <v>0</v>
      </c>
    </row>
    <row r="1229" customFormat="false" ht="31.5" hidden="false" customHeight="false" outlineLevel="0" collapsed="false">
      <c r="A1229" s="154" t="n">
        <v>42407</v>
      </c>
      <c r="B1229" s="155" t="s">
        <v>1586</v>
      </c>
      <c r="C1229" s="148" t="str">
        <f aca="false">VLOOKUP($A1229,INSUMOS_AUX!$A$3:$H$813,3,0)</f>
        <v>MAT.</v>
      </c>
      <c r="D1229" s="156" t="s">
        <v>1455</v>
      </c>
      <c r="E1229" s="154" t="n">
        <v>0.676</v>
      </c>
      <c r="F1229" s="149" t="n">
        <f aca="false">IF(C1229="MAT.",VLOOKUP(A1229,INSUMOS_AUX!$A$3:$H$813,6,0),0)</f>
        <v>5.57</v>
      </c>
      <c r="G1229" s="149" t="n">
        <f aca="false">IF(C1229="M.O.",VLOOKUP(A1229,INSUMOS_AUX!A:F,6,0),0)</f>
        <v>0</v>
      </c>
    </row>
    <row r="1230" customFormat="false" ht="15" hidden="false" customHeight="false" outlineLevel="0" collapsed="false">
      <c r="A1230" s="154" t="n">
        <v>6114</v>
      </c>
      <c r="B1230" s="155" t="s">
        <v>1588</v>
      </c>
      <c r="C1230" s="148" t="str">
        <f aca="false">VLOOKUP($A1230,INSUMOS_AUX!$A$3:$H$813,3,0)</f>
        <v>M.O.</v>
      </c>
      <c r="D1230" s="156" t="s">
        <v>1444</v>
      </c>
      <c r="E1230" s="154" t="n">
        <v>0.0151731</v>
      </c>
      <c r="F1230" s="149" t="n">
        <f aca="false">IF(C1230="MAT.",VLOOKUP(A1230,INSUMOS_AUX!$A$3:$H$813,6,0),0)</f>
        <v>0</v>
      </c>
      <c r="G1230" s="149" t="n">
        <f aca="false">IF(C1230="M.O.",VLOOKUP(A1230,INSUMOS_AUX!A:F,6,0),0)</f>
        <v>13.26</v>
      </c>
    </row>
    <row r="1231" customFormat="false" ht="15" hidden="false" customHeight="false" outlineLevel="0" collapsed="false">
      <c r="A1231" s="154" t="n">
        <v>378</v>
      </c>
      <c r="B1231" s="155" t="s">
        <v>1589</v>
      </c>
      <c r="C1231" s="148" t="s">
        <v>59</v>
      </c>
      <c r="D1231" s="156" t="s">
        <v>1444</v>
      </c>
      <c r="E1231" s="154" t="n">
        <v>0.04248468</v>
      </c>
      <c r="F1231" s="149" t="n">
        <f aca="false">IF(C1231="MAT.",VLOOKUP(A1231,INSUMOS_AUX!$A$3:$H$813,6,0),0)</f>
        <v>0</v>
      </c>
      <c r="G1231" s="149" t="n">
        <f aca="false">IF(C1231="M.O.",VLOOKUP(A1231,INSUMOS_AUX!A:F,6,0),0)</f>
        <v>0</v>
      </c>
    </row>
    <row r="1232" customFormat="false" ht="31.5" hidden="false" customHeight="false" outlineLevel="0" collapsed="false">
      <c r="A1232" s="150" t="n">
        <v>101995</v>
      </c>
      <c r="B1232" s="151" t="s">
        <v>1694</v>
      </c>
      <c r="C1232" s="152" t="s">
        <v>59</v>
      </c>
      <c r="D1232" s="152" t="s">
        <v>1477</v>
      </c>
      <c r="E1232" s="150"/>
      <c r="F1232" s="153" t="n">
        <f aca="false">(SUMPRODUCT($E1233:$E1250,F1233:F1250))*1</f>
        <v>89.262076022816</v>
      </c>
      <c r="G1232" s="153" t="n">
        <f aca="false">(SUMPRODUCT($E1233:$E1250,G1233:G1250))*1</f>
        <v>22.7340019548</v>
      </c>
    </row>
    <row r="1233" customFormat="false" ht="21" hidden="false" customHeight="false" outlineLevel="0" collapsed="false">
      <c r="A1233" s="154" t="n">
        <v>37370</v>
      </c>
      <c r="B1233" s="155" t="s">
        <v>1443</v>
      </c>
      <c r="C1233" s="148" t="str">
        <f aca="false">VLOOKUP($A1233,INSUMOS_AUX!$A$3:$H$813,3,0)</f>
        <v>MAT.</v>
      </c>
      <c r="D1233" s="156" t="s">
        <v>1444</v>
      </c>
      <c r="E1233" s="154" t="n">
        <v>1.22</v>
      </c>
      <c r="F1233" s="149" t="n">
        <f aca="false">IF(C1233="MAT.",VLOOKUP(A1233,INSUMOS_AUX!$A$3:$H$813,6,0),0)</f>
        <v>3.32</v>
      </c>
      <c r="G1233" s="149" t="n">
        <f aca="false">IF(C1233="M.O.",VLOOKUP(A1233,INSUMOS_AUX!A:F,6,0),0)</f>
        <v>0</v>
      </c>
    </row>
    <row r="1234" customFormat="false" ht="21" hidden="false" customHeight="false" outlineLevel="0" collapsed="false">
      <c r="A1234" s="154" t="n">
        <v>43483</v>
      </c>
      <c r="B1234" s="155" t="s">
        <v>1486</v>
      </c>
      <c r="C1234" s="148" t="str">
        <f aca="false">VLOOKUP($A1234,INSUMOS_AUX!$A$3:$H$813,3,0)</f>
        <v>MAT.</v>
      </c>
      <c r="D1234" s="156" t="s">
        <v>1444</v>
      </c>
      <c r="E1234" s="154" t="n">
        <v>1.046</v>
      </c>
      <c r="F1234" s="149" t="n">
        <f aca="false">IF(C1234="MAT.",VLOOKUP(A1234,INSUMOS_AUX!$A$3:$H$813,6,0),0)</f>
        <v>1.43</v>
      </c>
      <c r="G1234" s="149" t="n">
        <f aca="false">IF(C1234="M.O.",VLOOKUP(A1234,INSUMOS_AUX!A:F,6,0),0)</f>
        <v>0</v>
      </c>
    </row>
    <row r="1235" customFormat="false" ht="21" hidden="false" customHeight="false" outlineLevel="0" collapsed="false">
      <c r="A1235" s="154" t="n">
        <v>43488</v>
      </c>
      <c r="B1235" s="155" t="s">
        <v>1445</v>
      </c>
      <c r="C1235" s="148" t="str">
        <f aca="false">VLOOKUP($A1235,INSUMOS_AUX!$A$3:$H$813,3,0)</f>
        <v>MAT.</v>
      </c>
      <c r="D1235" s="156" t="s">
        <v>1444</v>
      </c>
      <c r="E1235" s="154" t="n">
        <v>0.174</v>
      </c>
      <c r="F1235" s="149" t="n">
        <f aca="false">IF(C1235="MAT.",VLOOKUP(A1235,INSUMOS_AUX!$A$3:$H$813,6,0),0)</f>
        <v>0.89</v>
      </c>
      <c r="G1235" s="149" t="n">
        <f aca="false">IF(C1235="M.O.",VLOOKUP(A1235,INSUMOS_AUX!A:F,6,0),0)</f>
        <v>0</v>
      </c>
    </row>
    <row r="1236" customFormat="false" ht="21" hidden="false" customHeight="false" outlineLevel="0" collapsed="false">
      <c r="A1236" s="154" t="n">
        <v>37372</v>
      </c>
      <c r="B1236" s="155" t="s">
        <v>1446</v>
      </c>
      <c r="C1236" s="148" t="str">
        <f aca="false">VLOOKUP($A1236,INSUMOS_AUX!$A$3:$H$813,3,0)</f>
        <v>MAT.</v>
      </c>
      <c r="D1236" s="156" t="s">
        <v>1444</v>
      </c>
      <c r="E1236" s="154" t="n">
        <v>1.22</v>
      </c>
      <c r="F1236" s="149" t="n">
        <f aca="false">IF(C1236="MAT.",VLOOKUP(A1236,INSUMOS_AUX!$A$3:$H$813,6,0),0)</f>
        <v>1.43</v>
      </c>
      <c r="G1236" s="149" t="n">
        <f aca="false">IF(C1236="M.O.",VLOOKUP(A1236,INSUMOS_AUX!A:F,6,0),0)</f>
        <v>0</v>
      </c>
    </row>
    <row r="1237" customFormat="false" ht="21" hidden="false" customHeight="false" outlineLevel="0" collapsed="false">
      <c r="A1237" s="154" t="n">
        <v>43459</v>
      </c>
      <c r="B1237" s="155" t="s">
        <v>1487</v>
      </c>
      <c r="C1237" s="148" t="str">
        <f aca="false">VLOOKUP($A1237,INSUMOS_AUX!$A$3:$H$813,3,0)</f>
        <v>MAT.</v>
      </c>
      <c r="D1237" s="156" t="s">
        <v>1444</v>
      </c>
      <c r="E1237" s="154" t="n">
        <v>1.046</v>
      </c>
      <c r="F1237" s="149" t="n">
        <f aca="false">IF(C1237="MAT.",VLOOKUP(A1237,INSUMOS_AUX!$A$3:$H$813,6,0),0)</f>
        <v>0.44</v>
      </c>
      <c r="G1237" s="149" t="n">
        <f aca="false">IF(C1237="M.O.",VLOOKUP(A1237,INSUMOS_AUX!A:F,6,0),0)</f>
        <v>0</v>
      </c>
    </row>
    <row r="1238" customFormat="false" ht="21" hidden="false" customHeight="false" outlineLevel="0" collapsed="false">
      <c r="A1238" s="154" t="n">
        <v>43464</v>
      </c>
      <c r="B1238" s="155" t="s">
        <v>1447</v>
      </c>
      <c r="C1238" s="148" t="str">
        <f aca="false">VLOOKUP($A1238,INSUMOS_AUX!$A$3:$H$813,3,0)</f>
        <v>MAT.</v>
      </c>
      <c r="D1238" s="156" t="s">
        <v>1444</v>
      </c>
      <c r="E1238" s="154" t="n">
        <v>0.174</v>
      </c>
      <c r="F1238" s="149" t="n">
        <f aca="false">IF(C1238="MAT.",VLOOKUP(A1238,INSUMOS_AUX!$A$3:$H$813,6,0),0)</f>
        <v>0.01</v>
      </c>
      <c r="G1238" s="149" t="n">
        <f aca="false">IF(C1238="M.O.",VLOOKUP(A1238,INSUMOS_AUX!A:F,6,0),0)</f>
        <v>0</v>
      </c>
    </row>
    <row r="1239" customFormat="false" ht="21" hidden="false" customHeight="false" outlineLevel="0" collapsed="false">
      <c r="A1239" s="154" t="n">
        <v>37373</v>
      </c>
      <c r="B1239" s="155" t="s">
        <v>1448</v>
      </c>
      <c r="C1239" s="148" t="str">
        <f aca="false">VLOOKUP($A1239,INSUMOS_AUX!$A$3:$H$813,3,0)</f>
        <v>MAT.</v>
      </c>
      <c r="D1239" s="156" t="s">
        <v>1444</v>
      </c>
      <c r="E1239" s="154" t="n">
        <v>1.22</v>
      </c>
      <c r="F1239" s="149" t="n">
        <f aca="false">IF(C1239="MAT.",VLOOKUP(A1239,INSUMOS_AUX!$A$3:$H$813,6,0),0)</f>
        <v>0.08</v>
      </c>
      <c r="G1239" s="149" t="n">
        <f aca="false">IF(C1239="M.O.",VLOOKUP(A1239,INSUMOS_AUX!A:F,6,0),0)</f>
        <v>0</v>
      </c>
    </row>
    <row r="1240" customFormat="false" ht="21" hidden="false" customHeight="false" outlineLevel="0" collapsed="false">
      <c r="A1240" s="154" t="n">
        <v>37371</v>
      </c>
      <c r="B1240" s="155" t="s">
        <v>1449</v>
      </c>
      <c r="C1240" s="148" t="str">
        <f aca="false">VLOOKUP($A1240,INSUMOS_AUX!$A$3:$H$813,3,0)</f>
        <v>MAT.</v>
      </c>
      <c r="D1240" s="156" t="s">
        <v>1444</v>
      </c>
      <c r="E1240" s="154" t="n">
        <v>1.22</v>
      </c>
      <c r="F1240" s="149" t="n">
        <f aca="false">IF(C1240="MAT.",VLOOKUP(A1240,INSUMOS_AUX!$A$3:$H$813,6,0),0)</f>
        <v>0.59</v>
      </c>
      <c r="G1240" s="149" t="n">
        <f aca="false">IF(C1240="M.O.",VLOOKUP(A1240,INSUMOS_AUX!A:F,6,0),0)</f>
        <v>0</v>
      </c>
    </row>
    <row r="1241" customFormat="false" ht="21" hidden="false" customHeight="false" outlineLevel="0" collapsed="false">
      <c r="A1241" s="154" t="n">
        <v>14618</v>
      </c>
      <c r="B1241" s="155" t="s">
        <v>1592</v>
      </c>
      <c r="C1241" s="148" t="str">
        <f aca="false">VLOOKUP($A1241,INSUMOS_AUX!$A$3:$H$813,3,0)</f>
        <v>MAT.</v>
      </c>
      <c r="D1241" s="156" t="s">
        <v>31</v>
      </c>
      <c r="E1241" s="154" t="n">
        <v>1.82032E-005</v>
      </c>
      <c r="F1241" s="149" t="n">
        <f aca="false">IF(C1241="MAT.",VLOOKUP(A1241,INSUMOS_AUX!$A$3:$H$813,6,0),0)</f>
        <v>1283.38</v>
      </c>
      <c r="G1241" s="149" t="n">
        <f aca="false">IF(C1241="M.O.",VLOOKUP(A1241,INSUMOS_AUX!A:F,6,0),0)</f>
        <v>0</v>
      </c>
    </row>
    <row r="1242" customFormat="false" ht="15" hidden="false" customHeight="false" outlineLevel="0" collapsed="false">
      <c r="A1242" s="154" t="n">
        <v>2705</v>
      </c>
      <c r="B1242" s="155" t="s">
        <v>1467</v>
      </c>
      <c r="C1242" s="148" t="str">
        <f aca="false">VLOOKUP($A1242,INSUMOS_AUX!$A$3:$H$813,3,0)</f>
        <v>MAT.</v>
      </c>
      <c r="D1242" s="156" t="s">
        <v>1468</v>
      </c>
      <c r="E1242" s="154" t="n">
        <v>0.08432</v>
      </c>
      <c r="F1242" s="149" t="n">
        <f aca="false">IF(C1242="MAT.",VLOOKUP(A1242,INSUMOS_AUX!$A$3:$H$813,6,0),0)</f>
        <v>0.92</v>
      </c>
      <c r="G1242" s="149" t="n">
        <f aca="false">IF(C1242="M.O.",VLOOKUP(A1242,INSUMOS_AUX!A:F,6,0),0)</f>
        <v>0</v>
      </c>
    </row>
    <row r="1243" customFormat="false" ht="31.5" hidden="false" customHeight="false" outlineLevel="0" collapsed="false">
      <c r="A1243" s="154" t="n">
        <v>1358</v>
      </c>
      <c r="B1243" s="155" t="s">
        <v>1641</v>
      </c>
      <c r="C1243" s="148" t="s">
        <v>59</v>
      </c>
      <c r="D1243" s="156" t="s">
        <v>1477</v>
      </c>
      <c r="E1243" s="154" t="n">
        <v>1.328</v>
      </c>
      <c r="F1243" s="149" t="n">
        <f aca="false">IF(C1243="MAT.",VLOOKUP(A1243,INSUMOS_AUX!$A$3:$H$813,6,0),0)</f>
        <v>0</v>
      </c>
      <c r="G1243" s="149" t="n">
        <f aca="false">IF(C1243="M.O.",VLOOKUP(A1243,INSUMOS_AUX!A:F,6,0),0)</f>
        <v>0</v>
      </c>
    </row>
    <row r="1244" customFormat="false" ht="21" hidden="false" customHeight="false" outlineLevel="0" collapsed="false">
      <c r="A1244" s="154" t="n">
        <v>4491</v>
      </c>
      <c r="B1244" s="155" t="s">
        <v>1578</v>
      </c>
      <c r="C1244" s="148" t="str">
        <f aca="false">VLOOKUP($A1244,INSUMOS_AUX!$A$3:$H$813,3,0)</f>
        <v>MAT.</v>
      </c>
      <c r="D1244" s="156" t="s">
        <v>1455</v>
      </c>
      <c r="E1244" s="154" t="n">
        <v>7.188</v>
      </c>
      <c r="F1244" s="149" t="n">
        <f aca="false">IF(C1244="MAT.",VLOOKUP(A1244,INSUMOS_AUX!$A$3:$H$813,6,0),0)</f>
        <v>10.25</v>
      </c>
      <c r="G1244" s="149" t="n">
        <f aca="false">IF(C1244="M.O.",VLOOKUP(A1244,INSUMOS_AUX!A:F,6,0),0)</f>
        <v>0</v>
      </c>
    </row>
    <row r="1245" customFormat="false" ht="15" hidden="false" customHeight="false" outlineLevel="0" collapsed="false">
      <c r="A1245" s="154" t="n">
        <v>20247</v>
      </c>
      <c r="B1245" s="155" t="s">
        <v>1695</v>
      </c>
      <c r="C1245" s="148" t="str">
        <f aca="false">VLOOKUP($A1245,INSUMOS_AUX!$A$3:$H$813,3,0)</f>
        <v>MAT.</v>
      </c>
      <c r="D1245" s="156" t="s">
        <v>1513</v>
      </c>
      <c r="E1245" s="154" t="n">
        <v>0.036</v>
      </c>
      <c r="F1245" s="149" t="n">
        <f aca="false">IF(C1245="MAT.",VLOOKUP(A1245,INSUMOS_AUX!$A$3:$H$813,6,0),0)</f>
        <v>22.53</v>
      </c>
      <c r="G1245" s="149" t="n">
        <f aca="false">IF(C1245="M.O.",VLOOKUP(A1245,INSUMOS_AUX!A:F,6,0),0)</f>
        <v>0</v>
      </c>
    </row>
    <row r="1246" customFormat="false" ht="15" hidden="false" customHeight="false" outlineLevel="0" collapsed="false">
      <c r="A1246" s="154" t="n">
        <v>5073</v>
      </c>
      <c r="B1246" s="155" t="s">
        <v>1651</v>
      </c>
      <c r="C1246" s="148" t="str">
        <f aca="false">VLOOKUP($A1246,INSUMOS_AUX!$A$3:$H$813,3,0)</f>
        <v>MAT.</v>
      </c>
      <c r="D1246" s="156" t="s">
        <v>1513</v>
      </c>
      <c r="E1246" s="154" t="n">
        <v>0.08</v>
      </c>
      <c r="F1246" s="149" t="n">
        <f aca="false">IF(C1246="MAT.",VLOOKUP(A1246,INSUMOS_AUX!$A$3:$H$813,6,0),0)</f>
        <v>20.74</v>
      </c>
      <c r="G1246" s="149" t="n">
        <f aca="false">IF(C1246="M.O.",VLOOKUP(A1246,INSUMOS_AUX!A:F,6,0),0)</f>
        <v>0</v>
      </c>
    </row>
    <row r="1247" customFormat="false" ht="21" hidden="false" customHeight="false" outlineLevel="0" collapsed="false">
      <c r="A1247" s="154" t="n">
        <v>4517</v>
      </c>
      <c r="B1247" s="155" t="s">
        <v>1582</v>
      </c>
      <c r="C1247" s="148" t="str">
        <f aca="false">VLOOKUP($A1247,INSUMOS_AUX!$A$3:$H$813,3,0)</f>
        <v>MAT.</v>
      </c>
      <c r="D1247" s="156" t="s">
        <v>1455</v>
      </c>
      <c r="E1247" s="154" t="n">
        <v>1.198</v>
      </c>
      <c r="F1247" s="149" t="n">
        <f aca="false">IF(C1247="MAT.",VLOOKUP(A1247,INSUMOS_AUX!$A$3:$H$813,6,0),0)</f>
        <v>3.58</v>
      </c>
      <c r="G1247" s="149" t="n">
        <f aca="false">IF(C1247="M.O.",VLOOKUP(A1247,INSUMOS_AUX!A:F,6,0),0)</f>
        <v>0</v>
      </c>
    </row>
    <row r="1248" customFormat="false" ht="15" hidden="false" customHeight="false" outlineLevel="0" collapsed="false">
      <c r="A1248" s="154" t="n">
        <v>6117</v>
      </c>
      <c r="B1248" s="155" t="s">
        <v>1555</v>
      </c>
      <c r="C1248" s="148" t="str">
        <f aca="false">VLOOKUP($A1248,INSUMOS_AUX!$A$3:$H$813,3,0)</f>
        <v>M.O.</v>
      </c>
      <c r="D1248" s="156" t="s">
        <v>1444</v>
      </c>
      <c r="E1248" s="154" t="n">
        <v>0.17656824</v>
      </c>
      <c r="F1248" s="149" t="n">
        <f aca="false">IF(C1248="MAT.",VLOOKUP(A1248,INSUMOS_AUX!$A$3:$H$813,6,0),0)</f>
        <v>0</v>
      </c>
      <c r="G1248" s="149" t="n">
        <f aca="false">IF(C1248="M.O.",VLOOKUP(A1248,INSUMOS_AUX!A:F,6,0),0)</f>
        <v>13.26</v>
      </c>
    </row>
    <row r="1249" customFormat="false" ht="15" hidden="false" customHeight="false" outlineLevel="0" collapsed="false">
      <c r="A1249" s="154" t="n">
        <v>1213</v>
      </c>
      <c r="B1249" s="155" t="s">
        <v>1516</v>
      </c>
      <c r="C1249" s="148" t="str">
        <f aca="false">VLOOKUP($A1249,INSUMOS_AUX!$A$3:$H$813,3,0)</f>
        <v>M.O.</v>
      </c>
      <c r="D1249" s="156" t="s">
        <v>1444</v>
      </c>
      <c r="E1249" s="154" t="n">
        <v>0.88206288</v>
      </c>
      <c r="F1249" s="149" t="n">
        <f aca="false">IF(C1249="MAT.",VLOOKUP(A1249,INSUMOS_AUX!$A$3:$H$813,6,0),0)</f>
        <v>0</v>
      </c>
      <c r="G1249" s="149" t="n">
        <f aca="false">IF(C1249="M.O.",VLOOKUP(A1249,INSUMOS_AUX!A:F,6,0),0)</f>
        <v>20.22</v>
      </c>
    </row>
    <row r="1250" customFormat="false" ht="21" hidden="false" customHeight="false" outlineLevel="0" collapsed="false">
      <c r="A1250" s="154" t="n">
        <v>4230</v>
      </c>
      <c r="B1250" s="155" t="s">
        <v>1597</v>
      </c>
      <c r="C1250" s="148" t="str">
        <f aca="false">VLOOKUP($A1250,INSUMOS_AUX!$A$3:$H$813,3,0)</f>
        <v>M.O.</v>
      </c>
      <c r="D1250" s="156" t="s">
        <v>1444</v>
      </c>
      <c r="E1250" s="154" t="n">
        <v>0.17600796</v>
      </c>
      <c r="F1250" s="149" t="n">
        <f aca="false">IF(C1250="MAT.",VLOOKUP(A1250,INSUMOS_AUX!$A$3:$H$813,6,0),0)</f>
        <v>0</v>
      </c>
      <c r="G1250" s="149" t="n">
        <f aca="false">IF(C1250="M.O.",VLOOKUP(A1250,INSUMOS_AUX!A:F,6,0),0)</f>
        <v>14.53</v>
      </c>
    </row>
    <row r="1251" customFormat="false" ht="31.5" hidden="false" customHeight="false" outlineLevel="0" collapsed="false">
      <c r="A1251" s="150" t="n">
        <v>95943</v>
      </c>
      <c r="B1251" s="151" t="s">
        <v>1696</v>
      </c>
      <c r="C1251" s="152" t="s">
        <v>59</v>
      </c>
      <c r="D1251" s="152" t="s">
        <v>1513</v>
      </c>
      <c r="E1251" s="150"/>
      <c r="F1251" s="153" t="n">
        <f aca="false">(SUMPRODUCT($E1252:$E1262,F1252:F1262))*1</f>
        <v>12.005468</v>
      </c>
      <c r="G1251" s="153" t="n">
        <f aca="false">(SUMPRODUCT($E1252:$E1262,G1252:G1262))*1</f>
        <v>9.57963986208</v>
      </c>
    </row>
    <row r="1252" customFormat="false" ht="21" hidden="false" customHeight="false" outlineLevel="0" collapsed="false">
      <c r="A1252" s="154" t="n">
        <v>37370</v>
      </c>
      <c r="B1252" s="155" t="s">
        <v>1443</v>
      </c>
      <c r="C1252" s="148" t="str">
        <f aca="false">VLOOKUP($A1252,INSUMOS_AUX!$A$3:$H$813,3,0)</f>
        <v>MAT.</v>
      </c>
      <c r="D1252" s="156" t="s">
        <v>1444</v>
      </c>
      <c r="E1252" s="154" t="n">
        <v>0.4916</v>
      </c>
      <c r="F1252" s="149" t="n">
        <f aca="false">IF(C1252="MAT.",VLOOKUP(A1252,INSUMOS_AUX!$A$3:$H$813,6,0),0)</f>
        <v>3.32</v>
      </c>
      <c r="G1252" s="149" t="n">
        <f aca="false">IF(C1252="M.O.",VLOOKUP(A1252,INSUMOS_AUX!A:F,6,0),0)</f>
        <v>0</v>
      </c>
    </row>
    <row r="1253" customFormat="false" ht="21" hidden="false" customHeight="false" outlineLevel="0" collapsed="false">
      <c r="A1253" s="154" t="n">
        <v>43489</v>
      </c>
      <c r="B1253" s="155" t="s">
        <v>1456</v>
      </c>
      <c r="C1253" s="148" t="str">
        <f aca="false">VLOOKUP($A1253,INSUMOS_AUX!$A$3:$H$813,3,0)</f>
        <v>MAT.</v>
      </c>
      <c r="D1253" s="156" t="s">
        <v>1444</v>
      </c>
      <c r="E1253" s="154" t="n">
        <v>0.4916</v>
      </c>
      <c r="F1253" s="149" t="n">
        <f aca="false">IF(C1253="MAT.",VLOOKUP(A1253,INSUMOS_AUX!$A$3:$H$813,6,0),0)</f>
        <v>1.31</v>
      </c>
      <c r="G1253" s="149" t="n">
        <f aca="false">IF(C1253="M.O.",VLOOKUP(A1253,INSUMOS_AUX!A:F,6,0),0)</f>
        <v>0</v>
      </c>
    </row>
    <row r="1254" customFormat="false" ht="21" hidden="false" customHeight="false" outlineLevel="0" collapsed="false">
      <c r="A1254" s="154" t="n">
        <v>37372</v>
      </c>
      <c r="B1254" s="155" t="s">
        <v>1446</v>
      </c>
      <c r="C1254" s="148" t="str">
        <f aca="false">VLOOKUP($A1254,INSUMOS_AUX!$A$3:$H$813,3,0)</f>
        <v>MAT.</v>
      </c>
      <c r="D1254" s="156" t="s">
        <v>1444</v>
      </c>
      <c r="E1254" s="154" t="n">
        <v>0.4916</v>
      </c>
      <c r="F1254" s="149" t="n">
        <f aca="false">IF(C1254="MAT.",VLOOKUP(A1254,INSUMOS_AUX!$A$3:$H$813,6,0),0)</f>
        <v>1.43</v>
      </c>
      <c r="G1254" s="149" t="n">
        <f aca="false">IF(C1254="M.O.",VLOOKUP(A1254,INSUMOS_AUX!A:F,6,0),0)</f>
        <v>0</v>
      </c>
    </row>
    <row r="1255" customFormat="false" ht="21" hidden="false" customHeight="false" outlineLevel="0" collapsed="false">
      <c r="A1255" s="154" t="n">
        <v>43465</v>
      </c>
      <c r="B1255" s="155" t="s">
        <v>1458</v>
      </c>
      <c r="C1255" s="148" t="s">
        <v>59</v>
      </c>
      <c r="D1255" s="156" t="s">
        <v>1444</v>
      </c>
      <c r="E1255" s="154" t="n">
        <v>0.4916</v>
      </c>
      <c r="F1255" s="149" t="n">
        <f aca="false">IF(C1255="MAT.",VLOOKUP(A1255,INSUMOS_AUX!$A$3:$H$813,6,0),0)</f>
        <v>0</v>
      </c>
      <c r="G1255" s="149" t="n">
        <f aca="false">IF(C1255="M.O.",VLOOKUP(A1255,INSUMOS_AUX!A:F,6,0),0)</f>
        <v>0</v>
      </c>
    </row>
    <row r="1256" customFormat="false" ht="21" hidden="false" customHeight="false" outlineLevel="0" collapsed="false">
      <c r="A1256" s="154" t="n">
        <v>37373</v>
      </c>
      <c r="B1256" s="155" t="s">
        <v>1448</v>
      </c>
      <c r="C1256" s="148" t="str">
        <f aca="false">VLOOKUP($A1256,INSUMOS_AUX!$A$3:$H$813,3,0)</f>
        <v>MAT.</v>
      </c>
      <c r="D1256" s="156" t="s">
        <v>1444</v>
      </c>
      <c r="E1256" s="154" t="n">
        <v>0.4916</v>
      </c>
      <c r="F1256" s="149" t="n">
        <f aca="false">IF(C1256="MAT.",VLOOKUP(A1256,INSUMOS_AUX!$A$3:$H$813,6,0),0)</f>
        <v>0.08</v>
      </c>
      <c r="G1256" s="149" t="n">
        <f aca="false">IF(C1256="M.O.",VLOOKUP(A1256,INSUMOS_AUX!A:F,6,0),0)</f>
        <v>0</v>
      </c>
    </row>
    <row r="1257" customFormat="false" ht="21" hidden="false" customHeight="false" outlineLevel="0" collapsed="false">
      <c r="A1257" s="154" t="n">
        <v>37371</v>
      </c>
      <c r="B1257" s="155" t="s">
        <v>1449</v>
      </c>
      <c r="C1257" s="148" t="str">
        <f aca="false">VLOOKUP($A1257,INSUMOS_AUX!$A$3:$H$813,3,0)</f>
        <v>MAT.</v>
      </c>
      <c r="D1257" s="156" t="s">
        <v>1444</v>
      </c>
      <c r="E1257" s="154" t="n">
        <v>0.4916</v>
      </c>
      <c r="F1257" s="149" t="n">
        <f aca="false">IF(C1257="MAT.",VLOOKUP(A1257,INSUMOS_AUX!$A$3:$H$813,6,0),0)</f>
        <v>0.59</v>
      </c>
      <c r="G1257" s="149" t="n">
        <f aca="false">IF(C1257="M.O.",VLOOKUP(A1257,INSUMOS_AUX!A:F,6,0),0)</f>
        <v>0</v>
      </c>
    </row>
    <row r="1258" customFormat="false" ht="15" hidden="false" customHeight="false" outlineLevel="0" collapsed="false">
      <c r="A1258" s="154" t="n">
        <v>43059</v>
      </c>
      <c r="B1258" s="155" t="s">
        <v>1630</v>
      </c>
      <c r="C1258" s="148" t="str">
        <f aca="false">VLOOKUP($A1258,INSUMOS_AUX!$A$3:$H$813,3,0)</f>
        <v>MAT.</v>
      </c>
      <c r="D1258" s="156" t="s">
        <v>1513</v>
      </c>
      <c r="E1258" s="154" t="n">
        <v>1.07</v>
      </c>
      <c r="F1258" s="149" t="n">
        <f aca="false">IF(C1258="MAT.",VLOOKUP(A1258,INSUMOS_AUX!$A$3:$H$813,6,0),0)</f>
        <v>7.26</v>
      </c>
      <c r="G1258" s="149" t="n">
        <f aca="false">IF(C1258="M.O.",VLOOKUP(A1258,INSUMOS_AUX!A:F,6,0),0)</f>
        <v>0</v>
      </c>
    </row>
    <row r="1259" customFormat="false" ht="21" hidden="false" customHeight="false" outlineLevel="0" collapsed="false">
      <c r="A1259" s="154" t="n">
        <v>43132</v>
      </c>
      <c r="B1259" s="155" t="s">
        <v>1565</v>
      </c>
      <c r="C1259" s="148" t="str">
        <f aca="false">VLOOKUP($A1259,INSUMOS_AUX!$A$3:$H$813,3,0)</f>
        <v>MAT.</v>
      </c>
      <c r="D1259" s="156" t="s">
        <v>1513</v>
      </c>
      <c r="E1259" s="154" t="n">
        <v>0.025</v>
      </c>
      <c r="F1259" s="149" t="n">
        <f aca="false">IF(C1259="MAT.",VLOOKUP(A1259,INSUMOS_AUX!$A$3:$H$813,6,0),0)</f>
        <v>28</v>
      </c>
      <c r="G1259" s="149" t="n">
        <f aca="false">IF(C1259="M.O.",VLOOKUP(A1259,INSUMOS_AUX!A:F,6,0),0)</f>
        <v>0</v>
      </c>
    </row>
    <row r="1260" customFormat="false" ht="21" hidden="false" customHeight="false" outlineLevel="0" collapsed="false">
      <c r="A1260" s="154" t="n">
        <v>39017</v>
      </c>
      <c r="B1260" s="155" t="s">
        <v>1621</v>
      </c>
      <c r="C1260" s="148" t="str">
        <f aca="false">VLOOKUP($A1260,INSUMOS_AUX!$A$3:$H$813,3,0)</f>
        <v>MAT.</v>
      </c>
      <c r="D1260" s="156" t="s">
        <v>31</v>
      </c>
      <c r="E1260" s="154" t="n">
        <v>1.04</v>
      </c>
      <c r="F1260" s="149" t="n">
        <f aca="false">IF(C1260="MAT.",VLOOKUP(A1260,INSUMOS_AUX!$A$3:$H$813,6,0),0)</f>
        <v>0.22</v>
      </c>
      <c r="G1260" s="149" t="n">
        <f aca="false">IF(C1260="M.O.",VLOOKUP(A1260,INSUMOS_AUX!A:F,6,0),0)</f>
        <v>0</v>
      </c>
    </row>
    <row r="1261" customFormat="false" ht="15" hidden="false" customHeight="false" outlineLevel="0" collapsed="false">
      <c r="A1261" s="154" t="n">
        <v>6114</v>
      </c>
      <c r="B1261" s="155" t="s">
        <v>1588</v>
      </c>
      <c r="C1261" s="148" t="str">
        <f aca="false">VLOOKUP($A1261,INSUMOS_AUX!$A$3:$H$813,3,0)</f>
        <v>M.O.</v>
      </c>
      <c r="D1261" s="156" t="s">
        <v>1444</v>
      </c>
      <c r="E1261" s="154" t="n">
        <v>0.06827895</v>
      </c>
      <c r="F1261" s="149" t="n">
        <f aca="false">IF(C1261="MAT.",VLOOKUP(A1261,INSUMOS_AUX!$A$3:$H$813,6,0),0)</f>
        <v>0</v>
      </c>
      <c r="G1261" s="149" t="n">
        <f aca="false">IF(C1261="M.O.",VLOOKUP(A1261,INSUMOS_AUX!A:F,6,0),0)</f>
        <v>13.26</v>
      </c>
    </row>
    <row r="1262" customFormat="false" ht="15" hidden="false" customHeight="false" outlineLevel="0" collapsed="false">
      <c r="A1262" s="154" t="n">
        <v>378</v>
      </c>
      <c r="B1262" s="155" t="s">
        <v>1589</v>
      </c>
      <c r="C1262" s="148" t="str">
        <f aca="false">VLOOKUP($A1262,INSUMOS_AUX!$A$3:$H$813,3,0)</f>
        <v>M.O.</v>
      </c>
      <c r="D1262" s="156" t="s">
        <v>1444</v>
      </c>
      <c r="E1262" s="154" t="n">
        <v>0.428994114</v>
      </c>
      <c r="F1262" s="149" t="n">
        <f aca="false">IF(C1262="MAT.",VLOOKUP(A1262,INSUMOS_AUX!$A$3:$H$813,6,0),0)</f>
        <v>0</v>
      </c>
      <c r="G1262" s="149" t="n">
        <f aca="false">IF(C1262="M.O.",VLOOKUP(A1262,INSUMOS_AUX!A:F,6,0),0)</f>
        <v>20.22</v>
      </c>
    </row>
    <row r="1263" customFormat="false" ht="31.5" hidden="false" customHeight="false" outlineLevel="0" collapsed="false">
      <c r="A1263" s="150" t="n">
        <v>95944</v>
      </c>
      <c r="B1263" s="151" t="s">
        <v>1697</v>
      </c>
      <c r="C1263" s="152" t="s">
        <v>59</v>
      </c>
      <c r="D1263" s="152" t="s">
        <v>1513</v>
      </c>
      <c r="E1263" s="150"/>
      <c r="F1263" s="153" t="n">
        <f aca="false">(SUMPRODUCT($E1264:$E1274,F1264:F1274))*1</f>
        <v>12.107013</v>
      </c>
      <c r="G1263" s="153" t="n">
        <f aca="false">(SUMPRODUCT($E1264:$E1274,G1264:G1274))*1</f>
        <v>7.40751348924</v>
      </c>
    </row>
    <row r="1264" customFormat="false" ht="21" hidden="false" customHeight="false" outlineLevel="0" collapsed="false">
      <c r="A1264" s="154" t="n">
        <v>37370</v>
      </c>
      <c r="B1264" s="155" t="s">
        <v>1443</v>
      </c>
      <c r="C1264" s="148" t="str">
        <f aca="false">VLOOKUP($A1264,INSUMOS_AUX!$A$3:$H$813,3,0)</f>
        <v>MAT.</v>
      </c>
      <c r="D1264" s="156" t="s">
        <v>1444</v>
      </c>
      <c r="E1264" s="154" t="n">
        <v>0.3801</v>
      </c>
      <c r="F1264" s="149" t="n">
        <f aca="false">IF(C1264="MAT.",VLOOKUP(A1264,INSUMOS_AUX!$A$3:$H$813,6,0),0)</f>
        <v>3.32</v>
      </c>
      <c r="G1264" s="149" t="n">
        <f aca="false">IF(C1264="M.O.",VLOOKUP(A1264,INSUMOS_AUX!A:F,6,0),0)</f>
        <v>0</v>
      </c>
    </row>
    <row r="1265" customFormat="false" ht="21" hidden="false" customHeight="false" outlineLevel="0" collapsed="false">
      <c r="A1265" s="154" t="n">
        <v>43489</v>
      </c>
      <c r="B1265" s="155" t="s">
        <v>1456</v>
      </c>
      <c r="C1265" s="148" t="str">
        <f aca="false">VLOOKUP($A1265,INSUMOS_AUX!$A$3:$H$813,3,0)</f>
        <v>MAT.</v>
      </c>
      <c r="D1265" s="156" t="s">
        <v>1444</v>
      </c>
      <c r="E1265" s="154" t="n">
        <v>0.3801</v>
      </c>
      <c r="F1265" s="149" t="n">
        <f aca="false">IF(C1265="MAT.",VLOOKUP(A1265,INSUMOS_AUX!$A$3:$H$813,6,0),0)</f>
        <v>1.31</v>
      </c>
      <c r="G1265" s="149" t="n">
        <f aca="false">IF(C1265="M.O.",VLOOKUP(A1265,INSUMOS_AUX!A:F,6,0),0)</f>
        <v>0</v>
      </c>
    </row>
    <row r="1266" customFormat="false" ht="21" hidden="false" customHeight="false" outlineLevel="0" collapsed="false">
      <c r="A1266" s="154" t="n">
        <v>37372</v>
      </c>
      <c r="B1266" s="155" t="s">
        <v>1446</v>
      </c>
      <c r="C1266" s="148" t="str">
        <f aca="false">VLOOKUP($A1266,INSUMOS_AUX!$A$3:$H$813,3,0)</f>
        <v>MAT.</v>
      </c>
      <c r="D1266" s="156" t="s">
        <v>1444</v>
      </c>
      <c r="E1266" s="154" t="n">
        <v>0.3801</v>
      </c>
      <c r="F1266" s="149" t="n">
        <f aca="false">IF(C1266="MAT.",VLOOKUP(A1266,INSUMOS_AUX!$A$3:$H$813,6,0),0)</f>
        <v>1.43</v>
      </c>
      <c r="G1266" s="149" t="n">
        <f aca="false">IF(C1266="M.O.",VLOOKUP(A1266,INSUMOS_AUX!A:F,6,0),0)</f>
        <v>0</v>
      </c>
    </row>
    <row r="1267" customFormat="false" ht="21" hidden="false" customHeight="false" outlineLevel="0" collapsed="false">
      <c r="A1267" s="154" t="n">
        <v>43465</v>
      </c>
      <c r="B1267" s="155" t="s">
        <v>1458</v>
      </c>
      <c r="C1267" s="148" t="s">
        <v>59</v>
      </c>
      <c r="D1267" s="156" t="s">
        <v>1444</v>
      </c>
      <c r="E1267" s="154" t="n">
        <v>0.3801</v>
      </c>
      <c r="F1267" s="149" t="n">
        <f aca="false">IF(C1267="MAT.",VLOOKUP(A1267,INSUMOS_AUX!$A$3:$H$813,6,0),0)</f>
        <v>0</v>
      </c>
      <c r="G1267" s="149" t="n">
        <f aca="false">IF(C1267="M.O.",VLOOKUP(A1267,INSUMOS_AUX!A:F,6,0),0)</f>
        <v>0</v>
      </c>
    </row>
    <row r="1268" customFormat="false" ht="21" hidden="false" customHeight="false" outlineLevel="0" collapsed="false">
      <c r="A1268" s="154" t="n">
        <v>37373</v>
      </c>
      <c r="B1268" s="155" t="s">
        <v>1448</v>
      </c>
      <c r="C1268" s="148" t="str">
        <f aca="false">VLOOKUP($A1268,INSUMOS_AUX!$A$3:$H$813,3,0)</f>
        <v>MAT.</v>
      </c>
      <c r="D1268" s="156" t="s">
        <v>1444</v>
      </c>
      <c r="E1268" s="154" t="n">
        <v>0.3801</v>
      </c>
      <c r="F1268" s="149" t="n">
        <f aca="false">IF(C1268="MAT.",VLOOKUP(A1268,INSUMOS_AUX!$A$3:$H$813,6,0),0)</f>
        <v>0.08</v>
      </c>
      <c r="G1268" s="149" t="n">
        <f aca="false">IF(C1268="M.O.",VLOOKUP(A1268,INSUMOS_AUX!A:F,6,0),0)</f>
        <v>0</v>
      </c>
    </row>
    <row r="1269" customFormat="false" ht="21" hidden="false" customHeight="false" outlineLevel="0" collapsed="false">
      <c r="A1269" s="154" t="n">
        <v>37371</v>
      </c>
      <c r="B1269" s="155" t="s">
        <v>1449</v>
      </c>
      <c r="C1269" s="148" t="str">
        <f aca="false">VLOOKUP($A1269,INSUMOS_AUX!$A$3:$H$813,3,0)</f>
        <v>MAT.</v>
      </c>
      <c r="D1269" s="156" t="s">
        <v>1444</v>
      </c>
      <c r="E1269" s="154" t="n">
        <v>0.3801</v>
      </c>
      <c r="F1269" s="149" t="n">
        <f aca="false">IF(C1269="MAT.",VLOOKUP(A1269,INSUMOS_AUX!$A$3:$H$813,6,0),0)</f>
        <v>0.59</v>
      </c>
      <c r="G1269" s="149" t="n">
        <f aca="false">IF(C1269="M.O.",VLOOKUP(A1269,INSUMOS_AUX!A:F,6,0),0)</f>
        <v>0</v>
      </c>
    </row>
    <row r="1270" customFormat="false" ht="15" hidden="false" customHeight="false" outlineLevel="0" collapsed="false">
      <c r="A1270" s="154" t="n">
        <v>32</v>
      </c>
      <c r="B1270" s="155" t="s">
        <v>1619</v>
      </c>
      <c r="C1270" s="148" t="str">
        <f aca="false">VLOOKUP($A1270,INSUMOS_AUX!$A$3:$H$813,3,0)</f>
        <v>MAT.</v>
      </c>
      <c r="D1270" s="156" t="s">
        <v>1513</v>
      </c>
      <c r="E1270" s="154" t="n">
        <v>1.07</v>
      </c>
      <c r="F1270" s="149" t="n">
        <f aca="false">IF(C1270="MAT.",VLOOKUP(A1270,INSUMOS_AUX!$A$3:$H$813,6,0),0)</f>
        <v>8.1</v>
      </c>
      <c r="G1270" s="149" t="n">
        <f aca="false">IF(C1270="M.O.",VLOOKUP(A1270,INSUMOS_AUX!A:F,6,0),0)</f>
        <v>0</v>
      </c>
    </row>
    <row r="1271" customFormat="false" ht="21" hidden="false" customHeight="false" outlineLevel="0" collapsed="false">
      <c r="A1271" s="154" t="n">
        <v>43132</v>
      </c>
      <c r="B1271" s="155" t="s">
        <v>1565</v>
      </c>
      <c r="C1271" s="148" t="str">
        <f aca="false">VLOOKUP($A1271,INSUMOS_AUX!$A$3:$H$813,3,0)</f>
        <v>MAT.</v>
      </c>
      <c r="D1271" s="156" t="s">
        <v>1513</v>
      </c>
      <c r="E1271" s="154" t="n">
        <v>0.025</v>
      </c>
      <c r="F1271" s="149" t="n">
        <f aca="false">IF(C1271="MAT.",VLOOKUP(A1271,INSUMOS_AUX!$A$3:$H$813,6,0),0)</f>
        <v>28</v>
      </c>
      <c r="G1271" s="149" t="n">
        <f aca="false">IF(C1271="M.O.",VLOOKUP(A1271,INSUMOS_AUX!A:F,6,0),0)</f>
        <v>0</v>
      </c>
    </row>
    <row r="1272" customFormat="false" ht="21" hidden="false" customHeight="false" outlineLevel="0" collapsed="false">
      <c r="A1272" s="154" t="n">
        <v>39017</v>
      </c>
      <c r="B1272" s="155" t="s">
        <v>1621</v>
      </c>
      <c r="C1272" s="148" t="str">
        <f aca="false">VLOOKUP($A1272,INSUMOS_AUX!$A$3:$H$813,3,0)</f>
        <v>MAT.</v>
      </c>
      <c r="D1272" s="156" t="s">
        <v>31</v>
      </c>
      <c r="E1272" s="154" t="n">
        <v>0.827</v>
      </c>
      <c r="F1272" s="149" t="n">
        <f aca="false">IF(C1272="MAT.",VLOOKUP(A1272,INSUMOS_AUX!$A$3:$H$813,6,0),0)</f>
        <v>0.22</v>
      </c>
      <c r="G1272" s="149" t="n">
        <f aca="false">IF(C1272="M.O.",VLOOKUP(A1272,INSUMOS_AUX!A:F,6,0),0)</f>
        <v>0</v>
      </c>
    </row>
    <row r="1273" customFormat="false" ht="15" hidden="false" customHeight="false" outlineLevel="0" collapsed="false">
      <c r="A1273" s="154" t="n">
        <v>6114</v>
      </c>
      <c r="B1273" s="155" t="s">
        <v>1588</v>
      </c>
      <c r="C1273" s="148" t="str">
        <f aca="false">VLOOKUP($A1273,INSUMOS_AUX!$A$3:$H$813,3,0)</f>
        <v>M.O.</v>
      </c>
      <c r="D1273" s="156" t="s">
        <v>1444</v>
      </c>
      <c r="E1273" s="154" t="n">
        <v>0.052701234</v>
      </c>
      <c r="F1273" s="149" t="n">
        <f aca="false">IF(C1273="MAT.",VLOOKUP(A1273,INSUMOS_AUX!$A$3:$H$813,6,0),0)</f>
        <v>0</v>
      </c>
      <c r="G1273" s="149" t="n">
        <f aca="false">IF(C1273="M.O.",VLOOKUP(A1273,INSUMOS_AUX!A:F,6,0),0)</f>
        <v>13.26</v>
      </c>
    </row>
    <row r="1274" customFormat="false" ht="15" hidden="false" customHeight="false" outlineLevel="0" collapsed="false">
      <c r="A1274" s="154" t="n">
        <v>378</v>
      </c>
      <c r="B1274" s="155" t="s">
        <v>1589</v>
      </c>
      <c r="C1274" s="148" t="str">
        <f aca="false">VLOOKUP($A1274,INSUMOS_AUX!$A$3:$H$813,3,0)</f>
        <v>M.O.</v>
      </c>
      <c r="D1274" s="156" t="s">
        <v>1444</v>
      </c>
      <c r="E1274" s="154" t="n">
        <v>0.33178512</v>
      </c>
      <c r="F1274" s="149" t="n">
        <f aca="false">IF(C1274="MAT.",VLOOKUP(A1274,INSUMOS_AUX!$A$3:$H$813,6,0),0)</f>
        <v>0</v>
      </c>
      <c r="G1274" s="149" t="n">
        <f aca="false">IF(C1274="M.O.",VLOOKUP(A1274,INSUMOS_AUX!A:F,6,0),0)</f>
        <v>20.22</v>
      </c>
    </row>
    <row r="1275" customFormat="false" ht="31.5" hidden="false" customHeight="false" outlineLevel="0" collapsed="false">
      <c r="A1275" s="150" t="n">
        <v>95945</v>
      </c>
      <c r="B1275" s="151" t="s">
        <v>1698</v>
      </c>
      <c r="C1275" s="152" t="s">
        <v>59</v>
      </c>
      <c r="D1275" s="152" t="s">
        <v>1513</v>
      </c>
      <c r="E1275" s="150"/>
      <c r="F1275" s="153" t="n">
        <f aca="false">(SUMPRODUCT($E1276:$E1286,F1276:F1286))*1</f>
        <v>11.362974</v>
      </c>
      <c r="G1275" s="153" t="n">
        <f aca="false">(SUMPRODUCT($E1276:$E1286,G1276:G1286))*1</f>
        <v>4.3211168028</v>
      </c>
    </row>
    <row r="1276" customFormat="false" ht="21" hidden="false" customHeight="false" outlineLevel="0" collapsed="false">
      <c r="A1276" s="154" t="n">
        <v>37370</v>
      </c>
      <c r="B1276" s="155" t="s">
        <v>1443</v>
      </c>
      <c r="C1276" s="148" t="str">
        <f aca="false">VLOOKUP($A1276,INSUMOS_AUX!$A$3:$H$813,3,0)</f>
        <v>MAT.</v>
      </c>
      <c r="D1276" s="156" t="s">
        <v>1444</v>
      </c>
      <c r="E1276" s="154" t="n">
        <v>0.2218</v>
      </c>
      <c r="F1276" s="149" t="n">
        <f aca="false">IF(C1276="MAT.",VLOOKUP(A1276,INSUMOS_AUX!$A$3:$H$813,6,0),0)</f>
        <v>3.32</v>
      </c>
      <c r="G1276" s="149" t="n">
        <f aca="false">IF(C1276="M.O.",VLOOKUP(A1276,INSUMOS_AUX!A:F,6,0),0)</f>
        <v>0</v>
      </c>
    </row>
    <row r="1277" customFormat="false" ht="21" hidden="false" customHeight="false" outlineLevel="0" collapsed="false">
      <c r="A1277" s="154" t="n">
        <v>43489</v>
      </c>
      <c r="B1277" s="155" t="s">
        <v>1456</v>
      </c>
      <c r="C1277" s="148" t="str">
        <f aca="false">VLOOKUP($A1277,INSUMOS_AUX!$A$3:$H$813,3,0)</f>
        <v>MAT.</v>
      </c>
      <c r="D1277" s="156" t="s">
        <v>1444</v>
      </c>
      <c r="E1277" s="154" t="n">
        <v>0.2218</v>
      </c>
      <c r="F1277" s="149" t="n">
        <f aca="false">IF(C1277="MAT.",VLOOKUP(A1277,INSUMOS_AUX!$A$3:$H$813,6,0),0)</f>
        <v>1.31</v>
      </c>
      <c r="G1277" s="149" t="n">
        <f aca="false">IF(C1277="M.O.",VLOOKUP(A1277,INSUMOS_AUX!A:F,6,0),0)</f>
        <v>0</v>
      </c>
    </row>
    <row r="1278" customFormat="false" ht="21" hidden="false" customHeight="false" outlineLevel="0" collapsed="false">
      <c r="A1278" s="154" t="n">
        <v>37372</v>
      </c>
      <c r="B1278" s="155" t="s">
        <v>1446</v>
      </c>
      <c r="C1278" s="148" t="str">
        <f aca="false">VLOOKUP($A1278,INSUMOS_AUX!$A$3:$H$813,3,0)</f>
        <v>MAT.</v>
      </c>
      <c r="D1278" s="156" t="s">
        <v>1444</v>
      </c>
      <c r="E1278" s="154" t="n">
        <v>0.2218</v>
      </c>
      <c r="F1278" s="149" t="n">
        <f aca="false">IF(C1278="MAT.",VLOOKUP(A1278,INSUMOS_AUX!$A$3:$H$813,6,0),0)</f>
        <v>1.43</v>
      </c>
      <c r="G1278" s="149" t="n">
        <f aca="false">IF(C1278="M.O.",VLOOKUP(A1278,INSUMOS_AUX!A:F,6,0),0)</f>
        <v>0</v>
      </c>
    </row>
    <row r="1279" customFormat="false" ht="21" hidden="false" customHeight="false" outlineLevel="0" collapsed="false">
      <c r="A1279" s="154" t="n">
        <v>43465</v>
      </c>
      <c r="B1279" s="155" t="s">
        <v>1458</v>
      </c>
      <c r="C1279" s="148" t="s">
        <v>59</v>
      </c>
      <c r="D1279" s="156" t="s">
        <v>1444</v>
      </c>
      <c r="E1279" s="154" t="n">
        <v>0.2218</v>
      </c>
      <c r="F1279" s="149" t="n">
        <f aca="false">IF(C1279="MAT.",VLOOKUP(A1279,INSUMOS_AUX!$A$3:$H$813,6,0),0)</f>
        <v>0</v>
      </c>
      <c r="G1279" s="149" t="n">
        <f aca="false">IF(C1279="M.O.",VLOOKUP(A1279,INSUMOS_AUX!A:F,6,0),0)</f>
        <v>0</v>
      </c>
    </row>
    <row r="1280" customFormat="false" ht="21" hidden="false" customHeight="false" outlineLevel="0" collapsed="false">
      <c r="A1280" s="154" t="n">
        <v>37373</v>
      </c>
      <c r="B1280" s="155" t="s">
        <v>1448</v>
      </c>
      <c r="C1280" s="148" t="str">
        <f aca="false">VLOOKUP($A1280,INSUMOS_AUX!$A$3:$H$813,3,0)</f>
        <v>MAT.</v>
      </c>
      <c r="D1280" s="156" t="s">
        <v>1444</v>
      </c>
      <c r="E1280" s="154" t="n">
        <v>0.2218</v>
      </c>
      <c r="F1280" s="149" t="n">
        <f aca="false">IF(C1280="MAT.",VLOOKUP(A1280,INSUMOS_AUX!$A$3:$H$813,6,0),0)</f>
        <v>0.08</v>
      </c>
      <c r="G1280" s="149" t="n">
        <f aca="false">IF(C1280="M.O.",VLOOKUP(A1280,INSUMOS_AUX!A:F,6,0),0)</f>
        <v>0</v>
      </c>
    </row>
    <row r="1281" customFormat="false" ht="21" hidden="false" customHeight="false" outlineLevel="0" collapsed="false">
      <c r="A1281" s="154" t="n">
        <v>37371</v>
      </c>
      <c r="B1281" s="155" t="s">
        <v>1449</v>
      </c>
      <c r="C1281" s="148" t="str">
        <f aca="false">VLOOKUP($A1281,INSUMOS_AUX!$A$3:$H$813,3,0)</f>
        <v>MAT.</v>
      </c>
      <c r="D1281" s="156" t="s">
        <v>1444</v>
      </c>
      <c r="E1281" s="154" t="n">
        <v>0.2218</v>
      </c>
      <c r="F1281" s="149" t="n">
        <f aca="false">IF(C1281="MAT.",VLOOKUP(A1281,INSUMOS_AUX!$A$3:$H$813,6,0),0)</f>
        <v>0.59</v>
      </c>
      <c r="G1281" s="149" t="n">
        <f aca="false">IF(C1281="M.O.",VLOOKUP(A1281,INSUMOS_AUX!A:F,6,0),0)</f>
        <v>0</v>
      </c>
    </row>
    <row r="1282" customFormat="false" ht="15" hidden="false" customHeight="false" outlineLevel="0" collapsed="false">
      <c r="A1282" s="154" t="n">
        <v>33</v>
      </c>
      <c r="B1282" s="155" t="s">
        <v>1633</v>
      </c>
      <c r="C1282" s="148" t="str">
        <f aca="false">VLOOKUP($A1282,INSUMOS_AUX!$A$3:$H$813,3,0)</f>
        <v>MAT.</v>
      </c>
      <c r="D1282" s="156" t="s">
        <v>1513</v>
      </c>
      <c r="E1282" s="154" t="n">
        <v>1.11</v>
      </c>
      <c r="F1282" s="149" t="n">
        <f aca="false">IF(C1282="MAT.",VLOOKUP(A1282,INSUMOS_AUX!$A$3:$H$813,6,0),0)</f>
        <v>8.14</v>
      </c>
      <c r="G1282" s="149" t="n">
        <f aca="false">IF(C1282="M.O.",VLOOKUP(A1282,INSUMOS_AUX!A:F,6,0),0)</f>
        <v>0</v>
      </c>
    </row>
    <row r="1283" customFormat="false" ht="21" hidden="false" customHeight="false" outlineLevel="0" collapsed="false">
      <c r="A1283" s="154" t="n">
        <v>43132</v>
      </c>
      <c r="B1283" s="155" t="s">
        <v>1565</v>
      </c>
      <c r="C1283" s="148" t="str">
        <f aca="false">VLOOKUP($A1283,INSUMOS_AUX!$A$3:$H$813,3,0)</f>
        <v>MAT.</v>
      </c>
      <c r="D1283" s="156" t="s">
        <v>1513</v>
      </c>
      <c r="E1283" s="154" t="n">
        <v>0.025</v>
      </c>
      <c r="F1283" s="149" t="n">
        <f aca="false">IF(C1283="MAT.",VLOOKUP(A1283,INSUMOS_AUX!$A$3:$H$813,6,0),0)</f>
        <v>28</v>
      </c>
      <c r="G1283" s="149" t="n">
        <f aca="false">IF(C1283="M.O.",VLOOKUP(A1283,INSUMOS_AUX!A:F,6,0),0)</f>
        <v>0</v>
      </c>
    </row>
    <row r="1284" customFormat="false" ht="21" hidden="false" customHeight="false" outlineLevel="0" collapsed="false">
      <c r="A1284" s="154" t="n">
        <v>39017</v>
      </c>
      <c r="B1284" s="155" t="s">
        <v>1621</v>
      </c>
      <c r="C1284" s="148" t="str">
        <f aca="false">VLOOKUP($A1284,INSUMOS_AUX!$A$3:$H$813,3,0)</f>
        <v>MAT.</v>
      </c>
      <c r="D1284" s="156" t="s">
        <v>31</v>
      </c>
      <c r="E1284" s="154" t="n">
        <v>0.613</v>
      </c>
      <c r="F1284" s="149" t="n">
        <f aca="false">IF(C1284="MAT.",VLOOKUP(A1284,INSUMOS_AUX!$A$3:$H$813,6,0),0)</f>
        <v>0.22</v>
      </c>
      <c r="G1284" s="149" t="n">
        <f aca="false">IF(C1284="M.O.",VLOOKUP(A1284,INSUMOS_AUX!A:F,6,0),0)</f>
        <v>0</v>
      </c>
    </row>
    <row r="1285" customFormat="false" ht="15" hidden="false" customHeight="false" outlineLevel="0" collapsed="false">
      <c r="A1285" s="154" t="n">
        <v>6114</v>
      </c>
      <c r="B1285" s="155" t="s">
        <v>1588</v>
      </c>
      <c r="C1285" s="148" t="str">
        <f aca="false">VLOOKUP($A1285,INSUMOS_AUX!$A$3:$H$813,3,0)</f>
        <v>M.O.</v>
      </c>
      <c r="D1285" s="156" t="s">
        <v>1444</v>
      </c>
      <c r="E1285" s="154" t="n">
        <v>0.030953124</v>
      </c>
      <c r="F1285" s="149" t="n">
        <f aca="false">IF(C1285="MAT.",VLOOKUP(A1285,INSUMOS_AUX!$A$3:$H$813,6,0),0)</f>
        <v>0</v>
      </c>
      <c r="G1285" s="149" t="n">
        <f aca="false">IF(C1285="M.O.",VLOOKUP(A1285,INSUMOS_AUX!A:F,6,0),0)</f>
        <v>13.26</v>
      </c>
    </row>
    <row r="1286" customFormat="false" ht="15" hidden="false" customHeight="false" outlineLevel="0" collapsed="false">
      <c r="A1286" s="154" t="n">
        <v>378</v>
      </c>
      <c r="B1286" s="155" t="s">
        <v>1589</v>
      </c>
      <c r="C1286" s="148" t="str">
        <f aca="false">VLOOKUP($A1286,INSUMOS_AUX!$A$3:$H$813,3,0)</f>
        <v>M.O.</v>
      </c>
      <c r="D1286" s="156" t="s">
        <v>1444</v>
      </c>
      <c r="E1286" s="154" t="n">
        <v>0.193406448</v>
      </c>
      <c r="F1286" s="149" t="n">
        <f aca="false">IF(C1286="MAT.",VLOOKUP(A1286,INSUMOS_AUX!$A$3:$H$813,6,0),0)</f>
        <v>0</v>
      </c>
      <c r="G1286" s="149" t="n">
        <f aca="false">IF(C1286="M.O.",VLOOKUP(A1286,INSUMOS_AUX!A:F,6,0),0)</f>
        <v>20.22</v>
      </c>
    </row>
    <row r="1287" customFormat="false" ht="31.5" hidden="false" customHeight="false" outlineLevel="0" collapsed="false">
      <c r="A1287" s="150" t="n">
        <v>95946</v>
      </c>
      <c r="B1287" s="151" t="s">
        <v>1699</v>
      </c>
      <c r="C1287" s="152" t="s">
        <v>59</v>
      </c>
      <c r="D1287" s="152" t="s">
        <v>1513</v>
      </c>
      <c r="E1287" s="150"/>
      <c r="F1287" s="153" t="n">
        <f aca="false">(SUMPRODUCT($E1288:$E1298,F1288:F1298))*1</f>
        <v>10.121836</v>
      </c>
      <c r="G1287" s="153" t="n">
        <f aca="false">(SUMPRODUCT($E1288:$E1298,G1288:G1298))*1</f>
        <v>2.3225767632</v>
      </c>
    </row>
    <row r="1288" customFormat="false" ht="21" hidden="false" customHeight="false" outlineLevel="0" collapsed="false">
      <c r="A1288" s="154" t="n">
        <v>37370</v>
      </c>
      <c r="B1288" s="155" t="s">
        <v>1443</v>
      </c>
      <c r="C1288" s="148" t="str">
        <f aca="false">VLOOKUP($A1288,INSUMOS_AUX!$A$3:$H$813,3,0)</f>
        <v>MAT.</v>
      </c>
      <c r="D1288" s="156" t="s">
        <v>1444</v>
      </c>
      <c r="E1288" s="154" t="n">
        <v>0.1192</v>
      </c>
      <c r="F1288" s="149" t="n">
        <f aca="false">IF(C1288="MAT.",VLOOKUP(A1288,INSUMOS_AUX!$A$3:$H$813,6,0),0)</f>
        <v>3.32</v>
      </c>
      <c r="G1288" s="149" t="n">
        <f aca="false">IF(C1288="M.O.",VLOOKUP(A1288,INSUMOS_AUX!A:F,6,0),0)</f>
        <v>0</v>
      </c>
    </row>
    <row r="1289" customFormat="false" ht="21" hidden="false" customHeight="false" outlineLevel="0" collapsed="false">
      <c r="A1289" s="154" t="n">
        <v>43489</v>
      </c>
      <c r="B1289" s="155" t="s">
        <v>1456</v>
      </c>
      <c r="C1289" s="148" t="str">
        <f aca="false">VLOOKUP($A1289,INSUMOS_AUX!$A$3:$H$813,3,0)</f>
        <v>MAT.</v>
      </c>
      <c r="D1289" s="156" t="s">
        <v>1444</v>
      </c>
      <c r="E1289" s="154" t="n">
        <v>0.1192</v>
      </c>
      <c r="F1289" s="149" t="n">
        <f aca="false">IF(C1289="MAT.",VLOOKUP(A1289,INSUMOS_AUX!$A$3:$H$813,6,0),0)</f>
        <v>1.31</v>
      </c>
      <c r="G1289" s="149" t="n">
        <f aca="false">IF(C1289="M.O.",VLOOKUP(A1289,INSUMOS_AUX!A:F,6,0),0)</f>
        <v>0</v>
      </c>
    </row>
    <row r="1290" customFormat="false" ht="21" hidden="false" customHeight="false" outlineLevel="0" collapsed="false">
      <c r="A1290" s="154" t="n">
        <v>37372</v>
      </c>
      <c r="B1290" s="155" t="s">
        <v>1446</v>
      </c>
      <c r="C1290" s="148" t="str">
        <f aca="false">VLOOKUP($A1290,INSUMOS_AUX!$A$3:$H$813,3,0)</f>
        <v>MAT.</v>
      </c>
      <c r="D1290" s="156" t="s">
        <v>1444</v>
      </c>
      <c r="E1290" s="154" t="n">
        <v>0.1192</v>
      </c>
      <c r="F1290" s="149" t="n">
        <f aca="false">IF(C1290="MAT.",VLOOKUP(A1290,INSUMOS_AUX!$A$3:$H$813,6,0),0)</f>
        <v>1.43</v>
      </c>
      <c r="G1290" s="149" t="n">
        <f aca="false">IF(C1290="M.O.",VLOOKUP(A1290,INSUMOS_AUX!A:F,6,0),0)</f>
        <v>0</v>
      </c>
    </row>
    <row r="1291" customFormat="false" ht="21" hidden="false" customHeight="false" outlineLevel="0" collapsed="false">
      <c r="A1291" s="154" t="n">
        <v>43465</v>
      </c>
      <c r="B1291" s="155" t="s">
        <v>1458</v>
      </c>
      <c r="C1291" s="148" t="s">
        <v>59</v>
      </c>
      <c r="D1291" s="156" t="s">
        <v>1444</v>
      </c>
      <c r="E1291" s="154" t="n">
        <v>0.1192</v>
      </c>
      <c r="F1291" s="149" t="n">
        <f aca="false">IF(C1291="MAT.",VLOOKUP(A1291,INSUMOS_AUX!$A$3:$H$813,6,0),0)</f>
        <v>0</v>
      </c>
      <c r="G1291" s="149" t="n">
        <f aca="false">IF(C1291="M.O.",VLOOKUP(A1291,INSUMOS_AUX!A:F,6,0),0)</f>
        <v>0</v>
      </c>
    </row>
    <row r="1292" customFormat="false" ht="21" hidden="false" customHeight="false" outlineLevel="0" collapsed="false">
      <c r="A1292" s="154" t="n">
        <v>37373</v>
      </c>
      <c r="B1292" s="155" t="s">
        <v>1448</v>
      </c>
      <c r="C1292" s="148" t="str">
        <f aca="false">VLOOKUP($A1292,INSUMOS_AUX!$A$3:$H$813,3,0)</f>
        <v>MAT.</v>
      </c>
      <c r="D1292" s="156" t="s">
        <v>1444</v>
      </c>
      <c r="E1292" s="154" t="n">
        <v>0.1192</v>
      </c>
      <c r="F1292" s="149" t="n">
        <f aca="false">IF(C1292="MAT.",VLOOKUP(A1292,INSUMOS_AUX!$A$3:$H$813,6,0),0)</f>
        <v>0.08</v>
      </c>
      <c r="G1292" s="149" t="n">
        <f aca="false">IF(C1292="M.O.",VLOOKUP(A1292,INSUMOS_AUX!A:F,6,0),0)</f>
        <v>0</v>
      </c>
    </row>
    <row r="1293" customFormat="false" ht="21" hidden="false" customHeight="false" outlineLevel="0" collapsed="false">
      <c r="A1293" s="154" t="n">
        <v>37371</v>
      </c>
      <c r="B1293" s="155" t="s">
        <v>1449</v>
      </c>
      <c r="C1293" s="148" t="str">
        <f aca="false">VLOOKUP($A1293,INSUMOS_AUX!$A$3:$H$813,3,0)</f>
        <v>MAT.</v>
      </c>
      <c r="D1293" s="156" t="s">
        <v>1444</v>
      </c>
      <c r="E1293" s="154" t="n">
        <v>0.1192</v>
      </c>
      <c r="F1293" s="149" t="n">
        <f aca="false">IF(C1293="MAT.",VLOOKUP(A1293,INSUMOS_AUX!$A$3:$H$813,6,0),0)</f>
        <v>0.59</v>
      </c>
      <c r="G1293" s="149" t="n">
        <f aca="false">IF(C1293="M.O.",VLOOKUP(A1293,INSUMOS_AUX!A:F,6,0),0)</f>
        <v>0</v>
      </c>
    </row>
    <row r="1294" customFormat="false" ht="15" hidden="false" customHeight="false" outlineLevel="0" collapsed="false">
      <c r="A1294" s="154" t="n">
        <v>34</v>
      </c>
      <c r="B1294" s="155" t="s">
        <v>1645</v>
      </c>
      <c r="C1294" s="148" t="str">
        <f aca="false">VLOOKUP($A1294,INSUMOS_AUX!$A$3:$H$813,3,0)</f>
        <v>MAT.</v>
      </c>
      <c r="D1294" s="156" t="s">
        <v>1513</v>
      </c>
      <c r="E1294" s="154" t="n">
        <v>1.11</v>
      </c>
      <c r="F1294" s="149" t="n">
        <f aca="false">IF(C1294="MAT.",VLOOKUP(A1294,INSUMOS_AUX!$A$3:$H$813,6,0),0)</f>
        <v>7.68</v>
      </c>
      <c r="G1294" s="149" t="n">
        <f aca="false">IF(C1294="M.O.",VLOOKUP(A1294,INSUMOS_AUX!A:F,6,0),0)</f>
        <v>0</v>
      </c>
    </row>
    <row r="1295" customFormat="false" ht="21" hidden="false" customHeight="false" outlineLevel="0" collapsed="false">
      <c r="A1295" s="154" t="n">
        <v>43132</v>
      </c>
      <c r="B1295" s="155" t="s">
        <v>1565</v>
      </c>
      <c r="C1295" s="148" t="str">
        <f aca="false">VLOOKUP($A1295,INSUMOS_AUX!$A$3:$H$813,3,0)</f>
        <v>MAT.</v>
      </c>
      <c r="D1295" s="156" t="s">
        <v>1513</v>
      </c>
      <c r="E1295" s="154" t="n">
        <v>0.025</v>
      </c>
      <c r="F1295" s="149" t="n">
        <f aca="false">IF(C1295="MAT.",VLOOKUP(A1295,INSUMOS_AUX!$A$3:$H$813,6,0),0)</f>
        <v>28</v>
      </c>
      <c r="G1295" s="149" t="n">
        <f aca="false">IF(C1295="M.O.",VLOOKUP(A1295,INSUMOS_AUX!A:F,6,0),0)</f>
        <v>0</v>
      </c>
    </row>
    <row r="1296" customFormat="false" ht="21" hidden="false" customHeight="false" outlineLevel="0" collapsed="false">
      <c r="A1296" s="154" t="n">
        <v>39017</v>
      </c>
      <c r="B1296" s="155" t="s">
        <v>1621</v>
      </c>
      <c r="C1296" s="148" t="str">
        <f aca="false">VLOOKUP($A1296,INSUMOS_AUX!$A$3:$H$813,3,0)</f>
        <v>MAT.</v>
      </c>
      <c r="D1296" s="156" t="s">
        <v>31</v>
      </c>
      <c r="E1296" s="154" t="n">
        <v>0.431</v>
      </c>
      <c r="F1296" s="149" t="n">
        <f aca="false">IF(C1296="MAT.",VLOOKUP(A1296,INSUMOS_AUX!$A$3:$H$813,6,0),0)</f>
        <v>0.22</v>
      </c>
      <c r="G1296" s="149" t="n">
        <f aca="false">IF(C1296="M.O.",VLOOKUP(A1296,INSUMOS_AUX!A:F,6,0),0)</f>
        <v>0</v>
      </c>
    </row>
    <row r="1297" customFormat="false" ht="15" hidden="false" customHeight="false" outlineLevel="0" collapsed="false">
      <c r="A1297" s="154" t="n">
        <v>6114</v>
      </c>
      <c r="B1297" s="155" t="s">
        <v>1588</v>
      </c>
      <c r="C1297" s="148" t="str">
        <f aca="false">VLOOKUP($A1297,INSUMOS_AUX!$A$3:$H$813,3,0)</f>
        <v>M.O.</v>
      </c>
      <c r="D1297" s="156" t="s">
        <v>1444</v>
      </c>
      <c r="E1297" s="154" t="n">
        <v>0.016589256</v>
      </c>
      <c r="F1297" s="149" t="n">
        <f aca="false">IF(C1297="MAT.",VLOOKUP(A1297,INSUMOS_AUX!$A$3:$H$813,6,0),0)</f>
        <v>0</v>
      </c>
      <c r="G1297" s="149" t="n">
        <f aca="false">IF(C1297="M.O.",VLOOKUP(A1297,INSUMOS_AUX!A:F,6,0),0)</f>
        <v>13.26</v>
      </c>
    </row>
    <row r="1298" customFormat="false" ht="15" hidden="false" customHeight="false" outlineLevel="0" collapsed="false">
      <c r="A1298" s="154" t="n">
        <v>378</v>
      </c>
      <c r="B1298" s="155" t="s">
        <v>1589</v>
      </c>
      <c r="C1298" s="148" t="str">
        <f aca="false">VLOOKUP($A1298,INSUMOS_AUX!$A$3:$H$813,3,0)</f>
        <v>M.O.</v>
      </c>
      <c r="D1298" s="156" t="s">
        <v>1444</v>
      </c>
      <c r="E1298" s="154" t="n">
        <v>0.103986312</v>
      </c>
      <c r="F1298" s="149" t="n">
        <f aca="false">IF(C1298="MAT.",VLOOKUP(A1298,INSUMOS_AUX!$A$3:$H$813,6,0),0)</f>
        <v>0</v>
      </c>
      <c r="G1298" s="149" t="n">
        <f aca="false">IF(C1298="M.O.",VLOOKUP(A1298,INSUMOS_AUX!A:F,6,0),0)</f>
        <v>20.22</v>
      </c>
    </row>
    <row r="1299" customFormat="false" ht="31.5" hidden="false" customHeight="false" outlineLevel="0" collapsed="false">
      <c r="A1299" s="150" t="n">
        <v>95947</v>
      </c>
      <c r="B1299" s="151" t="s">
        <v>1700</v>
      </c>
      <c r="C1299" s="152" t="s">
        <v>59</v>
      </c>
      <c r="D1299" s="152" t="s">
        <v>1513</v>
      </c>
      <c r="E1299" s="150"/>
      <c r="F1299" s="153" t="n">
        <f aca="false">(SUMPRODUCT($E1300:$E1310,F1300:F1310))*1</f>
        <v>8.510118</v>
      </c>
      <c r="G1299" s="153" t="n">
        <f aca="false">(SUMPRODUCT($E1300:$E1310,G1300:G1310))*1</f>
        <v>1.06183781496</v>
      </c>
    </row>
    <row r="1300" customFormat="false" ht="21" hidden="false" customHeight="false" outlineLevel="0" collapsed="false">
      <c r="A1300" s="154" t="n">
        <v>37370</v>
      </c>
      <c r="B1300" s="155" t="s">
        <v>1443</v>
      </c>
      <c r="C1300" s="148" t="str">
        <f aca="false">VLOOKUP($A1300,INSUMOS_AUX!$A$3:$H$813,3,0)</f>
        <v>MAT.</v>
      </c>
      <c r="D1300" s="156" t="s">
        <v>1444</v>
      </c>
      <c r="E1300" s="154" t="n">
        <v>0.0546</v>
      </c>
      <c r="F1300" s="149" t="n">
        <f aca="false">IF(C1300="MAT.",VLOOKUP(A1300,INSUMOS_AUX!$A$3:$H$813,6,0),0)</f>
        <v>3.32</v>
      </c>
      <c r="G1300" s="149" t="n">
        <f aca="false">IF(C1300="M.O.",VLOOKUP(A1300,INSUMOS_AUX!A:F,6,0),0)</f>
        <v>0</v>
      </c>
    </row>
    <row r="1301" customFormat="false" ht="21" hidden="false" customHeight="false" outlineLevel="0" collapsed="false">
      <c r="A1301" s="154" t="n">
        <v>43489</v>
      </c>
      <c r="B1301" s="155" t="s">
        <v>1456</v>
      </c>
      <c r="C1301" s="148" t="str">
        <f aca="false">VLOOKUP($A1301,INSUMOS_AUX!$A$3:$H$813,3,0)</f>
        <v>MAT.</v>
      </c>
      <c r="D1301" s="156" t="s">
        <v>1444</v>
      </c>
      <c r="E1301" s="154" t="n">
        <v>0.0546</v>
      </c>
      <c r="F1301" s="149" t="n">
        <f aca="false">IF(C1301="MAT.",VLOOKUP(A1301,INSUMOS_AUX!$A$3:$H$813,6,0),0)</f>
        <v>1.31</v>
      </c>
      <c r="G1301" s="149" t="n">
        <f aca="false">IF(C1301="M.O.",VLOOKUP(A1301,INSUMOS_AUX!A:F,6,0),0)</f>
        <v>0</v>
      </c>
    </row>
    <row r="1302" customFormat="false" ht="21" hidden="false" customHeight="false" outlineLevel="0" collapsed="false">
      <c r="A1302" s="154" t="n">
        <v>37372</v>
      </c>
      <c r="B1302" s="155" t="s">
        <v>1446</v>
      </c>
      <c r="C1302" s="148" t="str">
        <f aca="false">VLOOKUP($A1302,INSUMOS_AUX!$A$3:$H$813,3,0)</f>
        <v>MAT.</v>
      </c>
      <c r="D1302" s="156" t="s">
        <v>1444</v>
      </c>
      <c r="E1302" s="154" t="n">
        <v>0.0546</v>
      </c>
      <c r="F1302" s="149" t="n">
        <f aca="false">IF(C1302="MAT.",VLOOKUP(A1302,INSUMOS_AUX!$A$3:$H$813,6,0),0)</f>
        <v>1.43</v>
      </c>
      <c r="G1302" s="149" t="n">
        <f aca="false">IF(C1302="M.O.",VLOOKUP(A1302,INSUMOS_AUX!A:F,6,0),0)</f>
        <v>0</v>
      </c>
    </row>
    <row r="1303" customFormat="false" ht="21" hidden="false" customHeight="false" outlineLevel="0" collapsed="false">
      <c r="A1303" s="154" t="n">
        <v>43465</v>
      </c>
      <c r="B1303" s="155" t="s">
        <v>1458</v>
      </c>
      <c r="C1303" s="148" t="s">
        <v>59</v>
      </c>
      <c r="D1303" s="156" t="s">
        <v>1444</v>
      </c>
      <c r="E1303" s="154" t="n">
        <v>0.0546</v>
      </c>
      <c r="F1303" s="149" t="n">
        <f aca="false">IF(C1303="MAT.",VLOOKUP(A1303,INSUMOS_AUX!$A$3:$H$813,6,0),0)</f>
        <v>0</v>
      </c>
      <c r="G1303" s="149" t="n">
        <f aca="false">IF(C1303="M.O.",VLOOKUP(A1303,INSUMOS_AUX!A:F,6,0),0)</f>
        <v>0</v>
      </c>
    </row>
    <row r="1304" customFormat="false" ht="21" hidden="false" customHeight="false" outlineLevel="0" collapsed="false">
      <c r="A1304" s="154" t="n">
        <v>37373</v>
      </c>
      <c r="B1304" s="155" t="s">
        <v>1448</v>
      </c>
      <c r="C1304" s="148" t="str">
        <f aca="false">VLOOKUP($A1304,INSUMOS_AUX!$A$3:$H$813,3,0)</f>
        <v>MAT.</v>
      </c>
      <c r="D1304" s="156" t="s">
        <v>1444</v>
      </c>
      <c r="E1304" s="154" t="n">
        <v>0.0546</v>
      </c>
      <c r="F1304" s="149" t="n">
        <f aca="false">IF(C1304="MAT.",VLOOKUP(A1304,INSUMOS_AUX!$A$3:$H$813,6,0),0)</f>
        <v>0.08</v>
      </c>
      <c r="G1304" s="149" t="n">
        <f aca="false">IF(C1304="M.O.",VLOOKUP(A1304,INSUMOS_AUX!A:F,6,0),0)</f>
        <v>0</v>
      </c>
    </row>
    <row r="1305" customFormat="false" ht="21" hidden="false" customHeight="false" outlineLevel="0" collapsed="false">
      <c r="A1305" s="154" t="n">
        <v>37371</v>
      </c>
      <c r="B1305" s="155" t="s">
        <v>1449</v>
      </c>
      <c r="C1305" s="148" t="str">
        <f aca="false">VLOOKUP($A1305,INSUMOS_AUX!$A$3:$H$813,3,0)</f>
        <v>MAT.</v>
      </c>
      <c r="D1305" s="156" t="s">
        <v>1444</v>
      </c>
      <c r="E1305" s="154" t="n">
        <v>0.0546</v>
      </c>
      <c r="F1305" s="149" t="n">
        <f aca="false">IF(C1305="MAT.",VLOOKUP(A1305,INSUMOS_AUX!$A$3:$H$813,6,0),0)</f>
        <v>0.59</v>
      </c>
      <c r="G1305" s="149" t="n">
        <f aca="false">IF(C1305="M.O.",VLOOKUP(A1305,INSUMOS_AUX!A:F,6,0),0)</f>
        <v>0</v>
      </c>
    </row>
    <row r="1306" customFormat="false" ht="15" hidden="false" customHeight="false" outlineLevel="0" collapsed="false">
      <c r="A1306" s="154" t="n">
        <v>43055</v>
      </c>
      <c r="B1306" s="155" t="s">
        <v>1618</v>
      </c>
      <c r="C1306" s="148" t="str">
        <f aca="false">VLOOKUP($A1306,INSUMOS_AUX!$A$3:$H$813,3,0)</f>
        <v>MAT.</v>
      </c>
      <c r="D1306" s="156" t="s">
        <v>1513</v>
      </c>
      <c r="E1306" s="154" t="n">
        <v>1.11</v>
      </c>
      <c r="F1306" s="149" t="n">
        <f aca="false">IF(C1306="MAT.",VLOOKUP(A1306,INSUMOS_AUX!$A$3:$H$813,6,0),0)</f>
        <v>6.65</v>
      </c>
      <c r="G1306" s="149" t="n">
        <f aca="false">IF(C1306="M.O.",VLOOKUP(A1306,INSUMOS_AUX!A:F,6,0),0)</f>
        <v>0</v>
      </c>
    </row>
    <row r="1307" customFormat="false" ht="21" hidden="false" customHeight="false" outlineLevel="0" collapsed="false">
      <c r="A1307" s="154" t="n">
        <v>43132</v>
      </c>
      <c r="B1307" s="155" t="s">
        <v>1565</v>
      </c>
      <c r="C1307" s="148" t="str">
        <f aca="false">VLOOKUP($A1307,INSUMOS_AUX!$A$3:$H$813,3,0)</f>
        <v>MAT.</v>
      </c>
      <c r="D1307" s="156" t="s">
        <v>1513</v>
      </c>
      <c r="E1307" s="154" t="n">
        <v>0.025</v>
      </c>
      <c r="F1307" s="149" t="n">
        <f aca="false">IF(C1307="MAT.",VLOOKUP(A1307,INSUMOS_AUX!$A$3:$H$813,6,0),0)</f>
        <v>28</v>
      </c>
      <c r="G1307" s="149" t="n">
        <f aca="false">IF(C1307="M.O.",VLOOKUP(A1307,INSUMOS_AUX!A:F,6,0),0)</f>
        <v>0</v>
      </c>
    </row>
    <row r="1308" customFormat="false" ht="21" hidden="false" customHeight="false" outlineLevel="0" collapsed="false">
      <c r="A1308" s="154" t="n">
        <v>39017</v>
      </c>
      <c r="B1308" s="155" t="s">
        <v>1621</v>
      </c>
      <c r="C1308" s="148" t="str">
        <f aca="false">VLOOKUP($A1308,INSUMOS_AUX!$A$3:$H$813,3,0)</f>
        <v>MAT.</v>
      </c>
      <c r="D1308" s="156" t="s">
        <v>31</v>
      </c>
      <c r="E1308" s="154" t="n">
        <v>0.278</v>
      </c>
      <c r="F1308" s="149" t="n">
        <f aca="false">IF(C1308="MAT.",VLOOKUP(A1308,INSUMOS_AUX!$A$3:$H$813,6,0),0)</f>
        <v>0.22</v>
      </c>
      <c r="G1308" s="149" t="n">
        <f aca="false">IF(C1308="M.O.",VLOOKUP(A1308,INSUMOS_AUX!A:F,6,0),0)</f>
        <v>0</v>
      </c>
    </row>
    <row r="1309" customFormat="false" ht="15" hidden="false" customHeight="false" outlineLevel="0" collapsed="false">
      <c r="A1309" s="154" t="n">
        <v>6114</v>
      </c>
      <c r="B1309" s="155" t="s">
        <v>1588</v>
      </c>
      <c r="C1309" s="148" t="str">
        <f aca="false">VLOOKUP($A1309,INSUMOS_AUX!$A$3:$H$813,3,0)</f>
        <v>M.O.</v>
      </c>
      <c r="D1309" s="156" t="s">
        <v>1444</v>
      </c>
      <c r="E1309" s="154" t="n">
        <v>0.007890012</v>
      </c>
      <c r="F1309" s="149" t="n">
        <f aca="false">IF(C1309="MAT.",VLOOKUP(A1309,INSUMOS_AUX!$A$3:$H$813,6,0),0)</f>
        <v>0</v>
      </c>
      <c r="G1309" s="149" t="n">
        <f aca="false">IF(C1309="M.O.",VLOOKUP(A1309,INSUMOS_AUX!A:F,6,0),0)</f>
        <v>13.26</v>
      </c>
    </row>
    <row r="1310" customFormat="false" ht="15" hidden="false" customHeight="false" outlineLevel="0" collapsed="false">
      <c r="A1310" s="154" t="n">
        <v>378</v>
      </c>
      <c r="B1310" s="155" t="s">
        <v>1589</v>
      </c>
      <c r="C1310" s="148" t="str">
        <f aca="false">VLOOKUP($A1310,INSUMOS_AUX!$A$3:$H$813,3,0)</f>
        <v>M.O.</v>
      </c>
      <c r="D1310" s="156" t="s">
        <v>1444</v>
      </c>
      <c r="E1310" s="154" t="n">
        <v>0.047340072</v>
      </c>
      <c r="F1310" s="149" t="n">
        <f aca="false">IF(C1310="MAT.",VLOOKUP(A1310,INSUMOS_AUX!$A$3:$H$813,6,0),0)</f>
        <v>0</v>
      </c>
      <c r="G1310" s="149" t="n">
        <f aca="false">IF(C1310="M.O.",VLOOKUP(A1310,INSUMOS_AUX!A:F,6,0),0)</f>
        <v>20.22</v>
      </c>
    </row>
    <row r="1311" customFormat="false" ht="21" hidden="false" customHeight="false" outlineLevel="0" collapsed="false">
      <c r="A1311" s="150" t="s">
        <v>219</v>
      </c>
      <c r="B1311" s="151" t="s">
        <v>1701</v>
      </c>
      <c r="C1311" s="152" t="s">
        <v>59</v>
      </c>
      <c r="D1311" s="152" t="s">
        <v>1442</v>
      </c>
      <c r="E1311" s="150"/>
      <c r="F1311" s="153" t="n">
        <f aca="false">(SUMPRODUCT($E1312:$E1327,F1312:F1327))*1</f>
        <v>789.157266</v>
      </c>
      <c r="G1311" s="153" t="n">
        <f aca="false">(SUMPRODUCT($E1312:$E1327,G1312:G1327))*1</f>
        <v>77.92324698</v>
      </c>
    </row>
    <row r="1312" customFormat="false" ht="21" hidden="false" customHeight="false" outlineLevel="0" collapsed="false">
      <c r="A1312" s="154" t="n">
        <v>37370</v>
      </c>
      <c r="B1312" s="155" t="s">
        <v>1443</v>
      </c>
      <c r="C1312" s="148" t="str">
        <f aca="false">VLOOKUP($A1312,INSUMOS_AUX!$A$3:$H$813,3,0)</f>
        <v>MAT.</v>
      </c>
      <c r="D1312" s="156" t="s">
        <v>1444</v>
      </c>
      <c r="E1312" s="154" t="n">
        <v>4.021</v>
      </c>
      <c r="F1312" s="149" t="n">
        <f aca="false">IF(C1312="MAT.",VLOOKUP(A1312,INSUMOS_AUX!$A$3:$H$813,6,0),0)</f>
        <v>3.32</v>
      </c>
      <c r="G1312" s="149" t="n">
        <f aca="false">IF(C1312="M.O.",VLOOKUP(A1312,INSUMOS_AUX!A:F,6,0),0)</f>
        <v>0</v>
      </c>
    </row>
    <row r="1313" customFormat="false" ht="21" hidden="false" customHeight="false" outlineLevel="0" collapsed="false">
      <c r="A1313" s="154" t="n">
        <v>43483</v>
      </c>
      <c r="B1313" s="155" t="s">
        <v>1486</v>
      </c>
      <c r="C1313" s="148" t="str">
        <f aca="false">VLOOKUP($A1313,INSUMOS_AUX!$A$3:$H$813,3,0)</f>
        <v>MAT.</v>
      </c>
      <c r="D1313" s="156" t="s">
        <v>1444</v>
      </c>
      <c r="E1313" s="154" t="n">
        <v>0.67</v>
      </c>
      <c r="F1313" s="149" t="n">
        <f aca="false">IF(C1313="MAT.",VLOOKUP(A1313,INSUMOS_AUX!$A$3:$H$813,6,0),0)</f>
        <v>1.43</v>
      </c>
      <c r="G1313" s="149" t="n">
        <f aca="false">IF(C1313="M.O.",VLOOKUP(A1313,INSUMOS_AUX!A:F,6,0),0)</f>
        <v>0</v>
      </c>
    </row>
    <row r="1314" customFormat="false" ht="21" hidden="false" customHeight="false" outlineLevel="0" collapsed="false">
      <c r="A1314" s="154" t="n">
        <v>43489</v>
      </c>
      <c r="B1314" s="155" t="s">
        <v>1456</v>
      </c>
      <c r="C1314" s="148" t="str">
        <f aca="false">VLOOKUP($A1314,INSUMOS_AUX!$A$3:$H$813,3,0)</f>
        <v>MAT.</v>
      </c>
      <c r="D1314" s="156" t="s">
        <v>1444</v>
      </c>
      <c r="E1314" s="154" t="n">
        <v>2.681</v>
      </c>
      <c r="F1314" s="149" t="n">
        <f aca="false">IF(C1314="MAT.",VLOOKUP(A1314,INSUMOS_AUX!$A$3:$H$813,6,0),0)</f>
        <v>1.31</v>
      </c>
      <c r="G1314" s="149" t="n">
        <f aca="false">IF(C1314="M.O.",VLOOKUP(A1314,INSUMOS_AUX!A:F,6,0),0)</f>
        <v>0</v>
      </c>
    </row>
    <row r="1315" customFormat="false" ht="21" hidden="false" customHeight="false" outlineLevel="0" collapsed="false">
      <c r="A1315" s="154" t="n">
        <v>43491</v>
      </c>
      <c r="B1315" s="155" t="s">
        <v>1457</v>
      </c>
      <c r="C1315" s="148" t="str">
        <f aca="false">VLOOKUP($A1315,INSUMOS_AUX!$A$3:$H$813,3,0)</f>
        <v>MAT.</v>
      </c>
      <c r="D1315" s="156" t="s">
        <v>1444</v>
      </c>
      <c r="E1315" s="154" t="n">
        <v>0.67</v>
      </c>
      <c r="F1315" s="149" t="n">
        <f aca="false">IF(C1315="MAT.",VLOOKUP(A1315,INSUMOS_AUX!$A$3:$H$813,6,0),0)</f>
        <v>1.39</v>
      </c>
      <c r="G1315" s="149" t="n">
        <f aca="false">IF(C1315="M.O.",VLOOKUP(A1315,INSUMOS_AUX!A:F,6,0),0)</f>
        <v>0</v>
      </c>
    </row>
    <row r="1316" customFormat="false" ht="21" hidden="false" customHeight="false" outlineLevel="0" collapsed="false">
      <c r="A1316" s="154" t="n">
        <v>37372</v>
      </c>
      <c r="B1316" s="155" t="s">
        <v>1446</v>
      </c>
      <c r="C1316" s="148" t="str">
        <f aca="false">VLOOKUP($A1316,INSUMOS_AUX!$A$3:$H$813,3,0)</f>
        <v>MAT.</v>
      </c>
      <c r="D1316" s="156" t="s">
        <v>1444</v>
      </c>
      <c r="E1316" s="154" t="n">
        <v>4.021</v>
      </c>
      <c r="F1316" s="149" t="n">
        <f aca="false">IF(C1316="MAT.",VLOOKUP(A1316,INSUMOS_AUX!$A$3:$H$813,6,0),0)</f>
        <v>1.43</v>
      </c>
      <c r="G1316" s="149" t="n">
        <f aca="false">IF(C1316="M.O.",VLOOKUP(A1316,INSUMOS_AUX!A:F,6,0),0)</f>
        <v>0</v>
      </c>
    </row>
    <row r="1317" customFormat="false" ht="21" hidden="false" customHeight="false" outlineLevel="0" collapsed="false">
      <c r="A1317" s="154" t="n">
        <v>43459</v>
      </c>
      <c r="B1317" s="155" t="s">
        <v>1487</v>
      </c>
      <c r="C1317" s="148" t="str">
        <f aca="false">VLOOKUP($A1317,INSUMOS_AUX!$A$3:$H$813,3,0)</f>
        <v>MAT.</v>
      </c>
      <c r="D1317" s="156" t="s">
        <v>1444</v>
      </c>
      <c r="E1317" s="154" t="n">
        <v>0.67</v>
      </c>
      <c r="F1317" s="149" t="n">
        <f aca="false">IF(C1317="MAT.",VLOOKUP(A1317,INSUMOS_AUX!$A$3:$H$813,6,0),0)</f>
        <v>0.44</v>
      </c>
      <c r="G1317" s="149" t="n">
        <f aca="false">IF(C1317="M.O.",VLOOKUP(A1317,INSUMOS_AUX!A:F,6,0),0)</f>
        <v>0</v>
      </c>
    </row>
    <row r="1318" customFormat="false" ht="21" hidden="false" customHeight="false" outlineLevel="0" collapsed="false">
      <c r="A1318" s="154" t="n">
        <v>43465</v>
      </c>
      <c r="B1318" s="155" t="s">
        <v>1458</v>
      </c>
      <c r="C1318" s="148" t="str">
        <f aca="false">VLOOKUP($A1318,INSUMOS_AUX!$A$3:$H$813,3,0)</f>
        <v>MAT.</v>
      </c>
      <c r="D1318" s="156" t="s">
        <v>1444</v>
      </c>
      <c r="E1318" s="154" t="n">
        <v>2.681</v>
      </c>
      <c r="F1318" s="149" t="n">
        <f aca="false">IF(C1318="MAT.",VLOOKUP(A1318,INSUMOS_AUX!$A$3:$H$813,6,0),0)</f>
        <v>0.78</v>
      </c>
      <c r="G1318" s="149" t="n">
        <f aca="false">IF(C1318="M.O.",VLOOKUP(A1318,INSUMOS_AUX!A:F,6,0),0)</f>
        <v>0</v>
      </c>
    </row>
    <row r="1319" customFormat="false" ht="21" hidden="false" customHeight="false" outlineLevel="0" collapsed="false">
      <c r="A1319" s="154" t="n">
        <v>43467</v>
      </c>
      <c r="B1319" s="155" t="s">
        <v>1459</v>
      </c>
      <c r="C1319" s="148" t="str">
        <f aca="false">VLOOKUP($A1319,INSUMOS_AUX!$A$3:$H$813,3,0)</f>
        <v>MAT.</v>
      </c>
      <c r="D1319" s="156" t="s">
        <v>1444</v>
      </c>
      <c r="E1319" s="154" t="n">
        <v>0.67</v>
      </c>
      <c r="F1319" s="149" t="n">
        <f aca="false">IF(C1319="MAT.",VLOOKUP(A1319,INSUMOS_AUX!$A$3:$H$813,6,0),0)</f>
        <v>0.61</v>
      </c>
      <c r="G1319" s="149" t="n">
        <f aca="false">IF(C1319="M.O.",VLOOKUP(A1319,INSUMOS_AUX!A:F,6,0),0)</f>
        <v>0</v>
      </c>
    </row>
    <row r="1320" customFormat="false" ht="21" hidden="false" customHeight="false" outlineLevel="0" collapsed="false">
      <c r="A1320" s="154" t="n">
        <v>37373</v>
      </c>
      <c r="B1320" s="155" t="s">
        <v>1448</v>
      </c>
      <c r="C1320" s="148" t="str">
        <f aca="false">VLOOKUP($A1320,INSUMOS_AUX!$A$3:$H$813,3,0)</f>
        <v>MAT.</v>
      </c>
      <c r="D1320" s="156" t="s">
        <v>1444</v>
      </c>
      <c r="E1320" s="154" t="n">
        <v>4.021</v>
      </c>
      <c r="F1320" s="149" t="n">
        <f aca="false">IF(C1320="MAT.",VLOOKUP(A1320,INSUMOS_AUX!$A$3:$H$813,6,0),0)</f>
        <v>0.08</v>
      </c>
      <c r="G1320" s="149" t="n">
        <f aca="false">IF(C1320="M.O.",VLOOKUP(A1320,INSUMOS_AUX!A:F,6,0),0)</f>
        <v>0</v>
      </c>
    </row>
    <row r="1321" customFormat="false" ht="21" hidden="false" customHeight="false" outlineLevel="0" collapsed="false">
      <c r="A1321" s="154" t="n">
        <v>37371</v>
      </c>
      <c r="B1321" s="155" t="s">
        <v>1449</v>
      </c>
      <c r="C1321" s="148" t="str">
        <f aca="false">VLOOKUP($A1321,INSUMOS_AUX!$A$3:$H$813,3,0)</f>
        <v>MAT.</v>
      </c>
      <c r="D1321" s="156" t="s">
        <v>1444</v>
      </c>
      <c r="E1321" s="154" t="n">
        <v>4.021</v>
      </c>
      <c r="F1321" s="149" t="n">
        <f aca="false">IF(C1321="MAT.",VLOOKUP(A1321,INSUMOS_AUX!$A$3:$H$813,6,0),0)</f>
        <v>0.59</v>
      </c>
      <c r="G1321" s="149" t="n">
        <f aca="false">IF(C1321="M.O.",VLOOKUP(A1321,INSUMOS_AUX!A:F,6,0),0)</f>
        <v>0</v>
      </c>
    </row>
    <row r="1322" customFormat="false" ht="21" hidden="false" customHeight="false" outlineLevel="0" collapsed="false">
      <c r="A1322" s="154" t="n">
        <v>13896</v>
      </c>
      <c r="B1322" s="155" t="s">
        <v>1564</v>
      </c>
      <c r="C1322" s="148" t="s">
        <v>59</v>
      </c>
      <c r="D1322" s="156" t="s">
        <v>31</v>
      </c>
      <c r="E1322" s="154" t="n">
        <v>0.000132092</v>
      </c>
      <c r="F1322" s="149" t="n">
        <f aca="false">IF(C1322="MAT.",VLOOKUP(A1322,INSUMOS_AUX!$A$3:$H$813,6,0),0)</f>
        <v>0</v>
      </c>
      <c r="G1322" s="149" t="n">
        <f aca="false">IF(C1322="M.O.",VLOOKUP(A1322,INSUMOS_AUX!A:F,6,0),0)</f>
        <v>0</v>
      </c>
    </row>
    <row r="1323" customFormat="false" ht="15" hidden="false" customHeight="false" outlineLevel="0" collapsed="false">
      <c r="A1323" s="154" t="n">
        <v>2705</v>
      </c>
      <c r="B1323" s="155" t="s">
        <v>1467</v>
      </c>
      <c r="C1323" s="148" t="str">
        <f aca="false">VLOOKUP($A1323,INSUMOS_AUX!$A$3:$H$813,3,0)</f>
        <v>MAT.</v>
      </c>
      <c r="D1323" s="156" t="s">
        <v>1468</v>
      </c>
      <c r="E1323" s="154" t="n">
        <v>0.1378</v>
      </c>
      <c r="F1323" s="149" t="n">
        <f aca="false">IF(C1323="MAT.",VLOOKUP(A1323,INSUMOS_AUX!$A$3:$H$813,6,0),0)</f>
        <v>0.92</v>
      </c>
      <c r="G1323" s="149" t="n">
        <f aca="false">IF(C1323="M.O.",VLOOKUP(A1323,INSUMOS_AUX!A:F,6,0),0)</f>
        <v>0</v>
      </c>
    </row>
    <row r="1324" customFormat="false" ht="31.5" hidden="false" customHeight="false" outlineLevel="0" collapsed="false">
      <c r="A1324" s="154" t="n">
        <v>11145</v>
      </c>
      <c r="B1324" s="155" t="s">
        <v>1620</v>
      </c>
      <c r="C1324" s="148" t="str">
        <f aca="false">VLOOKUP($A1324,INSUMOS_AUX!$A$3:$H$813,3,0)</f>
        <v>MAT.</v>
      </c>
      <c r="D1324" s="156" t="s">
        <v>1442</v>
      </c>
      <c r="E1324" s="154" t="n">
        <v>1.103</v>
      </c>
      <c r="F1324" s="149" t="n">
        <f aca="false">IF(C1324="MAT.",VLOOKUP(A1324,INSUMOS_AUX!$A$3:$H$813,6,0),0)</f>
        <v>688.16</v>
      </c>
      <c r="G1324" s="149" t="n">
        <f aca="false">IF(C1324="M.O.",VLOOKUP(A1324,INSUMOS_AUX!A:F,6,0),0)</f>
        <v>0</v>
      </c>
    </row>
    <row r="1325" customFormat="false" ht="15" hidden="false" customHeight="false" outlineLevel="0" collapsed="false">
      <c r="A1325" s="154" t="n">
        <v>1213</v>
      </c>
      <c r="B1325" s="155" t="s">
        <v>1516</v>
      </c>
      <c r="C1325" s="148" t="str">
        <f aca="false">VLOOKUP($A1325,INSUMOS_AUX!$A$3:$H$813,3,0)</f>
        <v>M.O.</v>
      </c>
      <c r="D1325" s="156" t="s">
        <v>1444</v>
      </c>
      <c r="E1325" s="154" t="n">
        <v>0.6777318</v>
      </c>
      <c r="F1325" s="149" t="n">
        <f aca="false">IF(C1325="MAT.",VLOOKUP(A1325,INSUMOS_AUX!$A$3:$H$813,6,0),0)</f>
        <v>0</v>
      </c>
      <c r="G1325" s="149" t="n">
        <f aca="false">IF(C1325="M.O.",VLOOKUP(A1325,INSUMOS_AUX!A:F,6,0),0)</f>
        <v>20.22</v>
      </c>
    </row>
    <row r="1326" customFormat="false" ht="15" hidden="false" customHeight="false" outlineLevel="0" collapsed="false">
      <c r="A1326" s="154" t="n">
        <v>4750</v>
      </c>
      <c r="B1326" s="155" t="s">
        <v>1463</v>
      </c>
      <c r="C1326" s="148" t="str">
        <f aca="false">VLOOKUP($A1326,INSUMOS_AUX!$A$3:$H$813,3,0)</f>
        <v>M.O.</v>
      </c>
      <c r="D1326" s="156" t="s">
        <v>1444</v>
      </c>
      <c r="E1326" s="154" t="n">
        <v>2.7378372</v>
      </c>
      <c r="F1326" s="149" t="n">
        <f aca="false">IF(C1326="MAT.",VLOOKUP(A1326,INSUMOS_AUX!$A$3:$H$813,6,0),0)</f>
        <v>0</v>
      </c>
      <c r="G1326" s="149" t="n">
        <f aca="false">IF(C1326="M.O.",VLOOKUP(A1326,INSUMOS_AUX!A:F,6,0),0)</f>
        <v>20.22</v>
      </c>
    </row>
    <row r="1327" customFormat="false" ht="15" hidden="false" customHeight="false" outlineLevel="0" collapsed="false">
      <c r="A1327" s="154" t="n">
        <v>6111</v>
      </c>
      <c r="B1327" s="155" t="s">
        <v>1464</v>
      </c>
      <c r="C1327" s="148" t="str">
        <f aca="false">VLOOKUP($A1327,INSUMOS_AUX!$A$3:$H$813,3,0)</f>
        <v>M.O.</v>
      </c>
      <c r="D1327" s="156" t="s">
        <v>1444</v>
      </c>
      <c r="E1327" s="154" t="n">
        <v>0.684204</v>
      </c>
      <c r="F1327" s="149" t="n">
        <f aca="false">IF(C1327="MAT.",VLOOKUP(A1327,INSUMOS_AUX!$A$3:$H$813,6,0),0)</f>
        <v>0</v>
      </c>
      <c r="G1327" s="149" t="n">
        <f aca="false">IF(C1327="M.O.",VLOOKUP(A1327,INSUMOS_AUX!A:F,6,0),0)</f>
        <v>12.95</v>
      </c>
    </row>
    <row r="1328" customFormat="false" ht="31.5" hidden="false" customHeight="false" outlineLevel="0" collapsed="false">
      <c r="A1328" s="150" t="n">
        <v>97084</v>
      </c>
      <c r="B1328" s="151" t="s">
        <v>1702</v>
      </c>
      <c r="C1328" s="152" t="s">
        <v>59</v>
      </c>
      <c r="D1328" s="152" t="s">
        <v>1477</v>
      </c>
      <c r="E1328" s="150"/>
      <c r="F1328" s="153" t="n">
        <f aca="false">(SUMPRODUCT($E1329:$E1340,F1329:F1340))*1</f>
        <v>0.250265994085</v>
      </c>
      <c r="G1328" s="153" t="n">
        <f aca="false">(SUMPRODUCT($E1329:$E1340,G1329:G1340))*1</f>
        <v>0.437104236</v>
      </c>
    </row>
    <row r="1329" customFormat="false" ht="21" hidden="false" customHeight="false" outlineLevel="0" collapsed="false">
      <c r="A1329" s="154" t="n">
        <v>37370</v>
      </c>
      <c r="B1329" s="155" t="s">
        <v>1443</v>
      </c>
      <c r="C1329" s="148" t="str">
        <f aca="false">VLOOKUP($A1329,INSUMOS_AUX!$A$3:$H$813,3,0)</f>
        <v>MAT.</v>
      </c>
      <c r="D1329" s="156" t="s">
        <v>1444</v>
      </c>
      <c r="E1329" s="154" t="n">
        <v>0.028</v>
      </c>
      <c r="F1329" s="149" t="n">
        <f aca="false">IF(C1329="MAT.",VLOOKUP(A1329,INSUMOS_AUX!$A$3:$H$813,6,0),0)</f>
        <v>3.32</v>
      </c>
      <c r="G1329" s="149" t="n">
        <f aca="false">IF(C1329="M.O.",VLOOKUP(A1329,INSUMOS_AUX!A:F,6,0),0)</f>
        <v>0</v>
      </c>
    </row>
    <row r="1330" customFormat="false" ht="21" hidden="false" customHeight="false" outlineLevel="0" collapsed="false">
      <c r="A1330" s="154" t="n">
        <v>43489</v>
      </c>
      <c r="B1330" s="155" t="s">
        <v>1456</v>
      </c>
      <c r="C1330" s="148" t="str">
        <f aca="false">VLOOKUP($A1330,INSUMOS_AUX!$A$3:$H$813,3,0)</f>
        <v>MAT.</v>
      </c>
      <c r="D1330" s="156" t="s">
        <v>1444</v>
      </c>
      <c r="E1330" s="154" t="n">
        <v>0.009</v>
      </c>
      <c r="F1330" s="149" t="n">
        <f aca="false">IF(C1330="MAT.",VLOOKUP(A1330,INSUMOS_AUX!$A$3:$H$813,6,0),0)</f>
        <v>1.31</v>
      </c>
      <c r="G1330" s="149" t="n">
        <f aca="false">IF(C1330="M.O.",VLOOKUP(A1330,INSUMOS_AUX!A:F,6,0),0)</f>
        <v>0</v>
      </c>
    </row>
    <row r="1331" customFormat="false" ht="21" hidden="false" customHeight="false" outlineLevel="0" collapsed="false">
      <c r="A1331" s="154" t="n">
        <v>43491</v>
      </c>
      <c r="B1331" s="155" t="s">
        <v>1457</v>
      </c>
      <c r="C1331" s="148" t="str">
        <f aca="false">VLOOKUP($A1331,INSUMOS_AUX!$A$3:$H$813,3,0)</f>
        <v>MAT.</v>
      </c>
      <c r="D1331" s="156" t="s">
        <v>1444</v>
      </c>
      <c r="E1331" s="154" t="n">
        <v>0.019</v>
      </c>
      <c r="F1331" s="149" t="n">
        <f aca="false">IF(C1331="MAT.",VLOOKUP(A1331,INSUMOS_AUX!$A$3:$H$813,6,0),0)</f>
        <v>1.39</v>
      </c>
      <c r="G1331" s="149" t="n">
        <f aca="false">IF(C1331="M.O.",VLOOKUP(A1331,INSUMOS_AUX!A:F,6,0),0)</f>
        <v>0</v>
      </c>
    </row>
    <row r="1332" customFormat="false" ht="21" hidden="false" customHeight="false" outlineLevel="0" collapsed="false">
      <c r="A1332" s="154" t="n">
        <v>37372</v>
      </c>
      <c r="B1332" s="155" t="s">
        <v>1446</v>
      </c>
      <c r="C1332" s="148" t="str">
        <f aca="false">VLOOKUP($A1332,INSUMOS_AUX!$A$3:$H$813,3,0)</f>
        <v>MAT.</v>
      </c>
      <c r="D1332" s="156" t="s">
        <v>1444</v>
      </c>
      <c r="E1332" s="154" t="n">
        <v>0.028</v>
      </c>
      <c r="F1332" s="149" t="n">
        <f aca="false">IF(C1332="MAT.",VLOOKUP(A1332,INSUMOS_AUX!$A$3:$H$813,6,0),0)</f>
        <v>1.43</v>
      </c>
      <c r="G1332" s="149" t="n">
        <f aca="false">IF(C1332="M.O.",VLOOKUP(A1332,INSUMOS_AUX!A:F,6,0),0)</f>
        <v>0</v>
      </c>
    </row>
    <row r="1333" customFormat="false" ht="21" hidden="false" customHeight="false" outlineLevel="0" collapsed="false">
      <c r="A1333" s="154" t="n">
        <v>43465</v>
      </c>
      <c r="B1333" s="155" t="s">
        <v>1458</v>
      </c>
      <c r="C1333" s="148" t="str">
        <f aca="false">VLOOKUP($A1333,INSUMOS_AUX!$A$3:$H$813,3,0)</f>
        <v>MAT.</v>
      </c>
      <c r="D1333" s="156" t="s">
        <v>1444</v>
      </c>
      <c r="E1333" s="154" t="n">
        <v>0.009</v>
      </c>
      <c r="F1333" s="149" t="n">
        <f aca="false">IF(C1333="MAT.",VLOOKUP(A1333,INSUMOS_AUX!$A$3:$H$813,6,0),0)</f>
        <v>0.78</v>
      </c>
      <c r="G1333" s="149" t="n">
        <f aca="false">IF(C1333="M.O.",VLOOKUP(A1333,INSUMOS_AUX!A:F,6,0),0)</f>
        <v>0</v>
      </c>
    </row>
    <row r="1334" customFormat="false" ht="21" hidden="false" customHeight="false" outlineLevel="0" collapsed="false">
      <c r="A1334" s="154" t="n">
        <v>43467</v>
      </c>
      <c r="B1334" s="155" t="s">
        <v>1459</v>
      </c>
      <c r="C1334" s="148" t="s">
        <v>59</v>
      </c>
      <c r="D1334" s="156" t="s">
        <v>1444</v>
      </c>
      <c r="E1334" s="154" t="n">
        <v>0.019</v>
      </c>
      <c r="F1334" s="149" t="n">
        <f aca="false">IF(C1334="MAT.",VLOOKUP(A1334,INSUMOS_AUX!$A$3:$H$813,6,0),0)</f>
        <v>0</v>
      </c>
      <c r="G1334" s="149" t="n">
        <f aca="false">IF(C1334="M.O.",VLOOKUP(A1334,INSUMOS_AUX!A:F,6,0),0)</f>
        <v>0</v>
      </c>
    </row>
    <row r="1335" customFormat="false" ht="21" hidden="false" customHeight="false" outlineLevel="0" collapsed="false">
      <c r="A1335" s="154" t="n">
        <v>37373</v>
      </c>
      <c r="B1335" s="155" t="s">
        <v>1448</v>
      </c>
      <c r="C1335" s="148" t="str">
        <f aca="false">VLOOKUP($A1335,INSUMOS_AUX!$A$3:$H$813,3,0)</f>
        <v>MAT.</v>
      </c>
      <c r="D1335" s="156" t="s">
        <v>1444</v>
      </c>
      <c r="E1335" s="154" t="n">
        <v>0.028</v>
      </c>
      <c r="F1335" s="149" t="n">
        <f aca="false">IF(C1335="MAT.",VLOOKUP(A1335,INSUMOS_AUX!$A$3:$H$813,6,0),0)</f>
        <v>0.08</v>
      </c>
      <c r="G1335" s="149" t="n">
        <f aca="false">IF(C1335="M.O.",VLOOKUP(A1335,INSUMOS_AUX!A:F,6,0),0)</f>
        <v>0</v>
      </c>
    </row>
    <row r="1336" customFormat="false" ht="21" hidden="false" customHeight="false" outlineLevel="0" collapsed="false">
      <c r="A1336" s="154" t="n">
        <v>37371</v>
      </c>
      <c r="B1336" s="155" t="s">
        <v>1449</v>
      </c>
      <c r="C1336" s="148" t="str">
        <f aca="false">VLOOKUP($A1336,INSUMOS_AUX!$A$3:$H$813,3,0)</f>
        <v>MAT.</v>
      </c>
      <c r="D1336" s="156" t="s">
        <v>1444</v>
      </c>
      <c r="E1336" s="154" t="n">
        <v>0.028</v>
      </c>
      <c r="F1336" s="149" t="n">
        <f aca="false">IF(C1336="MAT.",VLOOKUP(A1336,INSUMOS_AUX!$A$3:$H$813,6,0),0)</f>
        <v>0.59</v>
      </c>
      <c r="G1336" s="149" t="n">
        <f aca="false">IF(C1336="M.O.",VLOOKUP(A1336,INSUMOS_AUX!A:F,6,0),0)</f>
        <v>0</v>
      </c>
    </row>
    <row r="1337" customFormat="false" ht="42" hidden="false" customHeight="false" outlineLevel="0" collapsed="false">
      <c r="A1337" s="154" t="n">
        <v>1442</v>
      </c>
      <c r="B1337" s="155" t="s">
        <v>1562</v>
      </c>
      <c r="C1337" s="148" t="str">
        <f aca="false">VLOOKUP($A1337,INSUMOS_AUX!$A$3:$H$813,3,0)</f>
        <v>MAT.</v>
      </c>
      <c r="D1337" s="156" t="s">
        <v>31</v>
      </c>
      <c r="E1337" s="154" t="n">
        <v>6.715E-007</v>
      </c>
      <c r="F1337" s="149" t="n">
        <f aca="false">IF(C1337="MAT.",VLOOKUP(A1337,INSUMOS_AUX!$A$3:$H$813,6,0),0)</f>
        <v>10731.19</v>
      </c>
      <c r="G1337" s="149" t="n">
        <f aca="false">IF(C1337="M.O.",VLOOKUP(A1337,INSUMOS_AUX!A:F,6,0),0)</f>
        <v>0</v>
      </c>
    </row>
    <row r="1338" customFormat="false" ht="15" hidden="false" customHeight="false" outlineLevel="0" collapsed="false">
      <c r="A1338" s="154" t="n">
        <v>4222</v>
      </c>
      <c r="B1338" s="155" t="s">
        <v>1572</v>
      </c>
      <c r="C1338" s="148" t="str">
        <f aca="false">VLOOKUP($A1338,INSUMOS_AUX!$A$3:$H$813,3,0)</f>
        <v>MAT.</v>
      </c>
      <c r="D1338" s="156" t="s">
        <v>1452</v>
      </c>
      <c r="E1338" s="154" t="n">
        <v>0.0072</v>
      </c>
      <c r="F1338" s="149" t="n">
        <f aca="false">IF(C1338="MAT.",VLOOKUP(A1338,INSUMOS_AUX!$A$3:$H$813,6,0),0)</f>
        <v>6.4</v>
      </c>
      <c r="G1338" s="149" t="n">
        <f aca="false">IF(C1338="M.O.",VLOOKUP(A1338,INSUMOS_AUX!A:F,6,0),0)</f>
        <v>0</v>
      </c>
    </row>
    <row r="1339" customFormat="false" ht="15" hidden="false" customHeight="false" outlineLevel="0" collapsed="false">
      <c r="A1339" s="154" t="n">
        <v>4750</v>
      </c>
      <c r="B1339" s="155" t="s">
        <v>1463</v>
      </c>
      <c r="C1339" s="148" t="str">
        <f aca="false">VLOOKUP($A1339,INSUMOS_AUX!$A$3:$H$813,3,0)</f>
        <v>M.O.</v>
      </c>
      <c r="D1339" s="156" t="s">
        <v>1444</v>
      </c>
      <c r="E1339" s="154" t="n">
        <v>0.0091908</v>
      </c>
      <c r="F1339" s="149" t="n">
        <f aca="false">IF(C1339="MAT.",VLOOKUP(A1339,INSUMOS_AUX!$A$3:$H$813,6,0),0)</f>
        <v>0</v>
      </c>
      <c r="G1339" s="149" t="n">
        <f aca="false">IF(C1339="M.O.",VLOOKUP(A1339,INSUMOS_AUX!A:F,6,0),0)</f>
        <v>20.22</v>
      </c>
    </row>
    <row r="1340" customFormat="false" ht="15" hidden="false" customHeight="false" outlineLevel="0" collapsed="false">
      <c r="A1340" s="154" t="n">
        <v>6111</v>
      </c>
      <c r="B1340" s="155" t="s">
        <v>1464</v>
      </c>
      <c r="C1340" s="148" t="str">
        <f aca="false">VLOOKUP($A1340,INSUMOS_AUX!$A$3:$H$813,3,0)</f>
        <v>M.O.</v>
      </c>
      <c r="D1340" s="156" t="s">
        <v>1444</v>
      </c>
      <c r="E1340" s="154" t="n">
        <v>0.0194028</v>
      </c>
      <c r="F1340" s="149" t="n">
        <f aca="false">IF(C1340="MAT.",VLOOKUP(A1340,INSUMOS_AUX!$A$3:$H$813,6,0),0)</f>
        <v>0</v>
      </c>
      <c r="G1340" s="149" t="n">
        <f aca="false">IF(C1340="M.O.",VLOOKUP(A1340,INSUMOS_AUX!A:F,6,0),0)</f>
        <v>12.95</v>
      </c>
    </row>
    <row r="1341" customFormat="false" ht="21" hidden="false" customHeight="false" outlineLevel="0" collapsed="false">
      <c r="A1341" s="150" t="n">
        <v>97087</v>
      </c>
      <c r="B1341" s="151" t="s">
        <v>1703</v>
      </c>
      <c r="C1341" s="152" t="s">
        <v>59</v>
      </c>
      <c r="D1341" s="152" t="s">
        <v>1477</v>
      </c>
      <c r="E1341" s="150"/>
      <c r="F1341" s="153" t="n">
        <f aca="false">(SUMPRODUCT($E1342:$E1352,F1342:F1352))*1</f>
        <v>1.84732</v>
      </c>
      <c r="G1341" s="153" t="n">
        <f aca="false">(SUMPRODUCT($E1342:$E1352,G1342:G1352))*1</f>
        <v>0.355203996</v>
      </c>
    </row>
    <row r="1342" customFormat="false" ht="21" hidden="false" customHeight="false" outlineLevel="0" collapsed="false">
      <c r="A1342" s="154" t="n">
        <v>37370</v>
      </c>
      <c r="B1342" s="155" t="s">
        <v>1443</v>
      </c>
      <c r="C1342" s="148" t="str">
        <f aca="false">VLOOKUP($A1342,INSUMOS_AUX!$A$3:$H$813,3,0)</f>
        <v>MAT.</v>
      </c>
      <c r="D1342" s="156" t="s">
        <v>1444</v>
      </c>
      <c r="E1342" s="154" t="n">
        <v>0.019</v>
      </c>
      <c r="F1342" s="149" t="n">
        <f aca="false">IF(C1342="MAT.",VLOOKUP(A1342,INSUMOS_AUX!$A$3:$H$813,6,0),0)</f>
        <v>3.32</v>
      </c>
      <c r="G1342" s="149" t="n">
        <f aca="false">IF(C1342="M.O.",VLOOKUP(A1342,INSUMOS_AUX!A:F,6,0),0)</f>
        <v>0</v>
      </c>
    </row>
    <row r="1343" customFormat="false" ht="21" hidden="false" customHeight="false" outlineLevel="0" collapsed="false">
      <c r="A1343" s="154" t="n">
        <v>43489</v>
      </c>
      <c r="B1343" s="155" t="s">
        <v>1456</v>
      </c>
      <c r="C1343" s="148" t="str">
        <f aca="false">VLOOKUP($A1343,INSUMOS_AUX!$A$3:$H$813,3,0)</f>
        <v>MAT.</v>
      </c>
      <c r="D1343" s="156" t="s">
        <v>1444</v>
      </c>
      <c r="E1343" s="154" t="n">
        <v>0.014</v>
      </c>
      <c r="F1343" s="149" t="n">
        <f aca="false">IF(C1343="MAT.",VLOOKUP(A1343,INSUMOS_AUX!$A$3:$H$813,6,0),0)</f>
        <v>1.31</v>
      </c>
      <c r="G1343" s="149" t="n">
        <f aca="false">IF(C1343="M.O.",VLOOKUP(A1343,INSUMOS_AUX!A:F,6,0),0)</f>
        <v>0</v>
      </c>
    </row>
    <row r="1344" customFormat="false" ht="21" hidden="false" customHeight="false" outlineLevel="0" collapsed="false">
      <c r="A1344" s="154" t="n">
        <v>43491</v>
      </c>
      <c r="B1344" s="155" t="s">
        <v>1457</v>
      </c>
      <c r="C1344" s="148" t="str">
        <f aca="false">VLOOKUP($A1344,INSUMOS_AUX!$A$3:$H$813,3,0)</f>
        <v>MAT.</v>
      </c>
      <c r="D1344" s="156" t="s">
        <v>1444</v>
      </c>
      <c r="E1344" s="154" t="n">
        <v>0.005</v>
      </c>
      <c r="F1344" s="149" t="n">
        <f aca="false">IF(C1344="MAT.",VLOOKUP(A1344,INSUMOS_AUX!$A$3:$H$813,6,0),0)</f>
        <v>1.39</v>
      </c>
      <c r="G1344" s="149" t="n">
        <f aca="false">IF(C1344="M.O.",VLOOKUP(A1344,INSUMOS_AUX!A:F,6,0),0)</f>
        <v>0</v>
      </c>
    </row>
    <row r="1345" customFormat="false" ht="21" hidden="false" customHeight="false" outlineLevel="0" collapsed="false">
      <c r="A1345" s="154" t="n">
        <v>37372</v>
      </c>
      <c r="B1345" s="155" t="s">
        <v>1446</v>
      </c>
      <c r="C1345" s="148" t="str">
        <f aca="false">VLOOKUP($A1345,INSUMOS_AUX!$A$3:$H$813,3,0)</f>
        <v>MAT.</v>
      </c>
      <c r="D1345" s="156" t="s">
        <v>1444</v>
      </c>
      <c r="E1345" s="154" t="n">
        <v>0.019</v>
      </c>
      <c r="F1345" s="149" t="n">
        <f aca="false">IF(C1345="MAT.",VLOOKUP(A1345,INSUMOS_AUX!$A$3:$H$813,6,0),0)</f>
        <v>1.43</v>
      </c>
      <c r="G1345" s="149" t="n">
        <f aca="false">IF(C1345="M.O.",VLOOKUP(A1345,INSUMOS_AUX!A:F,6,0),0)</f>
        <v>0</v>
      </c>
    </row>
    <row r="1346" customFormat="false" ht="21" hidden="false" customHeight="false" outlineLevel="0" collapsed="false">
      <c r="A1346" s="154" t="n">
        <v>43465</v>
      </c>
      <c r="B1346" s="155" t="s">
        <v>1458</v>
      </c>
      <c r="C1346" s="148" t="s">
        <v>59</v>
      </c>
      <c r="D1346" s="156" t="s">
        <v>1444</v>
      </c>
      <c r="E1346" s="154" t="n">
        <v>0.014</v>
      </c>
      <c r="F1346" s="149" t="n">
        <f aca="false">IF(C1346="MAT.",VLOOKUP(A1346,INSUMOS_AUX!$A$3:$H$813,6,0),0)</f>
        <v>0</v>
      </c>
      <c r="G1346" s="149" t="n">
        <f aca="false">IF(C1346="M.O.",VLOOKUP(A1346,INSUMOS_AUX!A:F,6,0),0)</f>
        <v>0</v>
      </c>
    </row>
    <row r="1347" customFormat="false" ht="21" hidden="false" customHeight="false" outlineLevel="0" collapsed="false">
      <c r="A1347" s="154" t="n">
        <v>43467</v>
      </c>
      <c r="B1347" s="155" t="s">
        <v>1459</v>
      </c>
      <c r="C1347" s="148" t="str">
        <f aca="false">VLOOKUP($A1347,INSUMOS_AUX!$A$3:$H$813,3,0)</f>
        <v>MAT.</v>
      </c>
      <c r="D1347" s="156" t="s">
        <v>1444</v>
      </c>
      <c r="E1347" s="154" t="n">
        <v>0.005</v>
      </c>
      <c r="F1347" s="149" t="n">
        <f aca="false">IF(C1347="MAT.",VLOOKUP(A1347,INSUMOS_AUX!$A$3:$H$813,6,0),0)</f>
        <v>0.61</v>
      </c>
      <c r="G1347" s="149" t="n">
        <f aca="false">IF(C1347="M.O.",VLOOKUP(A1347,INSUMOS_AUX!A:F,6,0),0)</f>
        <v>0</v>
      </c>
    </row>
    <row r="1348" customFormat="false" ht="21" hidden="false" customHeight="false" outlineLevel="0" collapsed="false">
      <c r="A1348" s="154" t="n">
        <v>37373</v>
      </c>
      <c r="B1348" s="155" t="s">
        <v>1448</v>
      </c>
      <c r="C1348" s="148" t="str">
        <f aca="false">VLOOKUP($A1348,INSUMOS_AUX!$A$3:$H$813,3,0)</f>
        <v>MAT.</v>
      </c>
      <c r="D1348" s="156" t="s">
        <v>1444</v>
      </c>
      <c r="E1348" s="154" t="n">
        <v>0.019</v>
      </c>
      <c r="F1348" s="149" t="n">
        <f aca="false">IF(C1348="MAT.",VLOOKUP(A1348,INSUMOS_AUX!$A$3:$H$813,6,0),0)</f>
        <v>0.08</v>
      </c>
      <c r="G1348" s="149" t="n">
        <f aca="false">IF(C1348="M.O.",VLOOKUP(A1348,INSUMOS_AUX!A:F,6,0),0)</f>
        <v>0</v>
      </c>
    </row>
    <row r="1349" customFormat="false" ht="21" hidden="false" customHeight="false" outlineLevel="0" collapsed="false">
      <c r="A1349" s="154" t="n">
        <v>37371</v>
      </c>
      <c r="B1349" s="155" t="s">
        <v>1449</v>
      </c>
      <c r="C1349" s="148" t="str">
        <f aca="false">VLOOKUP($A1349,INSUMOS_AUX!$A$3:$H$813,3,0)</f>
        <v>MAT.</v>
      </c>
      <c r="D1349" s="156" t="s">
        <v>1444</v>
      </c>
      <c r="E1349" s="154" t="n">
        <v>0.019</v>
      </c>
      <c r="F1349" s="149" t="n">
        <f aca="false">IF(C1349="MAT.",VLOOKUP(A1349,INSUMOS_AUX!$A$3:$H$813,6,0),0)</f>
        <v>0.59</v>
      </c>
      <c r="G1349" s="149" t="n">
        <f aca="false">IF(C1349="M.O.",VLOOKUP(A1349,INSUMOS_AUX!A:F,6,0),0)</f>
        <v>0</v>
      </c>
    </row>
    <row r="1350" customFormat="false" ht="15" hidden="false" customHeight="false" outlineLevel="0" collapsed="false">
      <c r="A1350" s="154" t="n">
        <v>42408</v>
      </c>
      <c r="B1350" s="155" t="s">
        <v>1573</v>
      </c>
      <c r="C1350" s="148" t="str">
        <f aca="false">VLOOKUP($A1350,INSUMOS_AUX!$A$3:$H$813,3,0)</f>
        <v>MAT.</v>
      </c>
      <c r="D1350" s="156" t="s">
        <v>1477</v>
      </c>
      <c r="E1350" s="154" t="n">
        <v>1.04</v>
      </c>
      <c r="F1350" s="149" t="n">
        <f aca="false">IF(C1350="MAT.",VLOOKUP(A1350,INSUMOS_AUX!$A$3:$H$813,6,0),0)</f>
        <v>1.65</v>
      </c>
      <c r="G1350" s="149" t="n">
        <f aca="false">IF(C1350="M.O.",VLOOKUP(A1350,INSUMOS_AUX!A:F,6,0),0)</f>
        <v>0</v>
      </c>
    </row>
    <row r="1351" customFormat="false" ht="15" hidden="false" customHeight="false" outlineLevel="0" collapsed="false">
      <c r="A1351" s="154" t="n">
        <v>4750</v>
      </c>
      <c r="B1351" s="155" t="s">
        <v>1463</v>
      </c>
      <c r="C1351" s="148" t="str">
        <f aca="false">VLOOKUP($A1351,INSUMOS_AUX!$A$3:$H$813,3,0)</f>
        <v>M.O.</v>
      </c>
      <c r="D1351" s="156" t="s">
        <v>1444</v>
      </c>
      <c r="E1351" s="154" t="n">
        <v>0.0142968</v>
      </c>
      <c r="F1351" s="149" t="n">
        <f aca="false">IF(C1351="MAT.",VLOOKUP(A1351,INSUMOS_AUX!$A$3:$H$813,6,0),0)</f>
        <v>0</v>
      </c>
      <c r="G1351" s="149" t="n">
        <f aca="false">IF(C1351="M.O.",VLOOKUP(A1351,INSUMOS_AUX!A:F,6,0),0)</f>
        <v>20.22</v>
      </c>
    </row>
    <row r="1352" customFormat="false" ht="15" hidden="false" customHeight="false" outlineLevel="0" collapsed="false">
      <c r="A1352" s="154" t="n">
        <v>6111</v>
      </c>
      <c r="B1352" s="155" t="s">
        <v>1464</v>
      </c>
      <c r="C1352" s="148" t="str">
        <f aca="false">VLOOKUP($A1352,INSUMOS_AUX!$A$3:$H$813,3,0)</f>
        <v>M.O.</v>
      </c>
      <c r="D1352" s="156" t="s">
        <v>1444</v>
      </c>
      <c r="E1352" s="154" t="n">
        <v>0.005106</v>
      </c>
      <c r="F1352" s="149" t="n">
        <f aca="false">IF(C1352="MAT.",VLOOKUP(A1352,INSUMOS_AUX!$A$3:$H$813,6,0),0)</f>
        <v>0</v>
      </c>
      <c r="G1352" s="149" t="n">
        <f aca="false">IF(C1352="M.O.",VLOOKUP(A1352,INSUMOS_AUX!A:F,6,0),0)</f>
        <v>12.95</v>
      </c>
    </row>
    <row r="1353" customFormat="false" ht="21" hidden="false" customHeight="false" outlineLevel="0" collapsed="false">
      <c r="A1353" s="150" t="n">
        <v>97090</v>
      </c>
      <c r="B1353" s="151" t="s">
        <v>1704</v>
      </c>
      <c r="C1353" s="152" t="s">
        <v>59</v>
      </c>
      <c r="D1353" s="152" t="s">
        <v>1513</v>
      </c>
      <c r="E1353" s="150"/>
      <c r="F1353" s="153" t="n">
        <f aca="false">(SUMPRODUCT($E1354:$E1364,F1354:F1364))*1</f>
        <v>12.60606</v>
      </c>
      <c r="G1353" s="153" t="n">
        <f aca="false">(SUMPRODUCT($E1354:$E1364,G1354:G1364))*1</f>
        <v>0.7815967272</v>
      </c>
    </row>
    <row r="1354" customFormat="false" ht="21" hidden="false" customHeight="false" outlineLevel="0" collapsed="false">
      <c r="A1354" s="154" t="n">
        <v>37370</v>
      </c>
      <c r="B1354" s="155" t="s">
        <v>1443</v>
      </c>
      <c r="C1354" s="148" t="str">
        <f aca="false">VLOOKUP($A1354,INSUMOS_AUX!$A$3:$H$813,3,0)</f>
        <v>MAT.</v>
      </c>
      <c r="D1354" s="156" t="s">
        <v>1444</v>
      </c>
      <c r="E1354" s="154" t="n">
        <v>0.042</v>
      </c>
      <c r="F1354" s="149" t="n">
        <f aca="false">IF(C1354="MAT.",VLOOKUP(A1354,INSUMOS_AUX!$A$3:$H$813,6,0),0)</f>
        <v>3.32</v>
      </c>
      <c r="G1354" s="149" t="n">
        <f aca="false">IF(C1354="M.O.",VLOOKUP(A1354,INSUMOS_AUX!A:F,6,0),0)</f>
        <v>0</v>
      </c>
    </row>
    <row r="1355" customFormat="false" ht="21" hidden="false" customHeight="false" outlineLevel="0" collapsed="false">
      <c r="A1355" s="154" t="n">
        <v>43489</v>
      </c>
      <c r="B1355" s="155" t="s">
        <v>1456</v>
      </c>
      <c r="C1355" s="148" t="str">
        <f aca="false">VLOOKUP($A1355,INSUMOS_AUX!$A$3:$H$813,3,0)</f>
        <v>MAT.</v>
      </c>
      <c r="D1355" s="156" t="s">
        <v>1444</v>
      </c>
      <c r="E1355" s="154" t="n">
        <v>0.042</v>
      </c>
      <c r="F1355" s="149" t="n">
        <f aca="false">IF(C1355="MAT.",VLOOKUP(A1355,INSUMOS_AUX!$A$3:$H$813,6,0),0)</f>
        <v>1.31</v>
      </c>
      <c r="G1355" s="149" t="n">
        <f aca="false">IF(C1355="M.O.",VLOOKUP(A1355,INSUMOS_AUX!A:F,6,0),0)</f>
        <v>0</v>
      </c>
    </row>
    <row r="1356" customFormat="false" ht="21" hidden="false" customHeight="false" outlineLevel="0" collapsed="false">
      <c r="A1356" s="154" t="n">
        <v>37372</v>
      </c>
      <c r="B1356" s="155" t="s">
        <v>1446</v>
      </c>
      <c r="C1356" s="148" t="str">
        <f aca="false">VLOOKUP($A1356,INSUMOS_AUX!$A$3:$H$813,3,0)</f>
        <v>MAT.</v>
      </c>
      <c r="D1356" s="156" t="s">
        <v>1444</v>
      </c>
      <c r="E1356" s="154" t="n">
        <v>0.042</v>
      </c>
      <c r="F1356" s="149" t="n">
        <f aca="false">IF(C1356="MAT.",VLOOKUP(A1356,INSUMOS_AUX!$A$3:$H$813,6,0),0)</f>
        <v>1.43</v>
      </c>
      <c r="G1356" s="149" t="n">
        <f aca="false">IF(C1356="M.O.",VLOOKUP(A1356,INSUMOS_AUX!A:F,6,0),0)</f>
        <v>0</v>
      </c>
    </row>
    <row r="1357" customFormat="false" ht="21" hidden="false" customHeight="false" outlineLevel="0" collapsed="false">
      <c r="A1357" s="154" t="n">
        <v>43465</v>
      </c>
      <c r="B1357" s="155" t="s">
        <v>1458</v>
      </c>
      <c r="C1357" s="148" t="str">
        <f aca="false">VLOOKUP($A1357,INSUMOS_AUX!$A$3:$H$813,3,0)</f>
        <v>MAT.</v>
      </c>
      <c r="D1357" s="156" t="s">
        <v>1444</v>
      </c>
      <c r="E1357" s="154" t="n">
        <v>0.042</v>
      </c>
      <c r="F1357" s="149" t="n">
        <f aca="false">IF(C1357="MAT.",VLOOKUP(A1357,INSUMOS_AUX!$A$3:$H$813,6,0),0)</f>
        <v>0.78</v>
      </c>
      <c r="G1357" s="149" t="n">
        <f aca="false">IF(C1357="M.O.",VLOOKUP(A1357,INSUMOS_AUX!A:F,6,0),0)</f>
        <v>0</v>
      </c>
    </row>
    <row r="1358" customFormat="false" ht="21" hidden="false" customHeight="false" outlineLevel="0" collapsed="false">
      <c r="A1358" s="154" t="n">
        <v>37373</v>
      </c>
      <c r="B1358" s="155" t="s">
        <v>1448</v>
      </c>
      <c r="C1358" s="148" t="s">
        <v>59</v>
      </c>
      <c r="D1358" s="156" t="s">
        <v>1444</v>
      </c>
      <c r="E1358" s="154" t="n">
        <v>0.042</v>
      </c>
      <c r="F1358" s="149" t="n">
        <f aca="false">IF(C1358="MAT.",VLOOKUP(A1358,INSUMOS_AUX!$A$3:$H$813,6,0),0)</f>
        <v>0</v>
      </c>
      <c r="G1358" s="149" t="n">
        <f aca="false">IF(C1358="M.O.",VLOOKUP(A1358,INSUMOS_AUX!A:F,6,0),0)</f>
        <v>0</v>
      </c>
    </row>
    <row r="1359" customFormat="false" ht="21" hidden="false" customHeight="false" outlineLevel="0" collapsed="false">
      <c r="A1359" s="154" t="n">
        <v>37371</v>
      </c>
      <c r="B1359" s="155" t="s">
        <v>1449</v>
      </c>
      <c r="C1359" s="148" t="str">
        <f aca="false">VLOOKUP($A1359,INSUMOS_AUX!$A$3:$H$813,3,0)</f>
        <v>MAT.</v>
      </c>
      <c r="D1359" s="156" t="s">
        <v>1444</v>
      </c>
      <c r="E1359" s="154" t="n">
        <v>0.042</v>
      </c>
      <c r="F1359" s="149" t="n">
        <f aca="false">IF(C1359="MAT.",VLOOKUP(A1359,INSUMOS_AUX!$A$3:$H$813,6,0),0)</f>
        <v>0.59</v>
      </c>
      <c r="G1359" s="149" t="n">
        <f aca="false">IF(C1359="M.O.",VLOOKUP(A1359,INSUMOS_AUX!A:F,6,0),0)</f>
        <v>0</v>
      </c>
    </row>
    <row r="1360" customFormat="false" ht="21" hidden="false" customHeight="false" outlineLevel="0" collapsed="false">
      <c r="A1360" s="154" t="n">
        <v>43132</v>
      </c>
      <c r="B1360" s="155" t="s">
        <v>1565</v>
      </c>
      <c r="C1360" s="148" t="str">
        <f aca="false">VLOOKUP($A1360,INSUMOS_AUX!$A$3:$H$813,3,0)</f>
        <v>MAT.</v>
      </c>
      <c r="D1360" s="156" t="s">
        <v>1513</v>
      </c>
      <c r="E1360" s="154" t="n">
        <v>0.011</v>
      </c>
      <c r="F1360" s="149" t="n">
        <f aca="false">IF(C1360="MAT.",VLOOKUP(A1360,INSUMOS_AUX!$A$3:$H$813,6,0),0)</f>
        <v>28</v>
      </c>
      <c r="G1360" s="149" t="n">
        <f aca="false">IF(C1360="M.O.",VLOOKUP(A1360,INSUMOS_AUX!A:F,6,0),0)</f>
        <v>0</v>
      </c>
    </row>
    <row r="1361" customFormat="false" ht="31.5" hidden="false" customHeight="false" outlineLevel="0" collapsed="false">
      <c r="A1361" s="154" t="n">
        <v>7155</v>
      </c>
      <c r="B1361" s="155" t="s">
        <v>1679</v>
      </c>
      <c r="C1361" s="148" t="str">
        <f aca="false">VLOOKUP($A1361,INSUMOS_AUX!$A$3:$H$813,3,0)</f>
        <v>MAT.</v>
      </c>
      <c r="D1361" s="156" t="s">
        <v>1477</v>
      </c>
      <c r="E1361" s="154" t="n">
        <v>0.555</v>
      </c>
      <c r="F1361" s="149" t="n">
        <f aca="false">IF(C1361="MAT.",VLOOKUP(A1361,INSUMOS_AUX!$A$3:$H$813,6,0),0)</f>
        <v>17.03</v>
      </c>
      <c r="G1361" s="149" t="n">
        <f aca="false">IF(C1361="M.O.",VLOOKUP(A1361,INSUMOS_AUX!A:F,6,0),0)</f>
        <v>0</v>
      </c>
    </row>
    <row r="1362" customFormat="false" ht="31.5" hidden="false" customHeight="false" outlineLevel="0" collapsed="false">
      <c r="A1362" s="154" t="n">
        <v>42407</v>
      </c>
      <c r="B1362" s="155" t="s">
        <v>1586</v>
      </c>
      <c r="C1362" s="148" t="str">
        <f aca="false">VLOOKUP($A1362,INSUMOS_AUX!$A$3:$H$813,3,0)</f>
        <v>MAT.</v>
      </c>
      <c r="D1362" s="156" t="s">
        <v>1455</v>
      </c>
      <c r="E1362" s="154" t="n">
        <v>0.455</v>
      </c>
      <c r="F1362" s="149" t="n">
        <f aca="false">IF(C1362="MAT.",VLOOKUP(A1362,INSUMOS_AUX!$A$3:$H$813,6,0),0)</f>
        <v>5.57</v>
      </c>
      <c r="G1362" s="149" t="n">
        <f aca="false">IF(C1362="M.O.",VLOOKUP(A1362,INSUMOS_AUX!A:F,6,0),0)</f>
        <v>0</v>
      </c>
    </row>
    <row r="1363" customFormat="false" ht="15" hidden="false" customHeight="false" outlineLevel="0" collapsed="false">
      <c r="A1363" s="154" t="n">
        <v>6114</v>
      </c>
      <c r="B1363" s="155" t="s">
        <v>1588</v>
      </c>
      <c r="C1363" s="148" t="str">
        <f aca="false">VLOOKUP($A1363,INSUMOS_AUX!$A$3:$H$813,3,0)</f>
        <v>M.O.</v>
      </c>
      <c r="D1363" s="156" t="s">
        <v>1444</v>
      </c>
      <c r="E1363" s="154" t="n">
        <v>0.01112694</v>
      </c>
      <c r="F1363" s="149" t="n">
        <f aca="false">IF(C1363="MAT.",VLOOKUP(A1363,INSUMOS_AUX!$A$3:$H$813,6,0),0)</f>
        <v>0</v>
      </c>
      <c r="G1363" s="149" t="n">
        <f aca="false">IF(C1363="M.O.",VLOOKUP(A1363,INSUMOS_AUX!A:F,6,0),0)</f>
        <v>13.26</v>
      </c>
    </row>
    <row r="1364" customFormat="false" ht="15" hidden="false" customHeight="false" outlineLevel="0" collapsed="false">
      <c r="A1364" s="154" t="n">
        <v>378</v>
      </c>
      <c r="B1364" s="155" t="s">
        <v>1589</v>
      </c>
      <c r="C1364" s="148" t="str">
        <f aca="false">VLOOKUP($A1364,INSUMOS_AUX!$A$3:$H$813,3,0)</f>
        <v>M.O.</v>
      </c>
      <c r="D1364" s="156" t="s">
        <v>1444</v>
      </c>
      <c r="E1364" s="154" t="n">
        <v>0.03135774</v>
      </c>
      <c r="F1364" s="149" t="n">
        <f aca="false">IF(C1364="MAT.",VLOOKUP(A1364,INSUMOS_AUX!$A$3:$H$813,6,0),0)</f>
        <v>0</v>
      </c>
      <c r="G1364" s="149" t="n">
        <f aca="false">IF(C1364="M.O.",VLOOKUP(A1364,INSUMOS_AUX!A:F,6,0),0)</f>
        <v>20.22</v>
      </c>
    </row>
    <row r="1365" customFormat="false" ht="31.5" hidden="false" customHeight="false" outlineLevel="0" collapsed="false">
      <c r="A1365" s="150" t="n">
        <v>97116</v>
      </c>
      <c r="B1365" s="151" t="s">
        <v>1705</v>
      </c>
      <c r="C1365" s="152" t="s">
        <v>59</v>
      </c>
      <c r="D1365" s="152" t="s">
        <v>1513</v>
      </c>
      <c r="E1365" s="150"/>
      <c r="F1365" s="153" t="n">
        <f aca="false">(SUMPRODUCT($E1366:$E1377,F1366:F1377))*1</f>
        <v>14.5092843</v>
      </c>
      <c r="G1365" s="153" t="n">
        <f aca="false">(SUMPRODUCT($E1366:$E1377,G1366:G1377))*1</f>
        <v>7.124170562508</v>
      </c>
    </row>
    <row r="1366" customFormat="false" ht="21" hidden="false" customHeight="false" outlineLevel="0" collapsed="false">
      <c r="A1366" s="154" t="n">
        <v>37370</v>
      </c>
      <c r="B1366" s="155" t="s">
        <v>1443</v>
      </c>
      <c r="C1366" s="148" t="str">
        <f aca="false">VLOOKUP($A1366,INSUMOS_AUX!$A$3:$H$813,3,0)</f>
        <v>MAT.</v>
      </c>
      <c r="D1366" s="156" t="s">
        <v>1444</v>
      </c>
      <c r="E1366" s="154" t="n">
        <v>0.354</v>
      </c>
      <c r="F1366" s="149" t="n">
        <f aca="false">IF(C1366="MAT.",VLOOKUP(A1366,INSUMOS_AUX!$A$3:$H$813,6,0),0)</f>
        <v>3.32</v>
      </c>
      <c r="G1366" s="149" t="n">
        <f aca="false">IF(C1366="M.O.",VLOOKUP(A1366,INSUMOS_AUX!A:F,6,0),0)</f>
        <v>0</v>
      </c>
    </row>
    <row r="1367" customFormat="false" ht="21" hidden="false" customHeight="false" outlineLevel="0" collapsed="false">
      <c r="A1367" s="154" t="n">
        <v>43489</v>
      </c>
      <c r="B1367" s="155" t="s">
        <v>1456</v>
      </c>
      <c r="C1367" s="148" t="str">
        <f aca="false">VLOOKUP($A1367,INSUMOS_AUX!$A$3:$H$813,3,0)</f>
        <v>MAT.</v>
      </c>
      <c r="D1367" s="156" t="s">
        <v>1444</v>
      </c>
      <c r="E1367" s="154" t="n">
        <v>0.33791</v>
      </c>
      <c r="F1367" s="149" t="n">
        <f aca="false">IF(C1367="MAT.",VLOOKUP(A1367,INSUMOS_AUX!$A$3:$H$813,6,0),0)</f>
        <v>1.31</v>
      </c>
      <c r="G1367" s="149" t="n">
        <f aca="false">IF(C1367="M.O.",VLOOKUP(A1367,INSUMOS_AUX!A:F,6,0),0)</f>
        <v>0</v>
      </c>
    </row>
    <row r="1368" customFormat="false" ht="21" hidden="false" customHeight="false" outlineLevel="0" collapsed="false">
      <c r="A1368" s="154" t="n">
        <v>43491</v>
      </c>
      <c r="B1368" s="155" t="s">
        <v>1457</v>
      </c>
      <c r="C1368" s="148" t="str">
        <f aca="false">VLOOKUP($A1368,INSUMOS_AUX!$A$3:$H$813,3,0)</f>
        <v>MAT.</v>
      </c>
      <c r="D1368" s="156" t="s">
        <v>1444</v>
      </c>
      <c r="E1368" s="154" t="n">
        <v>0.01609</v>
      </c>
      <c r="F1368" s="149" t="n">
        <f aca="false">IF(C1368="MAT.",VLOOKUP(A1368,INSUMOS_AUX!$A$3:$H$813,6,0),0)</f>
        <v>1.39</v>
      </c>
      <c r="G1368" s="149" t="n">
        <f aca="false">IF(C1368="M.O.",VLOOKUP(A1368,INSUMOS_AUX!A:F,6,0),0)</f>
        <v>0</v>
      </c>
    </row>
    <row r="1369" customFormat="false" ht="21" hidden="false" customHeight="false" outlineLevel="0" collapsed="false">
      <c r="A1369" s="154" t="n">
        <v>37372</v>
      </c>
      <c r="B1369" s="155" t="s">
        <v>1446</v>
      </c>
      <c r="C1369" s="148" t="str">
        <f aca="false">VLOOKUP($A1369,INSUMOS_AUX!$A$3:$H$813,3,0)</f>
        <v>MAT.</v>
      </c>
      <c r="D1369" s="156" t="s">
        <v>1444</v>
      </c>
      <c r="E1369" s="154" t="n">
        <v>0.354</v>
      </c>
      <c r="F1369" s="149" t="n">
        <f aca="false">IF(C1369="MAT.",VLOOKUP(A1369,INSUMOS_AUX!$A$3:$H$813,6,0),0)</f>
        <v>1.43</v>
      </c>
      <c r="G1369" s="149" t="n">
        <f aca="false">IF(C1369="M.O.",VLOOKUP(A1369,INSUMOS_AUX!A:F,6,0),0)</f>
        <v>0</v>
      </c>
    </row>
    <row r="1370" customFormat="false" ht="21" hidden="false" customHeight="false" outlineLevel="0" collapsed="false">
      <c r="A1370" s="154" t="n">
        <v>43465</v>
      </c>
      <c r="B1370" s="155" t="s">
        <v>1458</v>
      </c>
      <c r="C1370" s="148" t="s">
        <v>59</v>
      </c>
      <c r="D1370" s="156" t="s">
        <v>1444</v>
      </c>
      <c r="E1370" s="154" t="n">
        <v>0.33791</v>
      </c>
      <c r="F1370" s="149" t="n">
        <f aca="false">IF(C1370="MAT.",VLOOKUP(A1370,INSUMOS_AUX!$A$3:$H$813,6,0),0)</f>
        <v>0</v>
      </c>
      <c r="G1370" s="149" t="n">
        <f aca="false">IF(C1370="M.O.",VLOOKUP(A1370,INSUMOS_AUX!A:F,6,0),0)</f>
        <v>0</v>
      </c>
    </row>
    <row r="1371" customFormat="false" ht="21" hidden="false" customHeight="false" outlineLevel="0" collapsed="false">
      <c r="A1371" s="154" t="n">
        <v>43467</v>
      </c>
      <c r="B1371" s="155" t="s">
        <v>1459</v>
      </c>
      <c r="C1371" s="148" t="str">
        <f aca="false">VLOOKUP($A1371,INSUMOS_AUX!$A$3:$H$813,3,0)</f>
        <v>MAT.</v>
      </c>
      <c r="D1371" s="156" t="s">
        <v>1444</v>
      </c>
      <c r="E1371" s="154" t="n">
        <v>0.01609</v>
      </c>
      <c r="F1371" s="149" t="n">
        <f aca="false">IF(C1371="MAT.",VLOOKUP(A1371,INSUMOS_AUX!$A$3:$H$813,6,0),0)</f>
        <v>0.61</v>
      </c>
      <c r="G1371" s="149" t="n">
        <f aca="false">IF(C1371="M.O.",VLOOKUP(A1371,INSUMOS_AUX!A:F,6,0),0)</f>
        <v>0</v>
      </c>
    </row>
    <row r="1372" customFormat="false" ht="21" hidden="false" customHeight="false" outlineLevel="0" collapsed="false">
      <c r="A1372" s="154" t="n">
        <v>37373</v>
      </c>
      <c r="B1372" s="155" t="s">
        <v>1448</v>
      </c>
      <c r="C1372" s="148" t="str">
        <f aca="false">VLOOKUP($A1372,INSUMOS_AUX!$A$3:$H$813,3,0)</f>
        <v>MAT.</v>
      </c>
      <c r="D1372" s="156" t="s">
        <v>1444</v>
      </c>
      <c r="E1372" s="154" t="n">
        <v>0.354</v>
      </c>
      <c r="F1372" s="149" t="n">
        <f aca="false">IF(C1372="MAT.",VLOOKUP(A1372,INSUMOS_AUX!$A$3:$H$813,6,0),0)</f>
        <v>0.08</v>
      </c>
      <c r="G1372" s="149" t="n">
        <f aca="false">IF(C1372="M.O.",VLOOKUP(A1372,INSUMOS_AUX!A:F,6,0),0)</f>
        <v>0</v>
      </c>
    </row>
    <row r="1373" customFormat="false" ht="21" hidden="false" customHeight="false" outlineLevel="0" collapsed="false">
      <c r="A1373" s="154" t="n">
        <v>37371</v>
      </c>
      <c r="B1373" s="155" t="s">
        <v>1449</v>
      </c>
      <c r="C1373" s="148" t="str">
        <f aca="false">VLOOKUP($A1373,INSUMOS_AUX!$A$3:$H$813,3,0)</f>
        <v>MAT.</v>
      </c>
      <c r="D1373" s="156" t="s">
        <v>1444</v>
      </c>
      <c r="E1373" s="154" t="n">
        <v>0.354</v>
      </c>
      <c r="F1373" s="149" t="n">
        <f aca="false">IF(C1373="MAT.",VLOOKUP(A1373,INSUMOS_AUX!$A$3:$H$813,6,0),0)</f>
        <v>0.59</v>
      </c>
      <c r="G1373" s="149" t="n">
        <f aca="false">IF(C1373="M.O.",VLOOKUP(A1373,INSUMOS_AUX!A:F,6,0),0)</f>
        <v>0</v>
      </c>
    </row>
    <row r="1374" customFormat="false" ht="15" hidden="false" customHeight="false" outlineLevel="0" collapsed="false">
      <c r="A1374" s="154" t="n">
        <v>42402</v>
      </c>
      <c r="B1374" s="155" t="s">
        <v>1706</v>
      </c>
      <c r="C1374" s="148" t="str">
        <f aca="false">VLOOKUP($A1374,INSUMOS_AUX!$A$3:$H$813,3,0)</f>
        <v>MAT.</v>
      </c>
      <c r="D1374" s="156" t="s">
        <v>1513</v>
      </c>
      <c r="E1374" s="154" t="n">
        <v>1</v>
      </c>
      <c r="F1374" s="149" t="n">
        <f aca="false">IF(C1374="MAT.",VLOOKUP(A1374,INSUMOS_AUX!$A$3:$H$813,6,0),0)</f>
        <v>7.88</v>
      </c>
      <c r="G1374" s="149" t="n">
        <f aca="false">IF(C1374="M.O.",VLOOKUP(A1374,INSUMOS_AUX!A:F,6,0),0)</f>
        <v>0</v>
      </c>
    </row>
    <row r="1375" customFormat="false" ht="31.5" hidden="false" customHeight="false" outlineLevel="0" collapsed="false">
      <c r="A1375" s="154" t="n">
        <v>42407</v>
      </c>
      <c r="B1375" s="155" t="s">
        <v>1586</v>
      </c>
      <c r="C1375" s="148" t="str">
        <f aca="false">VLOOKUP($A1375,INSUMOS_AUX!$A$3:$H$813,3,0)</f>
        <v>MAT.</v>
      </c>
      <c r="D1375" s="156" t="s">
        <v>1455</v>
      </c>
      <c r="E1375" s="154" t="n">
        <v>0.76046</v>
      </c>
      <c r="F1375" s="149" t="n">
        <f aca="false">IF(C1375="MAT.",VLOOKUP(A1375,INSUMOS_AUX!$A$3:$H$813,6,0),0)</f>
        <v>5.57</v>
      </c>
      <c r="G1375" s="149" t="n">
        <f aca="false">IF(C1375="M.O.",VLOOKUP(A1375,INSUMOS_AUX!A:F,6,0),0)</f>
        <v>0</v>
      </c>
    </row>
    <row r="1376" customFormat="false" ht="15" hidden="false" customHeight="false" outlineLevel="0" collapsed="false">
      <c r="A1376" s="154" t="n">
        <v>378</v>
      </c>
      <c r="B1376" s="155" t="s">
        <v>1589</v>
      </c>
      <c r="C1376" s="148" t="str">
        <f aca="false">VLOOKUP($A1376,INSUMOS_AUX!$A$3:$H$813,3,0)</f>
        <v>M.O.</v>
      </c>
      <c r="D1376" s="156" t="s">
        <v>1444</v>
      </c>
      <c r="E1376" s="154" t="n">
        <v>0.3418094814</v>
      </c>
      <c r="F1376" s="149" t="n">
        <f aca="false">IF(C1376="MAT.",VLOOKUP(A1376,INSUMOS_AUX!$A$3:$H$813,6,0),0)</f>
        <v>0</v>
      </c>
      <c r="G1376" s="149" t="n">
        <f aca="false">IF(C1376="M.O.",VLOOKUP(A1376,INSUMOS_AUX!A:F,6,0),0)</f>
        <v>20.22</v>
      </c>
    </row>
    <row r="1377" customFormat="false" ht="15" hidden="false" customHeight="false" outlineLevel="0" collapsed="false">
      <c r="A1377" s="154" t="n">
        <v>6111</v>
      </c>
      <c r="B1377" s="155" t="s">
        <v>1464</v>
      </c>
      <c r="C1377" s="148" t="str">
        <f aca="false">VLOOKUP($A1377,INSUMOS_AUX!$A$3:$H$813,3,0)</f>
        <v>M.O.</v>
      </c>
      <c r="D1377" s="156" t="s">
        <v>1444</v>
      </c>
      <c r="E1377" s="154" t="n">
        <v>0.016431108</v>
      </c>
      <c r="F1377" s="149" t="n">
        <f aca="false">IF(C1377="MAT.",VLOOKUP(A1377,INSUMOS_AUX!$A$3:$H$813,6,0),0)</f>
        <v>0</v>
      </c>
      <c r="G1377" s="149" t="n">
        <f aca="false">IF(C1377="M.O.",VLOOKUP(A1377,INSUMOS_AUX!A:F,6,0),0)</f>
        <v>12.95</v>
      </c>
    </row>
    <row r="1378" customFormat="false" ht="21" hidden="false" customHeight="false" outlineLevel="0" collapsed="false">
      <c r="A1378" s="150" t="s">
        <v>231</v>
      </c>
      <c r="B1378" s="151" t="s">
        <v>1707</v>
      </c>
      <c r="C1378" s="152" t="s">
        <v>59</v>
      </c>
      <c r="D1378" s="152" t="s">
        <v>1442</v>
      </c>
      <c r="E1378" s="150"/>
      <c r="F1378" s="153" t="n">
        <f aca="false">(SUMPRODUCT($E1379:$E1391,F1379:F1391))*1</f>
        <v>663.774408289448</v>
      </c>
      <c r="G1378" s="153" t="n">
        <f aca="false">(SUMPRODUCT($E1379:$E1391,G1379:G1391))*1</f>
        <v>13.921886844</v>
      </c>
    </row>
    <row r="1379" customFormat="false" ht="21" hidden="false" customHeight="false" outlineLevel="0" collapsed="false">
      <c r="A1379" s="154" t="n">
        <v>37370</v>
      </c>
      <c r="B1379" s="155" t="s">
        <v>1443</v>
      </c>
      <c r="C1379" s="148" t="str">
        <f aca="false">VLOOKUP($A1379,INSUMOS_AUX!$A$3:$H$813,3,0)</f>
        <v>MAT.</v>
      </c>
      <c r="D1379" s="156" t="s">
        <v>1444</v>
      </c>
      <c r="E1379" s="154" t="n">
        <v>0.822</v>
      </c>
      <c r="F1379" s="149" t="n">
        <f aca="false">IF(C1379="MAT.",VLOOKUP(A1379,INSUMOS_AUX!$A$3:$H$813,6,0),0)</f>
        <v>3.32</v>
      </c>
      <c r="G1379" s="149" t="n">
        <f aca="false">IF(C1379="M.O.",VLOOKUP(A1379,INSUMOS_AUX!A:F,6,0),0)</f>
        <v>0</v>
      </c>
    </row>
    <row r="1380" customFormat="false" ht="21" hidden="false" customHeight="false" outlineLevel="0" collapsed="false">
      <c r="A1380" s="154" t="n">
        <v>43489</v>
      </c>
      <c r="B1380" s="155" t="s">
        <v>1456</v>
      </c>
      <c r="C1380" s="148" t="str">
        <f aca="false">VLOOKUP($A1380,INSUMOS_AUX!$A$3:$H$813,3,0)</f>
        <v>MAT.</v>
      </c>
      <c r="D1380" s="156" t="s">
        <v>1444</v>
      </c>
      <c r="E1380" s="154" t="n">
        <v>0.411</v>
      </c>
      <c r="F1380" s="149" t="n">
        <f aca="false">IF(C1380="MAT.",VLOOKUP(A1380,INSUMOS_AUX!$A$3:$H$813,6,0),0)</f>
        <v>1.31</v>
      </c>
      <c r="G1380" s="149" t="n">
        <f aca="false">IF(C1380="M.O.",VLOOKUP(A1380,INSUMOS_AUX!A:F,6,0),0)</f>
        <v>0</v>
      </c>
    </row>
    <row r="1381" customFormat="false" ht="21" hidden="false" customHeight="false" outlineLevel="0" collapsed="false">
      <c r="A1381" s="154" t="n">
        <v>43491</v>
      </c>
      <c r="B1381" s="155" t="s">
        <v>1457</v>
      </c>
      <c r="C1381" s="148" t="str">
        <f aca="false">VLOOKUP($A1381,INSUMOS_AUX!$A$3:$H$813,3,0)</f>
        <v>MAT.</v>
      </c>
      <c r="D1381" s="156" t="s">
        <v>1444</v>
      </c>
      <c r="E1381" s="154" t="n">
        <v>0.411</v>
      </c>
      <c r="F1381" s="149" t="n">
        <f aca="false">IF(C1381="MAT.",VLOOKUP(A1381,INSUMOS_AUX!$A$3:$H$813,6,0),0)</f>
        <v>1.39</v>
      </c>
      <c r="G1381" s="149" t="n">
        <f aca="false">IF(C1381="M.O.",VLOOKUP(A1381,INSUMOS_AUX!A:F,6,0),0)</f>
        <v>0</v>
      </c>
    </row>
    <row r="1382" customFormat="false" ht="21" hidden="false" customHeight="false" outlineLevel="0" collapsed="false">
      <c r="A1382" s="154" t="n">
        <v>37372</v>
      </c>
      <c r="B1382" s="155" t="s">
        <v>1446</v>
      </c>
      <c r="C1382" s="148" t="s">
        <v>59</v>
      </c>
      <c r="D1382" s="156" t="s">
        <v>1444</v>
      </c>
      <c r="E1382" s="154" t="n">
        <v>0.822</v>
      </c>
      <c r="F1382" s="149" t="n">
        <f aca="false">IF(C1382="MAT.",VLOOKUP(A1382,INSUMOS_AUX!$A$3:$H$813,6,0),0)</f>
        <v>0</v>
      </c>
      <c r="G1382" s="149" t="n">
        <f aca="false">IF(C1382="M.O.",VLOOKUP(A1382,INSUMOS_AUX!A:F,6,0),0)</f>
        <v>0</v>
      </c>
    </row>
    <row r="1383" customFormat="false" ht="21" hidden="false" customHeight="false" outlineLevel="0" collapsed="false">
      <c r="A1383" s="154" t="n">
        <v>43465</v>
      </c>
      <c r="B1383" s="155" t="s">
        <v>1458</v>
      </c>
      <c r="C1383" s="148" t="str">
        <f aca="false">VLOOKUP($A1383,INSUMOS_AUX!$A$3:$H$813,3,0)</f>
        <v>MAT.</v>
      </c>
      <c r="D1383" s="156" t="s">
        <v>1444</v>
      </c>
      <c r="E1383" s="154" t="n">
        <v>0.411</v>
      </c>
      <c r="F1383" s="149" t="n">
        <f aca="false">IF(C1383="MAT.",VLOOKUP(A1383,INSUMOS_AUX!$A$3:$H$813,6,0),0)</f>
        <v>0.78</v>
      </c>
      <c r="G1383" s="149" t="n">
        <f aca="false">IF(C1383="M.O.",VLOOKUP(A1383,INSUMOS_AUX!A:F,6,0),0)</f>
        <v>0</v>
      </c>
    </row>
    <row r="1384" customFormat="false" ht="21" hidden="false" customHeight="false" outlineLevel="0" collapsed="false">
      <c r="A1384" s="154" t="n">
        <v>43467</v>
      </c>
      <c r="B1384" s="155" t="s">
        <v>1459</v>
      </c>
      <c r="C1384" s="148" t="str">
        <f aca="false">VLOOKUP($A1384,INSUMOS_AUX!$A$3:$H$813,3,0)</f>
        <v>MAT.</v>
      </c>
      <c r="D1384" s="156" t="s">
        <v>1444</v>
      </c>
      <c r="E1384" s="154" t="n">
        <v>0.411</v>
      </c>
      <c r="F1384" s="149" t="n">
        <f aca="false">IF(C1384="MAT.",VLOOKUP(A1384,INSUMOS_AUX!$A$3:$H$813,6,0),0)</f>
        <v>0.61</v>
      </c>
      <c r="G1384" s="149" t="n">
        <f aca="false">IF(C1384="M.O.",VLOOKUP(A1384,INSUMOS_AUX!A:F,6,0),0)</f>
        <v>0</v>
      </c>
    </row>
    <row r="1385" customFormat="false" ht="21" hidden="false" customHeight="false" outlineLevel="0" collapsed="false">
      <c r="A1385" s="154" t="n">
        <v>37373</v>
      </c>
      <c r="B1385" s="155" t="s">
        <v>1448</v>
      </c>
      <c r="C1385" s="148" t="str">
        <f aca="false">VLOOKUP($A1385,INSUMOS_AUX!$A$3:$H$813,3,0)</f>
        <v>MAT.</v>
      </c>
      <c r="D1385" s="156" t="s">
        <v>1444</v>
      </c>
      <c r="E1385" s="154" t="n">
        <v>0.822</v>
      </c>
      <c r="F1385" s="149" t="n">
        <f aca="false">IF(C1385="MAT.",VLOOKUP(A1385,INSUMOS_AUX!$A$3:$H$813,6,0),0)</f>
        <v>0.08</v>
      </c>
      <c r="G1385" s="149" t="n">
        <f aca="false">IF(C1385="M.O.",VLOOKUP(A1385,INSUMOS_AUX!A:F,6,0),0)</f>
        <v>0</v>
      </c>
    </row>
    <row r="1386" customFormat="false" ht="21" hidden="false" customHeight="false" outlineLevel="0" collapsed="false">
      <c r="A1386" s="154" t="n">
        <v>37371</v>
      </c>
      <c r="B1386" s="155" t="s">
        <v>1449</v>
      </c>
      <c r="C1386" s="148" t="str">
        <f aca="false">VLOOKUP($A1386,INSUMOS_AUX!$A$3:$H$813,3,0)</f>
        <v>MAT.</v>
      </c>
      <c r="D1386" s="156" t="s">
        <v>1444</v>
      </c>
      <c r="E1386" s="154" t="n">
        <v>0.822</v>
      </c>
      <c r="F1386" s="149" t="n">
        <f aca="false">IF(C1386="MAT.",VLOOKUP(A1386,INSUMOS_AUX!$A$3:$H$813,6,0),0)</f>
        <v>0.59</v>
      </c>
      <c r="G1386" s="149" t="n">
        <f aca="false">IF(C1386="M.O.",VLOOKUP(A1386,INSUMOS_AUX!A:F,6,0),0)</f>
        <v>0</v>
      </c>
    </row>
    <row r="1387" customFormat="false" ht="21" hidden="false" customHeight="false" outlineLevel="0" collapsed="false">
      <c r="A1387" s="154" t="n">
        <v>13896</v>
      </c>
      <c r="B1387" s="155" t="s">
        <v>1564</v>
      </c>
      <c r="C1387" s="148" t="str">
        <f aca="false">VLOOKUP($A1387,INSUMOS_AUX!$A$3:$H$813,3,0)</f>
        <v>MAT.</v>
      </c>
      <c r="D1387" s="156" t="s">
        <v>31</v>
      </c>
      <c r="E1387" s="154" t="n">
        <v>2.13752E-005</v>
      </c>
      <c r="F1387" s="149" t="n">
        <f aca="false">IF(C1387="MAT.",VLOOKUP(A1387,INSUMOS_AUX!$A$3:$H$813,6,0),0)</f>
        <v>3390.99</v>
      </c>
      <c r="G1387" s="149" t="n">
        <f aca="false">IF(C1387="M.O.",VLOOKUP(A1387,INSUMOS_AUX!A:F,6,0),0)</f>
        <v>0</v>
      </c>
    </row>
    <row r="1388" customFormat="false" ht="15" hidden="false" customHeight="false" outlineLevel="0" collapsed="false">
      <c r="A1388" s="154" t="n">
        <v>2705</v>
      </c>
      <c r="B1388" s="155" t="s">
        <v>1467</v>
      </c>
      <c r="C1388" s="148" t="str">
        <f aca="false">VLOOKUP($A1388,INSUMOS_AUX!$A$3:$H$813,3,0)</f>
        <v>MAT.</v>
      </c>
      <c r="D1388" s="156" t="s">
        <v>1468</v>
      </c>
      <c r="E1388" s="154" t="n">
        <v>0.02756</v>
      </c>
      <c r="F1388" s="149" t="n">
        <f aca="false">IF(C1388="MAT.",VLOOKUP(A1388,INSUMOS_AUX!$A$3:$H$813,6,0),0)</f>
        <v>0.92</v>
      </c>
      <c r="G1388" s="149" t="n">
        <f aca="false">IF(C1388="M.O.",VLOOKUP(A1388,INSUMOS_AUX!A:F,6,0),0)</f>
        <v>0</v>
      </c>
    </row>
    <row r="1389" customFormat="false" ht="31.5" hidden="false" customHeight="false" outlineLevel="0" collapsed="false">
      <c r="A1389" s="154" t="n">
        <v>38405</v>
      </c>
      <c r="B1389" s="155" t="s">
        <v>1708</v>
      </c>
      <c r="C1389" s="148" t="str">
        <f aca="false">VLOOKUP($A1389,INSUMOS_AUX!$A$3:$H$813,3,0)</f>
        <v>MAT.</v>
      </c>
      <c r="D1389" s="156" t="s">
        <v>1442</v>
      </c>
      <c r="E1389" s="154" t="n">
        <v>1.06</v>
      </c>
      <c r="F1389" s="149" t="n">
        <f aca="false">IF(C1389="MAT.",VLOOKUP(A1389,INSUMOS_AUX!$A$3:$H$813,6,0),0)</f>
        <v>621.43</v>
      </c>
      <c r="G1389" s="149" t="n">
        <f aca="false">IF(C1389="M.O.",VLOOKUP(A1389,INSUMOS_AUX!A:F,6,0),0)</f>
        <v>0</v>
      </c>
    </row>
    <row r="1390" customFormat="false" ht="15" hidden="false" customHeight="false" outlineLevel="0" collapsed="false">
      <c r="A1390" s="154" t="n">
        <v>4750</v>
      </c>
      <c r="B1390" s="155" t="s">
        <v>1463</v>
      </c>
      <c r="C1390" s="148" t="str">
        <f aca="false">VLOOKUP($A1390,INSUMOS_AUX!$A$3:$H$813,3,0)</f>
        <v>M.O.</v>
      </c>
      <c r="D1390" s="156" t="s">
        <v>1444</v>
      </c>
      <c r="E1390" s="154" t="n">
        <v>0.4197132</v>
      </c>
      <c r="F1390" s="149" t="n">
        <f aca="false">IF(C1390="MAT.",VLOOKUP(A1390,INSUMOS_AUX!$A$3:$H$813,6,0),0)</f>
        <v>0</v>
      </c>
      <c r="G1390" s="149" t="n">
        <f aca="false">IF(C1390="M.O.",VLOOKUP(A1390,INSUMOS_AUX!A:F,6,0),0)</f>
        <v>20.22</v>
      </c>
    </row>
    <row r="1391" customFormat="false" ht="15" hidden="false" customHeight="false" outlineLevel="0" collapsed="false">
      <c r="A1391" s="154" t="n">
        <v>6111</v>
      </c>
      <c r="B1391" s="155" t="s">
        <v>1464</v>
      </c>
      <c r="C1391" s="148" t="str">
        <f aca="false">VLOOKUP($A1391,INSUMOS_AUX!$A$3:$H$813,3,0)</f>
        <v>M.O.</v>
      </c>
      <c r="D1391" s="156" t="s">
        <v>1444</v>
      </c>
      <c r="E1391" s="154" t="n">
        <v>0.4197132</v>
      </c>
      <c r="F1391" s="149" t="n">
        <f aca="false">IF(C1391="MAT.",VLOOKUP(A1391,INSUMOS_AUX!$A$3:$H$813,6,0),0)</f>
        <v>0</v>
      </c>
      <c r="G1391" s="149" t="n">
        <f aca="false">IF(C1391="M.O.",VLOOKUP(A1391,INSUMOS_AUX!A:F,6,0),0)</f>
        <v>12.95</v>
      </c>
    </row>
    <row r="1392" customFormat="false" ht="21" hidden="false" customHeight="false" outlineLevel="0" collapsed="false">
      <c r="A1392" s="150" t="n">
        <v>97114</v>
      </c>
      <c r="B1392" s="151" t="s">
        <v>1709</v>
      </c>
      <c r="C1392" s="152" t="s">
        <v>59</v>
      </c>
      <c r="D1392" s="152" t="s">
        <v>1455</v>
      </c>
      <c r="E1392" s="150"/>
      <c r="F1392" s="153" t="n">
        <f aca="false">(SUMPRODUCT($E1393:$E1405,F1393:F1405))*1</f>
        <v>0.13739036418672</v>
      </c>
      <c r="G1392" s="153" t="n">
        <f aca="false">(SUMPRODUCT($E1393:$E1405,G1393:G1405))*1</f>
        <v>0.251582832</v>
      </c>
    </row>
    <row r="1393" customFormat="false" ht="21" hidden="false" customHeight="false" outlineLevel="0" collapsed="false">
      <c r="A1393" s="154" t="n">
        <v>37370</v>
      </c>
      <c r="B1393" s="155" t="s">
        <v>1443</v>
      </c>
      <c r="C1393" s="148" t="str">
        <f aca="false">VLOOKUP($A1393,INSUMOS_AUX!$A$3:$H$813,3,0)</f>
        <v>MAT.</v>
      </c>
      <c r="D1393" s="156" t="s">
        <v>1444</v>
      </c>
      <c r="E1393" s="154" t="n">
        <v>0.01501</v>
      </c>
      <c r="F1393" s="149" t="n">
        <f aca="false">IF(C1393="MAT.",VLOOKUP(A1393,INSUMOS_AUX!$A$3:$H$813,6,0),0)</f>
        <v>3.32</v>
      </c>
      <c r="G1393" s="149" t="n">
        <f aca="false">IF(C1393="M.O.",VLOOKUP(A1393,INSUMOS_AUX!A:F,6,0),0)</f>
        <v>0</v>
      </c>
    </row>
    <row r="1394" customFormat="false" ht="21" hidden="false" customHeight="false" outlineLevel="0" collapsed="false">
      <c r="A1394" s="154" t="n">
        <v>43489</v>
      </c>
      <c r="B1394" s="155" t="s">
        <v>1456</v>
      </c>
      <c r="C1394" s="148" t="str">
        <f aca="false">VLOOKUP($A1394,INSUMOS_AUX!$A$3:$H$813,3,0)</f>
        <v>MAT.</v>
      </c>
      <c r="D1394" s="156" t="s">
        <v>1444</v>
      </c>
      <c r="E1394" s="154" t="n">
        <v>0.00715</v>
      </c>
      <c r="F1394" s="149" t="n">
        <f aca="false">IF(C1394="MAT.",VLOOKUP(A1394,INSUMOS_AUX!$A$3:$H$813,6,0),0)</f>
        <v>1.31</v>
      </c>
      <c r="G1394" s="149" t="n">
        <f aca="false">IF(C1394="M.O.",VLOOKUP(A1394,INSUMOS_AUX!A:F,6,0),0)</f>
        <v>0</v>
      </c>
    </row>
    <row r="1395" customFormat="false" ht="21" hidden="false" customHeight="false" outlineLevel="0" collapsed="false">
      <c r="A1395" s="154" t="n">
        <v>43491</v>
      </c>
      <c r="B1395" s="155" t="s">
        <v>1457</v>
      </c>
      <c r="C1395" s="148" t="str">
        <f aca="false">VLOOKUP($A1395,INSUMOS_AUX!$A$3:$H$813,3,0)</f>
        <v>MAT.</v>
      </c>
      <c r="D1395" s="156" t="s">
        <v>1444</v>
      </c>
      <c r="E1395" s="154" t="n">
        <v>0.00786</v>
      </c>
      <c r="F1395" s="149" t="n">
        <f aca="false">IF(C1395="MAT.",VLOOKUP(A1395,INSUMOS_AUX!$A$3:$H$813,6,0),0)</f>
        <v>1.39</v>
      </c>
      <c r="G1395" s="149" t="n">
        <f aca="false">IF(C1395="M.O.",VLOOKUP(A1395,INSUMOS_AUX!A:F,6,0),0)</f>
        <v>0</v>
      </c>
    </row>
    <row r="1396" customFormat="false" ht="21" hidden="false" customHeight="false" outlineLevel="0" collapsed="false">
      <c r="A1396" s="154" t="n">
        <v>37372</v>
      </c>
      <c r="B1396" s="155" t="s">
        <v>1446</v>
      </c>
      <c r="C1396" s="148" t="str">
        <f aca="false">VLOOKUP($A1396,INSUMOS_AUX!$A$3:$H$813,3,0)</f>
        <v>MAT.</v>
      </c>
      <c r="D1396" s="156" t="s">
        <v>1444</v>
      </c>
      <c r="E1396" s="154" t="n">
        <v>0.01501</v>
      </c>
      <c r="F1396" s="149" t="n">
        <f aca="false">IF(C1396="MAT.",VLOOKUP(A1396,INSUMOS_AUX!$A$3:$H$813,6,0),0)</f>
        <v>1.43</v>
      </c>
      <c r="G1396" s="149" t="n">
        <f aca="false">IF(C1396="M.O.",VLOOKUP(A1396,INSUMOS_AUX!A:F,6,0),0)</f>
        <v>0</v>
      </c>
    </row>
    <row r="1397" customFormat="false" ht="21" hidden="false" customHeight="false" outlineLevel="0" collapsed="false">
      <c r="A1397" s="154" t="n">
        <v>43465</v>
      </c>
      <c r="B1397" s="155" t="s">
        <v>1458</v>
      </c>
      <c r="C1397" s="148" t="str">
        <f aca="false">VLOOKUP($A1397,INSUMOS_AUX!$A$3:$H$813,3,0)</f>
        <v>MAT.</v>
      </c>
      <c r="D1397" s="156" t="s">
        <v>1444</v>
      </c>
      <c r="E1397" s="154" t="n">
        <v>0.00715</v>
      </c>
      <c r="F1397" s="149" t="n">
        <f aca="false">IF(C1397="MAT.",VLOOKUP(A1397,INSUMOS_AUX!$A$3:$H$813,6,0),0)</f>
        <v>0.78</v>
      </c>
      <c r="G1397" s="149" t="n">
        <f aca="false">IF(C1397="M.O.",VLOOKUP(A1397,INSUMOS_AUX!A:F,6,0),0)</f>
        <v>0</v>
      </c>
    </row>
    <row r="1398" customFormat="false" ht="21" hidden="false" customHeight="false" outlineLevel="0" collapsed="false">
      <c r="A1398" s="154" t="n">
        <v>43467</v>
      </c>
      <c r="B1398" s="155" t="s">
        <v>1459</v>
      </c>
      <c r="C1398" s="148" t="str">
        <f aca="false">VLOOKUP($A1398,INSUMOS_AUX!$A$3:$H$813,3,0)</f>
        <v>MAT.</v>
      </c>
      <c r="D1398" s="156" t="s">
        <v>1444</v>
      </c>
      <c r="E1398" s="154" t="n">
        <v>0.00786</v>
      </c>
      <c r="F1398" s="149" t="n">
        <f aca="false">IF(C1398="MAT.",VLOOKUP(A1398,INSUMOS_AUX!$A$3:$H$813,6,0),0)</f>
        <v>0.61</v>
      </c>
      <c r="G1398" s="149" t="n">
        <f aca="false">IF(C1398="M.O.",VLOOKUP(A1398,INSUMOS_AUX!A:F,6,0),0)</f>
        <v>0</v>
      </c>
    </row>
    <row r="1399" customFormat="false" ht="21" hidden="false" customHeight="false" outlineLevel="0" collapsed="false">
      <c r="A1399" s="154" t="n">
        <v>37373</v>
      </c>
      <c r="B1399" s="155" t="s">
        <v>1448</v>
      </c>
      <c r="C1399" s="148" t="s">
        <v>59</v>
      </c>
      <c r="D1399" s="156" t="s">
        <v>1444</v>
      </c>
      <c r="E1399" s="154" t="n">
        <v>0.01501</v>
      </c>
      <c r="F1399" s="149" t="n">
        <f aca="false">IF(C1399="MAT.",VLOOKUP(A1399,INSUMOS_AUX!$A$3:$H$813,6,0),0)</f>
        <v>0</v>
      </c>
      <c r="G1399" s="149" t="n">
        <f aca="false">IF(C1399="M.O.",VLOOKUP(A1399,INSUMOS_AUX!A:F,6,0),0)</f>
        <v>0</v>
      </c>
    </row>
    <row r="1400" customFormat="false" ht="21" hidden="false" customHeight="false" outlineLevel="0" collapsed="false">
      <c r="A1400" s="154" t="n">
        <v>37371</v>
      </c>
      <c r="B1400" s="155" t="s">
        <v>1449</v>
      </c>
      <c r="C1400" s="148" t="str">
        <f aca="false">VLOOKUP($A1400,INSUMOS_AUX!$A$3:$H$813,3,0)</f>
        <v>MAT.</v>
      </c>
      <c r="D1400" s="156" t="s">
        <v>1444</v>
      </c>
      <c r="E1400" s="154" t="n">
        <v>0.01501</v>
      </c>
      <c r="F1400" s="149" t="n">
        <f aca="false">IF(C1400="MAT.",VLOOKUP(A1400,INSUMOS_AUX!$A$3:$H$813,6,0),0)</f>
        <v>0.59</v>
      </c>
      <c r="G1400" s="149" t="n">
        <f aca="false">IF(C1400="M.O.",VLOOKUP(A1400,INSUMOS_AUX!A:F,6,0),0)</f>
        <v>0</v>
      </c>
    </row>
    <row r="1401" customFormat="false" ht="31.5" hidden="false" customHeight="false" outlineLevel="0" collapsed="false">
      <c r="A1401" s="154" t="n">
        <v>11280</v>
      </c>
      <c r="B1401" s="155" t="s">
        <v>1710</v>
      </c>
      <c r="C1401" s="148" t="str">
        <f aca="false">VLOOKUP($A1401,INSUMOS_AUX!$A$3:$H$813,3,0)</f>
        <v>MAT.</v>
      </c>
      <c r="D1401" s="156" t="s">
        <v>31</v>
      </c>
      <c r="E1401" s="154" t="n">
        <v>3.74768E-007</v>
      </c>
      <c r="F1401" s="149" t="n">
        <f aca="false">IF(C1401="MAT.",VLOOKUP(A1401,INSUMOS_AUX!$A$3:$H$813,6,0),0)</f>
        <v>11783.29</v>
      </c>
      <c r="G1401" s="149" t="n">
        <f aca="false">IF(C1401="M.O.",VLOOKUP(A1401,INSUMOS_AUX!A:F,6,0),0)</f>
        <v>0</v>
      </c>
    </row>
    <row r="1402" customFormat="false" ht="21" hidden="false" customHeight="false" outlineLevel="0" collapsed="false">
      <c r="A1402" s="154" t="n">
        <v>13887</v>
      </c>
      <c r="B1402" s="155" t="s">
        <v>1711</v>
      </c>
      <c r="C1402" s="148" t="str">
        <f aca="false">VLOOKUP($A1402,INSUMOS_AUX!$A$3:$H$813,3,0)</f>
        <v>MAT.</v>
      </c>
      <c r="D1402" s="156" t="s">
        <v>31</v>
      </c>
      <c r="E1402" s="154" t="n">
        <v>3.3984E-007</v>
      </c>
      <c r="F1402" s="149" t="n">
        <f aca="false">IF(C1402="MAT.",VLOOKUP(A1402,INSUMOS_AUX!$A$3:$H$813,6,0),0)</f>
        <v>755.25</v>
      </c>
      <c r="G1402" s="149" t="n">
        <f aca="false">IF(C1402="M.O.",VLOOKUP(A1402,INSUMOS_AUX!A:F,6,0),0)</f>
        <v>0</v>
      </c>
    </row>
    <row r="1403" customFormat="false" ht="15" hidden="false" customHeight="false" outlineLevel="0" collapsed="false">
      <c r="A1403" s="154" t="n">
        <v>4222</v>
      </c>
      <c r="B1403" s="155" t="s">
        <v>1572</v>
      </c>
      <c r="C1403" s="148" t="str">
        <f aca="false">VLOOKUP($A1403,INSUMOS_AUX!$A$3:$H$813,3,0)</f>
        <v>MAT.</v>
      </c>
      <c r="D1403" s="156" t="s">
        <v>1452</v>
      </c>
      <c r="E1403" s="154" t="n">
        <v>0.003422</v>
      </c>
      <c r="F1403" s="149" t="n">
        <f aca="false">IF(C1403="MAT.",VLOOKUP(A1403,INSUMOS_AUX!$A$3:$H$813,6,0),0)</f>
        <v>6.4</v>
      </c>
      <c r="G1403" s="149" t="n">
        <f aca="false">IF(C1403="M.O.",VLOOKUP(A1403,INSUMOS_AUX!A:F,6,0),0)</f>
        <v>0</v>
      </c>
    </row>
    <row r="1404" customFormat="false" ht="15" hidden="false" customHeight="false" outlineLevel="0" collapsed="false">
      <c r="A1404" s="154" t="n">
        <v>4750</v>
      </c>
      <c r="B1404" s="155" t="s">
        <v>1463</v>
      </c>
      <c r="C1404" s="148" t="str">
        <f aca="false">VLOOKUP($A1404,INSUMOS_AUX!$A$3:$H$813,3,0)</f>
        <v>M.O.</v>
      </c>
      <c r="D1404" s="156" t="s">
        <v>1444</v>
      </c>
      <c r="E1404" s="154" t="n">
        <v>0.00730158</v>
      </c>
      <c r="F1404" s="149" t="n">
        <f aca="false">IF(C1404="MAT.",VLOOKUP(A1404,INSUMOS_AUX!$A$3:$H$813,6,0),0)</f>
        <v>0</v>
      </c>
      <c r="G1404" s="149" t="n">
        <f aca="false">IF(C1404="M.O.",VLOOKUP(A1404,INSUMOS_AUX!A:F,6,0),0)</f>
        <v>20.22</v>
      </c>
    </row>
    <row r="1405" customFormat="false" ht="15" hidden="false" customHeight="false" outlineLevel="0" collapsed="false">
      <c r="A1405" s="154" t="n">
        <v>6111</v>
      </c>
      <c r="B1405" s="155" t="s">
        <v>1464</v>
      </c>
      <c r="C1405" s="148" t="str">
        <f aca="false">VLOOKUP($A1405,INSUMOS_AUX!$A$3:$H$813,3,0)</f>
        <v>M.O.</v>
      </c>
      <c r="D1405" s="156" t="s">
        <v>1444</v>
      </c>
      <c r="E1405" s="154" t="n">
        <v>0.008026632</v>
      </c>
      <c r="F1405" s="149" t="n">
        <f aca="false">IF(C1405="MAT.",VLOOKUP(A1405,INSUMOS_AUX!$A$3:$H$813,6,0),0)</f>
        <v>0</v>
      </c>
      <c r="G1405" s="149" t="n">
        <f aca="false">IF(C1405="M.O.",VLOOKUP(A1405,INSUMOS_AUX!A:F,6,0),0)</f>
        <v>12.95</v>
      </c>
    </row>
    <row r="1406" customFormat="false" ht="21" hidden="false" customHeight="false" outlineLevel="0" collapsed="false">
      <c r="A1406" s="150" t="n">
        <v>98577</v>
      </c>
      <c r="B1406" s="151" t="s">
        <v>1712</v>
      </c>
      <c r="C1406" s="152" t="s">
        <v>59</v>
      </c>
      <c r="D1406" s="152" t="s">
        <v>1455</v>
      </c>
      <c r="E1406" s="150"/>
      <c r="F1406" s="153" t="n">
        <f aca="false">(SUMPRODUCT($E1407:$E1418,F1407:F1418))*1</f>
        <v>19.066524</v>
      </c>
      <c r="G1406" s="153" t="n">
        <f aca="false">(SUMPRODUCT($E1407:$E1418,G1407:G1418))*1</f>
        <v>27.185686878</v>
      </c>
    </row>
    <row r="1407" customFormat="false" ht="21" hidden="false" customHeight="false" outlineLevel="0" collapsed="false">
      <c r="A1407" s="154" t="n">
        <v>37370</v>
      </c>
      <c r="B1407" s="155" t="s">
        <v>1443</v>
      </c>
      <c r="C1407" s="148" t="str">
        <f aca="false">VLOOKUP($A1407,INSUMOS_AUX!$A$3:$H$813,3,0)</f>
        <v>MAT.</v>
      </c>
      <c r="D1407" s="156" t="s">
        <v>1444</v>
      </c>
      <c r="E1407" s="154" t="n">
        <v>1.4014</v>
      </c>
      <c r="F1407" s="149" t="n">
        <f aca="false">IF(C1407="MAT.",VLOOKUP(A1407,INSUMOS_AUX!$A$3:$H$813,6,0),0)</f>
        <v>3.32</v>
      </c>
      <c r="G1407" s="149" t="n">
        <f aca="false">IF(C1407="M.O.",VLOOKUP(A1407,INSUMOS_AUX!A:F,6,0),0)</f>
        <v>0</v>
      </c>
    </row>
    <row r="1408" customFormat="false" ht="21" hidden="false" customHeight="false" outlineLevel="0" collapsed="false">
      <c r="A1408" s="154" t="n">
        <v>43489</v>
      </c>
      <c r="B1408" s="155" t="s">
        <v>1456</v>
      </c>
      <c r="C1408" s="148" t="str">
        <f aca="false">VLOOKUP($A1408,INSUMOS_AUX!$A$3:$H$813,3,0)</f>
        <v>MAT.</v>
      </c>
      <c r="D1408" s="156" t="s">
        <v>1444</v>
      </c>
      <c r="E1408" s="154" t="n">
        <v>1.1655</v>
      </c>
      <c r="F1408" s="149" t="n">
        <f aca="false">IF(C1408="MAT.",VLOOKUP(A1408,INSUMOS_AUX!$A$3:$H$813,6,0),0)</f>
        <v>1.31</v>
      </c>
      <c r="G1408" s="149" t="n">
        <f aca="false">IF(C1408="M.O.",VLOOKUP(A1408,INSUMOS_AUX!A:F,6,0),0)</f>
        <v>0</v>
      </c>
    </row>
    <row r="1409" customFormat="false" ht="21" hidden="false" customHeight="false" outlineLevel="0" collapsed="false">
      <c r="A1409" s="154" t="n">
        <v>43491</v>
      </c>
      <c r="B1409" s="155" t="s">
        <v>1457</v>
      </c>
      <c r="C1409" s="148" t="str">
        <f aca="false">VLOOKUP($A1409,INSUMOS_AUX!$A$3:$H$813,3,0)</f>
        <v>MAT.</v>
      </c>
      <c r="D1409" s="156" t="s">
        <v>1444</v>
      </c>
      <c r="E1409" s="154" t="n">
        <v>0.2359</v>
      </c>
      <c r="F1409" s="149" t="n">
        <f aca="false">IF(C1409="MAT.",VLOOKUP(A1409,INSUMOS_AUX!$A$3:$H$813,6,0),0)</f>
        <v>1.39</v>
      </c>
      <c r="G1409" s="149" t="n">
        <f aca="false">IF(C1409="M.O.",VLOOKUP(A1409,INSUMOS_AUX!A:F,6,0),0)</f>
        <v>0</v>
      </c>
    </row>
    <row r="1410" customFormat="false" ht="21" hidden="false" customHeight="false" outlineLevel="0" collapsed="false">
      <c r="A1410" s="154" t="n">
        <v>37372</v>
      </c>
      <c r="B1410" s="155" t="s">
        <v>1446</v>
      </c>
      <c r="C1410" s="148" t="str">
        <f aca="false">VLOOKUP($A1410,INSUMOS_AUX!$A$3:$H$813,3,0)</f>
        <v>MAT.</v>
      </c>
      <c r="D1410" s="156" t="s">
        <v>1444</v>
      </c>
      <c r="E1410" s="154" t="n">
        <v>1.4014</v>
      </c>
      <c r="F1410" s="149" t="n">
        <f aca="false">IF(C1410="MAT.",VLOOKUP(A1410,INSUMOS_AUX!$A$3:$H$813,6,0),0)</f>
        <v>1.43</v>
      </c>
      <c r="G1410" s="149" t="n">
        <f aca="false">IF(C1410="M.O.",VLOOKUP(A1410,INSUMOS_AUX!A:F,6,0),0)</f>
        <v>0</v>
      </c>
    </row>
    <row r="1411" customFormat="false" ht="21" hidden="false" customHeight="false" outlineLevel="0" collapsed="false">
      <c r="A1411" s="154" t="n">
        <v>43465</v>
      </c>
      <c r="B1411" s="155" t="s">
        <v>1458</v>
      </c>
      <c r="C1411" s="148" t="str">
        <f aca="false">VLOOKUP($A1411,INSUMOS_AUX!$A$3:$H$813,3,0)</f>
        <v>MAT.</v>
      </c>
      <c r="D1411" s="156" t="s">
        <v>1444</v>
      </c>
      <c r="E1411" s="154" t="n">
        <v>1.1655</v>
      </c>
      <c r="F1411" s="149" t="n">
        <f aca="false">IF(C1411="MAT.",VLOOKUP(A1411,INSUMOS_AUX!$A$3:$H$813,6,0),0)</f>
        <v>0.78</v>
      </c>
      <c r="G1411" s="149" t="n">
        <f aca="false">IF(C1411="M.O.",VLOOKUP(A1411,INSUMOS_AUX!A:F,6,0),0)</f>
        <v>0</v>
      </c>
    </row>
    <row r="1412" customFormat="false" ht="21" hidden="false" customHeight="false" outlineLevel="0" collapsed="false">
      <c r="A1412" s="154" t="n">
        <v>43467</v>
      </c>
      <c r="B1412" s="155" t="s">
        <v>1459</v>
      </c>
      <c r="C1412" s="148" t="s">
        <v>59</v>
      </c>
      <c r="D1412" s="156" t="s">
        <v>1444</v>
      </c>
      <c r="E1412" s="154" t="n">
        <v>0.2359</v>
      </c>
      <c r="F1412" s="149" t="n">
        <f aca="false">IF(C1412="MAT.",VLOOKUP(A1412,INSUMOS_AUX!$A$3:$H$813,6,0),0)</f>
        <v>0</v>
      </c>
      <c r="G1412" s="149" t="n">
        <f aca="false">IF(C1412="M.O.",VLOOKUP(A1412,INSUMOS_AUX!A:F,6,0),0)</f>
        <v>0</v>
      </c>
    </row>
    <row r="1413" customFormat="false" ht="21" hidden="false" customHeight="false" outlineLevel="0" collapsed="false">
      <c r="A1413" s="154" t="n">
        <v>37373</v>
      </c>
      <c r="B1413" s="155" t="s">
        <v>1448</v>
      </c>
      <c r="C1413" s="148" t="str">
        <f aca="false">VLOOKUP($A1413,INSUMOS_AUX!$A$3:$H$813,3,0)</f>
        <v>MAT.</v>
      </c>
      <c r="D1413" s="156" t="s">
        <v>1444</v>
      </c>
      <c r="E1413" s="154" t="n">
        <v>1.4014</v>
      </c>
      <c r="F1413" s="149" t="n">
        <f aca="false">IF(C1413="MAT.",VLOOKUP(A1413,INSUMOS_AUX!$A$3:$H$813,6,0),0)</f>
        <v>0.08</v>
      </c>
      <c r="G1413" s="149" t="n">
        <f aca="false">IF(C1413="M.O.",VLOOKUP(A1413,INSUMOS_AUX!A:F,6,0),0)</f>
        <v>0</v>
      </c>
    </row>
    <row r="1414" customFormat="false" ht="21" hidden="false" customHeight="false" outlineLevel="0" collapsed="false">
      <c r="A1414" s="154" t="n">
        <v>37371</v>
      </c>
      <c r="B1414" s="155" t="s">
        <v>1449</v>
      </c>
      <c r="C1414" s="148" t="str">
        <f aca="false">VLOOKUP($A1414,INSUMOS_AUX!$A$3:$H$813,3,0)</f>
        <v>MAT.</v>
      </c>
      <c r="D1414" s="156" t="s">
        <v>1444</v>
      </c>
      <c r="E1414" s="154" t="n">
        <v>1.4014</v>
      </c>
      <c r="F1414" s="149" t="n">
        <f aca="false">IF(C1414="MAT.",VLOOKUP(A1414,INSUMOS_AUX!$A$3:$H$813,6,0),0)</f>
        <v>0.59</v>
      </c>
      <c r="G1414" s="149" t="n">
        <f aca="false">IF(C1414="M.O.",VLOOKUP(A1414,INSUMOS_AUX!A:F,6,0),0)</f>
        <v>0</v>
      </c>
    </row>
    <row r="1415" customFormat="false" ht="21" hidden="false" customHeight="false" outlineLevel="0" collapsed="false">
      <c r="A1415" s="154" t="n">
        <v>43142</v>
      </c>
      <c r="B1415" s="155" t="s">
        <v>1713</v>
      </c>
      <c r="C1415" s="148" t="str">
        <f aca="false">VLOOKUP($A1415,INSUMOS_AUX!$A$3:$H$813,3,0)</f>
        <v>MAT.</v>
      </c>
      <c r="D1415" s="156" t="s">
        <v>1452</v>
      </c>
      <c r="E1415" s="154" t="n">
        <v>0.054</v>
      </c>
      <c r="F1415" s="149" t="n">
        <f aca="false">IF(C1415="MAT.",VLOOKUP(A1415,INSUMOS_AUX!$A$3:$H$813,6,0),0)</f>
        <v>147.91</v>
      </c>
      <c r="G1415" s="149" t="n">
        <f aca="false">IF(C1415="M.O.",VLOOKUP(A1415,INSUMOS_AUX!A:F,6,0),0)</f>
        <v>0</v>
      </c>
    </row>
    <row r="1416" customFormat="false" ht="21" hidden="false" customHeight="false" outlineLevel="0" collapsed="false">
      <c r="A1416" s="154" t="n">
        <v>44073</v>
      </c>
      <c r="B1416" s="155" t="s">
        <v>1714</v>
      </c>
      <c r="C1416" s="148" t="str">
        <f aca="false">VLOOKUP($A1416,INSUMOS_AUX!$A$3:$H$813,3,0)</f>
        <v>MAT.</v>
      </c>
      <c r="D1416" s="156" t="s">
        <v>1455</v>
      </c>
      <c r="E1416" s="154" t="n">
        <v>1</v>
      </c>
      <c r="F1416" s="149" t="n">
        <f aca="false">IF(C1416="MAT.",VLOOKUP(A1416,INSUMOS_AUX!$A$3:$H$813,6,0),0)</f>
        <v>0.72</v>
      </c>
      <c r="G1416" s="149" t="n">
        <f aca="false">IF(C1416="M.O.",VLOOKUP(A1416,INSUMOS_AUX!A:F,6,0),0)</f>
        <v>0</v>
      </c>
    </row>
    <row r="1417" customFormat="false" ht="15" hidden="false" customHeight="false" outlineLevel="0" collapsed="false">
      <c r="A1417" s="154" t="n">
        <v>4750</v>
      </c>
      <c r="B1417" s="155" t="s">
        <v>1463</v>
      </c>
      <c r="C1417" s="148" t="str">
        <f aca="false">VLOOKUP($A1417,INSUMOS_AUX!$A$3:$H$813,3,0)</f>
        <v>M.O.</v>
      </c>
      <c r="D1417" s="156" t="s">
        <v>1444</v>
      </c>
      <c r="E1417" s="154" t="n">
        <v>1.1902086</v>
      </c>
      <c r="F1417" s="149" t="n">
        <f aca="false">IF(C1417="MAT.",VLOOKUP(A1417,INSUMOS_AUX!$A$3:$H$813,6,0),0)</f>
        <v>0</v>
      </c>
      <c r="G1417" s="149" t="n">
        <f aca="false">IF(C1417="M.O.",VLOOKUP(A1417,INSUMOS_AUX!A:F,6,0),0)</f>
        <v>20.22</v>
      </c>
    </row>
    <row r="1418" customFormat="false" ht="15" hidden="false" customHeight="false" outlineLevel="0" collapsed="false">
      <c r="A1418" s="154" t="n">
        <v>6111</v>
      </c>
      <c r="B1418" s="155" t="s">
        <v>1464</v>
      </c>
      <c r="C1418" s="148" t="str">
        <f aca="false">VLOOKUP($A1418,INSUMOS_AUX!$A$3:$H$813,3,0)</f>
        <v>M.O.</v>
      </c>
      <c r="D1418" s="156" t="s">
        <v>1444</v>
      </c>
      <c r="E1418" s="154" t="n">
        <v>0.24090108</v>
      </c>
      <c r="F1418" s="149" t="n">
        <f aca="false">IF(C1418="MAT.",VLOOKUP(A1418,INSUMOS_AUX!$A$3:$H$813,6,0),0)</f>
        <v>0</v>
      </c>
      <c r="G1418" s="149" t="n">
        <f aca="false">IF(C1418="M.O.",VLOOKUP(A1418,INSUMOS_AUX!A:F,6,0),0)</f>
        <v>12.95</v>
      </c>
    </row>
    <row r="1419" customFormat="false" ht="15" hidden="false" customHeight="false" outlineLevel="0" collapsed="false">
      <c r="A1419" s="150" t="s">
        <v>236</v>
      </c>
      <c r="B1419" s="151" t="s">
        <v>1715</v>
      </c>
      <c r="C1419" s="152" t="s">
        <v>59</v>
      </c>
      <c r="D1419" s="152" t="s">
        <v>1455</v>
      </c>
      <c r="E1419" s="150"/>
      <c r="F1419" s="153" t="n">
        <f aca="false">(SUMPRODUCT($E1420:$E1428,F1420:F1428))*1</f>
        <v>3.5875</v>
      </c>
      <c r="G1419" s="153" t="n">
        <f aca="false">(SUMPRODUCT($E1420:$E1428,G1420:G1428))*1</f>
        <v>5.162166</v>
      </c>
    </row>
    <row r="1420" customFormat="false" ht="21" hidden="false" customHeight="false" outlineLevel="0" collapsed="false">
      <c r="A1420" s="154" t="n">
        <v>37370</v>
      </c>
      <c r="B1420" s="155" t="s">
        <v>1443</v>
      </c>
      <c r="C1420" s="148" t="str">
        <f aca="false">VLOOKUP($A1420,INSUMOS_AUX!$A$3:$H$813,3,0)</f>
        <v>MAT.</v>
      </c>
      <c r="D1420" s="156" t="s">
        <v>1444</v>
      </c>
      <c r="E1420" s="154" t="n">
        <v>0.25</v>
      </c>
      <c r="F1420" s="149" t="n">
        <f aca="false">IF(C1420="MAT.",VLOOKUP(A1420,INSUMOS_AUX!$A$3:$H$813,6,0),0)</f>
        <v>3.32</v>
      </c>
      <c r="G1420" s="149" t="n">
        <f aca="false">IF(C1420="M.O.",VLOOKUP(A1420,INSUMOS_AUX!A:F,6,0),0)</f>
        <v>0</v>
      </c>
    </row>
    <row r="1421" customFormat="false" ht="21" hidden="false" customHeight="false" outlineLevel="0" collapsed="false">
      <c r="A1421" s="154" t="n">
        <v>43489</v>
      </c>
      <c r="B1421" s="155" t="s">
        <v>1456</v>
      </c>
      <c r="C1421" s="148" t="str">
        <f aca="false">VLOOKUP($A1421,INSUMOS_AUX!$A$3:$H$813,3,0)</f>
        <v>MAT.</v>
      </c>
      <c r="D1421" s="156" t="s">
        <v>1444</v>
      </c>
      <c r="E1421" s="154" t="n">
        <v>0.25</v>
      </c>
      <c r="F1421" s="149" t="n">
        <f aca="false">IF(C1421="MAT.",VLOOKUP(A1421,INSUMOS_AUX!$A$3:$H$813,6,0),0)</f>
        <v>1.31</v>
      </c>
      <c r="G1421" s="149" t="n">
        <f aca="false">IF(C1421="M.O.",VLOOKUP(A1421,INSUMOS_AUX!A:F,6,0),0)</f>
        <v>0</v>
      </c>
    </row>
    <row r="1422" customFormat="false" ht="21" hidden="false" customHeight="false" outlineLevel="0" collapsed="false">
      <c r="A1422" s="154" t="n">
        <v>37372</v>
      </c>
      <c r="B1422" s="155" t="s">
        <v>1446</v>
      </c>
      <c r="C1422" s="148" t="str">
        <f aca="false">VLOOKUP($A1422,INSUMOS_AUX!$A$3:$H$813,3,0)</f>
        <v>MAT.</v>
      </c>
      <c r="D1422" s="156" t="s">
        <v>1444</v>
      </c>
      <c r="E1422" s="154" t="n">
        <v>0.25</v>
      </c>
      <c r="F1422" s="149" t="n">
        <f aca="false">IF(C1422="MAT.",VLOOKUP(A1422,INSUMOS_AUX!$A$3:$H$813,6,0),0)</f>
        <v>1.43</v>
      </c>
      <c r="G1422" s="149" t="n">
        <f aca="false">IF(C1422="M.O.",VLOOKUP(A1422,INSUMOS_AUX!A:F,6,0),0)</f>
        <v>0</v>
      </c>
    </row>
    <row r="1423" customFormat="false" ht="21" hidden="false" customHeight="false" outlineLevel="0" collapsed="false">
      <c r="A1423" s="154" t="n">
        <v>43465</v>
      </c>
      <c r="B1423" s="155" t="s">
        <v>1458</v>
      </c>
      <c r="C1423" s="148" t="str">
        <f aca="false">VLOOKUP($A1423,INSUMOS_AUX!$A$3:$H$813,3,0)</f>
        <v>MAT.</v>
      </c>
      <c r="D1423" s="156" t="s">
        <v>1444</v>
      </c>
      <c r="E1423" s="154" t="n">
        <v>0.25</v>
      </c>
      <c r="F1423" s="149" t="n">
        <f aca="false">IF(C1423="MAT.",VLOOKUP(A1423,INSUMOS_AUX!$A$3:$H$813,6,0),0)</f>
        <v>0.78</v>
      </c>
      <c r="G1423" s="149" t="n">
        <f aca="false">IF(C1423="M.O.",VLOOKUP(A1423,INSUMOS_AUX!A:F,6,0),0)</f>
        <v>0</v>
      </c>
    </row>
    <row r="1424" customFormat="false" ht="21" hidden="false" customHeight="false" outlineLevel="0" collapsed="false">
      <c r="A1424" s="154" t="n">
        <v>37373</v>
      </c>
      <c r="B1424" s="155" t="s">
        <v>1448</v>
      </c>
      <c r="C1424" s="148" t="s">
        <v>59</v>
      </c>
      <c r="D1424" s="156" t="s">
        <v>1444</v>
      </c>
      <c r="E1424" s="154" t="n">
        <v>0.25</v>
      </c>
      <c r="F1424" s="149" t="n">
        <f aca="false">IF(C1424="MAT.",VLOOKUP(A1424,INSUMOS_AUX!$A$3:$H$813,6,0),0)</f>
        <v>0</v>
      </c>
      <c r="G1424" s="149" t="n">
        <f aca="false">IF(C1424="M.O.",VLOOKUP(A1424,INSUMOS_AUX!A:F,6,0),0)</f>
        <v>0</v>
      </c>
    </row>
    <row r="1425" customFormat="false" ht="21" hidden="false" customHeight="false" outlineLevel="0" collapsed="false">
      <c r="A1425" s="154" t="n">
        <v>37371</v>
      </c>
      <c r="B1425" s="155" t="s">
        <v>1449</v>
      </c>
      <c r="C1425" s="148" t="str">
        <f aca="false">VLOOKUP($A1425,INSUMOS_AUX!$A$3:$H$813,3,0)</f>
        <v>MAT.</v>
      </c>
      <c r="D1425" s="156" t="s">
        <v>1444</v>
      </c>
      <c r="E1425" s="154" t="n">
        <v>0.25</v>
      </c>
      <c r="F1425" s="149" t="n">
        <f aca="false">IF(C1425="MAT.",VLOOKUP(A1425,INSUMOS_AUX!$A$3:$H$813,6,0),0)</f>
        <v>0.59</v>
      </c>
      <c r="G1425" s="149" t="n">
        <f aca="false">IF(C1425="M.O.",VLOOKUP(A1425,INSUMOS_AUX!A:F,6,0),0)</f>
        <v>0</v>
      </c>
    </row>
    <row r="1426" customFormat="false" ht="15" hidden="false" customHeight="false" outlineLevel="0" collapsed="false">
      <c r="A1426" s="154" t="n">
        <v>38124</v>
      </c>
      <c r="B1426" s="155" t="s">
        <v>1716</v>
      </c>
      <c r="C1426" s="148" t="str">
        <f aca="false">VLOOKUP($A1426,INSUMOS_AUX!$A$3:$H$813,3,0)</f>
        <v>MAT.</v>
      </c>
      <c r="D1426" s="156" t="s">
        <v>31</v>
      </c>
      <c r="E1426" s="154" t="n">
        <v>0.05</v>
      </c>
      <c r="F1426" s="149" t="n">
        <f aca="false">IF(C1426="MAT.",VLOOKUP(A1426,INSUMOS_AUX!$A$3:$H$813,6,0),0)</f>
        <v>23.41</v>
      </c>
      <c r="G1426" s="149" t="n">
        <f aca="false">IF(C1426="M.O.",VLOOKUP(A1426,INSUMOS_AUX!A:F,6,0),0)</f>
        <v>0</v>
      </c>
    </row>
    <row r="1427" customFormat="false" ht="21" hidden="false" customHeight="false" outlineLevel="0" collapsed="false">
      <c r="A1427" s="154" t="n">
        <v>11615</v>
      </c>
      <c r="B1427" s="155" t="s">
        <v>1717</v>
      </c>
      <c r="C1427" s="148" t="str">
        <f aca="false">VLOOKUP($A1427,INSUMOS_AUX!$A$3:$H$813,3,0)</f>
        <v>MAT.</v>
      </c>
      <c r="D1427" s="156" t="s">
        <v>1477</v>
      </c>
      <c r="E1427" s="154" t="n">
        <v>0.15</v>
      </c>
      <c r="F1427" s="149" t="n">
        <f aca="false">IF(C1427="MAT.",VLOOKUP(A1427,INSUMOS_AUX!$A$3:$H$813,6,0),0)</f>
        <v>3.73</v>
      </c>
      <c r="G1427" s="149" t="n">
        <f aca="false">IF(C1427="M.O.",VLOOKUP(A1427,INSUMOS_AUX!A:F,6,0),0)</f>
        <v>0</v>
      </c>
    </row>
    <row r="1428" customFormat="false" ht="15" hidden="false" customHeight="false" outlineLevel="0" collapsed="false">
      <c r="A1428" s="154" t="n">
        <v>4750</v>
      </c>
      <c r="B1428" s="155" t="s">
        <v>1463</v>
      </c>
      <c r="C1428" s="148" t="str">
        <f aca="false">VLOOKUP($A1428,INSUMOS_AUX!$A$3:$H$813,3,0)</f>
        <v>M.O.</v>
      </c>
      <c r="D1428" s="156" t="s">
        <v>1444</v>
      </c>
      <c r="E1428" s="154" t="n">
        <v>0.2553</v>
      </c>
      <c r="F1428" s="149" t="n">
        <f aca="false">IF(C1428="MAT.",VLOOKUP(A1428,INSUMOS_AUX!$A$3:$H$813,6,0),0)</f>
        <v>0</v>
      </c>
      <c r="G1428" s="149" t="n">
        <f aca="false">IF(C1428="M.O.",VLOOKUP(A1428,INSUMOS_AUX!A:F,6,0),0)</f>
        <v>20.22</v>
      </c>
    </row>
    <row r="1429" customFormat="false" ht="21" hidden="false" customHeight="false" outlineLevel="0" collapsed="false">
      <c r="A1429" s="150" t="n">
        <v>97092</v>
      </c>
      <c r="B1429" s="151" t="s">
        <v>1718</v>
      </c>
      <c r="C1429" s="152" t="s">
        <v>59</v>
      </c>
      <c r="D1429" s="152" t="s">
        <v>1513</v>
      </c>
      <c r="E1429" s="150"/>
      <c r="F1429" s="153" t="n">
        <f aca="false">(SUMPRODUCT($E1430:$E1440,F1430:F1440))*1</f>
        <v>11.61434</v>
      </c>
      <c r="G1429" s="153" t="n">
        <f aca="false">(SUMPRODUCT($E1430:$E1440,G1430:G1440))*1</f>
        <v>0.5981842944</v>
      </c>
    </row>
    <row r="1430" customFormat="false" ht="21" hidden="false" customHeight="false" outlineLevel="0" collapsed="false">
      <c r="A1430" s="154" t="n">
        <v>37370</v>
      </c>
      <c r="B1430" s="155" t="s">
        <v>1443</v>
      </c>
      <c r="C1430" s="148" t="str">
        <f aca="false">VLOOKUP($A1430,INSUMOS_AUX!$A$3:$H$813,3,0)</f>
        <v>MAT.</v>
      </c>
      <c r="D1430" s="156" t="s">
        <v>1444</v>
      </c>
      <c r="E1430" s="154" t="n">
        <v>0.032</v>
      </c>
      <c r="F1430" s="149" t="n">
        <f aca="false">IF(C1430="MAT.",VLOOKUP(A1430,INSUMOS_AUX!$A$3:$H$813,6,0),0)</f>
        <v>3.32</v>
      </c>
      <c r="G1430" s="149" t="n">
        <f aca="false">IF(C1430="M.O.",VLOOKUP(A1430,INSUMOS_AUX!A:F,6,0),0)</f>
        <v>0</v>
      </c>
    </row>
    <row r="1431" customFormat="false" ht="21" hidden="false" customHeight="false" outlineLevel="0" collapsed="false">
      <c r="A1431" s="154" t="n">
        <v>43489</v>
      </c>
      <c r="B1431" s="155" t="s">
        <v>1456</v>
      </c>
      <c r="C1431" s="148" t="str">
        <f aca="false">VLOOKUP($A1431,INSUMOS_AUX!$A$3:$H$813,3,0)</f>
        <v>MAT.</v>
      </c>
      <c r="D1431" s="156" t="s">
        <v>1444</v>
      </c>
      <c r="E1431" s="154" t="n">
        <v>0.032</v>
      </c>
      <c r="F1431" s="149" t="n">
        <f aca="false">IF(C1431="MAT.",VLOOKUP(A1431,INSUMOS_AUX!$A$3:$H$813,6,0),0)</f>
        <v>1.31</v>
      </c>
      <c r="G1431" s="149" t="n">
        <f aca="false">IF(C1431="M.O.",VLOOKUP(A1431,INSUMOS_AUX!A:F,6,0),0)</f>
        <v>0</v>
      </c>
    </row>
    <row r="1432" customFormat="false" ht="21" hidden="false" customHeight="false" outlineLevel="0" collapsed="false">
      <c r="A1432" s="154" t="n">
        <v>37372</v>
      </c>
      <c r="B1432" s="155" t="s">
        <v>1446</v>
      </c>
      <c r="C1432" s="148" t="str">
        <f aca="false">VLOOKUP($A1432,INSUMOS_AUX!$A$3:$H$813,3,0)</f>
        <v>MAT.</v>
      </c>
      <c r="D1432" s="156" t="s">
        <v>1444</v>
      </c>
      <c r="E1432" s="154" t="n">
        <v>0.032</v>
      </c>
      <c r="F1432" s="149" t="n">
        <f aca="false">IF(C1432="MAT.",VLOOKUP(A1432,INSUMOS_AUX!$A$3:$H$813,6,0),0)</f>
        <v>1.43</v>
      </c>
      <c r="G1432" s="149" t="n">
        <f aca="false">IF(C1432="M.O.",VLOOKUP(A1432,INSUMOS_AUX!A:F,6,0),0)</f>
        <v>0</v>
      </c>
    </row>
    <row r="1433" customFormat="false" ht="21" hidden="false" customHeight="false" outlineLevel="0" collapsed="false">
      <c r="A1433" s="154" t="n">
        <v>43465</v>
      </c>
      <c r="B1433" s="155" t="s">
        <v>1458</v>
      </c>
      <c r="C1433" s="148" t="str">
        <f aca="false">VLOOKUP($A1433,INSUMOS_AUX!$A$3:$H$813,3,0)</f>
        <v>MAT.</v>
      </c>
      <c r="D1433" s="156" t="s">
        <v>1444</v>
      </c>
      <c r="E1433" s="154" t="n">
        <v>0.032</v>
      </c>
      <c r="F1433" s="149" t="n">
        <f aca="false">IF(C1433="MAT.",VLOOKUP(A1433,INSUMOS_AUX!$A$3:$H$813,6,0),0)</f>
        <v>0.78</v>
      </c>
      <c r="G1433" s="149" t="n">
        <f aca="false">IF(C1433="M.O.",VLOOKUP(A1433,INSUMOS_AUX!A:F,6,0),0)</f>
        <v>0</v>
      </c>
    </row>
    <row r="1434" customFormat="false" ht="21" hidden="false" customHeight="false" outlineLevel="0" collapsed="false">
      <c r="A1434" s="154" t="n">
        <v>37373</v>
      </c>
      <c r="B1434" s="155" t="s">
        <v>1448</v>
      </c>
      <c r="C1434" s="148" t="str">
        <f aca="false">VLOOKUP($A1434,INSUMOS_AUX!$A$3:$H$813,3,0)</f>
        <v>MAT.</v>
      </c>
      <c r="D1434" s="156" t="s">
        <v>1444</v>
      </c>
      <c r="E1434" s="154" t="n">
        <v>0.032</v>
      </c>
      <c r="F1434" s="149" t="n">
        <f aca="false">IF(C1434="MAT.",VLOOKUP(A1434,INSUMOS_AUX!$A$3:$H$813,6,0),0)</f>
        <v>0.08</v>
      </c>
      <c r="G1434" s="149" t="n">
        <f aca="false">IF(C1434="M.O.",VLOOKUP(A1434,INSUMOS_AUX!A:F,6,0),0)</f>
        <v>0</v>
      </c>
    </row>
    <row r="1435" customFormat="false" ht="21" hidden="false" customHeight="false" outlineLevel="0" collapsed="false">
      <c r="A1435" s="154" t="n">
        <v>37371</v>
      </c>
      <c r="B1435" s="155" t="s">
        <v>1449</v>
      </c>
      <c r="C1435" s="148" t="str">
        <f aca="false">VLOOKUP($A1435,INSUMOS_AUX!$A$3:$H$813,3,0)</f>
        <v>MAT.</v>
      </c>
      <c r="D1435" s="156" t="s">
        <v>1444</v>
      </c>
      <c r="E1435" s="154" t="n">
        <v>0.032</v>
      </c>
      <c r="F1435" s="149" t="n">
        <f aca="false">IF(C1435="MAT.",VLOOKUP(A1435,INSUMOS_AUX!$A$3:$H$813,6,0),0)</f>
        <v>0.59</v>
      </c>
      <c r="G1435" s="149" t="n">
        <f aca="false">IF(C1435="M.O.",VLOOKUP(A1435,INSUMOS_AUX!A:F,6,0),0)</f>
        <v>0</v>
      </c>
    </row>
    <row r="1436" customFormat="false" ht="21" hidden="false" customHeight="false" outlineLevel="0" collapsed="false">
      <c r="A1436" s="154" t="n">
        <v>43132</v>
      </c>
      <c r="B1436" s="155" t="s">
        <v>1565</v>
      </c>
      <c r="C1436" s="148" t="s">
        <v>59</v>
      </c>
      <c r="D1436" s="156" t="s">
        <v>1513</v>
      </c>
      <c r="E1436" s="154" t="n">
        <v>0.011</v>
      </c>
      <c r="F1436" s="149" t="n">
        <f aca="false">IF(C1436="MAT.",VLOOKUP(A1436,INSUMOS_AUX!$A$3:$H$813,6,0),0)</f>
        <v>0</v>
      </c>
      <c r="G1436" s="149" t="n">
        <f aca="false">IF(C1436="M.O.",VLOOKUP(A1436,INSUMOS_AUX!A:F,6,0),0)</f>
        <v>0</v>
      </c>
    </row>
    <row r="1437" customFormat="false" ht="31.5" hidden="false" customHeight="false" outlineLevel="0" collapsed="false">
      <c r="A1437" s="154" t="n">
        <v>7156</v>
      </c>
      <c r="B1437" s="155" t="s">
        <v>1585</v>
      </c>
      <c r="C1437" s="148" t="str">
        <f aca="false">VLOOKUP($A1437,INSUMOS_AUX!$A$3:$H$813,3,0)</f>
        <v>MAT.</v>
      </c>
      <c r="D1437" s="156" t="s">
        <v>1477</v>
      </c>
      <c r="E1437" s="154" t="n">
        <v>0.392</v>
      </c>
      <c r="F1437" s="149" t="n">
        <f aca="false">IF(C1437="MAT.",VLOOKUP(A1437,INSUMOS_AUX!$A$3:$H$813,6,0),0)</f>
        <v>24.44</v>
      </c>
      <c r="G1437" s="149" t="n">
        <f aca="false">IF(C1437="M.O.",VLOOKUP(A1437,INSUMOS_AUX!A:F,6,0),0)</f>
        <v>0</v>
      </c>
    </row>
    <row r="1438" customFormat="false" ht="31.5" hidden="false" customHeight="false" outlineLevel="0" collapsed="false">
      <c r="A1438" s="154" t="n">
        <v>42407</v>
      </c>
      <c r="B1438" s="155" t="s">
        <v>1586</v>
      </c>
      <c r="C1438" s="148" t="str">
        <f aca="false">VLOOKUP($A1438,INSUMOS_AUX!$A$3:$H$813,3,0)</f>
        <v>MAT.</v>
      </c>
      <c r="D1438" s="156" t="s">
        <v>1455</v>
      </c>
      <c r="E1438" s="154" t="n">
        <v>0.322</v>
      </c>
      <c r="F1438" s="149" t="n">
        <f aca="false">IF(C1438="MAT.",VLOOKUP(A1438,INSUMOS_AUX!$A$3:$H$813,6,0),0)</f>
        <v>5.57</v>
      </c>
      <c r="G1438" s="149" t="n">
        <f aca="false">IF(C1438="M.O.",VLOOKUP(A1438,INSUMOS_AUX!A:F,6,0),0)</f>
        <v>0</v>
      </c>
    </row>
    <row r="1439" customFormat="false" ht="15" hidden="false" customHeight="false" outlineLevel="0" collapsed="false">
      <c r="A1439" s="154" t="n">
        <v>6114</v>
      </c>
      <c r="B1439" s="155" t="s">
        <v>1588</v>
      </c>
      <c r="C1439" s="148" t="str">
        <f aca="false">VLOOKUP($A1439,INSUMOS_AUX!$A$3:$H$813,3,0)</f>
        <v>M.O.</v>
      </c>
      <c r="D1439" s="156" t="s">
        <v>1444</v>
      </c>
      <c r="E1439" s="154" t="n">
        <v>0.00809232</v>
      </c>
      <c r="F1439" s="149" t="n">
        <f aca="false">IF(C1439="MAT.",VLOOKUP(A1439,INSUMOS_AUX!$A$3:$H$813,6,0),0)</f>
        <v>0</v>
      </c>
      <c r="G1439" s="149" t="n">
        <f aca="false">IF(C1439="M.O.",VLOOKUP(A1439,INSUMOS_AUX!A:F,6,0),0)</f>
        <v>13.26</v>
      </c>
    </row>
    <row r="1440" customFormat="false" ht="15" hidden="false" customHeight="false" outlineLevel="0" collapsed="false">
      <c r="A1440" s="154" t="n">
        <v>378</v>
      </c>
      <c r="B1440" s="155" t="s">
        <v>1589</v>
      </c>
      <c r="C1440" s="148" t="str">
        <f aca="false">VLOOKUP($A1440,INSUMOS_AUX!$A$3:$H$813,3,0)</f>
        <v>M.O.</v>
      </c>
      <c r="D1440" s="156" t="s">
        <v>1444</v>
      </c>
      <c r="E1440" s="154" t="n">
        <v>0.02427696</v>
      </c>
      <c r="F1440" s="149" t="n">
        <f aca="false">IF(C1440="MAT.",VLOOKUP(A1440,INSUMOS_AUX!$A$3:$H$813,6,0),0)</f>
        <v>0</v>
      </c>
      <c r="G1440" s="149" t="n">
        <f aca="false">IF(C1440="M.O.",VLOOKUP(A1440,INSUMOS_AUX!A:F,6,0),0)</f>
        <v>20.22</v>
      </c>
    </row>
    <row r="1441" customFormat="false" ht="21" hidden="false" customHeight="false" outlineLevel="0" collapsed="false">
      <c r="A1441" s="150" t="s">
        <v>246</v>
      </c>
      <c r="B1441" s="151" t="s">
        <v>1719</v>
      </c>
      <c r="C1441" s="152" t="s">
        <v>59</v>
      </c>
      <c r="D1441" s="152" t="s">
        <v>1442</v>
      </c>
      <c r="E1441" s="150"/>
      <c r="F1441" s="153" t="n">
        <f aca="false">(SUMPRODUCT($E1442:$E1454,F1442:F1454))*1</f>
        <v>735.198688289448</v>
      </c>
      <c r="G1441" s="153" t="n">
        <f aca="false">(SUMPRODUCT($E1442:$E1454,G1442:G1454))*1</f>
        <v>13.921886844</v>
      </c>
    </row>
    <row r="1442" customFormat="false" ht="21" hidden="false" customHeight="false" outlineLevel="0" collapsed="false">
      <c r="A1442" s="154" t="n">
        <v>37370</v>
      </c>
      <c r="B1442" s="155" t="s">
        <v>1443</v>
      </c>
      <c r="C1442" s="148" t="str">
        <f aca="false">VLOOKUP($A1442,INSUMOS_AUX!$A$3:$H$813,3,0)</f>
        <v>MAT.</v>
      </c>
      <c r="D1442" s="156" t="s">
        <v>1444</v>
      </c>
      <c r="E1442" s="154" t="n">
        <v>0.822</v>
      </c>
      <c r="F1442" s="149" t="n">
        <f aca="false">IF(C1442="MAT.",VLOOKUP(A1442,INSUMOS_AUX!$A$3:$H$813,6,0),0)</f>
        <v>3.32</v>
      </c>
      <c r="G1442" s="149" t="n">
        <f aca="false">IF(C1442="M.O.",VLOOKUP(A1442,INSUMOS_AUX!A:F,6,0),0)</f>
        <v>0</v>
      </c>
    </row>
    <row r="1443" customFormat="false" ht="21" hidden="false" customHeight="false" outlineLevel="0" collapsed="false">
      <c r="A1443" s="154" t="n">
        <v>43489</v>
      </c>
      <c r="B1443" s="155" t="s">
        <v>1456</v>
      </c>
      <c r="C1443" s="148" t="str">
        <f aca="false">VLOOKUP($A1443,INSUMOS_AUX!$A$3:$H$813,3,0)</f>
        <v>MAT.</v>
      </c>
      <c r="D1443" s="156" t="s">
        <v>1444</v>
      </c>
      <c r="E1443" s="154" t="n">
        <v>0.411</v>
      </c>
      <c r="F1443" s="149" t="n">
        <f aca="false">IF(C1443="MAT.",VLOOKUP(A1443,INSUMOS_AUX!$A$3:$H$813,6,0),0)</f>
        <v>1.31</v>
      </c>
      <c r="G1443" s="149" t="n">
        <f aca="false">IF(C1443="M.O.",VLOOKUP(A1443,INSUMOS_AUX!A:F,6,0),0)</f>
        <v>0</v>
      </c>
    </row>
    <row r="1444" customFormat="false" ht="21" hidden="false" customHeight="false" outlineLevel="0" collapsed="false">
      <c r="A1444" s="154" t="n">
        <v>43491</v>
      </c>
      <c r="B1444" s="155" t="s">
        <v>1457</v>
      </c>
      <c r="C1444" s="148" t="str">
        <f aca="false">VLOOKUP($A1444,INSUMOS_AUX!$A$3:$H$813,3,0)</f>
        <v>MAT.</v>
      </c>
      <c r="D1444" s="156" t="s">
        <v>1444</v>
      </c>
      <c r="E1444" s="154" t="n">
        <v>0.411</v>
      </c>
      <c r="F1444" s="149" t="n">
        <f aca="false">IF(C1444="MAT.",VLOOKUP(A1444,INSUMOS_AUX!$A$3:$H$813,6,0),0)</f>
        <v>1.39</v>
      </c>
      <c r="G1444" s="149" t="n">
        <f aca="false">IF(C1444="M.O.",VLOOKUP(A1444,INSUMOS_AUX!A:F,6,0),0)</f>
        <v>0</v>
      </c>
    </row>
    <row r="1445" customFormat="false" ht="21" hidden="false" customHeight="false" outlineLevel="0" collapsed="false">
      <c r="A1445" s="154" t="n">
        <v>37372</v>
      </c>
      <c r="B1445" s="155" t="s">
        <v>1446</v>
      </c>
      <c r="C1445" s="148" t="str">
        <f aca="false">VLOOKUP($A1445,INSUMOS_AUX!$A$3:$H$813,3,0)</f>
        <v>MAT.</v>
      </c>
      <c r="D1445" s="156" t="s">
        <v>1444</v>
      </c>
      <c r="E1445" s="154" t="n">
        <v>0.822</v>
      </c>
      <c r="F1445" s="149" t="n">
        <f aca="false">IF(C1445="MAT.",VLOOKUP(A1445,INSUMOS_AUX!$A$3:$H$813,6,0),0)</f>
        <v>1.43</v>
      </c>
      <c r="G1445" s="149" t="n">
        <f aca="false">IF(C1445="M.O.",VLOOKUP(A1445,INSUMOS_AUX!A:F,6,0),0)</f>
        <v>0</v>
      </c>
    </row>
    <row r="1446" customFormat="false" ht="21" hidden="false" customHeight="false" outlineLevel="0" collapsed="false">
      <c r="A1446" s="154" t="n">
        <v>43465</v>
      </c>
      <c r="B1446" s="155" t="s">
        <v>1458</v>
      </c>
      <c r="C1446" s="148" t="str">
        <f aca="false">VLOOKUP($A1446,INSUMOS_AUX!$A$3:$H$813,3,0)</f>
        <v>MAT.</v>
      </c>
      <c r="D1446" s="156" t="s">
        <v>1444</v>
      </c>
      <c r="E1446" s="154" t="n">
        <v>0.411</v>
      </c>
      <c r="F1446" s="149" t="n">
        <f aca="false">IF(C1446="MAT.",VLOOKUP(A1446,INSUMOS_AUX!$A$3:$H$813,6,0),0)</f>
        <v>0.78</v>
      </c>
      <c r="G1446" s="149" t="n">
        <f aca="false">IF(C1446="M.O.",VLOOKUP(A1446,INSUMOS_AUX!A:F,6,0),0)</f>
        <v>0</v>
      </c>
    </row>
    <row r="1447" customFormat="false" ht="21" hidden="false" customHeight="false" outlineLevel="0" collapsed="false">
      <c r="A1447" s="154" t="n">
        <v>43467</v>
      </c>
      <c r="B1447" s="155" t="s">
        <v>1459</v>
      </c>
      <c r="C1447" s="148" t="str">
        <f aca="false">VLOOKUP($A1447,INSUMOS_AUX!$A$3:$H$813,3,0)</f>
        <v>MAT.</v>
      </c>
      <c r="D1447" s="156" t="s">
        <v>1444</v>
      </c>
      <c r="E1447" s="154" t="n">
        <v>0.411</v>
      </c>
      <c r="F1447" s="149" t="n">
        <f aca="false">IF(C1447="MAT.",VLOOKUP(A1447,INSUMOS_AUX!$A$3:$H$813,6,0),0)</f>
        <v>0.61</v>
      </c>
      <c r="G1447" s="149" t="n">
        <f aca="false">IF(C1447="M.O.",VLOOKUP(A1447,INSUMOS_AUX!A:F,6,0),0)</f>
        <v>0</v>
      </c>
    </row>
    <row r="1448" customFormat="false" ht="21" hidden="false" customHeight="false" outlineLevel="0" collapsed="false">
      <c r="A1448" s="154" t="n">
        <v>37373</v>
      </c>
      <c r="B1448" s="155" t="s">
        <v>1448</v>
      </c>
      <c r="C1448" s="148" t="str">
        <f aca="false">VLOOKUP($A1448,INSUMOS_AUX!$A$3:$H$813,3,0)</f>
        <v>MAT.</v>
      </c>
      <c r="D1448" s="156" t="s">
        <v>1444</v>
      </c>
      <c r="E1448" s="154" t="n">
        <v>0.822</v>
      </c>
      <c r="F1448" s="149" t="n">
        <f aca="false">IF(C1448="MAT.",VLOOKUP(A1448,INSUMOS_AUX!$A$3:$H$813,6,0),0)</f>
        <v>0.08</v>
      </c>
      <c r="G1448" s="149" t="n">
        <f aca="false">IF(C1448="M.O.",VLOOKUP(A1448,INSUMOS_AUX!A:F,6,0),0)</f>
        <v>0</v>
      </c>
    </row>
    <row r="1449" customFormat="false" ht="21" hidden="false" customHeight="false" outlineLevel="0" collapsed="false">
      <c r="A1449" s="154" t="n">
        <v>37371</v>
      </c>
      <c r="B1449" s="155" t="s">
        <v>1449</v>
      </c>
      <c r="C1449" s="148" t="s">
        <v>59</v>
      </c>
      <c r="D1449" s="156" t="s">
        <v>1444</v>
      </c>
      <c r="E1449" s="154" t="n">
        <v>0.822</v>
      </c>
      <c r="F1449" s="149" t="n">
        <f aca="false">IF(C1449="MAT.",VLOOKUP(A1449,INSUMOS_AUX!$A$3:$H$813,6,0),0)</f>
        <v>0</v>
      </c>
      <c r="G1449" s="149" t="n">
        <f aca="false">IF(C1449="M.O.",VLOOKUP(A1449,INSUMOS_AUX!A:F,6,0),0)</f>
        <v>0</v>
      </c>
    </row>
    <row r="1450" customFormat="false" ht="21" hidden="false" customHeight="false" outlineLevel="0" collapsed="false">
      <c r="A1450" s="154" t="n">
        <v>13896</v>
      </c>
      <c r="B1450" s="155" t="s">
        <v>1564</v>
      </c>
      <c r="C1450" s="148" t="str">
        <f aca="false">VLOOKUP($A1450,INSUMOS_AUX!$A$3:$H$813,3,0)</f>
        <v>MAT.</v>
      </c>
      <c r="D1450" s="156" t="s">
        <v>31</v>
      </c>
      <c r="E1450" s="154" t="n">
        <v>2.13752E-005</v>
      </c>
      <c r="F1450" s="149" t="n">
        <f aca="false">IF(C1450="MAT.",VLOOKUP(A1450,INSUMOS_AUX!$A$3:$H$813,6,0),0)</f>
        <v>3390.99</v>
      </c>
      <c r="G1450" s="149" t="n">
        <f aca="false">IF(C1450="M.O.",VLOOKUP(A1450,INSUMOS_AUX!A:F,6,0),0)</f>
        <v>0</v>
      </c>
    </row>
    <row r="1451" customFormat="false" ht="15" hidden="false" customHeight="false" outlineLevel="0" collapsed="false">
      <c r="A1451" s="154" t="n">
        <v>2705</v>
      </c>
      <c r="B1451" s="155" t="s">
        <v>1467</v>
      </c>
      <c r="C1451" s="148" t="str">
        <f aca="false">VLOOKUP($A1451,INSUMOS_AUX!$A$3:$H$813,3,0)</f>
        <v>MAT.</v>
      </c>
      <c r="D1451" s="156" t="s">
        <v>1468</v>
      </c>
      <c r="E1451" s="154" t="n">
        <v>0.02756</v>
      </c>
      <c r="F1451" s="149" t="n">
        <f aca="false">IF(C1451="MAT.",VLOOKUP(A1451,INSUMOS_AUX!$A$3:$H$813,6,0),0)</f>
        <v>0.92</v>
      </c>
      <c r="G1451" s="149" t="n">
        <f aca="false">IF(C1451="M.O.",VLOOKUP(A1451,INSUMOS_AUX!A:F,6,0),0)</f>
        <v>0</v>
      </c>
    </row>
    <row r="1452" customFormat="false" ht="31.5" hidden="false" customHeight="false" outlineLevel="0" collapsed="false">
      <c r="A1452" s="154" t="n">
        <v>11145</v>
      </c>
      <c r="B1452" s="155" t="s">
        <v>1620</v>
      </c>
      <c r="C1452" s="148" t="str">
        <f aca="false">VLOOKUP($A1452,INSUMOS_AUX!$A$3:$H$813,3,0)</f>
        <v>MAT.</v>
      </c>
      <c r="D1452" s="156" t="s">
        <v>1442</v>
      </c>
      <c r="E1452" s="154" t="n">
        <v>1.06</v>
      </c>
      <c r="F1452" s="149" t="n">
        <f aca="false">IF(C1452="MAT.",VLOOKUP(A1452,INSUMOS_AUX!$A$3:$H$813,6,0),0)</f>
        <v>688.16</v>
      </c>
      <c r="G1452" s="149" t="n">
        <f aca="false">IF(C1452="M.O.",VLOOKUP(A1452,INSUMOS_AUX!A:F,6,0),0)</f>
        <v>0</v>
      </c>
    </row>
    <row r="1453" customFormat="false" ht="15" hidden="false" customHeight="false" outlineLevel="0" collapsed="false">
      <c r="A1453" s="154" t="n">
        <v>4750</v>
      </c>
      <c r="B1453" s="155" t="s">
        <v>1463</v>
      </c>
      <c r="C1453" s="148" t="str">
        <f aca="false">VLOOKUP($A1453,INSUMOS_AUX!$A$3:$H$813,3,0)</f>
        <v>M.O.</v>
      </c>
      <c r="D1453" s="156" t="s">
        <v>1444</v>
      </c>
      <c r="E1453" s="154" t="n">
        <v>0.4197132</v>
      </c>
      <c r="F1453" s="149" t="n">
        <f aca="false">IF(C1453="MAT.",VLOOKUP(A1453,INSUMOS_AUX!$A$3:$H$813,6,0),0)</f>
        <v>0</v>
      </c>
      <c r="G1453" s="149" t="n">
        <f aca="false">IF(C1453="M.O.",VLOOKUP(A1453,INSUMOS_AUX!A:F,6,0),0)</f>
        <v>20.22</v>
      </c>
    </row>
    <row r="1454" customFormat="false" ht="15" hidden="false" customHeight="false" outlineLevel="0" collapsed="false">
      <c r="A1454" s="154" t="n">
        <v>6111</v>
      </c>
      <c r="B1454" s="155" t="s">
        <v>1464</v>
      </c>
      <c r="C1454" s="148" t="str">
        <f aca="false">VLOOKUP($A1454,INSUMOS_AUX!$A$3:$H$813,3,0)</f>
        <v>M.O.</v>
      </c>
      <c r="D1454" s="156" t="s">
        <v>1444</v>
      </c>
      <c r="E1454" s="154" t="n">
        <v>0.4197132</v>
      </c>
      <c r="F1454" s="149" t="n">
        <f aca="false">IF(C1454="MAT.",VLOOKUP(A1454,INSUMOS_AUX!$A$3:$H$813,6,0),0)</f>
        <v>0</v>
      </c>
      <c r="G1454" s="149" t="n">
        <f aca="false">IF(C1454="M.O.",VLOOKUP(A1454,INSUMOS_AUX!A:F,6,0),0)</f>
        <v>12.95</v>
      </c>
    </row>
    <row r="1455" customFormat="false" ht="31.5" hidden="false" customHeight="false" outlineLevel="0" collapsed="false">
      <c r="A1455" s="150" t="s">
        <v>261</v>
      </c>
      <c r="B1455" s="151" t="s">
        <v>1720</v>
      </c>
      <c r="C1455" s="152" t="s">
        <v>59</v>
      </c>
      <c r="D1455" s="152" t="s">
        <v>1455</v>
      </c>
      <c r="E1455" s="150"/>
      <c r="F1455" s="153" t="n">
        <f aca="false">(SUMPRODUCT($E1456:$E1472,F1456:F1472))*1</f>
        <v>83.0189549368</v>
      </c>
      <c r="G1455" s="153" t="n">
        <f aca="false">(SUMPRODUCT($E1456:$E1472,G1456:G1472))*1</f>
        <v>35.4777158833496</v>
      </c>
    </row>
    <row r="1456" customFormat="false" ht="21" hidden="false" customHeight="false" outlineLevel="0" collapsed="false">
      <c r="A1456" s="154" t="n">
        <v>37370</v>
      </c>
      <c r="B1456" s="155" t="s">
        <v>1443</v>
      </c>
      <c r="C1456" s="148" t="str">
        <f aca="false">VLOOKUP($A1456,INSUMOS_AUX!$A$3:$H$813,3,0)</f>
        <v>MAT.</v>
      </c>
      <c r="D1456" s="156" t="s">
        <v>1444</v>
      </c>
      <c r="E1456" s="154" t="n">
        <v>2.09652604</v>
      </c>
      <c r="F1456" s="149" t="n">
        <f aca="false">IF(C1456="MAT.",VLOOKUP(A1456,INSUMOS_AUX!$A$3:$H$813,6,0),0)</f>
        <v>3.32</v>
      </c>
      <c r="G1456" s="149" t="n">
        <f aca="false">IF(C1456="M.O.",VLOOKUP(A1456,INSUMOS_AUX!A:F,6,0),0)</f>
        <v>0</v>
      </c>
    </row>
    <row r="1457" customFormat="false" ht="21" hidden="false" customHeight="false" outlineLevel="0" collapsed="false">
      <c r="A1457" s="154" t="n">
        <v>43489</v>
      </c>
      <c r="B1457" s="155" t="s">
        <v>1456</v>
      </c>
      <c r="C1457" s="148" t="str">
        <f aca="false">VLOOKUP($A1457,INSUMOS_AUX!$A$3:$H$813,3,0)</f>
        <v>MAT.</v>
      </c>
      <c r="D1457" s="156" t="s">
        <v>1444</v>
      </c>
      <c r="E1457" s="154" t="n">
        <v>1.09852604</v>
      </c>
      <c r="F1457" s="149" t="n">
        <f aca="false">IF(C1457="MAT.",VLOOKUP(A1457,INSUMOS_AUX!$A$3:$H$813,6,0),0)</f>
        <v>1.31</v>
      </c>
      <c r="G1457" s="149" t="n">
        <f aca="false">IF(C1457="M.O.",VLOOKUP(A1457,INSUMOS_AUX!A:F,6,0),0)</f>
        <v>0</v>
      </c>
    </row>
    <row r="1458" customFormat="false" ht="21" hidden="false" customHeight="false" outlineLevel="0" collapsed="false">
      <c r="A1458" s="154" t="n">
        <v>43491</v>
      </c>
      <c r="B1458" s="155" t="s">
        <v>1457</v>
      </c>
      <c r="C1458" s="148" t="str">
        <f aca="false">VLOOKUP($A1458,INSUMOS_AUX!$A$3:$H$813,3,0)</f>
        <v>MAT.</v>
      </c>
      <c r="D1458" s="156" t="s">
        <v>1444</v>
      </c>
      <c r="E1458" s="154" t="n">
        <v>0.998</v>
      </c>
      <c r="F1458" s="149" t="n">
        <f aca="false">IF(C1458="MAT.",VLOOKUP(A1458,INSUMOS_AUX!$A$3:$H$813,6,0),0)</f>
        <v>1.39</v>
      </c>
      <c r="G1458" s="149" t="n">
        <f aca="false">IF(C1458="M.O.",VLOOKUP(A1458,INSUMOS_AUX!A:F,6,0),0)</f>
        <v>0</v>
      </c>
    </row>
    <row r="1459" customFormat="false" ht="21" hidden="false" customHeight="false" outlineLevel="0" collapsed="false">
      <c r="A1459" s="154" t="n">
        <v>37372</v>
      </c>
      <c r="B1459" s="155" t="s">
        <v>1446</v>
      </c>
      <c r="C1459" s="148" t="str">
        <f aca="false">VLOOKUP($A1459,INSUMOS_AUX!$A$3:$H$813,3,0)</f>
        <v>MAT.</v>
      </c>
      <c r="D1459" s="156" t="s">
        <v>1444</v>
      </c>
      <c r="E1459" s="154" t="n">
        <v>2.09652604</v>
      </c>
      <c r="F1459" s="149" t="n">
        <f aca="false">IF(C1459="MAT.",VLOOKUP(A1459,INSUMOS_AUX!$A$3:$H$813,6,0),0)</f>
        <v>1.43</v>
      </c>
      <c r="G1459" s="149" t="n">
        <f aca="false">IF(C1459="M.O.",VLOOKUP(A1459,INSUMOS_AUX!A:F,6,0),0)</f>
        <v>0</v>
      </c>
    </row>
    <row r="1460" customFormat="false" ht="21" hidden="false" customHeight="false" outlineLevel="0" collapsed="false">
      <c r="A1460" s="154" t="n">
        <v>43465</v>
      </c>
      <c r="B1460" s="155" t="s">
        <v>1458</v>
      </c>
      <c r="C1460" s="148" t="str">
        <f aca="false">VLOOKUP($A1460,INSUMOS_AUX!$A$3:$H$813,3,0)</f>
        <v>MAT.</v>
      </c>
      <c r="D1460" s="156" t="s">
        <v>1444</v>
      </c>
      <c r="E1460" s="154" t="n">
        <v>1.09852604</v>
      </c>
      <c r="F1460" s="149" t="n">
        <f aca="false">IF(C1460="MAT.",VLOOKUP(A1460,INSUMOS_AUX!$A$3:$H$813,6,0),0)</f>
        <v>0.78</v>
      </c>
      <c r="G1460" s="149" t="n">
        <f aca="false">IF(C1460="M.O.",VLOOKUP(A1460,INSUMOS_AUX!A:F,6,0),0)</f>
        <v>0</v>
      </c>
    </row>
    <row r="1461" customFormat="false" ht="21" hidden="false" customHeight="false" outlineLevel="0" collapsed="false">
      <c r="A1461" s="154" t="n">
        <v>43467</v>
      </c>
      <c r="B1461" s="155" t="s">
        <v>1459</v>
      </c>
      <c r="C1461" s="148" t="str">
        <f aca="false">VLOOKUP($A1461,INSUMOS_AUX!$A$3:$H$813,3,0)</f>
        <v>MAT.</v>
      </c>
      <c r="D1461" s="156" t="s">
        <v>1444</v>
      </c>
      <c r="E1461" s="154" t="n">
        <v>0.998</v>
      </c>
      <c r="F1461" s="149" t="n">
        <f aca="false">IF(C1461="MAT.",VLOOKUP(A1461,INSUMOS_AUX!$A$3:$H$813,6,0),0)</f>
        <v>0.61</v>
      </c>
      <c r="G1461" s="149" t="n">
        <f aca="false">IF(C1461="M.O.",VLOOKUP(A1461,INSUMOS_AUX!A:F,6,0),0)</f>
        <v>0</v>
      </c>
    </row>
    <row r="1462" customFormat="false" ht="21" hidden="false" customHeight="false" outlineLevel="0" collapsed="false">
      <c r="A1462" s="154" t="n">
        <v>37373</v>
      </c>
      <c r="B1462" s="155" t="s">
        <v>1448</v>
      </c>
      <c r="C1462" s="148" t="str">
        <f aca="false">VLOOKUP($A1462,INSUMOS_AUX!$A$3:$H$813,3,0)</f>
        <v>MAT.</v>
      </c>
      <c r="D1462" s="156" t="s">
        <v>1444</v>
      </c>
      <c r="E1462" s="154" t="n">
        <v>2.09652604</v>
      </c>
      <c r="F1462" s="149" t="n">
        <f aca="false">IF(C1462="MAT.",VLOOKUP(A1462,INSUMOS_AUX!$A$3:$H$813,6,0),0)</f>
        <v>0.08</v>
      </c>
      <c r="G1462" s="149" t="n">
        <f aca="false">IF(C1462="M.O.",VLOOKUP(A1462,INSUMOS_AUX!A:F,6,0),0)</f>
        <v>0</v>
      </c>
    </row>
    <row r="1463" customFormat="false" ht="21" hidden="false" customHeight="false" outlineLevel="0" collapsed="false">
      <c r="A1463" s="154" t="n">
        <v>37371</v>
      </c>
      <c r="B1463" s="155" t="s">
        <v>1449</v>
      </c>
      <c r="C1463" s="148" t="s">
        <v>59</v>
      </c>
      <c r="D1463" s="156" t="s">
        <v>1444</v>
      </c>
      <c r="E1463" s="154" t="n">
        <v>2.09652604</v>
      </c>
      <c r="F1463" s="149" t="n">
        <f aca="false">IF(C1463="MAT.",VLOOKUP(A1463,INSUMOS_AUX!$A$3:$H$813,6,0),0)</f>
        <v>0</v>
      </c>
      <c r="G1463" s="149" t="n">
        <f aca="false">IF(C1463="M.O.",VLOOKUP(A1463,INSUMOS_AUX!A:F,6,0),0)</f>
        <v>0</v>
      </c>
    </row>
    <row r="1464" customFormat="false" ht="15" hidden="false" customHeight="false" outlineLevel="0" collapsed="false">
      <c r="A1464" s="154" t="n">
        <v>32</v>
      </c>
      <c r="B1464" s="155" t="s">
        <v>1619</v>
      </c>
      <c r="C1464" s="148" t="str">
        <f aca="false">VLOOKUP($A1464,INSUMOS_AUX!$A$3:$H$813,3,0)</f>
        <v>MAT.</v>
      </c>
      <c r="D1464" s="156" t="s">
        <v>1513</v>
      </c>
      <c r="E1464" s="154" t="n">
        <v>0.754992</v>
      </c>
      <c r="F1464" s="149" t="n">
        <f aca="false">IF(C1464="MAT.",VLOOKUP(A1464,INSUMOS_AUX!$A$3:$H$813,6,0),0)</f>
        <v>8.1</v>
      </c>
      <c r="G1464" s="149" t="n">
        <f aca="false">IF(C1464="M.O.",VLOOKUP(A1464,INSUMOS_AUX!A:F,6,0),0)</f>
        <v>0</v>
      </c>
    </row>
    <row r="1465" customFormat="false" ht="15" hidden="false" customHeight="false" outlineLevel="0" collapsed="false">
      <c r="A1465" s="154" t="n">
        <v>33</v>
      </c>
      <c r="B1465" s="155" t="s">
        <v>1633</v>
      </c>
      <c r="C1465" s="148" t="str">
        <f aca="false">VLOOKUP($A1465,INSUMOS_AUX!$A$3:$H$813,3,0)</f>
        <v>MAT.</v>
      </c>
      <c r="D1465" s="156" t="s">
        <v>1513</v>
      </c>
      <c r="E1465" s="154" t="n">
        <v>2.19225</v>
      </c>
      <c r="F1465" s="149" t="n">
        <f aca="false">IF(C1465="MAT.",VLOOKUP(A1465,INSUMOS_AUX!$A$3:$H$813,6,0),0)</f>
        <v>8.14</v>
      </c>
      <c r="G1465" s="149" t="n">
        <f aca="false">IF(C1465="M.O.",VLOOKUP(A1465,INSUMOS_AUX!A:F,6,0),0)</f>
        <v>0</v>
      </c>
    </row>
    <row r="1466" customFormat="false" ht="21" hidden="false" customHeight="false" outlineLevel="0" collapsed="false">
      <c r="A1466" s="154" t="n">
        <v>43132</v>
      </c>
      <c r="B1466" s="155" t="s">
        <v>1565</v>
      </c>
      <c r="C1466" s="148" t="str">
        <f aca="false">VLOOKUP($A1466,INSUMOS_AUX!$A$3:$H$813,3,0)</f>
        <v>MAT.</v>
      </c>
      <c r="D1466" s="156" t="s">
        <v>1513</v>
      </c>
      <c r="E1466" s="154" t="n">
        <v>0.053612</v>
      </c>
      <c r="F1466" s="149" t="n">
        <f aca="false">IF(C1466="MAT.",VLOOKUP(A1466,INSUMOS_AUX!$A$3:$H$813,6,0),0)</f>
        <v>28</v>
      </c>
      <c r="G1466" s="149" t="n">
        <f aca="false">IF(C1466="M.O.",VLOOKUP(A1466,INSUMOS_AUX!A:F,6,0),0)</f>
        <v>0</v>
      </c>
    </row>
    <row r="1467" customFormat="false" ht="31.5" hidden="false" customHeight="false" outlineLevel="0" collapsed="false">
      <c r="A1467" s="154" t="n">
        <v>11145</v>
      </c>
      <c r="B1467" s="155" t="s">
        <v>1620</v>
      </c>
      <c r="C1467" s="148" t="str">
        <f aca="false">VLOOKUP($A1467,INSUMOS_AUX!$A$3:$H$813,3,0)</f>
        <v>MAT.</v>
      </c>
      <c r="D1467" s="156" t="s">
        <v>1442</v>
      </c>
      <c r="E1467" s="154" t="n">
        <v>0.062</v>
      </c>
      <c r="F1467" s="149" t="n">
        <f aca="false">IF(C1467="MAT.",VLOOKUP(A1467,INSUMOS_AUX!$A$3:$H$813,6,0),0)</f>
        <v>688.16</v>
      </c>
      <c r="G1467" s="149" t="n">
        <f aca="false">IF(C1467="M.O.",VLOOKUP(A1467,INSUMOS_AUX!A:F,6,0),0)</f>
        <v>0</v>
      </c>
    </row>
    <row r="1468" customFormat="false" ht="21" hidden="false" customHeight="false" outlineLevel="0" collapsed="false">
      <c r="A1468" s="154" t="n">
        <v>39017</v>
      </c>
      <c r="B1468" s="155" t="s">
        <v>1621</v>
      </c>
      <c r="C1468" s="148" t="str">
        <f aca="false">VLOOKUP($A1468,INSUMOS_AUX!$A$3:$H$813,3,0)</f>
        <v>MAT.</v>
      </c>
      <c r="D1468" s="156" t="s">
        <v>31</v>
      </c>
      <c r="E1468" s="154" t="n">
        <v>2.151857</v>
      </c>
      <c r="F1468" s="149" t="n">
        <f aca="false">IF(C1468="MAT.",VLOOKUP(A1468,INSUMOS_AUX!$A$3:$H$813,6,0),0)</f>
        <v>0.22</v>
      </c>
      <c r="G1468" s="149" t="n">
        <f aca="false">IF(C1468="M.O.",VLOOKUP(A1468,INSUMOS_AUX!A:F,6,0),0)</f>
        <v>0</v>
      </c>
    </row>
    <row r="1469" customFormat="false" ht="15" hidden="false" customHeight="false" outlineLevel="0" collapsed="false">
      <c r="A1469" s="154" t="n">
        <v>6114</v>
      </c>
      <c r="B1469" s="155" t="s">
        <v>1588</v>
      </c>
      <c r="C1469" s="148" t="str">
        <f aca="false">VLOOKUP($A1469,INSUMOS_AUX!$A$3:$H$813,3,0)</f>
        <v>M.O.</v>
      </c>
      <c r="D1469" s="156" t="s">
        <v>1444</v>
      </c>
      <c r="E1469" s="154" t="n">
        <v>0.0494517022116</v>
      </c>
      <c r="F1469" s="149" t="n">
        <f aca="false">IF(C1469="MAT.",VLOOKUP(A1469,INSUMOS_AUX!$A$3:$H$813,6,0),0)</f>
        <v>0</v>
      </c>
      <c r="G1469" s="149" t="n">
        <f aca="false">IF(C1469="M.O.",VLOOKUP(A1469,INSUMOS_AUX!A:F,6,0),0)</f>
        <v>13.26</v>
      </c>
    </row>
    <row r="1470" customFormat="false" ht="15" hidden="false" customHeight="false" outlineLevel="0" collapsed="false">
      <c r="A1470" s="154" t="n">
        <v>378</v>
      </c>
      <c r="B1470" s="155" t="s">
        <v>1589</v>
      </c>
      <c r="C1470" s="148" t="str">
        <f aca="false">VLOOKUP($A1470,INSUMOS_AUX!$A$3:$H$813,3,0)</f>
        <v>M.O.</v>
      </c>
      <c r="D1470" s="156" t="s">
        <v>1444</v>
      </c>
      <c r="E1470" s="154" t="n">
        <v>0.25757702829</v>
      </c>
      <c r="F1470" s="149" t="n">
        <f aca="false">IF(C1470="MAT.",VLOOKUP(A1470,INSUMOS_AUX!$A$3:$H$813,6,0),0)</f>
        <v>0</v>
      </c>
      <c r="G1470" s="149" t="n">
        <f aca="false">IF(C1470="M.O.",VLOOKUP(A1470,INSUMOS_AUX!A:F,6,0),0)</f>
        <v>20.22</v>
      </c>
    </row>
    <row r="1471" customFormat="false" ht="15" hidden="false" customHeight="false" outlineLevel="0" collapsed="false">
      <c r="A1471" s="154" t="n">
        <v>4750</v>
      </c>
      <c r="B1471" s="155" t="s">
        <v>1463</v>
      </c>
      <c r="C1471" s="148" t="str">
        <f aca="false">VLOOKUP($A1471,INSUMOS_AUX!$A$3:$H$813,3,0)</f>
        <v>M.O.</v>
      </c>
      <c r="D1471" s="156" t="s">
        <v>1444</v>
      </c>
      <c r="E1471" s="154" t="n">
        <v>0.811854</v>
      </c>
      <c r="F1471" s="149" t="n">
        <f aca="false">IF(C1471="MAT.",VLOOKUP(A1471,INSUMOS_AUX!$A$3:$H$813,6,0),0)</f>
        <v>0</v>
      </c>
      <c r="G1471" s="149" t="n">
        <f aca="false">IF(C1471="M.O.",VLOOKUP(A1471,INSUMOS_AUX!A:F,6,0),0)</f>
        <v>20.22</v>
      </c>
    </row>
    <row r="1472" customFormat="false" ht="15" hidden="false" customHeight="false" outlineLevel="0" collapsed="false">
      <c r="A1472" s="154" t="n">
        <v>6111</v>
      </c>
      <c r="B1472" s="155" t="s">
        <v>1464</v>
      </c>
      <c r="C1472" s="148" t="str">
        <f aca="false">VLOOKUP($A1472,INSUMOS_AUX!$A$3:$H$813,3,0)</f>
        <v>M.O.</v>
      </c>
      <c r="D1472" s="156" t="s">
        <v>1444</v>
      </c>
      <c r="E1472" s="154" t="n">
        <v>1.0191576</v>
      </c>
      <c r="F1472" s="149" t="n">
        <f aca="false">IF(C1472="MAT.",VLOOKUP(A1472,INSUMOS_AUX!$A$3:$H$813,6,0),0)</f>
        <v>0</v>
      </c>
      <c r="G1472" s="149" t="n">
        <f aca="false">IF(C1472="M.O.",VLOOKUP(A1472,INSUMOS_AUX!A:F,6,0),0)</f>
        <v>12.95</v>
      </c>
    </row>
    <row r="1473" customFormat="false" ht="31.5" hidden="false" customHeight="false" outlineLevel="0" collapsed="false">
      <c r="A1473" s="150" t="n">
        <v>96539</v>
      </c>
      <c r="B1473" s="151" t="s">
        <v>1721</v>
      </c>
      <c r="C1473" s="152" t="s">
        <v>59</v>
      </c>
      <c r="D1473" s="152" t="s">
        <v>1477</v>
      </c>
      <c r="E1473" s="150"/>
      <c r="F1473" s="153" t="n">
        <f aca="false">(SUMPRODUCT($E1474:$E1493,F1474:F1493))*1</f>
        <v>75.279460048688</v>
      </c>
      <c r="G1473" s="153" t="n">
        <f aca="false">(SUMPRODUCT($E1474:$E1493,G1474:G1493))*1</f>
        <v>51.3867867324</v>
      </c>
    </row>
    <row r="1474" customFormat="false" ht="21" hidden="false" customHeight="false" outlineLevel="0" collapsed="false">
      <c r="A1474" s="154" t="n">
        <v>37370</v>
      </c>
      <c r="B1474" s="155" t="s">
        <v>1443</v>
      </c>
      <c r="C1474" s="148" t="str">
        <f aca="false">VLOOKUP($A1474,INSUMOS_AUX!$A$3:$H$813,3,0)</f>
        <v>MAT.</v>
      </c>
      <c r="D1474" s="156" t="s">
        <v>1444</v>
      </c>
      <c r="E1474" s="154" t="n">
        <v>2.814</v>
      </c>
      <c r="F1474" s="149" t="n">
        <f aca="false">IF(C1474="MAT.",VLOOKUP(A1474,INSUMOS_AUX!$A$3:$H$813,6,0),0)</f>
        <v>3.32</v>
      </c>
      <c r="G1474" s="149" t="n">
        <f aca="false">IF(C1474="M.O.",VLOOKUP(A1474,INSUMOS_AUX!A:F,6,0),0)</f>
        <v>0</v>
      </c>
    </row>
    <row r="1475" customFormat="false" ht="21" hidden="false" customHeight="false" outlineLevel="0" collapsed="false">
      <c r="A1475" s="154" t="n">
        <v>43483</v>
      </c>
      <c r="B1475" s="155" t="s">
        <v>1486</v>
      </c>
      <c r="C1475" s="148" t="str">
        <f aca="false">VLOOKUP($A1475,INSUMOS_AUX!$A$3:$H$813,3,0)</f>
        <v>MAT.</v>
      </c>
      <c r="D1475" s="156" t="s">
        <v>1444</v>
      </c>
      <c r="E1475" s="154" t="n">
        <v>2.682</v>
      </c>
      <c r="F1475" s="149" t="n">
        <f aca="false">IF(C1475="MAT.",VLOOKUP(A1475,INSUMOS_AUX!$A$3:$H$813,6,0),0)</f>
        <v>1.43</v>
      </c>
      <c r="G1475" s="149" t="n">
        <f aca="false">IF(C1475="M.O.",VLOOKUP(A1475,INSUMOS_AUX!A:F,6,0),0)</f>
        <v>0</v>
      </c>
    </row>
    <row r="1476" customFormat="false" ht="21" hidden="false" customHeight="false" outlineLevel="0" collapsed="false">
      <c r="A1476" s="154" t="n">
        <v>43488</v>
      </c>
      <c r="B1476" s="155" t="s">
        <v>1445</v>
      </c>
      <c r="C1476" s="148" t="str">
        <f aca="false">VLOOKUP($A1476,INSUMOS_AUX!$A$3:$H$813,3,0)</f>
        <v>MAT.</v>
      </c>
      <c r="D1476" s="156" t="s">
        <v>1444</v>
      </c>
      <c r="E1476" s="154" t="n">
        <v>0.132</v>
      </c>
      <c r="F1476" s="149" t="n">
        <f aca="false">IF(C1476="MAT.",VLOOKUP(A1476,INSUMOS_AUX!$A$3:$H$813,6,0),0)</f>
        <v>0.89</v>
      </c>
      <c r="G1476" s="149" t="n">
        <f aca="false">IF(C1476="M.O.",VLOOKUP(A1476,INSUMOS_AUX!A:F,6,0),0)</f>
        <v>0</v>
      </c>
    </row>
    <row r="1477" customFormat="false" ht="21" hidden="false" customHeight="false" outlineLevel="0" collapsed="false">
      <c r="A1477" s="154" t="n">
        <v>37372</v>
      </c>
      <c r="B1477" s="155" t="s">
        <v>1446</v>
      </c>
      <c r="C1477" s="148" t="s">
        <v>59</v>
      </c>
      <c r="D1477" s="156" t="s">
        <v>1444</v>
      </c>
      <c r="E1477" s="154" t="n">
        <v>2.814</v>
      </c>
      <c r="F1477" s="149" t="n">
        <f aca="false">IF(C1477="MAT.",VLOOKUP(A1477,INSUMOS_AUX!$A$3:$H$813,6,0),0)</f>
        <v>0</v>
      </c>
      <c r="G1477" s="149" t="n">
        <f aca="false">IF(C1477="M.O.",VLOOKUP(A1477,INSUMOS_AUX!A:F,6,0),0)</f>
        <v>0</v>
      </c>
    </row>
    <row r="1478" customFormat="false" ht="21" hidden="false" customHeight="false" outlineLevel="0" collapsed="false">
      <c r="A1478" s="154" t="n">
        <v>43459</v>
      </c>
      <c r="B1478" s="155" t="s">
        <v>1487</v>
      </c>
      <c r="C1478" s="148" t="str">
        <f aca="false">VLOOKUP($A1478,INSUMOS_AUX!$A$3:$H$813,3,0)</f>
        <v>MAT.</v>
      </c>
      <c r="D1478" s="156" t="s">
        <v>1444</v>
      </c>
      <c r="E1478" s="154" t="n">
        <v>2.682</v>
      </c>
      <c r="F1478" s="149" t="n">
        <f aca="false">IF(C1478="MAT.",VLOOKUP(A1478,INSUMOS_AUX!$A$3:$H$813,6,0),0)</f>
        <v>0.44</v>
      </c>
      <c r="G1478" s="149" t="n">
        <f aca="false">IF(C1478="M.O.",VLOOKUP(A1478,INSUMOS_AUX!A:F,6,0),0)</f>
        <v>0</v>
      </c>
    </row>
    <row r="1479" customFormat="false" ht="21" hidden="false" customHeight="false" outlineLevel="0" collapsed="false">
      <c r="A1479" s="154" t="n">
        <v>43464</v>
      </c>
      <c r="B1479" s="155" t="s">
        <v>1447</v>
      </c>
      <c r="C1479" s="148" t="str">
        <f aca="false">VLOOKUP($A1479,INSUMOS_AUX!$A$3:$H$813,3,0)</f>
        <v>MAT.</v>
      </c>
      <c r="D1479" s="156" t="s">
        <v>1444</v>
      </c>
      <c r="E1479" s="154" t="n">
        <v>0.132</v>
      </c>
      <c r="F1479" s="149" t="n">
        <f aca="false">IF(C1479="MAT.",VLOOKUP(A1479,INSUMOS_AUX!$A$3:$H$813,6,0),0)</f>
        <v>0.01</v>
      </c>
      <c r="G1479" s="149" t="n">
        <f aca="false">IF(C1479="M.O.",VLOOKUP(A1479,INSUMOS_AUX!A:F,6,0),0)</f>
        <v>0</v>
      </c>
    </row>
    <row r="1480" customFormat="false" ht="21" hidden="false" customHeight="false" outlineLevel="0" collapsed="false">
      <c r="A1480" s="154" t="n">
        <v>37373</v>
      </c>
      <c r="B1480" s="155" t="s">
        <v>1448</v>
      </c>
      <c r="C1480" s="148" t="str">
        <f aca="false">VLOOKUP($A1480,INSUMOS_AUX!$A$3:$H$813,3,0)</f>
        <v>MAT.</v>
      </c>
      <c r="D1480" s="156" t="s">
        <v>1444</v>
      </c>
      <c r="E1480" s="154" t="n">
        <v>2.814</v>
      </c>
      <c r="F1480" s="149" t="n">
        <f aca="false">IF(C1480="MAT.",VLOOKUP(A1480,INSUMOS_AUX!$A$3:$H$813,6,0),0)</f>
        <v>0.08</v>
      </c>
      <c r="G1480" s="149" t="n">
        <f aca="false">IF(C1480="M.O.",VLOOKUP(A1480,INSUMOS_AUX!A:F,6,0),0)</f>
        <v>0</v>
      </c>
    </row>
    <row r="1481" customFormat="false" ht="21" hidden="false" customHeight="false" outlineLevel="0" collapsed="false">
      <c r="A1481" s="154" t="n">
        <v>37371</v>
      </c>
      <c r="B1481" s="155" t="s">
        <v>1449</v>
      </c>
      <c r="C1481" s="148" t="str">
        <f aca="false">VLOOKUP($A1481,INSUMOS_AUX!$A$3:$H$813,3,0)</f>
        <v>MAT.</v>
      </c>
      <c r="D1481" s="156" t="s">
        <v>1444</v>
      </c>
      <c r="E1481" s="154" t="n">
        <v>2.814</v>
      </c>
      <c r="F1481" s="149" t="n">
        <f aca="false">IF(C1481="MAT.",VLOOKUP(A1481,INSUMOS_AUX!$A$3:$H$813,6,0),0)</f>
        <v>0.59</v>
      </c>
      <c r="G1481" s="149" t="n">
        <f aca="false">IF(C1481="M.O.",VLOOKUP(A1481,INSUMOS_AUX!A:F,6,0),0)</f>
        <v>0</v>
      </c>
    </row>
    <row r="1482" customFormat="false" ht="21" hidden="false" customHeight="false" outlineLevel="0" collapsed="false">
      <c r="A1482" s="154" t="n">
        <v>14618</v>
      </c>
      <c r="B1482" s="155" t="s">
        <v>1592</v>
      </c>
      <c r="C1482" s="148" t="str">
        <f aca="false">VLOOKUP($A1482,INSUMOS_AUX!$A$3:$H$813,3,0)</f>
        <v>MAT.</v>
      </c>
      <c r="D1482" s="156" t="s">
        <v>31</v>
      </c>
      <c r="E1482" s="154" t="n">
        <v>1.27576E-005</v>
      </c>
      <c r="F1482" s="149" t="n">
        <f aca="false">IF(C1482="MAT.",VLOOKUP(A1482,INSUMOS_AUX!$A$3:$H$813,6,0),0)</f>
        <v>1283.38</v>
      </c>
      <c r="G1482" s="149" t="n">
        <f aca="false">IF(C1482="M.O.",VLOOKUP(A1482,INSUMOS_AUX!A:F,6,0),0)</f>
        <v>0</v>
      </c>
    </row>
    <row r="1483" customFormat="false" ht="15" hidden="false" customHeight="false" outlineLevel="0" collapsed="false">
      <c r="A1483" s="154" t="n">
        <v>2705</v>
      </c>
      <c r="B1483" s="155" t="s">
        <v>1467</v>
      </c>
      <c r="C1483" s="148" t="str">
        <f aca="false">VLOOKUP($A1483,INSUMOS_AUX!$A$3:$H$813,3,0)</f>
        <v>MAT.</v>
      </c>
      <c r="D1483" s="156" t="s">
        <v>1468</v>
      </c>
      <c r="E1483" s="154" t="n">
        <v>0.03536</v>
      </c>
      <c r="F1483" s="149" t="n">
        <f aca="false">IF(C1483="MAT.",VLOOKUP(A1483,INSUMOS_AUX!$A$3:$H$813,6,0),0)</f>
        <v>0.92</v>
      </c>
      <c r="G1483" s="149" t="n">
        <f aca="false">IF(C1483="M.O.",VLOOKUP(A1483,INSUMOS_AUX!A:F,6,0),0)</f>
        <v>0</v>
      </c>
    </row>
    <row r="1484" customFormat="false" ht="31.5" hidden="false" customHeight="false" outlineLevel="0" collapsed="false">
      <c r="A1484" s="154" t="n">
        <v>1358</v>
      </c>
      <c r="B1484" s="155" t="s">
        <v>1641</v>
      </c>
      <c r="C1484" s="148" t="str">
        <f aca="false">VLOOKUP($A1484,INSUMOS_AUX!$A$3:$H$813,3,0)</f>
        <v>MAT.</v>
      </c>
      <c r="D1484" s="156" t="s">
        <v>1477</v>
      </c>
      <c r="E1484" s="154" t="n">
        <v>0.593</v>
      </c>
      <c r="F1484" s="149" t="n">
        <f aca="false">IF(C1484="MAT.",VLOOKUP(A1484,INSUMOS_AUX!$A$3:$H$813,6,0),0)</f>
        <v>57.71</v>
      </c>
      <c r="G1484" s="149" t="n">
        <f aca="false">IF(C1484="M.O.",VLOOKUP(A1484,INSUMOS_AUX!A:F,6,0),0)</f>
        <v>0</v>
      </c>
    </row>
    <row r="1485" customFormat="false" ht="21" hidden="false" customHeight="false" outlineLevel="0" collapsed="false">
      <c r="A1485" s="154" t="n">
        <v>2692</v>
      </c>
      <c r="B1485" s="155" t="s">
        <v>1570</v>
      </c>
      <c r="C1485" s="148" t="str">
        <f aca="false">VLOOKUP($A1485,INSUMOS_AUX!$A$3:$H$813,3,0)</f>
        <v>MAT.</v>
      </c>
      <c r="D1485" s="156" t="s">
        <v>1452</v>
      </c>
      <c r="E1485" s="154" t="n">
        <v>0.00955</v>
      </c>
      <c r="F1485" s="149" t="n">
        <f aca="false">IF(C1485="MAT.",VLOOKUP(A1485,INSUMOS_AUX!$A$3:$H$813,6,0),0)</f>
        <v>6.52</v>
      </c>
      <c r="G1485" s="149" t="n">
        <f aca="false">IF(C1485="M.O.",VLOOKUP(A1485,INSUMOS_AUX!A:F,6,0),0)</f>
        <v>0</v>
      </c>
    </row>
    <row r="1486" customFormat="false" ht="21" hidden="false" customHeight="false" outlineLevel="0" collapsed="false">
      <c r="A1486" s="154" t="n">
        <v>4491</v>
      </c>
      <c r="B1486" s="155" t="s">
        <v>1578</v>
      </c>
      <c r="C1486" s="148" t="str">
        <f aca="false">VLOOKUP($A1486,INSUMOS_AUX!$A$3:$H$813,3,0)</f>
        <v>MAT.</v>
      </c>
      <c r="D1486" s="156" t="s">
        <v>1455</v>
      </c>
      <c r="E1486" s="154" t="n">
        <v>2.294</v>
      </c>
      <c r="F1486" s="149" t="n">
        <f aca="false">IF(C1486="MAT.",VLOOKUP(A1486,INSUMOS_AUX!$A$3:$H$813,6,0),0)</f>
        <v>10.25</v>
      </c>
      <c r="G1486" s="149" t="n">
        <f aca="false">IF(C1486="M.O.",VLOOKUP(A1486,INSUMOS_AUX!A:F,6,0),0)</f>
        <v>0</v>
      </c>
    </row>
    <row r="1487" customFormat="false" ht="15" hidden="false" customHeight="false" outlineLevel="0" collapsed="false">
      <c r="A1487" s="154" t="n">
        <v>20247</v>
      </c>
      <c r="B1487" s="155" t="s">
        <v>1695</v>
      </c>
      <c r="C1487" s="148" t="str">
        <f aca="false">VLOOKUP($A1487,INSUMOS_AUX!$A$3:$H$813,3,0)</f>
        <v>MAT.</v>
      </c>
      <c r="D1487" s="156" t="s">
        <v>1513</v>
      </c>
      <c r="E1487" s="154" t="n">
        <v>0.017</v>
      </c>
      <c r="F1487" s="149" t="n">
        <f aca="false">IF(C1487="MAT.",VLOOKUP(A1487,INSUMOS_AUX!$A$3:$H$813,6,0),0)</f>
        <v>22.53</v>
      </c>
      <c r="G1487" s="149" t="n">
        <f aca="false">IF(C1487="M.O.",VLOOKUP(A1487,INSUMOS_AUX!A:F,6,0),0)</f>
        <v>0</v>
      </c>
    </row>
    <row r="1488" customFormat="false" ht="15" hidden="false" customHeight="false" outlineLevel="0" collapsed="false">
      <c r="A1488" s="154" t="n">
        <v>5073</v>
      </c>
      <c r="B1488" s="155" t="s">
        <v>1651</v>
      </c>
      <c r="C1488" s="148" t="str">
        <f aca="false">VLOOKUP($A1488,INSUMOS_AUX!$A$3:$H$813,3,0)</f>
        <v>MAT.</v>
      </c>
      <c r="D1488" s="156" t="s">
        <v>1513</v>
      </c>
      <c r="E1488" s="154" t="n">
        <v>0.015</v>
      </c>
      <c r="F1488" s="149" t="n">
        <f aca="false">IF(C1488="MAT.",VLOOKUP(A1488,INSUMOS_AUX!$A$3:$H$813,6,0),0)</f>
        <v>20.74</v>
      </c>
      <c r="G1488" s="149" t="n">
        <f aca="false">IF(C1488="M.O.",VLOOKUP(A1488,INSUMOS_AUX!A:F,6,0),0)</f>
        <v>0</v>
      </c>
    </row>
    <row r="1489" customFormat="false" ht="15" hidden="false" customHeight="false" outlineLevel="0" collapsed="false">
      <c r="A1489" s="154" t="n">
        <v>40304</v>
      </c>
      <c r="B1489" s="155" t="s">
        <v>1626</v>
      </c>
      <c r="C1489" s="148" t="str">
        <f aca="false">VLOOKUP($A1489,INSUMOS_AUX!$A$3:$H$813,3,0)</f>
        <v>MAT.</v>
      </c>
      <c r="D1489" s="156" t="s">
        <v>1513</v>
      </c>
      <c r="E1489" s="154" t="n">
        <v>0.015</v>
      </c>
      <c r="F1489" s="149" t="n">
        <f aca="false">IF(C1489="MAT.",VLOOKUP(A1489,INSUMOS_AUX!$A$3:$H$813,6,0),0)</f>
        <v>25.11</v>
      </c>
      <c r="G1489" s="149" t="n">
        <f aca="false">IF(C1489="M.O.",VLOOKUP(A1489,INSUMOS_AUX!A:F,6,0),0)</f>
        <v>0</v>
      </c>
    </row>
    <row r="1490" customFormat="false" ht="21" hidden="false" customHeight="false" outlineLevel="0" collapsed="false">
      <c r="A1490" s="154" t="n">
        <v>4517</v>
      </c>
      <c r="B1490" s="155" t="s">
        <v>1582</v>
      </c>
      <c r="C1490" s="148" t="s">
        <v>59</v>
      </c>
      <c r="D1490" s="156" t="s">
        <v>1455</v>
      </c>
      <c r="E1490" s="154" t="n">
        <v>1.359</v>
      </c>
      <c r="F1490" s="149" t="n">
        <f aca="false">IF(C1490="MAT.",VLOOKUP(A1490,INSUMOS_AUX!$A$3:$H$813,6,0),0)</f>
        <v>0</v>
      </c>
      <c r="G1490" s="149" t="n">
        <f aca="false">IF(C1490="M.O.",VLOOKUP(A1490,INSUMOS_AUX!A:F,6,0),0)</f>
        <v>0</v>
      </c>
    </row>
    <row r="1491" customFormat="false" ht="15" hidden="false" customHeight="false" outlineLevel="0" collapsed="false">
      <c r="A1491" s="154" t="n">
        <v>6117</v>
      </c>
      <c r="B1491" s="155" t="s">
        <v>1555</v>
      </c>
      <c r="C1491" s="148" t="str">
        <f aca="false">VLOOKUP($A1491,INSUMOS_AUX!$A$3:$H$813,3,0)</f>
        <v>M.O.</v>
      </c>
      <c r="D1491" s="156" t="s">
        <v>1444</v>
      </c>
      <c r="E1491" s="154" t="n">
        <v>0.78440948</v>
      </c>
      <c r="F1491" s="149" t="n">
        <f aca="false">IF(C1491="MAT.",VLOOKUP(A1491,INSUMOS_AUX!$A$3:$H$813,6,0),0)</f>
        <v>0</v>
      </c>
      <c r="G1491" s="149" t="n">
        <f aca="false">IF(C1491="M.O.",VLOOKUP(A1491,INSUMOS_AUX!A:F,6,0),0)</f>
        <v>13.26</v>
      </c>
    </row>
    <row r="1492" customFormat="false" ht="15" hidden="false" customHeight="false" outlineLevel="0" collapsed="false">
      <c r="A1492" s="154" t="n">
        <v>1213</v>
      </c>
      <c r="B1492" s="155" t="s">
        <v>1516</v>
      </c>
      <c r="C1492" s="148" t="str">
        <f aca="false">VLOOKUP($A1492,INSUMOS_AUX!$A$3:$H$813,3,0)</f>
        <v>M.O.</v>
      </c>
      <c r="D1492" s="156" t="s">
        <v>1444</v>
      </c>
      <c r="E1492" s="154" t="n">
        <v>1.93102986</v>
      </c>
      <c r="F1492" s="149" t="n">
        <f aca="false">IF(C1492="MAT.",VLOOKUP(A1492,INSUMOS_AUX!$A$3:$H$813,6,0),0)</f>
        <v>0</v>
      </c>
      <c r="G1492" s="149" t="n">
        <f aca="false">IF(C1492="M.O.",VLOOKUP(A1492,INSUMOS_AUX!A:F,6,0),0)</f>
        <v>20.22</v>
      </c>
    </row>
    <row r="1493" customFormat="false" ht="21" hidden="false" customHeight="false" outlineLevel="0" collapsed="false">
      <c r="A1493" s="154" t="n">
        <v>4230</v>
      </c>
      <c r="B1493" s="155" t="s">
        <v>1597</v>
      </c>
      <c r="C1493" s="148" t="str">
        <f aca="false">VLOOKUP($A1493,INSUMOS_AUX!$A$3:$H$813,3,0)</f>
        <v>M.O.</v>
      </c>
      <c r="D1493" s="156" t="s">
        <v>1444</v>
      </c>
      <c r="E1493" s="154" t="n">
        <v>0.13352328</v>
      </c>
      <c r="F1493" s="149" t="n">
        <f aca="false">IF(C1493="MAT.",VLOOKUP(A1493,INSUMOS_AUX!$A$3:$H$813,6,0),0)</f>
        <v>0</v>
      </c>
      <c r="G1493" s="149" t="n">
        <f aca="false">IF(C1493="M.O.",VLOOKUP(A1493,INSUMOS_AUX!A:F,6,0),0)</f>
        <v>14.53</v>
      </c>
    </row>
    <row r="1494" customFormat="false" ht="21" hidden="false" customHeight="false" outlineLevel="0" collapsed="false">
      <c r="A1494" s="150" t="n">
        <v>104738</v>
      </c>
      <c r="B1494" s="151" t="s">
        <v>1722</v>
      </c>
      <c r="C1494" s="152" t="s">
        <v>59</v>
      </c>
      <c r="D1494" s="152" t="s">
        <v>1442</v>
      </c>
      <c r="E1494" s="150"/>
      <c r="F1494" s="153" t="n">
        <f aca="false">(SUMPRODUCT($E1495:$E1513,F1495:F1513))*1</f>
        <v>69.6992623958104</v>
      </c>
      <c r="G1494" s="153" t="n">
        <f aca="false">(SUMPRODUCT($E1495:$E1513,G1495:G1513))*1</f>
        <v>4.36239848964</v>
      </c>
    </row>
    <row r="1495" customFormat="false" ht="21" hidden="false" customHeight="false" outlineLevel="0" collapsed="false">
      <c r="A1495" s="154" t="n">
        <v>37370</v>
      </c>
      <c r="B1495" s="155" t="s">
        <v>1443</v>
      </c>
      <c r="C1495" s="148" t="str">
        <f aca="false">VLOOKUP($A1495,INSUMOS_AUX!$A$3:$H$813,3,0)</f>
        <v>MAT.</v>
      </c>
      <c r="D1495" s="156" t="s">
        <v>1444</v>
      </c>
      <c r="E1495" s="154" t="n">
        <v>0.4848</v>
      </c>
      <c r="F1495" s="149" t="n">
        <f aca="false">IF(C1495="MAT.",VLOOKUP(A1495,INSUMOS_AUX!$A$3:$H$813,6,0),0)</f>
        <v>3.32</v>
      </c>
      <c r="G1495" s="149" t="n">
        <f aca="false">IF(C1495="M.O.",VLOOKUP(A1495,INSUMOS_AUX!A:F,6,0),0)</f>
        <v>0</v>
      </c>
    </row>
    <row r="1496" customFormat="false" ht="21" hidden="false" customHeight="false" outlineLevel="0" collapsed="false">
      <c r="A1496" s="154" t="n">
        <v>43488</v>
      </c>
      <c r="B1496" s="155" t="s">
        <v>1445</v>
      </c>
      <c r="C1496" s="148" t="str">
        <f aca="false">VLOOKUP($A1496,INSUMOS_AUX!$A$3:$H$813,3,0)</f>
        <v>MAT.</v>
      </c>
      <c r="D1496" s="156" t="s">
        <v>1444</v>
      </c>
      <c r="E1496" s="154" t="n">
        <v>0.3836</v>
      </c>
      <c r="F1496" s="149" t="n">
        <f aca="false">IF(C1496="MAT.",VLOOKUP(A1496,INSUMOS_AUX!$A$3:$H$813,6,0),0)</f>
        <v>0.89</v>
      </c>
      <c r="G1496" s="149" t="n">
        <f aca="false">IF(C1496="M.O.",VLOOKUP(A1496,INSUMOS_AUX!A:F,6,0),0)</f>
        <v>0</v>
      </c>
    </row>
    <row r="1497" customFormat="false" ht="21" hidden="false" customHeight="false" outlineLevel="0" collapsed="false">
      <c r="A1497" s="154" t="n">
        <v>43491</v>
      </c>
      <c r="B1497" s="155" t="s">
        <v>1457</v>
      </c>
      <c r="C1497" s="148" t="str">
        <f aca="false">VLOOKUP($A1497,INSUMOS_AUX!$A$3:$H$813,3,0)</f>
        <v>MAT.</v>
      </c>
      <c r="D1497" s="156" t="s">
        <v>1444</v>
      </c>
      <c r="E1497" s="154" t="n">
        <v>0.1012</v>
      </c>
      <c r="F1497" s="149" t="n">
        <f aca="false">IF(C1497="MAT.",VLOOKUP(A1497,INSUMOS_AUX!$A$3:$H$813,6,0),0)</f>
        <v>1.39</v>
      </c>
      <c r="G1497" s="149" t="n">
        <f aca="false">IF(C1497="M.O.",VLOOKUP(A1497,INSUMOS_AUX!A:F,6,0),0)</f>
        <v>0</v>
      </c>
    </row>
    <row r="1498" customFormat="false" ht="21" hidden="false" customHeight="false" outlineLevel="0" collapsed="false">
      <c r="A1498" s="154" t="n">
        <v>37372</v>
      </c>
      <c r="B1498" s="155" t="s">
        <v>1446</v>
      </c>
      <c r="C1498" s="148" t="str">
        <f aca="false">VLOOKUP($A1498,INSUMOS_AUX!$A$3:$H$813,3,0)</f>
        <v>MAT.</v>
      </c>
      <c r="D1498" s="156" t="s">
        <v>1444</v>
      </c>
      <c r="E1498" s="154" t="n">
        <v>0.4848</v>
      </c>
      <c r="F1498" s="149" t="n">
        <f aca="false">IF(C1498="MAT.",VLOOKUP(A1498,INSUMOS_AUX!$A$3:$H$813,6,0),0)</f>
        <v>1.43</v>
      </c>
      <c r="G1498" s="149" t="n">
        <f aca="false">IF(C1498="M.O.",VLOOKUP(A1498,INSUMOS_AUX!A:F,6,0),0)</f>
        <v>0</v>
      </c>
    </row>
    <row r="1499" customFormat="false" ht="21" hidden="false" customHeight="false" outlineLevel="0" collapsed="false">
      <c r="A1499" s="154" t="n">
        <v>43464</v>
      </c>
      <c r="B1499" s="155" t="s">
        <v>1447</v>
      </c>
      <c r="C1499" s="148" t="str">
        <f aca="false">VLOOKUP($A1499,INSUMOS_AUX!$A$3:$H$813,3,0)</f>
        <v>MAT.</v>
      </c>
      <c r="D1499" s="156" t="s">
        <v>1444</v>
      </c>
      <c r="E1499" s="154" t="n">
        <v>0.3836</v>
      </c>
      <c r="F1499" s="149" t="n">
        <f aca="false">IF(C1499="MAT.",VLOOKUP(A1499,INSUMOS_AUX!$A$3:$H$813,6,0),0)</f>
        <v>0.01</v>
      </c>
      <c r="G1499" s="149" t="n">
        <f aca="false">IF(C1499="M.O.",VLOOKUP(A1499,INSUMOS_AUX!A:F,6,0),0)</f>
        <v>0</v>
      </c>
    </row>
    <row r="1500" customFormat="false" ht="21" hidden="false" customHeight="false" outlineLevel="0" collapsed="false">
      <c r="A1500" s="154" t="n">
        <v>43467</v>
      </c>
      <c r="B1500" s="155" t="s">
        <v>1459</v>
      </c>
      <c r="C1500" s="148" t="s">
        <v>59</v>
      </c>
      <c r="D1500" s="156" t="s">
        <v>1444</v>
      </c>
      <c r="E1500" s="154" t="n">
        <v>0.1012</v>
      </c>
      <c r="F1500" s="149" t="n">
        <f aca="false">IF(C1500="MAT.",VLOOKUP(A1500,INSUMOS_AUX!$A$3:$H$813,6,0),0)</f>
        <v>0</v>
      </c>
      <c r="G1500" s="149" t="n">
        <f aca="false">IF(C1500="M.O.",VLOOKUP(A1500,INSUMOS_AUX!A:F,6,0),0)</f>
        <v>0</v>
      </c>
    </row>
    <row r="1501" customFormat="false" ht="21" hidden="false" customHeight="false" outlineLevel="0" collapsed="false">
      <c r="A1501" s="154" t="n">
        <v>37373</v>
      </c>
      <c r="B1501" s="155" t="s">
        <v>1448</v>
      </c>
      <c r="C1501" s="148" t="str">
        <f aca="false">VLOOKUP($A1501,INSUMOS_AUX!$A$3:$H$813,3,0)</f>
        <v>MAT.</v>
      </c>
      <c r="D1501" s="156" t="s">
        <v>1444</v>
      </c>
      <c r="E1501" s="154" t="n">
        <v>0.4848</v>
      </c>
      <c r="F1501" s="149" t="n">
        <f aca="false">IF(C1501="MAT.",VLOOKUP(A1501,INSUMOS_AUX!$A$3:$H$813,6,0),0)</f>
        <v>0.08</v>
      </c>
      <c r="G1501" s="149" t="n">
        <f aca="false">IF(C1501="M.O.",VLOOKUP(A1501,INSUMOS_AUX!A:F,6,0),0)</f>
        <v>0</v>
      </c>
    </row>
    <row r="1502" customFormat="false" ht="21" hidden="false" customHeight="false" outlineLevel="0" collapsed="false">
      <c r="A1502" s="154" t="n">
        <v>37371</v>
      </c>
      <c r="B1502" s="155" t="s">
        <v>1449</v>
      </c>
      <c r="C1502" s="148" t="str">
        <f aca="false">VLOOKUP($A1502,INSUMOS_AUX!$A$3:$H$813,3,0)</f>
        <v>MAT.</v>
      </c>
      <c r="D1502" s="156" t="s">
        <v>1444</v>
      </c>
      <c r="E1502" s="154" t="n">
        <v>0.4848</v>
      </c>
      <c r="F1502" s="149" t="n">
        <f aca="false">IF(C1502="MAT.",VLOOKUP(A1502,INSUMOS_AUX!$A$3:$H$813,6,0),0)</f>
        <v>0.59</v>
      </c>
      <c r="G1502" s="149" t="n">
        <f aca="false">IF(C1502="M.O.",VLOOKUP(A1502,INSUMOS_AUX!A:F,6,0),0)</f>
        <v>0</v>
      </c>
    </row>
    <row r="1503" customFormat="false" ht="31.5" hidden="false" customHeight="false" outlineLevel="0" collapsed="false">
      <c r="A1503" s="154" t="n">
        <v>37758</v>
      </c>
      <c r="B1503" s="155" t="s">
        <v>1472</v>
      </c>
      <c r="C1503" s="148" t="str">
        <f aca="false">VLOOKUP($A1503,INSUMOS_AUX!$A$3:$H$813,3,0)</f>
        <v>MAT.</v>
      </c>
      <c r="D1503" s="156" t="s">
        <v>31</v>
      </c>
      <c r="E1503" s="154" t="n">
        <v>6.7182E-007</v>
      </c>
      <c r="F1503" s="149" t="n">
        <f aca="false">IF(C1503="MAT.",VLOOKUP(A1503,INSUMOS_AUX!$A$3:$H$813,6,0),0)</f>
        <v>728477.1</v>
      </c>
      <c r="G1503" s="149" t="n">
        <f aca="false">IF(C1503="M.O.",VLOOKUP(A1503,INSUMOS_AUX!A:F,6,0),0)</f>
        <v>0</v>
      </c>
    </row>
    <row r="1504" customFormat="false" ht="21" hidden="false" customHeight="false" outlineLevel="0" collapsed="false">
      <c r="A1504" s="154" t="n">
        <v>13458</v>
      </c>
      <c r="B1504" s="155" t="s">
        <v>1723</v>
      </c>
      <c r="C1504" s="148" t="str">
        <f aca="false">VLOOKUP($A1504,INSUMOS_AUX!$A$3:$H$813,3,0)</f>
        <v>MAT.</v>
      </c>
      <c r="D1504" s="156" t="s">
        <v>31</v>
      </c>
      <c r="E1504" s="154" t="n">
        <v>2.634966E-005</v>
      </c>
      <c r="F1504" s="149" t="n">
        <f aca="false">IF(C1504="MAT.",VLOOKUP(A1504,INSUMOS_AUX!$A$3:$H$813,6,0),0)</f>
        <v>15839.74</v>
      </c>
      <c r="G1504" s="149" t="n">
        <f aca="false">IF(C1504="M.O.",VLOOKUP(A1504,INSUMOS_AUX!A:F,6,0),0)</f>
        <v>0</v>
      </c>
    </row>
    <row r="1505" customFormat="false" ht="21" hidden="false" customHeight="false" outlineLevel="0" collapsed="false">
      <c r="A1505" s="154" t="n">
        <v>37514</v>
      </c>
      <c r="B1505" s="155" t="s">
        <v>1724</v>
      </c>
      <c r="C1505" s="148" t="str">
        <f aca="false">VLOOKUP($A1505,INSUMOS_AUX!$A$3:$H$813,3,0)</f>
        <v>MAT.</v>
      </c>
      <c r="D1505" s="156" t="s">
        <v>31</v>
      </c>
      <c r="E1505" s="154" t="n">
        <v>2.479812E-005</v>
      </c>
      <c r="F1505" s="149" t="n">
        <f aca="false">IF(C1505="MAT.",VLOOKUP(A1505,INSUMOS_AUX!$A$3:$H$813,6,0),0)</f>
        <v>332500</v>
      </c>
      <c r="G1505" s="149" t="n">
        <f aca="false">IF(C1505="M.O.",VLOOKUP(A1505,INSUMOS_AUX!A:F,6,0),0)</f>
        <v>0</v>
      </c>
    </row>
    <row r="1506" customFormat="false" ht="42" hidden="false" customHeight="false" outlineLevel="0" collapsed="false">
      <c r="A1506" s="154" t="n">
        <v>37736</v>
      </c>
      <c r="B1506" s="155" t="s">
        <v>1501</v>
      </c>
      <c r="C1506" s="148" t="str">
        <f aca="false">VLOOKUP($A1506,INSUMOS_AUX!$A$3:$H$813,3,0)</f>
        <v>MAT.</v>
      </c>
      <c r="D1506" s="156" t="s">
        <v>31</v>
      </c>
      <c r="E1506" s="154" t="n">
        <v>8.2386E-007</v>
      </c>
      <c r="F1506" s="149" t="n">
        <f aca="false">IF(C1506="MAT.",VLOOKUP(A1506,INSUMOS_AUX!$A$3:$H$813,6,0),0)</f>
        <v>85950</v>
      </c>
      <c r="G1506" s="149" t="n">
        <f aca="false">IF(C1506="M.O.",VLOOKUP(A1506,INSUMOS_AUX!A:F,6,0),0)</f>
        <v>0</v>
      </c>
    </row>
    <row r="1507" customFormat="false" ht="21" hidden="false" customHeight="false" outlineLevel="0" collapsed="false">
      <c r="A1507" s="154" t="n">
        <v>6079</v>
      </c>
      <c r="B1507" s="155" t="s">
        <v>1725</v>
      </c>
      <c r="C1507" s="148" t="str">
        <f aca="false">VLOOKUP($A1507,INSUMOS_AUX!$A$3:$H$813,3,0)</f>
        <v>MAT.</v>
      </c>
      <c r="D1507" s="156" t="s">
        <v>1442</v>
      </c>
      <c r="E1507" s="154" t="n">
        <v>1.3889</v>
      </c>
      <c r="F1507" s="149" t="n">
        <f aca="false">IF(C1507="MAT.",VLOOKUP(A1507,INSUMOS_AUX!$A$3:$H$813,6,0),0)</f>
        <v>37.35</v>
      </c>
      <c r="G1507" s="149" t="n">
        <f aca="false">IF(C1507="M.O.",VLOOKUP(A1507,INSUMOS_AUX!A:F,6,0),0)</f>
        <v>0</v>
      </c>
    </row>
    <row r="1508" customFormat="false" ht="15" hidden="false" customHeight="false" outlineLevel="0" collapsed="false">
      <c r="A1508" s="154" t="n">
        <v>4222</v>
      </c>
      <c r="B1508" s="155" t="s">
        <v>1572</v>
      </c>
      <c r="C1508" s="148" t="str">
        <f aca="false">VLOOKUP($A1508,INSUMOS_AUX!$A$3:$H$813,3,0)</f>
        <v>MAT.</v>
      </c>
      <c r="D1508" s="156" t="s">
        <v>1452</v>
      </c>
      <c r="E1508" s="154" t="n">
        <v>0.202086</v>
      </c>
      <c r="F1508" s="149" t="n">
        <f aca="false">IF(C1508="MAT.",VLOOKUP(A1508,INSUMOS_AUX!$A$3:$H$813,6,0),0)</f>
        <v>6.4</v>
      </c>
      <c r="G1508" s="149" t="n">
        <f aca="false">IF(C1508="M.O.",VLOOKUP(A1508,INSUMOS_AUX!A:F,6,0),0)</f>
        <v>0</v>
      </c>
    </row>
    <row r="1509" customFormat="false" ht="15" hidden="false" customHeight="false" outlineLevel="0" collapsed="false">
      <c r="A1509" s="154" t="n">
        <v>4221</v>
      </c>
      <c r="B1509" s="155" t="s">
        <v>1451</v>
      </c>
      <c r="C1509" s="148" t="str">
        <f aca="false">VLOOKUP($A1509,INSUMOS_AUX!$A$3:$H$813,3,0)</f>
        <v>MAT.</v>
      </c>
      <c r="D1509" s="156" t="s">
        <v>1452</v>
      </c>
      <c r="E1509" s="154" t="n">
        <v>0.667836</v>
      </c>
      <c r="F1509" s="149" t="n">
        <f aca="false">IF(C1509="MAT.",VLOOKUP(A1509,INSUMOS_AUX!$A$3:$H$813,6,0),0)</f>
        <v>6.28</v>
      </c>
      <c r="G1509" s="149" t="n">
        <f aca="false">IF(C1509="M.O.",VLOOKUP(A1509,INSUMOS_AUX!A:F,6,0),0)</f>
        <v>0</v>
      </c>
    </row>
    <row r="1510" customFormat="false" ht="15" hidden="false" customHeight="false" outlineLevel="0" collapsed="false">
      <c r="A1510" s="154" t="n">
        <v>4093</v>
      </c>
      <c r="B1510" s="155" t="s">
        <v>1502</v>
      </c>
      <c r="C1510" s="148" t="str">
        <f aca="false">VLOOKUP($A1510,INSUMOS_AUX!$A$3:$H$813,3,0)</f>
        <v>M.O.</v>
      </c>
      <c r="D1510" s="156" t="s">
        <v>1444</v>
      </c>
      <c r="E1510" s="154" t="n">
        <v>0.00603054</v>
      </c>
      <c r="F1510" s="149" t="n">
        <f aca="false">IF(C1510="MAT.",VLOOKUP(A1510,INSUMOS_AUX!$A$3:$H$813,6,0),0)</f>
        <v>0</v>
      </c>
      <c r="G1510" s="149" t="n">
        <f aca="false">IF(C1510="M.O.",VLOOKUP(A1510,INSUMOS_AUX!A:F,6,0),0)</f>
        <v>23.28</v>
      </c>
    </row>
    <row r="1511" customFormat="false" ht="21" hidden="false" customHeight="false" outlineLevel="0" collapsed="false">
      <c r="A1511" s="154" t="n">
        <v>4230</v>
      </c>
      <c r="B1511" s="155" t="s">
        <v>1597</v>
      </c>
      <c r="C1511" s="148" t="str">
        <f aca="false">VLOOKUP($A1511,INSUMOS_AUX!$A$3:$H$813,3,0)</f>
        <v>M.O.</v>
      </c>
      <c r="D1511" s="156" t="s">
        <v>1444</v>
      </c>
      <c r="E1511" s="154" t="n">
        <v>0.198464148</v>
      </c>
      <c r="F1511" s="149" t="n">
        <f aca="false">IF(C1511="MAT.",VLOOKUP(A1511,INSUMOS_AUX!$A$3:$H$813,6,0),0)</f>
        <v>0</v>
      </c>
      <c r="G1511" s="149" t="n">
        <f aca="false">IF(C1511="M.O.",VLOOKUP(A1511,INSUMOS_AUX!A:F,6,0),0)</f>
        <v>14.53</v>
      </c>
    </row>
    <row r="1512" customFormat="false" ht="15" hidden="false" customHeight="false" outlineLevel="0" collapsed="false">
      <c r="A1512" s="154" t="n">
        <v>4248</v>
      </c>
      <c r="B1512" s="155" t="s">
        <v>1453</v>
      </c>
      <c r="C1512" s="148" t="s">
        <v>59</v>
      </c>
      <c r="D1512" s="156" t="s">
        <v>1444</v>
      </c>
      <c r="E1512" s="154" t="n">
        <v>0.182907434</v>
      </c>
      <c r="F1512" s="149" t="n">
        <f aca="false">IF(C1512="MAT.",VLOOKUP(A1512,INSUMOS_AUX!$A$3:$H$813,6,0),0)</f>
        <v>0</v>
      </c>
      <c r="G1512" s="149" t="n">
        <f aca="false">IF(C1512="M.O.",VLOOKUP(A1512,INSUMOS_AUX!A:F,6,0),0)</f>
        <v>0</v>
      </c>
    </row>
    <row r="1513" customFormat="false" ht="15" hidden="false" customHeight="false" outlineLevel="0" collapsed="false">
      <c r="A1513" s="154" t="n">
        <v>6111</v>
      </c>
      <c r="B1513" s="155" t="s">
        <v>1464</v>
      </c>
      <c r="C1513" s="148" t="str">
        <f aca="false">VLOOKUP($A1513,INSUMOS_AUX!$A$3:$H$813,3,0)</f>
        <v>M.O.</v>
      </c>
      <c r="D1513" s="156" t="s">
        <v>1444</v>
      </c>
      <c r="E1513" s="154" t="n">
        <v>0.10334544</v>
      </c>
      <c r="F1513" s="149" t="n">
        <f aca="false">IF(C1513="MAT.",VLOOKUP(A1513,INSUMOS_AUX!$A$3:$H$813,6,0),0)</f>
        <v>0</v>
      </c>
      <c r="G1513" s="149" t="n">
        <f aca="false">IF(C1513="M.O.",VLOOKUP(A1513,INSUMOS_AUX!A:F,6,0),0)</f>
        <v>12.95</v>
      </c>
    </row>
    <row r="1514" customFormat="false" ht="21" hidden="false" customHeight="false" outlineLevel="0" collapsed="false">
      <c r="A1514" s="150" t="n">
        <v>96523</v>
      </c>
      <c r="B1514" s="151" t="s">
        <v>1726</v>
      </c>
      <c r="C1514" s="152" t="s">
        <v>59</v>
      </c>
      <c r="D1514" s="152" t="s">
        <v>1442</v>
      </c>
      <c r="E1514" s="150"/>
      <c r="F1514" s="153" t="n">
        <f aca="false">(SUMPRODUCT($E1515:$E1524,F1515:F1524))*1</f>
        <v>30.44958</v>
      </c>
      <c r="G1514" s="153" t="n">
        <f aca="false">(SUMPRODUCT($E1515:$E1524,G1515:G1524))*1</f>
        <v>61.286521464</v>
      </c>
    </row>
    <row r="1515" customFormat="false" ht="21" hidden="false" customHeight="false" outlineLevel="0" collapsed="false">
      <c r="A1515" s="154" t="n">
        <v>37370</v>
      </c>
      <c r="B1515" s="155" t="s">
        <v>1443</v>
      </c>
      <c r="C1515" s="148" t="str">
        <f aca="false">VLOOKUP($A1515,INSUMOS_AUX!$A$3:$H$813,3,0)</f>
        <v>MAT.</v>
      </c>
      <c r="D1515" s="156" t="s">
        <v>1444</v>
      </c>
      <c r="E1515" s="154" t="n">
        <v>4.092</v>
      </c>
      <c r="F1515" s="149" t="n">
        <f aca="false">IF(C1515="MAT.",VLOOKUP(A1515,INSUMOS_AUX!$A$3:$H$813,6,0),0)</f>
        <v>3.32</v>
      </c>
      <c r="G1515" s="149" t="n">
        <f aca="false">IF(C1515="M.O.",VLOOKUP(A1515,INSUMOS_AUX!A:F,6,0),0)</f>
        <v>0</v>
      </c>
    </row>
    <row r="1516" customFormat="false" ht="21" hidden="false" customHeight="false" outlineLevel="0" collapsed="false">
      <c r="A1516" s="154" t="n">
        <v>43489</v>
      </c>
      <c r="B1516" s="155" t="s">
        <v>1456</v>
      </c>
      <c r="C1516" s="148" t="str">
        <f aca="false">VLOOKUP($A1516,INSUMOS_AUX!$A$3:$H$813,3,0)</f>
        <v>MAT.</v>
      </c>
      <c r="D1516" s="156" t="s">
        <v>1444</v>
      </c>
      <c r="E1516" s="154" t="n">
        <v>0.966</v>
      </c>
      <c r="F1516" s="149" t="n">
        <f aca="false">IF(C1516="MAT.",VLOOKUP(A1516,INSUMOS_AUX!$A$3:$H$813,6,0),0)</f>
        <v>1.31</v>
      </c>
      <c r="G1516" s="149" t="n">
        <f aca="false">IF(C1516="M.O.",VLOOKUP(A1516,INSUMOS_AUX!A:F,6,0),0)</f>
        <v>0</v>
      </c>
    </row>
    <row r="1517" customFormat="false" ht="21" hidden="false" customHeight="false" outlineLevel="0" collapsed="false">
      <c r="A1517" s="154" t="n">
        <v>43491</v>
      </c>
      <c r="B1517" s="155" t="s">
        <v>1457</v>
      </c>
      <c r="C1517" s="148" t="str">
        <f aca="false">VLOOKUP($A1517,INSUMOS_AUX!$A$3:$H$813,3,0)</f>
        <v>MAT.</v>
      </c>
      <c r="D1517" s="156" t="s">
        <v>1444</v>
      </c>
      <c r="E1517" s="154" t="n">
        <v>3.126</v>
      </c>
      <c r="F1517" s="149" t="n">
        <f aca="false">IF(C1517="MAT.",VLOOKUP(A1517,INSUMOS_AUX!$A$3:$H$813,6,0),0)</f>
        <v>1.39</v>
      </c>
      <c r="G1517" s="149" t="n">
        <f aca="false">IF(C1517="M.O.",VLOOKUP(A1517,INSUMOS_AUX!A:F,6,0),0)</f>
        <v>0</v>
      </c>
    </row>
    <row r="1518" customFormat="false" ht="21" hidden="false" customHeight="false" outlineLevel="0" collapsed="false">
      <c r="A1518" s="154" t="n">
        <v>37372</v>
      </c>
      <c r="B1518" s="155" t="s">
        <v>1446</v>
      </c>
      <c r="C1518" s="148" t="str">
        <f aca="false">VLOOKUP($A1518,INSUMOS_AUX!$A$3:$H$813,3,0)</f>
        <v>MAT.</v>
      </c>
      <c r="D1518" s="156" t="s">
        <v>1444</v>
      </c>
      <c r="E1518" s="154" t="n">
        <v>4.092</v>
      </c>
      <c r="F1518" s="149" t="n">
        <f aca="false">IF(C1518="MAT.",VLOOKUP(A1518,INSUMOS_AUX!$A$3:$H$813,6,0),0)</f>
        <v>1.43</v>
      </c>
      <c r="G1518" s="149" t="n">
        <f aca="false">IF(C1518="M.O.",VLOOKUP(A1518,INSUMOS_AUX!A:F,6,0),0)</f>
        <v>0</v>
      </c>
    </row>
    <row r="1519" customFormat="false" ht="21" hidden="false" customHeight="false" outlineLevel="0" collapsed="false">
      <c r="A1519" s="154" t="n">
        <v>43465</v>
      </c>
      <c r="B1519" s="155" t="s">
        <v>1458</v>
      </c>
      <c r="C1519" s="148" t="str">
        <f aca="false">VLOOKUP($A1519,INSUMOS_AUX!$A$3:$H$813,3,0)</f>
        <v>MAT.</v>
      </c>
      <c r="D1519" s="156" t="s">
        <v>1444</v>
      </c>
      <c r="E1519" s="154" t="n">
        <v>0.966</v>
      </c>
      <c r="F1519" s="149" t="n">
        <f aca="false">IF(C1519="MAT.",VLOOKUP(A1519,INSUMOS_AUX!$A$3:$H$813,6,0),0)</f>
        <v>0.78</v>
      </c>
      <c r="G1519" s="149" t="n">
        <f aca="false">IF(C1519="M.O.",VLOOKUP(A1519,INSUMOS_AUX!A:F,6,0),0)</f>
        <v>0</v>
      </c>
    </row>
    <row r="1520" customFormat="false" ht="21" hidden="false" customHeight="false" outlineLevel="0" collapsed="false">
      <c r="A1520" s="154" t="n">
        <v>43467</v>
      </c>
      <c r="B1520" s="155" t="s">
        <v>1459</v>
      </c>
      <c r="C1520" s="148" t="str">
        <f aca="false">VLOOKUP($A1520,INSUMOS_AUX!$A$3:$H$813,3,0)</f>
        <v>MAT.</v>
      </c>
      <c r="D1520" s="156" t="s">
        <v>1444</v>
      </c>
      <c r="E1520" s="154" t="n">
        <v>3.126</v>
      </c>
      <c r="F1520" s="149" t="n">
        <f aca="false">IF(C1520="MAT.",VLOOKUP(A1520,INSUMOS_AUX!$A$3:$H$813,6,0),0)</f>
        <v>0.61</v>
      </c>
      <c r="G1520" s="149" t="n">
        <f aca="false">IF(C1520="M.O.",VLOOKUP(A1520,INSUMOS_AUX!A:F,6,0),0)</f>
        <v>0</v>
      </c>
    </row>
    <row r="1521" customFormat="false" ht="21" hidden="false" customHeight="false" outlineLevel="0" collapsed="false">
      <c r="A1521" s="154" t="n">
        <v>37373</v>
      </c>
      <c r="B1521" s="155" t="s">
        <v>1448</v>
      </c>
      <c r="C1521" s="148" t="str">
        <f aca="false">VLOOKUP($A1521,INSUMOS_AUX!$A$3:$H$813,3,0)</f>
        <v>MAT.</v>
      </c>
      <c r="D1521" s="156" t="s">
        <v>1444</v>
      </c>
      <c r="E1521" s="154" t="n">
        <v>4.092</v>
      </c>
      <c r="F1521" s="149" t="n">
        <f aca="false">IF(C1521="MAT.",VLOOKUP(A1521,INSUMOS_AUX!$A$3:$H$813,6,0),0)</f>
        <v>0.08</v>
      </c>
      <c r="G1521" s="149" t="n">
        <f aca="false">IF(C1521="M.O.",VLOOKUP(A1521,INSUMOS_AUX!A:F,6,0),0)</f>
        <v>0</v>
      </c>
    </row>
    <row r="1522" customFormat="false" ht="21" hidden="false" customHeight="false" outlineLevel="0" collapsed="false">
      <c r="A1522" s="154" t="n">
        <v>37371</v>
      </c>
      <c r="B1522" s="155" t="s">
        <v>1449</v>
      </c>
      <c r="C1522" s="148" t="str">
        <f aca="false">VLOOKUP($A1522,INSUMOS_AUX!$A$3:$H$813,3,0)</f>
        <v>MAT.</v>
      </c>
      <c r="D1522" s="156" t="s">
        <v>1444</v>
      </c>
      <c r="E1522" s="154" t="n">
        <v>4.092</v>
      </c>
      <c r="F1522" s="149" t="n">
        <f aca="false">IF(C1522="MAT.",VLOOKUP(A1522,INSUMOS_AUX!$A$3:$H$813,6,0),0)</f>
        <v>0.59</v>
      </c>
      <c r="G1522" s="149" t="n">
        <f aca="false">IF(C1522="M.O.",VLOOKUP(A1522,INSUMOS_AUX!A:F,6,0),0)</f>
        <v>0</v>
      </c>
    </row>
    <row r="1523" customFormat="false" ht="15" hidden="false" customHeight="false" outlineLevel="0" collapsed="false">
      <c r="A1523" s="154" t="n">
        <v>4750</v>
      </c>
      <c r="B1523" s="155" t="s">
        <v>1463</v>
      </c>
      <c r="C1523" s="148" t="str">
        <f aca="false">VLOOKUP($A1523,INSUMOS_AUX!$A$3:$H$813,3,0)</f>
        <v>M.O.</v>
      </c>
      <c r="D1523" s="156" t="s">
        <v>1444</v>
      </c>
      <c r="E1523" s="154" t="n">
        <v>0.9864792</v>
      </c>
      <c r="F1523" s="149" t="n">
        <f aca="false">IF(C1523="MAT.",VLOOKUP(A1523,INSUMOS_AUX!$A$3:$H$813,6,0),0)</f>
        <v>0</v>
      </c>
      <c r="G1523" s="149" t="n">
        <f aca="false">IF(C1523="M.O.",VLOOKUP(A1523,INSUMOS_AUX!A:F,6,0),0)</f>
        <v>20.22</v>
      </c>
    </row>
    <row r="1524" customFormat="false" ht="15" hidden="false" customHeight="false" outlineLevel="0" collapsed="false">
      <c r="A1524" s="154" t="n">
        <v>6111</v>
      </c>
      <c r="B1524" s="155" t="s">
        <v>1464</v>
      </c>
      <c r="C1524" s="148" t="str">
        <f aca="false">VLOOKUP($A1524,INSUMOS_AUX!$A$3:$H$813,3,0)</f>
        <v>M.O.</v>
      </c>
      <c r="D1524" s="156" t="s">
        <v>1444</v>
      </c>
      <c r="E1524" s="154" t="n">
        <v>3.1922712</v>
      </c>
      <c r="F1524" s="149" t="n">
        <f aca="false">IF(C1524="MAT.",VLOOKUP(A1524,INSUMOS_AUX!$A$3:$H$813,6,0),0)</f>
        <v>0</v>
      </c>
      <c r="G1524" s="149" t="n">
        <f aca="false">IF(C1524="M.O.",VLOOKUP(A1524,INSUMOS_AUX!A:F,6,0),0)</f>
        <v>12.95</v>
      </c>
    </row>
    <row r="1525" customFormat="false" ht="21" hidden="false" customHeight="false" outlineLevel="0" collapsed="false">
      <c r="A1525" s="150" t="n">
        <v>96546</v>
      </c>
      <c r="B1525" s="151" t="s">
        <v>1727</v>
      </c>
      <c r="C1525" s="152" t="s">
        <v>59</v>
      </c>
      <c r="D1525" s="152" t="s">
        <v>1513</v>
      </c>
      <c r="E1525" s="150"/>
      <c r="F1525" s="153" t="n">
        <f aca="false">(SUMPRODUCT($E1526:$E1536,F1526:F1536))*1</f>
        <v>10.043538</v>
      </c>
      <c r="G1525" s="153" t="n">
        <f aca="false">(SUMPRODUCT($E1526:$E1536,G1526:G1536))*1</f>
        <v>3.1615278084</v>
      </c>
    </row>
    <row r="1526" customFormat="false" ht="21" hidden="false" customHeight="false" outlineLevel="0" collapsed="false">
      <c r="A1526" s="154" t="n">
        <v>37370</v>
      </c>
      <c r="B1526" s="155" t="s">
        <v>1443</v>
      </c>
      <c r="C1526" s="148" t="s">
        <v>59</v>
      </c>
      <c r="D1526" s="156" t="s">
        <v>1444</v>
      </c>
      <c r="E1526" s="154" t="n">
        <v>0.1702</v>
      </c>
      <c r="F1526" s="149" t="n">
        <f aca="false">IF(C1526="MAT.",VLOOKUP(A1526,INSUMOS_AUX!$A$3:$H$813,6,0),0)</f>
        <v>0</v>
      </c>
      <c r="G1526" s="149" t="n">
        <f aca="false">IF(C1526="M.O.",VLOOKUP(A1526,INSUMOS_AUX!A:F,6,0),0)</f>
        <v>0</v>
      </c>
    </row>
    <row r="1527" customFormat="false" ht="21" hidden="false" customHeight="false" outlineLevel="0" collapsed="false">
      <c r="A1527" s="154" t="n">
        <v>43489</v>
      </c>
      <c r="B1527" s="155" t="s">
        <v>1456</v>
      </c>
      <c r="C1527" s="148" t="str">
        <f aca="false">VLOOKUP($A1527,INSUMOS_AUX!$A$3:$H$813,3,0)</f>
        <v>MAT.</v>
      </c>
      <c r="D1527" s="156" t="s">
        <v>1444</v>
      </c>
      <c r="E1527" s="154" t="n">
        <v>0.1702</v>
      </c>
      <c r="F1527" s="149" t="n">
        <f aca="false">IF(C1527="MAT.",VLOOKUP(A1527,INSUMOS_AUX!$A$3:$H$813,6,0),0)</f>
        <v>1.31</v>
      </c>
      <c r="G1527" s="149" t="n">
        <f aca="false">IF(C1527="M.O.",VLOOKUP(A1527,INSUMOS_AUX!A:F,6,0),0)</f>
        <v>0</v>
      </c>
    </row>
    <row r="1528" customFormat="false" ht="21" hidden="false" customHeight="false" outlineLevel="0" collapsed="false">
      <c r="A1528" s="154" t="n">
        <v>37372</v>
      </c>
      <c r="B1528" s="155" t="s">
        <v>1446</v>
      </c>
      <c r="C1528" s="148" t="str">
        <f aca="false">VLOOKUP($A1528,INSUMOS_AUX!$A$3:$H$813,3,0)</f>
        <v>MAT.</v>
      </c>
      <c r="D1528" s="156" t="s">
        <v>1444</v>
      </c>
      <c r="E1528" s="154" t="n">
        <v>0.1702</v>
      </c>
      <c r="F1528" s="149" t="n">
        <f aca="false">IF(C1528="MAT.",VLOOKUP(A1528,INSUMOS_AUX!$A$3:$H$813,6,0),0)</f>
        <v>1.43</v>
      </c>
      <c r="G1528" s="149" t="n">
        <f aca="false">IF(C1528="M.O.",VLOOKUP(A1528,INSUMOS_AUX!A:F,6,0),0)</f>
        <v>0</v>
      </c>
    </row>
    <row r="1529" customFormat="false" ht="21" hidden="false" customHeight="false" outlineLevel="0" collapsed="false">
      <c r="A1529" s="154" t="n">
        <v>43465</v>
      </c>
      <c r="B1529" s="155" t="s">
        <v>1458</v>
      </c>
      <c r="C1529" s="148" t="str">
        <f aca="false">VLOOKUP($A1529,INSUMOS_AUX!$A$3:$H$813,3,0)</f>
        <v>MAT.</v>
      </c>
      <c r="D1529" s="156" t="s">
        <v>1444</v>
      </c>
      <c r="E1529" s="154" t="n">
        <v>0.1702</v>
      </c>
      <c r="F1529" s="149" t="n">
        <f aca="false">IF(C1529="MAT.",VLOOKUP(A1529,INSUMOS_AUX!$A$3:$H$813,6,0),0)</f>
        <v>0.78</v>
      </c>
      <c r="G1529" s="149" t="n">
        <f aca="false">IF(C1529="M.O.",VLOOKUP(A1529,INSUMOS_AUX!A:F,6,0),0)</f>
        <v>0</v>
      </c>
    </row>
    <row r="1530" customFormat="false" ht="21" hidden="false" customHeight="false" outlineLevel="0" collapsed="false">
      <c r="A1530" s="154" t="n">
        <v>37373</v>
      </c>
      <c r="B1530" s="155" t="s">
        <v>1448</v>
      </c>
      <c r="C1530" s="148" t="str">
        <f aca="false">VLOOKUP($A1530,INSUMOS_AUX!$A$3:$H$813,3,0)</f>
        <v>MAT.</v>
      </c>
      <c r="D1530" s="156" t="s">
        <v>1444</v>
      </c>
      <c r="E1530" s="154" t="n">
        <v>0.1702</v>
      </c>
      <c r="F1530" s="149" t="n">
        <f aca="false">IF(C1530="MAT.",VLOOKUP(A1530,INSUMOS_AUX!$A$3:$H$813,6,0),0)</f>
        <v>0.08</v>
      </c>
      <c r="G1530" s="149" t="n">
        <f aca="false">IF(C1530="M.O.",VLOOKUP(A1530,INSUMOS_AUX!A:F,6,0),0)</f>
        <v>0</v>
      </c>
    </row>
    <row r="1531" customFormat="false" ht="21" hidden="false" customHeight="false" outlineLevel="0" collapsed="false">
      <c r="A1531" s="154" t="n">
        <v>37371</v>
      </c>
      <c r="B1531" s="155" t="s">
        <v>1449</v>
      </c>
      <c r="C1531" s="148" t="str">
        <f aca="false">VLOOKUP($A1531,INSUMOS_AUX!$A$3:$H$813,3,0)</f>
        <v>MAT.</v>
      </c>
      <c r="D1531" s="156" t="s">
        <v>1444</v>
      </c>
      <c r="E1531" s="154" t="n">
        <v>0.1702</v>
      </c>
      <c r="F1531" s="149" t="n">
        <f aca="false">IF(C1531="MAT.",VLOOKUP(A1531,INSUMOS_AUX!$A$3:$H$813,6,0),0)</f>
        <v>0.59</v>
      </c>
      <c r="G1531" s="149" t="n">
        <f aca="false">IF(C1531="M.O.",VLOOKUP(A1531,INSUMOS_AUX!A:F,6,0),0)</f>
        <v>0</v>
      </c>
    </row>
    <row r="1532" customFormat="false" ht="15" hidden="false" customHeight="false" outlineLevel="0" collapsed="false">
      <c r="A1532" s="154" t="n">
        <v>34</v>
      </c>
      <c r="B1532" s="155" t="s">
        <v>1645</v>
      </c>
      <c r="C1532" s="148" t="str">
        <f aca="false">VLOOKUP($A1532,INSUMOS_AUX!$A$3:$H$813,3,0)</f>
        <v>MAT.</v>
      </c>
      <c r="D1532" s="156" t="s">
        <v>1513</v>
      </c>
      <c r="E1532" s="154" t="n">
        <v>1.11</v>
      </c>
      <c r="F1532" s="149" t="n">
        <f aca="false">IF(C1532="MAT.",VLOOKUP(A1532,INSUMOS_AUX!$A$3:$H$813,6,0),0)</f>
        <v>7.68</v>
      </c>
      <c r="G1532" s="149" t="n">
        <f aca="false">IF(C1532="M.O.",VLOOKUP(A1532,INSUMOS_AUX!A:F,6,0),0)</f>
        <v>0</v>
      </c>
    </row>
    <row r="1533" customFormat="false" ht="21" hidden="false" customHeight="false" outlineLevel="0" collapsed="false">
      <c r="A1533" s="154" t="n">
        <v>43132</v>
      </c>
      <c r="B1533" s="155" t="s">
        <v>1565</v>
      </c>
      <c r="C1533" s="148" t="str">
        <f aca="false">VLOOKUP($A1533,INSUMOS_AUX!$A$3:$H$813,3,0)</f>
        <v>MAT.</v>
      </c>
      <c r="D1533" s="156" t="s">
        <v>1513</v>
      </c>
      <c r="E1533" s="154" t="n">
        <v>0.025</v>
      </c>
      <c r="F1533" s="149" t="n">
        <f aca="false">IF(C1533="MAT.",VLOOKUP(A1533,INSUMOS_AUX!$A$3:$H$813,6,0),0)</f>
        <v>28</v>
      </c>
      <c r="G1533" s="149" t="n">
        <f aca="false">IF(C1533="M.O.",VLOOKUP(A1533,INSUMOS_AUX!A:F,6,0),0)</f>
        <v>0</v>
      </c>
    </row>
    <row r="1534" customFormat="false" ht="21" hidden="false" customHeight="false" outlineLevel="0" collapsed="false">
      <c r="A1534" s="154" t="n">
        <v>39017</v>
      </c>
      <c r="B1534" s="155" t="s">
        <v>1621</v>
      </c>
      <c r="C1534" s="148" t="str">
        <f aca="false">VLOOKUP($A1534,INSUMOS_AUX!$A$3:$H$813,3,0)</f>
        <v>MAT.</v>
      </c>
      <c r="D1534" s="156" t="s">
        <v>31</v>
      </c>
      <c r="E1534" s="154" t="n">
        <v>0.48</v>
      </c>
      <c r="F1534" s="149" t="n">
        <f aca="false">IF(C1534="MAT.",VLOOKUP(A1534,INSUMOS_AUX!$A$3:$H$813,6,0),0)</f>
        <v>0.22</v>
      </c>
      <c r="G1534" s="149" t="n">
        <f aca="false">IF(C1534="M.O.",VLOOKUP(A1534,INSUMOS_AUX!A:F,6,0),0)</f>
        <v>0</v>
      </c>
    </row>
    <row r="1535" customFormat="false" ht="15" hidden="false" customHeight="false" outlineLevel="0" collapsed="false">
      <c r="A1535" s="154" t="n">
        <v>6114</v>
      </c>
      <c r="B1535" s="155" t="s">
        <v>1588</v>
      </c>
      <c r="C1535" s="148" t="str">
        <f aca="false">VLOOKUP($A1535,INSUMOS_AUX!$A$3:$H$813,3,0)</f>
        <v>M.O.</v>
      </c>
      <c r="D1535" s="156" t="s">
        <v>1444</v>
      </c>
      <c r="E1535" s="154" t="n">
        <v>0.045923916</v>
      </c>
      <c r="F1535" s="149" t="n">
        <f aca="false">IF(C1535="MAT.",VLOOKUP(A1535,INSUMOS_AUX!$A$3:$H$813,6,0),0)</f>
        <v>0</v>
      </c>
      <c r="G1535" s="149" t="n">
        <f aca="false">IF(C1535="M.O.",VLOOKUP(A1535,INSUMOS_AUX!A:F,6,0),0)</f>
        <v>13.26</v>
      </c>
    </row>
    <row r="1536" customFormat="false" ht="15" hidden="false" customHeight="false" outlineLevel="0" collapsed="false">
      <c r="A1536" s="154" t="n">
        <v>378</v>
      </c>
      <c r="B1536" s="155" t="s">
        <v>1589</v>
      </c>
      <c r="C1536" s="148" t="str">
        <f aca="false">VLOOKUP($A1536,INSUMOS_AUX!$A$3:$H$813,3,0)</f>
        <v>M.O.</v>
      </c>
      <c r="D1536" s="156" t="s">
        <v>1444</v>
      </c>
      <c r="E1536" s="154" t="n">
        <v>0.126240192</v>
      </c>
      <c r="F1536" s="149" t="n">
        <f aca="false">IF(C1536="MAT.",VLOOKUP(A1536,INSUMOS_AUX!$A$3:$H$813,6,0),0)</f>
        <v>0</v>
      </c>
      <c r="G1536" s="149" t="n">
        <f aca="false">IF(C1536="M.O.",VLOOKUP(A1536,INSUMOS_AUX!A:F,6,0),0)</f>
        <v>20.22</v>
      </c>
    </row>
    <row r="1537" customFormat="false" ht="42" hidden="false" customHeight="false" outlineLevel="0" collapsed="false">
      <c r="A1537" s="150" t="s">
        <v>286</v>
      </c>
      <c r="B1537" s="151" t="s">
        <v>1728</v>
      </c>
      <c r="C1537" s="152" t="s">
        <v>59</v>
      </c>
      <c r="D1537" s="152" t="s">
        <v>1513</v>
      </c>
      <c r="E1537" s="150"/>
      <c r="F1537" s="153" t="n">
        <f aca="false">(SUMPRODUCT($E1538:$E1564,F1538:F1564))*1</f>
        <v>13.3433362126408</v>
      </c>
      <c r="G1537" s="153" t="n">
        <f aca="false">(SUMPRODUCT($E1538:$E1564,G1538:G1564))*1</f>
        <v>0.3977843839956</v>
      </c>
    </row>
    <row r="1538" customFormat="false" ht="21" hidden="false" customHeight="false" outlineLevel="0" collapsed="false">
      <c r="A1538" s="154" t="n">
        <v>37370</v>
      </c>
      <c r="B1538" s="155" t="s">
        <v>1443</v>
      </c>
      <c r="C1538" s="148" t="str">
        <f aca="false">VLOOKUP($A1538,INSUMOS_AUX!$A$3:$H$813,3,0)</f>
        <v>MAT.</v>
      </c>
      <c r="D1538" s="156" t="s">
        <v>1444</v>
      </c>
      <c r="E1538" s="154" t="n">
        <v>0.02472296</v>
      </c>
      <c r="F1538" s="149" t="n">
        <f aca="false">IF(C1538="MAT.",VLOOKUP(A1538,INSUMOS_AUX!$A$3:$H$813,6,0),0)</f>
        <v>3.32</v>
      </c>
      <c r="G1538" s="149" t="n">
        <f aca="false">IF(C1538="M.O.",VLOOKUP(A1538,INSUMOS_AUX!A:F,6,0),0)</f>
        <v>0</v>
      </c>
    </row>
    <row r="1539" customFormat="false" ht="21" hidden="false" customHeight="false" outlineLevel="0" collapsed="false">
      <c r="A1539" s="154" t="n">
        <v>43488</v>
      </c>
      <c r="B1539" s="155" t="s">
        <v>1445</v>
      </c>
      <c r="C1539" s="148" t="str">
        <f aca="false">VLOOKUP($A1539,INSUMOS_AUX!$A$3:$H$813,3,0)</f>
        <v>MAT.</v>
      </c>
      <c r="D1539" s="156" t="s">
        <v>1444</v>
      </c>
      <c r="E1539" s="154" t="n">
        <v>0.02206706</v>
      </c>
      <c r="F1539" s="149" t="n">
        <f aca="false">IF(C1539="MAT.",VLOOKUP(A1539,INSUMOS_AUX!$A$3:$H$813,6,0),0)</f>
        <v>0.89</v>
      </c>
      <c r="G1539" s="149" t="n">
        <f aca="false">IF(C1539="M.O.",VLOOKUP(A1539,INSUMOS_AUX!A:F,6,0),0)</f>
        <v>0</v>
      </c>
    </row>
    <row r="1540" customFormat="false" ht="21" hidden="false" customHeight="false" outlineLevel="0" collapsed="false">
      <c r="A1540" s="154" t="n">
        <v>43490</v>
      </c>
      <c r="B1540" s="155" t="s">
        <v>1508</v>
      </c>
      <c r="C1540" s="148" t="str">
        <f aca="false">VLOOKUP($A1540,INSUMOS_AUX!$A$3:$H$813,3,0)</f>
        <v>MAT.</v>
      </c>
      <c r="D1540" s="156" t="s">
        <v>1444</v>
      </c>
      <c r="E1540" s="154" t="n">
        <v>0.00144145</v>
      </c>
      <c r="F1540" s="149" t="n">
        <f aca="false">IF(C1540="MAT.",VLOOKUP(A1540,INSUMOS_AUX!$A$3:$H$813,6,0),0)</f>
        <v>1.85</v>
      </c>
      <c r="G1540" s="149" t="n">
        <f aca="false">IF(C1540="M.O.",VLOOKUP(A1540,INSUMOS_AUX!A:F,6,0),0)</f>
        <v>0</v>
      </c>
    </row>
    <row r="1541" customFormat="false" ht="21" hidden="false" customHeight="false" outlineLevel="0" collapsed="false">
      <c r="A1541" s="154" t="n">
        <v>43491</v>
      </c>
      <c r="B1541" s="155" t="s">
        <v>1457</v>
      </c>
      <c r="C1541" s="148" t="str">
        <f aca="false">VLOOKUP($A1541,INSUMOS_AUX!$A$3:$H$813,3,0)</f>
        <v>MAT.</v>
      </c>
      <c r="D1541" s="156" t="s">
        <v>1444</v>
      </c>
      <c r="E1541" s="154" t="n">
        <v>0.00121445</v>
      </c>
      <c r="F1541" s="149" t="n">
        <f aca="false">IF(C1541="MAT.",VLOOKUP(A1541,INSUMOS_AUX!$A$3:$H$813,6,0),0)</f>
        <v>1.39</v>
      </c>
      <c r="G1541" s="149" t="n">
        <f aca="false">IF(C1541="M.O.",VLOOKUP(A1541,INSUMOS_AUX!A:F,6,0),0)</f>
        <v>0</v>
      </c>
    </row>
    <row r="1542" customFormat="false" ht="21" hidden="false" customHeight="false" outlineLevel="0" collapsed="false">
      <c r="A1542" s="154" t="n">
        <v>37372</v>
      </c>
      <c r="B1542" s="155" t="s">
        <v>1446</v>
      </c>
      <c r="C1542" s="148" t="str">
        <f aca="false">VLOOKUP($A1542,INSUMOS_AUX!$A$3:$H$813,3,0)</f>
        <v>MAT.</v>
      </c>
      <c r="D1542" s="156" t="s">
        <v>1444</v>
      </c>
      <c r="E1542" s="154" t="n">
        <v>0.02472296</v>
      </c>
      <c r="F1542" s="149" t="n">
        <f aca="false">IF(C1542="MAT.",VLOOKUP(A1542,INSUMOS_AUX!$A$3:$H$813,6,0),0)</f>
        <v>1.43</v>
      </c>
      <c r="G1542" s="149" t="n">
        <f aca="false">IF(C1542="M.O.",VLOOKUP(A1542,INSUMOS_AUX!A:F,6,0),0)</f>
        <v>0</v>
      </c>
    </row>
    <row r="1543" customFormat="false" ht="21" hidden="false" customHeight="false" outlineLevel="0" collapsed="false">
      <c r="A1543" s="154" t="n">
        <v>43464</v>
      </c>
      <c r="B1543" s="155" t="s">
        <v>1447</v>
      </c>
      <c r="C1543" s="148" t="str">
        <f aca="false">VLOOKUP($A1543,INSUMOS_AUX!$A$3:$H$813,3,0)</f>
        <v>MAT.</v>
      </c>
      <c r="D1543" s="156" t="s">
        <v>1444</v>
      </c>
      <c r="E1543" s="154" t="n">
        <v>0.02206706</v>
      </c>
      <c r="F1543" s="149" t="n">
        <f aca="false">IF(C1543="MAT.",VLOOKUP(A1543,INSUMOS_AUX!$A$3:$H$813,6,0),0)</f>
        <v>0.01</v>
      </c>
      <c r="G1543" s="149" t="n">
        <f aca="false">IF(C1543="M.O.",VLOOKUP(A1543,INSUMOS_AUX!A:F,6,0),0)</f>
        <v>0</v>
      </c>
    </row>
    <row r="1544" customFormat="false" ht="21" hidden="false" customHeight="false" outlineLevel="0" collapsed="false">
      <c r="A1544" s="154" t="n">
        <v>43466</v>
      </c>
      <c r="B1544" s="155" t="s">
        <v>1509</v>
      </c>
      <c r="C1544" s="148" t="s">
        <v>59</v>
      </c>
      <c r="D1544" s="156" t="s">
        <v>1444</v>
      </c>
      <c r="E1544" s="154" t="n">
        <v>0.00144145</v>
      </c>
      <c r="F1544" s="149" t="n">
        <f aca="false">IF(C1544="MAT.",VLOOKUP(A1544,INSUMOS_AUX!$A$3:$H$813,6,0),0)</f>
        <v>0</v>
      </c>
      <c r="G1544" s="149" t="n">
        <f aca="false">IF(C1544="M.O.",VLOOKUP(A1544,INSUMOS_AUX!A:F,6,0),0)</f>
        <v>0</v>
      </c>
    </row>
    <row r="1545" customFormat="false" ht="21" hidden="false" customHeight="false" outlineLevel="0" collapsed="false">
      <c r="A1545" s="154" t="n">
        <v>43467</v>
      </c>
      <c r="B1545" s="155" t="s">
        <v>1459</v>
      </c>
      <c r="C1545" s="148" t="str">
        <f aca="false">VLOOKUP($A1545,INSUMOS_AUX!$A$3:$H$813,3,0)</f>
        <v>MAT.</v>
      </c>
      <c r="D1545" s="156" t="s">
        <v>1444</v>
      </c>
      <c r="E1545" s="154" t="n">
        <v>0.00121445</v>
      </c>
      <c r="F1545" s="149" t="n">
        <f aca="false">IF(C1545="MAT.",VLOOKUP(A1545,INSUMOS_AUX!$A$3:$H$813,6,0),0)</f>
        <v>0.61</v>
      </c>
      <c r="G1545" s="149" t="n">
        <f aca="false">IF(C1545="M.O.",VLOOKUP(A1545,INSUMOS_AUX!A:F,6,0),0)</f>
        <v>0</v>
      </c>
    </row>
    <row r="1546" customFormat="false" ht="21" hidden="false" customHeight="false" outlineLevel="0" collapsed="false">
      <c r="A1546" s="154" t="n">
        <v>37373</v>
      </c>
      <c r="B1546" s="155" t="s">
        <v>1448</v>
      </c>
      <c r="C1546" s="148" t="str">
        <f aca="false">VLOOKUP($A1546,INSUMOS_AUX!$A$3:$H$813,3,0)</f>
        <v>MAT.</v>
      </c>
      <c r="D1546" s="156" t="s">
        <v>1444</v>
      </c>
      <c r="E1546" s="154" t="n">
        <v>0.02472296</v>
      </c>
      <c r="F1546" s="149" t="n">
        <f aca="false">IF(C1546="MAT.",VLOOKUP(A1546,INSUMOS_AUX!$A$3:$H$813,6,0),0)</f>
        <v>0.08</v>
      </c>
      <c r="G1546" s="149" t="n">
        <f aca="false">IF(C1546="M.O.",VLOOKUP(A1546,INSUMOS_AUX!A:F,6,0),0)</f>
        <v>0</v>
      </c>
    </row>
    <row r="1547" customFormat="false" ht="21" hidden="false" customHeight="false" outlineLevel="0" collapsed="false">
      <c r="A1547" s="154" t="n">
        <v>37371</v>
      </c>
      <c r="B1547" s="155" t="s">
        <v>1449</v>
      </c>
      <c r="C1547" s="148" t="str">
        <f aca="false">VLOOKUP($A1547,INSUMOS_AUX!$A$3:$H$813,3,0)</f>
        <v>MAT.</v>
      </c>
      <c r="D1547" s="156" t="s">
        <v>1444</v>
      </c>
      <c r="E1547" s="154" t="n">
        <v>0.02472296</v>
      </c>
      <c r="F1547" s="149" t="n">
        <f aca="false">IF(C1547="MAT.",VLOOKUP(A1547,INSUMOS_AUX!$A$3:$H$813,6,0),0)</f>
        <v>0.59</v>
      </c>
      <c r="G1547" s="149" t="n">
        <f aca="false">IF(C1547="M.O.",VLOOKUP(A1547,INSUMOS_AUX!A:F,6,0),0)</f>
        <v>0</v>
      </c>
    </row>
    <row r="1548" customFormat="false" ht="21" hidden="false" customHeight="false" outlineLevel="0" collapsed="false">
      <c r="A1548" s="154" t="n">
        <v>36522</v>
      </c>
      <c r="B1548" s="155" t="s">
        <v>1729</v>
      </c>
      <c r="C1548" s="148" t="str">
        <f aca="false">VLOOKUP($A1548,INSUMOS_AUX!$A$3:$H$813,3,0)</f>
        <v>MAT.</v>
      </c>
      <c r="D1548" s="156" t="s">
        <v>31</v>
      </c>
      <c r="E1548" s="154" t="n">
        <v>1.06481841E-007</v>
      </c>
      <c r="F1548" s="149" t="n">
        <f aca="false">IF(C1548="MAT.",VLOOKUP(A1548,INSUMOS_AUX!$A$3:$H$813,6,0),0)</f>
        <v>98588.33</v>
      </c>
      <c r="G1548" s="149" t="n">
        <f aca="false">IF(C1548="M.O.",VLOOKUP(A1548,INSUMOS_AUX!A:F,6,0),0)</f>
        <v>0</v>
      </c>
    </row>
    <row r="1549" customFormat="false" ht="21" hidden="false" customHeight="false" outlineLevel="0" collapsed="false">
      <c r="A1549" s="154" t="n">
        <v>44474</v>
      </c>
      <c r="B1549" s="155" t="s">
        <v>1563</v>
      </c>
      <c r="C1549" s="148" t="str">
        <f aca="false">VLOOKUP($A1549,INSUMOS_AUX!$A$3:$H$813,3,0)</f>
        <v>MAT.</v>
      </c>
      <c r="D1549" s="156" t="s">
        <v>31</v>
      </c>
      <c r="E1549" s="154" t="n">
        <v>2.92028E-007</v>
      </c>
      <c r="F1549" s="149" t="n">
        <f aca="false">IF(C1549="MAT.",VLOOKUP(A1549,INSUMOS_AUX!$A$3:$H$813,6,0),0)</f>
        <v>2485831.6</v>
      </c>
      <c r="G1549" s="149" t="n">
        <f aca="false">IF(C1549="M.O.",VLOOKUP(A1549,INSUMOS_AUX!A:F,6,0),0)</f>
        <v>0</v>
      </c>
    </row>
    <row r="1550" customFormat="false" ht="52.5" hidden="false" customHeight="false" outlineLevel="0" collapsed="false">
      <c r="A1550" s="154" t="n">
        <v>39813</v>
      </c>
      <c r="B1550" s="155" t="s">
        <v>1730</v>
      </c>
      <c r="C1550" s="148" t="str">
        <f aca="false">VLOOKUP($A1550,INSUMOS_AUX!$A$3:$H$813,3,0)</f>
        <v>MAT.</v>
      </c>
      <c r="D1550" s="156" t="s">
        <v>31</v>
      </c>
      <c r="E1550" s="154" t="n">
        <v>1.21361464E-007</v>
      </c>
      <c r="F1550" s="149" t="n">
        <f aca="false">IF(C1550="MAT.",VLOOKUP(A1550,INSUMOS_AUX!$A$3:$H$813,6,0),0)</f>
        <v>38940.2</v>
      </c>
      <c r="G1550" s="149" t="n">
        <f aca="false">IF(C1550="M.O.",VLOOKUP(A1550,INSUMOS_AUX!A:F,6,0),0)</f>
        <v>0</v>
      </c>
    </row>
    <row r="1551" customFormat="false" ht="15" hidden="false" customHeight="false" outlineLevel="0" collapsed="false">
      <c r="A1551" s="154" t="n">
        <v>2705</v>
      </c>
      <c r="B1551" s="155" t="s">
        <v>1467</v>
      </c>
      <c r="C1551" s="148" t="str">
        <f aca="false">VLOOKUP($A1551,INSUMOS_AUX!$A$3:$H$813,3,0)</f>
        <v>MAT.</v>
      </c>
      <c r="D1551" s="156" t="s">
        <v>1468</v>
      </c>
      <c r="E1551" s="154" t="n">
        <v>0.02132</v>
      </c>
      <c r="F1551" s="149" t="n">
        <f aca="false">IF(C1551="MAT.",VLOOKUP(A1551,INSUMOS_AUX!$A$3:$H$813,6,0),0)</f>
        <v>0.92</v>
      </c>
      <c r="G1551" s="149" t="n">
        <f aca="false">IF(C1551="M.O.",VLOOKUP(A1551,INSUMOS_AUX!A:F,6,0),0)</f>
        <v>0</v>
      </c>
    </row>
    <row r="1552" customFormat="false" ht="15" hidden="false" customHeight="false" outlineLevel="0" collapsed="false">
      <c r="A1552" s="154" t="n">
        <v>1333</v>
      </c>
      <c r="B1552" s="155" t="s">
        <v>1731</v>
      </c>
      <c r="C1552" s="148" t="str">
        <f aca="false">VLOOKUP($A1552,INSUMOS_AUX!$A$3:$H$813,3,0)</f>
        <v>MAT.</v>
      </c>
      <c r="D1552" s="156" t="s">
        <v>1513</v>
      </c>
      <c r="E1552" s="154" t="n">
        <v>0.060005</v>
      </c>
      <c r="F1552" s="149" t="n">
        <f aca="false">IF(C1552="MAT.",VLOOKUP(A1552,INSUMOS_AUX!$A$3:$H$813,6,0),0)</f>
        <v>8.24</v>
      </c>
      <c r="G1552" s="149" t="n">
        <f aca="false">IF(C1552="M.O.",VLOOKUP(A1552,INSUMOS_AUX!A:F,6,0),0)</f>
        <v>0</v>
      </c>
    </row>
    <row r="1553" customFormat="false" ht="15" hidden="false" customHeight="false" outlineLevel="0" collapsed="false">
      <c r="A1553" s="154" t="n">
        <v>5318</v>
      </c>
      <c r="B1553" s="155" t="s">
        <v>1732</v>
      </c>
      <c r="C1553" s="148" t="str">
        <f aca="false">VLOOKUP($A1553,INSUMOS_AUX!$A$3:$H$813,3,0)</f>
        <v>MAT.</v>
      </c>
      <c r="D1553" s="156" t="s">
        <v>1452</v>
      </c>
      <c r="E1553" s="154" t="n">
        <v>0.00130525</v>
      </c>
      <c r="F1553" s="149" t="n">
        <f aca="false">IF(C1553="MAT.",VLOOKUP(A1553,INSUMOS_AUX!$A$3:$H$813,6,0),0)</f>
        <v>20.54</v>
      </c>
      <c r="G1553" s="149" t="n">
        <f aca="false">IF(C1553="M.O.",VLOOKUP(A1553,INSUMOS_AUX!A:F,6,0),0)</f>
        <v>0</v>
      </c>
    </row>
    <row r="1554" customFormat="false" ht="15" hidden="false" customHeight="false" outlineLevel="0" collapsed="false">
      <c r="A1554" s="154" t="n">
        <v>7307</v>
      </c>
      <c r="B1554" s="155" t="s">
        <v>1733</v>
      </c>
      <c r="C1554" s="148" t="str">
        <f aca="false">VLOOKUP($A1554,INSUMOS_AUX!$A$3:$H$813,3,0)</f>
        <v>MAT.</v>
      </c>
      <c r="D1554" s="156" t="s">
        <v>1452</v>
      </c>
      <c r="E1554" s="154" t="n">
        <v>0.00433116</v>
      </c>
      <c r="F1554" s="149" t="n">
        <f aca="false">IF(C1554="MAT.",VLOOKUP(A1554,INSUMOS_AUX!$A$3:$H$813,6,0),0)</f>
        <v>43.33</v>
      </c>
      <c r="G1554" s="149" t="n">
        <f aca="false">IF(C1554="M.O.",VLOOKUP(A1554,INSUMOS_AUX!A:F,6,0),0)</f>
        <v>0</v>
      </c>
    </row>
    <row r="1555" customFormat="false" ht="21" hidden="false" customHeight="false" outlineLevel="0" collapsed="false">
      <c r="A1555" s="154" t="n">
        <v>36785</v>
      </c>
      <c r="B1555" s="155" t="s">
        <v>1734</v>
      </c>
      <c r="C1555" s="148" t="str">
        <f aca="false">VLOOKUP($A1555,INSUMOS_AUX!$A$3:$H$813,3,0)</f>
        <v>MAT.</v>
      </c>
      <c r="D1555" s="156" t="s">
        <v>1735</v>
      </c>
      <c r="E1555" s="154" t="n">
        <v>0.003632</v>
      </c>
      <c r="F1555" s="149" t="n">
        <f aca="false">IF(C1555="MAT.",VLOOKUP(A1555,INSUMOS_AUX!$A$3:$H$813,6,0),0)</f>
        <v>116.02</v>
      </c>
      <c r="G1555" s="149" t="n">
        <f aca="false">IF(C1555="M.O.",VLOOKUP(A1555,INSUMOS_AUX!A:F,6,0),0)</f>
        <v>0</v>
      </c>
    </row>
    <row r="1556" customFormat="false" ht="15" hidden="false" customHeight="false" outlineLevel="0" collapsed="false">
      <c r="A1556" s="154" t="n">
        <v>4221</v>
      </c>
      <c r="B1556" s="155" t="s">
        <v>1451</v>
      </c>
      <c r="C1556" s="148" t="str">
        <f aca="false">VLOOKUP($A1556,INSUMOS_AUX!$A$3:$H$813,3,0)</f>
        <v>MAT.</v>
      </c>
      <c r="D1556" s="156" t="s">
        <v>1452</v>
      </c>
      <c r="E1556" s="154" t="n">
        <v>0.0028083532</v>
      </c>
      <c r="F1556" s="149" t="n">
        <f aca="false">IF(C1556="MAT.",VLOOKUP(A1556,INSUMOS_AUX!$A$3:$H$813,6,0),0)</f>
        <v>6.28</v>
      </c>
      <c r="G1556" s="149" t="n">
        <f aca="false">IF(C1556="M.O.",VLOOKUP(A1556,INSUMOS_AUX!A:F,6,0),0)</f>
        <v>0</v>
      </c>
    </row>
    <row r="1557" customFormat="false" ht="21" hidden="false" customHeight="false" outlineLevel="0" collapsed="false">
      <c r="A1557" s="154" t="n">
        <v>442</v>
      </c>
      <c r="B1557" s="155" t="s">
        <v>1736</v>
      </c>
      <c r="C1557" s="148" t="str">
        <f aca="false">VLOOKUP($A1557,INSUMOS_AUX!$A$3:$H$813,3,0)</f>
        <v>MAT.</v>
      </c>
      <c r="D1557" s="156" t="s">
        <v>31</v>
      </c>
      <c r="E1557" s="154" t="n">
        <v>0.051</v>
      </c>
      <c r="F1557" s="149" t="n">
        <f aca="false">IF(C1557="MAT.",VLOOKUP(A1557,INSUMOS_AUX!$A$3:$H$813,6,0),0)</f>
        <v>7.17</v>
      </c>
      <c r="G1557" s="149" t="n">
        <f aca="false">IF(C1557="M.O.",VLOOKUP(A1557,INSUMOS_AUX!A:F,6,0),0)</f>
        <v>0</v>
      </c>
    </row>
    <row r="1558" customFormat="false" ht="15" hidden="false" customHeight="false" outlineLevel="0" collapsed="false">
      <c r="A1558" s="154" t="n">
        <v>43082</v>
      </c>
      <c r="B1558" s="155" t="s">
        <v>1737</v>
      </c>
      <c r="C1558" s="148" t="str">
        <f aca="false">VLOOKUP($A1558,INSUMOS_AUX!$A$3:$H$813,3,0)</f>
        <v>MAT.</v>
      </c>
      <c r="D1558" s="156" t="s">
        <v>1513</v>
      </c>
      <c r="E1558" s="154" t="n">
        <v>1.091</v>
      </c>
      <c r="F1558" s="149" t="n">
        <f aca="false">IF(C1558="MAT.",VLOOKUP(A1558,INSUMOS_AUX!$A$3:$H$813,6,0),0)</f>
        <v>10</v>
      </c>
      <c r="G1558" s="149" t="n">
        <f aca="false">IF(C1558="M.O.",VLOOKUP(A1558,INSUMOS_AUX!A:F,6,0),0)</f>
        <v>0</v>
      </c>
    </row>
    <row r="1559" customFormat="false" ht="15" hidden="false" customHeight="false" outlineLevel="0" collapsed="false">
      <c r="A1559" s="154" t="n">
        <v>44499</v>
      </c>
      <c r="B1559" s="155" t="s">
        <v>1738</v>
      </c>
      <c r="C1559" s="148" t="str">
        <f aca="false">VLOOKUP($A1559,INSUMOS_AUX!$A$3:$H$813,3,0)</f>
        <v>M.O.</v>
      </c>
      <c r="D1559" s="156" t="s">
        <v>1444</v>
      </c>
      <c r="E1559" s="154" t="n">
        <v>0.00151731</v>
      </c>
      <c r="F1559" s="149" t="n">
        <f aca="false">IF(C1559="MAT.",VLOOKUP(A1559,INSUMOS_AUX!$A$3:$H$813,6,0),0)</f>
        <v>0</v>
      </c>
      <c r="G1559" s="149" t="n">
        <f aca="false">IF(C1559="M.O.",VLOOKUP(A1559,INSUMOS_AUX!A:F,6,0),0)</f>
        <v>13.26</v>
      </c>
    </row>
    <row r="1560" customFormat="false" ht="15" hidden="false" customHeight="false" outlineLevel="0" collapsed="false">
      <c r="A1560" s="154" t="n">
        <v>44497</v>
      </c>
      <c r="B1560" s="155" t="s">
        <v>1739</v>
      </c>
      <c r="C1560" s="148" t="str">
        <f aca="false">VLOOKUP($A1560,INSUMOS_AUX!$A$3:$H$813,3,0)</f>
        <v>M.O.</v>
      </c>
      <c r="D1560" s="156" t="s">
        <v>1444</v>
      </c>
      <c r="E1560" s="154" t="n">
        <v>0.0151731</v>
      </c>
      <c r="F1560" s="149" t="n">
        <f aca="false">IF(C1560="MAT.",VLOOKUP(A1560,INSUMOS_AUX!$A$3:$H$813,6,0),0)</f>
        <v>0</v>
      </c>
      <c r="G1560" s="149" t="n">
        <f aca="false">IF(C1560="M.O.",VLOOKUP(A1560,INSUMOS_AUX!A:F,6,0),0)</f>
        <v>14.49</v>
      </c>
    </row>
    <row r="1561" customFormat="false" ht="15" hidden="false" customHeight="false" outlineLevel="0" collapsed="false">
      <c r="A1561" s="154" t="n">
        <v>4254</v>
      </c>
      <c r="B1561" s="155" t="s">
        <v>1590</v>
      </c>
      <c r="C1561" s="148" t="str">
        <f aca="false">VLOOKUP($A1561,INSUMOS_AUX!$A$3:$H$813,3,0)</f>
        <v>M.O.</v>
      </c>
      <c r="D1561" s="156" t="s">
        <v>1444</v>
      </c>
      <c r="E1561" s="154" t="n">
        <v>0.0031710744</v>
      </c>
      <c r="F1561" s="149" t="n">
        <f aca="false">IF(C1561="MAT.",VLOOKUP(A1561,INSUMOS_AUX!$A$3:$H$813,6,0),0)</f>
        <v>0</v>
      </c>
      <c r="G1561" s="149" t="n">
        <f aca="false">IF(C1561="M.O.",VLOOKUP(A1561,INSUMOS_AUX!A:F,6,0),0)</f>
        <v>21.01</v>
      </c>
    </row>
    <row r="1562" customFormat="false" ht="15" hidden="false" customHeight="false" outlineLevel="0" collapsed="false">
      <c r="A1562" s="154" t="n">
        <v>4251</v>
      </c>
      <c r="B1562" s="155" t="s">
        <v>1740</v>
      </c>
      <c r="C1562" s="148" t="str">
        <f aca="false">VLOOKUP($A1562,INSUMOS_AUX!$A$3:$H$813,3,0)</f>
        <v>M.O.</v>
      </c>
      <c r="D1562" s="156" t="s">
        <v>1444</v>
      </c>
      <c r="E1562" s="154" t="n">
        <v>0.0024752990724</v>
      </c>
      <c r="F1562" s="149" t="n">
        <f aca="false">IF(C1562="MAT.",VLOOKUP(A1562,INSUMOS_AUX!$A$3:$H$813,6,0),0)</f>
        <v>0</v>
      </c>
      <c r="G1562" s="149" t="n">
        <f aca="false">IF(C1562="M.O.",VLOOKUP(A1562,INSUMOS_AUX!A:F,6,0),0)</f>
        <v>18.4</v>
      </c>
    </row>
    <row r="1563" customFormat="false" ht="15" hidden="false" customHeight="false" outlineLevel="0" collapsed="false">
      <c r="A1563" s="154" t="n">
        <v>4783</v>
      </c>
      <c r="B1563" s="155" t="s">
        <v>1517</v>
      </c>
      <c r="C1563" s="148" t="str">
        <f aca="false">VLOOKUP($A1563,INSUMOS_AUX!$A$3:$H$813,3,0)</f>
        <v>M.O.</v>
      </c>
      <c r="D1563" s="156" t="s">
        <v>1444</v>
      </c>
      <c r="E1563" s="154" t="n">
        <v>0.001462725802</v>
      </c>
      <c r="F1563" s="149" t="n">
        <f aca="false">IF(C1563="MAT.",VLOOKUP(A1563,INSUMOS_AUX!$A$3:$H$813,6,0),0)</f>
        <v>0</v>
      </c>
      <c r="G1563" s="149" t="n">
        <f aca="false">IF(C1563="M.O.",VLOOKUP(A1563,INSUMOS_AUX!A:F,6,0),0)</f>
        <v>20.22</v>
      </c>
    </row>
    <row r="1564" customFormat="false" ht="15" hidden="false" customHeight="false" outlineLevel="0" collapsed="false">
      <c r="A1564" s="154" t="n">
        <v>6111</v>
      </c>
      <c r="B1564" s="155" t="s">
        <v>1464</v>
      </c>
      <c r="C1564" s="148" t="str">
        <f aca="false">VLOOKUP($A1564,INSUMOS_AUX!$A$3:$H$813,3,0)</f>
        <v>M.O.</v>
      </c>
      <c r="D1564" s="156" t="s">
        <v>1444</v>
      </c>
      <c r="E1564" s="154" t="n">
        <v>0.00124019634</v>
      </c>
      <c r="F1564" s="149" t="n">
        <f aca="false">IF(C1564="MAT.",VLOOKUP(A1564,INSUMOS_AUX!$A$3:$H$813,6,0),0)</f>
        <v>0</v>
      </c>
      <c r="G1564" s="149" t="n">
        <f aca="false">IF(C1564="M.O.",VLOOKUP(A1564,INSUMOS_AUX!A:F,6,0),0)</f>
        <v>12.95</v>
      </c>
    </row>
    <row r="1565" customFormat="false" ht="15" hidden="false" customHeight="false" outlineLevel="0" collapsed="false">
      <c r="A1565" s="150" t="n">
        <v>97082</v>
      </c>
      <c r="B1565" s="151" t="s">
        <v>1741</v>
      </c>
      <c r="C1565" s="152" t="s">
        <v>59</v>
      </c>
      <c r="D1565" s="152" t="s">
        <v>1442</v>
      </c>
      <c r="E1565" s="150"/>
      <c r="F1565" s="153" t="n">
        <f aca="false">(SUMPRODUCT($E1566:$E1572,F1566:F1572))*1</f>
        <v>21.54768</v>
      </c>
      <c r="G1565" s="153" t="n">
        <f aca="false">(SUMPRODUCT($E1566:$E1572,G1566:G1572))*1</f>
        <v>38.40406416</v>
      </c>
    </row>
    <row r="1566" customFormat="false" ht="21" hidden="false" customHeight="false" outlineLevel="0" collapsed="false">
      <c r="A1566" s="154" t="n">
        <v>37370</v>
      </c>
      <c r="B1566" s="155" t="s">
        <v>1443</v>
      </c>
      <c r="C1566" s="148" t="str">
        <f aca="false">VLOOKUP($A1566,INSUMOS_AUX!$A$3:$H$813,3,0)</f>
        <v>MAT.</v>
      </c>
      <c r="D1566" s="156" t="s">
        <v>1444</v>
      </c>
      <c r="E1566" s="154" t="n">
        <v>2.904</v>
      </c>
      <c r="F1566" s="149" t="n">
        <f aca="false">IF(C1566="MAT.",VLOOKUP(A1566,INSUMOS_AUX!$A$3:$H$813,6,0),0)</f>
        <v>3.32</v>
      </c>
      <c r="G1566" s="149" t="n">
        <f aca="false">IF(C1566="M.O.",VLOOKUP(A1566,INSUMOS_AUX!A:F,6,0),0)</f>
        <v>0</v>
      </c>
    </row>
    <row r="1567" customFormat="false" ht="21" hidden="false" customHeight="false" outlineLevel="0" collapsed="false">
      <c r="A1567" s="154" t="n">
        <v>43491</v>
      </c>
      <c r="B1567" s="155" t="s">
        <v>1457</v>
      </c>
      <c r="C1567" s="148" t="str">
        <f aca="false">VLOOKUP($A1567,INSUMOS_AUX!$A$3:$H$813,3,0)</f>
        <v>MAT.</v>
      </c>
      <c r="D1567" s="156" t="s">
        <v>1444</v>
      </c>
      <c r="E1567" s="154" t="n">
        <v>2.904</v>
      </c>
      <c r="F1567" s="149" t="n">
        <f aca="false">IF(C1567="MAT.",VLOOKUP(A1567,INSUMOS_AUX!$A$3:$H$813,6,0),0)</f>
        <v>1.39</v>
      </c>
      <c r="G1567" s="149" t="n">
        <f aca="false">IF(C1567="M.O.",VLOOKUP(A1567,INSUMOS_AUX!A:F,6,0),0)</f>
        <v>0</v>
      </c>
    </row>
    <row r="1568" customFormat="false" ht="21" hidden="false" customHeight="false" outlineLevel="0" collapsed="false">
      <c r="A1568" s="154" t="n">
        <v>37372</v>
      </c>
      <c r="B1568" s="155" t="s">
        <v>1446</v>
      </c>
      <c r="C1568" s="148" t="str">
        <f aca="false">VLOOKUP($A1568,INSUMOS_AUX!$A$3:$H$813,3,0)</f>
        <v>MAT.</v>
      </c>
      <c r="D1568" s="156" t="s">
        <v>1444</v>
      </c>
      <c r="E1568" s="154" t="n">
        <v>2.904</v>
      </c>
      <c r="F1568" s="149" t="n">
        <f aca="false">IF(C1568="MAT.",VLOOKUP(A1568,INSUMOS_AUX!$A$3:$H$813,6,0),0)</f>
        <v>1.43</v>
      </c>
      <c r="G1568" s="149" t="n">
        <f aca="false">IF(C1568="M.O.",VLOOKUP(A1568,INSUMOS_AUX!A:F,6,0),0)</f>
        <v>0</v>
      </c>
    </row>
    <row r="1569" customFormat="false" ht="21" hidden="false" customHeight="false" outlineLevel="0" collapsed="false">
      <c r="A1569" s="154" t="n">
        <v>43467</v>
      </c>
      <c r="B1569" s="155" t="s">
        <v>1459</v>
      </c>
      <c r="C1569" s="148" t="str">
        <f aca="false">VLOOKUP($A1569,INSUMOS_AUX!$A$3:$H$813,3,0)</f>
        <v>MAT.</v>
      </c>
      <c r="D1569" s="156" t="s">
        <v>1444</v>
      </c>
      <c r="E1569" s="154" t="n">
        <v>2.904</v>
      </c>
      <c r="F1569" s="149" t="n">
        <f aca="false">IF(C1569="MAT.",VLOOKUP(A1569,INSUMOS_AUX!$A$3:$H$813,6,0),0)</f>
        <v>0.61</v>
      </c>
      <c r="G1569" s="149" t="n">
        <f aca="false">IF(C1569="M.O.",VLOOKUP(A1569,INSUMOS_AUX!A:F,6,0),0)</f>
        <v>0</v>
      </c>
    </row>
    <row r="1570" customFormat="false" ht="21" hidden="false" customHeight="false" outlineLevel="0" collapsed="false">
      <c r="A1570" s="154" t="n">
        <v>37373</v>
      </c>
      <c r="B1570" s="155" t="s">
        <v>1448</v>
      </c>
      <c r="C1570" s="148" t="str">
        <f aca="false">VLOOKUP($A1570,INSUMOS_AUX!$A$3:$H$813,3,0)</f>
        <v>MAT.</v>
      </c>
      <c r="D1570" s="156" t="s">
        <v>1444</v>
      </c>
      <c r="E1570" s="154" t="n">
        <v>2.904</v>
      </c>
      <c r="F1570" s="149" t="n">
        <f aca="false">IF(C1570="MAT.",VLOOKUP(A1570,INSUMOS_AUX!$A$3:$H$813,6,0),0)</f>
        <v>0.08</v>
      </c>
      <c r="G1570" s="149" t="n">
        <f aca="false">IF(C1570="M.O.",VLOOKUP(A1570,INSUMOS_AUX!A:F,6,0),0)</f>
        <v>0</v>
      </c>
    </row>
    <row r="1571" customFormat="false" ht="21" hidden="false" customHeight="false" outlineLevel="0" collapsed="false">
      <c r="A1571" s="154" t="n">
        <v>37371</v>
      </c>
      <c r="B1571" s="155" t="s">
        <v>1449</v>
      </c>
      <c r="C1571" s="148" t="str">
        <f aca="false">VLOOKUP($A1571,INSUMOS_AUX!$A$3:$H$813,3,0)</f>
        <v>MAT.</v>
      </c>
      <c r="D1571" s="156" t="s">
        <v>1444</v>
      </c>
      <c r="E1571" s="154" t="n">
        <v>2.904</v>
      </c>
      <c r="F1571" s="149" t="n">
        <f aca="false">IF(C1571="MAT.",VLOOKUP(A1571,INSUMOS_AUX!$A$3:$H$813,6,0),0)</f>
        <v>0.59</v>
      </c>
      <c r="G1571" s="149" t="n">
        <f aca="false">IF(C1571="M.O.",VLOOKUP(A1571,INSUMOS_AUX!A:F,6,0),0)</f>
        <v>0</v>
      </c>
    </row>
    <row r="1572" customFormat="false" ht="15" hidden="false" customHeight="false" outlineLevel="0" collapsed="false">
      <c r="A1572" s="154" t="n">
        <v>6111</v>
      </c>
      <c r="B1572" s="155" t="s">
        <v>1464</v>
      </c>
      <c r="C1572" s="148" t="str">
        <f aca="false">VLOOKUP($A1572,INSUMOS_AUX!$A$3:$H$813,3,0)</f>
        <v>M.O.</v>
      </c>
      <c r="D1572" s="156" t="s">
        <v>1444</v>
      </c>
      <c r="E1572" s="154" t="n">
        <v>2.9655648</v>
      </c>
      <c r="F1572" s="149" t="n">
        <f aca="false">IF(C1572="MAT.",VLOOKUP(A1572,INSUMOS_AUX!$A$3:$H$813,6,0),0)</f>
        <v>0</v>
      </c>
      <c r="G1572" s="149" t="n">
        <f aca="false">IF(C1572="M.O.",VLOOKUP(A1572,INSUMOS_AUX!A:F,6,0),0)</f>
        <v>12.95</v>
      </c>
    </row>
    <row r="1573" customFormat="false" ht="31.5" hidden="false" customHeight="false" outlineLevel="0" collapsed="false">
      <c r="A1573" s="150" t="n">
        <v>89470</v>
      </c>
      <c r="B1573" s="151" t="s">
        <v>1742</v>
      </c>
      <c r="C1573" s="152" t="s">
        <v>59</v>
      </c>
      <c r="D1573" s="152" t="s">
        <v>1477</v>
      </c>
      <c r="E1573" s="150"/>
      <c r="F1573" s="153" t="n">
        <f aca="false">(SUMPRODUCT($E1574:$E1595,F1574:F1595))*1</f>
        <v>80.1313679286816</v>
      </c>
      <c r="G1573" s="153" t="n">
        <f aca="false">(SUMPRODUCT($E1574:$E1595,G1574:G1595))*1</f>
        <v>21.8579580860496</v>
      </c>
    </row>
    <row r="1574" customFormat="false" ht="21" hidden="false" customHeight="false" outlineLevel="0" collapsed="false">
      <c r="A1574" s="154" t="n">
        <v>37370</v>
      </c>
      <c r="B1574" s="155" t="s">
        <v>1443</v>
      </c>
      <c r="C1574" s="148" t="str">
        <f aca="false">VLOOKUP($A1574,INSUMOS_AUX!$A$3:$H$813,3,0)</f>
        <v>MAT.</v>
      </c>
      <c r="D1574" s="156" t="s">
        <v>1444</v>
      </c>
      <c r="E1574" s="154" t="n">
        <v>1.311568</v>
      </c>
      <c r="F1574" s="149" t="n">
        <f aca="false">IF(C1574="MAT.",VLOOKUP(A1574,INSUMOS_AUX!$A$3:$H$813,6,0),0)</f>
        <v>3.32</v>
      </c>
      <c r="G1574" s="149" t="n">
        <f aca="false">IF(C1574="M.O.",VLOOKUP(A1574,INSUMOS_AUX!A:F,6,0),0)</f>
        <v>0</v>
      </c>
    </row>
    <row r="1575" customFormat="false" ht="21" hidden="false" customHeight="false" outlineLevel="0" collapsed="false">
      <c r="A1575" s="154" t="n">
        <v>43488</v>
      </c>
      <c r="B1575" s="155" t="s">
        <v>1445</v>
      </c>
      <c r="C1575" s="148" t="str">
        <f aca="false">VLOOKUP($A1575,INSUMOS_AUX!$A$3:$H$813,3,0)</f>
        <v>MAT.</v>
      </c>
      <c r="D1575" s="156" t="s">
        <v>1444</v>
      </c>
      <c r="E1575" s="154" t="n">
        <v>0.071568</v>
      </c>
      <c r="F1575" s="149" t="n">
        <f aca="false">IF(C1575="MAT.",VLOOKUP(A1575,INSUMOS_AUX!$A$3:$H$813,6,0),0)</f>
        <v>0.89</v>
      </c>
      <c r="G1575" s="149" t="n">
        <f aca="false">IF(C1575="M.O.",VLOOKUP(A1575,INSUMOS_AUX!A:F,6,0),0)</f>
        <v>0</v>
      </c>
    </row>
    <row r="1576" customFormat="false" ht="21" hidden="false" customHeight="false" outlineLevel="0" collapsed="false">
      <c r="A1576" s="154" t="n">
        <v>43489</v>
      </c>
      <c r="B1576" s="155" t="s">
        <v>1456</v>
      </c>
      <c r="C1576" s="148" t="str">
        <f aca="false">VLOOKUP($A1576,INSUMOS_AUX!$A$3:$H$813,3,0)</f>
        <v>MAT.</v>
      </c>
      <c r="D1576" s="156" t="s">
        <v>1444</v>
      </c>
      <c r="E1576" s="154" t="n">
        <v>0.62</v>
      </c>
      <c r="F1576" s="149" t="n">
        <f aca="false">IF(C1576="MAT.",VLOOKUP(A1576,INSUMOS_AUX!$A$3:$H$813,6,0),0)</f>
        <v>1.31</v>
      </c>
      <c r="G1576" s="149" t="n">
        <f aca="false">IF(C1576="M.O.",VLOOKUP(A1576,INSUMOS_AUX!A:F,6,0),0)</f>
        <v>0</v>
      </c>
    </row>
    <row r="1577" customFormat="false" ht="21" hidden="false" customHeight="false" outlineLevel="0" collapsed="false">
      <c r="A1577" s="154" t="n">
        <v>43491</v>
      </c>
      <c r="B1577" s="155" t="s">
        <v>1457</v>
      </c>
      <c r="C1577" s="148" t="str">
        <f aca="false">VLOOKUP($A1577,INSUMOS_AUX!$A$3:$H$813,3,0)</f>
        <v>MAT.</v>
      </c>
      <c r="D1577" s="156" t="s">
        <v>1444</v>
      </c>
      <c r="E1577" s="154" t="n">
        <v>0.62</v>
      </c>
      <c r="F1577" s="149" t="n">
        <f aca="false">IF(C1577="MAT.",VLOOKUP(A1577,INSUMOS_AUX!$A$3:$H$813,6,0),0)</f>
        <v>1.39</v>
      </c>
      <c r="G1577" s="149" t="n">
        <f aca="false">IF(C1577="M.O.",VLOOKUP(A1577,INSUMOS_AUX!A:F,6,0),0)</f>
        <v>0</v>
      </c>
    </row>
    <row r="1578" customFormat="false" ht="21" hidden="false" customHeight="false" outlineLevel="0" collapsed="false">
      <c r="A1578" s="154" t="n">
        <v>37372</v>
      </c>
      <c r="B1578" s="155" t="s">
        <v>1446</v>
      </c>
      <c r="C1578" s="148" t="str">
        <f aca="false">VLOOKUP($A1578,INSUMOS_AUX!$A$3:$H$813,3,0)</f>
        <v>MAT.</v>
      </c>
      <c r="D1578" s="156" t="s">
        <v>1444</v>
      </c>
      <c r="E1578" s="154" t="n">
        <v>1.311568</v>
      </c>
      <c r="F1578" s="149" t="n">
        <f aca="false">IF(C1578="MAT.",VLOOKUP(A1578,INSUMOS_AUX!$A$3:$H$813,6,0),0)</f>
        <v>1.43</v>
      </c>
      <c r="G1578" s="149" t="n">
        <f aca="false">IF(C1578="M.O.",VLOOKUP(A1578,INSUMOS_AUX!A:F,6,0),0)</f>
        <v>0</v>
      </c>
    </row>
    <row r="1579" customFormat="false" ht="21" hidden="false" customHeight="false" outlineLevel="0" collapsed="false">
      <c r="A1579" s="154" t="n">
        <v>43464</v>
      </c>
      <c r="B1579" s="155" t="s">
        <v>1447</v>
      </c>
      <c r="C1579" s="148" t="str">
        <f aca="false">VLOOKUP($A1579,INSUMOS_AUX!$A$3:$H$813,3,0)</f>
        <v>MAT.</v>
      </c>
      <c r="D1579" s="156" t="s">
        <v>1444</v>
      </c>
      <c r="E1579" s="154" t="n">
        <v>0.071568</v>
      </c>
      <c r="F1579" s="149" t="n">
        <f aca="false">IF(C1579="MAT.",VLOOKUP(A1579,INSUMOS_AUX!$A$3:$H$813,6,0),0)</f>
        <v>0.01</v>
      </c>
      <c r="G1579" s="149" t="n">
        <f aca="false">IF(C1579="M.O.",VLOOKUP(A1579,INSUMOS_AUX!A:F,6,0),0)</f>
        <v>0</v>
      </c>
    </row>
    <row r="1580" customFormat="false" ht="21" hidden="false" customHeight="false" outlineLevel="0" collapsed="false">
      <c r="A1580" s="154" t="n">
        <v>43465</v>
      </c>
      <c r="B1580" s="155" t="s">
        <v>1458</v>
      </c>
      <c r="C1580" s="148" t="str">
        <f aca="false">VLOOKUP($A1580,INSUMOS_AUX!$A$3:$H$813,3,0)</f>
        <v>MAT.</v>
      </c>
      <c r="D1580" s="156" t="s">
        <v>1444</v>
      </c>
      <c r="E1580" s="154" t="n">
        <v>0.62</v>
      </c>
      <c r="F1580" s="149" t="n">
        <f aca="false">IF(C1580="MAT.",VLOOKUP(A1580,INSUMOS_AUX!$A$3:$H$813,6,0),0)</f>
        <v>0.78</v>
      </c>
      <c r="G1580" s="149" t="n">
        <f aca="false">IF(C1580="M.O.",VLOOKUP(A1580,INSUMOS_AUX!A:F,6,0),0)</f>
        <v>0</v>
      </c>
    </row>
    <row r="1581" customFormat="false" ht="21" hidden="false" customHeight="false" outlineLevel="0" collapsed="false">
      <c r="A1581" s="154" t="n">
        <v>43467</v>
      </c>
      <c r="B1581" s="155" t="s">
        <v>1459</v>
      </c>
      <c r="C1581" s="148" t="str">
        <f aca="false">VLOOKUP($A1581,INSUMOS_AUX!$A$3:$H$813,3,0)</f>
        <v>MAT.</v>
      </c>
      <c r="D1581" s="156" t="s">
        <v>1444</v>
      </c>
      <c r="E1581" s="154" t="n">
        <v>0.62</v>
      </c>
      <c r="F1581" s="149" t="n">
        <f aca="false">IF(C1581="MAT.",VLOOKUP(A1581,INSUMOS_AUX!$A$3:$H$813,6,0),0)</f>
        <v>0.61</v>
      </c>
      <c r="G1581" s="149" t="n">
        <f aca="false">IF(C1581="M.O.",VLOOKUP(A1581,INSUMOS_AUX!A:F,6,0),0)</f>
        <v>0</v>
      </c>
    </row>
    <row r="1582" customFormat="false" ht="21" hidden="false" customHeight="false" outlineLevel="0" collapsed="false">
      <c r="A1582" s="154" t="n">
        <v>37373</v>
      </c>
      <c r="B1582" s="155" t="s">
        <v>1448</v>
      </c>
      <c r="C1582" s="148" t="str">
        <f aca="false">VLOOKUP($A1582,INSUMOS_AUX!$A$3:$H$813,3,0)</f>
        <v>MAT.</v>
      </c>
      <c r="D1582" s="156" t="s">
        <v>1444</v>
      </c>
      <c r="E1582" s="154" t="n">
        <v>1.311568</v>
      </c>
      <c r="F1582" s="149" t="n">
        <f aca="false">IF(C1582="MAT.",VLOOKUP(A1582,INSUMOS_AUX!$A$3:$H$813,6,0),0)</f>
        <v>0.08</v>
      </c>
      <c r="G1582" s="149" t="n">
        <f aca="false">IF(C1582="M.O.",VLOOKUP(A1582,INSUMOS_AUX!A:F,6,0),0)</f>
        <v>0</v>
      </c>
    </row>
    <row r="1583" customFormat="false" ht="21" hidden="false" customHeight="false" outlineLevel="0" collapsed="false">
      <c r="A1583" s="154" t="n">
        <v>37371</v>
      </c>
      <c r="B1583" s="155" t="s">
        <v>1449</v>
      </c>
      <c r="C1583" s="148" t="str">
        <f aca="false">VLOOKUP($A1583,INSUMOS_AUX!$A$3:$H$813,3,0)</f>
        <v>MAT.</v>
      </c>
      <c r="D1583" s="156" t="s">
        <v>1444</v>
      </c>
      <c r="E1583" s="154" t="n">
        <v>1.311568</v>
      </c>
      <c r="F1583" s="149" t="n">
        <f aca="false">IF(C1583="MAT.",VLOOKUP(A1583,INSUMOS_AUX!$A$3:$H$813,6,0),0)</f>
        <v>0.59</v>
      </c>
      <c r="G1583" s="149" t="n">
        <f aca="false">IF(C1583="M.O.",VLOOKUP(A1583,INSUMOS_AUX!A:F,6,0),0)</f>
        <v>0</v>
      </c>
    </row>
    <row r="1584" customFormat="false" ht="31.5" hidden="false" customHeight="false" outlineLevel="0" collapsed="false">
      <c r="A1584" s="154" t="n">
        <v>10535</v>
      </c>
      <c r="B1584" s="155" t="s">
        <v>1525</v>
      </c>
      <c r="C1584" s="148" t="str">
        <f aca="false">VLOOKUP($A1584,INSUMOS_AUX!$A$3:$H$813,3,0)</f>
        <v>MAT.</v>
      </c>
      <c r="D1584" s="156" t="s">
        <v>31</v>
      </c>
      <c r="E1584" s="154" t="n">
        <v>6.8037984E-006</v>
      </c>
      <c r="F1584" s="149" t="n">
        <f aca="false">IF(C1584="MAT.",VLOOKUP(A1584,INSUMOS_AUX!$A$3:$H$813,6,0),0)</f>
        <v>4699</v>
      </c>
      <c r="G1584" s="149" t="n">
        <f aca="false">IF(C1584="M.O.",VLOOKUP(A1584,INSUMOS_AUX!A:F,6,0),0)</f>
        <v>0</v>
      </c>
    </row>
    <row r="1585" customFormat="false" ht="15" hidden="false" customHeight="false" outlineLevel="0" collapsed="false">
      <c r="A1585" s="154" t="n">
        <v>2705</v>
      </c>
      <c r="B1585" s="155" t="s">
        <v>1467</v>
      </c>
      <c r="C1585" s="148" t="s">
        <v>59</v>
      </c>
      <c r="D1585" s="156" t="s">
        <v>1468</v>
      </c>
      <c r="E1585" s="154" t="n">
        <v>0.02079</v>
      </c>
      <c r="F1585" s="149" t="n">
        <f aca="false">IF(C1585="MAT.",VLOOKUP(A1585,INSUMOS_AUX!$A$3:$H$813,6,0),0)</f>
        <v>0</v>
      </c>
      <c r="G1585" s="149" t="n">
        <f aca="false">IF(C1585="M.O.",VLOOKUP(A1585,INSUMOS_AUX!A:F,6,0),0)</f>
        <v>0</v>
      </c>
    </row>
    <row r="1586" customFormat="false" ht="21" hidden="false" customHeight="false" outlineLevel="0" collapsed="false">
      <c r="A1586" s="154" t="n">
        <v>370</v>
      </c>
      <c r="B1586" s="155" t="s">
        <v>1527</v>
      </c>
      <c r="C1586" s="148" t="str">
        <f aca="false">VLOOKUP($A1586,INSUMOS_AUX!$A$3:$H$813,3,0)</f>
        <v>MAT.</v>
      </c>
      <c r="D1586" s="156" t="s">
        <v>1442</v>
      </c>
      <c r="E1586" s="154" t="n">
        <v>0.019992</v>
      </c>
      <c r="F1586" s="149" t="n">
        <f aca="false">IF(C1586="MAT.",VLOOKUP(A1586,INSUMOS_AUX!$A$3:$H$813,6,0),0)</f>
        <v>150</v>
      </c>
      <c r="G1586" s="149" t="n">
        <f aca="false">IF(C1586="M.O.",VLOOKUP(A1586,INSUMOS_AUX!A:F,6,0),0)</f>
        <v>0</v>
      </c>
    </row>
    <row r="1587" customFormat="false" ht="21" hidden="false" customHeight="false" outlineLevel="0" collapsed="false">
      <c r="A1587" s="154" t="n">
        <v>38591</v>
      </c>
      <c r="B1587" s="155" t="s">
        <v>1743</v>
      </c>
      <c r="C1587" s="148" t="str">
        <f aca="false">VLOOKUP($A1587,INSUMOS_AUX!$A$3:$H$813,3,0)</f>
        <v>MAT.</v>
      </c>
      <c r="D1587" s="156" t="s">
        <v>31</v>
      </c>
      <c r="E1587" s="154" t="n">
        <v>1.46</v>
      </c>
      <c r="F1587" s="149" t="n">
        <f aca="false">IF(C1587="MAT.",VLOOKUP(A1587,INSUMOS_AUX!$A$3:$H$813,6,0),0)</f>
        <v>4.17</v>
      </c>
      <c r="G1587" s="149" t="n">
        <f aca="false">IF(C1587="M.O.",VLOOKUP(A1587,INSUMOS_AUX!A:F,6,0),0)</f>
        <v>0</v>
      </c>
    </row>
    <row r="1588" customFormat="false" ht="21" hidden="false" customHeight="false" outlineLevel="0" collapsed="false">
      <c r="A1588" s="154" t="n">
        <v>25070</v>
      </c>
      <c r="B1588" s="155" t="s">
        <v>1744</v>
      </c>
      <c r="C1588" s="148" t="str">
        <f aca="false">VLOOKUP($A1588,INSUMOS_AUX!$A$3:$H$813,3,0)</f>
        <v>MAT.</v>
      </c>
      <c r="D1588" s="156" t="s">
        <v>31</v>
      </c>
      <c r="E1588" s="154" t="n">
        <v>10.204</v>
      </c>
      <c r="F1588" s="149" t="n">
        <f aca="false">IF(C1588="MAT.",VLOOKUP(A1588,INSUMOS_AUX!$A$3:$H$813,6,0),0)</f>
        <v>4.57</v>
      </c>
      <c r="G1588" s="149" t="n">
        <f aca="false">IF(C1588="M.O.",VLOOKUP(A1588,INSUMOS_AUX!A:F,6,0),0)</f>
        <v>0</v>
      </c>
    </row>
    <row r="1589" customFormat="false" ht="15" hidden="false" customHeight="false" outlineLevel="0" collapsed="false">
      <c r="A1589" s="154" t="n">
        <v>1106</v>
      </c>
      <c r="B1589" s="155" t="s">
        <v>1745</v>
      </c>
      <c r="C1589" s="148" t="str">
        <f aca="false">VLOOKUP($A1589,INSUMOS_AUX!$A$3:$H$813,3,0)</f>
        <v>MAT.</v>
      </c>
      <c r="D1589" s="156" t="s">
        <v>1513</v>
      </c>
      <c r="E1589" s="154" t="n">
        <v>2.67036</v>
      </c>
      <c r="F1589" s="149" t="n">
        <f aca="false">IF(C1589="MAT.",VLOOKUP(A1589,INSUMOS_AUX!$A$3:$H$813,6,0),0)</f>
        <v>1.39</v>
      </c>
      <c r="G1589" s="149" t="n">
        <f aca="false">IF(C1589="M.O.",VLOOKUP(A1589,INSUMOS_AUX!A:F,6,0),0)</f>
        <v>0</v>
      </c>
    </row>
    <row r="1590" customFormat="false" ht="21" hidden="false" customHeight="false" outlineLevel="0" collapsed="false">
      <c r="A1590" s="154" t="n">
        <v>38597</v>
      </c>
      <c r="B1590" s="155" t="s">
        <v>1746</v>
      </c>
      <c r="C1590" s="148" t="str">
        <f aca="false">VLOOKUP($A1590,INSUMOS_AUX!$A$3:$H$813,3,0)</f>
        <v>MAT.</v>
      </c>
      <c r="D1590" s="156" t="s">
        <v>31</v>
      </c>
      <c r="E1590" s="154" t="n">
        <v>0.97</v>
      </c>
      <c r="F1590" s="149" t="n">
        <f aca="false">IF(C1590="MAT.",VLOOKUP(A1590,INSUMOS_AUX!$A$3:$H$813,6,0),0)</f>
        <v>5.14</v>
      </c>
      <c r="G1590" s="149" t="n">
        <f aca="false">IF(C1590="M.O.",VLOOKUP(A1590,INSUMOS_AUX!A:F,6,0),0)</f>
        <v>0</v>
      </c>
    </row>
    <row r="1591" customFormat="false" ht="15" hidden="false" customHeight="false" outlineLevel="0" collapsed="false">
      <c r="A1591" s="154" t="n">
        <v>1379</v>
      </c>
      <c r="B1591" s="155" t="s">
        <v>1535</v>
      </c>
      <c r="C1591" s="148" t="str">
        <f aca="false">VLOOKUP($A1591,INSUMOS_AUX!$A$3:$H$813,3,0)</f>
        <v>MAT.</v>
      </c>
      <c r="D1591" s="156" t="s">
        <v>1513</v>
      </c>
      <c r="E1591" s="154" t="n">
        <v>3.004176</v>
      </c>
      <c r="F1591" s="149" t="n">
        <f aca="false">IF(C1591="MAT.",VLOOKUP(A1591,INSUMOS_AUX!$A$3:$H$813,6,0),0)</f>
        <v>0.72</v>
      </c>
      <c r="G1591" s="149" t="n">
        <f aca="false">IF(C1591="M.O.",VLOOKUP(A1591,INSUMOS_AUX!A:F,6,0),0)</f>
        <v>0</v>
      </c>
    </row>
    <row r="1592" customFormat="false" ht="21" hidden="false" customHeight="false" outlineLevel="0" collapsed="false">
      <c r="A1592" s="154" t="n">
        <v>38589</v>
      </c>
      <c r="B1592" s="155" t="s">
        <v>1747</v>
      </c>
      <c r="C1592" s="148" t="str">
        <f aca="false">VLOOKUP($A1592,INSUMOS_AUX!$A$3:$H$813,3,0)</f>
        <v>MAT.</v>
      </c>
      <c r="D1592" s="156" t="s">
        <v>31</v>
      </c>
      <c r="E1592" s="154" t="n">
        <v>1.46</v>
      </c>
      <c r="F1592" s="149" t="n">
        <f aca="false">IF(C1592="MAT.",VLOOKUP(A1592,INSUMOS_AUX!$A$3:$H$813,6,0),0)</f>
        <v>2.61</v>
      </c>
      <c r="G1592" s="149" t="n">
        <f aca="false">IF(C1592="M.O.",VLOOKUP(A1592,INSUMOS_AUX!A:F,6,0),0)</f>
        <v>0</v>
      </c>
    </row>
    <row r="1593" customFormat="false" ht="15" hidden="false" customHeight="false" outlineLevel="0" collapsed="false">
      <c r="A1593" s="154" t="n">
        <v>37666</v>
      </c>
      <c r="B1593" s="155" t="s">
        <v>1558</v>
      </c>
      <c r="C1593" s="148" t="str">
        <f aca="false">VLOOKUP($A1593,INSUMOS_AUX!$A$3:$H$813,3,0)</f>
        <v>M.O.</v>
      </c>
      <c r="D1593" s="156" t="s">
        <v>1444</v>
      </c>
      <c r="E1593" s="154" t="n">
        <v>0.07216273008</v>
      </c>
      <c r="F1593" s="149" t="n">
        <f aca="false">IF(C1593="MAT.",VLOOKUP(A1593,INSUMOS_AUX!$A$3:$H$813,6,0),0)</f>
        <v>0</v>
      </c>
      <c r="G1593" s="149" t="n">
        <f aca="false">IF(C1593="M.O.",VLOOKUP(A1593,INSUMOS_AUX!A:F,6,0),0)</f>
        <v>11.87</v>
      </c>
    </row>
    <row r="1594" customFormat="false" ht="15" hidden="false" customHeight="false" outlineLevel="0" collapsed="false">
      <c r="A1594" s="154" t="n">
        <v>4750</v>
      </c>
      <c r="B1594" s="155" t="s">
        <v>1463</v>
      </c>
      <c r="C1594" s="148" t="str">
        <f aca="false">VLOOKUP($A1594,INSUMOS_AUX!$A$3:$H$813,3,0)</f>
        <v>M.O.</v>
      </c>
      <c r="D1594" s="156" t="s">
        <v>1444</v>
      </c>
      <c r="E1594" s="154" t="n">
        <v>0.633144</v>
      </c>
      <c r="F1594" s="149" t="n">
        <f aca="false">IF(C1594="MAT.",VLOOKUP(A1594,INSUMOS_AUX!$A$3:$H$813,6,0),0)</f>
        <v>0</v>
      </c>
      <c r="G1594" s="149" t="n">
        <f aca="false">IF(C1594="M.O.",VLOOKUP(A1594,INSUMOS_AUX!A:F,6,0),0)</f>
        <v>20.22</v>
      </c>
    </row>
    <row r="1595" customFormat="false" ht="15" hidden="false" customHeight="false" outlineLevel="0" collapsed="false">
      <c r="A1595" s="154" t="n">
        <v>6111</v>
      </c>
      <c r="B1595" s="155" t="s">
        <v>1464</v>
      </c>
      <c r="C1595" s="148" t="str">
        <f aca="false">VLOOKUP($A1595,INSUMOS_AUX!$A$3:$H$813,3,0)</f>
        <v>M.O.</v>
      </c>
      <c r="D1595" s="156" t="s">
        <v>1444</v>
      </c>
      <c r="E1595" s="154" t="n">
        <v>0.633144</v>
      </c>
      <c r="F1595" s="149" t="n">
        <f aca="false">IF(C1595="MAT.",VLOOKUP(A1595,INSUMOS_AUX!$A$3:$H$813,6,0),0)</f>
        <v>0</v>
      </c>
      <c r="G1595" s="149" t="n">
        <f aca="false">IF(C1595="M.O.",VLOOKUP(A1595,INSUMOS_AUX!A:F,6,0),0)</f>
        <v>12.95</v>
      </c>
    </row>
    <row r="1596" customFormat="false" ht="21" hidden="false" customHeight="false" outlineLevel="0" collapsed="false">
      <c r="A1596" s="150" t="n">
        <v>91603</v>
      </c>
      <c r="B1596" s="151" t="s">
        <v>1748</v>
      </c>
      <c r="C1596" s="152" t="s">
        <v>59</v>
      </c>
      <c r="D1596" s="152" t="s">
        <v>1513</v>
      </c>
      <c r="E1596" s="150"/>
      <c r="F1596" s="153" t="n">
        <f aca="false">(SUMPRODUCT($E1597:$E1606,F1597:F1606))*1</f>
        <v>9.103846686</v>
      </c>
      <c r="G1596" s="153" t="n">
        <f aca="false">(SUMPRODUCT($E1597:$E1606,G1597:G1606))*1</f>
        <v>0.70064961034824</v>
      </c>
    </row>
    <row r="1597" customFormat="false" ht="21" hidden="false" customHeight="false" outlineLevel="0" collapsed="false">
      <c r="A1597" s="154" t="n">
        <v>37370</v>
      </c>
      <c r="B1597" s="155" t="s">
        <v>1443</v>
      </c>
      <c r="C1597" s="148" t="str">
        <f aca="false">VLOOKUP($A1597,INSUMOS_AUX!$A$3:$H$813,3,0)</f>
        <v>MAT.</v>
      </c>
      <c r="D1597" s="156" t="s">
        <v>1444</v>
      </c>
      <c r="E1597" s="154" t="n">
        <v>0.0357186</v>
      </c>
      <c r="F1597" s="149" t="n">
        <f aca="false">IF(C1597="MAT.",VLOOKUP(A1597,INSUMOS_AUX!$A$3:$H$813,6,0),0)</f>
        <v>3.32</v>
      </c>
      <c r="G1597" s="149" t="n">
        <f aca="false">IF(C1597="M.O.",VLOOKUP(A1597,INSUMOS_AUX!A:F,6,0),0)</f>
        <v>0</v>
      </c>
    </row>
    <row r="1598" customFormat="false" ht="21" hidden="false" customHeight="false" outlineLevel="0" collapsed="false">
      <c r="A1598" s="154" t="n">
        <v>43489</v>
      </c>
      <c r="B1598" s="155" t="s">
        <v>1456</v>
      </c>
      <c r="C1598" s="148" t="str">
        <f aca="false">VLOOKUP($A1598,INSUMOS_AUX!$A$3:$H$813,3,0)</f>
        <v>MAT.</v>
      </c>
      <c r="D1598" s="156" t="s">
        <v>1444</v>
      </c>
      <c r="E1598" s="154" t="n">
        <v>0.0357186</v>
      </c>
      <c r="F1598" s="149" t="n">
        <f aca="false">IF(C1598="MAT.",VLOOKUP(A1598,INSUMOS_AUX!$A$3:$H$813,6,0),0)</f>
        <v>1.31</v>
      </c>
      <c r="G1598" s="149" t="n">
        <f aca="false">IF(C1598="M.O.",VLOOKUP(A1598,INSUMOS_AUX!A:F,6,0),0)</f>
        <v>0</v>
      </c>
    </row>
    <row r="1599" customFormat="false" ht="21" hidden="false" customHeight="false" outlineLevel="0" collapsed="false">
      <c r="A1599" s="154" t="n">
        <v>37372</v>
      </c>
      <c r="B1599" s="155" t="s">
        <v>1446</v>
      </c>
      <c r="C1599" s="148" t="str">
        <f aca="false">VLOOKUP($A1599,INSUMOS_AUX!$A$3:$H$813,3,0)</f>
        <v>MAT.</v>
      </c>
      <c r="D1599" s="156" t="s">
        <v>1444</v>
      </c>
      <c r="E1599" s="154" t="n">
        <v>0.0357186</v>
      </c>
      <c r="F1599" s="149" t="n">
        <f aca="false">IF(C1599="MAT.",VLOOKUP(A1599,INSUMOS_AUX!$A$3:$H$813,6,0),0)</f>
        <v>1.43</v>
      </c>
      <c r="G1599" s="149" t="n">
        <f aca="false">IF(C1599="M.O.",VLOOKUP(A1599,INSUMOS_AUX!A:F,6,0),0)</f>
        <v>0</v>
      </c>
    </row>
    <row r="1600" customFormat="false" ht="21" hidden="false" customHeight="false" outlineLevel="0" collapsed="false">
      <c r="A1600" s="154" t="n">
        <v>43465</v>
      </c>
      <c r="B1600" s="155" t="s">
        <v>1458</v>
      </c>
      <c r="C1600" s="148" t="str">
        <f aca="false">VLOOKUP($A1600,INSUMOS_AUX!$A$3:$H$813,3,0)</f>
        <v>MAT.</v>
      </c>
      <c r="D1600" s="156" t="s">
        <v>1444</v>
      </c>
      <c r="E1600" s="154" t="n">
        <v>0.0357186</v>
      </c>
      <c r="F1600" s="149" t="n">
        <f aca="false">IF(C1600="MAT.",VLOOKUP(A1600,INSUMOS_AUX!$A$3:$H$813,6,0),0)</f>
        <v>0.78</v>
      </c>
      <c r="G1600" s="149" t="n">
        <f aca="false">IF(C1600="M.O.",VLOOKUP(A1600,INSUMOS_AUX!A:F,6,0),0)</f>
        <v>0</v>
      </c>
    </row>
    <row r="1601" customFormat="false" ht="21" hidden="false" customHeight="false" outlineLevel="0" collapsed="false">
      <c r="A1601" s="154" t="n">
        <v>37373</v>
      </c>
      <c r="B1601" s="155" t="s">
        <v>1448</v>
      </c>
      <c r="C1601" s="148" t="str">
        <f aca="false">VLOOKUP($A1601,INSUMOS_AUX!$A$3:$H$813,3,0)</f>
        <v>MAT.</v>
      </c>
      <c r="D1601" s="156" t="s">
        <v>1444</v>
      </c>
      <c r="E1601" s="154" t="n">
        <v>0.0357186</v>
      </c>
      <c r="F1601" s="149" t="n">
        <f aca="false">IF(C1601="MAT.",VLOOKUP(A1601,INSUMOS_AUX!$A$3:$H$813,6,0),0)</f>
        <v>0.08</v>
      </c>
      <c r="G1601" s="149" t="n">
        <f aca="false">IF(C1601="M.O.",VLOOKUP(A1601,INSUMOS_AUX!A:F,6,0),0)</f>
        <v>0</v>
      </c>
    </row>
    <row r="1602" customFormat="false" ht="21" hidden="false" customHeight="false" outlineLevel="0" collapsed="false">
      <c r="A1602" s="154" t="n">
        <v>37371</v>
      </c>
      <c r="B1602" s="155" t="s">
        <v>1449</v>
      </c>
      <c r="C1602" s="148" t="str">
        <f aca="false">VLOOKUP($A1602,INSUMOS_AUX!$A$3:$H$813,3,0)</f>
        <v>MAT.</v>
      </c>
      <c r="D1602" s="156" t="s">
        <v>1444</v>
      </c>
      <c r="E1602" s="154" t="n">
        <v>0.0357186</v>
      </c>
      <c r="F1602" s="149" t="n">
        <f aca="false">IF(C1602="MAT.",VLOOKUP(A1602,INSUMOS_AUX!$A$3:$H$813,6,0),0)</f>
        <v>0.59</v>
      </c>
      <c r="G1602" s="149" t="n">
        <f aca="false">IF(C1602="M.O.",VLOOKUP(A1602,INSUMOS_AUX!A:F,6,0),0)</f>
        <v>0</v>
      </c>
    </row>
    <row r="1603" customFormat="false" ht="15" hidden="false" customHeight="false" outlineLevel="0" collapsed="false">
      <c r="A1603" s="154" t="n">
        <v>34</v>
      </c>
      <c r="B1603" s="155" t="s">
        <v>1645</v>
      </c>
      <c r="C1603" s="148" t="str">
        <f aca="false">VLOOKUP($A1603,INSUMOS_AUX!$A$3:$H$813,3,0)</f>
        <v>MAT.</v>
      </c>
      <c r="D1603" s="156" t="s">
        <v>1513</v>
      </c>
      <c r="E1603" s="154" t="n">
        <v>1.11</v>
      </c>
      <c r="F1603" s="149" t="n">
        <f aca="false">IF(C1603="MAT.",VLOOKUP(A1603,INSUMOS_AUX!$A$3:$H$813,6,0),0)</f>
        <v>7.68</v>
      </c>
      <c r="G1603" s="149" t="n">
        <f aca="false">IF(C1603="M.O.",VLOOKUP(A1603,INSUMOS_AUX!A:F,6,0),0)</f>
        <v>0</v>
      </c>
    </row>
    <row r="1604" customFormat="false" ht="21" hidden="false" customHeight="false" outlineLevel="0" collapsed="false">
      <c r="A1604" s="154" t="n">
        <v>43132</v>
      </c>
      <c r="B1604" s="155" t="s">
        <v>1565</v>
      </c>
      <c r="C1604" s="148" t="str">
        <f aca="false">VLOOKUP($A1604,INSUMOS_AUX!$A$3:$H$813,3,0)</f>
        <v>MAT.</v>
      </c>
      <c r="D1604" s="156" t="s">
        <v>1513</v>
      </c>
      <c r="E1604" s="154" t="n">
        <v>0.0111</v>
      </c>
      <c r="F1604" s="149" t="n">
        <f aca="false">IF(C1604="MAT.",VLOOKUP(A1604,INSUMOS_AUX!$A$3:$H$813,6,0),0)</f>
        <v>28</v>
      </c>
      <c r="G1604" s="149" t="n">
        <f aca="false">IF(C1604="M.O.",VLOOKUP(A1604,INSUMOS_AUX!A:F,6,0),0)</f>
        <v>0</v>
      </c>
    </row>
    <row r="1605" customFormat="false" ht="15" hidden="false" customHeight="false" outlineLevel="0" collapsed="false">
      <c r="A1605" s="154" t="n">
        <v>6114</v>
      </c>
      <c r="B1605" s="155" t="s">
        <v>1588</v>
      </c>
      <c r="C1605" s="148" t="str">
        <f aca="false">VLOOKUP($A1605,INSUMOS_AUX!$A$3:$H$813,3,0)</f>
        <v>M.O.</v>
      </c>
      <c r="D1605" s="156" t="s">
        <v>1444</v>
      </c>
      <c r="E1605" s="154" t="n">
        <v>0.004298134614</v>
      </c>
      <c r="F1605" s="149" t="n">
        <f aca="false">IF(C1605="MAT.",VLOOKUP(A1605,INSUMOS_AUX!$A$3:$H$813,6,0),0)</f>
        <v>0</v>
      </c>
      <c r="G1605" s="149" t="n">
        <f aca="false">IF(C1605="M.O.",VLOOKUP(A1605,INSUMOS_AUX!A:F,6,0),0)</f>
        <v>13.26</v>
      </c>
    </row>
    <row r="1606" customFormat="false" ht="15" hidden="false" customHeight="false" outlineLevel="0" collapsed="false">
      <c r="A1606" s="154" t="n">
        <v>378</v>
      </c>
      <c r="B1606" s="155" t="s">
        <v>1589</v>
      </c>
      <c r="C1606" s="148" t="str">
        <f aca="false">VLOOKUP($A1606,INSUMOS_AUX!$A$3:$H$813,3,0)</f>
        <v>M.O.</v>
      </c>
      <c r="D1606" s="156" t="s">
        <v>1444</v>
      </c>
      <c r="E1606" s="154" t="n">
        <v>0.03183265803</v>
      </c>
      <c r="F1606" s="149" t="n">
        <f aca="false">IF(C1606="MAT.",VLOOKUP(A1606,INSUMOS_AUX!$A$3:$H$813,6,0),0)</f>
        <v>0</v>
      </c>
      <c r="G1606" s="149" t="n">
        <f aca="false">IF(C1606="M.O.",VLOOKUP(A1606,INSUMOS_AUX!A:F,6,0),0)</f>
        <v>20.22</v>
      </c>
    </row>
    <row r="1607" customFormat="false" ht="31.5" hidden="false" customHeight="false" outlineLevel="0" collapsed="false">
      <c r="A1607" s="150" t="s">
        <v>314</v>
      </c>
      <c r="B1607" s="151" t="s">
        <v>1749</v>
      </c>
      <c r="C1607" s="152" t="s">
        <v>59</v>
      </c>
      <c r="D1607" s="152" t="s">
        <v>31</v>
      </c>
      <c r="E1607" s="150"/>
      <c r="F1607" s="153" t="n">
        <f aca="false">(SUMPRODUCT($E1608:$E1618,F1608:F1618))*1</f>
        <v>0.72078193274</v>
      </c>
      <c r="G1607" s="153" t="n">
        <f aca="false">(SUMPRODUCT($E1608:$E1618,G1608:G1618))*1</f>
        <v>1.40222876676</v>
      </c>
    </row>
    <row r="1608" customFormat="false" ht="21" hidden="false" customHeight="false" outlineLevel="0" collapsed="false">
      <c r="A1608" s="154" t="n">
        <v>37370</v>
      </c>
      <c r="B1608" s="155" t="s">
        <v>1443</v>
      </c>
      <c r="C1608" s="148" t="str">
        <f aca="false">VLOOKUP($A1608,INSUMOS_AUX!$A$3:$H$813,3,0)</f>
        <v>MAT.</v>
      </c>
      <c r="D1608" s="156" t="s">
        <v>1444</v>
      </c>
      <c r="E1608" s="154" t="n">
        <v>0.0737</v>
      </c>
      <c r="F1608" s="149" t="n">
        <f aca="false">IF(C1608="MAT.",VLOOKUP(A1608,INSUMOS_AUX!$A$3:$H$813,6,0),0)</f>
        <v>3.32</v>
      </c>
      <c r="G1608" s="149" t="n">
        <f aca="false">IF(C1608="M.O.",VLOOKUP(A1608,INSUMOS_AUX!A:F,6,0),0)</f>
        <v>0</v>
      </c>
    </row>
    <row r="1609" customFormat="false" ht="21" hidden="false" customHeight="false" outlineLevel="0" collapsed="false">
      <c r="A1609" s="154" t="n">
        <v>43485</v>
      </c>
      <c r="B1609" s="155" t="s">
        <v>1481</v>
      </c>
      <c r="C1609" s="148" t="str">
        <f aca="false">VLOOKUP($A1609,INSUMOS_AUX!$A$3:$H$813,3,0)</f>
        <v>MAT.</v>
      </c>
      <c r="D1609" s="156" t="s">
        <v>1444</v>
      </c>
      <c r="E1609" s="154" t="n">
        <v>0.0737</v>
      </c>
      <c r="F1609" s="149" t="n">
        <f aca="false">IF(C1609="MAT.",VLOOKUP(A1609,INSUMOS_AUX!$A$3:$H$813,6,0),0)</f>
        <v>1.13</v>
      </c>
      <c r="G1609" s="149" t="n">
        <f aca="false">IF(C1609="M.O.",VLOOKUP(A1609,INSUMOS_AUX!A:F,6,0),0)</f>
        <v>0</v>
      </c>
    </row>
    <row r="1610" customFormat="false" ht="21" hidden="false" customHeight="false" outlineLevel="0" collapsed="false">
      <c r="A1610" s="154" t="n">
        <v>37372</v>
      </c>
      <c r="B1610" s="155" t="s">
        <v>1446</v>
      </c>
      <c r="C1610" s="148" t="str">
        <f aca="false">VLOOKUP($A1610,INSUMOS_AUX!$A$3:$H$813,3,0)</f>
        <v>MAT.</v>
      </c>
      <c r="D1610" s="156" t="s">
        <v>1444</v>
      </c>
      <c r="E1610" s="154" t="n">
        <v>0.0737</v>
      </c>
      <c r="F1610" s="149" t="n">
        <f aca="false">IF(C1610="MAT.",VLOOKUP(A1610,INSUMOS_AUX!$A$3:$H$813,6,0),0)</f>
        <v>1.43</v>
      </c>
      <c r="G1610" s="149" t="n">
        <f aca="false">IF(C1610="M.O.",VLOOKUP(A1610,INSUMOS_AUX!A:F,6,0),0)</f>
        <v>0</v>
      </c>
    </row>
    <row r="1611" customFormat="false" ht="21" hidden="false" customHeight="false" outlineLevel="0" collapsed="false">
      <c r="A1611" s="154" t="n">
        <v>43461</v>
      </c>
      <c r="B1611" s="155" t="s">
        <v>1482</v>
      </c>
      <c r="C1611" s="148" t="str">
        <f aca="false">VLOOKUP($A1611,INSUMOS_AUX!$A$3:$H$813,3,0)</f>
        <v>MAT.</v>
      </c>
      <c r="D1611" s="156" t="s">
        <v>1444</v>
      </c>
      <c r="E1611" s="154" t="n">
        <v>0.0737</v>
      </c>
      <c r="F1611" s="149" t="n">
        <f aca="false">IF(C1611="MAT.",VLOOKUP(A1611,INSUMOS_AUX!$A$3:$H$813,6,0),0)</f>
        <v>0.31</v>
      </c>
      <c r="G1611" s="149" t="n">
        <f aca="false">IF(C1611="M.O.",VLOOKUP(A1611,INSUMOS_AUX!A:F,6,0),0)</f>
        <v>0</v>
      </c>
    </row>
    <row r="1612" customFormat="false" ht="21" hidden="false" customHeight="false" outlineLevel="0" collapsed="false">
      <c r="A1612" s="154" t="n">
        <v>37373</v>
      </c>
      <c r="B1612" s="155" t="s">
        <v>1448</v>
      </c>
      <c r="C1612" s="148" t="str">
        <f aca="false">VLOOKUP($A1612,INSUMOS_AUX!$A$3:$H$813,3,0)</f>
        <v>MAT.</v>
      </c>
      <c r="D1612" s="156" t="s">
        <v>1444</v>
      </c>
      <c r="E1612" s="154" t="n">
        <v>0.0737</v>
      </c>
      <c r="F1612" s="149" t="n">
        <f aca="false">IF(C1612="MAT.",VLOOKUP(A1612,INSUMOS_AUX!$A$3:$H$813,6,0),0)</f>
        <v>0.08</v>
      </c>
      <c r="G1612" s="149" t="n">
        <f aca="false">IF(C1612="M.O.",VLOOKUP(A1612,INSUMOS_AUX!A:F,6,0),0)</f>
        <v>0</v>
      </c>
    </row>
    <row r="1613" customFormat="false" ht="21" hidden="false" customHeight="false" outlineLevel="0" collapsed="false">
      <c r="A1613" s="154" t="n">
        <v>37371</v>
      </c>
      <c r="B1613" s="155" t="s">
        <v>1449</v>
      </c>
      <c r="C1613" s="148" t="s">
        <v>59</v>
      </c>
      <c r="D1613" s="156" t="s">
        <v>1444</v>
      </c>
      <c r="E1613" s="154" t="n">
        <v>0.0737</v>
      </c>
      <c r="F1613" s="149" t="n">
        <f aca="false">IF(C1613="MAT.",VLOOKUP(A1613,INSUMOS_AUX!$A$3:$H$813,6,0),0)</f>
        <v>0</v>
      </c>
      <c r="G1613" s="149" t="n">
        <f aca="false">IF(C1613="M.O.",VLOOKUP(A1613,INSUMOS_AUX!A:F,6,0),0)</f>
        <v>0</v>
      </c>
    </row>
    <row r="1614" customFormat="false" ht="31.5" hidden="false" customHeight="false" outlineLevel="0" collapsed="false">
      <c r="A1614" s="154" t="n">
        <v>40791</v>
      </c>
      <c r="B1614" s="155" t="s">
        <v>1750</v>
      </c>
      <c r="C1614" s="148" t="str">
        <f aca="false">VLOOKUP($A1614,INSUMOS_AUX!$A$3:$H$813,3,0)</f>
        <v>MAT.</v>
      </c>
      <c r="D1614" s="156" t="s">
        <v>31</v>
      </c>
      <c r="E1614" s="154" t="n">
        <v>5.867E-006</v>
      </c>
      <c r="F1614" s="149" t="n">
        <f aca="false">IF(C1614="MAT.",VLOOKUP(A1614,INSUMOS_AUX!$A$3:$H$813,6,0),0)</f>
        <v>32836.22</v>
      </c>
      <c r="G1614" s="149" t="n">
        <f aca="false">IF(C1614="M.O.",VLOOKUP(A1614,INSUMOS_AUX!A:F,6,0),0)</f>
        <v>0</v>
      </c>
    </row>
    <row r="1615" customFormat="false" ht="15" hidden="false" customHeight="false" outlineLevel="0" collapsed="false">
      <c r="A1615" s="154" t="n">
        <v>2705</v>
      </c>
      <c r="B1615" s="155" t="s">
        <v>1467</v>
      </c>
      <c r="C1615" s="148" t="str">
        <f aca="false">VLOOKUP($A1615,INSUMOS_AUX!$A$3:$H$813,3,0)</f>
        <v>MAT.</v>
      </c>
      <c r="D1615" s="156" t="s">
        <v>1468</v>
      </c>
      <c r="E1615" s="154" t="n">
        <v>0.052271</v>
      </c>
      <c r="F1615" s="149" t="n">
        <f aca="false">IF(C1615="MAT.",VLOOKUP(A1615,INSUMOS_AUX!$A$3:$H$813,6,0),0)</f>
        <v>0.92</v>
      </c>
      <c r="G1615" s="149" t="n">
        <f aca="false">IF(C1615="M.O.",VLOOKUP(A1615,INSUMOS_AUX!A:F,6,0),0)</f>
        <v>0</v>
      </c>
    </row>
    <row r="1616" customFormat="false" ht="21" hidden="false" customHeight="false" outlineLevel="0" collapsed="false">
      <c r="A1616" s="154" t="n">
        <v>131</v>
      </c>
      <c r="B1616" s="155" t="s">
        <v>1751</v>
      </c>
      <c r="C1616" s="148" t="str">
        <f aca="false">VLOOKUP($A1616,INSUMOS_AUX!$A$3:$H$813,3,0)</f>
        <v>MAT.</v>
      </c>
      <c r="D1616" s="156" t="s">
        <v>1513</v>
      </c>
      <c r="E1616" s="154" t="n">
        <v>0.000417</v>
      </c>
      <c r="F1616" s="149" t="n">
        <f aca="false">IF(C1616="MAT.",VLOOKUP(A1616,INSUMOS_AUX!$A$3:$H$813,6,0),0)</f>
        <v>43.03</v>
      </c>
      <c r="G1616" s="149" t="n">
        <f aca="false">IF(C1616="M.O.",VLOOKUP(A1616,INSUMOS_AUX!A:F,6,0),0)</f>
        <v>0</v>
      </c>
    </row>
    <row r="1617" customFormat="false" ht="15" hidden="false" customHeight="false" outlineLevel="0" collapsed="false">
      <c r="A1617" s="154" t="n">
        <v>246</v>
      </c>
      <c r="B1617" s="155" t="s">
        <v>1752</v>
      </c>
      <c r="C1617" s="148" t="str">
        <f aca="false">VLOOKUP($A1617,INSUMOS_AUX!$A$3:$H$813,3,0)</f>
        <v>M.O.</v>
      </c>
      <c r="D1617" s="156" t="s">
        <v>1444</v>
      </c>
      <c r="E1617" s="154" t="n">
        <v>0.016491276</v>
      </c>
      <c r="F1617" s="149" t="n">
        <f aca="false">IF(C1617="MAT.",VLOOKUP(A1617,INSUMOS_AUX!$A$3:$H$813,6,0),0)</f>
        <v>0</v>
      </c>
      <c r="G1617" s="149" t="n">
        <f aca="false">IF(C1617="M.O.",VLOOKUP(A1617,INSUMOS_AUX!A:F,6,0),0)</f>
        <v>13.26</v>
      </c>
    </row>
    <row r="1618" customFormat="false" ht="15" hidden="false" customHeight="false" outlineLevel="0" collapsed="false">
      <c r="A1618" s="154" t="n">
        <v>2696</v>
      </c>
      <c r="B1618" s="155" t="s">
        <v>1483</v>
      </c>
      <c r="C1618" s="148" t="str">
        <f aca="false">VLOOKUP($A1618,INSUMOS_AUX!$A$3:$H$813,3,0)</f>
        <v>M.O.</v>
      </c>
      <c r="D1618" s="156" t="s">
        <v>1444</v>
      </c>
      <c r="E1618" s="154" t="n">
        <v>0.05853385</v>
      </c>
      <c r="F1618" s="149" t="n">
        <f aca="false">IF(C1618="MAT.",VLOOKUP(A1618,INSUMOS_AUX!$A$3:$H$813,6,0),0)</f>
        <v>0</v>
      </c>
      <c r="G1618" s="149" t="n">
        <f aca="false">IF(C1618="M.O.",VLOOKUP(A1618,INSUMOS_AUX!A:F,6,0),0)</f>
        <v>20.22</v>
      </c>
    </row>
    <row r="1619" customFormat="false" ht="31.5" hidden="false" customHeight="false" outlineLevel="0" collapsed="false">
      <c r="A1619" s="150" t="n">
        <v>92508</v>
      </c>
      <c r="B1619" s="151" t="s">
        <v>1753</v>
      </c>
      <c r="C1619" s="152" t="s">
        <v>59</v>
      </c>
      <c r="D1619" s="152" t="s">
        <v>1477</v>
      </c>
      <c r="E1619" s="150"/>
      <c r="F1619" s="153" t="n">
        <f aca="false">(SUMPRODUCT($E1620:$E1636,F1620:F1636))*1</f>
        <v>85.6956652794103</v>
      </c>
      <c r="G1619" s="153" t="n">
        <f aca="false">(SUMPRODUCT($E1620:$E1636,G1620:G1636))*1</f>
        <v>27.5587156564338</v>
      </c>
    </row>
    <row r="1620" customFormat="false" ht="21" hidden="false" customHeight="false" outlineLevel="0" collapsed="false">
      <c r="A1620" s="154" t="n">
        <v>37370</v>
      </c>
      <c r="B1620" s="155" t="s">
        <v>1443</v>
      </c>
      <c r="C1620" s="148" t="str">
        <f aca="false">VLOOKUP($A1620,INSUMOS_AUX!$A$3:$H$813,3,0)</f>
        <v>MAT.</v>
      </c>
      <c r="D1620" s="156" t="s">
        <v>1444</v>
      </c>
      <c r="E1620" s="154" t="n">
        <v>1.427349</v>
      </c>
      <c r="F1620" s="149" t="n">
        <f aca="false">IF(C1620="MAT.",VLOOKUP(A1620,INSUMOS_AUX!$A$3:$H$813,6,0),0)</f>
        <v>3.32</v>
      </c>
      <c r="G1620" s="149" t="n">
        <f aca="false">IF(C1620="M.O.",VLOOKUP(A1620,INSUMOS_AUX!A:F,6,0),0)</f>
        <v>0</v>
      </c>
    </row>
    <row r="1621" customFormat="false" ht="21" hidden="false" customHeight="false" outlineLevel="0" collapsed="false">
      <c r="A1621" s="154" t="n">
        <v>43483</v>
      </c>
      <c r="B1621" s="155" t="s">
        <v>1486</v>
      </c>
      <c r="C1621" s="148" t="s">
        <v>59</v>
      </c>
      <c r="D1621" s="156" t="s">
        <v>1444</v>
      </c>
      <c r="E1621" s="154" t="n">
        <v>1.41177</v>
      </c>
      <c r="F1621" s="149" t="n">
        <f aca="false">IF(C1621="MAT.",VLOOKUP(A1621,INSUMOS_AUX!$A$3:$H$813,6,0),0)</f>
        <v>0</v>
      </c>
      <c r="G1621" s="149" t="n">
        <f aca="false">IF(C1621="M.O.",VLOOKUP(A1621,INSUMOS_AUX!A:F,6,0),0)</f>
        <v>0</v>
      </c>
    </row>
    <row r="1622" customFormat="false" ht="21" hidden="false" customHeight="false" outlineLevel="0" collapsed="false">
      <c r="A1622" s="154" t="n">
        <v>43488</v>
      </c>
      <c r="B1622" s="155" t="s">
        <v>1445</v>
      </c>
      <c r="C1622" s="148" t="str">
        <f aca="false">VLOOKUP($A1622,INSUMOS_AUX!$A$3:$H$813,3,0)</f>
        <v>MAT.</v>
      </c>
      <c r="D1622" s="156" t="s">
        <v>1444</v>
      </c>
      <c r="E1622" s="154" t="n">
        <v>0.015579</v>
      </c>
      <c r="F1622" s="149" t="n">
        <f aca="false">IF(C1622="MAT.",VLOOKUP(A1622,INSUMOS_AUX!$A$3:$H$813,6,0),0)</f>
        <v>0.89</v>
      </c>
      <c r="G1622" s="149" t="n">
        <f aca="false">IF(C1622="M.O.",VLOOKUP(A1622,INSUMOS_AUX!A:F,6,0),0)</f>
        <v>0</v>
      </c>
    </row>
    <row r="1623" customFormat="false" ht="21" hidden="false" customHeight="false" outlineLevel="0" collapsed="false">
      <c r="A1623" s="154" t="n">
        <v>37372</v>
      </c>
      <c r="B1623" s="155" t="s">
        <v>1446</v>
      </c>
      <c r="C1623" s="148" t="str">
        <f aca="false">VLOOKUP($A1623,INSUMOS_AUX!$A$3:$H$813,3,0)</f>
        <v>MAT.</v>
      </c>
      <c r="D1623" s="156" t="s">
        <v>1444</v>
      </c>
      <c r="E1623" s="154" t="n">
        <v>1.427349</v>
      </c>
      <c r="F1623" s="149" t="n">
        <f aca="false">IF(C1623="MAT.",VLOOKUP(A1623,INSUMOS_AUX!$A$3:$H$813,6,0),0)</f>
        <v>1.43</v>
      </c>
      <c r="G1623" s="149" t="n">
        <f aca="false">IF(C1623="M.O.",VLOOKUP(A1623,INSUMOS_AUX!A:F,6,0),0)</f>
        <v>0</v>
      </c>
    </row>
    <row r="1624" customFormat="false" ht="21" hidden="false" customHeight="false" outlineLevel="0" collapsed="false">
      <c r="A1624" s="154" t="n">
        <v>43459</v>
      </c>
      <c r="B1624" s="155" t="s">
        <v>1487</v>
      </c>
      <c r="C1624" s="148" t="str">
        <f aca="false">VLOOKUP($A1624,INSUMOS_AUX!$A$3:$H$813,3,0)</f>
        <v>MAT.</v>
      </c>
      <c r="D1624" s="156" t="s">
        <v>1444</v>
      </c>
      <c r="E1624" s="154" t="n">
        <v>1.41177</v>
      </c>
      <c r="F1624" s="149" t="n">
        <f aca="false">IF(C1624="MAT.",VLOOKUP(A1624,INSUMOS_AUX!$A$3:$H$813,6,0),0)</f>
        <v>0.44</v>
      </c>
      <c r="G1624" s="149" t="n">
        <f aca="false">IF(C1624="M.O.",VLOOKUP(A1624,INSUMOS_AUX!A:F,6,0),0)</f>
        <v>0</v>
      </c>
    </row>
    <row r="1625" customFormat="false" ht="21" hidden="false" customHeight="false" outlineLevel="0" collapsed="false">
      <c r="A1625" s="154" t="n">
        <v>43464</v>
      </c>
      <c r="B1625" s="155" t="s">
        <v>1447</v>
      </c>
      <c r="C1625" s="148" t="str">
        <f aca="false">VLOOKUP($A1625,INSUMOS_AUX!$A$3:$H$813,3,0)</f>
        <v>MAT.</v>
      </c>
      <c r="D1625" s="156" t="s">
        <v>1444</v>
      </c>
      <c r="E1625" s="154" t="n">
        <v>0.015579</v>
      </c>
      <c r="F1625" s="149" t="n">
        <f aca="false">IF(C1625="MAT.",VLOOKUP(A1625,INSUMOS_AUX!$A$3:$H$813,6,0),0)</f>
        <v>0.01</v>
      </c>
      <c r="G1625" s="149" t="n">
        <f aca="false">IF(C1625="M.O.",VLOOKUP(A1625,INSUMOS_AUX!A:F,6,0),0)</f>
        <v>0</v>
      </c>
    </row>
    <row r="1626" customFormat="false" ht="21" hidden="false" customHeight="false" outlineLevel="0" collapsed="false">
      <c r="A1626" s="154" t="n">
        <v>37373</v>
      </c>
      <c r="B1626" s="155" t="s">
        <v>1448</v>
      </c>
      <c r="C1626" s="148" t="str">
        <f aca="false">VLOOKUP($A1626,INSUMOS_AUX!$A$3:$H$813,3,0)</f>
        <v>MAT.</v>
      </c>
      <c r="D1626" s="156" t="s">
        <v>1444</v>
      </c>
      <c r="E1626" s="154" t="n">
        <v>1.427349</v>
      </c>
      <c r="F1626" s="149" t="n">
        <f aca="false">IF(C1626="MAT.",VLOOKUP(A1626,INSUMOS_AUX!$A$3:$H$813,6,0),0)</f>
        <v>0.08</v>
      </c>
      <c r="G1626" s="149" t="n">
        <f aca="false">IF(C1626="M.O.",VLOOKUP(A1626,INSUMOS_AUX!A:F,6,0),0)</f>
        <v>0</v>
      </c>
    </row>
    <row r="1627" customFormat="false" ht="21" hidden="false" customHeight="false" outlineLevel="0" collapsed="false">
      <c r="A1627" s="154" t="n">
        <v>37371</v>
      </c>
      <c r="B1627" s="155" t="s">
        <v>1449</v>
      </c>
      <c r="C1627" s="148" t="str">
        <f aca="false">VLOOKUP($A1627,INSUMOS_AUX!$A$3:$H$813,3,0)</f>
        <v>MAT.</v>
      </c>
      <c r="D1627" s="156" t="s">
        <v>1444</v>
      </c>
      <c r="E1627" s="154" t="n">
        <v>1.427349</v>
      </c>
      <c r="F1627" s="149" t="n">
        <f aca="false">IF(C1627="MAT.",VLOOKUP(A1627,INSUMOS_AUX!$A$3:$H$813,6,0),0)</f>
        <v>0.59</v>
      </c>
      <c r="G1627" s="149" t="n">
        <f aca="false">IF(C1627="M.O.",VLOOKUP(A1627,INSUMOS_AUX!A:F,6,0),0)</f>
        <v>0</v>
      </c>
    </row>
    <row r="1628" customFormat="false" ht="31.5" hidden="false" customHeight="false" outlineLevel="0" collapsed="false">
      <c r="A1628" s="154" t="n">
        <v>40291</v>
      </c>
      <c r="B1628" s="155" t="s">
        <v>1754</v>
      </c>
      <c r="C1628" s="148" t="str">
        <f aca="false">VLOOKUP($A1628,INSUMOS_AUX!$A$3:$H$813,3,0)</f>
        <v>MAT.</v>
      </c>
      <c r="D1628" s="156" t="s">
        <v>1638</v>
      </c>
      <c r="E1628" s="154" t="n">
        <v>0.05</v>
      </c>
      <c r="F1628" s="149" t="n">
        <f aca="false">IF(C1628="MAT.",VLOOKUP(A1628,INSUMOS_AUX!$A$3:$H$813,6,0),0)</f>
        <v>750</v>
      </c>
      <c r="G1628" s="149" t="n">
        <f aca="false">IF(C1628="M.O.",VLOOKUP(A1628,INSUMOS_AUX!A:F,6,0),0)</f>
        <v>0</v>
      </c>
    </row>
    <row r="1629" customFormat="false" ht="21" hidden="false" customHeight="false" outlineLevel="0" collapsed="false">
      <c r="A1629" s="154" t="n">
        <v>14618</v>
      </c>
      <c r="B1629" s="155" t="s">
        <v>1592</v>
      </c>
      <c r="C1629" s="148" t="str">
        <f aca="false">VLOOKUP($A1629,INSUMOS_AUX!$A$3:$H$813,3,0)</f>
        <v>MAT.</v>
      </c>
      <c r="D1629" s="156" t="s">
        <v>31</v>
      </c>
      <c r="E1629" s="154" t="n">
        <v>1.4965072E-006</v>
      </c>
      <c r="F1629" s="149" t="n">
        <f aca="false">IF(C1629="MAT.",VLOOKUP(A1629,INSUMOS_AUX!$A$3:$H$813,6,0),0)</f>
        <v>1283.38</v>
      </c>
      <c r="G1629" s="149" t="n">
        <f aca="false">IF(C1629="M.O.",VLOOKUP(A1629,INSUMOS_AUX!A:F,6,0),0)</f>
        <v>0</v>
      </c>
    </row>
    <row r="1630" customFormat="false" ht="15" hidden="false" customHeight="false" outlineLevel="0" collapsed="false">
      <c r="A1630" s="154" t="n">
        <v>2705</v>
      </c>
      <c r="B1630" s="155" t="s">
        <v>1467</v>
      </c>
      <c r="C1630" s="148" t="str">
        <f aca="false">VLOOKUP($A1630,INSUMOS_AUX!$A$3:$H$813,3,0)</f>
        <v>MAT.</v>
      </c>
      <c r="D1630" s="156" t="s">
        <v>1468</v>
      </c>
      <c r="E1630" s="154" t="n">
        <v>0.0039236</v>
      </c>
      <c r="F1630" s="149" t="n">
        <f aca="false">IF(C1630="MAT.",VLOOKUP(A1630,INSUMOS_AUX!$A$3:$H$813,6,0),0)</f>
        <v>0.92</v>
      </c>
      <c r="G1630" s="149" t="n">
        <f aca="false">IF(C1630="M.O.",VLOOKUP(A1630,INSUMOS_AUX!A:F,6,0),0)</f>
        <v>0</v>
      </c>
    </row>
    <row r="1631" customFormat="false" ht="31.5" hidden="false" customHeight="false" outlineLevel="0" collapsed="false">
      <c r="A1631" s="154" t="n">
        <v>1358</v>
      </c>
      <c r="B1631" s="155" t="s">
        <v>1641</v>
      </c>
      <c r="C1631" s="148" t="str">
        <f aca="false">VLOOKUP($A1631,INSUMOS_AUX!$A$3:$H$813,3,0)</f>
        <v>MAT.</v>
      </c>
      <c r="D1631" s="156" t="s">
        <v>1477</v>
      </c>
      <c r="E1631" s="154" t="n">
        <v>0.60585</v>
      </c>
      <c r="F1631" s="149" t="n">
        <f aca="false">IF(C1631="MAT.",VLOOKUP(A1631,INSUMOS_AUX!$A$3:$H$813,6,0),0)</f>
        <v>57.71</v>
      </c>
      <c r="G1631" s="149" t="n">
        <f aca="false">IF(C1631="M.O.",VLOOKUP(A1631,INSUMOS_AUX!A:F,6,0),0)</f>
        <v>0</v>
      </c>
    </row>
    <row r="1632" customFormat="false" ht="21" hidden="false" customHeight="false" outlineLevel="0" collapsed="false">
      <c r="A1632" s="154" t="n">
        <v>2692</v>
      </c>
      <c r="B1632" s="155" t="s">
        <v>1570</v>
      </c>
      <c r="C1632" s="148" t="str">
        <f aca="false">VLOOKUP($A1632,INSUMOS_AUX!$A$3:$H$813,3,0)</f>
        <v>MAT.</v>
      </c>
      <c r="D1632" s="156" t="s">
        <v>1452</v>
      </c>
      <c r="E1632" s="154" t="n">
        <v>0.01</v>
      </c>
      <c r="F1632" s="149" t="n">
        <f aca="false">IF(C1632="MAT.",VLOOKUP(A1632,INSUMOS_AUX!$A$3:$H$813,6,0),0)</f>
        <v>6.52</v>
      </c>
      <c r="G1632" s="149" t="n">
        <f aca="false">IF(C1632="M.O.",VLOOKUP(A1632,INSUMOS_AUX!A:F,6,0),0)</f>
        <v>0</v>
      </c>
    </row>
    <row r="1633" customFormat="false" ht="21" hidden="false" customHeight="false" outlineLevel="0" collapsed="false">
      <c r="A1633" s="154" t="n">
        <v>40270</v>
      </c>
      <c r="B1633" s="155" t="s">
        <v>1686</v>
      </c>
      <c r="C1633" s="148" t="str">
        <f aca="false">VLOOKUP($A1633,INSUMOS_AUX!$A$3:$H$813,3,0)</f>
        <v>MAT.</v>
      </c>
      <c r="D1633" s="156" t="s">
        <v>1455</v>
      </c>
      <c r="E1633" s="154" t="n">
        <v>0.038</v>
      </c>
      <c r="F1633" s="149" t="n">
        <f aca="false">IF(C1633="MAT.",VLOOKUP(A1633,INSUMOS_AUX!$A$3:$H$813,6,0),0)</f>
        <v>126.05</v>
      </c>
      <c r="G1633" s="149" t="n">
        <f aca="false">IF(C1633="M.O.",VLOOKUP(A1633,INSUMOS_AUX!A:F,6,0),0)</f>
        <v>0</v>
      </c>
    </row>
    <row r="1634" customFormat="false" ht="15" hidden="false" customHeight="false" outlineLevel="0" collapsed="false">
      <c r="A1634" s="154" t="n">
        <v>6117</v>
      </c>
      <c r="B1634" s="155" t="s">
        <v>1555</v>
      </c>
      <c r="C1634" s="148" t="str">
        <f aca="false">VLOOKUP($A1634,INSUMOS_AUX!$A$3:$H$813,3,0)</f>
        <v>M.O.</v>
      </c>
      <c r="D1634" s="156" t="s">
        <v>1444</v>
      </c>
      <c r="E1634" s="154" t="n">
        <v>0.2241452626</v>
      </c>
      <c r="F1634" s="149" t="n">
        <f aca="false">IF(C1634="MAT.",VLOOKUP(A1634,INSUMOS_AUX!$A$3:$H$813,6,0),0)</f>
        <v>0</v>
      </c>
      <c r="G1634" s="149" t="n">
        <f aca="false">IF(C1634="M.O.",VLOOKUP(A1634,INSUMOS_AUX!A:F,6,0),0)</f>
        <v>13.26</v>
      </c>
    </row>
    <row r="1635" customFormat="false" ht="15" hidden="false" customHeight="false" outlineLevel="0" collapsed="false">
      <c r="A1635" s="154" t="n">
        <v>1213</v>
      </c>
      <c r="B1635" s="155" t="s">
        <v>1516</v>
      </c>
      <c r="C1635" s="148" t="str">
        <f aca="false">VLOOKUP($A1635,INSUMOS_AUX!$A$3:$H$813,3,0)</f>
        <v>M.O.</v>
      </c>
      <c r="D1635" s="156" t="s">
        <v>1444</v>
      </c>
      <c r="E1635" s="154" t="n">
        <v>1.2046278129</v>
      </c>
      <c r="F1635" s="149" t="n">
        <f aca="false">IF(C1635="MAT.",VLOOKUP(A1635,INSUMOS_AUX!$A$3:$H$813,6,0),0)</f>
        <v>0</v>
      </c>
      <c r="G1635" s="149" t="n">
        <f aca="false">IF(C1635="M.O.",VLOOKUP(A1635,INSUMOS_AUX!A:F,6,0),0)</f>
        <v>20.22</v>
      </c>
    </row>
    <row r="1636" customFormat="false" ht="21" hidden="false" customHeight="false" outlineLevel="0" collapsed="false">
      <c r="A1636" s="154" t="n">
        <v>4230</v>
      </c>
      <c r="B1636" s="155" t="s">
        <v>1597</v>
      </c>
      <c r="C1636" s="148" t="str">
        <f aca="false">VLOOKUP($A1636,INSUMOS_AUX!$A$3:$H$813,3,0)</f>
        <v>M.O.</v>
      </c>
      <c r="D1636" s="156" t="s">
        <v>1444</v>
      </c>
      <c r="E1636" s="154" t="n">
        <v>0.01575878166</v>
      </c>
      <c r="F1636" s="149" t="n">
        <f aca="false">IF(C1636="MAT.",VLOOKUP(A1636,INSUMOS_AUX!$A$3:$H$813,6,0),0)</f>
        <v>0</v>
      </c>
      <c r="G1636" s="149" t="n">
        <f aca="false">IF(C1636="M.O.",VLOOKUP(A1636,INSUMOS_AUX!A:F,6,0),0)</f>
        <v>14.53</v>
      </c>
    </row>
    <row r="1637" customFormat="false" ht="31.5" hidden="false" customHeight="false" outlineLevel="0" collapsed="false">
      <c r="A1637" s="150" t="s">
        <v>320</v>
      </c>
      <c r="B1637" s="151" t="s">
        <v>1755</v>
      </c>
      <c r="C1637" s="152" t="s">
        <v>59</v>
      </c>
      <c r="D1637" s="152" t="s">
        <v>1442</v>
      </c>
      <c r="E1637" s="150"/>
      <c r="F1637" s="153" t="n">
        <f aca="false">(SUMPRODUCT($E1638:$E1653,F1638:F1653))*1</f>
        <v>855.534928306584</v>
      </c>
      <c r="G1637" s="153" t="n">
        <f aca="false">(SUMPRODUCT($E1638:$E1653,G1638:G1653))*1</f>
        <v>209.254560096</v>
      </c>
    </row>
    <row r="1638" customFormat="false" ht="21" hidden="false" customHeight="false" outlineLevel="0" collapsed="false">
      <c r="A1638" s="154" t="n">
        <v>37370</v>
      </c>
      <c r="B1638" s="155" t="s">
        <v>1443</v>
      </c>
      <c r="C1638" s="148" t="str">
        <f aca="false">VLOOKUP($A1638,INSUMOS_AUX!$A$3:$H$813,3,0)</f>
        <v>MAT.</v>
      </c>
      <c r="D1638" s="156" t="s">
        <v>1444</v>
      </c>
      <c r="E1638" s="154" t="n">
        <v>13.168</v>
      </c>
      <c r="F1638" s="149" t="n">
        <f aca="false">IF(C1638="MAT.",VLOOKUP(A1638,INSUMOS_AUX!$A$3:$H$813,6,0),0)</f>
        <v>3.32</v>
      </c>
      <c r="G1638" s="149" t="n">
        <f aca="false">IF(C1638="M.O.",VLOOKUP(A1638,INSUMOS_AUX!A:F,6,0),0)</f>
        <v>0</v>
      </c>
    </row>
    <row r="1639" customFormat="false" ht="21" hidden="false" customHeight="false" outlineLevel="0" collapsed="false">
      <c r="A1639" s="154" t="n">
        <v>43483</v>
      </c>
      <c r="B1639" s="155" t="s">
        <v>1486</v>
      </c>
      <c r="C1639" s="148" t="str">
        <f aca="false">VLOOKUP($A1639,INSUMOS_AUX!$A$3:$H$813,3,0)</f>
        <v>MAT.</v>
      </c>
      <c r="D1639" s="156" t="s">
        <v>1444</v>
      </c>
      <c r="E1639" s="154" t="n">
        <v>1.19</v>
      </c>
      <c r="F1639" s="149" t="n">
        <f aca="false">IF(C1639="MAT.",VLOOKUP(A1639,INSUMOS_AUX!$A$3:$H$813,6,0),0)</f>
        <v>1.43</v>
      </c>
      <c r="G1639" s="149" t="n">
        <f aca="false">IF(C1639="M.O.",VLOOKUP(A1639,INSUMOS_AUX!A:F,6,0),0)</f>
        <v>0</v>
      </c>
    </row>
    <row r="1640" customFormat="false" ht="21" hidden="false" customHeight="false" outlineLevel="0" collapsed="false">
      <c r="A1640" s="154" t="n">
        <v>43489</v>
      </c>
      <c r="B1640" s="155" t="s">
        <v>1456</v>
      </c>
      <c r="C1640" s="148" t="str">
        <f aca="false">VLOOKUP($A1640,INSUMOS_AUX!$A$3:$H$813,3,0)</f>
        <v>MAT.</v>
      </c>
      <c r="D1640" s="156" t="s">
        <v>1444</v>
      </c>
      <c r="E1640" s="154" t="n">
        <v>3.571</v>
      </c>
      <c r="F1640" s="149" t="n">
        <f aca="false">IF(C1640="MAT.",VLOOKUP(A1640,INSUMOS_AUX!$A$3:$H$813,6,0),0)</f>
        <v>1.31</v>
      </c>
      <c r="G1640" s="149" t="n">
        <f aca="false">IF(C1640="M.O.",VLOOKUP(A1640,INSUMOS_AUX!A:F,6,0),0)</f>
        <v>0</v>
      </c>
    </row>
    <row r="1641" customFormat="false" ht="21" hidden="false" customHeight="false" outlineLevel="0" collapsed="false">
      <c r="A1641" s="154" t="n">
        <v>43491</v>
      </c>
      <c r="B1641" s="155" t="s">
        <v>1457</v>
      </c>
      <c r="C1641" s="148" t="str">
        <f aca="false">VLOOKUP($A1641,INSUMOS_AUX!$A$3:$H$813,3,0)</f>
        <v>MAT.</v>
      </c>
      <c r="D1641" s="156" t="s">
        <v>1444</v>
      </c>
      <c r="E1641" s="154" t="n">
        <v>8.407</v>
      </c>
      <c r="F1641" s="149" t="n">
        <f aca="false">IF(C1641="MAT.",VLOOKUP(A1641,INSUMOS_AUX!$A$3:$H$813,6,0),0)</f>
        <v>1.39</v>
      </c>
      <c r="G1641" s="149" t="n">
        <f aca="false">IF(C1641="M.O.",VLOOKUP(A1641,INSUMOS_AUX!A:F,6,0),0)</f>
        <v>0</v>
      </c>
    </row>
    <row r="1642" customFormat="false" ht="21" hidden="false" customHeight="false" outlineLevel="0" collapsed="false">
      <c r="A1642" s="154" t="n">
        <v>37372</v>
      </c>
      <c r="B1642" s="155" t="s">
        <v>1446</v>
      </c>
      <c r="C1642" s="148" t="str">
        <f aca="false">VLOOKUP($A1642,INSUMOS_AUX!$A$3:$H$813,3,0)</f>
        <v>MAT.</v>
      </c>
      <c r="D1642" s="156" t="s">
        <v>1444</v>
      </c>
      <c r="E1642" s="154" t="n">
        <v>13.168</v>
      </c>
      <c r="F1642" s="149" t="n">
        <f aca="false">IF(C1642="MAT.",VLOOKUP(A1642,INSUMOS_AUX!$A$3:$H$813,6,0),0)</f>
        <v>1.43</v>
      </c>
      <c r="G1642" s="149" t="n">
        <f aca="false">IF(C1642="M.O.",VLOOKUP(A1642,INSUMOS_AUX!A:F,6,0),0)</f>
        <v>0</v>
      </c>
    </row>
    <row r="1643" customFormat="false" ht="21" hidden="false" customHeight="false" outlineLevel="0" collapsed="false">
      <c r="A1643" s="154" t="n">
        <v>43459</v>
      </c>
      <c r="B1643" s="155" t="s">
        <v>1487</v>
      </c>
      <c r="C1643" s="148" t="str">
        <f aca="false">VLOOKUP($A1643,INSUMOS_AUX!$A$3:$H$813,3,0)</f>
        <v>MAT.</v>
      </c>
      <c r="D1643" s="156" t="s">
        <v>1444</v>
      </c>
      <c r="E1643" s="154" t="n">
        <v>1.19</v>
      </c>
      <c r="F1643" s="149" t="n">
        <f aca="false">IF(C1643="MAT.",VLOOKUP(A1643,INSUMOS_AUX!$A$3:$H$813,6,0),0)</f>
        <v>0.44</v>
      </c>
      <c r="G1643" s="149" t="n">
        <f aca="false">IF(C1643="M.O.",VLOOKUP(A1643,INSUMOS_AUX!A:F,6,0),0)</f>
        <v>0</v>
      </c>
    </row>
    <row r="1644" customFormat="false" ht="21" hidden="false" customHeight="false" outlineLevel="0" collapsed="false">
      <c r="A1644" s="154" t="n">
        <v>43465</v>
      </c>
      <c r="B1644" s="155" t="s">
        <v>1458</v>
      </c>
      <c r="C1644" s="148" t="s">
        <v>59</v>
      </c>
      <c r="D1644" s="156" t="s">
        <v>1444</v>
      </c>
      <c r="E1644" s="154" t="n">
        <v>3.571</v>
      </c>
      <c r="F1644" s="149" t="n">
        <f aca="false">IF(C1644="MAT.",VLOOKUP(A1644,INSUMOS_AUX!$A$3:$H$813,6,0),0)</f>
        <v>0</v>
      </c>
      <c r="G1644" s="149" t="n">
        <f aca="false">IF(C1644="M.O.",VLOOKUP(A1644,INSUMOS_AUX!A:F,6,0),0)</f>
        <v>0</v>
      </c>
    </row>
    <row r="1645" customFormat="false" ht="21" hidden="false" customHeight="false" outlineLevel="0" collapsed="false">
      <c r="A1645" s="154" t="n">
        <v>43467</v>
      </c>
      <c r="B1645" s="155" t="s">
        <v>1459</v>
      </c>
      <c r="C1645" s="148" t="str">
        <f aca="false">VLOOKUP($A1645,INSUMOS_AUX!$A$3:$H$813,3,0)</f>
        <v>MAT.</v>
      </c>
      <c r="D1645" s="156" t="s">
        <v>1444</v>
      </c>
      <c r="E1645" s="154" t="n">
        <v>8.407</v>
      </c>
      <c r="F1645" s="149" t="n">
        <f aca="false">IF(C1645="MAT.",VLOOKUP(A1645,INSUMOS_AUX!$A$3:$H$813,6,0),0)</f>
        <v>0.61</v>
      </c>
      <c r="G1645" s="149" t="n">
        <f aca="false">IF(C1645="M.O.",VLOOKUP(A1645,INSUMOS_AUX!A:F,6,0),0)</f>
        <v>0</v>
      </c>
    </row>
    <row r="1646" customFormat="false" ht="21" hidden="false" customHeight="false" outlineLevel="0" collapsed="false">
      <c r="A1646" s="154" t="n">
        <v>37373</v>
      </c>
      <c r="B1646" s="155" t="s">
        <v>1448</v>
      </c>
      <c r="C1646" s="148" t="str">
        <f aca="false">VLOOKUP($A1646,INSUMOS_AUX!$A$3:$H$813,3,0)</f>
        <v>MAT.</v>
      </c>
      <c r="D1646" s="156" t="s">
        <v>1444</v>
      </c>
      <c r="E1646" s="154" t="n">
        <v>13.168</v>
      </c>
      <c r="F1646" s="149" t="n">
        <f aca="false">IF(C1646="MAT.",VLOOKUP(A1646,INSUMOS_AUX!$A$3:$H$813,6,0),0)</f>
        <v>0.08</v>
      </c>
      <c r="G1646" s="149" t="n">
        <f aca="false">IF(C1646="M.O.",VLOOKUP(A1646,INSUMOS_AUX!A:F,6,0),0)</f>
        <v>0</v>
      </c>
    </row>
    <row r="1647" customFormat="false" ht="21" hidden="false" customHeight="false" outlineLevel="0" collapsed="false">
      <c r="A1647" s="154" t="n">
        <v>37371</v>
      </c>
      <c r="B1647" s="155" t="s">
        <v>1449</v>
      </c>
      <c r="C1647" s="148" t="str">
        <f aca="false">VLOOKUP($A1647,INSUMOS_AUX!$A$3:$H$813,3,0)</f>
        <v>MAT.</v>
      </c>
      <c r="D1647" s="156" t="s">
        <v>1444</v>
      </c>
      <c r="E1647" s="154" t="n">
        <v>13.168</v>
      </c>
      <c r="F1647" s="149" t="n">
        <f aca="false">IF(C1647="MAT.",VLOOKUP(A1647,INSUMOS_AUX!$A$3:$H$813,6,0),0)</f>
        <v>0.59</v>
      </c>
      <c r="G1647" s="149" t="n">
        <f aca="false">IF(C1647="M.O.",VLOOKUP(A1647,INSUMOS_AUX!A:F,6,0),0)</f>
        <v>0</v>
      </c>
    </row>
    <row r="1648" customFormat="false" ht="21" hidden="false" customHeight="false" outlineLevel="0" collapsed="false">
      <c r="A1648" s="154" t="n">
        <v>13896</v>
      </c>
      <c r="B1648" s="155" t="s">
        <v>1564</v>
      </c>
      <c r="C1648" s="148" t="str">
        <f aca="false">VLOOKUP($A1648,INSUMOS_AUX!$A$3:$H$813,3,0)</f>
        <v>MAT.</v>
      </c>
      <c r="D1648" s="156" t="s">
        <v>31</v>
      </c>
      <c r="E1648" s="154" t="n">
        <v>0.0002819016</v>
      </c>
      <c r="F1648" s="149" t="n">
        <f aca="false">IF(C1648="MAT.",VLOOKUP(A1648,INSUMOS_AUX!$A$3:$H$813,6,0),0)</f>
        <v>3390.99</v>
      </c>
      <c r="G1648" s="149" t="n">
        <f aca="false">IF(C1648="M.O.",VLOOKUP(A1648,INSUMOS_AUX!A:F,6,0),0)</f>
        <v>0</v>
      </c>
    </row>
    <row r="1649" customFormat="false" ht="15" hidden="false" customHeight="false" outlineLevel="0" collapsed="false">
      <c r="A1649" s="154" t="n">
        <v>2705</v>
      </c>
      <c r="B1649" s="155" t="s">
        <v>1467</v>
      </c>
      <c r="C1649" s="148" t="str">
        <f aca="false">VLOOKUP($A1649,INSUMOS_AUX!$A$3:$H$813,3,0)</f>
        <v>MAT.</v>
      </c>
      <c r="D1649" s="156" t="s">
        <v>1468</v>
      </c>
      <c r="E1649" s="154" t="n">
        <v>0.48984</v>
      </c>
      <c r="F1649" s="149" t="n">
        <f aca="false">IF(C1649="MAT.",VLOOKUP(A1649,INSUMOS_AUX!$A$3:$H$813,6,0),0)</f>
        <v>0.92</v>
      </c>
      <c r="G1649" s="149" t="n">
        <f aca="false">IF(C1649="M.O.",VLOOKUP(A1649,INSUMOS_AUX!A:F,6,0),0)</f>
        <v>0</v>
      </c>
    </row>
    <row r="1650" customFormat="false" ht="31.5" hidden="false" customHeight="false" outlineLevel="0" collapsed="false">
      <c r="A1650" s="154" t="n">
        <v>11145</v>
      </c>
      <c r="B1650" s="155" t="s">
        <v>1620</v>
      </c>
      <c r="C1650" s="148" t="str">
        <f aca="false">VLOOKUP($A1650,INSUMOS_AUX!$A$3:$H$813,3,0)</f>
        <v>MAT.</v>
      </c>
      <c r="D1650" s="156" t="s">
        <v>1442</v>
      </c>
      <c r="E1650" s="154" t="n">
        <v>1.103</v>
      </c>
      <c r="F1650" s="149" t="n">
        <f aca="false">IF(C1650="MAT.",VLOOKUP(A1650,INSUMOS_AUX!$A$3:$H$813,6,0),0)</f>
        <v>688.16</v>
      </c>
      <c r="G1650" s="149" t="n">
        <f aca="false">IF(C1650="M.O.",VLOOKUP(A1650,INSUMOS_AUX!A:F,6,0),0)</f>
        <v>0</v>
      </c>
    </row>
    <row r="1651" customFormat="false" ht="15" hidden="false" customHeight="false" outlineLevel="0" collapsed="false">
      <c r="A1651" s="154" t="n">
        <v>1213</v>
      </c>
      <c r="B1651" s="155" t="s">
        <v>1516</v>
      </c>
      <c r="C1651" s="148" t="str">
        <f aca="false">VLOOKUP($A1651,INSUMOS_AUX!$A$3:$H$813,3,0)</f>
        <v>M.O.</v>
      </c>
      <c r="D1651" s="156" t="s">
        <v>1444</v>
      </c>
      <c r="E1651" s="154" t="n">
        <v>1.2037326</v>
      </c>
      <c r="F1651" s="149" t="n">
        <f aca="false">IF(C1651="MAT.",VLOOKUP(A1651,INSUMOS_AUX!$A$3:$H$813,6,0),0)</f>
        <v>0</v>
      </c>
      <c r="G1651" s="149" t="n">
        <f aca="false">IF(C1651="M.O.",VLOOKUP(A1651,INSUMOS_AUX!A:F,6,0),0)</f>
        <v>20.22</v>
      </c>
    </row>
    <row r="1652" customFormat="false" ht="15" hidden="false" customHeight="false" outlineLevel="0" collapsed="false">
      <c r="A1652" s="154" t="n">
        <v>4750</v>
      </c>
      <c r="B1652" s="155" t="s">
        <v>1463</v>
      </c>
      <c r="C1652" s="148" t="str">
        <f aca="false">VLOOKUP($A1652,INSUMOS_AUX!$A$3:$H$813,3,0)</f>
        <v>M.O.</v>
      </c>
      <c r="D1652" s="156" t="s">
        <v>1444</v>
      </c>
      <c r="E1652" s="154" t="n">
        <v>3.6467052</v>
      </c>
      <c r="F1652" s="149" t="n">
        <f aca="false">IF(C1652="MAT.",VLOOKUP(A1652,INSUMOS_AUX!$A$3:$H$813,6,0),0)</f>
        <v>0</v>
      </c>
      <c r="G1652" s="149" t="n">
        <f aca="false">IF(C1652="M.O.",VLOOKUP(A1652,INSUMOS_AUX!A:F,6,0),0)</f>
        <v>20.22</v>
      </c>
    </row>
    <row r="1653" customFormat="false" ht="15" hidden="false" customHeight="false" outlineLevel="0" collapsed="false">
      <c r="A1653" s="154" t="n">
        <v>6111</v>
      </c>
      <c r="B1653" s="155" t="s">
        <v>1464</v>
      </c>
      <c r="C1653" s="148" t="str">
        <f aca="false">VLOOKUP($A1653,INSUMOS_AUX!$A$3:$H$813,3,0)</f>
        <v>M.O.</v>
      </c>
      <c r="D1653" s="156" t="s">
        <v>1444</v>
      </c>
      <c r="E1653" s="154" t="n">
        <v>8.5852284</v>
      </c>
      <c r="F1653" s="149" t="n">
        <f aca="false">IF(C1653="MAT.",VLOOKUP(A1653,INSUMOS_AUX!$A$3:$H$813,6,0),0)</f>
        <v>0</v>
      </c>
      <c r="G1653" s="149" t="n">
        <f aca="false">IF(C1653="M.O.",VLOOKUP(A1653,INSUMOS_AUX!A:F,6,0),0)</f>
        <v>12.95</v>
      </c>
    </row>
    <row r="1654" customFormat="false" ht="21" hidden="false" customHeight="false" outlineLevel="0" collapsed="false">
      <c r="A1654" s="150" t="n">
        <v>103076</v>
      </c>
      <c r="B1654" s="151" t="s">
        <v>1756</v>
      </c>
      <c r="C1654" s="152" t="s">
        <v>59</v>
      </c>
      <c r="D1654" s="152" t="s">
        <v>1477</v>
      </c>
      <c r="E1654" s="150"/>
      <c r="F1654" s="153" t="n">
        <f aca="false">(SUMPRODUCT($E1655:$E1686,F1655:F1686))*1</f>
        <v>137.426771747811</v>
      </c>
      <c r="G1654" s="153" t="n">
        <f aca="false">(SUMPRODUCT($E1655:$E1686,G1655:G1686))*1</f>
        <v>11.31463931448</v>
      </c>
    </row>
    <row r="1655" customFormat="false" ht="21" hidden="false" customHeight="false" outlineLevel="0" collapsed="false">
      <c r="A1655" s="154" t="n">
        <v>37370</v>
      </c>
      <c r="B1655" s="155" t="s">
        <v>1443</v>
      </c>
      <c r="C1655" s="148" t="s">
        <v>59</v>
      </c>
      <c r="D1655" s="156" t="s">
        <v>1444</v>
      </c>
      <c r="E1655" s="154" t="n">
        <v>0.93698</v>
      </c>
      <c r="F1655" s="149" t="n">
        <f aca="false">IF(C1655="MAT.",VLOOKUP(A1655,INSUMOS_AUX!$A$3:$H$813,6,0),0)</f>
        <v>0</v>
      </c>
      <c r="G1655" s="149" t="n">
        <f aca="false">IF(C1655="M.O.",VLOOKUP(A1655,INSUMOS_AUX!A:F,6,0),0)</f>
        <v>0</v>
      </c>
    </row>
    <row r="1656" customFormat="false" ht="21" hidden="false" customHeight="false" outlineLevel="0" collapsed="false">
      <c r="A1656" s="154" t="n">
        <v>43483</v>
      </c>
      <c r="B1656" s="155" t="s">
        <v>1486</v>
      </c>
      <c r="C1656" s="148" t="str">
        <f aca="false">VLOOKUP($A1656,INSUMOS_AUX!$A$3:$H$813,3,0)</f>
        <v>MAT.</v>
      </c>
      <c r="D1656" s="156" t="s">
        <v>1444</v>
      </c>
      <c r="E1656" s="154" t="n">
        <v>0.30408</v>
      </c>
      <c r="F1656" s="149" t="n">
        <f aca="false">IF(C1656="MAT.",VLOOKUP(A1656,INSUMOS_AUX!$A$3:$H$813,6,0),0)</f>
        <v>1.43</v>
      </c>
      <c r="G1656" s="149" t="n">
        <f aca="false">IF(C1656="M.O.",VLOOKUP(A1656,INSUMOS_AUX!A:F,6,0),0)</f>
        <v>0</v>
      </c>
    </row>
    <row r="1657" customFormat="false" ht="21" hidden="false" customHeight="false" outlineLevel="0" collapsed="false">
      <c r="A1657" s="154" t="n">
        <v>43489</v>
      </c>
      <c r="B1657" s="155" t="s">
        <v>1456</v>
      </c>
      <c r="C1657" s="148" t="str">
        <f aca="false">VLOOKUP($A1657,INSUMOS_AUX!$A$3:$H$813,3,0)</f>
        <v>MAT.</v>
      </c>
      <c r="D1657" s="156" t="s">
        <v>1444</v>
      </c>
      <c r="E1657" s="154" t="n">
        <v>0.4344</v>
      </c>
      <c r="F1657" s="149" t="n">
        <f aca="false">IF(C1657="MAT.",VLOOKUP(A1657,INSUMOS_AUX!$A$3:$H$813,6,0),0)</f>
        <v>1.31</v>
      </c>
      <c r="G1657" s="149" t="n">
        <f aca="false">IF(C1657="M.O.",VLOOKUP(A1657,INSUMOS_AUX!A:F,6,0),0)</f>
        <v>0</v>
      </c>
    </row>
    <row r="1658" customFormat="false" ht="21" hidden="false" customHeight="false" outlineLevel="0" collapsed="false">
      <c r="A1658" s="154" t="n">
        <v>43491</v>
      </c>
      <c r="B1658" s="155" t="s">
        <v>1457</v>
      </c>
      <c r="C1658" s="148" t="str">
        <f aca="false">VLOOKUP($A1658,INSUMOS_AUX!$A$3:$H$813,3,0)</f>
        <v>MAT.</v>
      </c>
      <c r="D1658" s="156" t="s">
        <v>1444</v>
      </c>
      <c r="E1658" s="154" t="n">
        <v>0.1985</v>
      </c>
      <c r="F1658" s="149" t="n">
        <f aca="false">IF(C1658="MAT.",VLOOKUP(A1658,INSUMOS_AUX!$A$3:$H$813,6,0),0)</f>
        <v>1.39</v>
      </c>
      <c r="G1658" s="149" t="n">
        <f aca="false">IF(C1658="M.O.",VLOOKUP(A1658,INSUMOS_AUX!A:F,6,0),0)</f>
        <v>0</v>
      </c>
    </row>
    <row r="1659" customFormat="false" ht="21" hidden="false" customHeight="false" outlineLevel="0" collapsed="false">
      <c r="A1659" s="154" t="n">
        <v>37372</v>
      </c>
      <c r="B1659" s="155" t="s">
        <v>1446</v>
      </c>
      <c r="C1659" s="148" t="str">
        <f aca="false">VLOOKUP($A1659,INSUMOS_AUX!$A$3:$H$813,3,0)</f>
        <v>MAT.</v>
      </c>
      <c r="D1659" s="156" t="s">
        <v>1444</v>
      </c>
      <c r="E1659" s="154" t="n">
        <v>0.93698</v>
      </c>
      <c r="F1659" s="149" t="n">
        <f aca="false">IF(C1659="MAT.",VLOOKUP(A1659,INSUMOS_AUX!$A$3:$H$813,6,0),0)</f>
        <v>1.43</v>
      </c>
      <c r="G1659" s="149" t="n">
        <f aca="false">IF(C1659="M.O.",VLOOKUP(A1659,INSUMOS_AUX!A:F,6,0),0)</f>
        <v>0</v>
      </c>
    </row>
    <row r="1660" customFormat="false" ht="21" hidden="false" customHeight="false" outlineLevel="0" collapsed="false">
      <c r="A1660" s="154" t="n">
        <v>43459</v>
      </c>
      <c r="B1660" s="155" t="s">
        <v>1487</v>
      </c>
      <c r="C1660" s="148" t="str">
        <f aca="false">VLOOKUP($A1660,INSUMOS_AUX!$A$3:$H$813,3,0)</f>
        <v>MAT.</v>
      </c>
      <c r="D1660" s="156" t="s">
        <v>1444</v>
      </c>
      <c r="E1660" s="154" t="n">
        <v>0.30408</v>
      </c>
      <c r="F1660" s="149" t="n">
        <f aca="false">IF(C1660="MAT.",VLOOKUP(A1660,INSUMOS_AUX!$A$3:$H$813,6,0),0)</f>
        <v>0.44</v>
      </c>
      <c r="G1660" s="149" t="n">
        <f aca="false">IF(C1660="M.O.",VLOOKUP(A1660,INSUMOS_AUX!A:F,6,0),0)</f>
        <v>0</v>
      </c>
    </row>
    <row r="1661" customFormat="false" ht="21" hidden="false" customHeight="false" outlineLevel="0" collapsed="false">
      <c r="A1661" s="154" t="n">
        <v>43465</v>
      </c>
      <c r="B1661" s="155" t="s">
        <v>1458</v>
      </c>
      <c r="C1661" s="148" t="str">
        <f aca="false">VLOOKUP($A1661,INSUMOS_AUX!$A$3:$H$813,3,0)</f>
        <v>MAT.</v>
      </c>
      <c r="D1661" s="156" t="s">
        <v>1444</v>
      </c>
      <c r="E1661" s="154" t="n">
        <v>0.4344</v>
      </c>
      <c r="F1661" s="149" t="n">
        <f aca="false">IF(C1661="MAT.",VLOOKUP(A1661,INSUMOS_AUX!$A$3:$H$813,6,0),0)</f>
        <v>0.78</v>
      </c>
      <c r="G1661" s="149" t="n">
        <f aca="false">IF(C1661="M.O.",VLOOKUP(A1661,INSUMOS_AUX!A:F,6,0),0)</f>
        <v>0</v>
      </c>
    </row>
    <row r="1662" customFormat="false" ht="21" hidden="false" customHeight="false" outlineLevel="0" collapsed="false">
      <c r="A1662" s="154" t="n">
        <v>43467</v>
      </c>
      <c r="B1662" s="155" t="s">
        <v>1459</v>
      </c>
      <c r="C1662" s="148" t="str">
        <f aca="false">VLOOKUP($A1662,INSUMOS_AUX!$A$3:$H$813,3,0)</f>
        <v>MAT.</v>
      </c>
      <c r="D1662" s="156" t="s">
        <v>1444</v>
      </c>
      <c r="E1662" s="154" t="n">
        <v>0.1985</v>
      </c>
      <c r="F1662" s="149" t="n">
        <f aca="false">IF(C1662="MAT.",VLOOKUP(A1662,INSUMOS_AUX!$A$3:$H$813,6,0),0)</f>
        <v>0.61</v>
      </c>
      <c r="G1662" s="149" t="n">
        <f aca="false">IF(C1662="M.O.",VLOOKUP(A1662,INSUMOS_AUX!A:F,6,0),0)</f>
        <v>0</v>
      </c>
    </row>
    <row r="1663" customFormat="false" ht="21" hidden="false" customHeight="false" outlineLevel="0" collapsed="false">
      <c r="A1663" s="154" t="n">
        <v>37373</v>
      </c>
      <c r="B1663" s="155" t="s">
        <v>1448</v>
      </c>
      <c r="C1663" s="148" t="str">
        <f aca="false">VLOOKUP($A1663,INSUMOS_AUX!$A$3:$H$813,3,0)</f>
        <v>MAT.</v>
      </c>
      <c r="D1663" s="156" t="s">
        <v>1444</v>
      </c>
      <c r="E1663" s="154" t="n">
        <v>0.93698</v>
      </c>
      <c r="F1663" s="149" t="n">
        <f aca="false">IF(C1663="MAT.",VLOOKUP(A1663,INSUMOS_AUX!$A$3:$H$813,6,0),0)</f>
        <v>0.08</v>
      </c>
      <c r="G1663" s="149" t="n">
        <f aca="false">IF(C1663="M.O.",VLOOKUP(A1663,INSUMOS_AUX!A:F,6,0),0)</f>
        <v>0</v>
      </c>
    </row>
    <row r="1664" customFormat="false" ht="21" hidden="false" customHeight="false" outlineLevel="0" collapsed="false">
      <c r="A1664" s="154" t="n">
        <v>37371</v>
      </c>
      <c r="B1664" s="155" t="s">
        <v>1449</v>
      </c>
      <c r="C1664" s="148" t="str">
        <f aca="false">VLOOKUP($A1664,INSUMOS_AUX!$A$3:$H$813,3,0)</f>
        <v>MAT.</v>
      </c>
      <c r="D1664" s="156" t="s">
        <v>1444</v>
      </c>
      <c r="E1664" s="154" t="n">
        <v>0.93698</v>
      </c>
      <c r="F1664" s="149" t="n">
        <f aca="false">IF(C1664="MAT.",VLOOKUP(A1664,INSUMOS_AUX!$A$3:$H$813,6,0),0)</f>
        <v>0.59</v>
      </c>
      <c r="G1664" s="149" t="n">
        <f aca="false">IF(C1664="M.O.",VLOOKUP(A1664,INSUMOS_AUX!A:F,6,0),0)</f>
        <v>0</v>
      </c>
    </row>
    <row r="1665" customFormat="false" ht="42" hidden="false" customHeight="false" outlineLevel="0" collapsed="false">
      <c r="A1665" s="154" t="n">
        <v>11281</v>
      </c>
      <c r="B1665" s="155" t="s">
        <v>1561</v>
      </c>
      <c r="C1665" s="148" t="str">
        <f aca="false">VLOOKUP($A1665,INSUMOS_AUX!$A$3:$H$813,3,0)</f>
        <v>MAT.</v>
      </c>
      <c r="D1665" s="156" t="s">
        <v>31</v>
      </c>
      <c r="E1665" s="154" t="n">
        <v>6.1967E-006</v>
      </c>
      <c r="F1665" s="149" t="n">
        <f aca="false">IF(C1665="MAT.",VLOOKUP(A1665,INSUMOS_AUX!$A$3:$H$813,6,0),0)</f>
        <v>12782.95</v>
      </c>
      <c r="G1665" s="149" t="n">
        <f aca="false">IF(C1665="M.O.",VLOOKUP(A1665,INSUMOS_AUX!A:F,6,0),0)</f>
        <v>0</v>
      </c>
    </row>
    <row r="1666" customFormat="false" ht="42" hidden="false" customHeight="false" outlineLevel="0" collapsed="false">
      <c r="A1666" s="154" t="n">
        <v>1442</v>
      </c>
      <c r="B1666" s="155" t="s">
        <v>1562</v>
      </c>
      <c r="C1666" s="148" t="str">
        <f aca="false">VLOOKUP($A1666,INSUMOS_AUX!$A$3:$H$813,3,0)</f>
        <v>MAT.</v>
      </c>
      <c r="D1666" s="156" t="s">
        <v>31</v>
      </c>
      <c r="E1666" s="154" t="n">
        <v>6.3256E-007</v>
      </c>
      <c r="F1666" s="149" t="n">
        <f aca="false">IF(C1666="MAT.",VLOOKUP(A1666,INSUMOS_AUX!$A$3:$H$813,6,0),0)</f>
        <v>10731.19</v>
      </c>
      <c r="G1666" s="149" t="n">
        <f aca="false">IF(C1666="M.O.",VLOOKUP(A1666,INSUMOS_AUX!A:F,6,0),0)</f>
        <v>0</v>
      </c>
    </row>
    <row r="1667" customFormat="false" ht="21" hidden="false" customHeight="false" outlineLevel="0" collapsed="false">
      <c r="A1667" s="154" t="n">
        <v>13896</v>
      </c>
      <c r="B1667" s="155" t="s">
        <v>1564</v>
      </c>
      <c r="C1667" s="148" t="s">
        <v>59</v>
      </c>
      <c r="D1667" s="156" t="s">
        <v>31</v>
      </c>
      <c r="E1667" s="154" t="n">
        <v>2.13752E-006</v>
      </c>
      <c r="F1667" s="149" t="n">
        <f aca="false">IF(C1667="MAT.",VLOOKUP(A1667,INSUMOS_AUX!$A$3:$H$813,6,0),0)</f>
        <v>0</v>
      </c>
      <c r="G1667" s="149" t="n">
        <f aca="false">IF(C1667="M.O.",VLOOKUP(A1667,INSUMOS_AUX!A:F,6,0),0)</f>
        <v>0</v>
      </c>
    </row>
    <row r="1668" customFormat="false" ht="15" hidden="false" customHeight="false" outlineLevel="0" collapsed="false">
      <c r="A1668" s="154" t="n">
        <v>2705</v>
      </c>
      <c r="B1668" s="155" t="s">
        <v>1467</v>
      </c>
      <c r="C1668" s="148" t="str">
        <f aca="false">VLOOKUP($A1668,INSUMOS_AUX!$A$3:$H$813,3,0)</f>
        <v>MAT.</v>
      </c>
      <c r="D1668" s="156" t="s">
        <v>1468</v>
      </c>
      <c r="E1668" s="154" t="n">
        <v>0.002756</v>
      </c>
      <c r="F1668" s="149" t="n">
        <f aca="false">IF(C1668="MAT.",VLOOKUP(A1668,INSUMOS_AUX!$A$3:$H$813,6,0),0)</f>
        <v>0.92</v>
      </c>
      <c r="G1668" s="149" t="n">
        <f aca="false">IF(C1668="M.O.",VLOOKUP(A1668,INSUMOS_AUX!A:F,6,0),0)</f>
        <v>0</v>
      </c>
    </row>
    <row r="1669" customFormat="false" ht="21" hidden="false" customHeight="false" outlineLevel="0" collapsed="false">
      <c r="A1669" s="154" t="n">
        <v>43132</v>
      </c>
      <c r="B1669" s="155" t="s">
        <v>1565</v>
      </c>
      <c r="C1669" s="148" t="str">
        <f aca="false">VLOOKUP($A1669,INSUMOS_AUX!$A$3:$H$813,3,0)</f>
        <v>MAT.</v>
      </c>
      <c r="D1669" s="156" t="s">
        <v>1513</v>
      </c>
      <c r="E1669" s="154" t="n">
        <v>0.0396</v>
      </c>
      <c r="F1669" s="149" t="n">
        <f aca="false">IF(C1669="MAT.",VLOOKUP(A1669,INSUMOS_AUX!$A$3:$H$813,6,0),0)</f>
        <v>28</v>
      </c>
      <c r="G1669" s="149" t="n">
        <f aca="false">IF(C1669="M.O.",VLOOKUP(A1669,INSUMOS_AUX!A:F,6,0),0)</f>
        <v>0</v>
      </c>
    </row>
    <row r="1670" customFormat="false" ht="31.5" hidden="false" customHeight="false" outlineLevel="0" collapsed="false">
      <c r="A1670" s="154" t="n">
        <v>1525</v>
      </c>
      <c r="B1670" s="155" t="s">
        <v>1569</v>
      </c>
      <c r="C1670" s="148" t="str">
        <f aca="false">VLOOKUP($A1670,INSUMOS_AUX!$A$3:$H$813,3,0)</f>
        <v>MAT.</v>
      </c>
      <c r="D1670" s="156" t="s">
        <v>1442</v>
      </c>
      <c r="E1670" s="154" t="n">
        <v>0.106</v>
      </c>
      <c r="F1670" s="149" t="n">
        <f aca="false">IF(C1670="MAT.",VLOOKUP(A1670,INSUMOS_AUX!$A$3:$H$813,6,0),0)</f>
        <v>668.21</v>
      </c>
      <c r="G1670" s="149" t="n">
        <f aca="false">IF(C1670="M.O.",VLOOKUP(A1670,INSUMOS_AUX!A:F,6,0),0)</f>
        <v>0</v>
      </c>
    </row>
    <row r="1671" customFormat="false" ht="21" hidden="false" customHeight="false" outlineLevel="0" collapsed="false">
      <c r="A1671" s="154" t="n">
        <v>2692</v>
      </c>
      <c r="B1671" s="155" t="s">
        <v>1570</v>
      </c>
      <c r="C1671" s="148" t="str">
        <f aca="false">VLOOKUP($A1671,INSUMOS_AUX!$A$3:$H$813,3,0)</f>
        <v>MAT.</v>
      </c>
      <c r="D1671" s="156" t="s">
        <v>1452</v>
      </c>
      <c r="E1671" s="154" t="n">
        <v>0.00136</v>
      </c>
      <c r="F1671" s="149" t="n">
        <f aca="false">IF(C1671="MAT.",VLOOKUP(A1671,INSUMOS_AUX!$A$3:$H$813,6,0),0)</f>
        <v>6.52</v>
      </c>
      <c r="G1671" s="149" t="n">
        <f aca="false">IF(C1671="M.O.",VLOOKUP(A1671,INSUMOS_AUX!A:F,6,0),0)</f>
        <v>0</v>
      </c>
    </row>
    <row r="1672" customFormat="false" ht="15" hidden="false" customHeight="false" outlineLevel="0" collapsed="false">
      <c r="A1672" s="154" t="n">
        <v>4222</v>
      </c>
      <c r="B1672" s="155" t="s">
        <v>1572</v>
      </c>
      <c r="C1672" s="148" t="str">
        <f aca="false">VLOOKUP($A1672,INSUMOS_AUX!$A$3:$H$813,3,0)</f>
        <v>MAT.</v>
      </c>
      <c r="D1672" s="156" t="s">
        <v>1452</v>
      </c>
      <c r="E1672" s="154" t="n">
        <v>0.024108</v>
      </c>
      <c r="F1672" s="149" t="n">
        <f aca="false">IF(C1672="MAT.",VLOOKUP(A1672,INSUMOS_AUX!$A$3:$H$813,6,0),0)</f>
        <v>6.4</v>
      </c>
      <c r="G1672" s="149" t="n">
        <f aca="false">IF(C1672="M.O.",VLOOKUP(A1672,INSUMOS_AUX!A:F,6,0),0)</f>
        <v>0</v>
      </c>
    </row>
    <row r="1673" customFormat="false" ht="15" hidden="false" customHeight="false" outlineLevel="0" collapsed="false">
      <c r="A1673" s="154" t="n">
        <v>42408</v>
      </c>
      <c r="B1673" s="155" t="s">
        <v>1573</v>
      </c>
      <c r="C1673" s="148" t="str">
        <f aca="false">VLOOKUP($A1673,INSUMOS_AUX!$A$3:$H$813,3,0)</f>
        <v>MAT.</v>
      </c>
      <c r="D1673" s="156" t="s">
        <v>1477</v>
      </c>
      <c r="E1673" s="154" t="n">
        <v>1.04</v>
      </c>
      <c r="F1673" s="149" t="n">
        <f aca="false">IF(C1673="MAT.",VLOOKUP(A1673,INSUMOS_AUX!$A$3:$H$813,6,0),0)</f>
        <v>1.65</v>
      </c>
      <c r="G1673" s="149" t="n">
        <f aca="false">IF(C1673="M.O.",VLOOKUP(A1673,INSUMOS_AUX!A:F,6,0),0)</f>
        <v>0</v>
      </c>
    </row>
    <row r="1674" customFormat="false" ht="21" hidden="false" customHeight="false" outlineLevel="0" collapsed="false">
      <c r="A1674" s="154" t="n">
        <v>4718</v>
      </c>
      <c r="B1674" s="155" t="s">
        <v>1577</v>
      </c>
      <c r="C1674" s="148" t="str">
        <f aca="false">VLOOKUP($A1674,INSUMOS_AUX!$A$3:$H$813,3,0)</f>
        <v>MAT.</v>
      </c>
      <c r="D1674" s="156" t="s">
        <v>1442</v>
      </c>
      <c r="E1674" s="154" t="n">
        <v>0.119</v>
      </c>
      <c r="F1674" s="149" t="n">
        <f aca="false">IF(C1674="MAT.",VLOOKUP(A1674,INSUMOS_AUX!$A$3:$H$813,6,0),0)</f>
        <v>116.31</v>
      </c>
      <c r="G1674" s="149" t="n">
        <f aca="false">IF(C1674="M.O.",VLOOKUP(A1674,INSUMOS_AUX!A:F,6,0),0)</f>
        <v>0</v>
      </c>
    </row>
    <row r="1675" customFormat="false" ht="21" hidden="false" customHeight="false" outlineLevel="0" collapsed="false">
      <c r="A1675" s="154" t="n">
        <v>4491</v>
      </c>
      <c r="B1675" s="155" t="s">
        <v>1578</v>
      </c>
      <c r="C1675" s="148" t="str">
        <f aca="false">VLOOKUP($A1675,INSUMOS_AUX!$A$3:$H$813,3,0)</f>
        <v>MAT.</v>
      </c>
      <c r="D1675" s="156" t="s">
        <v>1455</v>
      </c>
      <c r="E1675" s="154" t="n">
        <v>0.0296</v>
      </c>
      <c r="F1675" s="149" t="n">
        <f aca="false">IF(C1675="MAT.",VLOOKUP(A1675,INSUMOS_AUX!$A$3:$H$813,6,0),0)</f>
        <v>10.25</v>
      </c>
      <c r="G1675" s="149" t="n">
        <f aca="false">IF(C1675="M.O.",VLOOKUP(A1675,INSUMOS_AUX!A:F,6,0),0)</f>
        <v>0</v>
      </c>
    </row>
    <row r="1676" customFormat="false" ht="15" hidden="false" customHeight="false" outlineLevel="0" collapsed="false">
      <c r="A1676" s="154" t="n">
        <v>5068</v>
      </c>
      <c r="B1676" s="155" t="s">
        <v>1579</v>
      </c>
      <c r="C1676" s="148" t="str">
        <f aca="false">VLOOKUP($A1676,INSUMOS_AUX!$A$3:$H$813,3,0)</f>
        <v>MAT.</v>
      </c>
      <c r="D1676" s="156" t="s">
        <v>1513</v>
      </c>
      <c r="E1676" s="154" t="n">
        <v>0.0076</v>
      </c>
      <c r="F1676" s="149" t="n">
        <f aca="false">IF(C1676="MAT.",VLOOKUP(A1676,INSUMOS_AUX!$A$3:$H$813,6,0),0)</f>
        <v>20.34</v>
      </c>
      <c r="G1676" s="149" t="n">
        <f aca="false">IF(C1676="M.O.",VLOOKUP(A1676,INSUMOS_AUX!A:F,6,0),0)</f>
        <v>0</v>
      </c>
    </row>
    <row r="1677" customFormat="false" ht="21" hidden="false" customHeight="false" outlineLevel="0" collapsed="false">
      <c r="A1677" s="154" t="n">
        <v>4517</v>
      </c>
      <c r="B1677" s="155" t="s">
        <v>1582</v>
      </c>
      <c r="C1677" s="148" t="str">
        <f aca="false">VLOOKUP($A1677,INSUMOS_AUX!$A$3:$H$813,3,0)</f>
        <v>MAT.</v>
      </c>
      <c r="D1677" s="156" t="s">
        <v>1455</v>
      </c>
      <c r="E1677" s="154" t="n">
        <v>0.0352</v>
      </c>
      <c r="F1677" s="149" t="n">
        <f aca="false">IF(C1677="MAT.",VLOOKUP(A1677,INSUMOS_AUX!$A$3:$H$813,6,0),0)</f>
        <v>3.58</v>
      </c>
      <c r="G1677" s="149" t="n">
        <f aca="false">IF(C1677="M.O.",VLOOKUP(A1677,INSUMOS_AUX!A:F,6,0),0)</f>
        <v>0</v>
      </c>
    </row>
    <row r="1678" customFormat="false" ht="31.5" hidden="false" customHeight="false" outlineLevel="0" collapsed="false">
      <c r="A1678" s="154" t="n">
        <v>6193</v>
      </c>
      <c r="B1678" s="155" t="s">
        <v>1584</v>
      </c>
      <c r="C1678" s="148" t="str">
        <f aca="false">VLOOKUP($A1678,INSUMOS_AUX!$A$3:$H$813,3,0)</f>
        <v>MAT.</v>
      </c>
      <c r="D1678" s="156" t="s">
        <v>1455</v>
      </c>
      <c r="E1678" s="154" t="n">
        <v>0.1104</v>
      </c>
      <c r="F1678" s="149" t="n">
        <f aca="false">IF(C1678="MAT.",VLOOKUP(A1678,INSUMOS_AUX!$A$3:$H$813,6,0),0)</f>
        <v>15.54</v>
      </c>
      <c r="G1678" s="149" t="n">
        <f aca="false">IF(C1678="M.O.",VLOOKUP(A1678,INSUMOS_AUX!A:F,6,0),0)</f>
        <v>0</v>
      </c>
    </row>
    <row r="1679" customFormat="false" ht="31.5" hidden="false" customHeight="false" outlineLevel="0" collapsed="false">
      <c r="A1679" s="154" t="n">
        <v>39507</v>
      </c>
      <c r="B1679" s="155" t="s">
        <v>1757</v>
      </c>
      <c r="C1679" s="148" t="str">
        <f aca="false">VLOOKUP($A1679,INSUMOS_AUX!$A$3:$H$813,3,0)</f>
        <v>MAT.</v>
      </c>
      <c r="D1679" s="156" t="s">
        <v>1477</v>
      </c>
      <c r="E1679" s="154" t="n">
        <v>2.4408</v>
      </c>
      <c r="F1679" s="149" t="n">
        <f aca="false">IF(C1679="MAT.",VLOOKUP(A1679,INSUMOS_AUX!$A$3:$H$813,6,0),0)</f>
        <v>13.27</v>
      </c>
      <c r="G1679" s="149" t="n">
        <f aca="false">IF(C1679="M.O.",VLOOKUP(A1679,INSUMOS_AUX!A:F,6,0),0)</f>
        <v>0</v>
      </c>
    </row>
    <row r="1680" customFormat="false" ht="31.5" hidden="false" customHeight="false" outlineLevel="0" collapsed="false">
      <c r="A1680" s="154" t="n">
        <v>42407</v>
      </c>
      <c r="B1680" s="155" t="s">
        <v>1586</v>
      </c>
      <c r="C1680" s="148" t="str">
        <f aca="false">VLOOKUP($A1680,INSUMOS_AUX!$A$3:$H$813,3,0)</f>
        <v>MAT.</v>
      </c>
      <c r="D1680" s="156" t="s">
        <v>1455</v>
      </c>
      <c r="E1680" s="154" t="n">
        <v>2.0016</v>
      </c>
      <c r="F1680" s="149" t="n">
        <f aca="false">IF(C1680="MAT.",VLOOKUP(A1680,INSUMOS_AUX!$A$3:$H$813,6,0),0)</f>
        <v>5.57</v>
      </c>
      <c r="G1680" s="149" t="n">
        <f aca="false">IF(C1680="M.O.",VLOOKUP(A1680,INSUMOS_AUX!A:F,6,0),0)</f>
        <v>0</v>
      </c>
    </row>
    <row r="1681" customFormat="false" ht="15" hidden="false" customHeight="false" outlineLevel="0" collapsed="false">
      <c r="A1681" s="154" t="n">
        <v>6114</v>
      </c>
      <c r="B1681" s="155" t="s">
        <v>1588</v>
      </c>
      <c r="C1681" s="148" t="str">
        <f aca="false">VLOOKUP($A1681,INSUMOS_AUX!$A$3:$H$813,3,0)</f>
        <v>M.O.</v>
      </c>
      <c r="D1681" s="156" t="s">
        <v>1444</v>
      </c>
      <c r="E1681" s="154" t="n">
        <v>0.047340072</v>
      </c>
      <c r="F1681" s="149" t="n">
        <f aca="false">IF(C1681="MAT.",VLOOKUP(A1681,INSUMOS_AUX!$A$3:$H$813,6,0),0)</f>
        <v>0</v>
      </c>
      <c r="G1681" s="149" t="n">
        <f aca="false">IF(C1681="M.O.",VLOOKUP(A1681,INSUMOS_AUX!A:F,6,0),0)</f>
        <v>13.26</v>
      </c>
    </row>
    <row r="1682" customFormat="false" ht="15" hidden="false" customHeight="false" outlineLevel="0" collapsed="false">
      <c r="A1682" s="154" t="n">
        <v>378</v>
      </c>
      <c r="B1682" s="155" t="s">
        <v>1589</v>
      </c>
      <c r="C1682" s="148" t="str">
        <f aca="false">VLOOKUP($A1682,INSUMOS_AUX!$A$3:$H$813,3,0)</f>
        <v>M.O.</v>
      </c>
      <c r="D1682" s="156" t="s">
        <v>1444</v>
      </c>
      <c r="E1682" s="154" t="n">
        <v>0.131095584</v>
      </c>
      <c r="F1682" s="149" t="n">
        <f aca="false">IF(C1682="MAT.",VLOOKUP(A1682,INSUMOS_AUX!$A$3:$H$813,6,0),0)</f>
        <v>0</v>
      </c>
      <c r="G1682" s="149" t="n">
        <f aca="false">IF(C1682="M.O.",VLOOKUP(A1682,INSUMOS_AUX!A:F,6,0),0)</f>
        <v>20.22</v>
      </c>
    </row>
    <row r="1683" customFormat="false" ht="15" hidden="false" customHeight="false" outlineLevel="0" collapsed="false">
      <c r="A1683" s="154" t="n">
        <v>6117</v>
      </c>
      <c r="B1683" s="155" t="s">
        <v>1555</v>
      </c>
      <c r="C1683" s="148" t="str">
        <f aca="false">VLOOKUP($A1683,INSUMOS_AUX!$A$3:$H$813,3,0)</f>
        <v>M.O.</v>
      </c>
      <c r="D1683" s="156" t="s">
        <v>1444</v>
      </c>
      <c r="E1683" s="154" t="n">
        <v>0.1172250752</v>
      </c>
      <c r="F1683" s="149" t="n">
        <f aca="false">IF(C1683="MAT.",VLOOKUP(A1683,INSUMOS_AUX!$A$3:$H$813,6,0),0)</f>
        <v>0</v>
      </c>
      <c r="G1683" s="149" t="n">
        <f aca="false">IF(C1683="M.O.",VLOOKUP(A1683,INSUMOS_AUX!A:F,6,0),0)</f>
        <v>13.26</v>
      </c>
    </row>
    <row r="1684" customFormat="false" ht="15" hidden="false" customHeight="false" outlineLevel="0" collapsed="false">
      <c r="A1684" s="154" t="n">
        <v>1213</v>
      </c>
      <c r="B1684" s="155" t="s">
        <v>1516</v>
      </c>
      <c r="C1684" s="148" t="str">
        <f aca="false">VLOOKUP($A1684,INSUMOS_AUX!$A$3:$H$813,3,0)</f>
        <v>M.O.</v>
      </c>
      <c r="D1684" s="156" t="s">
        <v>1444</v>
      </c>
      <c r="E1684" s="154" t="n">
        <v>0.1907359824</v>
      </c>
      <c r="F1684" s="149" t="n">
        <f aca="false">IF(C1684="MAT.",VLOOKUP(A1684,INSUMOS_AUX!$A$3:$H$813,6,0),0)</f>
        <v>0</v>
      </c>
      <c r="G1684" s="149" t="n">
        <f aca="false">IF(C1684="M.O.",VLOOKUP(A1684,INSUMOS_AUX!A:F,6,0),0)</f>
        <v>20.22</v>
      </c>
    </row>
    <row r="1685" customFormat="false" ht="15" hidden="false" customHeight="false" outlineLevel="0" collapsed="false">
      <c r="A1685" s="154" t="n">
        <v>4750</v>
      </c>
      <c r="B1685" s="155" t="s">
        <v>1463</v>
      </c>
      <c r="C1685" s="148" t="s">
        <v>59</v>
      </c>
      <c r="D1685" s="156" t="s">
        <v>1444</v>
      </c>
      <c r="E1685" s="154" t="n">
        <v>0.2634696</v>
      </c>
      <c r="F1685" s="149" t="n">
        <f aca="false">IF(C1685="MAT.",VLOOKUP(A1685,INSUMOS_AUX!$A$3:$H$813,6,0),0)</f>
        <v>0</v>
      </c>
      <c r="G1685" s="149" t="n">
        <f aca="false">IF(C1685="M.O.",VLOOKUP(A1685,INSUMOS_AUX!A:F,6,0),0)</f>
        <v>0</v>
      </c>
    </row>
    <row r="1686" customFormat="false" ht="15" hidden="false" customHeight="false" outlineLevel="0" collapsed="false">
      <c r="A1686" s="154" t="n">
        <v>6111</v>
      </c>
      <c r="B1686" s="155" t="s">
        <v>1464</v>
      </c>
      <c r="C1686" s="148" t="str">
        <f aca="false">VLOOKUP($A1686,INSUMOS_AUX!$A$3:$H$813,3,0)</f>
        <v>M.O.</v>
      </c>
      <c r="D1686" s="156" t="s">
        <v>1444</v>
      </c>
      <c r="E1686" s="154" t="n">
        <v>0.2027082</v>
      </c>
      <c r="F1686" s="149" t="n">
        <f aca="false">IF(C1686="MAT.",VLOOKUP(A1686,INSUMOS_AUX!$A$3:$H$813,6,0),0)</f>
        <v>0</v>
      </c>
      <c r="G1686" s="149" t="n">
        <f aca="false">IF(C1686="M.O.",VLOOKUP(A1686,INSUMOS_AUX!A:F,6,0),0)</f>
        <v>12.95</v>
      </c>
    </row>
    <row r="1687" customFormat="false" ht="31.5" hidden="false" customHeight="false" outlineLevel="0" collapsed="false">
      <c r="A1687" s="150" t="n">
        <v>101964</v>
      </c>
      <c r="B1687" s="151" t="s">
        <v>1758</v>
      </c>
      <c r="C1687" s="152" t="s">
        <v>59</v>
      </c>
      <c r="D1687" s="152" t="s">
        <v>1477</v>
      </c>
      <c r="E1687" s="150"/>
      <c r="F1687" s="153" t="n">
        <f aca="false">(SUMPRODUCT($E1688:$E1718,F1688:F1718))*1</f>
        <v>137.36358324212</v>
      </c>
      <c r="G1687" s="153" t="n">
        <f aca="false">(SUMPRODUCT($E1688:$E1718,G1688:G1718))*1</f>
        <v>23.8734663642396</v>
      </c>
    </row>
    <row r="1688" customFormat="false" ht="21" hidden="false" customHeight="false" outlineLevel="0" collapsed="false">
      <c r="A1688" s="154" t="n">
        <v>37370</v>
      </c>
      <c r="B1688" s="155" t="s">
        <v>1443</v>
      </c>
      <c r="C1688" s="148" t="str">
        <f aca="false">VLOOKUP($A1688,INSUMOS_AUX!$A$3:$H$813,3,0)</f>
        <v>MAT.</v>
      </c>
      <c r="D1688" s="156" t="s">
        <v>1444</v>
      </c>
      <c r="E1688" s="154" t="n">
        <v>1.3385172</v>
      </c>
      <c r="F1688" s="149" t="n">
        <f aca="false">IF(C1688="MAT.",VLOOKUP(A1688,INSUMOS_AUX!$A$3:$H$813,6,0),0)</f>
        <v>3.32</v>
      </c>
      <c r="G1688" s="149" t="n">
        <f aca="false">IF(C1688="M.O.",VLOOKUP(A1688,INSUMOS_AUX!A:F,6,0),0)</f>
        <v>0</v>
      </c>
    </row>
    <row r="1689" customFormat="false" ht="21" hidden="false" customHeight="false" outlineLevel="0" collapsed="false">
      <c r="A1689" s="154" t="n">
        <v>43483</v>
      </c>
      <c r="B1689" s="155" t="s">
        <v>1486</v>
      </c>
      <c r="C1689" s="148" t="str">
        <f aca="false">VLOOKUP($A1689,INSUMOS_AUX!$A$3:$H$813,3,0)</f>
        <v>MAT.</v>
      </c>
      <c r="D1689" s="156" t="s">
        <v>1444</v>
      </c>
      <c r="E1689" s="154" t="n">
        <v>0.617824</v>
      </c>
      <c r="F1689" s="149" t="n">
        <f aca="false">IF(C1689="MAT.",VLOOKUP(A1689,INSUMOS_AUX!$A$3:$H$813,6,0),0)</f>
        <v>1.43</v>
      </c>
      <c r="G1689" s="149" t="n">
        <f aca="false">IF(C1689="M.O.",VLOOKUP(A1689,INSUMOS_AUX!A:F,6,0),0)</f>
        <v>0</v>
      </c>
    </row>
    <row r="1690" customFormat="false" ht="21" hidden="false" customHeight="false" outlineLevel="0" collapsed="false">
      <c r="A1690" s="154" t="n">
        <v>43488</v>
      </c>
      <c r="B1690" s="155" t="s">
        <v>1445</v>
      </c>
      <c r="C1690" s="148" t="str">
        <f aca="false">VLOOKUP($A1690,INSUMOS_AUX!$A$3:$H$813,3,0)</f>
        <v>MAT.</v>
      </c>
      <c r="D1690" s="156" t="s">
        <v>1444</v>
      </c>
      <c r="E1690" s="154" t="n">
        <v>0.03589</v>
      </c>
      <c r="F1690" s="149" t="n">
        <f aca="false">IF(C1690="MAT.",VLOOKUP(A1690,INSUMOS_AUX!$A$3:$H$813,6,0),0)</f>
        <v>0.89</v>
      </c>
      <c r="G1690" s="149" t="n">
        <f aca="false">IF(C1690="M.O.",VLOOKUP(A1690,INSUMOS_AUX!A:F,6,0),0)</f>
        <v>0</v>
      </c>
    </row>
    <row r="1691" customFormat="false" ht="21" hidden="false" customHeight="false" outlineLevel="0" collapsed="false">
      <c r="A1691" s="154" t="n">
        <v>43489</v>
      </c>
      <c r="B1691" s="155" t="s">
        <v>1456</v>
      </c>
      <c r="C1691" s="148" t="str">
        <f aca="false">VLOOKUP($A1691,INSUMOS_AUX!$A$3:$H$813,3,0)</f>
        <v>MAT.</v>
      </c>
      <c r="D1691" s="156" t="s">
        <v>1444</v>
      </c>
      <c r="E1691" s="154" t="n">
        <v>0.2783552</v>
      </c>
      <c r="F1691" s="149" t="n">
        <f aca="false">IF(C1691="MAT.",VLOOKUP(A1691,INSUMOS_AUX!$A$3:$H$813,6,0),0)</f>
        <v>1.31</v>
      </c>
      <c r="G1691" s="149" t="n">
        <f aca="false">IF(C1691="M.O.",VLOOKUP(A1691,INSUMOS_AUX!A:F,6,0),0)</f>
        <v>0</v>
      </c>
    </row>
    <row r="1692" customFormat="false" ht="21" hidden="false" customHeight="false" outlineLevel="0" collapsed="false">
      <c r="A1692" s="154" t="n">
        <v>43491</v>
      </c>
      <c r="B1692" s="155" t="s">
        <v>1457</v>
      </c>
      <c r="C1692" s="148" t="str">
        <f aca="false">VLOOKUP($A1692,INSUMOS_AUX!$A$3:$H$813,3,0)</f>
        <v>MAT.</v>
      </c>
      <c r="D1692" s="156" t="s">
        <v>1444</v>
      </c>
      <c r="E1692" s="154" t="n">
        <v>0.406448</v>
      </c>
      <c r="F1692" s="149" t="n">
        <f aca="false">IF(C1692="MAT.",VLOOKUP(A1692,INSUMOS_AUX!$A$3:$H$813,6,0),0)</f>
        <v>1.39</v>
      </c>
      <c r="G1692" s="149" t="n">
        <f aca="false">IF(C1692="M.O.",VLOOKUP(A1692,INSUMOS_AUX!A:F,6,0),0)</f>
        <v>0</v>
      </c>
    </row>
    <row r="1693" customFormat="false" ht="21" hidden="false" customHeight="false" outlineLevel="0" collapsed="false">
      <c r="A1693" s="154" t="n">
        <v>37372</v>
      </c>
      <c r="B1693" s="155" t="s">
        <v>1446</v>
      </c>
      <c r="C1693" s="148" t="str">
        <f aca="false">VLOOKUP($A1693,INSUMOS_AUX!$A$3:$H$813,3,0)</f>
        <v>MAT.</v>
      </c>
      <c r="D1693" s="156" t="s">
        <v>1444</v>
      </c>
      <c r="E1693" s="154" t="n">
        <v>1.3385172</v>
      </c>
      <c r="F1693" s="149" t="n">
        <f aca="false">IF(C1693="MAT.",VLOOKUP(A1693,INSUMOS_AUX!$A$3:$H$813,6,0),0)</f>
        <v>1.43</v>
      </c>
      <c r="G1693" s="149" t="n">
        <f aca="false">IF(C1693="M.O.",VLOOKUP(A1693,INSUMOS_AUX!A:F,6,0),0)</f>
        <v>0</v>
      </c>
    </row>
    <row r="1694" customFormat="false" ht="21" hidden="false" customHeight="false" outlineLevel="0" collapsed="false">
      <c r="A1694" s="154" t="n">
        <v>43459</v>
      </c>
      <c r="B1694" s="155" t="s">
        <v>1487</v>
      </c>
      <c r="C1694" s="148" t="str">
        <f aca="false">VLOOKUP($A1694,INSUMOS_AUX!$A$3:$H$813,3,0)</f>
        <v>MAT.</v>
      </c>
      <c r="D1694" s="156" t="s">
        <v>1444</v>
      </c>
      <c r="E1694" s="154" t="n">
        <v>0.617824</v>
      </c>
      <c r="F1694" s="149" t="n">
        <f aca="false">IF(C1694="MAT.",VLOOKUP(A1694,INSUMOS_AUX!$A$3:$H$813,6,0),0)</f>
        <v>0.44</v>
      </c>
      <c r="G1694" s="149" t="n">
        <f aca="false">IF(C1694="M.O.",VLOOKUP(A1694,INSUMOS_AUX!A:F,6,0),0)</f>
        <v>0</v>
      </c>
    </row>
    <row r="1695" customFormat="false" ht="21" hidden="false" customHeight="false" outlineLevel="0" collapsed="false">
      <c r="A1695" s="154" t="n">
        <v>43464</v>
      </c>
      <c r="B1695" s="155" t="s">
        <v>1447</v>
      </c>
      <c r="C1695" s="148" t="str">
        <f aca="false">VLOOKUP($A1695,INSUMOS_AUX!$A$3:$H$813,3,0)</f>
        <v>MAT.</v>
      </c>
      <c r="D1695" s="156" t="s">
        <v>1444</v>
      </c>
      <c r="E1695" s="154" t="n">
        <v>0.03589</v>
      </c>
      <c r="F1695" s="149" t="n">
        <f aca="false">IF(C1695="MAT.",VLOOKUP(A1695,INSUMOS_AUX!$A$3:$H$813,6,0),0)</f>
        <v>0.01</v>
      </c>
      <c r="G1695" s="149" t="n">
        <f aca="false">IF(C1695="M.O.",VLOOKUP(A1695,INSUMOS_AUX!A:F,6,0),0)</f>
        <v>0</v>
      </c>
    </row>
    <row r="1696" customFormat="false" ht="21" hidden="false" customHeight="false" outlineLevel="0" collapsed="false">
      <c r="A1696" s="154" t="n">
        <v>43465</v>
      </c>
      <c r="B1696" s="155" t="s">
        <v>1458</v>
      </c>
      <c r="C1696" s="148" t="str">
        <f aca="false">VLOOKUP($A1696,INSUMOS_AUX!$A$3:$H$813,3,0)</f>
        <v>MAT.</v>
      </c>
      <c r="D1696" s="156" t="s">
        <v>1444</v>
      </c>
      <c r="E1696" s="154" t="n">
        <v>0.2783552</v>
      </c>
      <c r="F1696" s="149" t="n">
        <f aca="false">IF(C1696="MAT.",VLOOKUP(A1696,INSUMOS_AUX!$A$3:$H$813,6,0),0)</f>
        <v>0.78</v>
      </c>
      <c r="G1696" s="149" t="n">
        <f aca="false">IF(C1696="M.O.",VLOOKUP(A1696,INSUMOS_AUX!A:F,6,0),0)</f>
        <v>0</v>
      </c>
    </row>
    <row r="1697" customFormat="false" ht="21" hidden="false" customHeight="false" outlineLevel="0" collapsed="false">
      <c r="A1697" s="154" t="n">
        <v>43467</v>
      </c>
      <c r="B1697" s="155" t="s">
        <v>1459</v>
      </c>
      <c r="C1697" s="148" t="str">
        <f aca="false">VLOOKUP($A1697,INSUMOS_AUX!$A$3:$H$813,3,0)</f>
        <v>MAT.</v>
      </c>
      <c r="D1697" s="156" t="s">
        <v>1444</v>
      </c>
      <c r="E1697" s="154" t="n">
        <v>0.406448</v>
      </c>
      <c r="F1697" s="149" t="n">
        <f aca="false">IF(C1697="MAT.",VLOOKUP(A1697,INSUMOS_AUX!$A$3:$H$813,6,0),0)</f>
        <v>0.61</v>
      </c>
      <c r="G1697" s="149" t="n">
        <f aca="false">IF(C1697="M.O.",VLOOKUP(A1697,INSUMOS_AUX!A:F,6,0),0)</f>
        <v>0</v>
      </c>
    </row>
    <row r="1698" customFormat="false" ht="21" hidden="false" customHeight="false" outlineLevel="0" collapsed="false">
      <c r="A1698" s="154" t="n">
        <v>37373</v>
      </c>
      <c r="B1698" s="155" t="s">
        <v>1448</v>
      </c>
      <c r="C1698" s="148" t="str">
        <f aca="false">VLOOKUP($A1698,INSUMOS_AUX!$A$3:$H$813,3,0)</f>
        <v>MAT.</v>
      </c>
      <c r="D1698" s="156" t="s">
        <v>1444</v>
      </c>
      <c r="E1698" s="154" t="n">
        <v>1.3385172</v>
      </c>
      <c r="F1698" s="149" t="n">
        <f aca="false">IF(C1698="MAT.",VLOOKUP(A1698,INSUMOS_AUX!$A$3:$H$813,6,0),0)</f>
        <v>0.08</v>
      </c>
      <c r="G1698" s="149" t="n">
        <f aca="false">IF(C1698="M.O.",VLOOKUP(A1698,INSUMOS_AUX!A:F,6,0),0)</f>
        <v>0</v>
      </c>
    </row>
    <row r="1699" customFormat="false" ht="21" hidden="false" customHeight="false" outlineLevel="0" collapsed="false">
      <c r="A1699" s="154" t="n">
        <v>37371</v>
      </c>
      <c r="B1699" s="155" t="s">
        <v>1449</v>
      </c>
      <c r="C1699" s="148" t="str">
        <f aca="false">VLOOKUP($A1699,INSUMOS_AUX!$A$3:$H$813,3,0)</f>
        <v>MAT.</v>
      </c>
      <c r="D1699" s="156" t="s">
        <v>1444</v>
      </c>
      <c r="E1699" s="154" t="n">
        <v>1.3385172</v>
      </c>
      <c r="F1699" s="149" t="n">
        <f aca="false">IF(C1699="MAT.",VLOOKUP(A1699,INSUMOS_AUX!$A$3:$H$813,6,0),0)</f>
        <v>0.59</v>
      </c>
      <c r="G1699" s="149" t="n">
        <f aca="false">IF(C1699="M.O.",VLOOKUP(A1699,INSUMOS_AUX!A:F,6,0),0)</f>
        <v>0</v>
      </c>
    </row>
    <row r="1700" customFormat="false" ht="21" hidden="false" customHeight="false" outlineLevel="0" collapsed="false">
      <c r="A1700" s="154" t="n">
        <v>14618</v>
      </c>
      <c r="B1700" s="155" t="s">
        <v>1592</v>
      </c>
      <c r="C1700" s="148" t="str">
        <f aca="false">VLOOKUP($A1700,INSUMOS_AUX!$A$3:$H$813,3,0)</f>
        <v>MAT.</v>
      </c>
      <c r="D1700" s="156" t="s">
        <v>31</v>
      </c>
      <c r="E1700" s="154" t="n">
        <v>3.454752E-006</v>
      </c>
      <c r="F1700" s="149" t="n">
        <f aca="false">IF(C1700="MAT.",VLOOKUP(A1700,INSUMOS_AUX!$A$3:$H$813,6,0),0)</f>
        <v>1283.38</v>
      </c>
      <c r="G1700" s="149" t="n">
        <f aca="false">IF(C1700="M.O.",VLOOKUP(A1700,INSUMOS_AUX!A:F,6,0),0)</f>
        <v>0</v>
      </c>
    </row>
    <row r="1701" customFormat="false" ht="21" hidden="false" customHeight="false" outlineLevel="0" collapsed="false">
      <c r="A1701" s="154" t="n">
        <v>13896</v>
      </c>
      <c r="B1701" s="155" t="s">
        <v>1564</v>
      </c>
      <c r="C1701" s="148" t="str">
        <f aca="false">VLOOKUP($A1701,INSUMOS_AUX!$A$3:$H$813,3,0)</f>
        <v>MAT.</v>
      </c>
      <c r="D1701" s="156" t="s">
        <v>31</v>
      </c>
      <c r="E1701" s="154" t="n">
        <v>3.4401312E-006</v>
      </c>
      <c r="F1701" s="149" t="n">
        <f aca="false">IF(C1701="MAT.",VLOOKUP(A1701,INSUMOS_AUX!$A$3:$H$813,6,0),0)</f>
        <v>3390.99</v>
      </c>
      <c r="G1701" s="149" t="n">
        <f aca="false">IF(C1701="M.O.",VLOOKUP(A1701,INSUMOS_AUX!A:F,6,0),0)</f>
        <v>0</v>
      </c>
    </row>
    <row r="1702" customFormat="false" ht="15" hidden="false" customHeight="false" outlineLevel="0" collapsed="false">
      <c r="A1702" s="154" t="n">
        <v>2705</v>
      </c>
      <c r="B1702" s="155" t="s">
        <v>1467</v>
      </c>
      <c r="C1702" s="148" t="s">
        <v>59</v>
      </c>
      <c r="D1702" s="156" t="s">
        <v>1468</v>
      </c>
      <c r="E1702" s="154" t="n">
        <v>0.01367312</v>
      </c>
      <c r="F1702" s="149" t="n">
        <f aca="false">IF(C1702="MAT.",VLOOKUP(A1702,INSUMOS_AUX!$A$3:$H$813,6,0),0)</f>
        <v>0</v>
      </c>
      <c r="G1702" s="149" t="n">
        <f aca="false">IF(C1702="M.O.",VLOOKUP(A1702,INSUMOS_AUX!A:F,6,0),0)</f>
        <v>0</v>
      </c>
    </row>
    <row r="1703" customFormat="false" ht="15" hidden="false" customHeight="false" outlineLevel="0" collapsed="false">
      <c r="A1703" s="154" t="n">
        <v>43059</v>
      </c>
      <c r="B1703" s="155" t="s">
        <v>1630</v>
      </c>
      <c r="C1703" s="148" t="str">
        <f aca="false">VLOOKUP($A1703,INSUMOS_AUX!$A$3:$H$813,3,0)</f>
        <v>MAT.</v>
      </c>
      <c r="D1703" s="156" t="s">
        <v>1513</v>
      </c>
      <c r="E1703" s="154" t="n">
        <v>1.06037</v>
      </c>
      <c r="F1703" s="149" t="n">
        <f aca="false">IF(C1703="MAT.",VLOOKUP(A1703,INSUMOS_AUX!$A$3:$H$813,6,0),0)</f>
        <v>7.26</v>
      </c>
      <c r="G1703" s="149" t="n">
        <f aca="false">IF(C1703="M.O.",VLOOKUP(A1703,INSUMOS_AUX!A:F,6,0),0)</f>
        <v>0</v>
      </c>
    </row>
    <row r="1704" customFormat="false" ht="21" hidden="false" customHeight="false" outlineLevel="0" collapsed="false">
      <c r="A1704" s="154" t="n">
        <v>43132</v>
      </c>
      <c r="B1704" s="155" t="s">
        <v>1565</v>
      </c>
      <c r="C1704" s="148" t="str">
        <f aca="false">VLOOKUP($A1704,INSUMOS_AUX!$A$3:$H$813,3,0)</f>
        <v>MAT.</v>
      </c>
      <c r="D1704" s="156" t="s">
        <v>1513</v>
      </c>
      <c r="E1704" s="154" t="n">
        <v>0.024775</v>
      </c>
      <c r="F1704" s="149" t="n">
        <f aca="false">IF(C1704="MAT.",VLOOKUP(A1704,INSUMOS_AUX!$A$3:$H$813,6,0),0)</f>
        <v>28</v>
      </c>
      <c r="G1704" s="149" t="n">
        <f aca="false">IF(C1704="M.O.",VLOOKUP(A1704,INSUMOS_AUX!A:F,6,0),0)</f>
        <v>0</v>
      </c>
    </row>
    <row r="1705" customFormat="false" ht="31.5" hidden="false" customHeight="false" outlineLevel="0" collapsed="false">
      <c r="A1705" s="154" t="n">
        <v>1527</v>
      </c>
      <c r="B1705" s="155" t="s">
        <v>1759</v>
      </c>
      <c r="C1705" s="148" t="str">
        <f aca="false">VLOOKUP($A1705,INSUMOS_AUX!$A$3:$H$813,3,0)</f>
        <v>MAT.</v>
      </c>
      <c r="D1705" s="156" t="s">
        <v>1442</v>
      </c>
      <c r="E1705" s="154" t="n">
        <v>0.048532</v>
      </c>
      <c r="F1705" s="149" t="n">
        <f aca="false">IF(C1705="MAT.",VLOOKUP(A1705,INSUMOS_AUX!$A$3:$H$813,6,0),0)</f>
        <v>648.27</v>
      </c>
      <c r="G1705" s="149" t="n">
        <f aca="false">IF(C1705="M.O.",VLOOKUP(A1705,INSUMOS_AUX!A:F,6,0),0)</f>
        <v>0</v>
      </c>
    </row>
    <row r="1706" customFormat="false" ht="21" hidden="false" customHeight="false" outlineLevel="0" collapsed="false">
      <c r="A1706" s="154" t="n">
        <v>39017</v>
      </c>
      <c r="B1706" s="155" t="s">
        <v>1621</v>
      </c>
      <c r="C1706" s="148" t="str">
        <f aca="false">VLOOKUP($A1706,INSUMOS_AUX!$A$3:$H$813,3,0)</f>
        <v>MAT.</v>
      </c>
      <c r="D1706" s="156" t="s">
        <v>31</v>
      </c>
      <c r="E1706" s="154" t="n">
        <v>2.790656</v>
      </c>
      <c r="F1706" s="149" t="n">
        <f aca="false">IF(C1706="MAT.",VLOOKUP(A1706,INSUMOS_AUX!$A$3:$H$813,6,0),0)</f>
        <v>0.22</v>
      </c>
      <c r="G1706" s="149" t="n">
        <f aca="false">IF(C1706="M.O.",VLOOKUP(A1706,INSUMOS_AUX!A:F,6,0),0)</f>
        <v>0</v>
      </c>
    </row>
    <row r="1707" customFormat="false" ht="31.5" hidden="false" customHeight="false" outlineLevel="0" collapsed="false">
      <c r="A1707" s="154" t="n">
        <v>3736</v>
      </c>
      <c r="B1707" s="155" t="s">
        <v>1760</v>
      </c>
      <c r="C1707" s="148" t="str">
        <f aca="false">VLOOKUP($A1707,INSUMOS_AUX!$A$3:$H$813,3,0)</f>
        <v>MAT.</v>
      </c>
      <c r="D1707" s="156" t="s">
        <v>1477</v>
      </c>
      <c r="E1707" s="154" t="n">
        <v>1</v>
      </c>
      <c r="F1707" s="149" t="n">
        <f aca="false">IF(C1707="MAT.",VLOOKUP(A1707,INSUMOS_AUX!$A$3:$H$813,6,0),0)</f>
        <v>43.5</v>
      </c>
      <c r="G1707" s="149" t="n">
        <f aca="false">IF(C1707="M.O.",VLOOKUP(A1707,INSUMOS_AUX!A:F,6,0),0)</f>
        <v>0</v>
      </c>
    </row>
    <row r="1708" customFormat="false" ht="21" hidden="false" customHeight="false" outlineLevel="0" collapsed="false">
      <c r="A1708" s="154" t="n">
        <v>4491</v>
      </c>
      <c r="B1708" s="155" t="s">
        <v>1578</v>
      </c>
      <c r="C1708" s="148" t="str">
        <f aca="false">VLOOKUP($A1708,INSUMOS_AUX!$A$3:$H$813,3,0)</f>
        <v>MAT.</v>
      </c>
      <c r="D1708" s="156" t="s">
        <v>1455</v>
      </c>
      <c r="E1708" s="154" t="n">
        <v>1.2707</v>
      </c>
      <c r="F1708" s="149" t="n">
        <f aca="false">IF(C1708="MAT.",VLOOKUP(A1708,INSUMOS_AUX!$A$3:$H$813,6,0),0)</f>
        <v>10.25</v>
      </c>
      <c r="G1708" s="149" t="n">
        <f aca="false">IF(C1708="M.O.",VLOOKUP(A1708,INSUMOS_AUX!A:F,6,0),0)</f>
        <v>0</v>
      </c>
    </row>
    <row r="1709" customFormat="false" ht="15" hidden="false" customHeight="false" outlineLevel="0" collapsed="false">
      <c r="A1709" s="154" t="n">
        <v>5068</v>
      </c>
      <c r="B1709" s="155" t="s">
        <v>1579</v>
      </c>
      <c r="C1709" s="148" t="str">
        <f aca="false">VLOOKUP($A1709,INSUMOS_AUX!$A$3:$H$813,3,0)</f>
        <v>MAT.</v>
      </c>
      <c r="D1709" s="156" t="s">
        <v>1513</v>
      </c>
      <c r="E1709" s="154" t="n">
        <v>0.02231</v>
      </c>
      <c r="F1709" s="149" t="n">
        <f aca="false">IF(C1709="MAT.",VLOOKUP(A1709,INSUMOS_AUX!$A$3:$H$813,6,0),0)</f>
        <v>20.34</v>
      </c>
      <c r="G1709" s="149" t="n">
        <f aca="false">IF(C1709="M.O.",VLOOKUP(A1709,INSUMOS_AUX!A:F,6,0),0)</f>
        <v>0</v>
      </c>
    </row>
    <row r="1710" customFormat="false" ht="15" hidden="false" customHeight="false" outlineLevel="0" collapsed="false">
      <c r="A1710" s="154" t="n">
        <v>40304</v>
      </c>
      <c r="B1710" s="155" t="s">
        <v>1626</v>
      </c>
      <c r="C1710" s="148" t="str">
        <f aca="false">VLOOKUP($A1710,INSUMOS_AUX!$A$3:$H$813,3,0)</f>
        <v>MAT.</v>
      </c>
      <c r="D1710" s="156" t="s">
        <v>1513</v>
      </c>
      <c r="E1710" s="154" t="n">
        <v>0.04</v>
      </c>
      <c r="F1710" s="149" t="n">
        <f aca="false">IF(C1710="MAT.",VLOOKUP(A1710,INSUMOS_AUX!$A$3:$H$813,6,0),0)</f>
        <v>25.11</v>
      </c>
      <c r="G1710" s="149" t="n">
        <f aca="false">IF(C1710="M.O.",VLOOKUP(A1710,INSUMOS_AUX!A:F,6,0),0)</f>
        <v>0</v>
      </c>
    </row>
    <row r="1711" customFormat="false" ht="31.5" hidden="false" customHeight="false" outlineLevel="0" collapsed="false">
      <c r="A1711" s="154" t="n">
        <v>6193</v>
      </c>
      <c r="B1711" s="155" t="s">
        <v>1584</v>
      </c>
      <c r="C1711" s="148" t="str">
        <f aca="false">VLOOKUP($A1711,INSUMOS_AUX!$A$3:$H$813,3,0)</f>
        <v>MAT.</v>
      </c>
      <c r="D1711" s="156" t="s">
        <v>1455</v>
      </c>
      <c r="E1711" s="154" t="n">
        <v>1.87</v>
      </c>
      <c r="F1711" s="149" t="n">
        <f aca="false">IF(C1711="MAT.",VLOOKUP(A1711,INSUMOS_AUX!$A$3:$H$813,6,0),0)</f>
        <v>15.54</v>
      </c>
      <c r="G1711" s="149" t="n">
        <f aca="false">IF(C1711="M.O.",VLOOKUP(A1711,INSUMOS_AUX!A:F,6,0),0)</f>
        <v>0</v>
      </c>
    </row>
    <row r="1712" customFormat="false" ht="15" hidden="false" customHeight="false" outlineLevel="0" collapsed="false">
      <c r="A1712" s="154" t="n">
        <v>6114</v>
      </c>
      <c r="B1712" s="155" t="s">
        <v>1588</v>
      </c>
      <c r="C1712" s="148" t="str">
        <f aca="false">VLOOKUP($A1712,INSUMOS_AUX!$A$3:$H$813,3,0)</f>
        <v>M.O.</v>
      </c>
      <c r="D1712" s="156" t="s">
        <v>1444</v>
      </c>
      <c r="E1712" s="154" t="n">
        <v>0.032478930936</v>
      </c>
      <c r="F1712" s="149" t="n">
        <f aca="false">IF(C1712="MAT.",VLOOKUP(A1712,INSUMOS_AUX!$A$3:$H$813,6,0),0)</f>
        <v>0</v>
      </c>
      <c r="G1712" s="149" t="n">
        <f aca="false">IF(C1712="M.O.",VLOOKUP(A1712,INSUMOS_AUX!A:F,6,0),0)</f>
        <v>13.26</v>
      </c>
    </row>
    <row r="1713" customFormat="false" ht="15" hidden="false" customHeight="false" outlineLevel="0" collapsed="false">
      <c r="A1713" s="154" t="n">
        <v>378</v>
      </c>
      <c r="B1713" s="155" t="s">
        <v>1589</v>
      </c>
      <c r="C1713" s="148" t="str">
        <f aca="false">VLOOKUP($A1713,INSUMOS_AUX!$A$3:$H$813,3,0)</f>
        <v>M.O.</v>
      </c>
      <c r="D1713" s="156" t="s">
        <v>1444</v>
      </c>
      <c r="E1713" s="154" t="n">
        <v>0.199284304632</v>
      </c>
      <c r="F1713" s="149" t="n">
        <f aca="false">IF(C1713="MAT.",VLOOKUP(A1713,INSUMOS_AUX!$A$3:$H$813,6,0),0)</f>
        <v>0</v>
      </c>
      <c r="G1713" s="149" t="n">
        <f aca="false">IF(C1713="M.O.",VLOOKUP(A1713,INSUMOS_AUX!A:F,6,0),0)</f>
        <v>20.22</v>
      </c>
    </row>
    <row r="1714" customFormat="false" ht="15" hidden="false" customHeight="false" outlineLevel="0" collapsed="false">
      <c r="A1714" s="154" t="n">
        <v>6117</v>
      </c>
      <c r="B1714" s="155" t="s">
        <v>1555</v>
      </c>
      <c r="C1714" s="148" t="str">
        <f aca="false">VLOOKUP($A1714,INSUMOS_AUX!$A$3:$H$813,3,0)</f>
        <v>M.O.</v>
      </c>
      <c r="D1714" s="156" t="s">
        <v>1444</v>
      </c>
      <c r="E1714" s="154" t="n">
        <v>0.0206706612</v>
      </c>
      <c r="F1714" s="149" t="n">
        <f aca="false">IF(C1714="MAT.",VLOOKUP(A1714,INSUMOS_AUX!$A$3:$H$813,6,0),0)</f>
        <v>0</v>
      </c>
      <c r="G1714" s="149" t="n">
        <f aca="false">IF(C1714="M.O.",VLOOKUP(A1714,INSUMOS_AUX!A:F,6,0),0)</f>
        <v>13.26</v>
      </c>
    </row>
    <row r="1715" customFormat="false" ht="15" hidden="false" customHeight="false" outlineLevel="0" collapsed="false">
      <c r="A1715" s="154" t="n">
        <v>1213</v>
      </c>
      <c r="B1715" s="155" t="s">
        <v>1516</v>
      </c>
      <c r="C1715" s="148" t="str">
        <f aca="false">VLOOKUP($A1715,INSUMOS_AUX!$A$3:$H$813,3,0)</f>
        <v>M.O.</v>
      </c>
      <c r="D1715" s="156" t="s">
        <v>1444</v>
      </c>
      <c r="E1715" s="154" t="n">
        <v>0.60434861916</v>
      </c>
      <c r="F1715" s="149" t="n">
        <f aca="false">IF(C1715="MAT.",VLOOKUP(A1715,INSUMOS_AUX!$A$3:$H$813,6,0),0)</f>
        <v>0</v>
      </c>
      <c r="G1715" s="149" t="n">
        <f aca="false">IF(C1715="M.O.",VLOOKUP(A1715,INSUMOS_AUX!A:F,6,0),0)</f>
        <v>20.22</v>
      </c>
    </row>
    <row r="1716" customFormat="false" ht="21" hidden="false" customHeight="false" outlineLevel="0" collapsed="false">
      <c r="A1716" s="154" t="n">
        <v>4230</v>
      </c>
      <c r="B1716" s="155" t="s">
        <v>1597</v>
      </c>
      <c r="C1716" s="148" t="str">
        <f aca="false">VLOOKUP($A1716,INSUMOS_AUX!$A$3:$H$813,3,0)</f>
        <v>M.O.</v>
      </c>
      <c r="D1716" s="156" t="s">
        <v>1444</v>
      </c>
      <c r="E1716" s="154" t="n">
        <v>0.0363041706</v>
      </c>
      <c r="F1716" s="149" t="n">
        <f aca="false">IF(C1716="MAT.",VLOOKUP(A1716,INSUMOS_AUX!$A$3:$H$813,6,0),0)</f>
        <v>0</v>
      </c>
      <c r="G1716" s="149" t="n">
        <f aca="false">IF(C1716="M.O.",VLOOKUP(A1716,INSUMOS_AUX!A:F,6,0),0)</f>
        <v>14.53</v>
      </c>
    </row>
    <row r="1717" customFormat="false" ht="15" hidden="false" customHeight="false" outlineLevel="0" collapsed="false">
      <c r="A1717" s="154" t="n">
        <v>4750</v>
      </c>
      <c r="B1717" s="155" t="s">
        <v>1463</v>
      </c>
      <c r="C1717" s="148" t="str">
        <f aca="false">VLOOKUP($A1717,INSUMOS_AUX!$A$3:$H$813,3,0)</f>
        <v>M.O.</v>
      </c>
      <c r="D1717" s="156" t="s">
        <v>1444</v>
      </c>
      <c r="E1717" s="154" t="n">
        <v>0.0502798032</v>
      </c>
      <c r="F1717" s="149" t="n">
        <f aca="false">IF(C1717="MAT.",VLOOKUP(A1717,INSUMOS_AUX!$A$3:$H$813,6,0),0)</f>
        <v>0</v>
      </c>
      <c r="G1717" s="149" t="n">
        <f aca="false">IF(C1717="M.O.",VLOOKUP(A1717,INSUMOS_AUX!A:F,6,0),0)</f>
        <v>20.22</v>
      </c>
    </row>
    <row r="1718" customFormat="false" ht="15" hidden="false" customHeight="false" outlineLevel="0" collapsed="false">
      <c r="A1718" s="154" t="n">
        <v>6111</v>
      </c>
      <c r="B1718" s="155" t="s">
        <v>1464</v>
      </c>
      <c r="C1718" s="148" t="str">
        <f aca="false">VLOOKUP($A1718,INSUMOS_AUX!$A$3:$H$813,3,0)</f>
        <v>M.O.</v>
      </c>
      <c r="D1718" s="156" t="s">
        <v>1444</v>
      </c>
      <c r="E1718" s="154" t="n">
        <v>0.4150646976</v>
      </c>
      <c r="F1718" s="149" t="n">
        <f aca="false">IF(C1718="MAT.",VLOOKUP(A1718,INSUMOS_AUX!$A$3:$H$813,6,0),0)</f>
        <v>0</v>
      </c>
      <c r="G1718" s="149" t="n">
        <f aca="false">IF(C1718="M.O.",VLOOKUP(A1718,INSUMOS_AUX!A:F,6,0),0)</f>
        <v>12.95</v>
      </c>
    </row>
    <row r="1719" customFormat="false" ht="31.5" hidden="false" customHeight="false" outlineLevel="0" collapsed="false">
      <c r="A1719" s="150" t="n">
        <v>96528</v>
      </c>
      <c r="B1719" s="151" t="s">
        <v>1761</v>
      </c>
      <c r="C1719" s="152" t="s">
        <v>59</v>
      </c>
      <c r="D1719" s="152" t="s">
        <v>1477</v>
      </c>
      <c r="E1719" s="150"/>
      <c r="F1719" s="153" t="n">
        <f aca="false">(SUMPRODUCT($E1720:$E1738,F1720:F1738))*1</f>
        <v>57.508349195336</v>
      </c>
      <c r="G1719" s="153" t="n">
        <f aca="false">(SUMPRODUCT($E1720:$E1738,G1720:G1738))*1</f>
        <v>44.4688054152</v>
      </c>
    </row>
    <row r="1720" customFormat="false" ht="21" hidden="false" customHeight="false" outlineLevel="0" collapsed="false">
      <c r="A1720" s="154" t="n">
        <v>37370</v>
      </c>
      <c r="B1720" s="155" t="s">
        <v>1443</v>
      </c>
      <c r="C1720" s="148" t="str">
        <f aca="false">VLOOKUP($A1720,INSUMOS_AUX!$A$3:$H$813,3,0)</f>
        <v>MAT.</v>
      </c>
      <c r="D1720" s="156" t="s">
        <v>1444</v>
      </c>
      <c r="E1720" s="154" t="n">
        <v>2.456</v>
      </c>
      <c r="F1720" s="149" t="n">
        <f aca="false">IF(C1720="MAT.",VLOOKUP(A1720,INSUMOS_AUX!$A$3:$H$813,6,0),0)</f>
        <v>3.32</v>
      </c>
      <c r="G1720" s="149" t="n">
        <f aca="false">IF(C1720="M.O.",VLOOKUP(A1720,INSUMOS_AUX!A:F,6,0),0)</f>
        <v>0</v>
      </c>
    </row>
    <row r="1721" customFormat="false" ht="21" hidden="false" customHeight="false" outlineLevel="0" collapsed="false">
      <c r="A1721" s="154" t="n">
        <v>43483</v>
      </c>
      <c r="B1721" s="155" t="s">
        <v>1486</v>
      </c>
      <c r="C1721" s="148" t="str">
        <f aca="false">VLOOKUP($A1721,INSUMOS_AUX!$A$3:$H$813,3,0)</f>
        <v>MAT.</v>
      </c>
      <c r="D1721" s="156" t="s">
        <v>1444</v>
      </c>
      <c r="E1721" s="154" t="n">
        <v>2.252</v>
      </c>
      <c r="F1721" s="149" t="n">
        <f aca="false">IF(C1721="MAT.",VLOOKUP(A1721,INSUMOS_AUX!$A$3:$H$813,6,0),0)</f>
        <v>1.43</v>
      </c>
      <c r="G1721" s="149" t="n">
        <f aca="false">IF(C1721="M.O.",VLOOKUP(A1721,INSUMOS_AUX!A:F,6,0),0)</f>
        <v>0</v>
      </c>
    </row>
    <row r="1722" customFormat="false" ht="21" hidden="false" customHeight="false" outlineLevel="0" collapsed="false">
      <c r="A1722" s="154" t="n">
        <v>43488</v>
      </c>
      <c r="B1722" s="155" t="s">
        <v>1445</v>
      </c>
      <c r="C1722" s="148" t="str">
        <f aca="false">VLOOKUP($A1722,INSUMOS_AUX!$A$3:$H$813,3,0)</f>
        <v>MAT.</v>
      </c>
      <c r="D1722" s="156" t="s">
        <v>1444</v>
      </c>
      <c r="E1722" s="154" t="n">
        <v>0.204</v>
      </c>
      <c r="F1722" s="149" t="n">
        <f aca="false">IF(C1722="MAT.",VLOOKUP(A1722,INSUMOS_AUX!$A$3:$H$813,6,0),0)</f>
        <v>0.89</v>
      </c>
      <c r="G1722" s="149" t="n">
        <f aca="false">IF(C1722="M.O.",VLOOKUP(A1722,INSUMOS_AUX!A:F,6,0),0)</f>
        <v>0</v>
      </c>
    </row>
    <row r="1723" customFormat="false" ht="21" hidden="false" customHeight="false" outlineLevel="0" collapsed="false">
      <c r="A1723" s="154" t="n">
        <v>37372</v>
      </c>
      <c r="B1723" s="155" t="s">
        <v>1446</v>
      </c>
      <c r="C1723" s="148" t="str">
        <f aca="false">VLOOKUP($A1723,INSUMOS_AUX!$A$3:$H$813,3,0)</f>
        <v>MAT.</v>
      </c>
      <c r="D1723" s="156" t="s">
        <v>1444</v>
      </c>
      <c r="E1723" s="154" t="n">
        <v>2.456</v>
      </c>
      <c r="F1723" s="149" t="n">
        <f aca="false">IF(C1723="MAT.",VLOOKUP(A1723,INSUMOS_AUX!$A$3:$H$813,6,0),0)</f>
        <v>1.43</v>
      </c>
      <c r="G1723" s="149" t="n">
        <f aca="false">IF(C1723="M.O.",VLOOKUP(A1723,INSUMOS_AUX!A:F,6,0),0)</f>
        <v>0</v>
      </c>
    </row>
    <row r="1724" customFormat="false" ht="21" hidden="false" customHeight="false" outlineLevel="0" collapsed="false">
      <c r="A1724" s="154" t="n">
        <v>43459</v>
      </c>
      <c r="B1724" s="155" t="s">
        <v>1487</v>
      </c>
      <c r="C1724" s="148" t="str">
        <f aca="false">VLOOKUP($A1724,INSUMOS_AUX!$A$3:$H$813,3,0)</f>
        <v>MAT.</v>
      </c>
      <c r="D1724" s="156" t="s">
        <v>1444</v>
      </c>
      <c r="E1724" s="154" t="n">
        <v>2.252</v>
      </c>
      <c r="F1724" s="149" t="n">
        <f aca="false">IF(C1724="MAT.",VLOOKUP(A1724,INSUMOS_AUX!$A$3:$H$813,6,0),0)</f>
        <v>0.44</v>
      </c>
      <c r="G1724" s="149" t="n">
        <f aca="false">IF(C1724="M.O.",VLOOKUP(A1724,INSUMOS_AUX!A:F,6,0),0)</f>
        <v>0</v>
      </c>
    </row>
    <row r="1725" customFormat="false" ht="21" hidden="false" customHeight="false" outlineLevel="0" collapsed="false">
      <c r="A1725" s="154" t="n">
        <v>43464</v>
      </c>
      <c r="B1725" s="155" t="s">
        <v>1447</v>
      </c>
      <c r="C1725" s="148" t="str">
        <f aca="false">VLOOKUP($A1725,INSUMOS_AUX!$A$3:$H$813,3,0)</f>
        <v>MAT.</v>
      </c>
      <c r="D1725" s="156" t="s">
        <v>1444</v>
      </c>
      <c r="E1725" s="154" t="n">
        <v>0.204</v>
      </c>
      <c r="F1725" s="149" t="n">
        <f aca="false">IF(C1725="MAT.",VLOOKUP(A1725,INSUMOS_AUX!$A$3:$H$813,6,0),0)</f>
        <v>0.01</v>
      </c>
      <c r="G1725" s="149" t="n">
        <f aca="false">IF(C1725="M.O.",VLOOKUP(A1725,INSUMOS_AUX!A:F,6,0),0)</f>
        <v>0</v>
      </c>
    </row>
    <row r="1726" customFormat="false" ht="21" hidden="false" customHeight="false" outlineLevel="0" collapsed="false">
      <c r="A1726" s="154" t="n">
        <v>37373</v>
      </c>
      <c r="B1726" s="155" t="s">
        <v>1448</v>
      </c>
      <c r="C1726" s="148" t="str">
        <f aca="false">VLOOKUP($A1726,INSUMOS_AUX!$A$3:$H$813,3,0)</f>
        <v>MAT.</v>
      </c>
      <c r="D1726" s="156" t="s">
        <v>1444</v>
      </c>
      <c r="E1726" s="154" t="n">
        <v>2.456</v>
      </c>
      <c r="F1726" s="149" t="n">
        <f aca="false">IF(C1726="MAT.",VLOOKUP(A1726,INSUMOS_AUX!$A$3:$H$813,6,0),0)</f>
        <v>0.08</v>
      </c>
      <c r="G1726" s="149" t="n">
        <f aca="false">IF(C1726="M.O.",VLOOKUP(A1726,INSUMOS_AUX!A:F,6,0),0)</f>
        <v>0</v>
      </c>
    </row>
    <row r="1727" customFormat="false" ht="21" hidden="false" customHeight="false" outlineLevel="0" collapsed="false">
      <c r="A1727" s="154" t="n">
        <v>37371</v>
      </c>
      <c r="B1727" s="155" t="s">
        <v>1449</v>
      </c>
      <c r="C1727" s="148" t="str">
        <f aca="false">VLOOKUP($A1727,INSUMOS_AUX!$A$3:$H$813,3,0)</f>
        <v>MAT.</v>
      </c>
      <c r="D1727" s="156" t="s">
        <v>1444</v>
      </c>
      <c r="E1727" s="154" t="n">
        <v>2.456</v>
      </c>
      <c r="F1727" s="149" t="n">
        <f aca="false">IF(C1727="MAT.",VLOOKUP(A1727,INSUMOS_AUX!$A$3:$H$813,6,0),0)</f>
        <v>0.59</v>
      </c>
      <c r="G1727" s="149" t="n">
        <f aca="false">IF(C1727="M.O.",VLOOKUP(A1727,INSUMOS_AUX!A:F,6,0),0)</f>
        <v>0</v>
      </c>
    </row>
    <row r="1728" customFormat="false" ht="21" hidden="false" customHeight="false" outlineLevel="0" collapsed="false">
      <c r="A1728" s="154" t="n">
        <v>14618</v>
      </c>
      <c r="B1728" s="155" t="s">
        <v>1592</v>
      </c>
      <c r="C1728" s="148" t="str">
        <f aca="false">VLOOKUP($A1728,INSUMOS_AUX!$A$3:$H$813,3,0)</f>
        <v>MAT.</v>
      </c>
      <c r="D1728" s="156" t="s">
        <v>31</v>
      </c>
      <c r="E1728" s="154" t="n">
        <v>1.97572E-005</v>
      </c>
      <c r="F1728" s="149" t="n">
        <f aca="false">IF(C1728="MAT.",VLOOKUP(A1728,INSUMOS_AUX!$A$3:$H$813,6,0),0)</f>
        <v>1283.38</v>
      </c>
      <c r="G1728" s="149" t="n">
        <f aca="false">IF(C1728="M.O.",VLOOKUP(A1728,INSUMOS_AUX!A:F,6,0),0)</f>
        <v>0</v>
      </c>
    </row>
    <row r="1729" customFormat="false" ht="15" hidden="false" customHeight="false" outlineLevel="0" collapsed="false">
      <c r="A1729" s="154" t="n">
        <v>2705</v>
      </c>
      <c r="B1729" s="155" t="s">
        <v>1467</v>
      </c>
      <c r="C1729" s="148" t="str">
        <f aca="false">VLOOKUP($A1729,INSUMOS_AUX!$A$3:$H$813,3,0)</f>
        <v>MAT.</v>
      </c>
      <c r="D1729" s="156" t="s">
        <v>1468</v>
      </c>
      <c r="E1729" s="154" t="n">
        <v>0.05576</v>
      </c>
      <c r="F1729" s="149" t="n">
        <f aca="false">IF(C1729="MAT.",VLOOKUP(A1729,INSUMOS_AUX!$A$3:$H$813,6,0),0)</f>
        <v>0.92</v>
      </c>
      <c r="G1729" s="149" t="n">
        <f aca="false">IF(C1729="M.O.",VLOOKUP(A1729,INSUMOS_AUX!A:F,6,0),0)</f>
        <v>0</v>
      </c>
    </row>
    <row r="1730" customFormat="false" ht="21" hidden="false" customHeight="false" outlineLevel="0" collapsed="false">
      <c r="A1730" s="154" t="n">
        <v>2692</v>
      </c>
      <c r="B1730" s="155" t="s">
        <v>1570</v>
      </c>
      <c r="C1730" s="148" t="str">
        <f aca="false">VLOOKUP($A1730,INSUMOS_AUX!$A$3:$H$813,3,0)</f>
        <v>MAT.</v>
      </c>
      <c r="D1730" s="156" t="s">
        <v>1452</v>
      </c>
      <c r="E1730" s="154" t="n">
        <v>0.0167</v>
      </c>
      <c r="F1730" s="149" t="n">
        <f aca="false">IF(C1730="MAT.",VLOOKUP(A1730,INSUMOS_AUX!$A$3:$H$813,6,0),0)</f>
        <v>6.52</v>
      </c>
      <c r="G1730" s="149" t="n">
        <f aca="false">IF(C1730="M.O.",VLOOKUP(A1730,INSUMOS_AUX!A:F,6,0),0)</f>
        <v>0</v>
      </c>
    </row>
    <row r="1731" customFormat="false" ht="21" hidden="false" customHeight="false" outlineLevel="0" collapsed="false">
      <c r="A1731" s="154" t="n">
        <v>4491</v>
      </c>
      <c r="B1731" s="155" t="s">
        <v>1578</v>
      </c>
      <c r="C1731" s="148" t="str">
        <f aca="false">VLOOKUP($A1731,INSUMOS_AUX!$A$3:$H$813,3,0)</f>
        <v>MAT.</v>
      </c>
      <c r="D1731" s="156" t="s">
        <v>1455</v>
      </c>
      <c r="E1731" s="154" t="n">
        <v>2.504</v>
      </c>
      <c r="F1731" s="149" t="n">
        <f aca="false">IF(C1731="MAT.",VLOOKUP(A1731,INSUMOS_AUX!$A$3:$H$813,6,0),0)</f>
        <v>10.25</v>
      </c>
      <c r="G1731" s="149" t="n">
        <f aca="false">IF(C1731="M.O.",VLOOKUP(A1731,INSUMOS_AUX!A:F,6,0),0)</f>
        <v>0</v>
      </c>
    </row>
    <row r="1732" customFormat="false" ht="15" hidden="false" customHeight="false" outlineLevel="0" collapsed="false">
      <c r="A1732" s="154" t="n">
        <v>5074</v>
      </c>
      <c r="B1732" s="155" t="s">
        <v>1547</v>
      </c>
      <c r="C1732" s="148" t="str">
        <f aca="false">VLOOKUP($A1732,INSUMOS_AUX!$A$3:$H$813,3,0)</f>
        <v>MAT.</v>
      </c>
      <c r="D1732" s="156" t="s">
        <v>1513</v>
      </c>
      <c r="E1732" s="154" t="n">
        <v>0.042</v>
      </c>
      <c r="F1732" s="149" t="n">
        <f aca="false">IF(C1732="MAT.",VLOOKUP(A1732,INSUMOS_AUX!$A$3:$H$813,6,0),0)</f>
        <v>22.79</v>
      </c>
      <c r="G1732" s="149" t="n">
        <f aca="false">IF(C1732="M.O.",VLOOKUP(A1732,INSUMOS_AUX!A:F,6,0),0)</f>
        <v>0</v>
      </c>
    </row>
    <row r="1733" customFormat="false" ht="15" hidden="false" customHeight="false" outlineLevel="0" collapsed="false">
      <c r="A1733" s="154" t="n">
        <v>40304</v>
      </c>
      <c r="B1733" s="155" t="s">
        <v>1626</v>
      </c>
      <c r="C1733" s="148" t="str">
        <f aca="false">VLOOKUP($A1733,INSUMOS_AUX!$A$3:$H$813,3,0)</f>
        <v>MAT.</v>
      </c>
      <c r="D1733" s="156" t="s">
        <v>1513</v>
      </c>
      <c r="E1733" s="154" t="n">
        <v>0.029</v>
      </c>
      <c r="F1733" s="149" t="n">
        <f aca="false">IF(C1733="MAT.",VLOOKUP(A1733,INSUMOS_AUX!$A$3:$H$813,6,0),0)</f>
        <v>25.11</v>
      </c>
      <c r="G1733" s="149" t="n">
        <f aca="false">IF(C1733="M.O.",VLOOKUP(A1733,INSUMOS_AUX!A:F,6,0),0)</f>
        <v>0</v>
      </c>
    </row>
    <row r="1734" customFormat="false" ht="21" hidden="false" customHeight="false" outlineLevel="0" collapsed="false">
      <c r="A1734" s="154" t="n">
        <v>4517</v>
      </c>
      <c r="B1734" s="155" t="s">
        <v>1582</v>
      </c>
      <c r="C1734" s="148" t="str">
        <f aca="false">VLOOKUP($A1734,INSUMOS_AUX!$A$3:$H$813,3,0)</f>
        <v>MAT.</v>
      </c>
      <c r="D1734" s="156" t="s">
        <v>1455</v>
      </c>
      <c r="E1734" s="154" t="n">
        <v>3.426</v>
      </c>
      <c r="F1734" s="149" t="n">
        <f aca="false">IF(C1734="MAT.",VLOOKUP(A1734,INSUMOS_AUX!$A$3:$H$813,6,0),0)</f>
        <v>3.58</v>
      </c>
      <c r="G1734" s="149" t="n">
        <f aca="false">IF(C1734="M.O.",VLOOKUP(A1734,INSUMOS_AUX!A:F,6,0),0)</f>
        <v>0</v>
      </c>
    </row>
    <row r="1735" customFormat="false" ht="21" hidden="false" customHeight="false" outlineLevel="0" collapsed="false">
      <c r="A1735" s="154" t="n">
        <v>6212</v>
      </c>
      <c r="B1735" s="155" t="s">
        <v>1627</v>
      </c>
      <c r="C1735" s="148" t="s">
        <v>59</v>
      </c>
      <c r="D1735" s="156" t="s">
        <v>1455</v>
      </c>
      <c r="E1735" s="154" t="n">
        <v>4.284</v>
      </c>
      <c r="F1735" s="149" t="n">
        <f aca="false">IF(C1735="MAT.",VLOOKUP(A1735,INSUMOS_AUX!$A$3:$H$813,6,0),0)</f>
        <v>0</v>
      </c>
      <c r="G1735" s="149" t="n">
        <f aca="false">IF(C1735="M.O.",VLOOKUP(A1735,INSUMOS_AUX!A:F,6,0),0)</f>
        <v>0</v>
      </c>
    </row>
    <row r="1736" customFormat="false" ht="15" hidden="false" customHeight="false" outlineLevel="0" collapsed="false">
      <c r="A1736" s="154" t="n">
        <v>6117</v>
      </c>
      <c r="B1736" s="155" t="s">
        <v>1555</v>
      </c>
      <c r="C1736" s="148" t="str">
        <f aca="false">VLOOKUP($A1736,INSUMOS_AUX!$A$3:$H$813,3,0)</f>
        <v>M.O.</v>
      </c>
      <c r="D1736" s="156" t="s">
        <v>1444</v>
      </c>
      <c r="E1736" s="154" t="n">
        <v>0.66568256</v>
      </c>
      <c r="F1736" s="149" t="n">
        <f aca="false">IF(C1736="MAT.",VLOOKUP(A1736,INSUMOS_AUX!$A$3:$H$813,6,0),0)</f>
        <v>0</v>
      </c>
      <c r="G1736" s="149" t="n">
        <f aca="false">IF(C1736="M.O.",VLOOKUP(A1736,INSUMOS_AUX!A:F,6,0),0)</f>
        <v>13.26</v>
      </c>
    </row>
    <row r="1737" customFormat="false" ht="15" hidden="false" customHeight="false" outlineLevel="0" collapsed="false">
      <c r="A1737" s="154" t="n">
        <v>1213</v>
      </c>
      <c r="B1737" s="155" t="s">
        <v>1516</v>
      </c>
      <c r="C1737" s="148" t="str">
        <f aca="false">VLOOKUP($A1737,INSUMOS_AUX!$A$3:$H$813,3,0)</f>
        <v>M.O.</v>
      </c>
      <c r="D1737" s="156" t="s">
        <v>1444</v>
      </c>
      <c r="E1737" s="154" t="n">
        <v>1.61441784</v>
      </c>
      <c r="F1737" s="149" t="n">
        <f aca="false">IF(C1737="MAT.",VLOOKUP(A1737,INSUMOS_AUX!$A$3:$H$813,6,0),0)</f>
        <v>0</v>
      </c>
      <c r="G1737" s="149" t="n">
        <f aca="false">IF(C1737="M.O.",VLOOKUP(A1737,INSUMOS_AUX!A:F,6,0),0)</f>
        <v>20.22</v>
      </c>
    </row>
    <row r="1738" customFormat="false" ht="21" hidden="false" customHeight="false" outlineLevel="0" collapsed="false">
      <c r="A1738" s="154" t="n">
        <v>4230</v>
      </c>
      <c r="B1738" s="155" t="s">
        <v>1597</v>
      </c>
      <c r="C1738" s="148" t="str">
        <f aca="false">VLOOKUP($A1738,INSUMOS_AUX!$A$3:$H$813,3,0)</f>
        <v>M.O.</v>
      </c>
      <c r="D1738" s="156" t="s">
        <v>1444</v>
      </c>
      <c r="E1738" s="154" t="n">
        <v>0.20635416</v>
      </c>
      <c r="F1738" s="149" t="n">
        <f aca="false">IF(C1738="MAT.",VLOOKUP(A1738,INSUMOS_AUX!$A$3:$H$813,6,0),0)</f>
        <v>0</v>
      </c>
      <c r="G1738" s="149" t="n">
        <f aca="false">IF(C1738="M.O.",VLOOKUP(A1738,INSUMOS_AUX!A:F,6,0),0)</f>
        <v>14.53</v>
      </c>
    </row>
    <row r="1739" customFormat="false" ht="21" hidden="false" customHeight="false" outlineLevel="0" collapsed="false">
      <c r="A1739" s="150" t="n">
        <v>98555</v>
      </c>
      <c r="B1739" s="151" t="s">
        <v>1762</v>
      </c>
      <c r="C1739" s="152" t="s">
        <v>59</v>
      </c>
      <c r="D1739" s="152" t="s">
        <v>1477</v>
      </c>
      <c r="E1739" s="150"/>
      <c r="F1739" s="153" t="n">
        <f aca="false">(SUMPRODUCT($E1740:$E1750,F1740:F1750))*1</f>
        <v>16.311158</v>
      </c>
      <c r="G1739" s="153" t="n">
        <f aca="false">(SUMPRODUCT($E1740:$E1750,G1740:G1750))*1</f>
        <v>14.34480167988</v>
      </c>
    </row>
    <row r="1740" customFormat="false" ht="21" hidden="false" customHeight="false" outlineLevel="0" collapsed="false">
      <c r="A1740" s="154" t="n">
        <v>37370</v>
      </c>
      <c r="B1740" s="155" t="s">
        <v>1443</v>
      </c>
      <c r="C1740" s="148" t="str">
        <f aca="false">VLOOKUP($A1740,INSUMOS_AUX!$A$3:$H$813,3,0)</f>
        <v>MAT.</v>
      </c>
      <c r="D1740" s="156" t="s">
        <v>1444</v>
      </c>
      <c r="E1740" s="154" t="n">
        <v>0.7401</v>
      </c>
      <c r="F1740" s="149" t="n">
        <f aca="false">IF(C1740="MAT.",VLOOKUP(A1740,INSUMOS_AUX!$A$3:$H$813,6,0),0)</f>
        <v>3.32</v>
      </c>
      <c r="G1740" s="149" t="n">
        <f aca="false">IF(C1740="M.O.",VLOOKUP(A1740,INSUMOS_AUX!A:F,6,0),0)</f>
        <v>0</v>
      </c>
    </row>
    <row r="1741" customFormat="false" ht="21" hidden="false" customHeight="false" outlineLevel="0" collapsed="false">
      <c r="A1741" s="154" t="n">
        <v>43489</v>
      </c>
      <c r="B1741" s="155" t="s">
        <v>1456</v>
      </c>
      <c r="C1741" s="148" t="str">
        <f aca="false">VLOOKUP($A1741,INSUMOS_AUX!$A$3:$H$813,3,0)</f>
        <v>MAT.</v>
      </c>
      <c r="D1741" s="156" t="s">
        <v>1444</v>
      </c>
      <c r="E1741" s="154" t="n">
        <v>0.6039</v>
      </c>
      <c r="F1741" s="149" t="n">
        <f aca="false">IF(C1741="MAT.",VLOOKUP(A1741,INSUMOS_AUX!$A$3:$H$813,6,0),0)</f>
        <v>1.31</v>
      </c>
      <c r="G1741" s="149" t="n">
        <f aca="false">IF(C1741="M.O.",VLOOKUP(A1741,INSUMOS_AUX!A:F,6,0),0)</f>
        <v>0</v>
      </c>
    </row>
    <row r="1742" customFormat="false" ht="21" hidden="false" customHeight="false" outlineLevel="0" collapsed="false">
      <c r="A1742" s="154" t="n">
        <v>43491</v>
      </c>
      <c r="B1742" s="155" t="s">
        <v>1457</v>
      </c>
      <c r="C1742" s="148" t="str">
        <f aca="false">VLOOKUP($A1742,INSUMOS_AUX!$A$3:$H$813,3,0)</f>
        <v>MAT.</v>
      </c>
      <c r="D1742" s="156" t="s">
        <v>1444</v>
      </c>
      <c r="E1742" s="154" t="n">
        <v>0.1362</v>
      </c>
      <c r="F1742" s="149" t="n">
        <f aca="false">IF(C1742="MAT.",VLOOKUP(A1742,INSUMOS_AUX!$A$3:$H$813,6,0),0)</f>
        <v>1.39</v>
      </c>
      <c r="G1742" s="149" t="n">
        <f aca="false">IF(C1742="M.O.",VLOOKUP(A1742,INSUMOS_AUX!A:F,6,0),0)</f>
        <v>0</v>
      </c>
    </row>
    <row r="1743" customFormat="false" ht="21" hidden="false" customHeight="false" outlineLevel="0" collapsed="false">
      <c r="A1743" s="154" t="n">
        <v>37372</v>
      </c>
      <c r="B1743" s="155" t="s">
        <v>1446</v>
      </c>
      <c r="C1743" s="148" t="str">
        <f aca="false">VLOOKUP($A1743,INSUMOS_AUX!$A$3:$H$813,3,0)</f>
        <v>MAT.</v>
      </c>
      <c r="D1743" s="156" t="s">
        <v>1444</v>
      </c>
      <c r="E1743" s="154" t="n">
        <v>0.7401</v>
      </c>
      <c r="F1743" s="149" t="n">
        <f aca="false">IF(C1743="MAT.",VLOOKUP(A1743,INSUMOS_AUX!$A$3:$H$813,6,0),0)</f>
        <v>1.43</v>
      </c>
      <c r="G1743" s="149" t="n">
        <f aca="false">IF(C1743="M.O.",VLOOKUP(A1743,INSUMOS_AUX!A:F,6,0),0)</f>
        <v>0</v>
      </c>
    </row>
    <row r="1744" customFormat="false" ht="21" hidden="false" customHeight="false" outlineLevel="0" collapsed="false">
      <c r="A1744" s="154" t="n">
        <v>43465</v>
      </c>
      <c r="B1744" s="155" t="s">
        <v>1458</v>
      </c>
      <c r="C1744" s="148" t="str">
        <f aca="false">VLOOKUP($A1744,INSUMOS_AUX!$A$3:$H$813,3,0)</f>
        <v>MAT.</v>
      </c>
      <c r="D1744" s="156" t="s">
        <v>1444</v>
      </c>
      <c r="E1744" s="154" t="n">
        <v>0.6039</v>
      </c>
      <c r="F1744" s="149" t="n">
        <f aca="false">IF(C1744="MAT.",VLOOKUP(A1744,INSUMOS_AUX!$A$3:$H$813,6,0),0)</f>
        <v>0.78</v>
      </c>
      <c r="G1744" s="149" t="n">
        <f aca="false">IF(C1744="M.O.",VLOOKUP(A1744,INSUMOS_AUX!A:F,6,0),0)</f>
        <v>0</v>
      </c>
    </row>
    <row r="1745" customFormat="false" ht="21" hidden="false" customHeight="false" outlineLevel="0" collapsed="false">
      <c r="A1745" s="154" t="n">
        <v>43467</v>
      </c>
      <c r="B1745" s="155" t="s">
        <v>1459</v>
      </c>
      <c r="C1745" s="148" t="str">
        <f aca="false">VLOOKUP($A1745,INSUMOS_AUX!$A$3:$H$813,3,0)</f>
        <v>MAT.</v>
      </c>
      <c r="D1745" s="156" t="s">
        <v>1444</v>
      </c>
      <c r="E1745" s="154" t="n">
        <v>0.1362</v>
      </c>
      <c r="F1745" s="149" t="n">
        <f aca="false">IF(C1745="MAT.",VLOOKUP(A1745,INSUMOS_AUX!$A$3:$H$813,6,0),0)</f>
        <v>0.61</v>
      </c>
      <c r="G1745" s="149" t="n">
        <f aca="false">IF(C1745="M.O.",VLOOKUP(A1745,INSUMOS_AUX!A:F,6,0),0)</f>
        <v>0</v>
      </c>
    </row>
    <row r="1746" customFormat="false" ht="21" hidden="false" customHeight="false" outlineLevel="0" collapsed="false">
      <c r="A1746" s="154" t="n">
        <v>37373</v>
      </c>
      <c r="B1746" s="155" t="s">
        <v>1448</v>
      </c>
      <c r="C1746" s="148" t="str">
        <f aca="false">VLOOKUP($A1746,INSUMOS_AUX!$A$3:$H$813,3,0)</f>
        <v>MAT.</v>
      </c>
      <c r="D1746" s="156" t="s">
        <v>1444</v>
      </c>
      <c r="E1746" s="154" t="n">
        <v>0.7401</v>
      </c>
      <c r="F1746" s="149" t="n">
        <f aca="false">IF(C1746="MAT.",VLOOKUP(A1746,INSUMOS_AUX!$A$3:$H$813,6,0),0)</f>
        <v>0.08</v>
      </c>
      <c r="G1746" s="149" t="n">
        <f aca="false">IF(C1746="M.O.",VLOOKUP(A1746,INSUMOS_AUX!A:F,6,0),0)</f>
        <v>0</v>
      </c>
    </row>
    <row r="1747" customFormat="false" ht="21" hidden="false" customHeight="false" outlineLevel="0" collapsed="false">
      <c r="A1747" s="154" t="n">
        <v>37371</v>
      </c>
      <c r="B1747" s="155" t="s">
        <v>1449</v>
      </c>
      <c r="C1747" s="148" t="str">
        <f aca="false">VLOOKUP($A1747,INSUMOS_AUX!$A$3:$H$813,3,0)</f>
        <v>MAT.</v>
      </c>
      <c r="D1747" s="156" t="s">
        <v>1444</v>
      </c>
      <c r="E1747" s="154" t="n">
        <v>0.7401</v>
      </c>
      <c r="F1747" s="149" t="n">
        <f aca="false">IF(C1747="MAT.",VLOOKUP(A1747,INSUMOS_AUX!$A$3:$H$813,6,0),0)</f>
        <v>0.59</v>
      </c>
      <c r="G1747" s="149" t="n">
        <f aca="false">IF(C1747="M.O.",VLOOKUP(A1747,INSUMOS_AUX!A:F,6,0),0)</f>
        <v>0</v>
      </c>
    </row>
    <row r="1748" customFormat="false" ht="21" hidden="false" customHeight="false" outlineLevel="0" collapsed="false">
      <c r="A1748" s="154" t="n">
        <v>135</v>
      </c>
      <c r="B1748" s="155" t="s">
        <v>1763</v>
      </c>
      <c r="C1748" s="148" t="str">
        <f aca="false">VLOOKUP($A1748,INSUMOS_AUX!$A$3:$H$813,3,0)</f>
        <v>MAT.</v>
      </c>
      <c r="D1748" s="156" t="s">
        <v>1513</v>
      </c>
      <c r="E1748" s="154" t="n">
        <v>3.4615</v>
      </c>
      <c r="F1748" s="149" t="n">
        <f aca="false">IF(C1748="MAT.",VLOOKUP(A1748,INSUMOS_AUX!$A$3:$H$813,6,0),0)</f>
        <v>3.11</v>
      </c>
      <c r="G1748" s="149" t="n">
        <f aca="false">IF(C1748="M.O.",VLOOKUP(A1748,INSUMOS_AUX!A:F,6,0),0)</f>
        <v>0</v>
      </c>
    </row>
    <row r="1749" customFormat="false" ht="15" hidden="false" customHeight="false" outlineLevel="0" collapsed="false">
      <c r="A1749" s="154" t="n">
        <v>242</v>
      </c>
      <c r="B1749" s="155" t="s">
        <v>1660</v>
      </c>
      <c r="C1749" s="148" t="str">
        <f aca="false">VLOOKUP($A1749,INSUMOS_AUX!$A$3:$H$813,3,0)</f>
        <v>M.O.</v>
      </c>
      <c r="D1749" s="156" t="s">
        <v>1444</v>
      </c>
      <c r="E1749" s="154" t="n">
        <v>0.137771748</v>
      </c>
      <c r="F1749" s="149" t="n">
        <f aca="false">IF(C1749="MAT.",VLOOKUP(A1749,INSUMOS_AUX!$A$3:$H$813,6,0),0)</f>
        <v>0</v>
      </c>
      <c r="G1749" s="149" t="n">
        <f aca="false">IF(C1749="M.O.",VLOOKUP(A1749,INSUMOS_AUX!A:F,6,0),0)</f>
        <v>13.61</v>
      </c>
    </row>
    <row r="1750" customFormat="false" ht="15" hidden="false" customHeight="false" outlineLevel="0" collapsed="false">
      <c r="A1750" s="154" t="n">
        <v>12873</v>
      </c>
      <c r="B1750" s="155" t="s">
        <v>1661</v>
      </c>
      <c r="C1750" s="148" t="str">
        <f aca="false">VLOOKUP($A1750,INSUMOS_AUX!$A$3:$H$813,3,0)</f>
        <v>M.O.</v>
      </c>
      <c r="D1750" s="156" t="s">
        <v>1444</v>
      </c>
      <c r="E1750" s="154" t="n">
        <v>0.61670268</v>
      </c>
      <c r="F1750" s="149" t="n">
        <f aca="false">IF(C1750="MAT.",VLOOKUP(A1750,INSUMOS_AUX!$A$3:$H$813,6,0),0)</f>
        <v>0</v>
      </c>
      <c r="G1750" s="149" t="n">
        <f aca="false">IF(C1750="M.O.",VLOOKUP(A1750,INSUMOS_AUX!A:F,6,0),0)</f>
        <v>20.22</v>
      </c>
    </row>
    <row r="1751" customFormat="false" ht="15" hidden="false" customHeight="false" outlineLevel="0" collapsed="false">
      <c r="A1751" s="150" t="s">
        <v>334</v>
      </c>
      <c r="B1751" s="151" t="s">
        <v>1764</v>
      </c>
      <c r="C1751" s="152" t="s">
        <v>59</v>
      </c>
      <c r="D1751" s="152" t="s">
        <v>31</v>
      </c>
      <c r="E1751" s="150"/>
      <c r="F1751" s="153" t="n">
        <f aca="false">(SUMPRODUCT($E1752:$E1762,F1752:F1762))*1</f>
        <v>514.34</v>
      </c>
      <c r="G1751" s="153" t="n">
        <f aca="false">(SUMPRODUCT($E1752:$E1762,G1752:G1762))*1</f>
        <v>137.116524</v>
      </c>
    </row>
    <row r="1752" customFormat="false" ht="21" hidden="false" customHeight="false" outlineLevel="0" collapsed="false">
      <c r="A1752" s="154" t="n">
        <v>37370</v>
      </c>
      <c r="B1752" s="155" t="s">
        <v>1443</v>
      </c>
      <c r="C1752" s="148" t="str">
        <f aca="false">VLOOKUP($A1752,INSUMOS_AUX!$A$3:$H$813,3,0)</f>
        <v>MAT.</v>
      </c>
      <c r="D1752" s="156" t="s">
        <v>1444</v>
      </c>
      <c r="E1752" s="154" t="n">
        <v>7</v>
      </c>
      <c r="F1752" s="149" t="n">
        <f aca="false">IF(C1752="MAT.",VLOOKUP(A1752,INSUMOS_AUX!$A$3:$H$813,6,0),0)</f>
        <v>3.32</v>
      </c>
      <c r="G1752" s="149" t="n">
        <f aca="false">IF(C1752="M.O.",VLOOKUP(A1752,INSUMOS_AUX!A:F,6,0),0)</f>
        <v>0</v>
      </c>
    </row>
    <row r="1753" customFormat="false" ht="21" hidden="false" customHeight="false" outlineLevel="0" collapsed="false">
      <c r="A1753" s="154" t="n">
        <v>43489</v>
      </c>
      <c r="B1753" s="155" t="s">
        <v>1456</v>
      </c>
      <c r="C1753" s="148" t="str">
        <f aca="false">VLOOKUP($A1753,INSUMOS_AUX!$A$3:$H$813,3,0)</f>
        <v>MAT.</v>
      </c>
      <c r="D1753" s="156" t="s">
        <v>1444</v>
      </c>
      <c r="E1753" s="154" t="n">
        <v>6</v>
      </c>
      <c r="F1753" s="149" t="n">
        <f aca="false">IF(C1753="MAT.",VLOOKUP(A1753,INSUMOS_AUX!$A$3:$H$813,6,0),0)</f>
        <v>1.31</v>
      </c>
      <c r="G1753" s="149" t="n">
        <f aca="false">IF(C1753="M.O.",VLOOKUP(A1753,INSUMOS_AUX!A:F,6,0),0)</f>
        <v>0</v>
      </c>
    </row>
    <row r="1754" customFormat="false" ht="21" hidden="false" customHeight="false" outlineLevel="0" collapsed="false">
      <c r="A1754" s="154" t="n">
        <v>43491</v>
      </c>
      <c r="B1754" s="155" t="s">
        <v>1457</v>
      </c>
      <c r="C1754" s="148" t="str">
        <f aca="false">VLOOKUP($A1754,INSUMOS_AUX!$A$3:$H$813,3,0)</f>
        <v>MAT.</v>
      </c>
      <c r="D1754" s="156" t="s">
        <v>1444</v>
      </c>
      <c r="E1754" s="154" t="n">
        <v>1</v>
      </c>
      <c r="F1754" s="149" t="n">
        <f aca="false">IF(C1754="MAT.",VLOOKUP(A1754,INSUMOS_AUX!$A$3:$H$813,6,0),0)</f>
        <v>1.39</v>
      </c>
      <c r="G1754" s="149" t="n">
        <f aca="false">IF(C1754="M.O.",VLOOKUP(A1754,INSUMOS_AUX!A:F,6,0),0)</f>
        <v>0</v>
      </c>
    </row>
    <row r="1755" customFormat="false" ht="21" hidden="false" customHeight="false" outlineLevel="0" collapsed="false">
      <c r="A1755" s="154" t="n">
        <v>37372</v>
      </c>
      <c r="B1755" s="155" t="s">
        <v>1446</v>
      </c>
      <c r="C1755" s="148" t="str">
        <f aca="false">VLOOKUP($A1755,INSUMOS_AUX!$A$3:$H$813,3,0)</f>
        <v>MAT.</v>
      </c>
      <c r="D1755" s="156" t="s">
        <v>1444</v>
      </c>
      <c r="E1755" s="154" t="n">
        <v>7</v>
      </c>
      <c r="F1755" s="149" t="n">
        <f aca="false">IF(C1755="MAT.",VLOOKUP(A1755,INSUMOS_AUX!$A$3:$H$813,6,0),0)</f>
        <v>1.43</v>
      </c>
      <c r="G1755" s="149" t="n">
        <f aca="false">IF(C1755="M.O.",VLOOKUP(A1755,INSUMOS_AUX!A:F,6,0),0)</f>
        <v>0</v>
      </c>
    </row>
    <row r="1756" customFormat="false" ht="21" hidden="false" customHeight="false" outlineLevel="0" collapsed="false">
      <c r="A1756" s="154" t="n">
        <v>43465</v>
      </c>
      <c r="B1756" s="155" t="s">
        <v>1458</v>
      </c>
      <c r="C1756" s="148" t="str">
        <f aca="false">VLOOKUP($A1756,INSUMOS_AUX!$A$3:$H$813,3,0)</f>
        <v>MAT.</v>
      </c>
      <c r="D1756" s="156" t="s">
        <v>1444</v>
      </c>
      <c r="E1756" s="154" t="n">
        <v>6</v>
      </c>
      <c r="F1756" s="149" t="n">
        <f aca="false">IF(C1756="MAT.",VLOOKUP(A1756,INSUMOS_AUX!$A$3:$H$813,6,0),0)</f>
        <v>0.78</v>
      </c>
      <c r="G1756" s="149" t="n">
        <f aca="false">IF(C1756="M.O.",VLOOKUP(A1756,INSUMOS_AUX!A:F,6,0),0)</f>
        <v>0</v>
      </c>
    </row>
    <row r="1757" customFormat="false" ht="21" hidden="false" customHeight="false" outlineLevel="0" collapsed="false">
      <c r="A1757" s="154" t="n">
        <v>43467</v>
      </c>
      <c r="B1757" s="155" t="s">
        <v>1459</v>
      </c>
      <c r="C1757" s="148" t="str">
        <f aca="false">VLOOKUP($A1757,INSUMOS_AUX!$A$3:$H$813,3,0)</f>
        <v>MAT.</v>
      </c>
      <c r="D1757" s="156" t="s">
        <v>1444</v>
      </c>
      <c r="E1757" s="154" t="n">
        <v>1</v>
      </c>
      <c r="F1757" s="149" t="n">
        <f aca="false">IF(C1757="MAT.",VLOOKUP(A1757,INSUMOS_AUX!$A$3:$H$813,6,0),0)</f>
        <v>0.61</v>
      </c>
      <c r="G1757" s="149" t="n">
        <f aca="false">IF(C1757="M.O.",VLOOKUP(A1757,INSUMOS_AUX!A:F,6,0),0)</f>
        <v>0</v>
      </c>
    </row>
    <row r="1758" customFormat="false" ht="21" hidden="false" customHeight="false" outlineLevel="0" collapsed="false">
      <c r="A1758" s="154" t="n">
        <v>37373</v>
      </c>
      <c r="B1758" s="155" t="s">
        <v>1448</v>
      </c>
      <c r="C1758" s="148" t="str">
        <f aca="false">VLOOKUP($A1758,INSUMOS_AUX!$A$3:$H$813,3,0)</f>
        <v>MAT.</v>
      </c>
      <c r="D1758" s="156" t="s">
        <v>1444</v>
      </c>
      <c r="E1758" s="154" t="n">
        <v>7</v>
      </c>
      <c r="F1758" s="149" t="n">
        <f aca="false">IF(C1758="MAT.",VLOOKUP(A1758,INSUMOS_AUX!$A$3:$H$813,6,0),0)</f>
        <v>0.08</v>
      </c>
      <c r="G1758" s="149" t="n">
        <f aca="false">IF(C1758="M.O.",VLOOKUP(A1758,INSUMOS_AUX!A:F,6,0),0)</f>
        <v>0</v>
      </c>
    </row>
    <row r="1759" customFormat="false" ht="21" hidden="false" customHeight="false" outlineLevel="0" collapsed="false">
      <c r="A1759" s="154" t="n">
        <v>37371</v>
      </c>
      <c r="B1759" s="155" t="s">
        <v>1449</v>
      </c>
      <c r="C1759" s="148" t="str">
        <f aca="false">VLOOKUP($A1759,INSUMOS_AUX!$A$3:$H$813,3,0)</f>
        <v>MAT.</v>
      </c>
      <c r="D1759" s="156" t="s">
        <v>1444</v>
      </c>
      <c r="E1759" s="154" t="n">
        <v>7</v>
      </c>
      <c r="F1759" s="149" t="n">
        <f aca="false">IF(C1759="MAT.",VLOOKUP(A1759,INSUMOS_AUX!$A$3:$H$813,6,0),0)</f>
        <v>0.59</v>
      </c>
      <c r="G1759" s="149" t="n">
        <f aca="false">IF(C1759="M.O.",VLOOKUP(A1759,INSUMOS_AUX!A:F,6,0),0)</f>
        <v>0</v>
      </c>
    </row>
    <row r="1760" customFormat="false" ht="21" hidden="false" customHeight="false" outlineLevel="0" collapsed="false">
      <c r="A1760" s="154" t="n">
        <v>41381</v>
      </c>
      <c r="B1760" s="155" t="s">
        <v>1765</v>
      </c>
      <c r="C1760" s="148" t="str">
        <f aca="false">VLOOKUP($A1760,INSUMOS_AUX!$A$3:$H$813,3,0)</f>
        <v>MAT.</v>
      </c>
      <c r="D1760" s="156" t="s">
        <v>31</v>
      </c>
      <c r="E1760" s="154" t="n">
        <v>1</v>
      </c>
      <c r="F1760" s="149" t="n">
        <f aca="false">IF(C1760="MAT.",VLOOKUP(A1760,INSUMOS_AUX!$A$3:$H$813,6,0),0)</f>
        <v>461.86</v>
      </c>
      <c r="G1760" s="149" t="n">
        <f aca="false">IF(C1760="M.O.",VLOOKUP(A1760,INSUMOS_AUX!A:F,6,0),0)</f>
        <v>0</v>
      </c>
    </row>
    <row r="1761" customFormat="false" ht="15" hidden="false" customHeight="false" outlineLevel="0" collapsed="false">
      <c r="A1761" s="154" t="n">
        <v>4750</v>
      </c>
      <c r="B1761" s="155" t="s">
        <v>1463</v>
      </c>
      <c r="C1761" s="148" t="str">
        <f aca="false">VLOOKUP($A1761,INSUMOS_AUX!$A$3:$H$813,3,0)</f>
        <v>M.O.</v>
      </c>
      <c r="D1761" s="156" t="s">
        <v>1444</v>
      </c>
      <c r="E1761" s="154" t="n">
        <v>6.1272</v>
      </c>
      <c r="F1761" s="149" t="n">
        <f aca="false">IF(C1761="MAT.",VLOOKUP(A1761,INSUMOS_AUX!$A$3:$H$813,6,0),0)</f>
        <v>0</v>
      </c>
      <c r="G1761" s="149" t="n">
        <f aca="false">IF(C1761="M.O.",VLOOKUP(A1761,INSUMOS_AUX!A:F,6,0),0)</f>
        <v>20.22</v>
      </c>
    </row>
    <row r="1762" customFormat="false" ht="15" hidden="false" customHeight="false" outlineLevel="0" collapsed="false">
      <c r="A1762" s="154" t="n">
        <v>6111</v>
      </c>
      <c r="B1762" s="155" t="s">
        <v>1464</v>
      </c>
      <c r="C1762" s="148" t="str">
        <f aca="false">VLOOKUP($A1762,INSUMOS_AUX!$A$3:$H$813,3,0)</f>
        <v>M.O.</v>
      </c>
      <c r="D1762" s="156" t="s">
        <v>1444</v>
      </c>
      <c r="E1762" s="154" t="n">
        <v>1.0212</v>
      </c>
      <c r="F1762" s="149" t="n">
        <f aca="false">IF(C1762="MAT.",VLOOKUP(A1762,INSUMOS_AUX!$A$3:$H$813,6,0),0)</f>
        <v>0</v>
      </c>
      <c r="G1762" s="149" t="n">
        <f aca="false">IF(C1762="M.O.",VLOOKUP(A1762,INSUMOS_AUX!A:F,6,0),0)</f>
        <v>12.95</v>
      </c>
    </row>
    <row r="1763" customFormat="false" ht="31.5" hidden="false" customHeight="false" outlineLevel="0" collapsed="false">
      <c r="A1763" s="150" t="n">
        <v>103328</v>
      </c>
      <c r="B1763" s="151" t="s">
        <v>1766</v>
      </c>
      <c r="C1763" s="152" t="s">
        <v>59</v>
      </c>
      <c r="D1763" s="152" t="s">
        <v>1477</v>
      </c>
      <c r="E1763" s="150"/>
      <c r="F1763" s="153" t="n">
        <f aca="false">(SUMPRODUCT($E1764:$E1784,F1764:F1784))*1</f>
        <v>53.72531381129</v>
      </c>
      <c r="G1763" s="153" t="n">
        <f aca="false">(SUMPRODUCT($E1764:$E1784,G1764:G1784))*1</f>
        <v>44.380219535715</v>
      </c>
    </row>
    <row r="1764" customFormat="false" ht="21" hidden="false" customHeight="false" outlineLevel="0" collapsed="false">
      <c r="A1764" s="154" t="n">
        <v>37370</v>
      </c>
      <c r="B1764" s="155" t="s">
        <v>1443</v>
      </c>
      <c r="C1764" s="148" t="str">
        <f aca="false">VLOOKUP($A1764,INSUMOS_AUX!$A$3:$H$813,3,0)</f>
        <v>MAT.</v>
      </c>
      <c r="D1764" s="156" t="s">
        <v>1444</v>
      </c>
      <c r="E1764" s="154" t="n">
        <v>2.45595</v>
      </c>
      <c r="F1764" s="149" t="n">
        <f aca="false">IF(C1764="MAT.",VLOOKUP(A1764,INSUMOS_AUX!$A$3:$H$813,6,0),0)</f>
        <v>3.32</v>
      </c>
      <c r="G1764" s="149" t="n">
        <f aca="false">IF(C1764="M.O.",VLOOKUP(A1764,INSUMOS_AUX!A:F,6,0),0)</f>
        <v>0</v>
      </c>
    </row>
    <row r="1765" customFormat="false" ht="21" hidden="false" customHeight="false" outlineLevel="0" collapsed="false">
      <c r="A1765" s="154" t="n">
        <v>43488</v>
      </c>
      <c r="B1765" s="155" t="s">
        <v>1445</v>
      </c>
      <c r="C1765" s="148" t="str">
        <f aca="false">VLOOKUP($A1765,INSUMOS_AUX!$A$3:$H$813,3,0)</f>
        <v>MAT.</v>
      </c>
      <c r="D1765" s="156" t="s">
        <v>1444</v>
      </c>
      <c r="E1765" s="154" t="n">
        <v>0.04095</v>
      </c>
      <c r="F1765" s="149" t="n">
        <f aca="false">IF(C1765="MAT.",VLOOKUP(A1765,INSUMOS_AUX!$A$3:$H$813,6,0),0)</f>
        <v>0.89</v>
      </c>
      <c r="G1765" s="149" t="n">
        <f aca="false">IF(C1765="M.O.",VLOOKUP(A1765,INSUMOS_AUX!A:F,6,0),0)</f>
        <v>0</v>
      </c>
    </row>
    <row r="1766" customFormat="false" ht="21" hidden="false" customHeight="false" outlineLevel="0" collapsed="false">
      <c r="A1766" s="154" t="n">
        <v>43489</v>
      </c>
      <c r="B1766" s="155" t="s">
        <v>1456</v>
      </c>
      <c r="C1766" s="148" t="str">
        <f aca="false">VLOOKUP($A1766,INSUMOS_AUX!$A$3:$H$813,3,0)</f>
        <v>MAT.</v>
      </c>
      <c r="D1766" s="156" t="s">
        <v>1444</v>
      </c>
      <c r="E1766" s="154" t="n">
        <v>1.61</v>
      </c>
      <c r="F1766" s="149" t="n">
        <f aca="false">IF(C1766="MAT.",VLOOKUP(A1766,INSUMOS_AUX!$A$3:$H$813,6,0),0)</f>
        <v>1.31</v>
      </c>
      <c r="G1766" s="149" t="n">
        <f aca="false">IF(C1766="M.O.",VLOOKUP(A1766,INSUMOS_AUX!A:F,6,0),0)</f>
        <v>0</v>
      </c>
    </row>
    <row r="1767" customFormat="false" ht="21" hidden="false" customHeight="false" outlineLevel="0" collapsed="false">
      <c r="A1767" s="154" t="n">
        <v>43491</v>
      </c>
      <c r="B1767" s="155" t="s">
        <v>1457</v>
      </c>
      <c r="C1767" s="148" t="s">
        <v>59</v>
      </c>
      <c r="D1767" s="156" t="s">
        <v>1444</v>
      </c>
      <c r="E1767" s="154" t="n">
        <v>0.805</v>
      </c>
      <c r="F1767" s="149" t="n">
        <f aca="false">IF(C1767="MAT.",VLOOKUP(A1767,INSUMOS_AUX!$A$3:$H$813,6,0),0)</f>
        <v>0</v>
      </c>
      <c r="G1767" s="149" t="n">
        <f aca="false">IF(C1767="M.O.",VLOOKUP(A1767,INSUMOS_AUX!A:F,6,0),0)</f>
        <v>0</v>
      </c>
    </row>
    <row r="1768" customFormat="false" ht="21" hidden="false" customHeight="false" outlineLevel="0" collapsed="false">
      <c r="A1768" s="154" t="n">
        <v>37372</v>
      </c>
      <c r="B1768" s="155" t="s">
        <v>1446</v>
      </c>
      <c r="C1768" s="148" t="str">
        <f aca="false">VLOOKUP($A1768,INSUMOS_AUX!$A$3:$H$813,3,0)</f>
        <v>MAT.</v>
      </c>
      <c r="D1768" s="156" t="s">
        <v>1444</v>
      </c>
      <c r="E1768" s="154" t="n">
        <v>2.45595</v>
      </c>
      <c r="F1768" s="149" t="n">
        <f aca="false">IF(C1768="MAT.",VLOOKUP(A1768,INSUMOS_AUX!$A$3:$H$813,6,0),0)</f>
        <v>1.43</v>
      </c>
      <c r="G1768" s="149" t="n">
        <f aca="false">IF(C1768="M.O.",VLOOKUP(A1768,INSUMOS_AUX!A:F,6,0),0)</f>
        <v>0</v>
      </c>
    </row>
    <row r="1769" customFormat="false" ht="21" hidden="false" customHeight="false" outlineLevel="0" collapsed="false">
      <c r="A1769" s="154" t="n">
        <v>43464</v>
      </c>
      <c r="B1769" s="155" t="s">
        <v>1447</v>
      </c>
      <c r="C1769" s="148" t="str">
        <f aca="false">VLOOKUP($A1769,INSUMOS_AUX!$A$3:$H$813,3,0)</f>
        <v>MAT.</v>
      </c>
      <c r="D1769" s="156" t="s">
        <v>1444</v>
      </c>
      <c r="E1769" s="154" t="n">
        <v>0.04095</v>
      </c>
      <c r="F1769" s="149" t="n">
        <f aca="false">IF(C1769="MAT.",VLOOKUP(A1769,INSUMOS_AUX!$A$3:$H$813,6,0),0)</f>
        <v>0.01</v>
      </c>
      <c r="G1769" s="149" t="n">
        <f aca="false">IF(C1769="M.O.",VLOOKUP(A1769,INSUMOS_AUX!A:F,6,0),0)</f>
        <v>0</v>
      </c>
    </row>
    <row r="1770" customFormat="false" ht="21" hidden="false" customHeight="false" outlineLevel="0" collapsed="false">
      <c r="A1770" s="154" t="n">
        <v>43465</v>
      </c>
      <c r="B1770" s="155" t="s">
        <v>1458</v>
      </c>
      <c r="C1770" s="148" t="str">
        <f aca="false">VLOOKUP($A1770,INSUMOS_AUX!$A$3:$H$813,3,0)</f>
        <v>MAT.</v>
      </c>
      <c r="D1770" s="156" t="s">
        <v>1444</v>
      </c>
      <c r="E1770" s="154" t="n">
        <v>1.61</v>
      </c>
      <c r="F1770" s="149" t="n">
        <f aca="false">IF(C1770="MAT.",VLOOKUP(A1770,INSUMOS_AUX!$A$3:$H$813,6,0),0)</f>
        <v>0.78</v>
      </c>
      <c r="G1770" s="149" t="n">
        <f aca="false">IF(C1770="M.O.",VLOOKUP(A1770,INSUMOS_AUX!A:F,6,0),0)</f>
        <v>0</v>
      </c>
    </row>
    <row r="1771" customFormat="false" ht="21" hidden="false" customHeight="false" outlineLevel="0" collapsed="false">
      <c r="A1771" s="154" t="n">
        <v>43467</v>
      </c>
      <c r="B1771" s="155" t="s">
        <v>1459</v>
      </c>
      <c r="C1771" s="148" t="str">
        <f aca="false">VLOOKUP($A1771,INSUMOS_AUX!$A$3:$H$813,3,0)</f>
        <v>MAT.</v>
      </c>
      <c r="D1771" s="156" t="s">
        <v>1444</v>
      </c>
      <c r="E1771" s="154" t="n">
        <v>0.805</v>
      </c>
      <c r="F1771" s="149" t="n">
        <f aca="false">IF(C1771="MAT.",VLOOKUP(A1771,INSUMOS_AUX!$A$3:$H$813,6,0),0)</f>
        <v>0.61</v>
      </c>
      <c r="G1771" s="149" t="n">
        <f aca="false">IF(C1771="M.O.",VLOOKUP(A1771,INSUMOS_AUX!A:F,6,0),0)</f>
        <v>0</v>
      </c>
    </row>
    <row r="1772" customFormat="false" ht="21" hidden="false" customHeight="false" outlineLevel="0" collapsed="false">
      <c r="A1772" s="154" t="n">
        <v>37373</v>
      </c>
      <c r="B1772" s="155" t="s">
        <v>1448</v>
      </c>
      <c r="C1772" s="148" t="str">
        <f aca="false">VLOOKUP($A1772,INSUMOS_AUX!$A$3:$H$813,3,0)</f>
        <v>MAT.</v>
      </c>
      <c r="D1772" s="156" t="s">
        <v>1444</v>
      </c>
      <c r="E1772" s="154" t="n">
        <v>2.45595</v>
      </c>
      <c r="F1772" s="149" t="n">
        <f aca="false">IF(C1772="MAT.",VLOOKUP(A1772,INSUMOS_AUX!$A$3:$H$813,6,0),0)</f>
        <v>0.08</v>
      </c>
      <c r="G1772" s="149" t="n">
        <f aca="false">IF(C1772="M.O.",VLOOKUP(A1772,INSUMOS_AUX!A:F,6,0),0)</f>
        <v>0</v>
      </c>
    </row>
    <row r="1773" customFormat="false" ht="21" hidden="false" customHeight="false" outlineLevel="0" collapsed="false">
      <c r="A1773" s="154" t="n">
        <v>37371</v>
      </c>
      <c r="B1773" s="155" t="s">
        <v>1449</v>
      </c>
      <c r="C1773" s="148" t="str">
        <f aca="false">VLOOKUP($A1773,INSUMOS_AUX!$A$3:$H$813,3,0)</f>
        <v>MAT.</v>
      </c>
      <c r="D1773" s="156" t="s">
        <v>1444</v>
      </c>
      <c r="E1773" s="154" t="n">
        <v>2.45595</v>
      </c>
      <c r="F1773" s="149" t="n">
        <f aca="false">IF(C1773="MAT.",VLOOKUP(A1773,INSUMOS_AUX!$A$3:$H$813,6,0),0)</f>
        <v>0.59</v>
      </c>
      <c r="G1773" s="149" t="n">
        <f aca="false">IF(C1773="M.O.",VLOOKUP(A1773,INSUMOS_AUX!A:F,6,0),0)</f>
        <v>0</v>
      </c>
    </row>
    <row r="1774" customFormat="false" ht="31.5" hidden="false" customHeight="false" outlineLevel="0" collapsed="false">
      <c r="A1774" s="154" t="n">
        <v>10535</v>
      </c>
      <c r="B1774" s="155" t="s">
        <v>1525</v>
      </c>
      <c r="C1774" s="148" t="str">
        <f aca="false">VLOOKUP($A1774,INSUMOS_AUX!$A$3:$H$813,3,0)</f>
        <v>MAT.</v>
      </c>
      <c r="D1774" s="156" t="s">
        <v>31</v>
      </c>
      <c r="E1774" s="154" t="n">
        <v>3.89571E-006</v>
      </c>
      <c r="F1774" s="149" t="n">
        <f aca="false">IF(C1774="MAT.",VLOOKUP(A1774,INSUMOS_AUX!$A$3:$H$813,6,0),0)</f>
        <v>4699</v>
      </c>
      <c r="G1774" s="149" t="n">
        <f aca="false">IF(C1774="M.O.",VLOOKUP(A1774,INSUMOS_AUX!A:F,6,0),0)</f>
        <v>0</v>
      </c>
    </row>
    <row r="1775" customFormat="false" ht="15" hidden="false" customHeight="false" outlineLevel="0" collapsed="false">
      <c r="A1775" s="154" t="n">
        <v>2705</v>
      </c>
      <c r="B1775" s="155" t="s">
        <v>1467</v>
      </c>
      <c r="C1775" s="148" t="str">
        <f aca="false">VLOOKUP($A1775,INSUMOS_AUX!$A$3:$H$813,3,0)</f>
        <v>MAT.</v>
      </c>
      <c r="D1775" s="156" t="s">
        <v>1468</v>
      </c>
      <c r="E1775" s="154" t="n">
        <v>0.01194375</v>
      </c>
      <c r="F1775" s="149" t="n">
        <f aca="false">IF(C1775="MAT.",VLOOKUP(A1775,INSUMOS_AUX!$A$3:$H$813,6,0),0)</f>
        <v>0.92</v>
      </c>
      <c r="G1775" s="149" t="n">
        <f aca="false">IF(C1775="M.O.",VLOOKUP(A1775,INSUMOS_AUX!A:F,6,0),0)</f>
        <v>0</v>
      </c>
    </row>
    <row r="1776" customFormat="false" ht="21" hidden="false" customHeight="false" outlineLevel="0" collapsed="false">
      <c r="A1776" s="154" t="n">
        <v>370</v>
      </c>
      <c r="B1776" s="155" t="s">
        <v>1527</v>
      </c>
      <c r="C1776" s="148" t="str">
        <f aca="false">VLOOKUP($A1776,INSUMOS_AUX!$A$3:$H$813,3,0)</f>
        <v>MAT.</v>
      </c>
      <c r="D1776" s="156" t="s">
        <v>1442</v>
      </c>
      <c r="E1776" s="154" t="n">
        <v>0.010556</v>
      </c>
      <c r="F1776" s="149" t="n">
        <f aca="false">IF(C1776="MAT.",VLOOKUP(A1776,INSUMOS_AUX!$A$3:$H$813,6,0),0)</f>
        <v>150</v>
      </c>
      <c r="G1776" s="149" t="n">
        <f aca="false">IF(C1776="M.O.",VLOOKUP(A1776,INSUMOS_AUX!A:F,6,0),0)</f>
        <v>0</v>
      </c>
    </row>
    <row r="1777" customFormat="false" ht="21" hidden="false" customHeight="false" outlineLevel="0" collapsed="false">
      <c r="A1777" s="154" t="n">
        <v>7271</v>
      </c>
      <c r="B1777" s="155" t="s">
        <v>1767</v>
      </c>
      <c r="C1777" s="148" t="str">
        <f aca="false">VLOOKUP($A1777,INSUMOS_AUX!$A$3:$H$813,3,0)</f>
        <v>MAT.</v>
      </c>
      <c r="D1777" s="156" t="s">
        <v>31</v>
      </c>
      <c r="E1777" s="154" t="n">
        <v>28.31</v>
      </c>
      <c r="F1777" s="149" t="n">
        <f aca="false">IF(C1777="MAT.",VLOOKUP(A1777,INSUMOS_AUX!$A$3:$H$813,6,0),0)</f>
        <v>1.07</v>
      </c>
      <c r="G1777" s="149" t="n">
        <f aca="false">IF(C1777="M.O.",VLOOKUP(A1777,INSUMOS_AUX!A:F,6,0),0)</f>
        <v>0</v>
      </c>
    </row>
    <row r="1778" customFormat="false" ht="15" hidden="false" customHeight="false" outlineLevel="0" collapsed="false">
      <c r="A1778" s="154" t="n">
        <v>1106</v>
      </c>
      <c r="B1778" s="155" t="s">
        <v>1745</v>
      </c>
      <c r="C1778" s="148" t="str">
        <f aca="false">VLOOKUP($A1778,INSUMOS_AUX!$A$3:$H$813,3,0)</f>
        <v>MAT.</v>
      </c>
      <c r="D1778" s="156" t="s">
        <v>1513</v>
      </c>
      <c r="E1778" s="154" t="n">
        <v>1.58431</v>
      </c>
      <c r="F1778" s="149" t="n">
        <f aca="false">IF(C1778="MAT.",VLOOKUP(A1778,INSUMOS_AUX!$A$3:$H$813,6,0),0)</f>
        <v>1.39</v>
      </c>
      <c r="G1778" s="149" t="n">
        <f aca="false">IF(C1778="M.O.",VLOOKUP(A1778,INSUMOS_AUX!A:F,6,0),0)</f>
        <v>0</v>
      </c>
    </row>
    <row r="1779" customFormat="false" ht="15" hidden="false" customHeight="false" outlineLevel="0" collapsed="false">
      <c r="A1779" s="154" t="n">
        <v>1379</v>
      </c>
      <c r="B1779" s="155" t="s">
        <v>1535</v>
      </c>
      <c r="C1779" s="148" t="str">
        <f aca="false">VLOOKUP($A1779,INSUMOS_AUX!$A$3:$H$813,3,0)</f>
        <v>MAT.</v>
      </c>
      <c r="D1779" s="156" t="s">
        <v>1513</v>
      </c>
      <c r="E1779" s="154" t="n">
        <v>1.782326</v>
      </c>
      <c r="F1779" s="149" t="n">
        <f aca="false">IF(C1779="MAT.",VLOOKUP(A1779,INSUMOS_AUX!$A$3:$H$813,6,0),0)</f>
        <v>0.72</v>
      </c>
      <c r="G1779" s="149" t="n">
        <f aca="false">IF(C1779="M.O.",VLOOKUP(A1779,INSUMOS_AUX!A:F,6,0),0)</f>
        <v>0</v>
      </c>
    </row>
    <row r="1780" customFormat="false" ht="15" hidden="false" customHeight="false" outlineLevel="0" collapsed="false">
      <c r="A1780" s="154" t="n">
        <v>37395</v>
      </c>
      <c r="B1780" s="155" t="s">
        <v>1768</v>
      </c>
      <c r="C1780" s="148" t="str">
        <f aca="false">VLOOKUP($A1780,INSUMOS_AUX!$A$3:$H$813,3,0)</f>
        <v>MAT.</v>
      </c>
      <c r="D1780" s="156" t="s">
        <v>1576</v>
      </c>
      <c r="E1780" s="154" t="n">
        <v>0.005</v>
      </c>
      <c r="F1780" s="149" t="n">
        <f aca="false">IF(C1780="MAT.",VLOOKUP(A1780,INSUMOS_AUX!$A$3:$H$813,6,0),0)</f>
        <v>44.84</v>
      </c>
      <c r="G1780" s="149" t="n">
        <f aca="false">IF(C1780="M.O.",VLOOKUP(A1780,INSUMOS_AUX!A:F,6,0),0)</f>
        <v>0</v>
      </c>
    </row>
    <row r="1781" customFormat="false" ht="21" hidden="false" customHeight="false" outlineLevel="0" collapsed="false">
      <c r="A1781" s="154" t="n">
        <v>34557</v>
      </c>
      <c r="B1781" s="155" t="s">
        <v>1769</v>
      </c>
      <c r="C1781" s="148" t="str">
        <f aca="false">VLOOKUP($A1781,INSUMOS_AUX!$A$3:$H$813,3,0)</f>
        <v>MAT.</v>
      </c>
      <c r="D1781" s="156" t="s">
        <v>1455</v>
      </c>
      <c r="E1781" s="154" t="n">
        <v>0.42</v>
      </c>
      <c r="F1781" s="149" t="n">
        <f aca="false">IF(C1781="MAT.",VLOOKUP(A1781,INSUMOS_AUX!$A$3:$H$813,6,0),0)</f>
        <v>2.16</v>
      </c>
      <c r="G1781" s="149" t="n">
        <f aca="false">IF(C1781="M.O.",VLOOKUP(A1781,INSUMOS_AUX!A:F,6,0),0)</f>
        <v>0</v>
      </c>
    </row>
    <row r="1782" customFormat="false" ht="15" hidden="false" customHeight="false" outlineLevel="0" collapsed="false">
      <c r="A1782" s="154" t="n">
        <v>37666</v>
      </c>
      <c r="B1782" s="155" t="s">
        <v>1558</v>
      </c>
      <c r="C1782" s="148" t="str">
        <f aca="false">VLOOKUP($A1782,INSUMOS_AUX!$A$3:$H$813,3,0)</f>
        <v>M.O.</v>
      </c>
      <c r="D1782" s="156" t="s">
        <v>1444</v>
      </c>
      <c r="E1782" s="154" t="n">
        <v>0.0412902945</v>
      </c>
      <c r="F1782" s="149" t="n">
        <f aca="false">IF(C1782="MAT.",VLOOKUP(A1782,INSUMOS_AUX!$A$3:$H$813,6,0),0)</f>
        <v>0</v>
      </c>
      <c r="G1782" s="149" t="n">
        <f aca="false">IF(C1782="M.O.",VLOOKUP(A1782,INSUMOS_AUX!A:F,6,0),0)</f>
        <v>11.87</v>
      </c>
    </row>
    <row r="1783" customFormat="false" ht="15" hidden="false" customHeight="false" outlineLevel="0" collapsed="false">
      <c r="A1783" s="154" t="n">
        <v>4750</v>
      </c>
      <c r="B1783" s="155" t="s">
        <v>1463</v>
      </c>
      <c r="C1783" s="148" t="str">
        <f aca="false">VLOOKUP($A1783,INSUMOS_AUX!$A$3:$H$813,3,0)</f>
        <v>M.O.</v>
      </c>
      <c r="D1783" s="156" t="s">
        <v>1444</v>
      </c>
      <c r="E1783" s="154" t="n">
        <v>1.644132</v>
      </c>
      <c r="F1783" s="149" t="n">
        <f aca="false">IF(C1783="MAT.",VLOOKUP(A1783,INSUMOS_AUX!$A$3:$H$813,6,0),0)</f>
        <v>0</v>
      </c>
      <c r="G1783" s="149" t="n">
        <f aca="false">IF(C1783="M.O.",VLOOKUP(A1783,INSUMOS_AUX!A:F,6,0),0)</f>
        <v>20.22</v>
      </c>
    </row>
    <row r="1784" customFormat="false" ht="15" hidden="false" customHeight="false" outlineLevel="0" collapsed="false">
      <c r="A1784" s="154" t="n">
        <v>6111</v>
      </c>
      <c r="B1784" s="155" t="s">
        <v>1464</v>
      </c>
      <c r="C1784" s="148" t="str">
        <f aca="false">VLOOKUP($A1784,INSUMOS_AUX!$A$3:$H$813,3,0)</f>
        <v>M.O.</v>
      </c>
      <c r="D1784" s="156" t="s">
        <v>1444</v>
      </c>
      <c r="E1784" s="154" t="n">
        <v>0.822066</v>
      </c>
      <c r="F1784" s="149" t="n">
        <f aca="false">IF(C1784="MAT.",VLOOKUP(A1784,INSUMOS_AUX!$A$3:$H$813,6,0),0)</f>
        <v>0</v>
      </c>
      <c r="G1784" s="149" t="n">
        <f aca="false">IF(C1784="M.O.",VLOOKUP(A1784,INSUMOS_AUX!A:F,6,0),0)</f>
        <v>12.95</v>
      </c>
    </row>
    <row r="1785" customFormat="false" ht="42" hidden="false" customHeight="false" outlineLevel="0" collapsed="false">
      <c r="A1785" s="150" t="n">
        <v>103334</v>
      </c>
      <c r="B1785" s="151" t="s">
        <v>1770</v>
      </c>
      <c r="C1785" s="152" t="s">
        <v>59</v>
      </c>
      <c r="D1785" s="152" t="s">
        <v>1477</v>
      </c>
      <c r="E1785" s="150"/>
      <c r="F1785" s="153" t="n">
        <f aca="false">(SUMPRODUCT($E1786:$E1806,F1786:F1806))*1</f>
        <v>40.34841585677</v>
      </c>
      <c r="G1785" s="153" t="n">
        <f aca="false">(SUMPRODUCT($E1786:$E1806,G1786:G1806))*1</f>
        <v>64.230984359295</v>
      </c>
    </row>
    <row r="1786" customFormat="false" ht="21" hidden="false" customHeight="false" outlineLevel="0" collapsed="false">
      <c r="A1786" s="154" t="n">
        <v>37370</v>
      </c>
      <c r="B1786" s="155" t="s">
        <v>1443</v>
      </c>
      <c r="C1786" s="148" t="str">
        <f aca="false">VLOOKUP($A1786,INSUMOS_AUX!$A$3:$H$813,3,0)</f>
        <v>MAT.</v>
      </c>
      <c r="D1786" s="156" t="s">
        <v>1444</v>
      </c>
      <c r="E1786" s="154" t="n">
        <v>3.56235</v>
      </c>
      <c r="F1786" s="149" t="n">
        <f aca="false">IF(C1786="MAT.",VLOOKUP(A1786,INSUMOS_AUX!$A$3:$H$813,6,0),0)</f>
        <v>3.32</v>
      </c>
      <c r="G1786" s="149" t="n">
        <f aca="false">IF(C1786="M.O.",VLOOKUP(A1786,INSUMOS_AUX!A:F,6,0),0)</f>
        <v>0</v>
      </c>
    </row>
    <row r="1787" customFormat="false" ht="21" hidden="false" customHeight="false" outlineLevel="0" collapsed="false">
      <c r="A1787" s="154" t="n">
        <v>43488</v>
      </c>
      <c r="B1787" s="155" t="s">
        <v>1445</v>
      </c>
      <c r="C1787" s="148" t="s">
        <v>59</v>
      </c>
      <c r="D1787" s="156" t="s">
        <v>1444</v>
      </c>
      <c r="E1787" s="154" t="n">
        <v>0.08235</v>
      </c>
      <c r="F1787" s="149" t="n">
        <f aca="false">IF(C1787="MAT.",VLOOKUP(A1787,INSUMOS_AUX!$A$3:$H$813,6,0),0)</f>
        <v>0</v>
      </c>
      <c r="G1787" s="149" t="n">
        <f aca="false">IF(C1787="M.O.",VLOOKUP(A1787,INSUMOS_AUX!A:F,6,0),0)</f>
        <v>0</v>
      </c>
    </row>
    <row r="1788" customFormat="false" ht="21" hidden="false" customHeight="false" outlineLevel="0" collapsed="false">
      <c r="A1788" s="154" t="n">
        <v>43489</v>
      </c>
      <c r="B1788" s="155" t="s">
        <v>1456</v>
      </c>
      <c r="C1788" s="148" t="str">
        <f aca="false">VLOOKUP($A1788,INSUMOS_AUX!$A$3:$H$813,3,0)</f>
        <v>MAT.</v>
      </c>
      <c r="D1788" s="156" t="s">
        <v>1444</v>
      </c>
      <c r="E1788" s="154" t="n">
        <v>2.32</v>
      </c>
      <c r="F1788" s="149" t="n">
        <f aca="false">IF(C1788="MAT.",VLOOKUP(A1788,INSUMOS_AUX!$A$3:$H$813,6,0),0)</f>
        <v>1.31</v>
      </c>
      <c r="G1788" s="149" t="n">
        <f aca="false">IF(C1788="M.O.",VLOOKUP(A1788,INSUMOS_AUX!A:F,6,0),0)</f>
        <v>0</v>
      </c>
    </row>
    <row r="1789" customFormat="false" ht="21" hidden="false" customHeight="false" outlineLevel="0" collapsed="false">
      <c r="A1789" s="154" t="n">
        <v>43491</v>
      </c>
      <c r="B1789" s="155" t="s">
        <v>1457</v>
      </c>
      <c r="C1789" s="148" t="str">
        <f aca="false">VLOOKUP($A1789,INSUMOS_AUX!$A$3:$H$813,3,0)</f>
        <v>MAT.</v>
      </c>
      <c r="D1789" s="156" t="s">
        <v>1444</v>
      </c>
      <c r="E1789" s="154" t="n">
        <v>1.16</v>
      </c>
      <c r="F1789" s="149" t="n">
        <f aca="false">IF(C1789="MAT.",VLOOKUP(A1789,INSUMOS_AUX!$A$3:$H$813,6,0),0)</f>
        <v>1.39</v>
      </c>
      <c r="G1789" s="149" t="n">
        <f aca="false">IF(C1789="M.O.",VLOOKUP(A1789,INSUMOS_AUX!A:F,6,0),0)</f>
        <v>0</v>
      </c>
    </row>
    <row r="1790" customFormat="false" ht="21" hidden="false" customHeight="false" outlineLevel="0" collapsed="false">
      <c r="A1790" s="154" t="n">
        <v>37372</v>
      </c>
      <c r="B1790" s="155" t="s">
        <v>1446</v>
      </c>
      <c r="C1790" s="148" t="str">
        <f aca="false">VLOOKUP($A1790,INSUMOS_AUX!$A$3:$H$813,3,0)</f>
        <v>MAT.</v>
      </c>
      <c r="D1790" s="156" t="s">
        <v>1444</v>
      </c>
      <c r="E1790" s="154" t="n">
        <v>3.56235</v>
      </c>
      <c r="F1790" s="149" t="n">
        <f aca="false">IF(C1790="MAT.",VLOOKUP(A1790,INSUMOS_AUX!$A$3:$H$813,6,0),0)</f>
        <v>1.43</v>
      </c>
      <c r="G1790" s="149" t="n">
        <f aca="false">IF(C1790="M.O.",VLOOKUP(A1790,INSUMOS_AUX!A:F,6,0),0)</f>
        <v>0</v>
      </c>
    </row>
    <row r="1791" customFormat="false" ht="21" hidden="false" customHeight="false" outlineLevel="0" collapsed="false">
      <c r="A1791" s="154" t="n">
        <v>43464</v>
      </c>
      <c r="B1791" s="155" t="s">
        <v>1447</v>
      </c>
      <c r="C1791" s="148" t="str">
        <f aca="false">VLOOKUP($A1791,INSUMOS_AUX!$A$3:$H$813,3,0)</f>
        <v>MAT.</v>
      </c>
      <c r="D1791" s="156" t="s">
        <v>1444</v>
      </c>
      <c r="E1791" s="154" t="n">
        <v>0.08235</v>
      </c>
      <c r="F1791" s="149" t="n">
        <f aca="false">IF(C1791="MAT.",VLOOKUP(A1791,INSUMOS_AUX!$A$3:$H$813,6,0),0)</f>
        <v>0.01</v>
      </c>
      <c r="G1791" s="149" t="n">
        <f aca="false">IF(C1791="M.O.",VLOOKUP(A1791,INSUMOS_AUX!A:F,6,0),0)</f>
        <v>0</v>
      </c>
    </row>
    <row r="1792" customFormat="false" ht="21" hidden="false" customHeight="false" outlineLevel="0" collapsed="false">
      <c r="A1792" s="154" t="n">
        <v>43465</v>
      </c>
      <c r="B1792" s="155" t="s">
        <v>1458</v>
      </c>
      <c r="C1792" s="148" t="str">
        <f aca="false">VLOOKUP($A1792,INSUMOS_AUX!$A$3:$H$813,3,0)</f>
        <v>MAT.</v>
      </c>
      <c r="D1792" s="156" t="s">
        <v>1444</v>
      </c>
      <c r="E1792" s="154" t="n">
        <v>2.32</v>
      </c>
      <c r="F1792" s="149" t="n">
        <f aca="false">IF(C1792="MAT.",VLOOKUP(A1792,INSUMOS_AUX!$A$3:$H$813,6,0),0)</f>
        <v>0.78</v>
      </c>
      <c r="G1792" s="149" t="n">
        <f aca="false">IF(C1792="M.O.",VLOOKUP(A1792,INSUMOS_AUX!A:F,6,0),0)</f>
        <v>0</v>
      </c>
    </row>
    <row r="1793" customFormat="false" ht="21" hidden="false" customHeight="false" outlineLevel="0" collapsed="false">
      <c r="A1793" s="154" t="n">
        <v>43467</v>
      </c>
      <c r="B1793" s="155" t="s">
        <v>1459</v>
      </c>
      <c r="C1793" s="148" t="str">
        <f aca="false">VLOOKUP($A1793,INSUMOS_AUX!$A$3:$H$813,3,0)</f>
        <v>MAT.</v>
      </c>
      <c r="D1793" s="156" t="s">
        <v>1444</v>
      </c>
      <c r="E1793" s="154" t="n">
        <v>1.16</v>
      </c>
      <c r="F1793" s="149" t="n">
        <f aca="false">IF(C1793="MAT.",VLOOKUP(A1793,INSUMOS_AUX!$A$3:$H$813,6,0),0)</f>
        <v>0.61</v>
      </c>
      <c r="G1793" s="149" t="n">
        <f aca="false">IF(C1793="M.O.",VLOOKUP(A1793,INSUMOS_AUX!A:F,6,0),0)</f>
        <v>0</v>
      </c>
    </row>
    <row r="1794" customFormat="false" ht="21" hidden="false" customHeight="false" outlineLevel="0" collapsed="false">
      <c r="A1794" s="154" t="n">
        <v>37373</v>
      </c>
      <c r="B1794" s="155" t="s">
        <v>1448</v>
      </c>
      <c r="C1794" s="148" t="str">
        <f aca="false">VLOOKUP($A1794,INSUMOS_AUX!$A$3:$H$813,3,0)</f>
        <v>MAT.</v>
      </c>
      <c r="D1794" s="156" t="s">
        <v>1444</v>
      </c>
      <c r="E1794" s="154" t="n">
        <v>3.56235</v>
      </c>
      <c r="F1794" s="149" t="n">
        <f aca="false">IF(C1794="MAT.",VLOOKUP(A1794,INSUMOS_AUX!$A$3:$H$813,6,0),0)</f>
        <v>0.08</v>
      </c>
      <c r="G1794" s="149" t="n">
        <f aca="false">IF(C1794="M.O.",VLOOKUP(A1794,INSUMOS_AUX!A:F,6,0),0)</f>
        <v>0</v>
      </c>
    </row>
    <row r="1795" customFormat="false" ht="21" hidden="false" customHeight="false" outlineLevel="0" collapsed="false">
      <c r="A1795" s="154" t="n">
        <v>37371</v>
      </c>
      <c r="B1795" s="155" t="s">
        <v>1449</v>
      </c>
      <c r="C1795" s="148" t="str">
        <f aca="false">VLOOKUP($A1795,INSUMOS_AUX!$A$3:$H$813,3,0)</f>
        <v>MAT.</v>
      </c>
      <c r="D1795" s="156" t="s">
        <v>1444</v>
      </c>
      <c r="E1795" s="154" t="n">
        <v>3.56235</v>
      </c>
      <c r="F1795" s="149" t="n">
        <f aca="false">IF(C1795="MAT.",VLOOKUP(A1795,INSUMOS_AUX!$A$3:$H$813,6,0),0)</f>
        <v>0.59</v>
      </c>
      <c r="G1795" s="149" t="n">
        <f aca="false">IF(C1795="M.O.",VLOOKUP(A1795,INSUMOS_AUX!A:F,6,0),0)</f>
        <v>0</v>
      </c>
    </row>
    <row r="1796" customFormat="false" ht="31.5" hidden="false" customHeight="false" outlineLevel="0" collapsed="false">
      <c r="A1796" s="154" t="n">
        <v>10535</v>
      </c>
      <c r="B1796" s="155" t="s">
        <v>1525</v>
      </c>
      <c r="C1796" s="148" t="str">
        <f aca="false">VLOOKUP($A1796,INSUMOS_AUX!$A$3:$H$813,3,0)</f>
        <v>MAT.</v>
      </c>
      <c r="D1796" s="156" t="s">
        <v>31</v>
      </c>
      <c r="E1796" s="154" t="n">
        <v>7.83423E-006</v>
      </c>
      <c r="F1796" s="149" t="n">
        <f aca="false">IF(C1796="MAT.",VLOOKUP(A1796,INSUMOS_AUX!$A$3:$H$813,6,0),0)</f>
        <v>4699</v>
      </c>
      <c r="G1796" s="149" t="n">
        <f aca="false">IF(C1796="M.O.",VLOOKUP(A1796,INSUMOS_AUX!A:F,6,0),0)</f>
        <v>0</v>
      </c>
    </row>
    <row r="1797" customFormat="false" ht="15" hidden="false" customHeight="false" outlineLevel="0" collapsed="false">
      <c r="A1797" s="154" t="n">
        <v>2705</v>
      </c>
      <c r="B1797" s="155" t="s">
        <v>1467</v>
      </c>
      <c r="C1797" s="148" t="str">
        <f aca="false">VLOOKUP($A1797,INSUMOS_AUX!$A$3:$H$813,3,0)</f>
        <v>MAT.</v>
      </c>
      <c r="D1797" s="156" t="s">
        <v>1468</v>
      </c>
      <c r="E1797" s="154" t="n">
        <v>0.02401875</v>
      </c>
      <c r="F1797" s="149" t="n">
        <f aca="false">IF(C1797="MAT.",VLOOKUP(A1797,INSUMOS_AUX!$A$3:$H$813,6,0),0)</f>
        <v>0.92</v>
      </c>
      <c r="G1797" s="149" t="n">
        <f aca="false">IF(C1797="M.O.",VLOOKUP(A1797,INSUMOS_AUX!A:F,6,0),0)</f>
        <v>0</v>
      </c>
    </row>
    <row r="1798" customFormat="false" ht="21" hidden="false" customHeight="false" outlineLevel="0" collapsed="false">
      <c r="A1798" s="154" t="n">
        <v>370</v>
      </c>
      <c r="B1798" s="155" t="s">
        <v>1527</v>
      </c>
      <c r="C1798" s="148" t="str">
        <f aca="false">VLOOKUP($A1798,INSUMOS_AUX!$A$3:$H$813,3,0)</f>
        <v>MAT.</v>
      </c>
      <c r="D1798" s="156" t="s">
        <v>1442</v>
      </c>
      <c r="E1798" s="154" t="n">
        <v>0.021228</v>
      </c>
      <c r="F1798" s="149" t="n">
        <f aca="false">IF(C1798="MAT.",VLOOKUP(A1798,INSUMOS_AUX!$A$3:$H$813,6,0),0)</f>
        <v>150</v>
      </c>
      <c r="G1798" s="149" t="n">
        <f aca="false">IF(C1798="M.O.",VLOOKUP(A1798,INSUMOS_AUX!A:F,6,0),0)</f>
        <v>0</v>
      </c>
    </row>
    <row r="1799" customFormat="false" ht="21" hidden="false" customHeight="false" outlineLevel="0" collapsed="false">
      <c r="A1799" s="154" t="n">
        <v>7267</v>
      </c>
      <c r="B1799" s="155" t="s">
        <v>1771</v>
      </c>
      <c r="C1799" s="148" t="s">
        <v>59</v>
      </c>
      <c r="D1799" s="156" t="s">
        <v>31</v>
      </c>
      <c r="E1799" s="154" t="n">
        <v>56.62</v>
      </c>
      <c r="F1799" s="149" t="n">
        <f aca="false">IF(C1799="MAT.",VLOOKUP(A1799,INSUMOS_AUX!$A$3:$H$813,6,0),0)</f>
        <v>0</v>
      </c>
      <c r="G1799" s="149" t="n">
        <f aca="false">IF(C1799="M.O.",VLOOKUP(A1799,INSUMOS_AUX!A:F,6,0),0)</f>
        <v>0</v>
      </c>
    </row>
    <row r="1800" customFormat="false" ht="15" hidden="false" customHeight="false" outlineLevel="0" collapsed="false">
      <c r="A1800" s="154" t="n">
        <v>1106</v>
      </c>
      <c r="B1800" s="155" t="s">
        <v>1745</v>
      </c>
      <c r="C1800" s="148" t="str">
        <f aca="false">VLOOKUP($A1800,INSUMOS_AUX!$A$3:$H$813,3,0)</f>
        <v>MAT.</v>
      </c>
      <c r="D1800" s="156" t="s">
        <v>1513</v>
      </c>
      <c r="E1800" s="154" t="n">
        <v>3.18603</v>
      </c>
      <c r="F1800" s="149" t="n">
        <f aca="false">IF(C1800="MAT.",VLOOKUP(A1800,INSUMOS_AUX!$A$3:$H$813,6,0),0)</f>
        <v>1.39</v>
      </c>
      <c r="G1800" s="149" t="n">
        <f aca="false">IF(C1800="M.O.",VLOOKUP(A1800,INSUMOS_AUX!A:F,6,0),0)</f>
        <v>0</v>
      </c>
    </row>
    <row r="1801" customFormat="false" ht="15" hidden="false" customHeight="false" outlineLevel="0" collapsed="false">
      <c r="A1801" s="154" t="n">
        <v>1379</v>
      </c>
      <c r="B1801" s="155" t="s">
        <v>1535</v>
      </c>
      <c r="C1801" s="148" t="str">
        <f aca="false">VLOOKUP($A1801,INSUMOS_AUX!$A$3:$H$813,3,0)</f>
        <v>MAT.</v>
      </c>
      <c r="D1801" s="156" t="s">
        <v>1513</v>
      </c>
      <c r="E1801" s="154" t="n">
        <v>3.584238</v>
      </c>
      <c r="F1801" s="149" t="n">
        <f aca="false">IF(C1801="MAT.",VLOOKUP(A1801,INSUMOS_AUX!$A$3:$H$813,6,0),0)</f>
        <v>0.72</v>
      </c>
      <c r="G1801" s="149" t="n">
        <f aca="false">IF(C1801="M.O.",VLOOKUP(A1801,INSUMOS_AUX!A:F,6,0),0)</f>
        <v>0</v>
      </c>
    </row>
    <row r="1802" customFormat="false" ht="15" hidden="false" customHeight="false" outlineLevel="0" collapsed="false">
      <c r="A1802" s="154" t="n">
        <v>37395</v>
      </c>
      <c r="B1802" s="155" t="s">
        <v>1768</v>
      </c>
      <c r="C1802" s="148" t="str">
        <f aca="false">VLOOKUP($A1802,INSUMOS_AUX!$A$3:$H$813,3,0)</f>
        <v>MAT.</v>
      </c>
      <c r="D1802" s="156" t="s">
        <v>1576</v>
      </c>
      <c r="E1802" s="154" t="n">
        <v>0.0193</v>
      </c>
      <c r="F1802" s="149" t="n">
        <f aca="false">IF(C1802="MAT.",VLOOKUP(A1802,INSUMOS_AUX!$A$3:$H$813,6,0),0)</f>
        <v>44.84</v>
      </c>
      <c r="G1802" s="149" t="n">
        <f aca="false">IF(C1802="M.O.",VLOOKUP(A1802,INSUMOS_AUX!A:F,6,0),0)</f>
        <v>0</v>
      </c>
    </row>
    <row r="1803" customFormat="false" ht="21" hidden="false" customHeight="false" outlineLevel="0" collapsed="false">
      <c r="A1803" s="154" t="n">
        <v>34547</v>
      </c>
      <c r="B1803" s="155" t="s">
        <v>1772</v>
      </c>
      <c r="C1803" s="148" t="str">
        <f aca="false">VLOOKUP($A1803,INSUMOS_AUX!$A$3:$H$813,3,0)</f>
        <v>MAT.</v>
      </c>
      <c r="D1803" s="156" t="s">
        <v>1455</v>
      </c>
      <c r="E1803" s="154" t="n">
        <v>0.805</v>
      </c>
      <c r="F1803" s="149" t="n">
        <f aca="false">IF(C1803="MAT.",VLOOKUP(A1803,INSUMOS_AUX!$A$3:$H$813,6,0),0)</f>
        <v>3.42</v>
      </c>
      <c r="G1803" s="149" t="n">
        <f aca="false">IF(C1803="M.O.",VLOOKUP(A1803,INSUMOS_AUX!A:F,6,0),0)</f>
        <v>0</v>
      </c>
    </row>
    <row r="1804" customFormat="false" ht="15" hidden="false" customHeight="false" outlineLevel="0" collapsed="false">
      <c r="A1804" s="154" t="n">
        <v>37666</v>
      </c>
      <c r="B1804" s="155" t="s">
        <v>1558</v>
      </c>
      <c r="C1804" s="148" t="str">
        <f aca="false">VLOOKUP($A1804,INSUMOS_AUX!$A$3:$H$813,3,0)</f>
        <v>M.O.</v>
      </c>
      <c r="D1804" s="156" t="s">
        <v>1444</v>
      </c>
      <c r="E1804" s="154" t="n">
        <v>0.0830343285</v>
      </c>
      <c r="F1804" s="149" t="n">
        <f aca="false">IF(C1804="MAT.",VLOOKUP(A1804,INSUMOS_AUX!$A$3:$H$813,6,0),0)</f>
        <v>0</v>
      </c>
      <c r="G1804" s="149" t="n">
        <f aca="false">IF(C1804="M.O.",VLOOKUP(A1804,INSUMOS_AUX!A:F,6,0),0)</f>
        <v>11.87</v>
      </c>
    </row>
    <row r="1805" customFormat="false" ht="15" hidden="false" customHeight="false" outlineLevel="0" collapsed="false">
      <c r="A1805" s="154" t="n">
        <v>4750</v>
      </c>
      <c r="B1805" s="155" t="s">
        <v>1463</v>
      </c>
      <c r="C1805" s="148" t="str">
        <f aca="false">VLOOKUP($A1805,INSUMOS_AUX!$A$3:$H$813,3,0)</f>
        <v>M.O.</v>
      </c>
      <c r="D1805" s="156" t="s">
        <v>1444</v>
      </c>
      <c r="E1805" s="154" t="n">
        <v>2.369184</v>
      </c>
      <c r="F1805" s="149" t="n">
        <f aca="false">IF(C1805="MAT.",VLOOKUP(A1805,INSUMOS_AUX!$A$3:$H$813,6,0),0)</f>
        <v>0</v>
      </c>
      <c r="G1805" s="149" t="n">
        <f aca="false">IF(C1805="M.O.",VLOOKUP(A1805,INSUMOS_AUX!A:F,6,0),0)</f>
        <v>20.22</v>
      </c>
    </row>
    <row r="1806" customFormat="false" ht="15" hidden="false" customHeight="false" outlineLevel="0" collapsed="false">
      <c r="A1806" s="154" t="n">
        <v>6111</v>
      </c>
      <c r="B1806" s="155" t="s">
        <v>1464</v>
      </c>
      <c r="C1806" s="148" t="str">
        <f aca="false">VLOOKUP($A1806,INSUMOS_AUX!$A$3:$H$813,3,0)</f>
        <v>M.O.</v>
      </c>
      <c r="D1806" s="156" t="s">
        <v>1444</v>
      </c>
      <c r="E1806" s="154" t="n">
        <v>1.184592</v>
      </c>
      <c r="F1806" s="149" t="n">
        <f aca="false">IF(C1806="MAT.",VLOOKUP(A1806,INSUMOS_AUX!$A$3:$H$813,6,0),0)</f>
        <v>0</v>
      </c>
      <c r="G1806" s="149" t="n">
        <f aca="false">IF(C1806="M.O.",VLOOKUP(A1806,INSUMOS_AUX!A:F,6,0),0)</f>
        <v>12.95</v>
      </c>
    </row>
    <row r="1807" customFormat="false" ht="21" hidden="false" customHeight="false" outlineLevel="0" collapsed="false">
      <c r="A1807" s="150" t="n">
        <v>102235</v>
      </c>
      <c r="B1807" s="151" t="s">
        <v>1773</v>
      </c>
      <c r="C1807" s="152" t="s">
        <v>59</v>
      </c>
      <c r="D1807" s="152" t="s">
        <v>1477</v>
      </c>
      <c r="E1807" s="150"/>
      <c r="F1807" s="153" t="n">
        <f aca="false">(SUMPRODUCT($E1808:$E1827,F1808:F1827))*1</f>
        <v>313.851580408792</v>
      </c>
      <c r="G1807" s="153" t="n">
        <f aca="false">(SUMPRODUCT($E1808:$E1827,G1808:G1827))*1</f>
        <v>42.4179271552</v>
      </c>
    </row>
    <row r="1808" customFormat="false" ht="21" hidden="false" customHeight="false" outlineLevel="0" collapsed="false">
      <c r="A1808" s="154" t="n">
        <v>37370</v>
      </c>
      <c r="B1808" s="155" t="s">
        <v>1443</v>
      </c>
      <c r="C1808" s="148" t="str">
        <f aca="false">VLOOKUP($A1808,INSUMOS_AUX!$A$3:$H$813,3,0)</f>
        <v>MAT.</v>
      </c>
      <c r="D1808" s="156" t="s">
        <v>1444</v>
      </c>
      <c r="E1808" s="154" t="n">
        <v>2.72</v>
      </c>
      <c r="F1808" s="149" t="n">
        <f aca="false">IF(C1808="MAT.",VLOOKUP(A1808,INSUMOS_AUX!$A$3:$H$813,6,0),0)</f>
        <v>3.32</v>
      </c>
      <c r="G1808" s="149" t="n">
        <f aca="false">IF(C1808="M.O.",VLOOKUP(A1808,INSUMOS_AUX!A:F,6,0),0)</f>
        <v>0</v>
      </c>
    </row>
    <row r="1809" customFormat="false" ht="21" hidden="false" customHeight="false" outlineLevel="0" collapsed="false">
      <c r="A1809" s="154" t="n">
        <v>43488</v>
      </c>
      <c r="B1809" s="155" t="s">
        <v>1445</v>
      </c>
      <c r="C1809" s="148" t="str">
        <f aca="false">VLOOKUP($A1809,INSUMOS_AUX!$A$3:$H$813,3,0)</f>
        <v>MAT.</v>
      </c>
      <c r="D1809" s="156" t="s">
        <v>1444</v>
      </c>
      <c r="E1809" s="154" t="n">
        <v>1.088</v>
      </c>
      <c r="F1809" s="149" t="n">
        <f aca="false">IF(C1809="MAT.",VLOOKUP(A1809,INSUMOS_AUX!$A$3:$H$813,6,0),0)</f>
        <v>0.89</v>
      </c>
      <c r="G1809" s="149" t="n">
        <f aca="false">IF(C1809="M.O.",VLOOKUP(A1809,INSUMOS_AUX!A:F,6,0),0)</f>
        <v>0</v>
      </c>
    </row>
    <row r="1810" customFormat="false" ht="21" hidden="false" customHeight="false" outlineLevel="0" collapsed="false">
      <c r="A1810" s="154" t="n">
        <v>43489</v>
      </c>
      <c r="B1810" s="155" t="s">
        <v>1456</v>
      </c>
      <c r="C1810" s="148" t="str">
        <f aca="false">VLOOKUP($A1810,INSUMOS_AUX!$A$3:$H$813,3,0)</f>
        <v>MAT.</v>
      </c>
      <c r="D1810" s="156" t="s">
        <v>1444</v>
      </c>
      <c r="E1810" s="154" t="n">
        <v>1.088</v>
      </c>
      <c r="F1810" s="149" t="n">
        <f aca="false">IF(C1810="MAT.",VLOOKUP(A1810,INSUMOS_AUX!$A$3:$H$813,6,0),0)</f>
        <v>1.31</v>
      </c>
      <c r="G1810" s="149" t="n">
        <f aca="false">IF(C1810="M.O.",VLOOKUP(A1810,INSUMOS_AUX!A:F,6,0),0)</f>
        <v>0</v>
      </c>
    </row>
    <row r="1811" customFormat="false" ht="21" hidden="false" customHeight="false" outlineLevel="0" collapsed="false">
      <c r="A1811" s="154" t="n">
        <v>43491</v>
      </c>
      <c r="B1811" s="155" t="s">
        <v>1457</v>
      </c>
      <c r="C1811" s="148" t="s">
        <v>59</v>
      </c>
      <c r="D1811" s="156" t="s">
        <v>1444</v>
      </c>
      <c r="E1811" s="154" t="n">
        <v>0.544</v>
      </c>
      <c r="F1811" s="149" t="n">
        <f aca="false">IF(C1811="MAT.",VLOOKUP(A1811,INSUMOS_AUX!$A$3:$H$813,6,0),0)</f>
        <v>0</v>
      </c>
      <c r="G1811" s="149" t="n">
        <f aca="false">IF(C1811="M.O.",VLOOKUP(A1811,INSUMOS_AUX!A:F,6,0),0)</f>
        <v>0</v>
      </c>
    </row>
    <row r="1812" customFormat="false" ht="21" hidden="false" customHeight="false" outlineLevel="0" collapsed="false">
      <c r="A1812" s="154" t="n">
        <v>37372</v>
      </c>
      <c r="B1812" s="155" t="s">
        <v>1446</v>
      </c>
      <c r="C1812" s="148" t="str">
        <f aca="false">VLOOKUP($A1812,INSUMOS_AUX!$A$3:$H$813,3,0)</f>
        <v>MAT.</v>
      </c>
      <c r="D1812" s="156" t="s">
        <v>1444</v>
      </c>
      <c r="E1812" s="154" t="n">
        <v>2.72</v>
      </c>
      <c r="F1812" s="149" t="n">
        <f aca="false">IF(C1812="MAT.",VLOOKUP(A1812,INSUMOS_AUX!$A$3:$H$813,6,0),0)</f>
        <v>1.43</v>
      </c>
      <c r="G1812" s="149" t="n">
        <f aca="false">IF(C1812="M.O.",VLOOKUP(A1812,INSUMOS_AUX!A:F,6,0),0)</f>
        <v>0</v>
      </c>
    </row>
    <row r="1813" customFormat="false" ht="21" hidden="false" customHeight="false" outlineLevel="0" collapsed="false">
      <c r="A1813" s="154" t="n">
        <v>43464</v>
      </c>
      <c r="B1813" s="155" t="s">
        <v>1447</v>
      </c>
      <c r="C1813" s="148" t="str">
        <f aca="false">VLOOKUP($A1813,INSUMOS_AUX!$A$3:$H$813,3,0)</f>
        <v>MAT.</v>
      </c>
      <c r="D1813" s="156" t="s">
        <v>1444</v>
      </c>
      <c r="E1813" s="154" t="n">
        <v>1.088</v>
      </c>
      <c r="F1813" s="149" t="n">
        <f aca="false">IF(C1813="MAT.",VLOOKUP(A1813,INSUMOS_AUX!$A$3:$H$813,6,0),0)</f>
        <v>0.01</v>
      </c>
      <c r="G1813" s="149" t="n">
        <f aca="false">IF(C1813="M.O.",VLOOKUP(A1813,INSUMOS_AUX!A:F,6,0),0)</f>
        <v>0</v>
      </c>
    </row>
    <row r="1814" customFormat="false" ht="21" hidden="false" customHeight="false" outlineLevel="0" collapsed="false">
      <c r="A1814" s="154" t="n">
        <v>43465</v>
      </c>
      <c r="B1814" s="155" t="s">
        <v>1458</v>
      </c>
      <c r="C1814" s="148" t="str">
        <f aca="false">VLOOKUP($A1814,INSUMOS_AUX!$A$3:$H$813,3,0)</f>
        <v>MAT.</v>
      </c>
      <c r="D1814" s="156" t="s">
        <v>1444</v>
      </c>
      <c r="E1814" s="154" t="n">
        <v>1.088</v>
      </c>
      <c r="F1814" s="149" t="n">
        <f aca="false">IF(C1814="MAT.",VLOOKUP(A1814,INSUMOS_AUX!$A$3:$H$813,6,0),0)</f>
        <v>0.78</v>
      </c>
      <c r="G1814" s="149" t="n">
        <f aca="false">IF(C1814="M.O.",VLOOKUP(A1814,INSUMOS_AUX!A:F,6,0),0)</f>
        <v>0</v>
      </c>
    </row>
    <row r="1815" customFormat="false" ht="21" hidden="false" customHeight="false" outlineLevel="0" collapsed="false">
      <c r="A1815" s="154" t="n">
        <v>43467</v>
      </c>
      <c r="B1815" s="155" t="s">
        <v>1459</v>
      </c>
      <c r="C1815" s="148" t="str">
        <f aca="false">VLOOKUP($A1815,INSUMOS_AUX!$A$3:$H$813,3,0)</f>
        <v>MAT.</v>
      </c>
      <c r="D1815" s="156" t="s">
        <v>1444</v>
      </c>
      <c r="E1815" s="154" t="n">
        <v>0.544</v>
      </c>
      <c r="F1815" s="149" t="n">
        <f aca="false">IF(C1815="MAT.",VLOOKUP(A1815,INSUMOS_AUX!$A$3:$H$813,6,0),0)</f>
        <v>0.61</v>
      </c>
      <c r="G1815" s="149" t="n">
        <f aca="false">IF(C1815="M.O.",VLOOKUP(A1815,INSUMOS_AUX!A:F,6,0),0)</f>
        <v>0</v>
      </c>
    </row>
    <row r="1816" customFormat="false" ht="21" hidden="false" customHeight="false" outlineLevel="0" collapsed="false">
      <c r="A1816" s="154" t="n">
        <v>37373</v>
      </c>
      <c r="B1816" s="155" t="s">
        <v>1448</v>
      </c>
      <c r="C1816" s="148" t="str">
        <f aca="false">VLOOKUP($A1816,INSUMOS_AUX!$A$3:$H$813,3,0)</f>
        <v>MAT.</v>
      </c>
      <c r="D1816" s="156" t="s">
        <v>1444</v>
      </c>
      <c r="E1816" s="154" t="n">
        <v>2.72</v>
      </c>
      <c r="F1816" s="149" t="n">
        <f aca="false">IF(C1816="MAT.",VLOOKUP(A1816,INSUMOS_AUX!$A$3:$H$813,6,0),0)</f>
        <v>0.08</v>
      </c>
      <c r="G1816" s="149" t="n">
        <f aca="false">IF(C1816="M.O.",VLOOKUP(A1816,INSUMOS_AUX!A:F,6,0),0)</f>
        <v>0</v>
      </c>
    </row>
    <row r="1817" customFormat="false" ht="21" hidden="false" customHeight="false" outlineLevel="0" collapsed="false">
      <c r="A1817" s="154" t="n">
        <v>37371</v>
      </c>
      <c r="B1817" s="155" t="s">
        <v>1449</v>
      </c>
      <c r="C1817" s="148" t="str">
        <f aca="false">VLOOKUP($A1817,INSUMOS_AUX!$A$3:$H$813,3,0)</f>
        <v>MAT.</v>
      </c>
      <c r="D1817" s="156" t="s">
        <v>1444</v>
      </c>
      <c r="E1817" s="154" t="n">
        <v>2.72</v>
      </c>
      <c r="F1817" s="149" t="n">
        <f aca="false">IF(C1817="MAT.",VLOOKUP(A1817,INSUMOS_AUX!$A$3:$H$813,6,0),0)</f>
        <v>0.59</v>
      </c>
      <c r="G1817" s="149" t="n">
        <f aca="false">IF(C1817="M.O.",VLOOKUP(A1817,INSUMOS_AUX!A:F,6,0),0)</f>
        <v>0</v>
      </c>
    </row>
    <row r="1818" customFormat="false" ht="21" hidden="false" customHeight="false" outlineLevel="0" collapsed="false">
      <c r="A1818" s="154" t="n">
        <v>14618</v>
      </c>
      <c r="B1818" s="155" t="s">
        <v>1592</v>
      </c>
      <c r="C1818" s="148" t="str">
        <f aca="false">VLOOKUP($A1818,INSUMOS_AUX!$A$3:$H$813,3,0)</f>
        <v>MAT.</v>
      </c>
      <c r="D1818" s="156" t="s">
        <v>31</v>
      </c>
      <c r="E1818" s="154" t="n">
        <v>9.91884E-005</v>
      </c>
      <c r="F1818" s="149" t="n">
        <f aca="false">IF(C1818="MAT.",VLOOKUP(A1818,INSUMOS_AUX!$A$3:$H$813,6,0),0)</f>
        <v>1283.38</v>
      </c>
      <c r="G1818" s="149" t="n">
        <f aca="false">IF(C1818="M.O.",VLOOKUP(A1818,INSUMOS_AUX!A:F,6,0),0)</f>
        <v>0</v>
      </c>
    </row>
    <row r="1819" customFormat="false" ht="15" hidden="false" customHeight="false" outlineLevel="0" collapsed="false">
      <c r="A1819" s="154" t="n">
        <v>2705</v>
      </c>
      <c r="B1819" s="155" t="s">
        <v>1467</v>
      </c>
      <c r="C1819" s="148" t="str">
        <f aca="false">VLOOKUP($A1819,INSUMOS_AUX!$A$3:$H$813,3,0)</f>
        <v>MAT.</v>
      </c>
      <c r="D1819" s="156" t="s">
        <v>1468</v>
      </c>
      <c r="E1819" s="154" t="n">
        <v>0.1292</v>
      </c>
      <c r="F1819" s="149" t="n">
        <f aca="false">IF(C1819="MAT.",VLOOKUP(A1819,INSUMOS_AUX!$A$3:$H$813,6,0),0)</f>
        <v>0.92</v>
      </c>
      <c r="G1819" s="149" t="n">
        <f aca="false">IF(C1819="M.O.",VLOOKUP(A1819,INSUMOS_AUX!A:F,6,0),0)</f>
        <v>0</v>
      </c>
    </row>
    <row r="1820" customFormat="false" ht="31.5" hidden="false" customHeight="false" outlineLevel="0" collapsed="false">
      <c r="A1820" s="154" t="n">
        <v>11950</v>
      </c>
      <c r="B1820" s="155" t="s">
        <v>1774</v>
      </c>
      <c r="C1820" s="148" t="str">
        <f aca="false">VLOOKUP($A1820,INSUMOS_AUX!$A$3:$H$813,3,0)</f>
        <v>MAT.</v>
      </c>
      <c r="D1820" s="156" t="s">
        <v>31</v>
      </c>
      <c r="E1820" s="154" t="n">
        <v>2.37</v>
      </c>
      <c r="F1820" s="149" t="n">
        <f aca="false">IF(C1820="MAT.",VLOOKUP(A1820,INSUMOS_AUX!$A$3:$H$813,6,0),0)</f>
        <v>0.26</v>
      </c>
      <c r="G1820" s="149" t="n">
        <f aca="false">IF(C1820="M.O.",VLOOKUP(A1820,INSUMOS_AUX!A:F,6,0),0)</f>
        <v>0</v>
      </c>
    </row>
    <row r="1821" customFormat="false" ht="21" hidden="false" customHeight="false" outlineLevel="0" collapsed="false">
      <c r="A1821" s="154" t="n">
        <v>39432</v>
      </c>
      <c r="B1821" s="155" t="s">
        <v>1775</v>
      </c>
      <c r="C1821" s="148" t="str">
        <f aca="false">VLOOKUP($A1821,INSUMOS_AUX!$A$3:$H$813,3,0)</f>
        <v>MAT.</v>
      </c>
      <c r="D1821" s="156" t="s">
        <v>1455</v>
      </c>
      <c r="E1821" s="154" t="n">
        <v>1.47</v>
      </c>
      <c r="F1821" s="149" t="n">
        <f aca="false">IF(C1821="MAT.",VLOOKUP(A1821,INSUMOS_AUX!$A$3:$H$813,6,0),0)</f>
        <v>2.7</v>
      </c>
      <c r="G1821" s="149" t="n">
        <f aca="false">IF(C1821="M.O.",VLOOKUP(A1821,INSUMOS_AUX!A:F,6,0),0)</f>
        <v>0</v>
      </c>
    </row>
    <row r="1822" customFormat="false" ht="15" hidden="false" customHeight="false" outlineLevel="0" collapsed="false">
      <c r="A1822" s="154" t="n">
        <v>34360</v>
      </c>
      <c r="B1822" s="155" t="s">
        <v>1776</v>
      </c>
      <c r="C1822" s="148" t="str">
        <f aca="false">VLOOKUP($A1822,INSUMOS_AUX!$A$3:$H$813,3,0)</f>
        <v>MAT.</v>
      </c>
      <c r="D1822" s="156" t="s">
        <v>1513</v>
      </c>
      <c r="E1822" s="154" t="n">
        <v>0.284</v>
      </c>
      <c r="F1822" s="149" t="n">
        <f aca="false">IF(C1822="MAT.",VLOOKUP(A1822,INSUMOS_AUX!$A$3:$H$813,6,0),0)</f>
        <v>45.42</v>
      </c>
      <c r="G1822" s="149" t="n">
        <f aca="false">IF(C1822="M.O.",VLOOKUP(A1822,INSUMOS_AUX!A:F,6,0),0)</f>
        <v>0</v>
      </c>
    </row>
    <row r="1823" customFormat="false" ht="15" hidden="false" customHeight="false" outlineLevel="0" collapsed="false">
      <c r="A1823" s="154" t="n">
        <v>39961</v>
      </c>
      <c r="B1823" s="155" t="s">
        <v>1777</v>
      </c>
      <c r="C1823" s="148" t="str">
        <f aca="false">VLOOKUP($A1823,INSUMOS_AUX!$A$3:$H$813,3,0)</f>
        <v>MAT.</v>
      </c>
      <c r="D1823" s="156" t="s">
        <v>31</v>
      </c>
      <c r="E1823" s="154" t="n">
        <v>0.23</v>
      </c>
      <c r="F1823" s="149" t="n">
        <f aca="false">IF(C1823="MAT.",VLOOKUP(A1823,INSUMOS_AUX!$A$3:$H$813,6,0),0)</f>
        <v>21.51</v>
      </c>
      <c r="G1823" s="149" t="n">
        <f aca="false">IF(C1823="M.O.",VLOOKUP(A1823,INSUMOS_AUX!A:F,6,0),0)</f>
        <v>0</v>
      </c>
    </row>
    <row r="1824" customFormat="false" ht="15" hidden="false" customHeight="false" outlineLevel="0" collapsed="false">
      <c r="A1824" s="154" t="n">
        <v>10507</v>
      </c>
      <c r="B1824" s="155" t="s">
        <v>1778</v>
      </c>
      <c r="C1824" s="148" t="str">
        <f aca="false">VLOOKUP($A1824,INSUMOS_AUX!$A$3:$H$813,3,0)</f>
        <v>MAT.</v>
      </c>
      <c r="D1824" s="156" t="s">
        <v>1477</v>
      </c>
      <c r="E1824" s="154" t="n">
        <v>0.987</v>
      </c>
      <c r="F1824" s="149" t="n">
        <f aca="false">IF(C1824="MAT.",VLOOKUP(A1824,INSUMOS_AUX!$A$3:$H$813,6,0),0)</f>
        <v>276.44</v>
      </c>
      <c r="G1824" s="149" t="n">
        <f aca="false">IF(C1824="M.O.",VLOOKUP(A1824,INSUMOS_AUX!A:F,6,0),0)</f>
        <v>0</v>
      </c>
    </row>
    <row r="1825" customFormat="false" ht="21" hidden="false" customHeight="false" outlineLevel="0" collapsed="false">
      <c r="A1825" s="154" t="n">
        <v>4230</v>
      </c>
      <c r="B1825" s="155" t="s">
        <v>1597</v>
      </c>
      <c r="C1825" s="148" t="str">
        <f aca="false">VLOOKUP($A1825,INSUMOS_AUX!$A$3:$H$813,3,0)</f>
        <v>M.O.</v>
      </c>
      <c r="D1825" s="156" t="s">
        <v>1444</v>
      </c>
      <c r="E1825" s="154" t="n">
        <v>1.10055552</v>
      </c>
      <c r="F1825" s="149" t="n">
        <f aca="false">IF(C1825="MAT.",VLOOKUP(A1825,INSUMOS_AUX!$A$3:$H$813,6,0),0)</f>
        <v>0</v>
      </c>
      <c r="G1825" s="149" t="n">
        <f aca="false">IF(C1825="M.O.",VLOOKUP(A1825,INSUMOS_AUX!A:F,6,0),0)</f>
        <v>14.53</v>
      </c>
    </row>
    <row r="1826" customFormat="false" ht="15" hidden="false" customHeight="false" outlineLevel="0" collapsed="false">
      <c r="A1826" s="154" t="n">
        <v>6111</v>
      </c>
      <c r="B1826" s="155" t="s">
        <v>1464</v>
      </c>
      <c r="C1826" s="148" t="str">
        <f aca="false">VLOOKUP($A1826,INSUMOS_AUX!$A$3:$H$813,3,0)</f>
        <v>M.O.</v>
      </c>
      <c r="D1826" s="156" t="s">
        <v>1444</v>
      </c>
      <c r="E1826" s="154" t="n">
        <v>0.5555328</v>
      </c>
      <c r="F1826" s="149" t="n">
        <f aca="false">IF(C1826="MAT.",VLOOKUP(A1826,INSUMOS_AUX!$A$3:$H$813,6,0),0)</f>
        <v>0</v>
      </c>
      <c r="G1826" s="149" t="n">
        <f aca="false">IF(C1826="M.O.",VLOOKUP(A1826,INSUMOS_AUX!A:F,6,0),0)</f>
        <v>12.95</v>
      </c>
    </row>
    <row r="1827" customFormat="false" ht="15" hidden="false" customHeight="false" outlineLevel="0" collapsed="false">
      <c r="A1827" s="154" t="n">
        <v>10489</v>
      </c>
      <c r="B1827" s="155" t="s">
        <v>1779</v>
      </c>
      <c r="C1827" s="148" t="str">
        <f aca="false">VLOOKUP($A1827,INSUMOS_AUX!$A$3:$H$813,3,0)</f>
        <v>M.O.</v>
      </c>
      <c r="D1827" s="156" t="s">
        <v>1444</v>
      </c>
      <c r="E1827" s="154" t="n">
        <v>1.10405888</v>
      </c>
      <c r="F1827" s="149" t="n">
        <f aca="false">IF(C1827="MAT.",VLOOKUP(A1827,INSUMOS_AUX!$A$3:$H$813,6,0),0)</f>
        <v>0</v>
      </c>
      <c r="G1827" s="149" t="n">
        <f aca="false">IF(C1827="M.O.",VLOOKUP(A1827,INSUMOS_AUX!A:F,6,0),0)</f>
        <v>17.42</v>
      </c>
    </row>
    <row r="1828" customFormat="false" ht="31.5" hidden="false" customHeight="false" outlineLevel="0" collapsed="false">
      <c r="A1828" s="150" t="n">
        <v>102253</v>
      </c>
      <c r="B1828" s="151" t="s">
        <v>1780</v>
      </c>
      <c r="C1828" s="152" t="s">
        <v>59</v>
      </c>
      <c r="D1828" s="152" t="s">
        <v>1477</v>
      </c>
      <c r="E1828" s="150"/>
      <c r="F1828" s="153" t="n">
        <f aca="false">(SUMPRODUCT($E1829:$E1846,F1829:F1846))*1</f>
        <v>730.50521116552</v>
      </c>
      <c r="G1828" s="153" t="n">
        <f aca="false">(SUMPRODUCT($E1829:$E1846,G1829:G1846))*1</f>
        <v>58.762280457</v>
      </c>
    </row>
    <row r="1829" customFormat="false" ht="21" hidden="false" customHeight="false" outlineLevel="0" collapsed="false">
      <c r="A1829" s="154" t="n">
        <v>37370</v>
      </c>
      <c r="B1829" s="155" t="s">
        <v>1443</v>
      </c>
      <c r="C1829" s="148" t="str">
        <f aca="false">VLOOKUP($A1829,INSUMOS_AUX!$A$3:$H$813,3,0)</f>
        <v>MAT.</v>
      </c>
      <c r="D1829" s="156" t="s">
        <v>1444</v>
      </c>
      <c r="E1829" s="154" t="n">
        <v>3.512</v>
      </c>
      <c r="F1829" s="149" t="n">
        <f aca="false">IF(C1829="MAT.",VLOOKUP(A1829,INSUMOS_AUX!$A$3:$H$813,6,0),0)</f>
        <v>3.32</v>
      </c>
      <c r="G1829" s="149" t="n">
        <f aca="false">IF(C1829="M.O.",VLOOKUP(A1829,INSUMOS_AUX!A:F,6,0),0)</f>
        <v>0</v>
      </c>
    </row>
    <row r="1830" customFormat="false" ht="21" hidden="false" customHeight="false" outlineLevel="0" collapsed="false">
      <c r="A1830" s="154" t="n">
        <v>43488</v>
      </c>
      <c r="B1830" s="155" t="s">
        <v>1445</v>
      </c>
      <c r="C1830" s="148" t="str">
        <f aca="false">VLOOKUP($A1830,INSUMOS_AUX!$A$3:$H$813,3,0)</f>
        <v>MAT.</v>
      </c>
      <c r="D1830" s="156" t="s">
        <v>1444</v>
      </c>
      <c r="E1830" s="154" t="n">
        <v>1.405</v>
      </c>
      <c r="F1830" s="149" t="n">
        <f aca="false">IF(C1830="MAT.",VLOOKUP(A1830,INSUMOS_AUX!$A$3:$H$813,6,0),0)</f>
        <v>0.89</v>
      </c>
      <c r="G1830" s="149" t="n">
        <f aca="false">IF(C1830="M.O.",VLOOKUP(A1830,INSUMOS_AUX!A:F,6,0),0)</f>
        <v>0</v>
      </c>
    </row>
    <row r="1831" customFormat="false" ht="21" hidden="false" customHeight="false" outlineLevel="0" collapsed="false">
      <c r="A1831" s="154" t="n">
        <v>43489</v>
      </c>
      <c r="B1831" s="155" t="s">
        <v>1456</v>
      </c>
      <c r="C1831" s="148" t="str">
        <f aca="false">VLOOKUP($A1831,INSUMOS_AUX!$A$3:$H$813,3,0)</f>
        <v>MAT.</v>
      </c>
      <c r="D1831" s="156" t="s">
        <v>1444</v>
      </c>
      <c r="E1831" s="154" t="n">
        <v>1.405</v>
      </c>
      <c r="F1831" s="149" t="n">
        <f aca="false">IF(C1831="MAT.",VLOOKUP(A1831,INSUMOS_AUX!$A$3:$H$813,6,0),0)</f>
        <v>1.31</v>
      </c>
      <c r="G1831" s="149" t="n">
        <f aca="false">IF(C1831="M.O.",VLOOKUP(A1831,INSUMOS_AUX!A:F,6,0),0)</f>
        <v>0</v>
      </c>
    </row>
    <row r="1832" customFormat="false" ht="21" hidden="false" customHeight="false" outlineLevel="0" collapsed="false">
      <c r="A1832" s="154" t="n">
        <v>43491</v>
      </c>
      <c r="B1832" s="155" t="s">
        <v>1457</v>
      </c>
      <c r="C1832" s="148" t="str">
        <f aca="false">VLOOKUP($A1832,INSUMOS_AUX!$A$3:$H$813,3,0)</f>
        <v>MAT.</v>
      </c>
      <c r="D1832" s="156" t="s">
        <v>1444</v>
      </c>
      <c r="E1832" s="154" t="n">
        <v>0.702</v>
      </c>
      <c r="F1832" s="149" t="n">
        <f aca="false">IF(C1832="MAT.",VLOOKUP(A1832,INSUMOS_AUX!$A$3:$H$813,6,0),0)</f>
        <v>1.39</v>
      </c>
      <c r="G1832" s="149" t="n">
        <f aca="false">IF(C1832="M.O.",VLOOKUP(A1832,INSUMOS_AUX!A:F,6,0),0)</f>
        <v>0</v>
      </c>
    </row>
    <row r="1833" customFormat="false" ht="21" hidden="false" customHeight="false" outlineLevel="0" collapsed="false">
      <c r="A1833" s="154" t="n">
        <v>37372</v>
      </c>
      <c r="B1833" s="155" t="s">
        <v>1446</v>
      </c>
      <c r="C1833" s="148" t="s">
        <v>59</v>
      </c>
      <c r="D1833" s="156" t="s">
        <v>1444</v>
      </c>
      <c r="E1833" s="154" t="n">
        <v>3.512</v>
      </c>
      <c r="F1833" s="149" t="n">
        <f aca="false">IF(C1833="MAT.",VLOOKUP(A1833,INSUMOS_AUX!$A$3:$H$813,6,0),0)</f>
        <v>0</v>
      </c>
      <c r="G1833" s="149" t="n">
        <f aca="false">IF(C1833="M.O.",VLOOKUP(A1833,INSUMOS_AUX!A:F,6,0),0)</f>
        <v>0</v>
      </c>
    </row>
    <row r="1834" customFormat="false" ht="21" hidden="false" customHeight="false" outlineLevel="0" collapsed="false">
      <c r="A1834" s="154" t="n">
        <v>43464</v>
      </c>
      <c r="B1834" s="155" t="s">
        <v>1447</v>
      </c>
      <c r="C1834" s="148" t="str">
        <f aca="false">VLOOKUP($A1834,INSUMOS_AUX!$A$3:$H$813,3,0)</f>
        <v>MAT.</v>
      </c>
      <c r="D1834" s="156" t="s">
        <v>1444</v>
      </c>
      <c r="E1834" s="154" t="n">
        <v>1.405</v>
      </c>
      <c r="F1834" s="149" t="n">
        <f aca="false">IF(C1834="MAT.",VLOOKUP(A1834,INSUMOS_AUX!$A$3:$H$813,6,0),0)</f>
        <v>0.01</v>
      </c>
      <c r="G1834" s="149" t="n">
        <f aca="false">IF(C1834="M.O.",VLOOKUP(A1834,INSUMOS_AUX!A:F,6,0),0)</f>
        <v>0</v>
      </c>
    </row>
    <row r="1835" customFormat="false" ht="21" hidden="false" customHeight="false" outlineLevel="0" collapsed="false">
      <c r="A1835" s="154" t="n">
        <v>43465</v>
      </c>
      <c r="B1835" s="155" t="s">
        <v>1458</v>
      </c>
      <c r="C1835" s="148" t="str">
        <f aca="false">VLOOKUP($A1835,INSUMOS_AUX!$A$3:$H$813,3,0)</f>
        <v>MAT.</v>
      </c>
      <c r="D1835" s="156" t="s">
        <v>1444</v>
      </c>
      <c r="E1835" s="154" t="n">
        <v>1.405</v>
      </c>
      <c r="F1835" s="149" t="n">
        <f aca="false">IF(C1835="MAT.",VLOOKUP(A1835,INSUMOS_AUX!$A$3:$H$813,6,0),0)</f>
        <v>0.78</v>
      </c>
      <c r="G1835" s="149" t="n">
        <f aca="false">IF(C1835="M.O.",VLOOKUP(A1835,INSUMOS_AUX!A:F,6,0),0)</f>
        <v>0</v>
      </c>
    </row>
    <row r="1836" customFormat="false" ht="21" hidden="false" customHeight="false" outlineLevel="0" collapsed="false">
      <c r="A1836" s="154" t="n">
        <v>43467</v>
      </c>
      <c r="B1836" s="155" t="s">
        <v>1459</v>
      </c>
      <c r="C1836" s="148" t="str">
        <f aca="false">VLOOKUP($A1836,INSUMOS_AUX!$A$3:$H$813,3,0)</f>
        <v>MAT.</v>
      </c>
      <c r="D1836" s="156" t="s">
        <v>1444</v>
      </c>
      <c r="E1836" s="154" t="n">
        <v>0.702</v>
      </c>
      <c r="F1836" s="149" t="n">
        <f aca="false">IF(C1836="MAT.",VLOOKUP(A1836,INSUMOS_AUX!$A$3:$H$813,6,0),0)</f>
        <v>0.61</v>
      </c>
      <c r="G1836" s="149" t="n">
        <f aca="false">IF(C1836="M.O.",VLOOKUP(A1836,INSUMOS_AUX!A:F,6,0),0)</f>
        <v>0</v>
      </c>
    </row>
    <row r="1837" customFormat="false" ht="21" hidden="false" customHeight="false" outlineLevel="0" collapsed="false">
      <c r="A1837" s="154" t="n">
        <v>37373</v>
      </c>
      <c r="B1837" s="155" t="s">
        <v>1448</v>
      </c>
      <c r="C1837" s="148" t="str">
        <f aca="false">VLOOKUP($A1837,INSUMOS_AUX!$A$3:$H$813,3,0)</f>
        <v>MAT.</v>
      </c>
      <c r="D1837" s="156" t="s">
        <v>1444</v>
      </c>
      <c r="E1837" s="154" t="n">
        <v>3.512</v>
      </c>
      <c r="F1837" s="149" t="n">
        <f aca="false">IF(C1837="MAT.",VLOOKUP(A1837,INSUMOS_AUX!$A$3:$H$813,6,0),0)</f>
        <v>0.08</v>
      </c>
      <c r="G1837" s="149" t="n">
        <f aca="false">IF(C1837="M.O.",VLOOKUP(A1837,INSUMOS_AUX!A:F,6,0),0)</f>
        <v>0</v>
      </c>
    </row>
    <row r="1838" customFormat="false" ht="21" hidden="false" customHeight="false" outlineLevel="0" collapsed="false">
      <c r="A1838" s="154" t="n">
        <v>37371</v>
      </c>
      <c r="B1838" s="155" t="s">
        <v>1449</v>
      </c>
      <c r="C1838" s="148" t="str">
        <f aca="false">VLOOKUP($A1838,INSUMOS_AUX!$A$3:$H$813,3,0)</f>
        <v>MAT.</v>
      </c>
      <c r="D1838" s="156" t="s">
        <v>1444</v>
      </c>
      <c r="E1838" s="154" t="n">
        <v>3.512</v>
      </c>
      <c r="F1838" s="149" t="n">
        <f aca="false">IF(C1838="MAT.",VLOOKUP(A1838,INSUMOS_AUX!$A$3:$H$813,6,0),0)</f>
        <v>0.59</v>
      </c>
      <c r="G1838" s="149" t="n">
        <f aca="false">IF(C1838="M.O.",VLOOKUP(A1838,INSUMOS_AUX!A:F,6,0),0)</f>
        <v>0</v>
      </c>
    </row>
    <row r="1839" customFormat="false" ht="21" hidden="false" customHeight="false" outlineLevel="0" collapsed="false">
      <c r="A1839" s="154" t="n">
        <v>14618</v>
      </c>
      <c r="B1839" s="155" t="s">
        <v>1592</v>
      </c>
      <c r="C1839" s="148" t="str">
        <f aca="false">VLOOKUP($A1839,INSUMOS_AUX!$A$3:$H$813,3,0)</f>
        <v>MAT.</v>
      </c>
      <c r="D1839" s="156" t="s">
        <v>31</v>
      </c>
      <c r="E1839" s="154" t="n">
        <v>0.000126404</v>
      </c>
      <c r="F1839" s="149" t="n">
        <f aca="false">IF(C1839="MAT.",VLOOKUP(A1839,INSUMOS_AUX!$A$3:$H$813,6,0),0)</f>
        <v>1283.38</v>
      </c>
      <c r="G1839" s="149" t="n">
        <f aca="false">IF(C1839="M.O.",VLOOKUP(A1839,INSUMOS_AUX!A:F,6,0),0)</f>
        <v>0</v>
      </c>
    </row>
    <row r="1840" customFormat="false" ht="15" hidden="false" customHeight="false" outlineLevel="0" collapsed="false">
      <c r="A1840" s="154" t="n">
        <v>2705</v>
      </c>
      <c r="B1840" s="155" t="s">
        <v>1467</v>
      </c>
      <c r="C1840" s="148" t="str">
        <f aca="false">VLOOKUP($A1840,INSUMOS_AUX!$A$3:$H$813,3,0)</f>
        <v>MAT.</v>
      </c>
      <c r="D1840" s="156" t="s">
        <v>1468</v>
      </c>
      <c r="E1840" s="154" t="n">
        <v>0.12104</v>
      </c>
      <c r="F1840" s="149" t="n">
        <f aca="false">IF(C1840="MAT.",VLOOKUP(A1840,INSUMOS_AUX!$A$3:$H$813,6,0),0)</f>
        <v>0.92</v>
      </c>
      <c r="G1840" s="149" t="n">
        <f aca="false">IF(C1840="M.O.",VLOOKUP(A1840,INSUMOS_AUX!A:F,6,0),0)</f>
        <v>0</v>
      </c>
    </row>
    <row r="1841" customFormat="false" ht="21" hidden="false" customHeight="false" outlineLevel="0" collapsed="false">
      <c r="A1841" s="154" t="n">
        <v>131</v>
      </c>
      <c r="B1841" s="155" t="s">
        <v>1751</v>
      </c>
      <c r="C1841" s="148" t="str">
        <f aca="false">VLOOKUP($A1841,INSUMOS_AUX!$A$3:$H$813,3,0)</f>
        <v>MAT.</v>
      </c>
      <c r="D1841" s="156" t="s">
        <v>1513</v>
      </c>
      <c r="E1841" s="154" t="n">
        <v>0.53</v>
      </c>
      <c r="F1841" s="149" t="n">
        <f aca="false">IF(C1841="MAT.",VLOOKUP(A1841,INSUMOS_AUX!$A$3:$H$813,6,0),0)</f>
        <v>43.03</v>
      </c>
      <c r="G1841" s="149" t="n">
        <f aca="false">IF(C1841="M.O.",VLOOKUP(A1841,INSUMOS_AUX!A:F,6,0),0)</f>
        <v>0</v>
      </c>
    </row>
    <row r="1842" customFormat="false" ht="15" hidden="false" customHeight="false" outlineLevel="0" collapsed="false">
      <c r="A1842" s="154" t="n">
        <v>37596</v>
      </c>
      <c r="B1842" s="155" t="s">
        <v>1781</v>
      </c>
      <c r="C1842" s="148" t="str">
        <f aca="false">VLOOKUP($A1842,INSUMOS_AUX!$A$3:$H$813,3,0)</f>
        <v>MAT.</v>
      </c>
      <c r="D1842" s="156" t="s">
        <v>1513</v>
      </c>
      <c r="E1842" s="154" t="n">
        <v>0.97</v>
      </c>
      <c r="F1842" s="149" t="n">
        <f aca="false">IF(C1842="MAT.",VLOOKUP(A1842,INSUMOS_AUX!$A$3:$H$813,6,0),0)</f>
        <v>2.82</v>
      </c>
      <c r="G1842" s="149" t="n">
        <f aca="false">IF(C1842="M.O.",VLOOKUP(A1842,INSUMOS_AUX!A:F,6,0),0)</f>
        <v>0</v>
      </c>
    </row>
    <row r="1843" customFormat="false" ht="31.5" hidden="false" customHeight="false" outlineLevel="0" collapsed="false">
      <c r="A1843" s="154" t="n">
        <v>44476</v>
      </c>
      <c r="B1843" s="155" t="s">
        <v>1782</v>
      </c>
      <c r="C1843" s="148" t="str">
        <f aca="false">VLOOKUP($A1843,INSUMOS_AUX!$A$3:$H$813,3,0)</f>
        <v>MAT.</v>
      </c>
      <c r="D1843" s="156" t="s">
        <v>1477</v>
      </c>
      <c r="E1843" s="154" t="n">
        <v>1.05</v>
      </c>
      <c r="F1843" s="149" t="n">
        <f aca="false">IF(C1843="MAT.",VLOOKUP(A1843,INSUMOS_AUX!$A$3:$H$813,6,0),0)</f>
        <v>652.45</v>
      </c>
      <c r="G1843" s="149" t="n">
        <f aca="false">IF(C1843="M.O.",VLOOKUP(A1843,INSUMOS_AUX!A:F,6,0),0)</f>
        <v>0</v>
      </c>
    </row>
    <row r="1844" customFormat="false" ht="15" hidden="false" customHeight="false" outlineLevel="0" collapsed="false">
      <c r="A1844" s="154" t="n">
        <v>4755</v>
      </c>
      <c r="B1844" s="155" t="s">
        <v>1783</v>
      </c>
      <c r="C1844" s="148" t="str">
        <f aca="false">VLOOKUP($A1844,INSUMOS_AUX!$A$3:$H$813,3,0)</f>
        <v>M.O.</v>
      </c>
      <c r="D1844" s="156" t="s">
        <v>1444</v>
      </c>
      <c r="E1844" s="154" t="n">
        <v>1.4257378</v>
      </c>
      <c r="F1844" s="149" t="n">
        <f aca="false">IF(C1844="MAT.",VLOOKUP(A1844,INSUMOS_AUX!$A$3:$H$813,6,0),0)</f>
        <v>0</v>
      </c>
      <c r="G1844" s="149" t="n">
        <f aca="false">IF(C1844="M.O.",VLOOKUP(A1844,INSUMOS_AUX!A:F,6,0),0)</f>
        <v>20.22</v>
      </c>
    </row>
    <row r="1845" customFormat="false" ht="21" hidden="false" customHeight="false" outlineLevel="0" collapsed="false">
      <c r="A1845" s="154" t="n">
        <v>4230</v>
      </c>
      <c r="B1845" s="155" t="s">
        <v>1597</v>
      </c>
      <c r="C1845" s="148" t="str">
        <f aca="false">VLOOKUP($A1845,INSUMOS_AUX!$A$3:$H$813,3,0)</f>
        <v>M.O.</v>
      </c>
      <c r="D1845" s="156" t="s">
        <v>1444</v>
      </c>
      <c r="E1845" s="154" t="n">
        <v>1.4212137</v>
      </c>
      <c r="F1845" s="149" t="n">
        <f aca="false">IF(C1845="MAT.",VLOOKUP(A1845,INSUMOS_AUX!$A$3:$H$813,6,0),0)</f>
        <v>0</v>
      </c>
      <c r="G1845" s="149" t="n">
        <f aca="false">IF(C1845="M.O.",VLOOKUP(A1845,INSUMOS_AUX!A:F,6,0),0)</f>
        <v>14.53</v>
      </c>
    </row>
    <row r="1846" customFormat="false" ht="15" hidden="false" customHeight="false" outlineLevel="0" collapsed="false">
      <c r="A1846" s="154" t="n">
        <v>6111</v>
      </c>
      <c r="B1846" s="155" t="s">
        <v>1464</v>
      </c>
      <c r="C1846" s="148" t="str">
        <f aca="false">VLOOKUP($A1846,INSUMOS_AUX!$A$3:$H$813,3,0)</f>
        <v>M.O.</v>
      </c>
      <c r="D1846" s="156" t="s">
        <v>1444</v>
      </c>
      <c r="E1846" s="154" t="n">
        <v>0.7168824</v>
      </c>
      <c r="F1846" s="149" t="n">
        <f aca="false">IF(C1846="MAT.",VLOOKUP(A1846,INSUMOS_AUX!$A$3:$H$813,6,0),0)</f>
        <v>0</v>
      </c>
      <c r="G1846" s="149" t="n">
        <f aca="false">IF(C1846="M.O.",VLOOKUP(A1846,INSUMOS_AUX!A:F,6,0),0)</f>
        <v>12.95</v>
      </c>
    </row>
    <row r="1847" customFormat="false" ht="15" hidden="false" customHeight="false" outlineLevel="0" collapsed="false">
      <c r="A1847" s="150" t="s">
        <v>365</v>
      </c>
      <c r="B1847" s="151" t="s">
        <v>1784</v>
      </c>
      <c r="C1847" s="152" t="s">
        <v>59</v>
      </c>
      <c r="D1847" s="152" t="s">
        <v>1477</v>
      </c>
      <c r="E1847" s="150"/>
      <c r="F1847" s="153" t="n">
        <f aca="false">(SUMPRODUCT($E1848:$E1859,F1848:F1859))*1</f>
        <v>74.476</v>
      </c>
      <c r="G1847" s="153" t="n">
        <f aca="false">(SUMPRODUCT($E1848:$E1859,G1848:G1859))*1</f>
        <v>23.7112428</v>
      </c>
    </row>
    <row r="1848" customFormat="false" ht="21" hidden="false" customHeight="false" outlineLevel="0" collapsed="false">
      <c r="A1848" s="154" t="n">
        <v>37370</v>
      </c>
      <c r="B1848" s="155" t="s">
        <v>1443</v>
      </c>
      <c r="C1848" s="148" t="str">
        <f aca="false">VLOOKUP($A1848,INSUMOS_AUX!$A$3:$H$813,3,0)</f>
        <v>MAT.</v>
      </c>
      <c r="D1848" s="156" t="s">
        <v>1444</v>
      </c>
      <c r="E1848" s="154" t="n">
        <v>1.4</v>
      </c>
      <c r="F1848" s="149" t="n">
        <f aca="false">IF(C1848="MAT.",VLOOKUP(A1848,INSUMOS_AUX!$A$3:$H$813,6,0),0)</f>
        <v>3.32</v>
      </c>
      <c r="G1848" s="149" t="n">
        <f aca="false">IF(C1848="M.O.",VLOOKUP(A1848,INSUMOS_AUX!A:F,6,0),0)</f>
        <v>0</v>
      </c>
    </row>
    <row r="1849" customFormat="false" ht="21" hidden="false" customHeight="false" outlineLevel="0" collapsed="false">
      <c r="A1849" s="154" t="n">
        <v>43489</v>
      </c>
      <c r="B1849" s="155" t="s">
        <v>1456</v>
      </c>
      <c r="C1849" s="148" t="str">
        <f aca="false">VLOOKUP($A1849,INSUMOS_AUX!$A$3:$H$813,3,0)</f>
        <v>MAT.</v>
      </c>
      <c r="D1849" s="156" t="s">
        <v>1444</v>
      </c>
      <c r="E1849" s="154" t="n">
        <v>0.7</v>
      </c>
      <c r="F1849" s="149" t="n">
        <f aca="false">IF(C1849="MAT.",VLOOKUP(A1849,INSUMOS_AUX!$A$3:$H$813,6,0),0)</f>
        <v>1.31</v>
      </c>
      <c r="G1849" s="149" t="n">
        <f aca="false">IF(C1849="M.O.",VLOOKUP(A1849,INSUMOS_AUX!A:F,6,0),0)</f>
        <v>0</v>
      </c>
    </row>
    <row r="1850" customFormat="false" ht="21" hidden="false" customHeight="false" outlineLevel="0" collapsed="false">
      <c r="A1850" s="154" t="n">
        <v>43491</v>
      </c>
      <c r="B1850" s="155" t="s">
        <v>1457</v>
      </c>
      <c r="C1850" s="148" t="str">
        <f aca="false">VLOOKUP($A1850,INSUMOS_AUX!$A$3:$H$813,3,0)</f>
        <v>MAT.</v>
      </c>
      <c r="D1850" s="156" t="s">
        <v>1444</v>
      </c>
      <c r="E1850" s="154" t="n">
        <v>0.7</v>
      </c>
      <c r="F1850" s="149" t="n">
        <f aca="false">IF(C1850="MAT.",VLOOKUP(A1850,INSUMOS_AUX!$A$3:$H$813,6,0),0)</f>
        <v>1.39</v>
      </c>
      <c r="G1850" s="149" t="n">
        <f aca="false">IF(C1850="M.O.",VLOOKUP(A1850,INSUMOS_AUX!A:F,6,0),0)</f>
        <v>0</v>
      </c>
    </row>
    <row r="1851" customFormat="false" ht="21" hidden="false" customHeight="false" outlineLevel="0" collapsed="false">
      <c r="A1851" s="154" t="n">
        <v>37372</v>
      </c>
      <c r="B1851" s="155" t="s">
        <v>1446</v>
      </c>
      <c r="C1851" s="148" t="str">
        <f aca="false">VLOOKUP($A1851,INSUMOS_AUX!$A$3:$H$813,3,0)</f>
        <v>MAT.</v>
      </c>
      <c r="D1851" s="156" t="s">
        <v>1444</v>
      </c>
      <c r="E1851" s="154" t="n">
        <v>1.4</v>
      </c>
      <c r="F1851" s="149" t="n">
        <f aca="false">IF(C1851="MAT.",VLOOKUP(A1851,INSUMOS_AUX!$A$3:$H$813,6,0),0)</f>
        <v>1.43</v>
      </c>
      <c r="G1851" s="149" t="n">
        <f aca="false">IF(C1851="M.O.",VLOOKUP(A1851,INSUMOS_AUX!A:F,6,0),0)</f>
        <v>0</v>
      </c>
    </row>
    <row r="1852" customFormat="false" ht="21" hidden="false" customHeight="false" outlineLevel="0" collapsed="false">
      <c r="A1852" s="154" t="n">
        <v>43465</v>
      </c>
      <c r="B1852" s="155" t="s">
        <v>1458</v>
      </c>
      <c r="C1852" s="148" t="str">
        <f aca="false">VLOOKUP($A1852,INSUMOS_AUX!$A$3:$H$813,3,0)</f>
        <v>MAT.</v>
      </c>
      <c r="D1852" s="156" t="s">
        <v>1444</v>
      </c>
      <c r="E1852" s="154" t="n">
        <v>0.7</v>
      </c>
      <c r="F1852" s="149" t="n">
        <f aca="false">IF(C1852="MAT.",VLOOKUP(A1852,INSUMOS_AUX!$A$3:$H$813,6,0),0)</f>
        <v>0.78</v>
      </c>
      <c r="G1852" s="149" t="n">
        <f aca="false">IF(C1852="M.O.",VLOOKUP(A1852,INSUMOS_AUX!A:F,6,0),0)</f>
        <v>0</v>
      </c>
    </row>
    <row r="1853" customFormat="false" ht="21" hidden="false" customHeight="false" outlineLevel="0" collapsed="false">
      <c r="A1853" s="154" t="n">
        <v>43467</v>
      </c>
      <c r="B1853" s="155" t="s">
        <v>1459</v>
      </c>
      <c r="C1853" s="148" t="str">
        <f aca="false">VLOOKUP($A1853,INSUMOS_AUX!$A$3:$H$813,3,0)</f>
        <v>MAT.</v>
      </c>
      <c r="D1853" s="156" t="s">
        <v>1444</v>
      </c>
      <c r="E1853" s="154" t="n">
        <v>0.7</v>
      </c>
      <c r="F1853" s="149" t="n">
        <f aca="false">IF(C1853="MAT.",VLOOKUP(A1853,INSUMOS_AUX!$A$3:$H$813,6,0),0)</f>
        <v>0.61</v>
      </c>
      <c r="G1853" s="149" t="n">
        <f aca="false">IF(C1853="M.O.",VLOOKUP(A1853,INSUMOS_AUX!A:F,6,0),0)</f>
        <v>0</v>
      </c>
    </row>
    <row r="1854" customFormat="false" ht="21" hidden="false" customHeight="false" outlineLevel="0" collapsed="false">
      <c r="A1854" s="154" t="n">
        <v>37373</v>
      </c>
      <c r="B1854" s="155" t="s">
        <v>1448</v>
      </c>
      <c r="C1854" s="148" t="str">
        <f aca="false">VLOOKUP($A1854,INSUMOS_AUX!$A$3:$H$813,3,0)</f>
        <v>MAT.</v>
      </c>
      <c r="D1854" s="156" t="s">
        <v>1444</v>
      </c>
      <c r="E1854" s="154" t="n">
        <v>1.4</v>
      </c>
      <c r="F1854" s="149" t="n">
        <f aca="false">IF(C1854="MAT.",VLOOKUP(A1854,INSUMOS_AUX!$A$3:$H$813,6,0),0)</f>
        <v>0.08</v>
      </c>
      <c r="G1854" s="149" t="n">
        <f aca="false">IF(C1854="M.O.",VLOOKUP(A1854,INSUMOS_AUX!A:F,6,0),0)</f>
        <v>0</v>
      </c>
    </row>
    <row r="1855" customFormat="false" ht="21" hidden="false" customHeight="false" outlineLevel="0" collapsed="false">
      <c r="A1855" s="154" t="n">
        <v>37371</v>
      </c>
      <c r="B1855" s="155" t="s">
        <v>1449</v>
      </c>
      <c r="C1855" s="148" t="s">
        <v>59</v>
      </c>
      <c r="D1855" s="156" t="s">
        <v>1444</v>
      </c>
      <c r="E1855" s="154" t="n">
        <v>1.4</v>
      </c>
      <c r="F1855" s="149" t="n">
        <f aca="false">IF(C1855="MAT.",VLOOKUP(A1855,INSUMOS_AUX!$A$3:$H$813,6,0),0)</f>
        <v>0</v>
      </c>
      <c r="G1855" s="149" t="n">
        <f aca="false">IF(C1855="M.O.",VLOOKUP(A1855,INSUMOS_AUX!A:F,6,0),0)</f>
        <v>0</v>
      </c>
    </row>
    <row r="1856" customFormat="false" ht="15" hidden="false" customHeight="false" outlineLevel="0" collapsed="false">
      <c r="A1856" s="154" t="n">
        <v>40547</v>
      </c>
      <c r="B1856" s="155" t="s">
        <v>1785</v>
      </c>
      <c r="C1856" s="148" t="str">
        <f aca="false">VLOOKUP($A1856,INSUMOS_AUX!$A$3:$H$813,3,0)</f>
        <v>MAT.</v>
      </c>
      <c r="D1856" s="156" t="s">
        <v>1576</v>
      </c>
      <c r="E1856" s="154" t="n">
        <v>0.15</v>
      </c>
      <c r="F1856" s="149" t="n">
        <f aca="false">IF(C1856="MAT.",VLOOKUP(A1856,INSUMOS_AUX!$A$3:$H$813,6,0),0)</f>
        <v>30.3</v>
      </c>
      <c r="G1856" s="149" t="n">
        <f aca="false">IF(C1856="M.O.",VLOOKUP(A1856,INSUMOS_AUX!A:F,6,0),0)</f>
        <v>0</v>
      </c>
    </row>
    <row r="1857" customFormat="false" ht="21" hidden="false" customHeight="false" outlineLevel="0" collapsed="false">
      <c r="A1857" s="154" t="n">
        <v>11062</v>
      </c>
      <c r="B1857" s="155" t="s">
        <v>1786</v>
      </c>
      <c r="C1857" s="148" t="str">
        <f aca="false">VLOOKUP($A1857,INSUMOS_AUX!$A$3:$H$813,3,0)</f>
        <v>MAT.</v>
      </c>
      <c r="D1857" s="156" t="s">
        <v>1477</v>
      </c>
      <c r="E1857" s="154" t="n">
        <v>1.15</v>
      </c>
      <c r="F1857" s="149" t="n">
        <f aca="false">IF(C1857="MAT.",VLOOKUP(A1857,INSUMOS_AUX!$A$3:$H$813,6,0),0)</f>
        <v>52.44</v>
      </c>
      <c r="G1857" s="149" t="n">
        <f aca="false">IF(C1857="M.O.",VLOOKUP(A1857,INSUMOS_AUX!A:F,6,0),0)</f>
        <v>0</v>
      </c>
    </row>
    <row r="1858" customFormat="false" ht="15" hidden="false" customHeight="false" outlineLevel="0" collapsed="false">
      <c r="A1858" s="154" t="n">
        <v>4750</v>
      </c>
      <c r="B1858" s="155" t="s">
        <v>1463</v>
      </c>
      <c r="C1858" s="148" t="str">
        <f aca="false">VLOOKUP($A1858,INSUMOS_AUX!$A$3:$H$813,3,0)</f>
        <v>M.O.</v>
      </c>
      <c r="D1858" s="156" t="s">
        <v>1444</v>
      </c>
      <c r="E1858" s="154" t="n">
        <v>0.71484</v>
      </c>
      <c r="F1858" s="149" t="n">
        <f aca="false">IF(C1858="MAT.",VLOOKUP(A1858,INSUMOS_AUX!$A$3:$H$813,6,0),0)</f>
        <v>0</v>
      </c>
      <c r="G1858" s="149" t="n">
        <f aca="false">IF(C1858="M.O.",VLOOKUP(A1858,INSUMOS_AUX!A:F,6,0),0)</f>
        <v>20.22</v>
      </c>
    </row>
    <row r="1859" customFormat="false" ht="15" hidden="false" customHeight="false" outlineLevel="0" collapsed="false">
      <c r="A1859" s="154" t="n">
        <v>6111</v>
      </c>
      <c r="B1859" s="155" t="s">
        <v>1464</v>
      </c>
      <c r="C1859" s="148" t="str">
        <f aca="false">VLOOKUP($A1859,INSUMOS_AUX!$A$3:$H$813,3,0)</f>
        <v>M.O.</v>
      </c>
      <c r="D1859" s="156" t="s">
        <v>1444</v>
      </c>
      <c r="E1859" s="154" t="n">
        <v>0.71484</v>
      </c>
      <c r="F1859" s="149" t="n">
        <f aca="false">IF(C1859="MAT.",VLOOKUP(A1859,INSUMOS_AUX!$A$3:$H$813,6,0),0)</f>
        <v>0</v>
      </c>
      <c r="G1859" s="149" t="n">
        <f aca="false">IF(C1859="M.O.",VLOOKUP(A1859,INSUMOS_AUX!A:F,6,0),0)</f>
        <v>12.95</v>
      </c>
    </row>
    <row r="1860" customFormat="false" ht="21" hidden="false" customHeight="false" outlineLevel="0" collapsed="false">
      <c r="A1860" s="150" t="s">
        <v>371</v>
      </c>
      <c r="B1860" s="151" t="s">
        <v>1787</v>
      </c>
      <c r="C1860" s="152" t="s">
        <v>59</v>
      </c>
      <c r="D1860" s="152" t="s">
        <v>1477</v>
      </c>
      <c r="E1860" s="150"/>
      <c r="F1860" s="153" t="n">
        <f aca="false">(SUMPRODUCT($E1861:$E1873,F1861:F1873))*1</f>
        <v>771.273</v>
      </c>
      <c r="G1860" s="153" t="n">
        <f aca="false">(SUMPRODUCT($E1861:$E1873,G1861:G1873))*1</f>
        <v>148.8288738</v>
      </c>
    </row>
    <row r="1861" customFormat="false" ht="21" hidden="false" customHeight="false" outlineLevel="0" collapsed="false">
      <c r="A1861" s="154" t="n">
        <v>37370</v>
      </c>
      <c r="B1861" s="155" t="s">
        <v>1443</v>
      </c>
      <c r="C1861" s="148" t="str">
        <f aca="false">VLOOKUP($A1861,INSUMOS_AUX!$A$3:$H$813,3,0)</f>
        <v>MAT.</v>
      </c>
      <c r="D1861" s="156" t="s">
        <v>1444</v>
      </c>
      <c r="E1861" s="154" t="n">
        <v>9.8</v>
      </c>
      <c r="F1861" s="149" t="n">
        <f aca="false">IF(C1861="MAT.",VLOOKUP(A1861,INSUMOS_AUX!$A$3:$H$813,6,0),0)</f>
        <v>3.32</v>
      </c>
      <c r="G1861" s="149" t="n">
        <f aca="false">IF(C1861="M.O.",VLOOKUP(A1861,INSUMOS_AUX!A:F,6,0),0)</f>
        <v>0</v>
      </c>
    </row>
    <row r="1862" customFormat="false" ht="21" hidden="false" customHeight="false" outlineLevel="0" collapsed="false">
      <c r="A1862" s="154" t="n">
        <v>43489</v>
      </c>
      <c r="B1862" s="155" t="s">
        <v>1456</v>
      </c>
      <c r="C1862" s="148" t="str">
        <f aca="false">VLOOKUP($A1862,INSUMOS_AUX!$A$3:$H$813,3,0)</f>
        <v>MAT.</v>
      </c>
      <c r="D1862" s="156" t="s">
        <v>1444</v>
      </c>
      <c r="E1862" s="154" t="n">
        <v>4.9</v>
      </c>
      <c r="F1862" s="149" t="n">
        <f aca="false">IF(C1862="MAT.",VLOOKUP(A1862,INSUMOS_AUX!$A$3:$H$813,6,0),0)</f>
        <v>1.31</v>
      </c>
      <c r="G1862" s="149" t="n">
        <f aca="false">IF(C1862="M.O.",VLOOKUP(A1862,INSUMOS_AUX!A:F,6,0),0)</f>
        <v>0</v>
      </c>
    </row>
    <row r="1863" customFormat="false" ht="21" hidden="false" customHeight="false" outlineLevel="0" collapsed="false">
      <c r="A1863" s="154" t="n">
        <v>43491</v>
      </c>
      <c r="B1863" s="155" t="s">
        <v>1457</v>
      </c>
      <c r="C1863" s="148" t="str">
        <f aca="false">VLOOKUP($A1863,INSUMOS_AUX!$A$3:$H$813,3,0)</f>
        <v>MAT.</v>
      </c>
      <c r="D1863" s="156" t="s">
        <v>1444</v>
      </c>
      <c r="E1863" s="154" t="n">
        <v>4.9</v>
      </c>
      <c r="F1863" s="149" t="n">
        <f aca="false">IF(C1863="MAT.",VLOOKUP(A1863,INSUMOS_AUX!$A$3:$H$813,6,0),0)</f>
        <v>1.39</v>
      </c>
      <c r="G1863" s="149" t="n">
        <f aca="false">IF(C1863="M.O.",VLOOKUP(A1863,INSUMOS_AUX!A:F,6,0),0)</f>
        <v>0</v>
      </c>
    </row>
    <row r="1864" customFormat="false" ht="21" hidden="false" customHeight="false" outlineLevel="0" collapsed="false">
      <c r="A1864" s="154" t="n">
        <v>37372</v>
      </c>
      <c r="B1864" s="155" t="s">
        <v>1446</v>
      </c>
      <c r="C1864" s="148" t="str">
        <f aca="false">VLOOKUP($A1864,INSUMOS_AUX!$A$3:$H$813,3,0)</f>
        <v>MAT.</v>
      </c>
      <c r="D1864" s="156" t="s">
        <v>1444</v>
      </c>
      <c r="E1864" s="154" t="n">
        <v>9.8</v>
      </c>
      <c r="F1864" s="149" t="n">
        <f aca="false">IF(C1864="MAT.",VLOOKUP(A1864,INSUMOS_AUX!$A$3:$H$813,6,0),0)</f>
        <v>1.43</v>
      </c>
      <c r="G1864" s="149" t="n">
        <f aca="false">IF(C1864="M.O.",VLOOKUP(A1864,INSUMOS_AUX!A:F,6,0),0)</f>
        <v>0</v>
      </c>
    </row>
    <row r="1865" customFormat="false" ht="21" hidden="false" customHeight="false" outlineLevel="0" collapsed="false">
      <c r="A1865" s="154" t="n">
        <v>43465</v>
      </c>
      <c r="B1865" s="155" t="s">
        <v>1458</v>
      </c>
      <c r="C1865" s="148" t="str">
        <f aca="false">VLOOKUP($A1865,INSUMOS_AUX!$A$3:$H$813,3,0)</f>
        <v>MAT.</v>
      </c>
      <c r="D1865" s="156" t="s">
        <v>1444</v>
      </c>
      <c r="E1865" s="154" t="n">
        <v>4.9</v>
      </c>
      <c r="F1865" s="149" t="n">
        <f aca="false">IF(C1865="MAT.",VLOOKUP(A1865,INSUMOS_AUX!$A$3:$H$813,6,0),0)</f>
        <v>0.78</v>
      </c>
      <c r="G1865" s="149" t="n">
        <f aca="false">IF(C1865="M.O.",VLOOKUP(A1865,INSUMOS_AUX!A:F,6,0),0)</f>
        <v>0</v>
      </c>
    </row>
    <row r="1866" customFormat="false" ht="21" hidden="false" customHeight="false" outlineLevel="0" collapsed="false">
      <c r="A1866" s="154" t="n">
        <v>43467</v>
      </c>
      <c r="B1866" s="155" t="s">
        <v>1459</v>
      </c>
      <c r="C1866" s="148" t="str">
        <f aca="false">VLOOKUP($A1866,INSUMOS_AUX!$A$3:$H$813,3,0)</f>
        <v>MAT.</v>
      </c>
      <c r="D1866" s="156" t="s">
        <v>1444</v>
      </c>
      <c r="E1866" s="154" t="n">
        <v>4.9</v>
      </c>
      <c r="F1866" s="149" t="n">
        <f aca="false">IF(C1866="MAT.",VLOOKUP(A1866,INSUMOS_AUX!$A$3:$H$813,6,0),0)</f>
        <v>0.61</v>
      </c>
      <c r="G1866" s="149" t="n">
        <f aca="false">IF(C1866="M.O.",VLOOKUP(A1866,INSUMOS_AUX!A:F,6,0),0)</f>
        <v>0</v>
      </c>
    </row>
    <row r="1867" customFormat="false" ht="21" hidden="false" customHeight="false" outlineLevel="0" collapsed="false">
      <c r="A1867" s="154" t="n">
        <v>37373</v>
      </c>
      <c r="B1867" s="155" t="s">
        <v>1448</v>
      </c>
      <c r="C1867" s="148" t="str">
        <f aca="false">VLOOKUP($A1867,INSUMOS_AUX!$A$3:$H$813,3,0)</f>
        <v>MAT.</v>
      </c>
      <c r="D1867" s="156" t="s">
        <v>1444</v>
      </c>
      <c r="E1867" s="154" t="n">
        <v>9.8</v>
      </c>
      <c r="F1867" s="149" t="n">
        <f aca="false">IF(C1867="MAT.",VLOOKUP(A1867,INSUMOS_AUX!$A$3:$H$813,6,0),0)</f>
        <v>0.08</v>
      </c>
      <c r="G1867" s="149" t="n">
        <f aca="false">IF(C1867="M.O.",VLOOKUP(A1867,INSUMOS_AUX!A:F,6,0),0)</f>
        <v>0</v>
      </c>
    </row>
    <row r="1868" customFormat="false" ht="21" hidden="false" customHeight="false" outlineLevel="0" collapsed="false">
      <c r="A1868" s="154" t="n">
        <v>37371</v>
      </c>
      <c r="B1868" s="155" t="s">
        <v>1449</v>
      </c>
      <c r="C1868" s="148" t="str">
        <f aca="false">VLOOKUP($A1868,INSUMOS_AUX!$A$3:$H$813,3,0)</f>
        <v>MAT.</v>
      </c>
      <c r="D1868" s="156" t="s">
        <v>1444</v>
      </c>
      <c r="E1868" s="154" t="n">
        <v>9.8</v>
      </c>
      <c r="F1868" s="149" t="n">
        <f aca="false">IF(C1868="MAT.",VLOOKUP(A1868,INSUMOS_AUX!$A$3:$H$813,6,0),0)</f>
        <v>0.59</v>
      </c>
      <c r="G1868" s="149" t="n">
        <f aca="false">IF(C1868="M.O.",VLOOKUP(A1868,INSUMOS_AUX!A:F,6,0),0)</f>
        <v>0</v>
      </c>
    </row>
    <row r="1869" customFormat="false" ht="15" hidden="false" customHeight="false" outlineLevel="0" collapsed="false">
      <c r="A1869" s="154" t="n">
        <v>34360</v>
      </c>
      <c r="B1869" s="155" t="s">
        <v>1776</v>
      </c>
      <c r="C1869" s="148" t="str">
        <f aca="false">VLOOKUP($A1869,INSUMOS_AUX!$A$3:$H$813,3,0)</f>
        <v>MAT.</v>
      </c>
      <c r="D1869" s="156" t="s">
        <v>1513</v>
      </c>
      <c r="E1869" s="154" t="n">
        <v>2.3</v>
      </c>
      <c r="F1869" s="149" t="n">
        <f aca="false">IF(C1869="MAT.",VLOOKUP(A1869,INSUMOS_AUX!$A$3:$H$813,6,0),0)</f>
        <v>45.42</v>
      </c>
      <c r="G1869" s="149" t="n">
        <f aca="false">IF(C1869="M.O.",VLOOKUP(A1869,INSUMOS_AUX!A:F,6,0),0)</f>
        <v>0</v>
      </c>
    </row>
    <row r="1870" customFormat="false" ht="21" hidden="false" customHeight="false" outlineLevel="0" collapsed="false">
      <c r="A1870" s="154" t="n">
        <v>34391</v>
      </c>
      <c r="B1870" s="155" t="s">
        <v>1788</v>
      </c>
      <c r="C1870" s="148" t="str">
        <f aca="false">VLOOKUP($A1870,INSUMOS_AUX!$A$3:$H$813,3,0)</f>
        <v>MAT.</v>
      </c>
      <c r="D1870" s="156" t="s">
        <v>1477</v>
      </c>
      <c r="E1870" s="154" t="n">
        <v>1</v>
      </c>
      <c r="F1870" s="149" t="n">
        <f aca="false">IF(C1870="MAT.",VLOOKUP(A1870,INSUMOS_AUX!$A$3:$H$813,6,0),0)</f>
        <v>593.65</v>
      </c>
      <c r="G1870" s="149" t="n">
        <f aca="false">IF(C1870="M.O.",VLOOKUP(A1870,INSUMOS_AUX!A:F,6,0),0)</f>
        <v>0</v>
      </c>
    </row>
    <row r="1871" customFormat="false" ht="15" hidden="false" customHeight="false" outlineLevel="0" collapsed="false">
      <c r="A1871" s="154" t="n">
        <v>252</v>
      </c>
      <c r="B1871" s="155" t="s">
        <v>1600</v>
      </c>
      <c r="C1871" s="148" t="str">
        <f aca="false">VLOOKUP($A1871,INSUMOS_AUX!$A$3:$H$813,3,0)</f>
        <v>M.O.</v>
      </c>
      <c r="D1871" s="156" t="s">
        <v>1444</v>
      </c>
      <c r="E1871" s="154" t="n">
        <v>2.326542</v>
      </c>
      <c r="F1871" s="149" t="n">
        <f aca="false">IF(C1871="MAT.",VLOOKUP(A1871,INSUMOS_AUX!$A$3:$H$813,6,0),0)</f>
        <v>0</v>
      </c>
      <c r="G1871" s="149" t="n">
        <f aca="false">IF(C1871="M.O.",VLOOKUP(A1871,INSUMOS_AUX!A:F,6,0),0)</f>
        <v>13.26</v>
      </c>
    </row>
    <row r="1872" customFormat="false" ht="15" hidden="false" customHeight="false" outlineLevel="0" collapsed="false">
      <c r="A1872" s="154" t="n">
        <v>6110</v>
      </c>
      <c r="B1872" s="155" t="s">
        <v>1601</v>
      </c>
      <c r="C1872" s="148" t="str">
        <f aca="false">VLOOKUP($A1872,INSUMOS_AUX!$A$3:$H$813,3,0)</f>
        <v>M.O.</v>
      </c>
      <c r="D1872" s="156" t="s">
        <v>1444</v>
      </c>
      <c r="E1872" s="154" t="n">
        <v>2.630004</v>
      </c>
      <c r="F1872" s="149" t="n">
        <f aca="false">IF(C1872="MAT.",VLOOKUP(A1872,INSUMOS_AUX!$A$3:$H$813,6,0),0)</f>
        <v>0</v>
      </c>
      <c r="G1872" s="149" t="n">
        <f aca="false">IF(C1872="M.O.",VLOOKUP(A1872,INSUMOS_AUX!A:F,6,0),0)</f>
        <v>20.22</v>
      </c>
    </row>
    <row r="1873" customFormat="false" ht="15" hidden="false" customHeight="false" outlineLevel="0" collapsed="false">
      <c r="A1873" s="154" t="n">
        <v>6111</v>
      </c>
      <c r="B1873" s="155" t="s">
        <v>1464</v>
      </c>
      <c r="C1873" s="148" t="str">
        <f aca="false">VLOOKUP($A1873,INSUMOS_AUX!$A$3:$H$813,3,0)</f>
        <v>M.O.</v>
      </c>
      <c r="D1873" s="156" t="s">
        <v>1444</v>
      </c>
      <c r="E1873" s="154" t="n">
        <v>5.00388</v>
      </c>
      <c r="F1873" s="149" t="n">
        <f aca="false">IF(C1873="MAT.",VLOOKUP(A1873,INSUMOS_AUX!$A$3:$H$813,6,0),0)</f>
        <v>0</v>
      </c>
      <c r="G1873" s="149" t="n">
        <f aca="false">IF(C1873="M.O.",VLOOKUP(A1873,INSUMOS_AUX!A:F,6,0),0)</f>
        <v>12.95</v>
      </c>
    </row>
    <row r="1874" customFormat="false" ht="21" hidden="false" customHeight="false" outlineLevel="0" collapsed="false">
      <c r="A1874" s="150" t="s">
        <v>373</v>
      </c>
      <c r="B1874" s="151" t="s">
        <v>1789</v>
      </c>
      <c r="C1874" s="152" t="s">
        <v>59</v>
      </c>
      <c r="D1874" s="152" t="s">
        <v>1477</v>
      </c>
      <c r="E1874" s="150"/>
      <c r="F1874" s="153" t="n">
        <f aca="false">(SUMPRODUCT($E1875:$E1882,F1875:F1882))*1</f>
        <v>37.2231842105263</v>
      </c>
      <c r="G1874" s="153" t="n">
        <f aca="false">(SUMPRODUCT($E1875:$E1882,G1875:G1882))*1</f>
        <v>17.6771192</v>
      </c>
    </row>
    <row r="1875" customFormat="false" ht="21" hidden="false" customHeight="false" outlineLevel="0" collapsed="false">
      <c r="A1875" s="154" t="n">
        <v>37370</v>
      </c>
      <c r="B1875" s="155" t="s">
        <v>1443</v>
      </c>
      <c r="C1875" s="148" t="str">
        <f aca="false">VLOOKUP($A1875,INSUMOS_AUX!$A$3:$H$813,3,0)</f>
        <v>MAT.</v>
      </c>
      <c r="D1875" s="156" t="s">
        <v>1444</v>
      </c>
      <c r="E1875" s="154" t="n">
        <v>1</v>
      </c>
      <c r="F1875" s="149" t="n">
        <f aca="false">IF(C1875="MAT.",VLOOKUP(A1875,INSUMOS_AUX!$A$3:$H$813,6,0),0)</f>
        <v>3.32</v>
      </c>
      <c r="G1875" s="149" t="n">
        <f aca="false">IF(C1875="M.O.",VLOOKUP(A1875,INSUMOS_AUX!A:F,6,0),0)</f>
        <v>0</v>
      </c>
    </row>
    <row r="1876" customFormat="false" ht="21" hidden="false" customHeight="false" outlineLevel="0" collapsed="false">
      <c r="A1876" s="154" t="n">
        <v>43489</v>
      </c>
      <c r="B1876" s="155" t="s">
        <v>1456</v>
      </c>
      <c r="C1876" s="148" t="s">
        <v>59</v>
      </c>
      <c r="D1876" s="156" t="s">
        <v>1444</v>
      </c>
      <c r="E1876" s="154" t="n">
        <v>1</v>
      </c>
      <c r="F1876" s="149" t="n">
        <f aca="false">IF(C1876="MAT.",VLOOKUP(A1876,INSUMOS_AUX!$A$3:$H$813,6,0),0)</f>
        <v>0</v>
      </c>
      <c r="G1876" s="149" t="n">
        <f aca="false">IF(C1876="M.O.",VLOOKUP(A1876,INSUMOS_AUX!A:F,6,0),0)</f>
        <v>0</v>
      </c>
    </row>
    <row r="1877" customFormat="false" ht="21" hidden="false" customHeight="false" outlineLevel="0" collapsed="false">
      <c r="A1877" s="154" t="n">
        <v>37372</v>
      </c>
      <c r="B1877" s="155" t="s">
        <v>1446</v>
      </c>
      <c r="C1877" s="148" t="str">
        <f aca="false">VLOOKUP($A1877,INSUMOS_AUX!$A$3:$H$813,3,0)</f>
        <v>MAT.</v>
      </c>
      <c r="D1877" s="156" t="s">
        <v>1444</v>
      </c>
      <c r="E1877" s="154" t="n">
        <v>1</v>
      </c>
      <c r="F1877" s="149" t="n">
        <f aca="false">IF(C1877="MAT.",VLOOKUP(A1877,INSUMOS_AUX!$A$3:$H$813,6,0),0)</f>
        <v>1.43</v>
      </c>
      <c r="G1877" s="149" t="n">
        <f aca="false">IF(C1877="M.O.",VLOOKUP(A1877,INSUMOS_AUX!A:F,6,0),0)</f>
        <v>0</v>
      </c>
    </row>
    <row r="1878" customFormat="false" ht="21" hidden="false" customHeight="false" outlineLevel="0" collapsed="false">
      <c r="A1878" s="154" t="n">
        <v>43465</v>
      </c>
      <c r="B1878" s="155" t="s">
        <v>1458</v>
      </c>
      <c r="C1878" s="148" t="str">
        <f aca="false">VLOOKUP($A1878,INSUMOS_AUX!$A$3:$H$813,3,0)</f>
        <v>MAT.</v>
      </c>
      <c r="D1878" s="156" t="s">
        <v>1444</v>
      </c>
      <c r="E1878" s="154" t="n">
        <v>1</v>
      </c>
      <c r="F1878" s="149" t="n">
        <f aca="false">IF(C1878="MAT.",VLOOKUP(A1878,INSUMOS_AUX!$A$3:$H$813,6,0),0)</f>
        <v>0.78</v>
      </c>
      <c r="G1878" s="149" t="n">
        <f aca="false">IF(C1878="M.O.",VLOOKUP(A1878,INSUMOS_AUX!A:F,6,0),0)</f>
        <v>0</v>
      </c>
    </row>
    <row r="1879" customFormat="false" ht="21" hidden="false" customHeight="false" outlineLevel="0" collapsed="false">
      <c r="A1879" s="154" t="n">
        <v>37373</v>
      </c>
      <c r="B1879" s="155" t="s">
        <v>1448</v>
      </c>
      <c r="C1879" s="148" t="str">
        <f aca="false">VLOOKUP($A1879,INSUMOS_AUX!$A$3:$H$813,3,0)</f>
        <v>MAT.</v>
      </c>
      <c r="D1879" s="156" t="s">
        <v>1444</v>
      </c>
      <c r="E1879" s="154" t="n">
        <v>1</v>
      </c>
      <c r="F1879" s="149" t="n">
        <f aca="false">IF(C1879="MAT.",VLOOKUP(A1879,INSUMOS_AUX!$A$3:$H$813,6,0),0)</f>
        <v>0.08</v>
      </c>
      <c r="G1879" s="149" t="n">
        <f aca="false">IF(C1879="M.O.",VLOOKUP(A1879,INSUMOS_AUX!A:F,6,0),0)</f>
        <v>0</v>
      </c>
    </row>
    <row r="1880" customFormat="false" ht="21" hidden="false" customHeight="false" outlineLevel="0" collapsed="false">
      <c r="A1880" s="154" t="n">
        <v>37371</v>
      </c>
      <c r="B1880" s="155" t="s">
        <v>1449</v>
      </c>
      <c r="C1880" s="148" t="str">
        <f aca="false">VLOOKUP($A1880,INSUMOS_AUX!$A$3:$H$813,3,0)</f>
        <v>MAT.</v>
      </c>
      <c r="D1880" s="156" t="s">
        <v>1444</v>
      </c>
      <c r="E1880" s="154" t="n">
        <v>1</v>
      </c>
      <c r="F1880" s="149" t="n">
        <f aca="false">IF(C1880="MAT.",VLOOKUP(A1880,INSUMOS_AUX!$A$3:$H$813,6,0),0)</f>
        <v>0.59</v>
      </c>
      <c r="G1880" s="149" t="n">
        <f aca="false">IF(C1880="M.O.",VLOOKUP(A1880,INSUMOS_AUX!A:F,6,0),0)</f>
        <v>0</v>
      </c>
    </row>
    <row r="1881" customFormat="false" ht="15" hidden="false" customHeight="false" outlineLevel="0" collapsed="false">
      <c r="A1881" s="154" t="s">
        <v>1790</v>
      </c>
      <c r="B1881" s="155" t="s">
        <v>1791</v>
      </c>
      <c r="C1881" s="148" t="str">
        <f aca="false">VLOOKUP($A1881,INSUMOS_AUX!$A$3:$H$813,3,0)</f>
        <v>MAT.</v>
      </c>
      <c r="D1881" s="156" t="s">
        <v>1477</v>
      </c>
      <c r="E1881" s="154" t="n">
        <v>1.05</v>
      </c>
      <c r="F1881" s="149" t="n">
        <f aca="false">IF(C1881="MAT.",VLOOKUP(A1881,INSUMOS_AUX!$A$3:$H$813,6,0),0)</f>
        <v>29.5458897243108</v>
      </c>
      <c r="G1881" s="149" t="n">
        <f aca="false">IF(C1881="M.O.",VLOOKUP(A1881,INSUMOS_AUX!A:F,6,0),0)</f>
        <v>0</v>
      </c>
    </row>
    <row r="1882" customFormat="false" ht="15" hidden="false" customHeight="false" outlineLevel="0" collapsed="false">
      <c r="A1882" s="154" t="n">
        <v>10489</v>
      </c>
      <c r="B1882" s="155" t="s">
        <v>1779</v>
      </c>
      <c r="C1882" s="148" t="str">
        <f aca="false">VLOOKUP($A1882,INSUMOS_AUX!$A$3:$H$813,3,0)</f>
        <v>M.O.</v>
      </c>
      <c r="D1882" s="156" t="s">
        <v>1444</v>
      </c>
      <c r="E1882" s="154" t="n">
        <v>1.01476</v>
      </c>
      <c r="F1882" s="149" t="n">
        <f aca="false">IF(C1882="MAT.",VLOOKUP(A1882,INSUMOS_AUX!$A$3:$H$813,6,0),0)</f>
        <v>0</v>
      </c>
      <c r="G1882" s="149" t="n">
        <f aca="false">IF(C1882="M.O.",VLOOKUP(A1882,INSUMOS_AUX!A:F,6,0),0)</f>
        <v>17.42</v>
      </c>
    </row>
    <row r="1883" customFormat="false" ht="42" hidden="false" customHeight="false" outlineLevel="0" collapsed="false">
      <c r="A1883" s="150" t="s">
        <v>378</v>
      </c>
      <c r="B1883" s="151" t="s">
        <v>1792</v>
      </c>
      <c r="C1883" s="152" t="s">
        <v>59</v>
      </c>
      <c r="D1883" s="152" t="s">
        <v>1477</v>
      </c>
      <c r="E1883" s="150"/>
      <c r="F1883" s="153" t="n">
        <f aca="false">(SUMPRODUCT($E1884:$E1903,F1884:F1903))*1</f>
        <v>84.335783</v>
      </c>
      <c r="G1883" s="153" t="n">
        <f aca="false">(SUMPRODUCT($E1884:$E1903,G1884:G1903))*1</f>
        <v>11.299827987</v>
      </c>
    </row>
    <row r="1884" customFormat="false" ht="21" hidden="false" customHeight="false" outlineLevel="0" collapsed="false">
      <c r="A1884" s="154" t="n">
        <v>37370</v>
      </c>
      <c r="B1884" s="155" t="s">
        <v>1443</v>
      </c>
      <c r="C1884" s="148" t="str">
        <f aca="false">VLOOKUP($A1884,INSUMOS_AUX!$A$3:$H$813,3,0)</f>
        <v>MAT.</v>
      </c>
      <c r="D1884" s="156" t="s">
        <v>1444</v>
      </c>
      <c r="E1884" s="154" t="n">
        <v>0.79</v>
      </c>
      <c r="F1884" s="149" t="n">
        <f aca="false">IF(C1884="MAT.",VLOOKUP(A1884,INSUMOS_AUX!$A$3:$H$813,6,0),0)</f>
        <v>3.32</v>
      </c>
      <c r="G1884" s="149" t="n">
        <f aca="false">IF(C1884="M.O.",VLOOKUP(A1884,INSUMOS_AUX!A:F,6,0),0)</f>
        <v>0</v>
      </c>
    </row>
    <row r="1885" customFormat="false" ht="21" hidden="false" customHeight="false" outlineLevel="0" collapsed="false">
      <c r="A1885" s="154" t="n">
        <v>43488</v>
      </c>
      <c r="B1885" s="155" t="s">
        <v>1445</v>
      </c>
      <c r="C1885" s="148" t="str">
        <f aca="false">VLOOKUP($A1885,INSUMOS_AUX!$A$3:$H$813,3,0)</f>
        <v>MAT.</v>
      </c>
      <c r="D1885" s="156" t="s">
        <v>1444</v>
      </c>
      <c r="E1885" s="154" t="n">
        <v>0.595</v>
      </c>
      <c r="F1885" s="149" t="n">
        <f aca="false">IF(C1885="MAT.",VLOOKUP(A1885,INSUMOS_AUX!$A$3:$H$813,6,0),0)</f>
        <v>0.89</v>
      </c>
      <c r="G1885" s="149" t="n">
        <f aca="false">IF(C1885="M.O.",VLOOKUP(A1885,INSUMOS_AUX!A:F,6,0),0)</f>
        <v>0</v>
      </c>
    </row>
    <row r="1886" customFormat="false" ht="21" hidden="false" customHeight="false" outlineLevel="0" collapsed="false">
      <c r="A1886" s="154" t="n">
        <v>43491</v>
      </c>
      <c r="B1886" s="155" t="s">
        <v>1457</v>
      </c>
      <c r="C1886" s="148" t="str">
        <f aca="false">VLOOKUP($A1886,INSUMOS_AUX!$A$3:$H$813,3,0)</f>
        <v>MAT.</v>
      </c>
      <c r="D1886" s="156" t="s">
        <v>1444</v>
      </c>
      <c r="E1886" s="154" t="n">
        <v>0.195</v>
      </c>
      <c r="F1886" s="149" t="n">
        <f aca="false">IF(C1886="MAT.",VLOOKUP(A1886,INSUMOS_AUX!$A$3:$H$813,6,0),0)</f>
        <v>1.39</v>
      </c>
      <c r="G1886" s="149" t="n">
        <f aca="false">IF(C1886="M.O.",VLOOKUP(A1886,INSUMOS_AUX!A:F,6,0),0)</f>
        <v>0</v>
      </c>
    </row>
    <row r="1887" customFormat="false" ht="21" hidden="false" customHeight="false" outlineLevel="0" collapsed="false">
      <c r="A1887" s="154" t="n">
        <v>37372</v>
      </c>
      <c r="B1887" s="155" t="s">
        <v>1446</v>
      </c>
      <c r="C1887" s="148" t="str">
        <f aca="false">VLOOKUP($A1887,INSUMOS_AUX!$A$3:$H$813,3,0)</f>
        <v>MAT.</v>
      </c>
      <c r="D1887" s="156" t="s">
        <v>1444</v>
      </c>
      <c r="E1887" s="154" t="n">
        <v>0.79</v>
      </c>
      <c r="F1887" s="149" t="n">
        <f aca="false">IF(C1887="MAT.",VLOOKUP(A1887,INSUMOS_AUX!$A$3:$H$813,6,0),0)</f>
        <v>1.43</v>
      </c>
      <c r="G1887" s="149" t="n">
        <f aca="false">IF(C1887="M.O.",VLOOKUP(A1887,INSUMOS_AUX!A:F,6,0),0)</f>
        <v>0</v>
      </c>
    </row>
    <row r="1888" customFormat="false" ht="21" hidden="false" customHeight="false" outlineLevel="0" collapsed="false">
      <c r="A1888" s="154" t="n">
        <v>43464</v>
      </c>
      <c r="B1888" s="155" t="s">
        <v>1447</v>
      </c>
      <c r="C1888" s="148" t="str">
        <f aca="false">VLOOKUP($A1888,INSUMOS_AUX!$A$3:$H$813,3,0)</f>
        <v>MAT.</v>
      </c>
      <c r="D1888" s="156" t="s">
        <v>1444</v>
      </c>
      <c r="E1888" s="154" t="n">
        <v>0.595</v>
      </c>
      <c r="F1888" s="149" t="n">
        <f aca="false">IF(C1888="MAT.",VLOOKUP(A1888,INSUMOS_AUX!$A$3:$H$813,6,0),0)</f>
        <v>0.01</v>
      </c>
      <c r="G1888" s="149" t="n">
        <f aca="false">IF(C1888="M.O.",VLOOKUP(A1888,INSUMOS_AUX!A:F,6,0),0)</f>
        <v>0</v>
      </c>
    </row>
    <row r="1889" customFormat="false" ht="21" hidden="false" customHeight="false" outlineLevel="0" collapsed="false">
      <c r="A1889" s="154" t="n">
        <v>43467</v>
      </c>
      <c r="B1889" s="155" t="s">
        <v>1459</v>
      </c>
      <c r="C1889" s="148" t="str">
        <f aca="false">VLOOKUP($A1889,INSUMOS_AUX!$A$3:$H$813,3,0)</f>
        <v>MAT.</v>
      </c>
      <c r="D1889" s="156" t="s">
        <v>1444</v>
      </c>
      <c r="E1889" s="154" t="n">
        <v>0.195</v>
      </c>
      <c r="F1889" s="149" t="n">
        <f aca="false">IF(C1889="MAT.",VLOOKUP(A1889,INSUMOS_AUX!$A$3:$H$813,6,0),0)</f>
        <v>0.61</v>
      </c>
      <c r="G1889" s="149" t="n">
        <f aca="false">IF(C1889="M.O.",VLOOKUP(A1889,INSUMOS_AUX!A:F,6,0),0)</f>
        <v>0</v>
      </c>
    </row>
    <row r="1890" customFormat="false" ht="21" hidden="false" customHeight="false" outlineLevel="0" collapsed="false">
      <c r="A1890" s="154" t="n">
        <v>37373</v>
      </c>
      <c r="B1890" s="155" t="s">
        <v>1448</v>
      </c>
      <c r="C1890" s="148" t="str">
        <f aca="false">VLOOKUP($A1890,INSUMOS_AUX!$A$3:$H$813,3,0)</f>
        <v>MAT.</v>
      </c>
      <c r="D1890" s="156" t="s">
        <v>1444</v>
      </c>
      <c r="E1890" s="154" t="n">
        <v>0.79</v>
      </c>
      <c r="F1890" s="149" t="n">
        <f aca="false">IF(C1890="MAT.",VLOOKUP(A1890,INSUMOS_AUX!$A$3:$H$813,6,0),0)</f>
        <v>0.08</v>
      </c>
      <c r="G1890" s="149" t="n">
        <f aca="false">IF(C1890="M.O.",VLOOKUP(A1890,INSUMOS_AUX!A:F,6,0),0)</f>
        <v>0</v>
      </c>
    </row>
    <row r="1891" customFormat="false" ht="21" hidden="false" customHeight="false" outlineLevel="0" collapsed="false">
      <c r="A1891" s="154" t="n">
        <v>37371</v>
      </c>
      <c r="B1891" s="155" t="s">
        <v>1449</v>
      </c>
      <c r="C1891" s="148" t="str">
        <f aca="false">VLOOKUP($A1891,INSUMOS_AUX!$A$3:$H$813,3,0)</f>
        <v>MAT.</v>
      </c>
      <c r="D1891" s="156" t="s">
        <v>1444</v>
      </c>
      <c r="E1891" s="154" t="n">
        <v>0.79</v>
      </c>
      <c r="F1891" s="149" t="n">
        <f aca="false">IF(C1891="MAT.",VLOOKUP(A1891,INSUMOS_AUX!$A$3:$H$813,6,0),0)</f>
        <v>0.59</v>
      </c>
      <c r="G1891" s="149" t="n">
        <f aca="false">IF(C1891="M.O.",VLOOKUP(A1891,INSUMOS_AUX!A:F,6,0),0)</f>
        <v>0</v>
      </c>
    </row>
    <row r="1892" customFormat="false" ht="21" hidden="false" customHeight="false" outlineLevel="0" collapsed="false">
      <c r="A1892" s="154" t="n">
        <v>39431</v>
      </c>
      <c r="B1892" s="155" t="s">
        <v>1793</v>
      </c>
      <c r="C1892" s="148" t="str">
        <f aca="false">VLOOKUP($A1892,INSUMOS_AUX!$A$3:$H$813,3,0)</f>
        <v>MAT.</v>
      </c>
      <c r="D1892" s="156" t="s">
        <v>1455</v>
      </c>
      <c r="E1892" s="154" t="n">
        <v>2.5027</v>
      </c>
      <c r="F1892" s="149" t="n">
        <f aca="false">IF(C1892="MAT.",VLOOKUP(A1892,INSUMOS_AUX!$A$3:$H$813,6,0),0)</f>
        <v>0.3</v>
      </c>
      <c r="G1892" s="149" t="n">
        <f aca="false">IF(C1892="M.O.",VLOOKUP(A1892,INSUMOS_AUX!A:F,6,0),0)</f>
        <v>0</v>
      </c>
    </row>
    <row r="1893" customFormat="false" ht="21" hidden="false" customHeight="false" outlineLevel="0" collapsed="false">
      <c r="A1893" s="154" t="n">
        <v>39432</v>
      </c>
      <c r="B1893" s="155" t="s">
        <v>1775</v>
      </c>
      <c r="C1893" s="148" t="str">
        <f aca="false">VLOOKUP($A1893,INSUMOS_AUX!$A$3:$H$813,3,0)</f>
        <v>MAT.</v>
      </c>
      <c r="D1893" s="156" t="s">
        <v>1455</v>
      </c>
      <c r="E1893" s="154" t="n">
        <v>0.7925</v>
      </c>
      <c r="F1893" s="149" t="n">
        <f aca="false">IF(C1893="MAT.",VLOOKUP(A1893,INSUMOS_AUX!$A$3:$H$813,6,0),0)</f>
        <v>2.7</v>
      </c>
      <c r="G1893" s="149" t="n">
        <f aca="false">IF(C1893="M.O.",VLOOKUP(A1893,INSUMOS_AUX!A:F,6,0),0)</f>
        <v>0</v>
      </c>
    </row>
    <row r="1894" customFormat="false" ht="31.5" hidden="false" customHeight="false" outlineLevel="0" collapsed="false">
      <c r="A1894" s="154" t="n">
        <v>39434</v>
      </c>
      <c r="B1894" s="155" t="s">
        <v>1794</v>
      </c>
      <c r="C1894" s="148" t="str">
        <f aca="false">VLOOKUP($A1894,INSUMOS_AUX!$A$3:$H$813,3,0)</f>
        <v>MAT.</v>
      </c>
      <c r="D1894" s="156" t="s">
        <v>1513</v>
      </c>
      <c r="E1894" s="154" t="n">
        <v>1.0978</v>
      </c>
      <c r="F1894" s="149" t="n">
        <f aca="false">IF(C1894="MAT.",VLOOKUP(A1894,INSUMOS_AUX!$A$3:$H$813,6,0),0)</f>
        <v>3.38</v>
      </c>
      <c r="G1894" s="149" t="n">
        <f aca="false">IF(C1894="M.O.",VLOOKUP(A1894,INSUMOS_AUX!A:F,6,0),0)</f>
        <v>0</v>
      </c>
    </row>
    <row r="1895" customFormat="false" ht="21" hidden="false" customHeight="false" outlineLevel="0" collapsed="false">
      <c r="A1895" s="154" t="n">
        <v>3413</v>
      </c>
      <c r="B1895" s="155" t="s">
        <v>1795</v>
      </c>
      <c r="C1895" s="148" t="s">
        <v>59</v>
      </c>
      <c r="D1895" s="156" t="s">
        <v>1477</v>
      </c>
      <c r="E1895" s="154" t="n">
        <v>1.053</v>
      </c>
      <c r="F1895" s="149" t="n">
        <f aca="false">IF(C1895="MAT.",VLOOKUP(A1895,INSUMOS_AUX!$A$3:$H$813,6,0),0)</f>
        <v>0</v>
      </c>
      <c r="G1895" s="149" t="n">
        <f aca="false">IF(C1895="M.O.",VLOOKUP(A1895,INSUMOS_AUX!A:F,6,0),0)</f>
        <v>0</v>
      </c>
    </row>
    <row r="1896" customFormat="false" ht="21" hidden="false" customHeight="false" outlineLevel="0" collapsed="false">
      <c r="A1896" s="154" t="n">
        <v>39435</v>
      </c>
      <c r="B1896" s="155" t="s">
        <v>1796</v>
      </c>
      <c r="C1896" s="148" t="str">
        <f aca="false">VLOOKUP($A1896,INSUMOS_AUX!$A$3:$H$813,3,0)</f>
        <v>MAT.</v>
      </c>
      <c r="D1896" s="156" t="s">
        <v>31</v>
      </c>
      <c r="E1896" s="154" t="n">
        <v>20.1868</v>
      </c>
      <c r="F1896" s="149" t="n">
        <f aca="false">IF(C1896="MAT.",VLOOKUP(A1896,INSUMOS_AUX!$A$3:$H$813,6,0),0)</f>
        <v>0.11</v>
      </c>
      <c r="G1896" s="149" t="n">
        <f aca="false">IF(C1896="M.O.",VLOOKUP(A1896,INSUMOS_AUX!A:F,6,0),0)</f>
        <v>0</v>
      </c>
    </row>
    <row r="1897" customFormat="false" ht="21" hidden="false" customHeight="false" outlineLevel="0" collapsed="false">
      <c r="A1897" s="154" t="n">
        <v>39443</v>
      </c>
      <c r="B1897" s="155" t="s">
        <v>1797</v>
      </c>
      <c r="C1897" s="148" t="str">
        <f aca="false">VLOOKUP($A1897,INSUMOS_AUX!$A$3:$H$813,3,0)</f>
        <v>MAT.</v>
      </c>
      <c r="D1897" s="156" t="s">
        <v>31</v>
      </c>
      <c r="E1897" s="154" t="n">
        <v>0.5441</v>
      </c>
      <c r="F1897" s="149" t="n">
        <f aca="false">IF(C1897="MAT.",VLOOKUP(A1897,INSUMOS_AUX!$A$3:$H$813,6,0),0)</f>
        <v>0.27</v>
      </c>
      <c r="G1897" s="149" t="n">
        <f aca="false">IF(C1897="M.O.",VLOOKUP(A1897,INSUMOS_AUX!A:F,6,0),0)</f>
        <v>0</v>
      </c>
    </row>
    <row r="1898" customFormat="false" ht="21" hidden="false" customHeight="false" outlineLevel="0" collapsed="false">
      <c r="A1898" s="154" t="n">
        <v>39419</v>
      </c>
      <c r="B1898" s="155" t="s">
        <v>1798</v>
      </c>
      <c r="C1898" s="148" t="str">
        <f aca="false">VLOOKUP($A1898,INSUMOS_AUX!$A$3:$H$813,3,0)</f>
        <v>MAT.</v>
      </c>
      <c r="D1898" s="156" t="s">
        <v>1455</v>
      </c>
      <c r="E1898" s="154" t="n">
        <v>0.9117</v>
      </c>
      <c r="F1898" s="149" t="n">
        <f aca="false">IF(C1898="MAT.",VLOOKUP(A1898,INSUMOS_AUX!$A$3:$H$813,6,0),0)</f>
        <v>6.52</v>
      </c>
      <c r="G1898" s="149" t="n">
        <f aca="false">IF(C1898="M.O.",VLOOKUP(A1898,INSUMOS_AUX!A:F,6,0),0)</f>
        <v>0</v>
      </c>
    </row>
    <row r="1899" customFormat="false" ht="21" hidden="false" customHeight="false" outlineLevel="0" collapsed="false">
      <c r="A1899" s="154" t="n">
        <v>39422</v>
      </c>
      <c r="B1899" s="155" t="s">
        <v>1799</v>
      </c>
      <c r="C1899" s="148" t="str">
        <f aca="false">VLOOKUP($A1899,INSUMOS_AUX!$A$3:$H$813,3,0)</f>
        <v>MAT.</v>
      </c>
      <c r="D1899" s="156" t="s">
        <v>1455</v>
      </c>
      <c r="E1899" s="154" t="n">
        <v>2.9139</v>
      </c>
      <c r="F1899" s="149" t="n">
        <f aca="false">IF(C1899="MAT.",VLOOKUP(A1899,INSUMOS_AUX!$A$3:$H$813,6,0),0)</f>
        <v>7.4</v>
      </c>
      <c r="G1899" s="149" t="n">
        <f aca="false">IF(C1899="M.O.",VLOOKUP(A1899,INSUMOS_AUX!A:F,6,0),0)</f>
        <v>0</v>
      </c>
    </row>
    <row r="1900" customFormat="false" ht="21" hidden="false" customHeight="false" outlineLevel="0" collapsed="false">
      <c r="A1900" s="154" t="n">
        <v>37586</v>
      </c>
      <c r="B1900" s="155" t="s">
        <v>1800</v>
      </c>
      <c r="C1900" s="148" t="str">
        <f aca="false">VLOOKUP($A1900,INSUMOS_AUX!$A$3:$H$813,3,0)</f>
        <v>MAT.</v>
      </c>
      <c r="D1900" s="156" t="s">
        <v>1576</v>
      </c>
      <c r="E1900" s="154" t="n">
        <v>0.0296</v>
      </c>
      <c r="F1900" s="149" t="n">
        <f aca="false">IF(C1900="MAT.",VLOOKUP(A1900,INSUMOS_AUX!$A$3:$H$813,6,0),0)</f>
        <v>52.15</v>
      </c>
      <c r="G1900" s="149" t="n">
        <f aca="false">IF(C1900="M.O.",VLOOKUP(A1900,INSUMOS_AUX!A:F,6,0),0)</f>
        <v>0</v>
      </c>
    </row>
    <row r="1901" customFormat="false" ht="21" hidden="false" customHeight="false" outlineLevel="0" collapsed="false">
      <c r="A1901" s="154" t="n">
        <v>39413</v>
      </c>
      <c r="B1901" s="155" t="s">
        <v>1801</v>
      </c>
      <c r="C1901" s="148" t="str">
        <f aca="false">VLOOKUP($A1901,INSUMOS_AUX!$A$3:$H$813,3,0)</f>
        <v>MAT.</v>
      </c>
      <c r="D1901" s="156" t="s">
        <v>1477</v>
      </c>
      <c r="E1901" s="154" t="n">
        <v>2.106</v>
      </c>
      <c r="F1901" s="149" t="n">
        <f aca="false">IF(C1901="MAT.",VLOOKUP(A1901,INSUMOS_AUX!$A$3:$H$813,6,0),0)</f>
        <v>19.52</v>
      </c>
      <c r="G1901" s="149" t="n">
        <f aca="false">IF(C1901="M.O.",VLOOKUP(A1901,INSUMOS_AUX!A:F,6,0),0)</f>
        <v>0</v>
      </c>
    </row>
    <row r="1902" customFormat="false" ht="15" hidden="false" customHeight="false" outlineLevel="0" collapsed="false">
      <c r="A1902" s="154" t="n">
        <v>44497</v>
      </c>
      <c r="B1902" s="155" t="s">
        <v>1739</v>
      </c>
      <c r="C1902" s="148" t="str">
        <f aca="false">VLOOKUP($A1902,INSUMOS_AUX!$A$3:$H$813,3,0)</f>
        <v>M.O.</v>
      </c>
      <c r="D1902" s="156" t="s">
        <v>1444</v>
      </c>
      <c r="E1902" s="154" t="n">
        <v>0.6018663</v>
      </c>
      <c r="F1902" s="149" t="n">
        <f aca="false">IF(C1902="MAT.",VLOOKUP(A1902,INSUMOS_AUX!$A$3:$H$813,6,0),0)</f>
        <v>0</v>
      </c>
      <c r="G1902" s="149" t="n">
        <f aca="false">IF(C1902="M.O.",VLOOKUP(A1902,INSUMOS_AUX!A:F,6,0),0)</f>
        <v>14.49</v>
      </c>
    </row>
    <row r="1903" customFormat="false" ht="15" hidden="false" customHeight="false" outlineLevel="0" collapsed="false">
      <c r="A1903" s="154" t="n">
        <v>6111</v>
      </c>
      <c r="B1903" s="155" t="s">
        <v>1464</v>
      </c>
      <c r="C1903" s="148" t="str">
        <f aca="false">VLOOKUP($A1903,INSUMOS_AUX!$A$3:$H$813,3,0)</f>
        <v>M.O.</v>
      </c>
      <c r="D1903" s="156" t="s">
        <v>1444</v>
      </c>
      <c r="E1903" s="154" t="n">
        <v>0.199134</v>
      </c>
      <c r="F1903" s="149" t="n">
        <f aca="false">IF(C1903="MAT.",VLOOKUP(A1903,INSUMOS_AUX!$A$3:$H$813,6,0),0)</f>
        <v>0</v>
      </c>
      <c r="G1903" s="149" t="n">
        <f aca="false">IF(C1903="M.O.",VLOOKUP(A1903,INSUMOS_AUX!A:F,6,0),0)</f>
        <v>12.95</v>
      </c>
    </row>
    <row r="1904" customFormat="false" ht="21" hidden="false" customHeight="false" outlineLevel="0" collapsed="false">
      <c r="A1904" s="150" t="n">
        <v>105024</v>
      </c>
      <c r="B1904" s="151" t="s">
        <v>1802</v>
      </c>
      <c r="C1904" s="152" t="s">
        <v>59</v>
      </c>
      <c r="D1904" s="152" t="s">
        <v>1455</v>
      </c>
      <c r="E1904" s="150"/>
      <c r="F1904" s="153" t="n">
        <f aca="false">(SUMPRODUCT($E1905:$E1937,F1905:F1937))*1</f>
        <v>30.9930807310738</v>
      </c>
      <c r="G1904" s="153" t="n">
        <f aca="false">(SUMPRODUCT($E1905:$E1937,G1905:G1937))*1</f>
        <v>13.9021122481426</v>
      </c>
    </row>
    <row r="1905" customFormat="false" ht="21" hidden="false" customHeight="false" outlineLevel="0" collapsed="false">
      <c r="A1905" s="154" t="n">
        <v>37370</v>
      </c>
      <c r="B1905" s="155" t="s">
        <v>1443</v>
      </c>
      <c r="C1905" s="148" t="str">
        <f aca="false">VLOOKUP($A1905,INSUMOS_AUX!$A$3:$H$813,3,0)</f>
        <v>MAT.</v>
      </c>
      <c r="D1905" s="156" t="s">
        <v>1444</v>
      </c>
      <c r="E1905" s="154" t="n">
        <v>0.8043419</v>
      </c>
      <c r="F1905" s="149" t="n">
        <f aca="false">IF(C1905="MAT.",VLOOKUP(A1905,INSUMOS_AUX!$A$3:$H$813,6,0),0)</f>
        <v>3.32</v>
      </c>
      <c r="G1905" s="149" t="n">
        <f aca="false">IF(C1905="M.O.",VLOOKUP(A1905,INSUMOS_AUX!A:F,6,0),0)</f>
        <v>0</v>
      </c>
    </row>
    <row r="1906" customFormat="false" ht="21" hidden="false" customHeight="false" outlineLevel="0" collapsed="false">
      <c r="A1906" s="154" t="n">
        <v>43483</v>
      </c>
      <c r="B1906" s="155" t="s">
        <v>1486</v>
      </c>
      <c r="C1906" s="148" t="str">
        <f aca="false">VLOOKUP($A1906,INSUMOS_AUX!$A$3:$H$813,3,0)</f>
        <v>MAT.</v>
      </c>
      <c r="D1906" s="156" t="s">
        <v>1444</v>
      </c>
      <c r="E1906" s="154" t="n">
        <v>0.091274</v>
      </c>
      <c r="F1906" s="149" t="n">
        <f aca="false">IF(C1906="MAT.",VLOOKUP(A1906,INSUMOS_AUX!$A$3:$H$813,6,0),0)</f>
        <v>1.43</v>
      </c>
      <c r="G1906" s="149" t="n">
        <f aca="false">IF(C1906="M.O.",VLOOKUP(A1906,INSUMOS_AUX!A:F,6,0),0)</f>
        <v>0</v>
      </c>
    </row>
    <row r="1907" customFormat="false" ht="21" hidden="false" customHeight="false" outlineLevel="0" collapsed="false">
      <c r="A1907" s="154" t="n">
        <v>43488</v>
      </c>
      <c r="B1907" s="155" t="s">
        <v>1445</v>
      </c>
      <c r="C1907" s="148" t="str">
        <f aca="false">VLOOKUP($A1907,INSUMOS_AUX!$A$3:$H$813,3,0)</f>
        <v>MAT.</v>
      </c>
      <c r="D1907" s="156" t="s">
        <v>1444</v>
      </c>
      <c r="E1907" s="154" t="n">
        <v>0.0600166</v>
      </c>
      <c r="F1907" s="149" t="n">
        <f aca="false">IF(C1907="MAT.",VLOOKUP(A1907,INSUMOS_AUX!$A$3:$H$813,6,0),0)</f>
        <v>0.89</v>
      </c>
      <c r="G1907" s="149" t="n">
        <f aca="false">IF(C1907="M.O.",VLOOKUP(A1907,INSUMOS_AUX!A:F,6,0),0)</f>
        <v>0</v>
      </c>
    </row>
    <row r="1908" customFormat="false" ht="21" hidden="false" customHeight="false" outlineLevel="0" collapsed="false">
      <c r="A1908" s="154" t="n">
        <v>43489</v>
      </c>
      <c r="B1908" s="155" t="s">
        <v>1456</v>
      </c>
      <c r="C1908" s="148" t="s">
        <v>59</v>
      </c>
      <c r="D1908" s="156" t="s">
        <v>1444</v>
      </c>
      <c r="E1908" s="154" t="n">
        <v>0.404852</v>
      </c>
      <c r="F1908" s="149" t="n">
        <f aca="false">IF(C1908="MAT.",VLOOKUP(A1908,INSUMOS_AUX!$A$3:$H$813,6,0),0)</f>
        <v>0</v>
      </c>
      <c r="G1908" s="149" t="n">
        <f aca="false">IF(C1908="M.O.",VLOOKUP(A1908,INSUMOS_AUX!A:F,6,0),0)</f>
        <v>0</v>
      </c>
    </row>
    <row r="1909" customFormat="false" ht="21" hidden="false" customHeight="false" outlineLevel="0" collapsed="false">
      <c r="A1909" s="154" t="n">
        <v>43491</v>
      </c>
      <c r="B1909" s="155" t="s">
        <v>1457</v>
      </c>
      <c r="C1909" s="148" t="str">
        <f aca="false">VLOOKUP($A1909,INSUMOS_AUX!$A$3:$H$813,3,0)</f>
        <v>MAT.</v>
      </c>
      <c r="D1909" s="156" t="s">
        <v>1444</v>
      </c>
      <c r="E1909" s="154" t="n">
        <v>0.2481993</v>
      </c>
      <c r="F1909" s="149" t="n">
        <f aca="false">IF(C1909="MAT.",VLOOKUP(A1909,INSUMOS_AUX!$A$3:$H$813,6,0),0)</f>
        <v>1.39</v>
      </c>
      <c r="G1909" s="149" t="n">
        <f aca="false">IF(C1909="M.O.",VLOOKUP(A1909,INSUMOS_AUX!A:F,6,0),0)</f>
        <v>0</v>
      </c>
    </row>
    <row r="1910" customFormat="false" ht="21" hidden="false" customHeight="false" outlineLevel="0" collapsed="false">
      <c r="A1910" s="154" t="n">
        <v>37372</v>
      </c>
      <c r="B1910" s="155" t="s">
        <v>1446</v>
      </c>
      <c r="C1910" s="148" t="str">
        <f aca="false">VLOOKUP($A1910,INSUMOS_AUX!$A$3:$H$813,3,0)</f>
        <v>MAT.</v>
      </c>
      <c r="D1910" s="156" t="s">
        <v>1444</v>
      </c>
      <c r="E1910" s="154" t="n">
        <v>0.8043419</v>
      </c>
      <c r="F1910" s="149" t="n">
        <f aca="false">IF(C1910="MAT.",VLOOKUP(A1910,INSUMOS_AUX!$A$3:$H$813,6,0),0)</f>
        <v>1.43</v>
      </c>
      <c r="G1910" s="149" t="n">
        <f aca="false">IF(C1910="M.O.",VLOOKUP(A1910,INSUMOS_AUX!A:F,6,0),0)</f>
        <v>0</v>
      </c>
    </row>
    <row r="1911" customFormat="false" ht="21" hidden="false" customHeight="false" outlineLevel="0" collapsed="false">
      <c r="A1911" s="154" t="n">
        <v>43459</v>
      </c>
      <c r="B1911" s="155" t="s">
        <v>1487</v>
      </c>
      <c r="C1911" s="148" t="str">
        <f aca="false">VLOOKUP($A1911,INSUMOS_AUX!$A$3:$H$813,3,0)</f>
        <v>MAT.</v>
      </c>
      <c r="D1911" s="156" t="s">
        <v>1444</v>
      </c>
      <c r="E1911" s="154" t="n">
        <v>0.091274</v>
      </c>
      <c r="F1911" s="149" t="n">
        <f aca="false">IF(C1911="MAT.",VLOOKUP(A1911,INSUMOS_AUX!$A$3:$H$813,6,0),0)</f>
        <v>0.44</v>
      </c>
      <c r="G1911" s="149" t="n">
        <f aca="false">IF(C1911="M.O.",VLOOKUP(A1911,INSUMOS_AUX!A:F,6,0),0)</f>
        <v>0</v>
      </c>
    </row>
    <row r="1912" customFormat="false" ht="21" hidden="false" customHeight="false" outlineLevel="0" collapsed="false">
      <c r="A1912" s="154" t="n">
        <v>43464</v>
      </c>
      <c r="B1912" s="155" t="s">
        <v>1447</v>
      </c>
      <c r="C1912" s="148" t="str">
        <f aca="false">VLOOKUP($A1912,INSUMOS_AUX!$A$3:$H$813,3,0)</f>
        <v>MAT.</v>
      </c>
      <c r="D1912" s="156" t="s">
        <v>1444</v>
      </c>
      <c r="E1912" s="154" t="n">
        <v>0.0600166</v>
      </c>
      <c r="F1912" s="149" t="n">
        <f aca="false">IF(C1912="MAT.",VLOOKUP(A1912,INSUMOS_AUX!$A$3:$H$813,6,0),0)</f>
        <v>0.01</v>
      </c>
      <c r="G1912" s="149" t="n">
        <f aca="false">IF(C1912="M.O.",VLOOKUP(A1912,INSUMOS_AUX!A:F,6,0),0)</f>
        <v>0</v>
      </c>
    </row>
    <row r="1913" customFormat="false" ht="21" hidden="false" customHeight="false" outlineLevel="0" collapsed="false">
      <c r="A1913" s="154" t="n">
        <v>43465</v>
      </c>
      <c r="B1913" s="155" t="s">
        <v>1458</v>
      </c>
      <c r="C1913" s="148" t="str">
        <f aca="false">VLOOKUP($A1913,INSUMOS_AUX!$A$3:$H$813,3,0)</f>
        <v>MAT.</v>
      </c>
      <c r="D1913" s="156" t="s">
        <v>1444</v>
      </c>
      <c r="E1913" s="154" t="n">
        <v>0.404852</v>
      </c>
      <c r="F1913" s="149" t="n">
        <f aca="false">IF(C1913="MAT.",VLOOKUP(A1913,INSUMOS_AUX!$A$3:$H$813,6,0),0)</f>
        <v>0.78</v>
      </c>
      <c r="G1913" s="149" t="n">
        <f aca="false">IF(C1913="M.O.",VLOOKUP(A1913,INSUMOS_AUX!A:F,6,0),0)</f>
        <v>0</v>
      </c>
    </row>
    <row r="1914" customFormat="false" ht="21" hidden="false" customHeight="false" outlineLevel="0" collapsed="false">
      <c r="A1914" s="154" t="n">
        <v>43467</v>
      </c>
      <c r="B1914" s="155" t="s">
        <v>1459</v>
      </c>
      <c r="C1914" s="148" t="str">
        <f aca="false">VLOOKUP($A1914,INSUMOS_AUX!$A$3:$H$813,3,0)</f>
        <v>MAT.</v>
      </c>
      <c r="D1914" s="156" t="s">
        <v>1444</v>
      </c>
      <c r="E1914" s="154" t="n">
        <v>0.2481993</v>
      </c>
      <c r="F1914" s="149" t="n">
        <f aca="false">IF(C1914="MAT.",VLOOKUP(A1914,INSUMOS_AUX!$A$3:$H$813,6,0),0)</f>
        <v>0.61</v>
      </c>
      <c r="G1914" s="149" t="n">
        <f aca="false">IF(C1914="M.O.",VLOOKUP(A1914,INSUMOS_AUX!A:F,6,0),0)</f>
        <v>0</v>
      </c>
    </row>
    <row r="1915" customFormat="false" ht="21" hidden="false" customHeight="false" outlineLevel="0" collapsed="false">
      <c r="A1915" s="154" t="n">
        <v>37373</v>
      </c>
      <c r="B1915" s="155" t="s">
        <v>1448</v>
      </c>
      <c r="C1915" s="148" t="str">
        <f aca="false">VLOOKUP($A1915,INSUMOS_AUX!$A$3:$H$813,3,0)</f>
        <v>MAT.</v>
      </c>
      <c r="D1915" s="156" t="s">
        <v>1444</v>
      </c>
      <c r="E1915" s="154" t="n">
        <v>0.8043419</v>
      </c>
      <c r="F1915" s="149" t="n">
        <f aca="false">IF(C1915="MAT.",VLOOKUP(A1915,INSUMOS_AUX!$A$3:$H$813,6,0),0)</f>
        <v>0.08</v>
      </c>
      <c r="G1915" s="149" t="n">
        <f aca="false">IF(C1915="M.O.",VLOOKUP(A1915,INSUMOS_AUX!A:F,6,0),0)</f>
        <v>0</v>
      </c>
    </row>
    <row r="1916" customFormat="false" ht="21" hidden="false" customHeight="false" outlineLevel="0" collapsed="false">
      <c r="A1916" s="154" t="n">
        <v>37371</v>
      </c>
      <c r="B1916" s="155" t="s">
        <v>1449</v>
      </c>
      <c r="C1916" s="148" t="str">
        <f aca="false">VLOOKUP($A1916,INSUMOS_AUX!$A$3:$H$813,3,0)</f>
        <v>MAT.</v>
      </c>
      <c r="D1916" s="156" t="s">
        <v>1444</v>
      </c>
      <c r="E1916" s="154" t="n">
        <v>0.8043419</v>
      </c>
      <c r="F1916" s="149" t="n">
        <f aca="false">IF(C1916="MAT.",VLOOKUP(A1916,INSUMOS_AUX!$A$3:$H$813,6,0),0)</f>
        <v>0.59</v>
      </c>
      <c r="G1916" s="149" t="n">
        <f aca="false">IF(C1916="M.O.",VLOOKUP(A1916,INSUMOS_AUX!A:F,6,0),0)</f>
        <v>0</v>
      </c>
    </row>
    <row r="1917" customFormat="false" ht="31.5" hidden="false" customHeight="false" outlineLevel="0" collapsed="false">
      <c r="A1917" s="154" t="n">
        <v>10535</v>
      </c>
      <c r="B1917" s="155" t="s">
        <v>1525</v>
      </c>
      <c r="C1917" s="148" t="str">
        <f aca="false">VLOOKUP($A1917,INSUMOS_AUX!$A$3:$H$813,3,0)</f>
        <v>MAT.</v>
      </c>
      <c r="D1917" s="156" t="s">
        <v>31</v>
      </c>
      <c r="E1917" s="154" t="n">
        <v>3.86936508E-006</v>
      </c>
      <c r="F1917" s="149" t="n">
        <f aca="false">IF(C1917="MAT.",VLOOKUP(A1917,INSUMOS_AUX!$A$3:$H$813,6,0),0)</f>
        <v>4699</v>
      </c>
      <c r="G1917" s="149" t="n">
        <f aca="false">IF(C1917="M.O.",VLOOKUP(A1917,INSUMOS_AUX!A:F,6,0),0)</f>
        <v>0</v>
      </c>
    </row>
    <row r="1918" customFormat="false" ht="21" hidden="false" customHeight="false" outlineLevel="0" collapsed="false">
      <c r="A1918" s="154" t="n">
        <v>14618</v>
      </c>
      <c r="B1918" s="155" t="s">
        <v>1592</v>
      </c>
      <c r="C1918" s="148" t="str">
        <f aca="false">VLOOKUP($A1918,INSUMOS_AUX!$A$3:$H$813,3,0)</f>
        <v>MAT.</v>
      </c>
      <c r="D1918" s="156" t="s">
        <v>31</v>
      </c>
      <c r="E1918" s="154" t="n">
        <v>2.547776E-006</v>
      </c>
      <c r="F1918" s="149" t="n">
        <f aca="false">IF(C1918="MAT.",VLOOKUP(A1918,INSUMOS_AUX!$A$3:$H$813,6,0),0)</f>
        <v>1283.38</v>
      </c>
      <c r="G1918" s="149" t="n">
        <f aca="false">IF(C1918="M.O.",VLOOKUP(A1918,INSUMOS_AUX!A:F,6,0),0)</f>
        <v>0</v>
      </c>
    </row>
    <row r="1919" customFormat="false" ht="15" hidden="false" customHeight="false" outlineLevel="0" collapsed="false">
      <c r="A1919" s="154" t="n">
        <v>2705</v>
      </c>
      <c r="B1919" s="155" t="s">
        <v>1467</v>
      </c>
      <c r="C1919" s="148" t="str">
        <f aca="false">VLOOKUP($A1919,INSUMOS_AUX!$A$3:$H$813,3,0)</f>
        <v>MAT.</v>
      </c>
      <c r="D1919" s="156" t="s">
        <v>1468</v>
      </c>
      <c r="E1919" s="154" t="n">
        <v>0.028838915</v>
      </c>
      <c r="F1919" s="149" t="n">
        <f aca="false">IF(C1919="MAT.",VLOOKUP(A1919,INSUMOS_AUX!$A$3:$H$813,6,0),0)</f>
        <v>0.92</v>
      </c>
      <c r="G1919" s="149" t="n">
        <f aca="false">IF(C1919="M.O.",VLOOKUP(A1919,INSUMOS_AUX!A:F,6,0),0)</f>
        <v>0</v>
      </c>
    </row>
    <row r="1920" customFormat="false" ht="15" hidden="false" customHeight="false" outlineLevel="0" collapsed="false">
      <c r="A1920" s="154" t="n">
        <v>33</v>
      </c>
      <c r="B1920" s="155" t="s">
        <v>1633</v>
      </c>
      <c r="C1920" s="148" t="str">
        <f aca="false">VLOOKUP($A1920,INSUMOS_AUX!$A$3:$H$813,3,0)</f>
        <v>MAT.</v>
      </c>
      <c r="D1920" s="156" t="s">
        <v>1513</v>
      </c>
      <c r="E1920" s="154" t="n">
        <v>0.8769</v>
      </c>
      <c r="F1920" s="149" t="n">
        <f aca="false">IF(C1920="MAT.",VLOOKUP(A1920,INSUMOS_AUX!$A$3:$H$813,6,0),0)</f>
        <v>8.14</v>
      </c>
      <c r="G1920" s="149" t="n">
        <f aca="false">IF(C1920="M.O.",VLOOKUP(A1920,INSUMOS_AUX!A:F,6,0),0)</f>
        <v>0</v>
      </c>
    </row>
    <row r="1921" customFormat="false" ht="21" hidden="false" customHeight="false" outlineLevel="0" collapsed="false">
      <c r="A1921" s="154" t="n">
        <v>370</v>
      </c>
      <c r="B1921" s="155" t="s">
        <v>1527</v>
      </c>
      <c r="C1921" s="148" t="str">
        <f aca="false">VLOOKUP($A1921,INSUMOS_AUX!$A$3:$H$813,3,0)</f>
        <v>MAT.</v>
      </c>
      <c r="D1921" s="156" t="s">
        <v>1442</v>
      </c>
      <c r="E1921" s="154" t="n">
        <v>0.0158718</v>
      </c>
      <c r="F1921" s="149" t="n">
        <f aca="false">IF(C1921="MAT.",VLOOKUP(A1921,INSUMOS_AUX!$A$3:$H$813,6,0),0)</f>
        <v>150</v>
      </c>
      <c r="G1921" s="149" t="n">
        <f aca="false">IF(C1921="M.O.",VLOOKUP(A1921,INSUMOS_AUX!A:F,6,0),0)</f>
        <v>0</v>
      </c>
    </row>
    <row r="1922" customFormat="false" ht="15" hidden="false" customHeight="false" outlineLevel="0" collapsed="false">
      <c r="A1922" s="154" t="n">
        <v>1379</v>
      </c>
      <c r="B1922" s="155" t="s">
        <v>1535</v>
      </c>
      <c r="C1922" s="148" t="s">
        <v>59</v>
      </c>
      <c r="D1922" s="156" t="s">
        <v>1513</v>
      </c>
      <c r="E1922" s="154" t="n">
        <v>6.7825317</v>
      </c>
      <c r="F1922" s="149" t="n">
        <f aca="false">IF(C1922="MAT.",VLOOKUP(A1922,INSUMOS_AUX!$A$3:$H$813,6,0),0)</f>
        <v>0</v>
      </c>
      <c r="G1922" s="149" t="n">
        <f aca="false">IF(C1922="M.O.",VLOOKUP(A1922,INSUMOS_AUX!A:F,6,0),0)</f>
        <v>0</v>
      </c>
    </row>
    <row r="1923" customFormat="false" ht="21" hidden="false" customHeight="false" outlineLevel="0" collapsed="false">
      <c r="A1923" s="154" t="n">
        <v>2692</v>
      </c>
      <c r="B1923" s="155" t="s">
        <v>1570</v>
      </c>
      <c r="C1923" s="148" t="str">
        <f aca="false">VLOOKUP($A1923,INSUMOS_AUX!$A$3:$H$813,3,0)</f>
        <v>MAT.</v>
      </c>
      <c r="D1923" s="156" t="s">
        <v>1452</v>
      </c>
      <c r="E1923" s="154" t="n">
        <v>0.008</v>
      </c>
      <c r="F1923" s="149" t="n">
        <f aca="false">IF(C1923="MAT.",VLOOKUP(A1923,INSUMOS_AUX!$A$3:$H$813,6,0),0)</f>
        <v>6.52</v>
      </c>
      <c r="G1923" s="149" t="n">
        <f aca="false">IF(C1923="M.O.",VLOOKUP(A1923,INSUMOS_AUX!A:F,6,0),0)</f>
        <v>0</v>
      </c>
    </row>
    <row r="1924" customFormat="false" ht="21" hidden="false" customHeight="false" outlineLevel="0" collapsed="false">
      <c r="A1924" s="154" t="n">
        <v>39017</v>
      </c>
      <c r="B1924" s="155" t="s">
        <v>1621</v>
      </c>
      <c r="C1924" s="148" t="str">
        <f aca="false">VLOOKUP($A1924,INSUMOS_AUX!$A$3:$H$813,3,0)</f>
        <v>MAT.</v>
      </c>
      <c r="D1924" s="156" t="s">
        <v>31</v>
      </c>
      <c r="E1924" s="154" t="n">
        <v>6</v>
      </c>
      <c r="F1924" s="149" t="n">
        <f aca="false">IF(C1924="MAT.",VLOOKUP(A1924,INSUMOS_AUX!$A$3:$H$813,6,0),0)</f>
        <v>0.22</v>
      </c>
      <c r="G1924" s="149" t="n">
        <f aca="false">IF(C1924="M.O.",VLOOKUP(A1924,INSUMOS_AUX!A:F,6,0),0)</f>
        <v>0</v>
      </c>
    </row>
    <row r="1925" customFormat="false" ht="21" hidden="false" customHeight="false" outlineLevel="0" collapsed="false">
      <c r="A1925" s="154" t="n">
        <v>4721</v>
      </c>
      <c r="B1925" s="155" t="s">
        <v>1593</v>
      </c>
      <c r="C1925" s="148" t="str">
        <f aca="false">VLOOKUP($A1925,INSUMOS_AUX!$A$3:$H$813,3,0)</f>
        <v>MAT.</v>
      </c>
      <c r="D1925" s="156" t="s">
        <v>1442</v>
      </c>
      <c r="E1925" s="154" t="n">
        <v>0.0123312</v>
      </c>
      <c r="F1925" s="149" t="n">
        <f aca="false">IF(C1925="MAT.",VLOOKUP(A1925,INSUMOS_AUX!$A$3:$H$813,6,0),0)</f>
        <v>115.7</v>
      </c>
      <c r="G1925" s="149" t="n">
        <f aca="false">IF(C1925="M.O.",VLOOKUP(A1925,INSUMOS_AUX!A:F,6,0),0)</f>
        <v>0</v>
      </c>
    </row>
    <row r="1926" customFormat="false" ht="21" hidden="false" customHeight="false" outlineLevel="0" collapsed="false">
      <c r="A1926" s="154" t="n">
        <v>4491</v>
      </c>
      <c r="B1926" s="155" t="s">
        <v>1578</v>
      </c>
      <c r="C1926" s="148" t="str">
        <f aca="false">VLOOKUP($A1926,INSUMOS_AUX!$A$3:$H$813,3,0)</f>
        <v>MAT.</v>
      </c>
      <c r="D1926" s="156" t="s">
        <v>1455</v>
      </c>
      <c r="E1926" s="154" t="n">
        <v>0.203</v>
      </c>
      <c r="F1926" s="149" t="n">
        <f aca="false">IF(C1926="MAT.",VLOOKUP(A1926,INSUMOS_AUX!$A$3:$H$813,6,0),0)</f>
        <v>10.25</v>
      </c>
      <c r="G1926" s="149" t="n">
        <f aca="false">IF(C1926="M.O.",VLOOKUP(A1926,INSUMOS_AUX!A:F,6,0),0)</f>
        <v>0</v>
      </c>
    </row>
    <row r="1927" customFormat="false" ht="15" hidden="false" customHeight="false" outlineLevel="0" collapsed="false">
      <c r="A1927" s="154" t="n">
        <v>5068</v>
      </c>
      <c r="B1927" s="155" t="s">
        <v>1579</v>
      </c>
      <c r="C1927" s="148" t="str">
        <f aca="false">VLOOKUP($A1927,INSUMOS_AUX!$A$3:$H$813,3,0)</f>
        <v>MAT.</v>
      </c>
      <c r="D1927" s="156" t="s">
        <v>1513</v>
      </c>
      <c r="E1927" s="154" t="n">
        <v>0.012032</v>
      </c>
      <c r="F1927" s="149" t="n">
        <f aca="false">IF(C1927="MAT.",VLOOKUP(A1927,INSUMOS_AUX!$A$3:$H$813,6,0),0)</f>
        <v>20.34</v>
      </c>
      <c r="G1927" s="149" t="n">
        <f aca="false">IF(C1927="M.O.",VLOOKUP(A1927,INSUMOS_AUX!A:F,6,0),0)</f>
        <v>0</v>
      </c>
    </row>
    <row r="1928" customFormat="false" ht="21" hidden="false" customHeight="false" outlineLevel="0" collapsed="false">
      <c r="A1928" s="154" t="n">
        <v>4517</v>
      </c>
      <c r="B1928" s="155" t="s">
        <v>1582</v>
      </c>
      <c r="C1928" s="148" t="str">
        <f aca="false">VLOOKUP($A1928,INSUMOS_AUX!$A$3:$H$813,3,0)</f>
        <v>MAT.</v>
      </c>
      <c r="D1928" s="156" t="s">
        <v>1455</v>
      </c>
      <c r="E1928" s="154" t="n">
        <v>0.397432</v>
      </c>
      <c r="F1928" s="149" t="n">
        <f aca="false">IF(C1928="MAT.",VLOOKUP(A1928,INSUMOS_AUX!$A$3:$H$813,6,0),0)</f>
        <v>3.58</v>
      </c>
      <c r="G1928" s="149" t="n">
        <f aca="false">IF(C1928="M.O.",VLOOKUP(A1928,INSUMOS_AUX!A:F,6,0),0)</f>
        <v>0</v>
      </c>
    </row>
    <row r="1929" customFormat="false" ht="31.5" hidden="false" customHeight="false" outlineLevel="0" collapsed="false">
      <c r="A1929" s="154" t="n">
        <v>6189</v>
      </c>
      <c r="B1929" s="155" t="s">
        <v>1803</v>
      </c>
      <c r="C1929" s="148" t="str">
        <f aca="false">VLOOKUP($A1929,INSUMOS_AUX!$A$3:$H$813,3,0)</f>
        <v>MAT.</v>
      </c>
      <c r="D1929" s="156" t="s">
        <v>1455</v>
      </c>
      <c r="E1929" s="154" t="n">
        <v>0.418112</v>
      </c>
      <c r="F1929" s="149" t="n">
        <f aca="false">IF(C1929="MAT.",VLOOKUP(A1929,INSUMOS_AUX!$A$3:$H$813,6,0),0)</f>
        <v>22.68</v>
      </c>
      <c r="G1929" s="149" t="n">
        <f aca="false">IF(C1929="M.O.",VLOOKUP(A1929,INSUMOS_AUX!A:F,6,0),0)</f>
        <v>0</v>
      </c>
    </row>
    <row r="1930" customFormat="false" ht="15" hidden="false" customHeight="false" outlineLevel="0" collapsed="false">
      <c r="A1930" s="154" t="n">
        <v>6114</v>
      </c>
      <c r="B1930" s="155" t="s">
        <v>1588</v>
      </c>
      <c r="C1930" s="148" t="str">
        <f aca="false">VLOOKUP($A1930,INSUMOS_AUX!$A$3:$H$813,3,0)</f>
        <v>M.O.</v>
      </c>
      <c r="D1930" s="156" t="s">
        <v>1444</v>
      </c>
      <c r="E1930" s="154" t="n">
        <v>0.00207770316</v>
      </c>
      <c r="F1930" s="149" t="n">
        <f aca="false">IF(C1930="MAT.",VLOOKUP(A1930,INSUMOS_AUX!$A$3:$H$813,6,0),0)</f>
        <v>0</v>
      </c>
      <c r="G1930" s="149" t="n">
        <f aca="false">IF(C1930="M.O.",VLOOKUP(A1930,INSUMOS_AUX!A:F,6,0),0)</f>
        <v>13.26</v>
      </c>
    </row>
    <row r="1931" customFormat="false" ht="15" hidden="false" customHeight="false" outlineLevel="0" collapsed="false">
      <c r="A1931" s="154" t="n">
        <v>378</v>
      </c>
      <c r="B1931" s="155" t="s">
        <v>1589</v>
      </c>
      <c r="C1931" s="148" t="s">
        <v>59</v>
      </c>
      <c r="D1931" s="156" t="s">
        <v>1444</v>
      </c>
      <c r="E1931" s="154" t="n">
        <v>0.01294568892</v>
      </c>
      <c r="F1931" s="149" t="n">
        <f aca="false">IF(C1931="MAT.",VLOOKUP(A1931,INSUMOS_AUX!$A$3:$H$813,6,0),0)</f>
        <v>0</v>
      </c>
      <c r="G1931" s="149" t="n">
        <f aca="false">IF(C1931="M.O.",VLOOKUP(A1931,INSUMOS_AUX!A:F,6,0),0)</f>
        <v>0</v>
      </c>
    </row>
    <row r="1932" customFormat="false" ht="15" hidden="false" customHeight="false" outlineLevel="0" collapsed="false">
      <c r="A1932" s="154" t="n">
        <v>6117</v>
      </c>
      <c r="B1932" s="155" t="s">
        <v>1555</v>
      </c>
      <c r="C1932" s="148" t="str">
        <f aca="false">VLOOKUP($A1932,INSUMOS_AUX!$A$3:$H$813,3,0)</f>
        <v>M.O.</v>
      </c>
      <c r="D1932" s="156" t="s">
        <v>1444</v>
      </c>
      <c r="E1932" s="154" t="n">
        <v>0.01707435176</v>
      </c>
      <c r="F1932" s="149" t="n">
        <f aca="false">IF(C1932="MAT.",VLOOKUP(A1932,INSUMOS_AUX!$A$3:$H$813,6,0),0)</f>
        <v>0</v>
      </c>
      <c r="G1932" s="149" t="n">
        <f aca="false">IF(C1932="M.O.",VLOOKUP(A1932,INSUMOS_AUX!A:F,6,0),0)</f>
        <v>13.26</v>
      </c>
    </row>
    <row r="1933" customFormat="false" ht="15" hidden="false" customHeight="false" outlineLevel="0" collapsed="false">
      <c r="A1933" s="154" t="n">
        <v>1213</v>
      </c>
      <c r="B1933" s="155" t="s">
        <v>1516</v>
      </c>
      <c r="C1933" s="148" t="str">
        <f aca="false">VLOOKUP($A1933,INSUMOS_AUX!$A$3:$H$813,3,0)</f>
        <v>M.O.</v>
      </c>
      <c r="D1933" s="156" t="s">
        <v>1444</v>
      </c>
      <c r="E1933" s="154" t="n">
        <v>0.07530712992</v>
      </c>
      <c r="F1933" s="149" t="n">
        <f aca="false">IF(C1933="MAT.",VLOOKUP(A1933,INSUMOS_AUX!$A$3:$H$813,6,0),0)</f>
        <v>0</v>
      </c>
      <c r="G1933" s="149" t="n">
        <f aca="false">IF(C1933="M.O.",VLOOKUP(A1933,INSUMOS_AUX!A:F,6,0),0)</f>
        <v>20.22</v>
      </c>
    </row>
    <row r="1934" customFormat="false" ht="15" hidden="false" customHeight="false" outlineLevel="0" collapsed="false">
      <c r="A1934" s="154" t="n">
        <v>37666</v>
      </c>
      <c r="B1934" s="155" t="s">
        <v>1558</v>
      </c>
      <c r="C1934" s="148" t="str">
        <f aca="false">VLOOKUP($A1934,INSUMOS_AUX!$A$3:$H$813,3,0)</f>
        <v>M.O.</v>
      </c>
      <c r="D1934" s="156" t="s">
        <v>1444</v>
      </c>
      <c r="E1934" s="154" t="n">
        <v>0.033976618746</v>
      </c>
      <c r="F1934" s="149" t="n">
        <f aca="false">IF(C1934="MAT.",VLOOKUP(A1934,INSUMOS_AUX!$A$3:$H$813,6,0),0)</f>
        <v>0</v>
      </c>
      <c r="G1934" s="149" t="n">
        <f aca="false">IF(C1934="M.O.",VLOOKUP(A1934,INSUMOS_AUX!A:F,6,0),0)</f>
        <v>11.87</v>
      </c>
    </row>
    <row r="1935" customFormat="false" ht="21" hidden="false" customHeight="false" outlineLevel="0" collapsed="false">
      <c r="A1935" s="154" t="n">
        <v>4230</v>
      </c>
      <c r="B1935" s="155" t="s">
        <v>1597</v>
      </c>
      <c r="C1935" s="148" t="str">
        <f aca="false">VLOOKUP($A1935,INSUMOS_AUX!$A$3:$H$813,3,0)</f>
        <v>M.O.</v>
      </c>
      <c r="D1935" s="156" t="s">
        <v>1444</v>
      </c>
      <c r="E1935" s="154" t="n">
        <v>0.0266237328</v>
      </c>
      <c r="F1935" s="149" t="n">
        <f aca="false">IF(C1935="MAT.",VLOOKUP(A1935,INSUMOS_AUX!$A$3:$H$813,6,0),0)</f>
        <v>0</v>
      </c>
      <c r="G1935" s="149" t="n">
        <f aca="false">IF(C1935="M.O.",VLOOKUP(A1935,INSUMOS_AUX!A:F,6,0),0)</f>
        <v>14.53</v>
      </c>
    </row>
    <row r="1936" customFormat="false" ht="15" hidden="false" customHeight="false" outlineLevel="0" collapsed="false">
      <c r="A1936" s="154" t="n">
        <v>4750</v>
      </c>
      <c r="B1936" s="155" t="s">
        <v>1463</v>
      </c>
      <c r="C1936" s="148" t="str">
        <f aca="false">VLOOKUP($A1936,INSUMOS_AUX!$A$3:$H$813,3,0)</f>
        <v>M.O.</v>
      </c>
      <c r="D1936" s="156" t="s">
        <v>1444</v>
      </c>
      <c r="E1936" s="154" t="n">
        <v>0.398268</v>
      </c>
      <c r="F1936" s="149" t="n">
        <f aca="false">IF(C1936="MAT.",VLOOKUP(A1936,INSUMOS_AUX!$A$3:$H$813,6,0),0)</f>
        <v>0</v>
      </c>
      <c r="G1936" s="149" t="n">
        <f aca="false">IF(C1936="M.O.",VLOOKUP(A1936,INSUMOS_AUX!A:F,6,0),0)</f>
        <v>20.22</v>
      </c>
    </row>
    <row r="1937" customFormat="false" ht="15" hidden="false" customHeight="false" outlineLevel="0" collapsed="false">
      <c r="A1937" s="154" t="n">
        <v>6111</v>
      </c>
      <c r="B1937" s="155" t="s">
        <v>1464</v>
      </c>
      <c r="C1937" s="148" t="str">
        <f aca="false">VLOOKUP($A1937,INSUMOS_AUX!$A$3:$H$813,3,0)</f>
        <v>M.O.</v>
      </c>
      <c r="D1937" s="156" t="s">
        <v>1444</v>
      </c>
      <c r="E1937" s="154" t="n">
        <v>0.25346112516</v>
      </c>
      <c r="F1937" s="149" t="n">
        <f aca="false">IF(C1937="MAT.",VLOOKUP(A1937,INSUMOS_AUX!$A$3:$H$813,6,0),0)</f>
        <v>0</v>
      </c>
      <c r="G1937" s="149" t="n">
        <f aca="false">IF(C1937="M.O.",VLOOKUP(A1937,INSUMOS_AUX!A:F,6,0),0)</f>
        <v>12.95</v>
      </c>
    </row>
    <row r="1938" customFormat="false" ht="21" hidden="false" customHeight="false" outlineLevel="0" collapsed="false">
      <c r="A1938" s="150" t="n">
        <v>105030</v>
      </c>
      <c r="B1938" s="151" t="s">
        <v>1804</v>
      </c>
      <c r="C1938" s="152" t="s">
        <v>59</v>
      </c>
      <c r="D1938" s="152" t="s">
        <v>1455</v>
      </c>
      <c r="E1938" s="150"/>
      <c r="F1938" s="153" t="n">
        <f aca="false">(SUMPRODUCT($E1939:$E1970,F1939:F1970))*1</f>
        <v>30.0449140807109</v>
      </c>
      <c r="G1938" s="153" t="n">
        <f aca="false">(SUMPRODUCT($E1939:$E1970,G1939:G1970))*1</f>
        <v>8.93628762201702</v>
      </c>
    </row>
    <row r="1939" customFormat="false" ht="21" hidden="false" customHeight="false" outlineLevel="0" collapsed="false">
      <c r="A1939" s="154" t="n">
        <v>37370</v>
      </c>
      <c r="B1939" s="155" t="s">
        <v>1443</v>
      </c>
      <c r="C1939" s="148" t="str">
        <f aca="false">VLOOKUP($A1939,INSUMOS_AUX!$A$3:$H$813,3,0)</f>
        <v>MAT.</v>
      </c>
      <c r="D1939" s="156" t="s">
        <v>1444</v>
      </c>
      <c r="E1939" s="154" t="n">
        <v>0.5168239</v>
      </c>
      <c r="F1939" s="149" t="n">
        <f aca="false">IF(C1939="MAT.",VLOOKUP(A1939,INSUMOS_AUX!$A$3:$H$813,6,0),0)</f>
        <v>3.32</v>
      </c>
      <c r="G1939" s="149" t="n">
        <f aca="false">IF(C1939="M.O.",VLOOKUP(A1939,INSUMOS_AUX!A:F,6,0),0)</f>
        <v>0</v>
      </c>
    </row>
    <row r="1940" customFormat="false" ht="21" hidden="false" customHeight="false" outlineLevel="0" collapsed="false">
      <c r="A1940" s="154" t="n">
        <v>43483</v>
      </c>
      <c r="B1940" s="155" t="s">
        <v>1486</v>
      </c>
      <c r="C1940" s="148" t="str">
        <f aca="false">VLOOKUP($A1940,INSUMOS_AUX!$A$3:$H$813,3,0)</f>
        <v>MAT.</v>
      </c>
      <c r="D1940" s="156" t="s">
        <v>1444</v>
      </c>
      <c r="E1940" s="154" t="n">
        <v>0.073796</v>
      </c>
      <c r="F1940" s="149" t="n">
        <f aca="false">IF(C1940="MAT.",VLOOKUP(A1940,INSUMOS_AUX!$A$3:$H$813,6,0),0)</f>
        <v>1.43</v>
      </c>
      <c r="G1940" s="149" t="n">
        <f aca="false">IF(C1940="M.O.",VLOOKUP(A1940,INSUMOS_AUX!A:F,6,0),0)</f>
        <v>0</v>
      </c>
    </row>
    <row r="1941" customFormat="false" ht="21" hidden="false" customHeight="false" outlineLevel="0" collapsed="false">
      <c r="A1941" s="154" t="n">
        <v>43488</v>
      </c>
      <c r="B1941" s="155" t="s">
        <v>1445</v>
      </c>
      <c r="C1941" s="148" t="str">
        <f aca="false">VLOOKUP($A1941,INSUMOS_AUX!$A$3:$H$813,3,0)</f>
        <v>MAT.</v>
      </c>
      <c r="D1941" s="156" t="s">
        <v>1444</v>
      </c>
      <c r="E1941" s="154" t="n">
        <v>0.0549766</v>
      </c>
      <c r="F1941" s="149" t="n">
        <f aca="false">IF(C1941="MAT.",VLOOKUP(A1941,INSUMOS_AUX!$A$3:$H$813,6,0),0)</f>
        <v>0.89</v>
      </c>
      <c r="G1941" s="149" t="n">
        <f aca="false">IF(C1941="M.O.",VLOOKUP(A1941,INSUMOS_AUX!A:F,6,0),0)</f>
        <v>0</v>
      </c>
    </row>
    <row r="1942" customFormat="false" ht="21" hidden="false" customHeight="false" outlineLevel="0" collapsed="false">
      <c r="A1942" s="154" t="n">
        <v>43489</v>
      </c>
      <c r="B1942" s="155" t="s">
        <v>1456</v>
      </c>
      <c r="C1942" s="148" t="str">
        <f aca="false">VLOOKUP($A1942,INSUMOS_AUX!$A$3:$H$813,3,0)</f>
        <v>MAT.</v>
      </c>
      <c r="D1942" s="156" t="s">
        <v>1444</v>
      </c>
      <c r="E1942" s="154" t="n">
        <v>0.227852</v>
      </c>
      <c r="F1942" s="149" t="n">
        <f aca="false">IF(C1942="MAT.",VLOOKUP(A1942,INSUMOS_AUX!$A$3:$H$813,6,0),0)</f>
        <v>1.31</v>
      </c>
      <c r="G1942" s="149" t="n">
        <f aca="false">IF(C1942="M.O.",VLOOKUP(A1942,INSUMOS_AUX!A:F,6,0),0)</f>
        <v>0</v>
      </c>
    </row>
    <row r="1943" customFormat="false" ht="21" hidden="false" customHeight="false" outlineLevel="0" collapsed="false">
      <c r="A1943" s="154" t="n">
        <v>43491</v>
      </c>
      <c r="B1943" s="155" t="s">
        <v>1457</v>
      </c>
      <c r="C1943" s="148" t="str">
        <f aca="false">VLOOKUP($A1943,INSUMOS_AUX!$A$3:$H$813,3,0)</f>
        <v>MAT.</v>
      </c>
      <c r="D1943" s="156" t="s">
        <v>1444</v>
      </c>
      <c r="E1943" s="154" t="n">
        <v>0.1601993</v>
      </c>
      <c r="F1943" s="149" t="n">
        <f aca="false">IF(C1943="MAT.",VLOOKUP(A1943,INSUMOS_AUX!$A$3:$H$813,6,0),0)</f>
        <v>1.39</v>
      </c>
      <c r="G1943" s="149" t="n">
        <f aca="false">IF(C1943="M.O.",VLOOKUP(A1943,INSUMOS_AUX!A:F,6,0),0)</f>
        <v>0</v>
      </c>
    </row>
    <row r="1944" customFormat="false" ht="21" hidden="false" customHeight="false" outlineLevel="0" collapsed="false">
      <c r="A1944" s="154" t="n">
        <v>37372</v>
      </c>
      <c r="B1944" s="155" t="s">
        <v>1446</v>
      </c>
      <c r="C1944" s="148" t="str">
        <f aca="false">VLOOKUP($A1944,INSUMOS_AUX!$A$3:$H$813,3,0)</f>
        <v>MAT.</v>
      </c>
      <c r="D1944" s="156" t="s">
        <v>1444</v>
      </c>
      <c r="E1944" s="154" t="n">
        <v>0.5168239</v>
      </c>
      <c r="F1944" s="149" t="n">
        <f aca="false">IF(C1944="MAT.",VLOOKUP(A1944,INSUMOS_AUX!$A$3:$H$813,6,0),0)</f>
        <v>1.43</v>
      </c>
      <c r="G1944" s="149" t="n">
        <f aca="false">IF(C1944="M.O.",VLOOKUP(A1944,INSUMOS_AUX!A:F,6,0),0)</f>
        <v>0</v>
      </c>
    </row>
    <row r="1945" customFormat="false" ht="21" hidden="false" customHeight="false" outlineLevel="0" collapsed="false">
      <c r="A1945" s="154" t="n">
        <v>43459</v>
      </c>
      <c r="B1945" s="155" t="s">
        <v>1487</v>
      </c>
      <c r="C1945" s="148" t="str">
        <f aca="false">VLOOKUP($A1945,INSUMOS_AUX!$A$3:$H$813,3,0)</f>
        <v>MAT.</v>
      </c>
      <c r="D1945" s="156" t="s">
        <v>1444</v>
      </c>
      <c r="E1945" s="154" t="n">
        <v>0.073796</v>
      </c>
      <c r="F1945" s="149" t="n">
        <f aca="false">IF(C1945="MAT.",VLOOKUP(A1945,INSUMOS_AUX!$A$3:$H$813,6,0),0)</f>
        <v>0.44</v>
      </c>
      <c r="G1945" s="149" t="n">
        <f aca="false">IF(C1945="M.O.",VLOOKUP(A1945,INSUMOS_AUX!A:F,6,0),0)</f>
        <v>0</v>
      </c>
    </row>
    <row r="1946" customFormat="false" ht="21" hidden="false" customHeight="false" outlineLevel="0" collapsed="false">
      <c r="A1946" s="154" t="n">
        <v>43464</v>
      </c>
      <c r="B1946" s="155" t="s">
        <v>1447</v>
      </c>
      <c r="C1946" s="148" t="str">
        <f aca="false">VLOOKUP($A1946,INSUMOS_AUX!$A$3:$H$813,3,0)</f>
        <v>MAT.</v>
      </c>
      <c r="D1946" s="156" t="s">
        <v>1444</v>
      </c>
      <c r="E1946" s="154" t="n">
        <v>0.0549766</v>
      </c>
      <c r="F1946" s="149" t="n">
        <f aca="false">IF(C1946="MAT.",VLOOKUP(A1946,INSUMOS_AUX!$A$3:$H$813,6,0),0)</f>
        <v>0.01</v>
      </c>
      <c r="G1946" s="149" t="n">
        <f aca="false">IF(C1946="M.O.",VLOOKUP(A1946,INSUMOS_AUX!A:F,6,0),0)</f>
        <v>0</v>
      </c>
    </row>
    <row r="1947" customFormat="false" ht="21" hidden="false" customHeight="false" outlineLevel="0" collapsed="false">
      <c r="A1947" s="154" t="n">
        <v>43465</v>
      </c>
      <c r="B1947" s="155" t="s">
        <v>1458</v>
      </c>
      <c r="C1947" s="148" t="str">
        <f aca="false">VLOOKUP($A1947,INSUMOS_AUX!$A$3:$H$813,3,0)</f>
        <v>MAT.</v>
      </c>
      <c r="D1947" s="156" t="s">
        <v>1444</v>
      </c>
      <c r="E1947" s="154" t="n">
        <v>0.227852</v>
      </c>
      <c r="F1947" s="149" t="n">
        <f aca="false">IF(C1947="MAT.",VLOOKUP(A1947,INSUMOS_AUX!$A$3:$H$813,6,0),0)</f>
        <v>0.78</v>
      </c>
      <c r="G1947" s="149" t="n">
        <f aca="false">IF(C1947="M.O.",VLOOKUP(A1947,INSUMOS_AUX!A:F,6,0),0)</f>
        <v>0</v>
      </c>
    </row>
    <row r="1948" customFormat="false" ht="21" hidden="false" customHeight="false" outlineLevel="0" collapsed="false">
      <c r="A1948" s="154" t="n">
        <v>43467</v>
      </c>
      <c r="B1948" s="155" t="s">
        <v>1459</v>
      </c>
      <c r="C1948" s="148" t="str">
        <f aca="false">VLOOKUP($A1948,INSUMOS_AUX!$A$3:$H$813,3,0)</f>
        <v>MAT.</v>
      </c>
      <c r="D1948" s="156" t="s">
        <v>1444</v>
      </c>
      <c r="E1948" s="154" t="n">
        <v>0.1601993</v>
      </c>
      <c r="F1948" s="149" t="n">
        <f aca="false">IF(C1948="MAT.",VLOOKUP(A1948,INSUMOS_AUX!$A$3:$H$813,6,0),0)</f>
        <v>0.61</v>
      </c>
      <c r="G1948" s="149" t="n">
        <f aca="false">IF(C1948="M.O.",VLOOKUP(A1948,INSUMOS_AUX!A:F,6,0),0)</f>
        <v>0</v>
      </c>
    </row>
    <row r="1949" customFormat="false" ht="21" hidden="false" customHeight="false" outlineLevel="0" collapsed="false">
      <c r="A1949" s="154" t="n">
        <v>37373</v>
      </c>
      <c r="B1949" s="155" t="s">
        <v>1448</v>
      </c>
      <c r="C1949" s="148" t="str">
        <f aca="false">VLOOKUP($A1949,INSUMOS_AUX!$A$3:$H$813,3,0)</f>
        <v>MAT.</v>
      </c>
      <c r="D1949" s="156" t="s">
        <v>1444</v>
      </c>
      <c r="E1949" s="154" t="n">
        <v>0.5168239</v>
      </c>
      <c r="F1949" s="149" t="n">
        <f aca="false">IF(C1949="MAT.",VLOOKUP(A1949,INSUMOS_AUX!$A$3:$H$813,6,0),0)</f>
        <v>0.08</v>
      </c>
      <c r="G1949" s="149" t="n">
        <f aca="false">IF(C1949="M.O.",VLOOKUP(A1949,INSUMOS_AUX!A:F,6,0),0)</f>
        <v>0</v>
      </c>
    </row>
    <row r="1950" customFormat="false" ht="21" hidden="false" customHeight="false" outlineLevel="0" collapsed="false">
      <c r="A1950" s="154" t="n">
        <v>37371</v>
      </c>
      <c r="B1950" s="155" t="s">
        <v>1449</v>
      </c>
      <c r="C1950" s="148" t="str">
        <f aca="false">VLOOKUP($A1950,INSUMOS_AUX!$A$3:$H$813,3,0)</f>
        <v>MAT.</v>
      </c>
      <c r="D1950" s="156" t="s">
        <v>1444</v>
      </c>
      <c r="E1950" s="154" t="n">
        <v>0.5168239</v>
      </c>
      <c r="F1950" s="149" t="n">
        <f aca="false">IF(C1950="MAT.",VLOOKUP(A1950,INSUMOS_AUX!$A$3:$H$813,6,0),0)</f>
        <v>0.59</v>
      </c>
      <c r="G1950" s="149" t="n">
        <f aca="false">IF(C1950="M.O.",VLOOKUP(A1950,INSUMOS_AUX!A:F,6,0),0)</f>
        <v>0</v>
      </c>
    </row>
    <row r="1951" customFormat="false" ht="31.5" hidden="false" customHeight="false" outlineLevel="0" collapsed="false">
      <c r="A1951" s="154" t="n">
        <v>10535</v>
      </c>
      <c r="B1951" s="155" t="s">
        <v>1525</v>
      </c>
      <c r="C1951" s="148" t="str">
        <f aca="false">VLOOKUP($A1951,INSUMOS_AUX!$A$3:$H$813,3,0)</f>
        <v>MAT.</v>
      </c>
      <c r="D1951" s="156" t="s">
        <v>31</v>
      </c>
      <c r="E1951" s="154" t="n">
        <v>3.86936508E-006</v>
      </c>
      <c r="F1951" s="149" t="n">
        <f aca="false">IF(C1951="MAT.",VLOOKUP(A1951,INSUMOS_AUX!$A$3:$H$813,6,0),0)</f>
        <v>4699</v>
      </c>
      <c r="G1951" s="149" t="n">
        <f aca="false">IF(C1951="M.O.",VLOOKUP(A1951,INSUMOS_AUX!A:F,6,0),0)</f>
        <v>0</v>
      </c>
    </row>
    <row r="1952" customFormat="false" ht="21" hidden="false" customHeight="false" outlineLevel="0" collapsed="false">
      <c r="A1952" s="154" t="n">
        <v>14618</v>
      </c>
      <c r="B1952" s="155" t="s">
        <v>1592</v>
      </c>
      <c r="C1952" s="148" t="s">
        <v>59</v>
      </c>
      <c r="D1952" s="156" t="s">
        <v>31</v>
      </c>
      <c r="E1952" s="154" t="n">
        <v>2.059904E-006</v>
      </c>
      <c r="F1952" s="149" t="n">
        <f aca="false">IF(C1952="MAT.",VLOOKUP(A1952,INSUMOS_AUX!$A$3:$H$813,6,0),0)</f>
        <v>0</v>
      </c>
      <c r="G1952" s="149" t="n">
        <f aca="false">IF(C1952="M.O.",VLOOKUP(A1952,INSUMOS_AUX!A:F,6,0),0)</f>
        <v>0</v>
      </c>
    </row>
    <row r="1953" customFormat="false" ht="15" hidden="false" customHeight="false" outlineLevel="0" collapsed="false">
      <c r="A1953" s="154" t="n">
        <v>2705</v>
      </c>
      <c r="B1953" s="155" t="s">
        <v>1467</v>
      </c>
      <c r="C1953" s="148" t="str">
        <f aca="false">VLOOKUP($A1953,INSUMOS_AUX!$A$3:$H$813,3,0)</f>
        <v>MAT.</v>
      </c>
      <c r="D1953" s="156" t="s">
        <v>1468</v>
      </c>
      <c r="E1953" s="154" t="n">
        <v>0.027468035</v>
      </c>
      <c r="F1953" s="149" t="n">
        <f aca="false">IF(C1953="MAT.",VLOOKUP(A1953,INSUMOS_AUX!$A$3:$H$813,6,0),0)</f>
        <v>0.92</v>
      </c>
      <c r="G1953" s="149" t="n">
        <f aca="false">IF(C1953="M.O.",VLOOKUP(A1953,INSUMOS_AUX!A:F,6,0),0)</f>
        <v>0</v>
      </c>
    </row>
    <row r="1954" customFormat="false" ht="15" hidden="false" customHeight="false" outlineLevel="0" collapsed="false">
      <c r="A1954" s="154" t="n">
        <v>33</v>
      </c>
      <c r="B1954" s="155" t="s">
        <v>1633</v>
      </c>
      <c r="C1954" s="148" t="str">
        <f aca="false">VLOOKUP($A1954,INSUMOS_AUX!$A$3:$H$813,3,0)</f>
        <v>MAT.</v>
      </c>
      <c r="D1954" s="156" t="s">
        <v>1513</v>
      </c>
      <c r="E1954" s="154" t="n">
        <v>0.8769</v>
      </c>
      <c r="F1954" s="149" t="n">
        <f aca="false">IF(C1954="MAT.",VLOOKUP(A1954,INSUMOS_AUX!$A$3:$H$813,6,0),0)</f>
        <v>8.14</v>
      </c>
      <c r="G1954" s="149" t="n">
        <f aca="false">IF(C1954="M.O.",VLOOKUP(A1954,INSUMOS_AUX!A:F,6,0),0)</f>
        <v>0</v>
      </c>
    </row>
    <row r="1955" customFormat="false" ht="21" hidden="false" customHeight="false" outlineLevel="0" collapsed="false">
      <c r="A1955" s="154" t="n">
        <v>370</v>
      </c>
      <c r="B1955" s="155" t="s">
        <v>1527</v>
      </c>
      <c r="C1955" s="148" t="str">
        <f aca="false">VLOOKUP($A1955,INSUMOS_AUX!$A$3:$H$813,3,0)</f>
        <v>MAT.</v>
      </c>
      <c r="D1955" s="156" t="s">
        <v>1442</v>
      </c>
      <c r="E1955" s="154" t="n">
        <v>0.0158718</v>
      </c>
      <c r="F1955" s="149" t="n">
        <f aca="false">IF(C1955="MAT.",VLOOKUP(A1955,INSUMOS_AUX!$A$3:$H$813,6,0),0)</f>
        <v>150</v>
      </c>
      <c r="G1955" s="149" t="n">
        <f aca="false">IF(C1955="M.O.",VLOOKUP(A1955,INSUMOS_AUX!A:F,6,0),0)</f>
        <v>0</v>
      </c>
    </row>
    <row r="1956" customFormat="false" ht="15" hidden="false" customHeight="false" outlineLevel="0" collapsed="false">
      <c r="A1956" s="154" t="n">
        <v>1379</v>
      </c>
      <c r="B1956" s="155" t="s">
        <v>1535</v>
      </c>
      <c r="C1956" s="148" t="str">
        <f aca="false">VLOOKUP($A1956,INSUMOS_AUX!$A$3:$H$813,3,0)</f>
        <v>MAT.</v>
      </c>
      <c r="D1956" s="156" t="s">
        <v>1513</v>
      </c>
      <c r="E1956" s="154" t="n">
        <v>6.7825317</v>
      </c>
      <c r="F1956" s="149" t="n">
        <f aca="false">IF(C1956="MAT.",VLOOKUP(A1956,INSUMOS_AUX!$A$3:$H$813,6,0),0)</f>
        <v>0.72</v>
      </c>
      <c r="G1956" s="149" t="n">
        <f aca="false">IF(C1956="M.O.",VLOOKUP(A1956,INSUMOS_AUX!A:F,6,0),0)</f>
        <v>0</v>
      </c>
    </row>
    <row r="1957" customFormat="false" ht="21" hidden="false" customHeight="false" outlineLevel="0" collapsed="false">
      <c r="A1957" s="154" t="n">
        <v>2692</v>
      </c>
      <c r="B1957" s="155" t="s">
        <v>1570</v>
      </c>
      <c r="C1957" s="148" t="str">
        <f aca="false">VLOOKUP($A1957,INSUMOS_AUX!$A$3:$H$813,3,0)</f>
        <v>MAT.</v>
      </c>
      <c r="D1957" s="156" t="s">
        <v>1452</v>
      </c>
      <c r="E1957" s="154" t="n">
        <v>0.008</v>
      </c>
      <c r="F1957" s="149" t="n">
        <f aca="false">IF(C1957="MAT.",VLOOKUP(A1957,INSUMOS_AUX!$A$3:$H$813,6,0),0)</f>
        <v>6.52</v>
      </c>
      <c r="G1957" s="149" t="n">
        <f aca="false">IF(C1957="M.O.",VLOOKUP(A1957,INSUMOS_AUX!A:F,6,0),0)</f>
        <v>0</v>
      </c>
    </row>
    <row r="1958" customFormat="false" ht="21" hidden="false" customHeight="false" outlineLevel="0" collapsed="false">
      <c r="A1958" s="154" t="n">
        <v>39017</v>
      </c>
      <c r="B1958" s="155" t="s">
        <v>1621</v>
      </c>
      <c r="C1958" s="148" t="str">
        <f aca="false">VLOOKUP($A1958,INSUMOS_AUX!$A$3:$H$813,3,0)</f>
        <v>MAT.</v>
      </c>
      <c r="D1958" s="156" t="s">
        <v>31</v>
      </c>
      <c r="E1958" s="154" t="n">
        <v>6</v>
      </c>
      <c r="F1958" s="149" t="n">
        <f aca="false">IF(C1958="MAT.",VLOOKUP(A1958,INSUMOS_AUX!$A$3:$H$813,6,0),0)</f>
        <v>0.22</v>
      </c>
      <c r="G1958" s="149" t="n">
        <f aca="false">IF(C1958="M.O.",VLOOKUP(A1958,INSUMOS_AUX!A:F,6,0),0)</f>
        <v>0</v>
      </c>
    </row>
    <row r="1959" customFormat="false" ht="21" hidden="false" customHeight="false" outlineLevel="0" collapsed="false">
      <c r="A1959" s="154" t="n">
        <v>4721</v>
      </c>
      <c r="B1959" s="155" t="s">
        <v>1593</v>
      </c>
      <c r="C1959" s="148" t="str">
        <f aca="false">VLOOKUP($A1959,INSUMOS_AUX!$A$3:$H$813,3,0)</f>
        <v>MAT.</v>
      </c>
      <c r="D1959" s="156" t="s">
        <v>1442</v>
      </c>
      <c r="E1959" s="154" t="n">
        <v>0.0123312</v>
      </c>
      <c r="F1959" s="149" t="n">
        <f aca="false">IF(C1959="MAT.",VLOOKUP(A1959,INSUMOS_AUX!$A$3:$H$813,6,0),0)</f>
        <v>115.7</v>
      </c>
      <c r="G1959" s="149" t="n">
        <f aca="false">IF(C1959="M.O.",VLOOKUP(A1959,INSUMOS_AUX!A:F,6,0),0)</f>
        <v>0</v>
      </c>
    </row>
    <row r="1960" customFormat="false" ht="15" hidden="false" customHeight="false" outlineLevel="0" collapsed="false">
      <c r="A1960" s="154" t="n">
        <v>5068</v>
      </c>
      <c r="B1960" s="155" t="s">
        <v>1579</v>
      </c>
      <c r="C1960" s="148" t="str">
        <f aca="false">VLOOKUP($A1960,INSUMOS_AUX!$A$3:$H$813,3,0)</f>
        <v>MAT.</v>
      </c>
      <c r="D1960" s="156" t="s">
        <v>1513</v>
      </c>
      <c r="E1960" s="154" t="n">
        <v>0.009728</v>
      </c>
      <c r="F1960" s="149" t="n">
        <f aca="false">IF(C1960="MAT.",VLOOKUP(A1960,INSUMOS_AUX!$A$3:$H$813,6,0),0)</f>
        <v>20.34</v>
      </c>
      <c r="G1960" s="149" t="n">
        <f aca="false">IF(C1960="M.O.",VLOOKUP(A1960,INSUMOS_AUX!A:F,6,0),0)</f>
        <v>0</v>
      </c>
    </row>
    <row r="1961" customFormat="false" ht="21" hidden="false" customHeight="false" outlineLevel="0" collapsed="false">
      <c r="A1961" s="154" t="n">
        <v>4517</v>
      </c>
      <c r="B1961" s="155" t="s">
        <v>1582</v>
      </c>
      <c r="C1961" s="148" t="str">
        <f aca="false">VLOOKUP($A1961,INSUMOS_AUX!$A$3:$H$813,3,0)</f>
        <v>MAT.</v>
      </c>
      <c r="D1961" s="156" t="s">
        <v>1455</v>
      </c>
      <c r="E1961" s="154" t="n">
        <v>0.321328</v>
      </c>
      <c r="F1961" s="149" t="n">
        <f aca="false">IF(C1961="MAT.",VLOOKUP(A1961,INSUMOS_AUX!$A$3:$H$813,6,0),0)</f>
        <v>3.58</v>
      </c>
      <c r="G1961" s="149" t="n">
        <f aca="false">IF(C1961="M.O.",VLOOKUP(A1961,INSUMOS_AUX!A:F,6,0),0)</f>
        <v>0</v>
      </c>
    </row>
    <row r="1962" customFormat="false" ht="31.5" hidden="false" customHeight="false" outlineLevel="0" collapsed="false">
      <c r="A1962" s="154" t="n">
        <v>6189</v>
      </c>
      <c r="B1962" s="155" t="s">
        <v>1803</v>
      </c>
      <c r="C1962" s="148" t="str">
        <f aca="false">VLOOKUP($A1962,INSUMOS_AUX!$A$3:$H$813,3,0)</f>
        <v>MAT.</v>
      </c>
      <c r="D1962" s="156" t="s">
        <v>1455</v>
      </c>
      <c r="E1962" s="154" t="n">
        <v>0.338048</v>
      </c>
      <c r="F1962" s="149" t="n">
        <f aca="false">IF(C1962="MAT.",VLOOKUP(A1962,INSUMOS_AUX!$A$3:$H$813,6,0),0)</f>
        <v>22.68</v>
      </c>
      <c r="G1962" s="149" t="n">
        <f aca="false">IF(C1962="M.O.",VLOOKUP(A1962,INSUMOS_AUX!A:F,6,0),0)</f>
        <v>0</v>
      </c>
    </row>
    <row r="1963" customFormat="false" ht="15" hidden="false" customHeight="false" outlineLevel="0" collapsed="false">
      <c r="A1963" s="154" t="n">
        <v>6114</v>
      </c>
      <c r="B1963" s="155" t="s">
        <v>1588</v>
      </c>
      <c r="C1963" s="148" t="str">
        <f aca="false">VLOOKUP($A1963,INSUMOS_AUX!$A$3:$H$813,3,0)</f>
        <v>M.O.</v>
      </c>
      <c r="D1963" s="156" t="s">
        <v>1444</v>
      </c>
      <c r="E1963" s="154" t="n">
        <v>0.00207770316</v>
      </c>
      <c r="F1963" s="149" t="n">
        <f aca="false">IF(C1963="MAT.",VLOOKUP(A1963,INSUMOS_AUX!$A$3:$H$813,6,0),0)</f>
        <v>0</v>
      </c>
      <c r="G1963" s="149" t="n">
        <f aca="false">IF(C1963="M.O.",VLOOKUP(A1963,INSUMOS_AUX!A:F,6,0),0)</f>
        <v>13.26</v>
      </c>
    </row>
    <row r="1964" customFormat="false" ht="15" hidden="false" customHeight="false" outlineLevel="0" collapsed="false">
      <c r="A1964" s="154" t="n">
        <v>378</v>
      </c>
      <c r="B1964" s="155" t="s">
        <v>1589</v>
      </c>
      <c r="C1964" s="148" t="str">
        <f aca="false">VLOOKUP($A1964,INSUMOS_AUX!$A$3:$H$813,3,0)</f>
        <v>M.O.</v>
      </c>
      <c r="D1964" s="156" t="s">
        <v>1444</v>
      </c>
      <c r="E1964" s="154" t="n">
        <v>0.01294568892</v>
      </c>
      <c r="F1964" s="149" t="n">
        <f aca="false">IF(C1964="MAT.",VLOOKUP(A1964,INSUMOS_AUX!$A$3:$H$813,6,0),0)</f>
        <v>0</v>
      </c>
      <c r="G1964" s="149" t="n">
        <f aca="false">IF(C1964="M.O.",VLOOKUP(A1964,INSUMOS_AUX!A:F,6,0),0)</f>
        <v>20.22</v>
      </c>
    </row>
    <row r="1965" customFormat="false" ht="15" hidden="false" customHeight="false" outlineLevel="0" collapsed="false">
      <c r="A1965" s="154" t="n">
        <v>6117</v>
      </c>
      <c r="B1965" s="155" t="s">
        <v>1555</v>
      </c>
      <c r="C1965" s="148" t="str">
        <f aca="false">VLOOKUP($A1965,INSUMOS_AUX!$A$3:$H$813,3,0)</f>
        <v>M.O.</v>
      </c>
      <c r="D1965" s="156" t="s">
        <v>1444</v>
      </c>
      <c r="E1965" s="154" t="n">
        <v>0.01380479504</v>
      </c>
      <c r="F1965" s="149" t="n">
        <f aca="false">IF(C1965="MAT.",VLOOKUP(A1965,INSUMOS_AUX!$A$3:$H$813,6,0),0)</f>
        <v>0</v>
      </c>
      <c r="G1965" s="149" t="n">
        <f aca="false">IF(C1965="M.O.",VLOOKUP(A1965,INSUMOS_AUX!A:F,6,0),0)</f>
        <v>13.26</v>
      </c>
    </row>
    <row r="1966" customFormat="false" ht="15" hidden="false" customHeight="false" outlineLevel="0" collapsed="false">
      <c r="A1966" s="154" t="n">
        <v>1213</v>
      </c>
      <c r="B1966" s="155" t="s">
        <v>1516</v>
      </c>
      <c r="C1966" s="148" t="str">
        <f aca="false">VLOOKUP($A1966,INSUMOS_AUX!$A$3:$H$813,3,0)</f>
        <v>M.O.</v>
      </c>
      <c r="D1966" s="156" t="s">
        <v>1444</v>
      </c>
      <c r="E1966" s="154" t="n">
        <v>0.06088661568</v>
      </c>
      <c r="F1966" s="149" t="n">
        <f aca="false">IF(C1966="MAT.",VLOOKUP(A1966,INSUMOS_AUX!$A$3:$H$813,6,0),0)</f>
        <v>0</v>
      </c>
      <c r="G1966" s="149" t="n">
        <f aca="false">IF(C1966="M.O.",VLOOKUP(A1966,INSUMOS_AUX!A:F,6,0),0)</f>
        <v>20.22</v>
      </c>
    </row>
    <row r="1967" customFormat="false" ht="15" hidden="false" customHeight="false" outlineLevel="0" collapsed="false">
      <c r="A1967" s="154" t="n">
        <v>37666</v>
      </c>
      <c r="B1967" s="155" t="s">
        <v>1558</v>
      </c>
      <c r="C1967" s="148" t="str">
        <f aca="false">VLOOKUP($A1967,INSUMOS_AUX!$A$3:$H$813,3,0)</f>
        <v>M.O.</v>
      </c>
      <c r="D1967" s="156" t="s">
        <v>1444</v>
      </c>
      <c r="E1967" s="154" t="n">
        <v>0.033976618746</v>
      </c>
      <c r="F1967" s="149" t="n">
        <f aca="false">IF(C1967="MAT.",VLOOKUP(A1967,INSUMOS_AUX!$A$3:$H$813,6,0),0)</f>
        <v>0</v>
      </c>
      <c r="G1967" s="149" t="n">
        <f aca="false">IF(C1967="M.O.",VLOOKUP(A1967,INSUMOS_AUX!A:F,6,0),0)</f>
        <v>11.87</v>
      </c>
    </row>
    <row r="1968" customFormat="false" ht="21" hidden="false" customHeight="false" outlineLevel="0" collapsed="false">
      <c r="A1968" s="154" t="n">
        <v>4230</v>
      </c>
      <c r="B1968" s="155" t="s">
        <v>1597</v>
      </c>
      <c r="C1968" s="148" t="str">
        <f aca="false">VLOOKUP($A1968,INSUMOS_AUX!$A$3:$H$813,3,0)</f>
        <v>M.O.</v>
      </c>
      <c r="D1968" s="156" t="s">
        <v>1444</v>
      </c>
      <c r="E1968" s="154" t="n">
        <v>0.0215255712</v>
      </c>
      <c r="F1968" s="149" t="n">
        <f aca="false">IF(C1968="MAT.",VLOOKUP(A1968,INSUMOS_AUX!$A$3:$H$813,6,0),0)</f>
        <v>0</v>
      </c>
      <c r="G1968" s="149" t="n">
        <f aca="false">IF(C1968="M.O.",VLOOKUP(A1968,INSUMOS_AUX!A:F,6,0),0)</f>
        <v>14.53</v>
      </c>
    </row>
    <row r="1969" customFormat="false" ht="15" hidden="false" customHeight="false" outlineLevel="0" collapsed="false">
      <c r="A1969" s="154" t="n">
        <v>4750</v>
      </c>
      <c r="B1969" s="155" t="s">
        <v>1463</v>
      </c>
      <c r="C1969" s="148" t="str">
        <f aca="false">VLOOKUP($A1969,INSUMOS_AUX!$A$3:$H$813,3,0)</f>
        <v>M.O.</v>
      </c>
      <c r="D1969" s="156" t="s">
        <v>1444</v>
      </c>
      <c r="E1969" s="154" t="n">
        <v>0.2175156</v>
      </c>
      <c r="F1969" s="149" t="n">
        <f aca="false">IF(C1969="MAT.",VLOOKUP(A1969,INSUMOS_AUX!$A$3:$H$813,6,0),0)</f>
        <v>0</v>
      </c>
      <c r="G1969" s="149" t="n">
        <f aca="false">IF(C1969="M.O.",VLOOKUP(A1969,INSUMOS_AUX!A:F,6,0),0)</f>
        <v>20.22</v>
      </c>
    </row>
    <row r="1970" customFormat="false" ht="15" hidden="false" customHeight="false" outlineLevel="0" collapsed="false">
      <c r="A1970" s="154" t="n">
        <v>6111</v>
      </c>
      <c r="B1970" s="155" t="s">
        <v>1464</v>
      </c>
      <c r="C1970" s="148" t="str">
        <f aca="false">VLOOKUP($A1970,INSUMOS_AUX!$A$3:$H$813,3,0)</f>
        <v>M.O.</v>
      </c>
      <c r="D1970" s="156" t="s">
        <v>1444</v>
      </c>
      <c r="E1970" s="154" t="n">
        <v>0.16359552516</v>
      </c>
      <c r="F1970" s="149" t="n">
        <f aca="false">IF(C1970="MAT.",VLOOKUP(A1970,INSUMOS_AUX!$A$3:$H$813,6,0),0)</f>
        <v>0</v>
      </c>
      <c r="G1970" s="149" t="n">
        <f aca="false">IF(C1970="M.O.",VLOOKUP(A1970,INSUMOS_AUX!A:F,6,0),0)</f>
        <v>12.95</v>
      </c>
    </row>
    <row r="1971" customFormat="false" ht="21" hidden="false" customHeight="false" outlineLevel="0" collapsed="false">
      <c r="A1971" s="150" t="n">
        <v>98522</v>
      </c>
      <c r="B1971" s="151" t="s">
        <v>1805</v>
      </c>
      <c r="C1971" s="152" t="s">
        <v>59</v>
      </c>
      <c r="D1971" s="152" t="s">
        <v>1455</v>
      </c>
      <c r="E1971" s="150"/>
      <c r="F1971" s="153" t="n">
        <f aca="false">(SUMPRODUCT($E1972:$E1989,F1972:F1989))*1</f>
        <v>120.224825237</v>
      </c>
      <c r="G1971" s="153" t="n">
        <f aca="false">(SUMPRODUCT($E1972:$E1989,G1972:G1989))*1</f>
        <v>39.241559567814</v>
      </c>
    </row>
    <row r="1972" customFormat="false" ht="21" hidden="false" customHeight="false" outlineLevel="0" collapsed="false">
      <c r="A1972" s="154" t="n">
        <v>37370</v>
      </c>
      <c r="B1972" s="155" t="s">
        <v>1443</v>
      </c>
      <c r="C1972" s="148" t="str">
        <f aca="false">VLOOKUP($A1972,INSUMOS_AUX!$A$3:$H$813,3,0)</f>
        <v>MAT.</v>
      </c>
      <c r="D1972" s="156" t="s">
        <v>1444</v>
      </c>
      <c r="E1972" s="154" t="n">
        <v>2.3369441</v>
      </c>
      <c r="F1972" s="149" t="n">
        <f aca="false">IF(C1972="MAT.",VLOOKUP(A1972,INSUMOS_AUX!$A$3:$H$813,6,0),0)</f>
        <v>3.32</v>
      </c>
      <c r="G1972" s="149" t="n">
        <f aca="false">IF(C1972="M.O.",VLOOKUP(A1972,INSUMOS_AUX!A:F,6,0),0)</f>
        <v>0</v>
      </c>
    </row>
    <row r="1973" customFormat="false" ht="21" hidden="false" customHeight="false" outlineLevel="0" collapsed="false">
      <c r="A1973" s="154" t="n">
        <v>43489</v>
      </c>
      <c r="B1973" s="155" t="s">
        <v>1456</v>
      </c>
      <c r="C1973" s="148" t="str">
        <f aca="false">VLOOKUP($A1973,INSUMOS_AUX!$A$3:$H$813,3,0)</f>
        <v>MAT.</v>
      </c>
      <c r="D1973" s="156" t="s">
        <v>1444</v>
      </c>
      <c r="E1973" s="154" t="n">
        <v>1.1229</v>
      </c>
      <c r="F1973" s="149" t="n">
        <f aca="false">IF(C1973="MAT.",VLOOKUP(A1973,INSUMOS_AUX!$A$3:$H$813,6,0),0)</f>
        <v>1.31</v>
      </c>
      <c r="G1973" s="149" t="n">
        <f aca="false">IF(C1973="M.O.",VLOOKUP(A1973,INSUMOS_AUX!A:F,6,0),0)</f>
        <v>0</v>
      </c>
    </row>
    <row r="1974" customFormat="false" ht="21" hidden="false" customHeight="false" outlineLevel="0" collapsed="false">
      <c r="A1974" s="154" t="n">
        <v>43491</v>
      </c>
      <c r="B1974" s="155" t="s">
        <v>1457</v>
      </c>
      <c r="C1974" s="148" t="str">
        <f aca="false">VLOOKUP($A1974,INSUMOS_AUX!$A$3:$H$813,3,0)</f>
        <v>MAT.</v>
      </c>
      <c r="D1974" s="156" t="s">
        <v>1444</v>
      </c>
      <c r="E1974" s="154" t="n">
        <v>1.2140441</v>
      </c>
      <c r="F1974" s="149" t="n">
        <f aca="false">IF(C1974="MAT.",VLOOKUP(A1974,INSUMOS_AUX!$A$3:$H$813,6,0),0)</f>
        <v>1.39</v>
      </c>
      <c r="G1974" s="149" t="n">
        <f aca="false">IF(C1974="M.O.",VLOOKUP(A1974,INSUMOS_AUX!A:F,6,0),0)</f>
        <v>0</v>
      </c>
    </row>
    <row r="1975" customFormat="false" ht="21" hidden="false" customHeight="false" outlineLevel="0" collapsed="false">
      <c r="A1975" s="154" t="n">
        <v>37372</v>
      </c>
      <c r="B1975" s="155" t="s">
        <v>1446</v>
      </c>
      <c r="C1975" s="148" t="str">
        <f aca="false">VLOOKUP($A1975,INSUMOS_AUX!$A$3:$H$813,3,0)</f>
        <v>MAT.</v>
      </c>
      <c r="D1975" s="156" t="s">
        <v>1444</v>
      </c>
      <c r="E1975" s="154" t="n">
        <v>2.3369441</v>
      </c>
      <c r="F1975" s="149" t="n">
        <f aca="false">IF(C1975="MAT.",VLOOKUP(A1975,INSUMOS_AUX!$A$3:$H$813,6,0),0)</f>
        <v>1.43</v>
      </c>
      <c r="G1975" s="149" t="n">
        <f aca="false">IF(C1975="M.O.",VLOOKUP(A1975,INSUMOS_AUX!A:F,6,0),0)</f>
        <v>0</v>
      </c>
    </row>
    <row r="1976" customFormat="false" ht="21" hidden="false" customHeight="false" outlineLevel="0" collapsed="false">
      <c r="A1976" s="154" t="n">
        <v>43465</v>
      </c>
      <c r="B1976" s="155" t="s">
        <v>1458</v>
      </c>
      <c r="C1976" s="148" t="str">
        <f aca="false">VLOOKUP($A1976,INSUMOS_AUX!$A$3:$H$813,3,0)</f>
        <v>MAT.</v>
      </c>
      <c r="D1976" s="156" t="s">
        <v>1444</v>
      </c>
      <c r="E1976" s="154" t="n">
        <v>1.1229</v>
      </c>
      <c r="F1976" s="149" t="n">
        <f aca="false">IF(C1976="MAT.",VLOOKUP(A1976,INSUMOS_AUX!$A$3:$H$813,6,0),0)</f>
        <v>0.78</v>
      </c>
      <c r="G1976" s="149" t="n">
        <f aca="false">IF(C1976="M.O.",VLOOKUP(A1976,INSUMOS_AUX!A:F,6,0),0)</f>
        <v>0</v>
      </c>
    </row>
    <row r="1977" customFormat="false" ht="21" hidden="false" customHeight="false" outlineLevel="0" collapsed="false">
      <c r="A1977" s="154" t="n">
        <v>43467</v>
      </c>
      <c r="B1977" s="155" t="s">
        <v>1459</v>
      </c>
      <c r="C1977" s="148" t="str">
        <f aca="false">VLOOKUP($A1977,INSUMOS_AUX!$A$3:$H$813,3,0)</f>
        <v>MAT.</v>
      </c>
      <c r="D1977" s="156" t="s">
        <v>1444</v>
      </c>
      <c r="E1977" s="154" t="n">
        <v>1.2140441</v>
      </c>
      <c r="F1977" s="149" t="n">
        <f aca="false">IF(C1977="MAT.",VLOOKUP(A1977,INSUMOS_AUX!$A$3:$H$813,6,0),0)</f>
        <v>0.61</v>
      </c>
      <c r="G1977" s="149" t="n">
        <f aca="false">IF(C1977="M.O.",VLOOKUP(A1977,INSUMOS_AUX!A:F,6,0),0)</f>
        <v>0</v>
      </c>
    </row>
    <row r="1978" customFormat="false" ht="21" hidden="false" customHeight="false" outlineLevel="0" collapsed="false">
      <c r="A1978" s="154" t="n">
        <v>37373</v>
      </c>
      <c r="B1978" s="155" t="s">
        <v>1448</v>
      </c>
      <c r="C1978" s="148" t="str">
        <f aca="false">VLOOKUP($A1978,INSUMOS_AUX!$A$3:$H$813,3,0)</f>
        <v>MAT.</v>
      </c>
      <c r="D1978" s="156" t="s">
        <v>1444</v>
      </c>
      <c r="E1978" s="154" t="n">
        <v>2.3369441</v>
      </c>
      <c r="F1978" s="149" t="n">
        <f aca="false">IF(C1978="MAT.",VLOOKUP(A1978,INSUMOS_AUX!$A$3:$H$813,6,0),0)</f>
        <v>0.08</v>
      </c>
      <c r="G1978" s="149" t="n">
        <f aca="false">IF(C1978="M.O.",VLOOKUP(A1978,INSUMOS_AUX!A:F,6,0),0)</f>
        <v>0</v>
      </c>
    </row>
    <row r="1979" customFormat="false" ht="21" hidden="false" customHeight="false" outlineLevel="0" collapsed="false">
      <c r="A1979" s="154" t="n">
        <v>37371</v>
      </c>
      <c r="B1979" s="155" t="s">
        <v>1449</v>
      </c>
      <c r="C1979" s="148" t="str">
        <f aca="false">VLOOKUP($A1979,INSUMOS_AUX!$A$3:$H$813,3,0)</f>
        <v>MAT.</v>
      </c>
      <c r="D1979" s="156" t="s">
        <v>1444</v>
      </c>
      <c r="E1979" s="154" t="n">
        <v>2.3369441</v>
      </c>
      <c r="F1979" s="149" t="n">
        <f aca="false">IF(C1979="MAT.",VLOOKUP(A1979,INSUMOS_AUX!$A$3:$H$813,6,0),0)</f>
        <v>0.59</v>
      </c>
      <c r="G1979" s="149" t="n">
        <f aca="false">IF(C1979="M.O.",VLOOKUP(A1979,INSUMOS_AUX!A:F,6,0),0)</f>
        <v>0</v>
      </c>
    </row>
    <row r="1980" customFormat="false" ht="21" hidden="false" customHeight="false" outlineLevel="0" collapsed="false">
      <c r="A1980" s="154" t="n">
        <v>43130</v>
      </c>
      <c r="B1980" s="155" t="s">
        <v>1603</v>
      </c>
      <c r="C1980" s="148" t="str">
        <f aca="false">VLOOKUP($A1980,INSUMOS_AUX!$A$3:$H$813,3,0)</f>
        <v>MAT.</v>
      </c>
      <c r="D1980" s="156" t="s">
        <v>1513</v>
      </c>
      <c r="E1980" s="154" t="n">
        <v>0.0586</v>
      </c>
      <c r="F1980" s="149" t="n">
        <f aca="false">IF(C1980="MAT.",VLOOKUP(A1980,INSUMOS_AUX!$A$3:$H$813,6,0),0)</f>
        <v>28</v>
      </c>
      <c r="G1980" s="149" t="n">
        <f aca="false">IF(C1980="M.O.",VLOOKUP(A1980,INSUMOS_AUX!A:F,6,0),0)</f>
        <v>0</v>
      </c>
    </row>
    <row r="1981" customFormat="false" ht="21" hidden="false" customHeight="false" outlineLevel="0" collapsed="false">
      <c r="A1981" s="154" t="n">
        <v>370</v>
      </c>
      <c r="B1981" s="155" t="s">
        <v>1527</v>
      </c>
      <c r="C1981" s="148" t="str">
        <f aca="false">VLOOKUP($A1981,INSUMOS_AUX!$A$3:$H$813,3,0)</f>
        <v>MAT.</v>
      </c>
      <c r="D1981" s="156" t="s">
        <v>1442</v>
      </c>
      <c r="E1981" s="154" t="n">
        <v>0.0123801</v>
      </c>
      <c r="F1981" s="149" t="n">
        <f aca="false">IF(C1981="MAT.",VLOOKUP(A1981,INSUMOS_AUX!$A$3:$H$813,6,0),0)</f>
        <v>150</v>
      </c>
      <c r="G1981" s="149" t="n">
        <f aca="false">IF(C1981="M.O.",VLOOKUP(A1981,INSUMOS_AUX!A:F,6,0),0)</f>
        <v>0</v>
      </c>
    </row>
    <row r="1982" customFormat="false" ht="15" hidden="false" customHeight="false" outlineLevel="0" collapsed="false">
      <c r="A1982" s="154" t="n">
        <v>1379</v>
      </c>
      <c r="B1982" s="155" t="s">
        <v>1535</v>
      </c>
      <c r="C1982" s="148" t="str">
        <f aca="false">VLOOKUP($A1982,INSUMOS_AUX!$A$3:$H$813,3,0)</f>
        <v>MAT.</v>
      </c>
      <c r="D1982" s="156" t="s">
        <v>1513</v>
      </c>
      <c r="E1982" s="154" t="n">
        <v>3.174485</v>
      </c>
      <c r="F1982" s="149" t="n">
        <f aca="false">IF(C1982="MAT.",VLOOKUP(A1982,INSUMOS_AUX!$A$3:$H$813,6,0),0)</f>
        <v>0.72</v>
      </c>
      <c r="G1982" s="149" t="n">
        <f aca="false">IF(C1982="M.O.",VLOOKUP(A1982,INSUMOS_AUX!A:F,6,0),0)</f>
        <v>0</v>
      </c>
    </row>
    <row r="1983" customFormat="false" ht="21" hidden="false" customHeight="false" outlineLevel="0" collapsed="false">
      <c r="A1983" s="154" t="n">
        <v>4107</v>
      </c>
      <c r="B1983" s="155" t="s">
        <v>1806</v>
      </c>
      <c r="C1983" s="148" t="str">
        <f aca="false">VLOOKUP($A1983,INSUMOS_AUX!$A$3:$H$813,3,0)</f>
        <v>MAT.</v>
      </c>
      <c r="D1983" s="156" t="s">
        <v>31</v>
      </c>
      <c r="E1983" s="154" t="n">
        <v>0.3846</v>
      </c>
      <c r="F1983" s="149" t="n">
        <f aca="false">IF(C1983="MAT.",VLOOKUP(A1983,INSUMOS_AUX!$A$3:$H$813,6,0),0)</f>
        <v>70.01</v>
      </c>
      <c r="G1983" s="149" t="n">
        <f aca="false">IF(C1983="M.O.",VLOOKUP(A1983,INSUMOS_AUX!A:F,6,0),0)</f>
        <v>0</v>
      </c>
    </row>
    <row r="1984" customFormat="false" ht="21" hidden="false" customHeight="false" outlineLevel="0" collapsed="false">
      <c r="A1984" s="154" t="n">
        <v>4721</v>
      </c>
      <c r="B1984" s="155" t="s">
        <v>1593</v>
      </c>
      <c r="C1984" s="148" t="str">
        <f aca="false">VLOOKUP($A1984,INSUMOS_AUX!$A$3:$H$813,3,0)</f>
        <v>MAT.</v>
      </c>
      <c r="D1984" s="156" t="s">
        <v>1442</v>
      </c>
      <c r="E1984" s="154" t="n">
        <v>0.00865795</v>
      </c>
      <c r="F1984" s="149" t="n">
        <f aca="false">IF(C1984="MAT.",VLOOKUP(A1984,INSUMOS_AUX!$A$3:$H$813,6,0),0)</f>
        <v>115.7</v>
      </c>
      <c r="G1984" s="149" t="n">
        <f aca="false">IF(C1984="M.O.",VLOOKUP(A1984,INSUMOS_AUX!A:F,6,0),0)</f>
        <v>0</v>
      </c>
    </row>
    <row r="1985" customFormat="false" ht="31.5" hidden="false" customHeight="false" outlineLevel="0" collapsed="false">
      <c r="A1985" s="154" t="n">
        <v>4460</v>
      </c>
      <c r="B1985" s="155" t="s">
        <v>1807</v>
      </c>
      <c r="C1985" s="148" t="str">
        <f aca="false">VLOOKUP($A1985,INSUMOS_AUX!$A$3:$H$813,3,0)</f>
        <v>MAT.</v>
      </c>
      <c r="D1985" s="156" t="s">
        <v>1455</v>
      </c>
      <c r="E1985" s="154" t="n">
        <v>2.2</v>
      </c>
      <c r="F1985" s="149" t="n">
        <f aca="false">IF(C1985="MAT.",VLOOKUP(A1985,INSUMOS_AUX!$A$3:$H$813,6,0),0)</f>
        <v>7.76</v>
      </c>
      <c r="G1985" s="149" t="n">
        <f aca="false">IF(C1985="M.O.",VLOOKUP(A1985,INSUMOS_AUX!A:F,6,0),0)</f>
        <v>0</v>
      </c>
    </row>
    <row r="1986" customFormat="false" ht="31.5" hidden="false" customHeight="false" outlineLevel="0" collapsed="false">
      <c r="A1986" s="154" t="n">
        <v>4417</v>
      </c>
      <c r="B1986" s="155" t="s">
        <v>1594</v>
      </c>
      <c r="C1986" s="148" t="s">
        <v>59</v>
      </c>
      <c r="D1986" s="156" t="s">
        <v>1455</v>
      </c>
      <c r="E1986" s="154" t="n">
        <v>0.088</v>
      </c>
      <c r="F1986" s="149" t="n">
        <f aca="false">IF(C1986="MAT.",VLOOKUP(A1986,INSUMOS_AUX!$A$3:$H$813,6,0),0)</f>
        <v>0</v>
      </c>
      <c r="G1986" s="149" t="n">
        <f aca="false">IF(C1986="M.O.",VLOOKUP(A1986,INSUMOS_AUX!A:F,6,0),0)</f>
        <v>0</v>
      </c>
    </row>
    <row r="1987" customFormat="false" ht="31.5" hidden="false" customHeight="false" outlineLevel="0" collapsed="false">
      <c r="A1987" s="154" t="n">
        <v>10937</v>
      </c>
      <c r="B1987" s="155" t="s">
        <v>1808</v>
      </c>
      <c r="C1987" s="148" t="str">
        <f aca="false">VLOOKUP($A1987,INSUMOS_AUX!$A$3:$H$813,3,0)</f>
        <v>MAT.</v>
      </c>
      <c r="D1987" s="156" t="s">
        <v>1477</v>
      </c>
      <c r="E1987" s="154" t="n">
        <v>1.9231</v>
      </c>
      <c r="F1987" s="149" t="n">
        <f aca="false">IF(C1987="MAT.",VLOOKUP(A1987,INSUMOS_AUX!$A$3:$H$813,6,0),0)</f>
        <v>27.04</v>
      </c>
      <c r="G1987" s="149" t="n">
        <f aca="false">IF(C1987="M.O.",VLOOKUP(A1987,INSUMOS_AUX!A:F,6,0),0)</f>
        <v>0</v>
      </c>
    </row>
    <row r="1988" customFormat="false" ht="15" hidden="false" customHeight="false" outlineLevel="0" collapsed="false">
      <c r="A1988" s="154" t="n">
        <v>4750</v>
      </c>
      <c r="B1988" s="155" t="s">
        <v>1463</v>
      </c>
      <c r="C1988" s="148" t="str">
        <f aca="false">VLOOKUP($A1988,INSUMOS_AUX!$A$3:$H$813,3,0)</f>
        <v>M.O.</v>
      </c>
      <c r="D1988" s="156" t="s">
        <v>1444</v>
      </c>
      <c r="E1988" s="154" t="n">
        <v>1.14670548</v>
      </c>
      <c r="F1988" s="149" t="n">
        <f aca="false">IF(C1988="MAT.",VLOOKUP(A1988,INSUMOS_AUX!$A$3:$H$813,6,0),0)</f>
        <v>0</v>
      </c>
      <c r="G1988" s="149" t="n">
        <f aca="false">IF(C1988="M.O.",VLOOKUP(A1988,INSUMOS_AUX!A:F,6,0),0)</f>
        <v>20.22</v>
      </c>
    </row>
    <row r="1989" customFormat="false" ht="15" hidden="false" customHeight="false" outlineLevel="0" collapsed="false">
      <c r="A1989" s="154" t="n">
        <v>6111</v>
      </c>
      <c r="B1989" s="155" t="s">
        <v>1464</v>
      </c>
      <c r="C1989" s="148" t="str">
        <f aca="false">VLOOKUP($A1989,INSUMOS_AUX!$A$3:$H$813,3,0)</f>
        <v>M.O.</v>
      </c>
      <c r="D1989" s="156" t="s">
        <v>1444</v>
      </c>
      <c r="E1989" s="154" t="n">
        <v>1.23978183492</v>
      </c>
      <c r="F1989" s="149" t="n">
        <f aca="false">IF(C1989="MAT.",VLOOKUP(A1989,INSUMOS_AUX!$A$3:$H$813,6,0),0)</f>
        <v>0</v>
      </c>
      <c r="G1989" s="149" t="n">
        <f aca="false">IF(C1989="M.O.",VLOOKUP(A1989,INSUMOS_AUX!A:F,6,0),0)</f>
        <v>12.95</v>
      </c>
    </row>
    <row r="1990" customFormat="false" ht="31.5" hidden="false" customHeight="false" outlineLevel="0" collapsed="false">
      <c r="A1990" s="150" t="n">
        <v>99841</v>
      </c>
      <c r="B1990" s="151" t="s">
        <v>1809</v>
      </c>
      <c r="C1990" s="152" t="s">
        <v>59</v>
      </c>
      <c r="D1990" s="152" t="s">
        <v>1455</v>
      </c>
      <c r="E1990" s="150"/>
      <c r="F1990" s="153" t="n">
        <f aca="false">(SUMPRODUCT($E1991:$E2006,F1991:F2006))*1</f>
        <v>876.55768</v>
      </c>
      <c r="G1990" s="153" t="n">
        <f aca="false">(SUMPRODUCT($E1991:$E2006,G1991:G2006))*1</f>
        <v>105.519503178</v>
      </c>
    </row>
    <row r="1991" customFormat="false" ht="21" hidden="false" customHeight="false" outlineLevel="0" collapsed="false">
      <c r="A1991" s="154" t="n">
        <v>37370</v>
      </c>
      <c r="B1991" s="155" t="s">
        <v>1443</v>
      </c>
      <c r="C1991" s="148" t="str">
        <f aca="false">VLOOKUP($A1991,INSUMOS_AUX!$A$3:$H$813,3,0)</f>
        <v>MAT.</v>
      </c>
      <c r="D1991" s="156" t="s">
        <v>1444</v>
      </c>
      <c r="E1991" s="154" t="n">
        <v>6.107</v>
      </c>
      <c r="F1991" s="149" t="n">
        <f aca="false">IF(C1991="MAT.",VLOOKUP(A1991,INSUMOS_AUX!$A$3:$H$813,6,0),0)</f>
        <v>3.32</v>
      </c>
      <c r="G1991" s="149" t="n">
        <f aca="false">IF(C1991="M.O.",VLOOKUP(A1991,INSUMOS_AUX!A:F,6,0),0)</f>
        <v>0</v>
      </c>
    </row>
    <row r="1992" customFormat="false" ht="21" hidden="false" customHeight="false" outlineLevel="0" collapsed="false">
      <c r="A1992" s="154" t="n">
        <v>43489</v>
      </c>
      <c r="B1992" s="155" t="s">
        <v>1456</v>
      </c>
      <c r="C1992" s="148" t="str">
        <f aca="false">VLOOKUP($A1992,INSUMOS_AUX!$A$3:$H$813,3,0)</f>
        <v>MAT.</v>
      </c>
      <c r="D1992" s="156" t="s">
        <v>1444</v>
      </c>
      <c r="E1992" s="154" t="n">
        <v>6.107</v>
      </c>
      <c r="F1992" s="149" t="n">
        <f aca="false">IF(C1992="MAT.",VLOOKUP(A1992,INSUMOS_AUX!$A$3:$H$813,6,0),0)</f>
        <v>1.31</v>
      </c>
      <c r="G1992" s="149" t="n">
        <f aca="false">IF(C1992="M.O.",VLOOKUP(A1992,INSUMOS_AUX!A:F,6,0),0)</f>
        <v>0</v>
      </c>
    </row>
    <row r="1993" customFormat="false" ht="21" hidden="false" customHeight="false" outlineLevel="0" collapsed="false">
      <c r="A1993" s="154" t="n">
        <v>37372</v>
      </c>
      <c r="B1993" s="155" t="s">
        <v>1446</v>
      </c>
      <c r="C1993" s="148" t="str">
        <f aca="false">VLOOKUP($A1993,INSUMOS_AUX!$A$3:$H$813,3,0)</f>
        <v>MAT.</v>
      </c>
      <c r="D1993" s="156" t="s">
        <v>1444</v>
      </c>
      <c r="E1993" s="154" t="n">
        <v>6.107</v>
      </c>
      <c r="F1993" s="149" t="n">
        <f aca="false">IF(C1993="MAT.",VLOOKUP(A1993,INSUMOS_AUX!$A$3:$H$813,6,0),0)</f>
        <v>1.43</v>
      </c>
      <c r="G1993" s="149" t="n">
        <f aca="false">IF(C1993="M.O.",VLOOKUP(A1993,INSUMOS_AUX!A:F,6,0),0)</f>
        <v>0</v>
      </c>
    </row>
    <row r="1994" customFormat="false" ht="21" hidden="false" customHeight="false" outlineLevel="0" collapsed="false">
      <c r="A1994" s="154" t="n">
        <v>43465</v>
      </c>
      <c r="B1994" s="155" t="s">
        <v>1458</v>
      </c>
      <c r="C1994" s="148" t="str">
        <f aca="false">VLOOKUP($A1994,INSUMOS_AUX!$A$3:$H$813,3,0)</f>
        <v>MAT.</v>
      </c>
      <c r="D1994" s="156" t="s">
        <v>1444</v>
      </c>
      <c r="E1994" s="154" t="n">
        <v>6.107</v>
      </c>
      <c r="F1994" s="149" t="n">
        <f aca="false">IF(C1994="MAT.",VLOOKUP(A1994,INSUMOS_AUX!$A$3:$H$813,6,0),0)</f>
        <v>0.78</v>
      </c>
      <c r="G1994" s="149" t="n">
        <f aca="false">IF(C1994="M.O.",VLOOKUP(A1994,INSUMOS_AUX!A:F,6,0),0)</f>
        <v>0</v>
      </c>
    </row>
    <row r="1995" customFormat="false" ht="21" hidden="false" customHeight="false" outlineLevel="0" collapsed="false">
      <c r="A1995" s="154" t="n">
        <v>37373</v>
      </c>
      <c r="B1995" s="155" t="s">
        <v>1448</v>
      </c>
      <c r="C1995" s="148" t="str">
        <f aca="false">VLOOKUP($A1995,INSUMOS_AUX!$A$3:$H$813,3,0)</f>
        <v>MAT.</v>
      </c>
      <c r="D1995" s="156" t="s">
        <v>1444</v>
      </c>
      <c r="E1995" s="154" t="n">
        <v>6.107</v>
      </c>
      <c r="F1995" s="149" t="n">
        <f aca="false">IF(C1995="MAT.",VLOOKUP(A1995,INSUMOS_AUX!$A$3:$H$813,6,0),0)</f>
        <v>0.08</v>
      </c>
      <c r="G1995" s="149" t="n">
        <f aca="false">IF(C1995="M.O.",VLOOKUP(A1995,INSUMOS_AUX!A:F,6,0),0)</f>
        <v>0</v>
      </c>
    </row>
    <row r="1996" customFormat="false" ht="21" hidden="false" customHeight="false" outlineLevel="0" collapsed="false">
      <c r="A1996" s="154" t="n">
        <v>37371</v>
      </c>
      <c r="B1996" s="155" t="s">
        <v>1449</v>
      </c>
      <c r="C1996" s="148" t="str">
        <f aca="false">VLOOKUP($A1996,INSUMOS_AUX!$A$3:$H$813,3,0)</f>
        <v>MAT.</v>
      </c>
      <c r="D1996" s="156" t="s">
        <v>1444</v>
      </c>
      <c r="E1996" s="154" t="n">
        <v>6.107</v>
      </c>
      <c r="F1996" s="149" t="n">
        <f aca="false">IF(C1996="MAT.",VLOOKUP(A1996,INSUMOS_AUX!$A$3:$H$813,6,0),0)</f>
        <v>0.59</v>
      </c>
      <c r="G1996" s="149" t="n">
        <f aca="false">IF(C1996="M.O.",VLOOKUP(A1996,INSUMOS_AUX!A:F,6,0),0)</f>
        <v>0</v>
      </c>
    </row>
    <row r="1997" customFormat="false" ht="15" hidden="false" customHeight="false" outlineLevel="0" collapsed="false">
      <c r="A1997" s="154" t="n">
        <v>1332</v>
      </c>
      <c r="B1997" s="155" t="s">
        <v>1810</v>
      </c>
      <c r="C1997" s="148" t="str">
        <f aca="false">VLOOKUP($A1997,INSUMOS_AUX!$A$3:$H$813,3,0)</f>
        <v>MAT.</v>
      </c>
      <c r="D1997" s="156" t="s">
        <v>1513</v>
      </c>
      <c r="E1997" s="154" t="n">
        <v>1.4</v>
      </c>
      <c r="F1997" s="149" t="n">
        <f aca="false">IF(C1997="MAT.",VLOOKUP(A1997,INSUMOS_AUX!$A$3:$H$813,6,0),0)</f>
        <v>8.37</v>
      </c>
      <c r="G1997" s="149" t="n">
        <f aca="false">IF(C1997="M.O.",VLOOKUP(A1997,INSUMOS_AUX!A:F,6,0),0)</f>
        <v>0</v>
      </c>
    </row>
    <row r="1998" customFormat="false" ht="15" hidden="false" customHeight="false" outlineLevel="0" collapsed="false">
      <c r="A1998" s="154" t="n">
        <v>11002</v>
      </c>
      <c r="B1998" s="155" t="s">
        <v>1604</v>
      </c>
      <c r="C1998" s="148" t="str">
        <f aca="false">VLOOKUP($A1998,INSUMOS_AUX!$A$3:$H$813,3,0)</f>
        <v>MAT.</v>
      </c>
      <c r="D1998" s="156" t="s">
        <v>1513</v>
      </c>
      <c r="E1998" s="154" t="n">
        <v>0.003</v>
      </c>
      <c r="F1998" s="149" t="n">
        <f aca="false">IF(C1998="MAT.",VLOOKUP(A1998,INSUMOS_AUX!$A$3:$H$813,6,0),0)</f>
        <v>23.81</v>
      </c>
      <c r="G1998" s="149" t="n">
        <f aca="false">IF(C1998="M.O.",VLOOKUP(A1998,INSUMOS_AUX!A:F,6,0),0)</f>
        <v>0</v>
      </c>
    </row>
    <row r="1999" customFormat="false" ht="31.5" hidden="false" customHeight="false" outlineLevel="0" collapsed="false">
      <c r="A1999" s="154" t="n">
        <v>13246</v>
      </c>
      <c r="B1999" s="155" t="s">
        <v>1811</v>
      </c>
      <c r="C1999" s="148" t="str">
        <f aca="false">VLOOKUP($A1999,INSUMOS_AUX!$A$3:$H$813,3,0)</f>
        <v>MAT.</v>
      </c>
      <c r="D1999" s="156" t="s">
        <v>31</v>
      </c>
      <c r="E1999" s="154" t="n">
        <v>5</v>
      </c>
      <c r="F1999" s="149" t="n">
        <f aca="false">IF(C1999="MAT.",VLOOKUP(A1999,INSUMOS_AUX!$A$3:$H$813,6,0),0)</f>
        <v>0.5</v>
      </c>
      <c r="G1999" s="149" t="n">
        <f aca="false">IF(C1999="M.O.",VLOOKUP(A1999,INSUMOS_AUX!A:F,6,0),0)</f>
        <v>0</v>
      </c>
    </row>
    <row r="2000" customFormat="false" ht="21" hidden="false" customHeight="false" outlineLevel="0" collapsed="false">
      <c r="A2000" s="154" t="n">
        <v>11964</v>
      </c>
      <c r="B2000" s="155" t="s">
        <v>1812</v>
      </c>
      <c r="C2000" s="148" t="str">
        <f aca="false">VLOOKUP($A2000,INSUMOS_AUX!$A$3:$H$813,3,0)</f>
        <v>MAT.</v>
      </c>
      <c r="D2000" s="156" t="s">
        <v>31</v>
      </c>
      <c r="E2000" s="154" t="n">
        <v>3.333</v>
      </c>
      <c r="F2000" s="149" t="n">
        <f aca="false">IF(C2000="MAT.",VLOOKUP(A2000,INSUMOS_AUX!$A$3:$H$813,6,0),0)</f>
        <v>2.65</v>
      </c>
      <c r="G2000" s="149" t="n">
        <f aca="false">IF(C2000="M.O.",VLOOKUP(A2000,INSUMOS_AUX!A:F,6,0),0)</f>
        <v>0</v>
      </c>
    </row>
    <row r="2001" customFormat="false" ht="15" hidden="false" customHeight="false" outlineLevel="0" collapsed="false">
      <c r="A2001" s="154" t="n">
        <v>34360</v>
      </c>
      <c r="B2001" s="155" t="s">
        <v>1776</v>
      </c>
      <c r="C2001" s="148" t="str">
        <f aca="false">VLOOKUP($A2001,INSUMOS_AUX!$A$3:$H$813,3,0)</f>
        <v>MAT.</v>
      </c>
      <c r="D2001" s="156" t="s">
        <v>1513</v>
      </c>
      <c r="E2001" s="154" t="n">
        <v>3.409</v>
      </c>
      <c r="F2001" s="149" t="n">
        <f aca="false">IF(C2001="MAT.",VLOOKUP(A2001,INSUMOS_AUX!$A$3:$H$813,6,0),0)</f>
        <v>45.42</v>
      </c>
      <c r="G2001" s="149" t="n">
        <f aca="false">IF(C2001="M.O.",VLOOKUP(A2001,INSUMOS_AUX!A:F,6,0),0)</f>
        <v>0</v>
      </c>
    </row>
    <row r="2002" customFormat="false" ht="21" hidden="false" customHeight="false" outlineLevel="0" collapsed="false">
      <c r="A2002" s="154" t="n">
        <v>20259</v>
      </c>
      <c r="B2002" s="155" t="s">
        <v>1813</v>
      </c>
      <c r="C2002" s="148" t="str">
        <f aca="false">VLOOKUP($A2002,INSUMOS_AUX!$A$3:$H$813,3,0)</f>
        <v>MAT.</v>
      </c>
      <c r="D2002" s="156" t="s">
        <v>1455</v>
      </c>
      <c r="E2002" s="154" t="n">
        <v>3.149</v>
      </c>
      <c r="F2002" s="149" t="n">
        <f aca="false">IF(C2002="MAT.",VLOOKUP(A2002,INSUMOS_AUX!$A$3:$H$813,6,0),0)</f>
        <v>13.3</v>
      </c>
      <c r="G2002" s="149" t="n">
        <f aca="false">IF(C2002="M.O.",VLOOKUP(A2002,INSUMOS_AUX!A:F,6,0),0)</f>
        <v>0</v>
      </c>
    </row>
    <row r="2003" customFormat="false" ht="15" hidden="false" customHeight="false" outlineLevel="0" collapsed="false">
      <c r="A2003" s="154" t="n">
        <v>39961</v>
      </c>
      <c r="B2003" s="155" t="s">
        <v>1777</v>
      </c>
      <c r="C2003" s="148" t="str">
        <f aca="false">VLOOKUP($A2003,INSUMOS_AUX!$A$3:$H$813,3,0)</f>
        <v>MAT.</v>
      </c>
      <c r="D2003" s="156" t="s">
        <v>31</v>
      </c>
      <c r="E2003" s="154" t="n">
        <v>0.855</v>
      </c>
      <c r="F2003" s="149" t="n">
        <f aca="false">IF(C2003="MAT.",VLOOKUP(A2003,INSUMOS_AUX!$A$3:$H$813,6,0),0)</f>
        <v>21.51</v>
      </c>
      <c r="G2003" s="149" t="n">
        <f aca="false">IF(C2003="M.O.",VLOOKUP(A2003,INSUMOS_AUX!A:F,6,0),0)</f>
        <v>0</v>
      </c>
    </row>
    <row r="2004" customFormat="false" ht="21" hidden="false" customHeight="false" outlineLevel="0" collapsed="false">
      <c r="A2004" s="154" t="n">
        <v>34391</v>
      </c>
      <c r="B2004" s="155" t="s">
        <v>1788</v>
      </c>
      <c r="C2004" s="148" t="str">
        <f aca="false">VLOOKUP($A2004,INSUMOS_AUX!$A$3:$H$813,3,0)</f>
        <v>MAT.</v>
      </c>
      <c r="D2004" s="156" t="s">
        <v>1477</v>
      </c>
      <c r="E2004" s="154" t="n">
        <v>0.998</v>
      </c>
      <c r="F2004" s="149" t="n">
        <f aca="false">IF(C2004="MAT.",VLOOKUP(A2004,INSUMOS_AUX!$A$3:$H$813,6,0),0)</f>
        <v>593.65</v>
      </c>
      <c r="G2004" s="149" t="n">
        <f aca="false">IF(C2004="M.O.",VLOOKUP(A2004,INSUMOS_AUX!A:F,6,0),0)</f>
        <v>0</v>
      </c>
    </row>
    <row r="2005" customFormat="false" ht="15" hidden="false" customHeight="false" outlineLevel="0" collapsed="false">
      <c r="A2005" s="154" t="n">
        <v>252</v>
      </c>
      <c r="B2005" s="155" t="s">
        <v>1600</v>
      </c>
      <c r="C2005" s="148" t="str">
        <f aca="false">VLOOKUP($A2005,INSUMOS_AUX!$A$3:$H$813,3,0)</f>
        <v>M.O.</v>
      </c>
      <c r="D2005" s="156" t="s">
        <v>1444</v>
      </c>
      <c r="E2005" s="154" t="n">
        <v>2.78578116</v>
      </c>
      <c r="F2005" s="149" t="n">
        <f aca="false">IF(C2005="MAT.",VLOOKUP(A2005,INSUMOS_AUX!$A$3:$H$813,6,0),0)</f>
        <v>0</v>
      </c>
      <c r="G2005" s="149" t="n">
        <f aca="false">IF(C2005="M.O.",VLOOKUP(A2005,INSUMOS_AUX!A:F,6,0),0)</f>
        <v>13.26</v>
      </c>
    </row>
    <row r="2006" customFormat="false" ht="15" hidden="false" customHeight="false" outlineLevel="0" collapsed="false">
      <c r="A2006" s="154" t="n">
        <v>6110</v>
      </c>
      <c r="B2006" s="155" t="s">
        <v>1601</v>
      </c>
      <c r="C2006" s="148" t="str">
        <f aca="false">VLOOKUP($A2006,INSUMOS_AUX!$A$3:$H$813,3,0)</f>
        <v>M.O.</v>
      </c>
      <c r="D2006" s="156" t="s">
        <v>1444</v>
      </c>
      <c r="E2006" s="154" t="n">
        <v>3.39169362</v>
      </c>
      <c r="F2006" s="149" t="n">
        <f aca="false">IF(C2006="MAT.",VLOOKUP(A2006,INSUMOS_AUX!$A$3:$H$813,6,0),0)</f>
        <v>0</v>
      </c>
      <c r="G2006" s="149" t="n">
        <f aca="false">IF(C2006="M.O.",VLOOKUP(A2006,INSUMOS_AUX!A:F,6,0),0)</f>
        <v>20.22</v>
      </c>
    </row>
    <row r="2007" customFormat="false" ht="21" hidden="false" customHeight="false" outlineLevel="0" collapsed="false">
      <c r="A2007" s="150" t="s">
        <v>398</v>
      </c>
      <c r="B2007" s="151" t="s">
        <v>1814</v>
      </c>
      <c r="C2007" s="152" t="s">
        <v>59</v>
      </c>
      <c r="D2007" s="152" t="s">
        <v>1455</v>
      </c>
      <c r="E2007" s="150"/>
      <c r="F2007" s="153" t="n">
        <f aca="false">(SUMPRODUCT($E2008:$E2025,F2008:F2025))*1</f>
        <v>125.430743717112</v>
      </c>
      <c r="G2007" s="153" t="n">
        <f aca="false">(SUMPRODUCT($E2008:$E2025,G2008:G2025))*1</f>
        <v>57.657858210522</v>
      </c>
    </row>
    <row r="2008" customFormat="false" ht="21" hidden="false" customHeight="false" outlineLevel="0" collapsed="false">
      <c r="A2008" s="154" t="n">
        <v>37370</v>
      </c>
      <c r="B2008" s="155" t="s">
        <v>1443</v>
      </c>
      <c r="C2008" s="148" t="str">
        <f aca="false">VLOOKUP($A2008,INSUMOS_AUX!$A$3:$H$813,3,0)</f>
        <v>MAT.</v>
      </c>
      <c r="D2008" s="156" t="s">
        <v>1444</v>
      </c>
      <c r="E2008" s="154" t="n">
        <v>3.34026</v>
      </c>
      <c r="F2008" s="149" t="n">
        <f aca="false">IF(C2008="MAT.",VLOOKUP(A2008,INSUMOS_AUX!$A$3:$H$813,6,0),0)</f>
        <v>3.32</v>
      </c>
      <c r="G2008" s="149" t="n">
        <f aca="false">IF(C2008="M.O.",VLOOKUP(A2008,INSUMOS_AUX!A:F,6,0),0)</f>
        <v>0</v>
      </c>
    </row>
    <row r="2009" customFormat="false" ht="21" hidden="false" customHeight="false" outlineLevel="0" collapsed="false">
      <c r="A2009" s="154" t="n">
        <v>43488</v>
      </c>
      <c r="B2009" s="155" t="s">
        <v>1445</v>
      </c>
      <c r="C2009" s="148" t="str">
        <f aca="false">VLOOKUP($A2009,INSUMOS_AUX!$A$3:$H$813,3,0)</f>
        <v>MAT.</v>
      </c>
      <c r="D2009" s="156" t="s">
        <v>1444</v>
      </c>
      <c r="E2009" s="154" t="n">
        <v>0.01026</v>
      </c>
      <c r="F2009" s="149" t="n">
        <f aca="false">IF(C2009="MAT.",VLOOKUP(A2009,INSUMOS_AUX!$A$3:$H$813,6,0),0)</f>
        <v>0.89</v>
      </c>
      <c r="G2009" s="149" t="n">
        <f aca="false">IF(C2009="M.O.",VLOOKUP(A2009,INSUMOS_AUX!A:F,6,0),0)</f>
        <v>0</v>
      </c>
    </row>
    <row r="2010" customFormat="false" ht="21" hidden="false" customHeight="false" outlineLevel="0" collapsed="false">
      <c r="A2010" s="154" t="n">
        <v>43489</v>
      </c>
      <c r="B2010" s="155" t="s">
        <v>1456</v>
      </c>
      <c r="C2010" s="148" t="str">
        <f aca="false">VLOOKUP($A2010,INSUMOS_AUX!$A$3:$H$813,3,0)</f>
        <v>MAT.</v>
      </c>
      <c r="D2010" s="156" t="s">
        <v>1444</v>
      </c>
      <c r="E2010" s="154" t="n">
        <v>3.33</v>
      </c>
      <c r="F2010" s="149" t="n">
        <f aca="false">IF(C2010="MAT.",VLOOKUP(A2010,INSUMOS_AUX!$A$3:$H$813,6,0),0)</f>
        <v>1.31</v>
      </c>
      <c r="G2010" s="149" t="n">
        <f aca="false">IF(C2010="M.O.",VLOOKUP(A2010,INSUMOS_AUX!A:F,6,0),0)</f>
        <v>0</v>
      </c>
    </row>
    <row r="2011" customFormat="false" ht="21" hidden="false" customHeight="false" outlineLevel="0" collapsed="false">
      <c r="A2011" s="154" t="n">
        <v>37372</v>
      </c>
      <c r="B2011" s="155" t="s">
        <v>1446</v>
      </c>
      <c r="C2011" s="148" t="str">
        <f aca="false">VLOOKUP($A2011,INSUMOS_AUX!$A$3:$H$813,3,0)</f>
        <v>MAT.</v>
      </c>
      <c r="D2011" s="156" t="s">
        <v>1444</v>
      </c>
      <c r="E2011" s="154" t="n">
        <v>3.34026</v>
      </c>
      <c r="F2011" s="149" t="n">
        <f aca="false">IF(C2011="MAT.",VLOOKUP(A2011,INSUMOS_AUX!$A$3:$H$813,6,0),0)</f>
        <v>1.43</v>
      </c>
      <c r="G2011" s="149" t="n">
        <f aca="false">IF(C2011="M.O.",VLOOKUP(A2011,INSUMOS_AUX!A:F,6,0),0)</f>
        <v>0</v>
      </c>
    </row>
    <row r="2012" customFormat="false" ht="21" hidden="false" customHeight="false" outlineLevel="0" collapsed="false">
      <c r="A2012" s="154" t="n">
        <v>43464</v>
      </c>
      <c r="B2012" s="155" t="s">
        <v>1447</v>
      </c>
      <c r="C2012" s="148" t="str">
        <f aca="false">VLOOKUP($A2012,INSUMOS_AUX!$A$3:$H$813,3,0)</f>
        <v>MAT.</v>
      </c>
      <c r="D2012" s="156" t="s">
        <v>1444</v>
      </c>
      <c r="E2012" s="154" t="n">
        <v>0.01026</v>
      </c>
      <c r="F2012" s="149" t="n">
        <f aca="false">IF(C2012="MAT.",VLOOKUP(A2012,INSUMOS_AUX!$A$3:$H$813,6,0),0)</f>
        <v>0.01</v>
      </c>
      <c r="G2012" s="149" t="n">
        <f aca="false">IF(C2012="M.O.",VLOOKUP(A2012,INSUMOS_AUX!A:F,6,0),0)</f>
        <v>0</v>
      </c>
    </row>
    <row r="2013" customFormat="false" ht="21" hidden="false" customHeight="false" outlineLevel="0" collapsed="false">
      <c r="A2013" s="154" t="n">
        <v>43465</v>
      </c>
      <c r="B2013" s="155" t="s">
        <v>1458</v>
      </c>
      <c r="C2013" s="148" t="str">
        <f aca="false">VLOOKUP($A2013,INSUMOS_AUX!$A$3:$H$813,3,0)</f>
        <v>MAT.</v>
      </c>
      <c r="D2013" s="156" t="s">
        <v>1444</v>
      </c>
      <c r="E2013" s="154" t="n">
        <v>3.33</v>
      </c>
      <c r="F2013" s="149" t="n">
        <f aca="false">IF(C2013="MAT.",VLOOKUP(A2013,INSUMOS_AUX!$A$3:$H$813,6,0),0)</f>
        <v>0.78</v>
      </c>
      <c r="G2013" s="149" t="n">
        <f aca="false">IF(C2013="M.O.",VLOOKUP(A2013,INSUMOS_AUX!A:F,6,0),0)</f>
        <v>0</v>
      </c>
    </row>
    <row r="2014" customFormat="false" ht="21" hidden="false" customHeight="false" outlineLevel="0" collapsed="false">
      <c r="A2014" s="154" t="n">
        <v>37373</v>
      </c>
      <c r="B2014" s="155" t="s">
        <v>1448</v>
      </c>
      <c r="C2014" s="148" t="str">
        <f aca="false">VLOOKUP($A2014,INSUMOS_AUX!$A$3:$H$813,3,0)</f>
        <v>MAT.</v>
      </c>
      <c r="D2014" s="156" t="s">
        <v>1444</v>
      </c>
      <c r="E2014" s="154" t="n">
        <v>3.34026</v>
      </c>
      <c r="F2014" s="149" t="n">
        <f aca="false">IF(C2014="MAT.",VLOOKUP(A2014,INSUMOS_AUX!$A$3:$H$813,6,0),0)</f>
        <v>0.08</v>
      </c>
      <c r="G2014" s="149" t="n">
        <f aca="false">IF(C2014="M.O.",VLOOKUP(A2014,INSUMOS_AUX!A:F,6,0),0)</f>
        <v>0</v>
      </c>
    </row>
    <row r="2015" customFormat="false" ht="21" hidden="false" customHeight="false" outlineLevel="0" collapsed="false">
      <c r="A2015" s="154" t="n">
        <v>37371</v>
      </c>
      <c r="B2015" s="155" t="s">
        <v>1449</v>
      </c>
      <c r="C2015" s="148" t="str">
        <f aca="false">VLOOKUP($A2015,INSUMOS_AUX!$A$3:$H$813,3,0)</f>
        <v>MAT.</v>
      </c>
      <c r="D2015" s="156" t="s">
        <v>1444</v>
      </c>
      <c r="E2015" s="154" t="n">
        <v>3.34026</v>
      </c>
      <c r="F2015" s="149" t="n">
        <f aca="false">IF(C2015="MAT.",VLOOKUP(A2015,INSUMOS_AUX!$A$3:$H$813,6,0),0)</f>
        <v>0.59</v>
      </c>
      <c r="G2015" s="149" t="n">
        <f aca="false">IF(C2015="M.O.",VLOOKUP(A2015,INSUMOS_AUX!A:F,6,0),0)</f>
        <v>0</v>
      </c>
    </row>
    <row r="2016" customFormat="false" ht="31.5" hidden="false" customHeight="false" outlineLevel="0" collapsed="false">
      <c r="A2016" s="154" t="n">
        <v>10535</v>
      </c>
      <c r="B2016" s="155" t="s">
        <v>1525</v>
      </c>
      <c r="C2016" s="148" t="str">
        <f aca="false">VLOOKUP($A2016,INSUMOS_AUX!$A$3:$H$813,3,0)</f>
        <v>MAT.</v>
      </c>
      <c r="D2016" s="156" t="s">
        <v>31</v>
      </c>
      <c r="E2016" s="154" t="n">
        <v>9.76488E-007</v>
      </c>
      <c r="F2016" s="149" t="n">
        <f aca="false">IF(C2016="MAT.",VLOOKUP(A2016,INSUMOS_AUX!$A$3:$H$813,6,0),0)</f>
        <v>4699</v>
      </c>
      <c r="G2016" s="149" t="n">
        <f aca="false">IF(C2016="M.O.",VLOOKUP(A2016,INSUMOS_AUX!A:F,6,0),0)</f>
        <v>0</v>
      </c>
    </row>
    <row r="2017" customFormat="false" ht="15" hidden="false" customHeight="false" outlineLevel="0" collapsed="false">
      <c r="A2017" s="154" t="n">
        <v>2705</v>
      </c>
      <c r="B2017" s="155" t="s">
        <v>1467</v>
      </c>
      <c r="C2017" s="148" t="str">
        <f aca="false">VLOOKUP($A2017,INSUMOS_AUX!$A$3:$H$813,3,0)</f>
        <v>MAT.</v>
      </c>
      <c r="D2017" s="156" t="s">
        <v>1468</v>
      </c>
      <c r="E2017" s="154" t="n">
        <v>0.003</v>
      </c>
      <c r="F2017" s="149" t="n">
        <f aca="false">IF(C2017="MAT.",VLOOKUP(A2017,INSUMOS_AUX!$A$3:$H$813,6,0),0)</f>
        <v>0.92</v>
      </c>
      <c r="G2017" s="149" t="n">
        <f aca="false">IF(C2017="M.O.",VLOOKUP(A2017,INSUMOS_AUX!A:F,6,0),0)</f>
        <v>0</v>
      </c>
    </row>
    <row r="2018" customFormat="false" ht="21" hidden="false" customHeight="false" outlineLevel="0" collapsed="false">
      <c r="A2018" s="154" t="n">
        <v>370</v>
      </c>
      <c r="B2018" s="155" t="s">
        <v>1527</v>
      </c>
      <c r="C2018" s="148" t="str">
        <f aca="false">VLOOKUP($A2018,INSUMOS_AUX!$A$3:$H$813,3,0)</f>
        <v>MAT.</v>
      </c>
      <c r="D2018" s="156" t="s">
        <v>1442</v>
      </c>
      <c r="E2018" s="154" t="n">
        <v>0.00321</v>
      </c>
      <c r="F2018" s="149" t="n">
        <f aca="false">IF(C2018="MAT.",VLOOKUP(A2018,INSUMOS_AUX!$A$3:$H$813,6,0),0)</f>
        <v>150</v>
      </c>
      <c r="G2018" s="149" t="n">
        <f aca="false">IF(C2018="M.O.",VLOOKUP(A2018,INSUMOS_AUX!A:F,6,0),0)</f>
        <v>0</v>
      </c>
    </row>
    <row r="2019" customFormat="false" ht="31.5" hidden="false" customHeight="false" outlineLevel="0" collapsed="false">
      <c r="A2019" s="154" t="n">
        <v>7568</v>
      </c>
      <c r="B2019" s="155" t="s">
        <v>1815</v>
      </c>
      <c r="C2019" s="148" t="s">
        <v>59</v>
      </c>
      <c r="D2019" s="156" t="s">
        <v>31</v>
      </c>
      <c r="E2019" s="154" t="n">
        <v>6.545</v>
      </c>
      <c r="F2019" s="149" t="n">
        <f aca="false">IF(C2019="MAT.",VLOOKUP(A2019,INSUMOS_AUX!$A$3:$H$813,6,0),0)</f>
        <v>0</v>
      </c>
      <c r="G2019" s="149" t="n">
        <f aca="false">IF(C2019="M.O.",VLOOKUP(A2019,INSUMOS_AUX!A:F,6,0),0)</f>
        <v>0</v>
      </c>
    </row>
    <row r="2020" customFormat="false" ht="15" hidden="false" customHeight="false" outlineLevel="0" collapsed="false">
      <c r="A2020" s="154" t="n">
        <v>1379</v>
      </c>
      <c r="B2020" s="155" t="s">
        <v>1535</v>
      </c>
      <c r="C2020" s="148" t="str">
        <f aca="false">VLOOKUP($A2020,INSUMOS_AUX!$A$3:$H$813,3,0)</f>
        <v>MAT.</v>
      </c>
      <c r="D2020" s="156" t="s">
        <v>1513</v>
      </c>
      <c r="E2020" s="154" t="n">
        <v>1.4511</v>
      </c>
      <c r="F2020" s="149" t="n">
        <f aca="false">IF(C2020="MAT.",VLOOKUP(A2020,INSUMOS_AUX!$A$3:$H$813,6,0),0)</f>
        <v>0.72</v>
      </c>
      <c r="G2020" s="149" t="n">
        <f aca="false">IF(C2020="M.O.",VLOOKUP(A2020,INSUMOS_AUX!A:F,6,0),0)</f>
        <v>0</v>
      </c>
    </row>
    <row r="2021" customFormat="false" ht="15" hidden="false" customHeight="false" outlineLevel="0" collapsed="false">
      <c r="A2021" s="154" t="n">
        <v>11002</v>
      </c>
      <c r="B2021" s="155" t="s">
        <v>1604</v>
      </c>
      <c r="C2021" s="148" t="str">
        <f aca="false">VLOOKUP($A2021,INSUMOS_AUX!$A$3:$H$813,3,0)</f>
        <v>MAT.</v>
      </c>
      <c r="D2021" s="156" t="s">
        <v>1513</v>
      </c>
      <c r="E2021" s="154" t="n">
        <v>0.006</v>
      </c>
      <c r="F2021" s="149" t="n">
        <f aca="false">IF(C2021="MAT.",VLOOKUP(A2021,INSUMOS_AUX!$A$3:$H$813,6,0),0)</f>
        <v>23.81</v>
      </c>
      <c r="G2021" s="149" t="n">
        <f aca="false">IF(C2021="M.O.",VLOOKUP(A2021,INSUMOS_AUX!A:F,6,0),0)</f>
        <v>0</v>
      </c>
    </row>
    <row r="2022" customFormat="false" ht="21" hidden="false" customHeight="false" outlineLevel="0" collapsed="false">
      <c r="A2022" s="154" t="n">
        <v>21011</v>
      </c>
      <c r="B2022" s="155" t="s">
        <v>1816</v>
      </c>
      <c r="C2022" s="148" t="str">
        <f aca="false">VLOOKUP($A2022,INSUMOS_AUX!$A$3:$H$813,3,0)</f>
        <v>MAT.</v>
      </c>
      <c r="D2022" s="156" t="s">
        <v>1455</v>
      </c>
      <c r="E2022" s="154" t="n">
        <v>2.058</v>
      </c>
      <c r="F2022" s="149" t="n">
        <f aca="false">IF(C2022="MAT.",VLOOKUP(A2022,INSUMOS_AUX!$A$3:$H$813,6,0),0)</f>
        <v>47.95</v>
      </c>
      <c r="G2022" s="149" t="n">
        <f aca="false">IF(C2022="M.O.",VLOOKUP(A2022,INSUMOS_AUX!A:F,6,0),0)</f>
        <v>0</v>
      </c>
    </row>
    <row r="2023" customFormat="false" ht="15" hidden="false" customHeight="false" outlineLevel="0" collapsed="false">
      <c r="A2023" s="154" t="n">
        <v>252</v>
      </c>
      <c r="B2023" s="155" t="s">
        <v>1600</v>
      </c>
      <c r="C2023" s="148" t="str">
        <f aca="false">VLOOKUP($A2023,INSUMOS_AUX!$A$3:$H$813,3,0)</f>
        <v>M.O.</v>
      </c>
      <c r="D2023" s="156" t="s">
        <v>1444</v>
      </c>
      <c r="E2023" s="154" t="n">
        <v>1.51933308</v>
      </c>
      <c r="F2023" s="149" t="n">
        <f aca="false">IF(C2023="MAT.",VLOOKUP(A2023,INSUMOS_AUX!$A$3:$H$813,6,0),0)</f>
        <v>0</v>
      </c>
      <c r="G2023" s="149" t="n">
        <f aca="false">IF(C2023="M.O.",VLOOKUP(A2023,INSUMOS_AUX!A:F,6,0),0)</f>
        <v>13.26</v>
      </c>
    </row>
    <row r="2024" customFormat="false" ht="15" hidden="false" customHeight="false" outlineLevel="0" collapsed="false">
      <c r="A2024" s="154" t="n">
        <v>37666</v>
      </c>
      <c r="B2024" s="155" t="s">
        <v>1558</v>
      </c>
      <c r="C2024" s="148" t="str">
        <f aca="false">VLOOKUP($A2024,INSUMOS_AUX!$A$3:$H$813,3,0)</f>
        <v>M.O.</v>
      </c>
      <c r="D2024" s="156" t="s">
        <v>1444</v>
      </c>
      <c r="E2024" s="154" t="n">
        <v>0.0103452606</v>
      </c>
      <c r="F2024" s="149" t="n">
        <f aca="false">IF(C2024="MAT.",VLOOKUP(A2024,INSUMOS_AUX!$A$3:$H$813,6,0),0)</f>
        <v>0</v>
      </c>
      <c r="G2024" s="149" t="n">
        <f aca="false">IF(C2024="M.O.",VLOOKUP(A2024,INSUMOS_AUX!A:F,6,0),0)</f>
        <v>11.87</v>
      </c>
    </row>
    <row r="2025" customFormat="false" ht="15" hidden="false" customHeight="false" outlineLevel="0" collapsed="false">
      <c r="A2025" s="154" t="n">
        <v>6110</v>
      </c>
      <c r="B2025" s="155" t="s">
        <v>1601</v>
      </c>
      <c r="C2025" s="148" t="str">
        <f aca="false">VLOOKUP($A2025,INSUMOS_AUX!$A$3:$H$813,3,0)</f>
        <v>M.O.</v>
      </c>
      <c r="D2025" s="156" t="s">
        <v>1444</v>
      </c>
      <c r="E2025" s="154" t="n">
        <v>1.84909512</v>
      </c>
      <c r="F2025" s="149" t="n">
        <f aca="false">IF(C2025="MAT.",VLOOKUP(A2025,INSUMOS_AUX!$A$3:$H$813,6,0),0)</f>
        <v>0</v>
      </c>
      <c r="G2025" s="149" t="n">
        <f aca="false">IF(C2025="M.O.",VLOOKUP(A2025,INSUMOS_AUX!A:F,6,0),0)</f>
        <v>20.22</v>
      </c>
    </row>
    <row r="2026" customFormat="false" ht="42" hidden="false" customHeight="false" outlineLevel="0" collapsed="false">
      <c r="A2026" s="150" t="n">
        <v>99839</v>
      </c>
      <c r="B2026" s="151" t="s">
        <v>1817</v>
      </c>
      <c r="C2026" s="152" t="s">
        <v>59</v>
      </c>
      <c r="D2026" s="152" t="s">
        <v>1455</v>
      </c>
      <c r="E2026" s="150"/>
      <c r="F2026" s="153" t="n">
        <f aca="false">(SUMPRODUCT($E2027:$E2040,F2027:F2040))*1</f>
        <v>241.723</v>
      </c>
      <c r="G2026" s="153" t="n">
        <f aca="false">(SUMPRODUCT($E2027:$E2040,G2027:G2040))*1</f>
        <v>181.9053191232</v>
      </c>
    </row>
    <row r="2027" customFormat="false" ht="21" hidden="false" customHeight="false" outlineLevel="0" collapsed="false">
      <c r="A2027" s="154" t="n">
        <v>37370</v>
      </c>
      <c r="B2027" s="155" t="s">
        <v>1443</v>
      </c>
      <c r="C2027" s="148" t="str">
        <f aca="false">VLOOKUP($A2027,INSUMOS_AUX!$A$3:$H$813,3,0)</f>
        <v>MAT.</v>
      </c>
      <c r="D2027" s="156" t="s">
        <v>1444</v>
      </c>
      <c r="E2027" s="154" t="n">
        <v>10.528</v>
      </c>
      <c r="F2027" s="149" t="n">
        <f aca="false">IF(C2027="MAT.",VLOOKUP(A2027,INSUMOS_AUX!$A$3:$H$813,6,0),0)</f>
        <v>3.32</v>
      </c>
      <c r="G2027" s="149" t="n">
        <f aca="false">IF(C2027="M.O.",VLOOKUP(A2027,INSUMOS_AUX!A:F,6,0),0)</f>
        <v>0</v>
      </c>
    </row>
    <row r="2028" customFormat="false" ht="21" hidden="false" customHeight="false" outlineLevel="0" collapsed="false">
      <c r="A2028" s="154" t="n">
        <v>43489</v>
      </c>
      <c r="B2028" s="155" t="s">
        <v>1456</v>
      </c>
      <c r="C2028" s="148" t="str">
        <f aca="false">VLOOKUP($A2028,INSUMOS_AUX!$A$3:$H$813,3,0)</f>
        <v>MAT.</v>
      </c>
      <c r="D2028" s="156" t="s">
        <v>1444</v>
      </c>
      <c r="E2028" s="154" t="n">
        <v>10.528</v>
      </c>
      <c r="F2028" s="149" t="n">
        <f aca="false">IF(C2028="MAT.",VLOOKUP(A2028,INSUMOS_AUX!$A$3:$H$813,6,0),0)</f>
        <v>1.31</v>
      </c>
      <c r="G2028" s="149" t="n">
        <f aca="false">IF(C2028="M.O.",VLOOKUP(A2028,INSUMOS_AUX!A:F,6,0),0)</f>
        <v>0</v>
      </c>
    </row>
    <row r="2029" customFormat="false" ht="21" hidden="false" customHeight="false" outlineLevel="0" collapsed="false">
      <c r="A2029" s="154" t="n">
        <v>37372</v>
      </c>
      <c r="B2029" s="155" t="s">
        <v>1446</v>
      </c>
      <c r="C2029" s="148" t="str">
        <f aca="false">VLOOKUP($A2029,INSUMOS_AUX!$A$3:$H$813,3,0)</f>
        <v>MAT.</v>
      </c>
      <c r="D2029" s="156" t="s">
        <v>1444</v>
      </c>
      <c r="E2029" s="154" t="n">
        <v>10.528</v>
      </c>
      <c r="F2029" s="149" t="n">
        <f aca="false">IF(C2029="MAT.",VLOOKUP(A2029,INSUMOS_AUX!$A$3:$H$813,6,0),0)</f>
        <v>1.43</v>
      </c>
      <c r="G2029" s="149" t="n">
        <f aca="false">IF(C2029="M.O.",VLOOKUP(A2029,INSUMOS_AUX!A:F,6,0),0)</f>
        <v>0</v>
      </c>
    </row>
    <row r="2030" customFormat="false" ht="21" hidden="false" customHeight="false" outlineLevel="0" collapsed="false">
      <c r="A2030" s="154" t="n">
        <v>43465</v>
      </c>
      <c r="B2030" s="155" t="s">
        <v>1458</v>
      </c>
      <c r="C2030" s="148" t="str">
        <f aca="false">VLOOKUP($A2030,INSUMOS_AUX!$A$3:$H$813,3,0)</f>
        <v>MAT.</v>
      </c>
      <c r="D2030" s="156" t="s">
        <v>1444</v>
      </c>
      <c r="E2030" s="154" t="n">
        <v>10.528</v>
      </c>
      <c r="F2030" s="149" t="n">
        <f aca="false">IF(C2030="MAT.",VLOOKUP(A2030,INSUMOS_AUX!$A$3:$H$813,6,0),0)</f>
        <v>0.78</v>
      </c>
      <c r="G2030" s="149" t="n">
        <f aca="false">IF(C2030="M.O.",VLOOKUP(A2030,INSUMOS_AUX!A:F,6,0),0)</f>
        <v>0</v>
      </c>
    </row>
    <row r="2031" customFormat="false" ht="21" hidden="false" customHeight="false" outlineLevel="0" collapsed="false">
      <c r="A2031" s="154" t="n">
        <v>37373</v>
      </c>
      <c r="B2031" s="155" t="s">
        <v>1448</v>
      </c>
      <c r="C2031" s="148" t="str">
        <f aca="false">VLOOKUP($A2031,INSUMOS_AUX!$A$3:$H$813,3,0)</f>
        <v>MAT.</v>
      </c>
      <c r="D2031" s="156" t="s">
        <v>1444</v>
      </c>
      <c r="E2031" s="154" t="n">
        <v>10.528</v>
      </c>
      <c r="F2031" s="149" t="n">
        <f aca="false">IF(C2031="MAT.",VLOOKUP(A2031,INSUMOS_AUX!$A$3:$H$813,6,0),0)</f>
        <v>0.08</v>
      </c>
      <c r="G2031" s="149" t="n">
        <f aca="false">IF(C2031="M.O.",VLOOKUP(A2031,INSUMOS_AUX!A:F,6,0),0)</f>
        <v>0</v>
      </c>
    </row>
    <row r="2032" customFormat="false" ht="21" hidden="false" customHeight="false" outlineLevel="0" collapsed="false">
      <c r="A2032" s="154" t="n">
        <v>37371</v>
      </c>
      <c r="B2032" s="155" t="s">
        <v>1449</v>
      </c>
      <c r="C2032" s="148" t="str">
        <f aca="false">VLOOKUP($A2032,INSUMOS_AUX!$A$3:$H$813,3,0)</f>
        <v>MAT.</v>
      </c>
      <c r="D2032" s="156" t="s">
        <v>1444</v>
      </c>
      <c r="E2032" s="154" t="n">
        <v>10.528</v>
      </c>
      <c r="F2032" s="149" t="n">
        <f aca="false">IF(C2032="MAT.",VLOOKUP(A2032,INSUMOS_AUX!$A$3:$H$813,6,0),0)</f>
        <v>0.59</v>
      </c>
      <c r="G2032" s="149" t="n">
        <f aca="false">IF(C2032="M.O.",VLOOKUP(A2032,INSUMOS_AUX!A:F,6,0),0)</f>
        <v>0</v>
      </c>
    </row>
    <row r="2033" customFormat="false" ht="15" hidden="false" customHeight="false" outlineLevel="0" collapsed="false">
      <c r="A2033" s="154" t="n">
        <v>546</v>
      </c>
      <c r="B2033" s="155" t="s">
        <v>1818</v>
      </c>
      <c r="C2033" s="148" t="str">
        <f aca="false">VLOOKUP($A2033,INSUMOS_AUX!$A$3:$H$813,3,0)</f>
        <v>MAT.</v>
      </c>
      <c r="D2033" s="156" t="s">
        <v>1513</v>
      </c>
      <c r="E2033" s="154" t="n">
        <v>9.224</v>
      </c>
      <c r="F2033" s="149" t="n">
        <f aca="false">IF(C2033="MAT.",VLOOKUP(A2033,INSUMOS_AUX!$A$3:$H$813,6,0),0)</f>
        <v>10.51</v>
      </c>
      <c r="G2033" s="149" t="n">
        <f aca="false">IF(C2033="M.O.",VLOOKUP(A2033,INSUMOS_AUX!A:F,6,0),0)</f>
        <v>0</v>
      </c>
    </row>
    <row r="2034" customFormat="false" ht="15" hidden="false" customHeight="false" outlineLevel="0" collapsed="false">
      <c r="A2034" s="154" t="n">
        <v>1332</v>
      </c>
      <c r="B2034" s="155" t="s">
        <v>1810</v>
      </c>
      <c r="C2034" s="148" t="str">
        <f aca="false">VLOOKUP($A2034,INSUMOS_AUX!$A$3:$H$813,3,0)</f>
        <v>MAT.</v>
      </c>
      <c r="D2034" s="156" t="s">
        <v>1513</v>
      </c>
      <c r="E2034" s="154" t="n">
        <v>0.896</v>
      </c>
      <c r="F2034" s="149" t="n">
        <f aca="false">IF(C2034="MAT.",VLOOKUP(A2034,INSUMOS_AUX!$A$3:$H$813,6,0),0)</f>
        <v>8.37</v>
      </c>
      <c r="G2034" s="149" t="n">
        <f aca="false">IF(C2034="M.O.",VLOOKUP(A2034,INSUMOS_AUX!A:F,6,0),0)</f>
        <v>0</v>
      </c>
    </row>
    <row r="2035" customFormat="false" ht="15" hidden="false" customHeight="false" outlineLevel="0" collapsed="false">
      <c r="A2035" s="154" t="n">
        <v>11002</v>
      </c>
      <c r="B2035" s="155" t="s">
        <v>1604</v>
      </c>
      <c r="C2035" s="148" t="str">
        <f aca="false">VLOOKUP($A2035,INSUMOS_AUX!$A$3:$H$813,3,0)</f>
        <v>MAT.</v>
      </c>
      <c r="D2035" s="156" t="s">
        <v>1513</v>
      </c>
      <c r="E2035" s="154" t="n">
        <v>0.071</v>
      </c>
      <c r="F2035" s="149" t="n">
        <f aca="false">IF(C2035="MAT.",VLOOKUP(A2035,INSUMOS_AUX!$A$3:$H$813,6,0),0)</f>
        <v>23.81</v>
      </c>
      <c r="G2035" s="149" t="n">
        <f aca="false">IF(C2035="M.O.",VLOOKUP(A2035,INSUMOS_AUX!A:F,6,0),0)</f>
        <v>0</v>
      </c>
    </row>
    <row r="2036" customFormat="false" ht="21" hidden="false" customHeight="false" outlineLevel="0" collapsed="false">
      <c r="A2036" s="154" t="n">
        <v>11964</v>
      </c>
      <c r="B2036" s="155" t="s">
        <v>1812</v>
      </c>
      <c r="C2036" s="148" t="str">
        <f aca="false">VLOOKUP($A2036,INSUMOS_AUX!$A$3:$H$813,3,0)</f>
        <v>MAT.</v>
      </c>
      <c r="D2036" s="156" t="s">
        <v>31</v>
      </c>
      <c r="E2036" s="154" t="n">
        <v>3.333</v>
      </c>
      <c r="F2036" s="149" t="n">
        <f aca="false">IF(C2036="MAT.",VLOOKUP(A2036,INSUMOS_AUX!$A$3:$H$813,6,0),0)</f>
        <v>2.65</v>
      </c>
      <c r="G2036" s="149" t="n">
        <f aca="false">IF(C2036="M.O.",VLOOKUP(A2036,INSUMOS_AUX!A:F,6,0),0)</f>
        <v>0</v>
      </c>
    </row>
    <row r="2037" customFormat="false" ht="21" hidden="false" customHeight="false" outlineLevel="0" collapsed="false">
      <c r="A2037" s="154" t="n">
        <v>21012</v>
      </c>
      <c r="B2037" s="155" t="s">
        <v>1819</v>
      </c>
      <c r="C2037" s="148" t="str">
        <f aca="false">VLOOKUP($A2037,INSUMOS_AUX!$A$3:$H$813,3,0)</f>
        <v>MAT.</v>
      </c>
      <c r="D2037" s="156" t="s">
        <v>1455</v>
      </c>
      <c r="E2037" s="154" t="n">
        <v>0.9</v>
      </c>
      <c r="F2037" s="149" t="n">
        <f aca="false">IF(C2037="MAT.",VLOOKUP(A2037,INSUMOS_AUX!$A$3:$H$813,6,0),0)</f>
        <v>52.99</v>
      </c>
      <c r="G2037" s="149" t="n">
        <f aca="false">IF(C2037="M.O.",VLOOKUP(A2037,INSUMOS_AUX!A:F,6,0),0)</f>
        <v>0</v>
      </c>
    </row>
    <row r="2038" customFormat="false" ht="21" hidden="false" customHeight="false" outlineLevel="0" collapsed="false">
      <c r="A2038" s="154" t="n">
        <v>21013</v>
      </c>
      <c r="B2038" s="155" t="s">
        <v>1820</v>
      </c>
      <c r="C2038" s="148" t="s">
        <v>59</v>
      </c>
      <c r="D2038" s="156" t="s">
        <v>1455</v>
      </c>
      <c r="E2038" s="154" t="n">
        <v>1.029</v>
      </c>
      <c r="F2038" s="149" t="n">
        <f aca="false">IF(C2038="MAT.",VLOOKUP(A2038,INSUMOS_AUX!$A$3:$H$813,6,0),0)</f>
        <v>0</v>
      </c>
      <c r="G2038" s="149" t="n">
        <f aca="false">IF(C2038="M.O.",VLOOKUP(A2038,INSUMOS_AUX!A:F,6,0),0)</f>
        <v>0</v>
      </c>
    </row>
    <row r="2039" customFormat="false" ht="15" hidden="false" customHeight="false" outlineLevel="0" collapsed="false">
      <c r="A2039" s="154" t="n">
        <v>252</v>
      </c>
      <c r="B2039" s="155" t="s">
        <v>1600</v>
      </c>
      <c r="C2039" s="148" t="str">
        <f aca="false">VLOOKUP($A2039,INSUMOS_AUX!$A$3:$H$813,3,0)</f>
        <v>M.O.</v>
      </c>
      <c r="D2039" s="156" t="s">
        <v>1444</v>
      </c>
      <c r="E2039" s="154" t="n">
        <v>4.80279192</v>
      </c>
      <c r="F2039" s="149" t="n">
        <f aca="false">IF(C2039="MAT.",VLOOKUP(A2039,INSUMOS_AUX!$A$3:$H$813,6,0),0)</f>
        <v>0</v>
      </c>
      <c r="G2039" s="149" t="n">
        <f aca="false">IF(C2039="M.O.",VLOOKUP(A2039,INSUMOS_AUX!A:F,6,0),0)</f>
        <v>13.26</v>
      </c>
    </row>
    <row r="2040" customFormat="false" ht="15" hidden="false" customHeight="false" outlineLevel="0" collapsed="false">
      <c r="A2040" s="154" t="n">
        <v>6110</v>
      </c>
      <c r="B2040" s="155" t="s">
        <v>1601</v>
      </c>
      <c r="C2040" s="148" t="str">
        <f aca="false">VLOOKUP($A2040,INSUMOS_AUX!$A$3:$H$813,3,0)</f>
        <v>M.O.</v>
      </c>
      <c r="D2040" s="156" t="s">
        <v>1444</v>
      </c>
      <c r="E2040" s="154" t="n">
        <v>5.8467012</v>
      </c>
      <c r="F2040" s="149" t="n">
        <f aca="false">IF(C2040="MAT.",VLOOKUP(A2040,INSUMOS_AUX!$A$3:$H$813,6,0),0)</f>
        <v>0</v>
      </c>
      <c r="G2040" s="149" t="n">
        <f aca="false">IF(C2040="M.O.",VLOOKUP(A2040,INSUMOS_AUX!A:F,6,0),0)</f>
        <v>20.22</v>
      </c>
    </row>
    <row r="2041" customFormat="false" ht="21" hidden="false" customHeight="false" outlineLevel="0" collapsed="false">
      <c r="A2041" s="150" t="n">
        <v>98689</v>
      </c>
      <c r="B2041" s="151" t="s">
        <v>1821</v>
      </c>
      <c r="C2041" s="152" t="s">
        <v>59</v>
      </c>
      <c r="D2041" s="152" t="s">
        <v>1455</v>
      </c>
      <c r="E2041" s="150"/>
      <c r="F2041" s="153" t="n">
        <f aca="false">(SUMPRODUCT($E2042:$E2053,F2042:F2053))*1</f>
        <v>91.46703</v>
      </c>
      <c r="G2041" s="153" t="n">
        <f aca="false">(SUMPRODUCT($E2042:$E2053,G2042:G2053))*1</f>
        <v>14.8338900384</v>
      </c>
    </row>
    <row r="2042" customFormat="false" ht="21" hidden="false" customHeight="false" outlineLevel="0" collapsed="false">
      <c r="A2042" s="154" t="n">
        <v>37370</v>
      </c>
      <c r="B2042" s="155" t="s">
        <v>1443</v>
      </c>
      <c r="C2042" s="148" t="str">
        <f aca="false">VLOOKUP($A2042,INSUMOS_AUX!$A$3:$H$813,3,0)</f>
        <v>MAT.</v>
      </c>
      <c r="D2042" s="156" t="s">
        <v>1444</v>
      </c>
      <c r="E2042" s="154" t="n">
        <v>0.82</v>
      </c>
      <c r="F2042" s="149" t="n">
        <f aca="false">IF(C2042="MAT.",VLOOKUP(A2042,INSUMOS_AUX!$A$3:$H$813,6,0),0)</f>
        <v>3.32</v>
      </c>
      <c r="G2042" s="149" t="n">
        <f aca="false">IF(C2042="M.O.",VLOOKUP(A2042,INSUMOS_AUX!A:F,6,0),0)</f>
        <v>0</v>
      </c>
    </row>
    <row r="2043" customFormat="false" ht="21" hidden="false" customHeight="false" outlineLevel="0" collapsed="false">
      <c r="A2043" s="154" t="n">
        <v>43489</v>
      </c>
      <c r="B2043" s="155" t="s">
        <v>1456</v>
      </c>
      <c r="C2043" s="148" t="str">
        <f aca="false">VLOOKUP($A2043,INSUMOS_AUX!$A$3:$H$813,3,0)</f>
        <v>MAT.</v>
      </c>
      <c r="D2043" s="156" t="s">
        <v>1444</v>
      </c>
      <c r="E2043" s="154" t="n">
        <v>0.547</v>
      </c>
      <c r="F2043" s="149" t="n">
        <f aca="false">IF(C2043="MAT.",VLOOKUP(A2043,INSUMOS_AUX!$A$3:$H$813,6,0),0)</f>
        <v>1.31</v>
      </c>
      <c r="G2043" s="149" t="n">
        <f aca="false">IF(C2043="M.O.",VLOOKUP(A2043,INSUMOS_AUX!A:F,6,0),0)</f>
        <v>0</v>
      </c>
    </row>
    <row r="2044" customFormat="false" ht="21" hidden="false" customHeight="false" outlineLevel="0" collapsed="false">
      <c r="A2044" s="154" t="n">
        <v>43491</v>
      </c>
      <c r="B2044" s="155" t="s">
        <v>1457</v>
      </c>
      <c r="C2044" s="148" t="str">
        <f aca="false">VLOOKUP($A2044,INSUMOS_AUX!$A$3:$H$813,3,0)</f>
        <v>MAT.</v>
      </c>
      <c r="D2044" s="156" t="s">
        <v>1444</v>
      </c>
      <c r="E2044" s="154" t="n">
        <v>0.273</v>
      </c>
      <c r="F2044" s="149" t="n">
        <f aca="false">IF(C2044="MAT.",VLOOKUP(A2044,INSUMOS_AUX!$A$3:$H$813,6,0),0)</f>
        <v>1.39</v>
      </c>
      <c r="G2044" s="149" t="n">
        <f aca="false">IF(C2044="M.O.",VLOOKUP(A2044,INSUMOS_AUX!A:F,6,0),0)</f>
        <v>0</v>
      </c>
    </row>
    <row r="2045" customFormat="false" ht="21" hidden="false" customHeight="false" outlineLevel="0" collapsed="false">
      <c r="A2045" s="154" t="n">
        <v>37372</v>
      </c>
      <c r="B2045" s="155" t="s">
        <v>1446</v>
      </c>
      <c r="C2045" s="148" t="str">
        <f aca="false">VLOOKUP($A2045,INSUMOS_AUX!$A$3:$H$813,3,0)</f>
        <v>MAT.</v>
      </c>
      <c r="D2045" s="156" t="s">
        <v>1444</v>
      </c>
      <c r="E2045" s="154" t="n">
        <v>0.82</v>
      </c>
      <c r="F2045" s="149" t="n">
        <f aca="false">IF(C2045="MAT.",VLOOKUP(A2045,INSUMOS_AUX!$A$3:$H$813,6,0),0)</f>
        <v>1.43</v>
      </c>
      <c r="G2045" s="149" t="n">
        <f aca="false">IF(C2045="M.O.",VLOOKUP(A2045,INSUMOS_AUX!A:F,6,0),0)</f>
        <v>0</v>
      </c>
    </row>
    <row r="2046" customFormat="false" ht="21" hidden="false" customHeight="false" outlineLevel="0" collapsed="false">
      <c r="A2046" s="154" t="n">
        <v>43465</v>
      </c>
      <c r="B2046" s="155" t="s">
        <v>1458</v>
      </c>
      <c r="C2046" s="148" t="str">
        <f aca="false">VLOOKUP($A2046,INSUMOS_AUX!$A$3:$H$813,3,0)</f>
        <v>MAT.</v>
      </c>
      <c r="D2046" s="156" t="s">
        <v>1444</v>
      </c>
      <c r="E2046" s="154" t="n">
        <v>0.547</v>
      </c>
      <c r="F2046" s="149" t="n">
        <f aca="false">IF(C2046="MAT.",VLOOKUP(A2046,INSUMOS_AUX!$A$3:$H$813,6,0),0)</f>
        <v>0.78</v>
      </c>
      <c r="G2046" s="149" t="n">
        <f aca="false">IF(C2046="M.O.",VLOOKUP(A2046,INSUMOS_AUX!A:F,6,0),0)</f>
        <v>0</v>
      </c>
    </row>
    <row r="2047" customFormat="false" ht="21" hidden="false" customHeight="false" outlineLevel="0" collapsed="false">
      <c r="A2047" s="154" t="n">
        <v>43467</v>
      </c>
      <c r="B2047" s="155" t="s">
        <v>1459</v>
      </c>
      <c r="C2047" s="148" t="str">
        <f aca="false">VLOOKUP($A2047,INSUMOS_AUX!$A$3:$H$813,3,0)</f>
        <v>MAT.</v>
      </c>
      <c r="D2047" s="156" t="s">
        <v>1444</v>
      </c>
      <c r="E2047" s="154" t="n">
        <v>0.273</v>
      </c>
      <c r="F2047" s="149" t="n">
        <f aca="false">IF(C2047="MAT.",VLOOKUP(A2047,INSUMOS_AUX!$A$3:$H$813,6,0),0)</f>
        <v>0.61</v>
      </c>
      <c r="G2047" s="149" t="n">
        <f aca="false">IF(C2047="M.O.",VLOOKUP(A2047,INSUMOS_AUX!A:F,6,0),0)</f>
        <v>0</v>
      </c>
    </row>
    <row r="2048" customFormat="false" ht="21" hidden="false" customHeight="false" outlineLevel="0" collapsed="false">
      <c r="A2048" s="154" t="n">
        <v>37373</v>
      </c>
      <c r="B2048" s="155" t="s">
        <v>1448</v>
      </c>
      <c r="C2048" s="148" t="str">
        <f aca="false">VLOOKUP($A2048,INSUMOS_AUX!$A$3:$H$813,3,0)</f>
        <v>MAT.</v>
      </c>
      <c r="D2048" s="156" t="s">
        <v>1444</v>
      </c>
      <c r="E2048" s="154" t="n">
        <v>0.82</v>
      </c>
      <c r="F2048" s="149" t="n">
        <f aca="false">IF(C2048="MAT.",VLOOKUP(A2048,INSUMOS_AUX!$A$3:$H$813,6,0),0)</f>
        <v>0.08</v>
      </c>
      <c r="G2048" s="149" t="n">
        <f aca="false">IF(C2048="M.O.",VLOOKUP(A2048,INSUMOS_AUX!A:F,6,0),0)</f>
        <v>0</v>
      </c>
    </row>
    <row r="2049" customFormat="false" ht="21" hidden="false" customHeight="false" outlineLevel="0" collapsed="false">
      <c r="A2049" s="154" t="n">
        <v>37371</v>
      </c>
      <c r="B2049" s="155" t="s">
        <v>1449</v>
      </c>
      <c r="C2049" s="148" t="str">
        <f aca="false">VLOOKUP($A2049,INSUMOS_AUX!$A$3:$H$813,3,0)</f>
        <v>MAT.</v>
      </c>
      <c r="D2049" s="156" t="s">
        <v>1444</v>
      </c>
      <c r="E2049" s="154" t="n">
        <v>0.82</v>
      </c>
      <c r="F2049" s="149" t="n">
        <f aca="false">IF(C2049="MAT.",VLOOKUP(A2049,INSUMOS_AUX!$A$3:$H$813,6,0),0)</f>
        <v>0.59</v>
      </c>
      <c r="G2049" s="149" t="n">
        <f aca="false">IF(C2049="M.O.",VLOOKUP(A2049,INSUMOS_AUX!A:F,6,0),0)</f>
        <v>0</v>
      </c>
    </row>
    <row r="2050" customFormat="false" ht="15" hidden="false" customHeight="false" outlineLevel="0" collapsed="false">
      <c r="A2050" s="154" t="n">
        <v>37595</v>
      </c>
      <c r="B2050" s="155" t="s">
        <v>1822</v>
      </c>
      <c r="C2050" s="148" t="str">
        <f aca="false">VLOOKUP($A2050,INSUMOS_AUX!$A$3:$H$813,3,0)</f>
        <v>MAT.</v>
      </c>
      <c r="D2050" s="156" t="s">
        <v>1513</v>
      </c>
      <c r="E2050" s="154" t="n">
        <v>1.29</v>
      </c>
      <c r="F2050" s="149" t="n">
        <f aca="false">IF(C2050="MAT.",VLOOKUP(A2050,INSUMOS_AUX!$A$3:$H$813,6,0),0)</f>
        <v>2.46</v>
      </c>
      <c r="G2050" s="149" t="n">
        <f aca="false">IF(C2050="M.O.",VLOOKUP(A2050,INSUMOS_AUX!A:F,6,0),0)</f>
        <v>0</v>
      </c>
    </row>
    <row r="2051" customFormat="false" ht="31.5" hidden="false" customHeight="false" outlineLevel="0" collapsed="false">
      <c r="A2051" s="154" t="n">
        <v>20232</v>
      </c>
      <c r="B2051" s="155" t="s">
        <v>1823</v>
      </c>
      <c r="C2051" s="148" t="str">
        <f aca="false">VLOOKUP($A2051,INSUMOS_AUX!$A$3:$H$813,3,0)</f>
        <v>MAT.</v>
      </c>
      <c r="D2051" s="156" t="s">
        <v>1455</v>
      </c>
      <c r="E2051" s="154" t="n">
        <v>1</v>
      </c>
      <c r="F2051" s="149" t="n">
        <f aca="false">IF(C2051="MAT.",VLOOKUP(A2051,INSUMOS_AUX!$A$3:$H$813,6,0),0)</f>
        <v>82.16</v>
      </c>
      <c r="G2051" s="149" t="n">
        <f aca="false">IF(C2051="M.O.",VLOOKUP(A2051,INSUMOS_AUX!A:F,6,0),0)</f>
        <v>0</v>
      </c>
    </row>
    <row r="2052" customFormat="false" ht="15" hidden="false" customHeight="false" outlineLevel="0" collapsed="false">
      <c r="A2052" s="154" t="n">
        <v>4755</v>
      </c>
      <c r="B2052" s="155" t="s">
        <v>1783</v>
      </c>
      <c r="C2052" s="148" t="str">
        <f aca="false">VLOOKUP($A2052,INSUMOS_AUX!$A$3:$H$813,3,0)</f>
        <v>M.O.</v>
      </c>
      <c r="D2052" s="156" t="s">
        <v>1444</v>
      </c>
      <c r="E2052" s="154" t="n">
        <v>0.55507372</v>
      </c>
      <c r="F2052" s="149" t="n">
        <f aca="false">IF(C2052="MAT.",VLOOKUP(A2052,INSUMOS_AUX!$A$3:$H$813,6,0),0)</f>
        <v>0</v>
      </c>
      <c r="G2052" s="149" t="n">
        <f aca="false">IF(C2052="M.O.",VLOOKUP(A2052,INSUMOS_AUX!A:F,6,0),0)</f>
        <v>20.22</v>
      </c>
    </row>
    <row r="2053" customFormat="false" ht="15" hidden="false" customHeight="false" outlineLevel="0" collapsed="false">
      <c r="A2053" s="154" t="n">
        <v>6111</v>
      </c>
      <c r="B2053" s="155" t="s">
        <v>1464</v>
      </c>
      <c r="C2053" s="148" t="str">
        <f aca="false">VLOOKUP($A2053,INSUMOS_AUX!$A$3:$H$813,3,0)</f>
        <v>M.O.</v>
      </c>
      <c r="D2053" s="156" t="s">
        <v>1444</v>
      </c>
      <c r="E2053" s="154" t="n">
        <v>0.2787876</v>
      </c>
      <c r="F2053" s="149" t="n">
        <f aca="false">IF(C2053="MAT.",VLOOKUP(A2053,INSUMOS_AUX!$A$3:$H$813,6,0),0)</f>
        <v>0</v>
      </c>
      <c r="G2053" s="149" t="n">
        <f aca="false">IF(C2053="M.O.",VLOOKUP(A2053,INSUMOS_AUX!A:F,6,0),0)</f>
        <v>12.95</v>
      </c>
    </row>
    <row r="2054" customFormat="false" ht="21" hidden="false" customHeight="false" outlineLevel="0" collapsed="false">
      <c r="A2054" s="150" t="n">
        <v>101965</v>
      </c>
      <c r="B2054" s="151" t="s">
        <v>1824</v>
      </c>
      <c r="C2054" s="152" t="s">
        <v>59</v>
      </c>
      <c r="D2054" s="152" t="s">
        <v>1455</v>
      </c>
      <c r="E2054" s="150"/>
      <c r="F2054" s="153" t="n">
        <f aca="false">(SUMPRODUCT($E2055:$E2075,F2055:F2075))*1</f>
        <v>145.187617347278</v>
      </c>
      <c r="G2054" s="153" t="n">
        <f aca="false">(SUMPRODUCT($E2055:$E2075,G2055:G2075))*1</f>
        <v>11.672103496206</v>
      </c>
    </row>
    <row r="2055" customFormat="false" ht="21" hidden="false" customHeight="false" outlineLevel="0" collapsed="false">
      <c r="A2055" s="154" t="n">
        <v>37370</v>
      </c>
      <c r="B2055" s="155" t="s">
        <v>1443</v>
      </c>
      <c r="C2055" s="148" t="str">
        <f aca="false">VLOOKUP($A2055,INSUMOS_AUX!$A$3:$H$813,3,0)</f>
        <v>MAT.</v>
      </c>
      <c r="D2055" s="156" t="s">
        <v>1444</v>
      </c>
      <c r="E2055" s="154" t="n">
        <v>1.07298</v>
      </c>
      <c r="F2055" s="149" t="n">
        <f aca="false">IF(C2055="MAT.",VLOOKUP(A2055,INSUMOS_AUX!$A$3:$H$813,6,0),0)</f>
        <v>3.32</v>
      </c>
      <c r="G2055" s="149" t="n">
        <f aca="false">IF(C2055="M.O.",VLOOKUP(A2055,INSUMOS_AUX!A:F,6,0),0)</f>
        <v>0</v>
      </c>
    </row>
    <row r="2056" customFormat="false" ht="21" hidden="false" customHeight="false" outlineLevel="0" collapsed="false">
      <c r="A2056" s="154" t="n">
        <v>43488</v>
      </c>
      <c r="B2056" s="155" t="s">
        <v>1445</v>
      </c>
      <c r="C2056" s="148" t="str">
        <f aca="false">VLOOKUP($A2056,INSUMOS_AUX!$A$3:$H$813,3,0)</f>
        <v>MAT.</v>
      </c>
      <c r="D2056" s="156" t="s">
        <v>1444</v>
      </c>
      <c r="E2056" s="154" t="n">
        <v>0.44498</v>
      </c>
      <c r="F2056" s="149" t="n">
        <f aca="false">IF(C2056="MAT.",VLOOKUP(A2056,INSUMOS_AUX!$A$3:$H$813,6,0),0)</f>
        <v>0.89</v>
      </c>
      <c r="G2056" s="149" t="n">
        <f aca="false">IF(C2056="M.O.",VLOOKUP(A2056,INSUMOS_AUX!A:F,6,0),0)</f>
        <v>0</v>
      </c>
    </row>
    <row r="2057" customFormat="false" ht="21" hidden="false" customHeight="false" outlineLevel="0" collapsed="false">
      <c r="A2057" s="154" t="n">
        <v>43489</v>
      </c>
      <c r="B2057" s="155" t="s">
        <v>1456</v>
      </c>
      <c r="C2057" s="148" t="s">
        <v>59</v>
      </c>
      <c r="D2057" s="156" t="s">
        <v>1444</v>
      </c>
      <c r="E2057" s="154" t="n">
        <v>0.419</v>
      </c>
      <c r="F2057" s="149" t="n">
        <f aca="false">IF(C2057="MAT.",VLOOKUP(A2057,INSUMOS_AUX!$A$3:$H$813,6,0),0)</f>
        <v>0</v>
      </c>
      <c r="G2057" s="149" t="n">
        <f aca="false">IF(C2057="M.O.",VLOOKUP(A2057,INSUMOS_AUX!A:F,6,0),0)</f>
        <v>0</v>
      </c>
    </row>
    <row r="2058" customFormat="false" ht="21" hidden="false" customHeight="false" outlineLevel="0" collapsed="false">
      <c r="A2058" s="154" t="n">
        <v>43491</v>
      </c>
      <c r="B2058" s="155" t="s">
        <v>1457</v>
      </c>
      <c r="C2058" s="148" t="str">
        <f aca="false">VLOOKUP($A2058,INSUMOS_AUX!$A$3:$H$813,3,0)</f>
        <v>MAT.</v>
      </c>
      <c r="D2058" s="156" t="s">
        <v>1444</v>
      </c>
      <c r="E2058" s="154" t="n">
        <v>0.209</v>
      </c>
      <c r="F2058" s="149" t="n">
        <f aca="false">IF(C2058="MAT.",VLOOKUP(A2058,INSUMOS_AUX!$A$3:$H$813,6,0),0)</f>
        <v>1.39</v>
      </c>
      <c r="G2058" s="149" t="n">
        <f aca="false">IF(C2058="M.O.",VLOOKUP(A2058,INSUMOS_AUX!A:F,6,0),0)</f>
        <v>0</v>
      </c>
    </row>
    <row r="2059" customFormat="false" ht="21" hidden="false" customHeight="false" outlineLevel="0" collapsed="false">
      <c r="A2059" s="154" t="n">
        <v>37372</v>
      </c>
      <c r="B2059" s="155" t="s">
        <v>1446</v>
      </c>
      <c r="C2059" s="148" t="str">
        <f aca="false">VLOOKUP($A2059,INSUMOS_AUX!$A$3:$H$813,3,0)</f>
        <v>MAT.</v>
      </c>
      <c r="D2059" s="156" t="s">
        <v>1444</v>
      </c>
      <c r="E2059" s="154" t="n">
        <v>1.07298</v>
      </c>
      <c r="F2059" s="149" t="n">
        <f aca="false">IF(C2059="MAT.",VLOOKUP(A2059,INSUMOS_AUX!$A$3:$H$813,6,0),0)</f>
        <v>1.43</v>
      </c>
      <c r="G2059" s="149" t="n">
        <f aca="false">IF(C2059="M.O.",VLOOKUP(A2059,INSUMOS_AUX!A:F,6,0),0)</f>
        <v>0</v>
      </c>
    </row>
    <row r="2060" customFormat="false" ht="21" hidden="false" customHeight="false" outlineLevel="0" collapsed="false">
      <c r="A2060" s="154" t="n">
        <v>43464</v>
      </c>
      <c r="B2060" s="155" t="s">
        <v>1447</v>
      </c>
      <c r="C2060" s="148" t="str">
        <f aca="false">VLOOKUP($A2060,INSUMOS_AUX!$A$3:$H$813,3,0)</f>
        <v>MAT.</v>
      </c>
      <c r="D2060" s="156" t="s">
        <v>1444</v>
      </c>
      <c r="E2060" s="154" t="n">
        <v>0.44498</v>
      </c>
      <c r="F2060" s="149" t="n">
        <f aca="false">IF(C2060="MAT.",VLOOKUP(A2060,INSUMOS_AUX!$A$3:$H$813,6,0),0)</f>
        <v>0.01</v>
      </c>
      <c r="G2060" s="149" t="n">
        <f aca="false">IF(C2060="M.O.",VLOOKUP(A2060,INSUMOS_AUX!A:F,6,0),0)</f>
        <v>0</v>
      </c>
    </row>
    <row r="2061" customFormat="false" ht="21" hidden="false" customHeight="false" outlineLevel="0" collapsed="false">
      <c r="A2061" s="154" t="n">
        <v>43465</v>
      </c>
      <c r="B2061" s="155" t="s">
        <v>1458</v>
      </c>
      <c r="C2061" s="148" t="str">
        <f aca="false">VLOOKUP($A2061,INSUMOS_AUX!$A$3:$H$813,3,0)</f>
        <v>MAT.</v>
      </c>
      <c r="D2061" s="156" t="s">
        <v>1444</v>
      </c>
      <c r="E2061" s="154" t="n">
        <v>0.419</v>
      </c>
      <c r="F2061" s="149" t="n">
        <f aca="false">IF(C2061="MAT.",VLOOKUP(A2061,INSUMOS_AUX!$A$3:$H$813,6,0),0)</f>
        <v>0.78</v>
      </c>
      <c r="G2061" s="149" t="n">
        <f aca="false">IF(C2061="M.O.",VLOOKUP(A2061,INSUMOS_AUX!A:F,6,0),0)</f>
        <v>0</v>
      </c>
    </row>
    <row r="2062" customFormat="false" ht="21" hidden="false" customHeight="false" outlineLevel="0" collapsed="false">
      <c r="A2062" s="154" t="n">
        <v>43467</v>
      </c>
      <c r="B2062" s="155" t="s">
        <v>1459</v>
      </c>
      <c r="C2062" s="148" t="str">
        <f aca="false">VLOOKUP($A2062,INSUMOS_AUX!$A$3:$H$813,3,0)</f>
        <v>MAT.</v>
      </c>
      <c r="D2062" s="156" t="s">
        <v>1444</v>
      </c>
      <c r="E2062" s="154" t="n">
        <v>0.209</v>
      </c>
      <c r="F2062" s="149" t="n">
        <f aca="false">IF(C2062="MAT.",VLOOKUP(A2062,INSUMOS_AUX!$A$3:$H$813,6,0),0)</f>
        <v>0.61</v>
      </c>
      <c r="G2062" s="149" t="n">
        <f aca="false">IF(C2062="M.O.",VLOOKUP(A2062,INSUMOS_AUX!A:F,6,0),0)</f>
        <v>0</v>
      </c>
    </row>
    <row r="2063" customFormat="false" ht="21" hidden="false" customHeight="false" outlineLevel="0" collapsed="false">
      <c r="A2063" s="154" t="n">
        <v>37373</v>
      </c>
      <c r="B2063" s="155" t="s">
        <v>1448</v>
      </c>
      <c r="C2063" s="148" t="str">
        <f aca="false">VLOOKUP($A2063,INSUMOS_AUX!$A$3:$H$813,3,0)</f>
        <v>MAT.</v>
      </c>
      <c r="D2063" s="156" t="s">
        <v>1444</v>
      </c>
      <c r="E2063" s="154" t="n">
        <v>1.07298</v>
      </c>
      <c r="F2063" s="149" t="n">
        <f aca="false">IF(C2063="MAT.",VLOOKUP(A2063,INSUMOS_AUX!$A$3:$H$813,6,0),0)</f>
        <v>0.08</v>
      </c>
      <c r="G2063" s="149" t="n">
        <f aca="false">IF(C2063="M.O.",VLOOKUP(A2063,INSUMOS_AUX!A:F,6,0),0)</f>
        <v>0</v>
      </c>
    </row>
    <row r="2064" customFormat="false" ht="21" hidden="false" customHeight="false" outlineLevel="0" collapsed="false">
      <c r="A2064" s="154" t="n">
        <v>37371</v>
      </c>
      <c r="B2064" s="155" t="s">
        <v>1449</v>
      </c>
      <c r="C2064" s="148" t="str">
        <f aca="false">VLOOKUP($A2064,INSUMOS_AUX!$A$3:$H$813,3,0)</f>
        <v>MAT.</v>
      </c>
      <c r="D2064" s="156" t="s">
        <v>1444</v>
      </c>
      <c r="E2064" s="154" t="n">
        <v>1.07298</v>
      </c>
      <c r="F2064" s="149" t="n">
        <f aca="false">IF(C2064="MAT.",VLOOKUP(A2064,INSUMOS_AUX!$A$3:$H$813,6,0),0)</f>
        <v>0.59</v>
      </c>
      <c r="G2064" s="149" t="n">
        <f aca="false">IF(C2064="M.O.",VLOOKUP(A2064,INSUMOS_AUX!A:F,6,0),0)</f>
        <v>0</v>
      </c>
    </row>
    <row r="2065" customFormat="false" ht="31.5" hidden="false" customHeight="false" outlineLevel="0" collapsed="false">
      <c r="A2065" s="154" t="n">
        <v>10535</v>
      </c>
      <c r="B2065" s="155" t="s">
        <v>1525</v>
      </c>
      <c r="C2065" s="148" t="str">
        <f aca="false">VLOOKUP($A2065,INSUMOS_AUX!$A$3:$H$813,3,0)</f>
        <v>MAT.</v>
      </c>
      <c r="D2065" s="156" t="s">
        <v>31</v>
      </c>
      <c r="E2065" s="154" t="n">
        <v>3.4523376E-006</v>
      </c>
      <c r="F2065" s="149" t="n">
        <f aca="false">IF(C2065="MAT.",VLOOKUP(A2065,INSUMOS_AUX!$A$3:$H$813,6,0),0)</f>
        <v>4699</v>
      </c>
      <c r="G2065" s="149" t="n">
        <f aca="false">IF(C2065="M.O.",VLOOKUP(A2065,INSUMOS_AUX!A:F,6,0),0)</f>
        <v>0</v>
      </c>
    </row>
    <row r="2066" customFormat="false" ht="21" hidden="false" customHeight="false" outlineLevel="0" collapsed="false">
      <c r="A2066" s="154" t="n">
        <v>14618</v>
      </c>
      <c r="B2066" s="155" t="s">
        <v>1592</v>
      </c>
      <c r="C2066" s="148" t="str">
        <f aca="false">VLOOKUP($A2066,INSUMOS_AUX!$A$3:$H$813,3,0)</f>
        <v>MAT.</v>
      </c>
      <c r="D2066" s="156" t="s">
        <v>31</v>
      </c>
      <c r="E2066" s="154" t="n">
        <v>3.74192E-005</v>
      </c>
      <c r="F2066" s="149" t="n">
        <f aca="false">IF(C2066="MAT.",VLOOKUP(A2066,INSUMOS_AUX!$A$3:$H$813,6,0),0)</f>
        <v>1283.38</v>
      </c>
      <c r="G2066" s="149" t="n">
        <f aca="false">IF(C2066="M.O.",VLOOKUP(A2066,INSUMOS_AUX!A:F,6,0),0)</f>
        <v>0</v>
      </c>
    </row>
    <row r="2067" customFormat="false" ht="15" hidden="false" customHeight="false" outlineLevel="0" collapsed="false">
      <c r="A2067" s="154" t="n">
        <v>2705</v>
      </c>
      <c r="B2067" s="155" t="s">
        <v>1467</v>
      </c>
      <c r="C2067" s="148" t="str">
        <f aca="false">VLOOKUP($A2067,INSUMOS_AUX!$A$3:$H$813,3,0)</f>
        <v>MAT.</v>
      </c>
      <c r="D2067" s="156" t="s">
        <v>1468</v>
      </c>
      <c r="E2067" s="154" t="n">
        <v>0.05355</v>
      </c>
      <c r="F2067" s="149" t="n">
        <f aca="false">IF(C2067="MAT.",VLOOKUP(A2067,INSUMOS_AUX!$A$3:$H$813,6,0),0)</f>
        <v>0.92</v>
      </c>
      <c r="G2067" s="149" t="n">
        <f aca="false">IF(C2067="M.O.",VLOOKUP(A2067,INSUMOS_AUX!A:F,6,0),0)</f>
        <v>0</v>
      </c>
    </row>
    <row r="2068" customFormat="false" ht="21" hidden="false" customHeight="false" outlineLevel="0" collapsed="false">
      <c r="A2068" s="154" t="n">
        <v>43617</v>
      </c>
      <c r="B2068" s="155" t="s">
        <v>1825</v>
      </c>
      <c r="C2068" s="148" t="str">
        <f aca="false">VLOOKUP($A2068,INSUMOS_AUX!$A$3:$H$813,3,0)</f>
        <v>MAT.</v>
      </c>
      <c r="D2068" s="156" t="s">
        <v>1452</v>
      </c>
      <c r="E2068" s="154" t="n">
        <v>0.000378</v>
      </c>
      <c r="F2068" s="149" t="n">
        <f aca="false">IF(C2068="MAT.",VLOOKUP(A2068,INSUMOS_AUX!$A$3:$H$813,6,0),0)</f>
        <v>7.52</v>
      </c>
      <c r="G2068" s="149" t="n">
        <f aca="false">IF(C2068="M.O.",VLOOKUP(A2068,INSUMOS_AUX!A:F,6,0),0)</f>
        <v>0</v>
      </c>
    </row>
    <row r="2069" customFormat="false" ht="21" hidden="false" customHeight="false" outlineLevel="0" collapsed="false">
      <c r="A2069" s="154" t="n">
        <v>370</v>
      </c>
      <c r="B2069" s="155" t="s">
        <v>1527</v>
      </c>
      <c r="C2069" s="148" t="str">
        <f aca="false">VLOOKUP($A2069,INSUMOS_AUX!$A$3:$H$813,3,0)</f>
        <v>MAT.</v>
      </c>
      <c r="D2069" s="156" t="s">
        <v>1442</v>
      </c>
      <c r="E2069" s="154" t="n">
        <v>0.00762</v>
      </c>
      <c r="F2069" s="149" t="n">
        <f aca="false">IF(C2069="MAT.",VLOOKUP(A2069,INSUMOS_AUX!$A$3:$H$813,6,0),0)</f>
        <v>150</v>
      </c>
      <c r="G2069" s="149" t="n">
        <f aca="false">IF(C2069="M.O.",VLOOKUP(A2069,INSUMOS_AUX!A:F,6,0),0)</f>
        <v>0</v>
      </c>
    </row>
    <row r="2070" customFormat="false" ht="15" hidden="false" customHeight="false" outlineLevel="0" collapsed="false">
      <c r="A2070" s="154" t="n">
        <v>1379</v>
      </c>
      <c r="B2070" s="155" t="s">
        <v>1535</v>
      </c>
      <c r="C2070" s="148" t="str">
        <f aca="false">VLOOKUP($A2070,INSUMOS_AUX!$A$3:$H$813,3,0)</f>
        <v>MAT.</v>
      </c>
      <c r="D2070" s="156" t="s">
        <v>1513</v>
      </c>
      <c r="E2070" s="154" t="n">
        <v>1.68918</v>
      </c>
      <c r="F2070" s="149" t="n">
        <f aca="false">IF(C2070="MAT.",VLOOKUP(A2070,INSUMOS_AUX!$A$3:$H$813,6,0),0)</f>
        <v>0.72</v>
      </c>
      <c r="G2070" s="149" t="n">
        <f aca="false">IF(C2070="M.O.",VLOOKUP(A2070,INSUMOS_AUX!A:F,6,0),0)</f>
        <v>0</v>
      </c>
    </row>
    <row r="2071" customFormat="false" ht="21" hidden="false" customHeight="false" outlineLevel="0" collapsed="false">
      <c r="A2071" s="154" t="n">
        <v>34747</v>
      </c>
      <c r="B2071" s="155" t="s">
        <v>1826</v>
      </c>
      <c r="C2071" s="148" t="str">
        <f aca="false">VLOOKUP($A2071,INSUMOS_AUX!$A$3:$H$813,3,0)</f>
        <v>MAT.</v>
      </c>
      <c r="D2071" s="156" t="s">
        <v>1455</v>
      </c>
      <c r="E2071" s="154" t="n">
        <v>1.04</v>
      </c>
      <c r="F2071" s="149" t="n">
        <f aca="false">IF(C2071="MAT.",VLOOKUP(A2071,INSUMOS_AUX!$A$3:$H$813,6,0),0)</f>
        <v>130.53</v>
      </c>
      <c r="G2071" s="149" t="n">
        <f aca="false">IF(C2071="M.O.",VLOOKUP(A2071,INSUMOS_AUX!A:F,6,0),0)</f>
        <v>0</v>
      </c>
    </row>
    <row r="2072" customFormat="false" ht="15" hidden="false" customHeight="false" outlineLevel="0" collapsed="false">
      <c r="A2072" s="154" t="n">
        <v>4755</v>
      </c>
      <c r="B2072" s="155" t="s">
        <v>1783</v>
      </c>
      <c r="C2072" s="148" t="str">
        <f aca="false">VLOOKUP($A2072,INSUMOS_AUX!$A$3:$H$813,3,0)</f>
        <v>M.O.</v>
      </c>
      <c r="D2072" s="156" t="s">
        <v>1444</v>
      </c>
      <c r="E2072" s="154" t="n">
        <v>0.42518444</v>
      </c>
      <c r="F2072" s="149" t="n">
        <f aca="false">IF(C2072="MAT.",VLOOKUP(A2072,INSUMOS_AUX!$A$3:$H$813,6,0),0)</f>
        <v>0</v>
      </c>
      <c r="G2072" s="149" t="n">
        <f aca="false">IF(C2072="M.O.",VLOOKUP(A2072,INSUMOS_AUX!A:F,6,0),0)</f>
        <v>20.22</v>
      </c>
    </row>
    <row r="2073" customFormat="false" ht="15" hidden="false" customHeight="false" outlineLevel="0" collapsed="false">
      <c r="A2073" s="154" t="n">
        <v>37666</v>
      </c>
      <c r="B2073" s="155" t="s">
        <v>1558</v>
      </c>
      <c r="C2073" s="148" t="str">
        <f aca="false">VLOOKUP($A2073,INSUMOS_AUX!$A$3:$H$813,3,0)</f>
        <v>M.O.</v>
      </c>
      <c r="D2073" s="156" t="s">
        <v>1444</v>
      </c>
      <c r="E2073" s="154" t="n">
        <v>0.0261958938</v>
      </c>
      <c r="F2073" s="149" t="n">
        <f aca="false">IF(C2073="MAT.",VLOOKUP(A2073,INSUMOS_AUX!$A$3:$H$813,6,0),0)</f>
        <v>0</v>
      </c>
      <c r="G2073" s="149" t="n">
        <f aca="false">IF(C2073="M.O.",VLOOKUP(A2073,INSUMOS_AUX!A:F,6,0),0)</f>
        <v>11.87</v>
      </c>
    </row>
    <row r="2074" customFormat="false" ht="21" hidden="false" customHeight="false" outlineLevel="0" collapsed="false">
      <c r="A2074" s="154" t="n">
        <v>4230</v>
      </c>
      <c r="B2074" s="155" t="s">
        <v>1597</v>
      </c>
      <c r="C2074" s="148" t="s">
        <v>59</v>
      </c>
      <c r="D2074" s="156" t="s">
        <v>1444</v>
      </c>
      <c r="E2074" s="154" t="n">
        <v>0.42383526</v>
      </c>
      <c r="F2074" s="149" t="n">
        <f aca="false">IF(C2074="MAT.",VLOOKUP(A2074,INSUMOS_AUX!$A$3:$H$813,6,0),0)</f>
        <v>0</v>
      </c>
      <c r="G2074" s="149" t="n">
        <f aca="false">IF(C2074="M.O.",VLOOKUP(A2074,INSUMOS_AUX!A:F,6,0),0)</f>
        <v>0</v>
      </c>
    </row>
    <row r="2075" customFormat="false" ht="15" hidden="false" customHeight="false" outlineLevel="0" collapsed="false">
      <c r="A2075" s="154" t="n">
        <v>6111</v>
      </c>
      <c r="B2075" s="155" t="s">
        <v>1464</v>
      </c>
      <c r="C2075" s="148" t="str">
        <f aca="false">VLOOKUP($A2075,INSUMOS_AUX!$A$3:$H$813,3,0)</f>
        <v>M.O.</v>
      </c>
      <c r="D2075" s="156" t="s">
        <v>1444</v>
      </c>
      <c r="E2075" s="154" t="n">
        <v>0.2134308</v>
      </c>
      <c r="F2075" s="149" t="n">
        <f aca="false">IF(C2075="MAT.",VLOOKUP(A2075,INSUMOS_AUX!$A$3:$H$813,6,0),0)</f>
        <v>0</v>
      </c>
      <c r="G2075" s="149" t="n">
        <f aca="false">IF(C2075="M.O.",VLOOKUP(A2075,INSUMOS_AUX!A:F,6,0),0)</f>
        <v>12.95</v>
      </c>
    </row>
    <row r="2076" customFormat="false" ht="52.5" hidden="false" customHeight="false" outlineLevel="0" collapsed="false">
      <c r="A2076" s="150" t="n">
        <v>94569</v>
      </c>
      <c r="B2076" s="151" t="s">
        <v>1827</v>
      </c>
      <c r="C2076" s="152" t="s">
        <v>59</v>
      </c>
      <c r="D2076" s="152" t="s">
        <v>1477</v>
      </c>
      <c r="E2076" s="150"/>
      <c r="F2076" s="153" t="n">
        <f aca="false">(SUMPRODUCT($E2077:$E2089,F2077:F2089))*1</f>
        <v>679.617277087</v>
      </c>
      <c r="G2076" s="153" t="n">
        <f aca="false">(SUMPRODUCT($E2077:$E2089,G2077:G2089))*1</f>
        <v>27.5448259793556</v>
      </c>
    </row>
    <row r="2077" customFormat="false" ht="21" hidden="false" customHeight="false" outlineLevel="0" collapsed="false">
      <c r="A2077" s="154" t="n">
        <v>37370</v>
      </c>
      <c r="B2077" s="155" t="s">
        <v>1443</v>
      </c>
      <c r="C2077" s="148" t="str">
        <f aca="false">VLOOKUP($A2077,INSUMOS_AUX!$A$3:$H$813,3,0)</f>
        <v>MAT.</v>
      </c>
      <c r="D2077" s="156" t="s">
        <v>1444</v>
      </c>
      <c r="E2077" s="154" t="n">
        <v>1.5156208</v>
      </c>
      <c r="F2077" s="149" t="n">
        <f aca="false">IF(C2077="MAT.",VLOOKUP(A2077,INSUMOS_AUX!$A$3:$H$813,6,0),0)</f>
        <v>3.32</v>
      </c>
      <c r="G2077" s="149" t="n">
        <f aca="false">IF(C2077="M.O.",VLOOKUP(A2077,INSUMOS_AUX!A:F,6,0),0)</f>
        <v>0</v>
      </c>
    </row>
    <row r="2078" customFormat="false" ht="21" hidden="false" customHeight="false" outlineLevel="0" collapsed="false">
      <c r="A2078" s="154" t="n">
        <v>43489</v>
      </c>
      <c r="B2078" s="155" t="s">
        <v>1456</v>
      </c>
      <c r="C2078" s="148" t="str">
        <f aca="false">VLOOKUP($A2078,INSUMOS_AUX!$A$3:$H$813,3,0)</f>
        <v>MAT.</v>
      </c>
      <c r="D2078" s="156" t="s">
        <v>1444</v>
      </c>
      <c r="E2078" s="154" t="n">
        <v>1.0104139</v>
      </c>
      <c r="F2078" s="149" t="n">
        <f aca="false">IF(C2078="MAT.",VLOOKUP(A2078,INSUMOS_AUX!$A$3:$H$813,6,0),0)</f>
        <v>1.31</v>
      </c>
      <c r="G2078" s="149" t="n">
        <f aca="false">IF(C2078="M.O.",VLOOKUP(A2078,INSUMOS_AUX!A:F,6,0),0)</f>
        <v>0</v>
      </c>
    </row>
    <row r="2079" customFormat="false" ht="21" hidden="false" customHeight="false" outlineLevel="0" collapsed="false">
      <c r="A2079" s="154" t="n">
        <v>43491</v>
      </c>
      <c r="B2079" s="155" t="s">
        <v>1457</v>
      </c>
      <c r="C2079" s="148" t="str">
        <f aca="false">VLOOKUP($A2079,INSUMOS_AUX!$A$3:$H$813,3,0)</f>
        <v>MAT.</v>
      </c>
      <c r="D2079" s="156" t="s">
        <v>1444</v>
      </c>
      <c r="E2079" s="154" t="n">
        <v>0.5052069</v>
      </c>
      <c r="F2079" s="149" t="n">
        <f aca="false">IF(C2079="MAT.",VLOOKUP(A2079,INSUMOS_AUX!$A$3:$H$813,6,0),0)</f>
        <v>1.39</v>
      </c>
      <c r="G2079" s="149" t="n">
        <f aca="false">IF(C2079="M.O.",VLOOKUP(A2079,INSUMOS_AUX!A:F,6,0),0)</f>
        <v>0</v>
      </c>
    </row>
    <row r="2080" customFormat="false" ht="21" hidden="false" customHeight="false" outlineLevel="0" collapsed="false">
      <c r="A2080" s="154" t="n">
        <v>37372</v>
      </c>
      <c r="B2080" s="155" t="s">
        <v>1446</v>
      </c>
      <c r="C2080" s="148" t="str">
        <f aca="false">VLOOKUP($A2080,INSUMOS_AUX!$A$3:$H$813,3,0)</f>
        <v>MAT.</v>
      </c>
      <c r="D2080" s="156" t="s">
        <v>1444</v>
      </c>
      <c r="E2080" s="154" t="n">
        <v>1.5156208</v>
      </c>
      <c r="F2080" s="149" t="n">
        <f aca="false">IF(C2080="MAT.",VLOOKUP(A2080,INSUMOS_AUX!$A$3:$H$813,6,0),0)</f>
        <v>1.43</v>
      </c>
      <c r="G2080" s="149" t="n">
        <f aca="false">IF(C2080="M.O.",VLOOKUP(A2080,INSUMOS_AUX!A:F,6,0),0)</f>
        <v>0</v>
      </c>
    </row>
    <row r="2081" customFormat="false" ht="21" hidden="false" customHeight="false" outlineLevel="0" collapsed="false">
      <c r="A2081" s="154" t="n">
        <v>43465</v>
      </c>
      <c r="B2081" s="155" t="s">
        <v>1458</v>
      </c>
      <c r="C2081" s="148" t="str">
        <f aca="false">VLOOKUP($A2081,INSUMOS_AUX!$A$3:$H$813,3,0)</f>
        <v>MAT.</v>
      </c>
      <c r="D2081" s="156" t="s">
        <v>1444</v>
      </c>
      <c r="E2081" s="154" t="n">
        <v>1.0104139</v>
      </c>
      <c r="F2081" s="149" t="n">
        <f aca="false">IF(C2081="MAT.",VLOOKUP(A2081,INSUMOS_AUX!$A$3:$H$813,6,0),0)</f>
        <v>0.78</v>
      </c>
      <c r="G2081" s="149" t="n">
        <f aca="false">IF(C2081="M.O.",VLOOKUP(A2081,INSUMOS_AUX!A:F,6,0),0)</f>
        <v>0</v>
      </c>
    </row>
    <row r="2082" customFormat="false" ht="21" hidden="false" customHeight="false" outlineLevel="0" collapsed="false">
      <c r="A2082" s="154" t="n">
        <v>43467</v>
      </c>
      <c r="B2082" s="155" t="s">
        <v>1459</v>
      </c>
      <c r="C2082" s="148" t="str">
        <f aca="false">VLOOKUP($A2082,INSUMOS_AUX!$A$3:$H$813,3,0)</f>
        <v>MAT.</v>
      </c>
      <c r="D2082" s="156" t="s">
        <v>1444</v>
      </c>
      <c r="E2082" s="154" t="n">
        <v>0.5052069</v>
      </c>
      <c r="F2082" s="149" t="n">
        <f aca="false">IF(C2082="MAT.",VLOOKUP(A2082,INSUMOS_AUX!$A$3:$H$813,6,0),0)</f>
        <v>0.61</v>
      </c>
      <c r="G2082" s="149" t="n">
        <f aca="false">IF(C2082="M.O.",VLOOKUP(A2082,INSUMOS_AUX!A:F,6,0),0)</f>
        <v>0</v>
      </c>
    </row>
    <row r="2083" customFormat="false" ht="21" hidden="false" customHeight="false" outlineLevel="0" collapsed="false">
      <c r="A2083" s="154" t="n">
        <v>37373</v>
      </c>
      <c r="B2083" s="155" t="s">
        <v>1448</v>
      </c>
      <c r="C2083" s="148" t="str">
        <f aca="false">VLOOKUP($A2083,INSUMOS_AUX!$A$3:$H$813,3,0)</f>
        <v>MAT.</v>
      </c>
      <c r="D2083" s="156" t="s">
        <v>1444</v>
      </c>
      <c r="E2083" s="154" t="n">
        <v>1.5156208</v>
      </c>
      <c r="F2083" s="149" t="n">
        <f aca="false">IF(C2083="MAT.",VLOOKUP(A2083,INSUMOS_AUX!$A$3:$H$813,6,0),0)</f>
        <v>0.08</v>
      </c>
      <c r="G2083" s="149" t="n">
        <f aca="false">IF(C2083="M.O.",VLOOKUP(A2083,INSUMOS_AUX!A:F,6,0),0)</f>
        <v>0</v>
      </c>
    </row>
    <row r="2084" customFormat="false" ht="21" hidden="false" customHeight="false" outlineLevel="0" collapsed="false">
      <c r="A2084" s="154" t="n">
        <v>37371</v>
      </c>
      <c r="B2084" s="155" t="s">
        <v>1449</v>
      </c>
      <c r="C2084" s="148" t="str">
        <f aca="false">VLOOKUP($A2084,INSUMOS_AUX!$A$3:$H$813,3,0)</f>
        <v>MAT.</v>
      </c>
      <c r="D2084" s="156" t="s">
        <v>1444</v>
      </c>
      <c r="E2084" s="154" t="n">
        <v>1.5156208</v>
      </c>
      <c r="F2084" s="149" t="n">
        <f aca="false">IF(C2084="MAT.",VLOOKUP(A2084,INSUMOS_AUX!$A$3:$H$813,6,0),0)</f>
        <v>0.59</v>
      </c>
      <c r="G2084" s="149" t="n">
        <f aca="false">IF(C2084="M.O.",VLOOKUP(A2084,INSUMOS_AUX!A:F,6,0),0)</f>
        <v>0</v>
      </c>
    </row>
    <row r="2085" customFormat="false" ht="31.5" hidden="false" customHeight="false" outlineLevel="0" collapsed="false">
      <c r="A2085" s="154" t="n">
        <v>34381</v>
      </c>
      <c r="B2085" s="155" t="s">
        <v>1828</v>
      </c>
      <c r="C2085" s="148" t="str">
        <f aca="false">VLOOKUP($A2085,INSUMOS_AUX!$A$3:$H$813,3,0)</f>
        <v>MAT.</v>
      </c>
      <c r="D2085" s="156" t="s">
        <v>31</v>
      </c>
      <c r="E2085" s="154" t="n">
        <v>2.0833</v>
      </c>
      <c r="F2085" s="149" t="n">
        <f aca="false">IF(C2085="MAT.",VLOOKUP(A2085,INSUMOS_AUX!$A$3:$H$813,6,0),0)</f>
        <v>306.37</v>
      </c>
      <c r="G2085" s="149" t="n">
        <f aca="false">IF(C2085="M.O.",VLOOKUP(A2085,INSUMOS_AUX!A:F,6,0),0)</f>
        <v>0</v>
      </c>
    </row>
    <row r="2086" customFormat="false" ht="21" hidden="false" customHeight="false" outlineLevel="0" collapsed="false">
      <c r="A2086" s="154" t="n">
        <v>4377</v>
      </c>
      <c r="B2086" s="155" t="s">
        <v>1829</v>
      </c>
      <c r="C2086" s="148" t="str">
        <f aca="false">VLOOKUP($A2086,INSUMOS_AUX!$A$3:$H$813,3,0)</f>
        <v>MAT.</v>
      </c>
      <c r="D2086" s="156" t="s">
        <v>31</v>
      </c>
      <c r="E2086" s="154" t="n">
        <v>24.4</v>
      </c>
      <c r="F2086" s="149" t="n">
        <f aca="false">IF(C2086="MAT.",VLOOKUP(A2086,INSUMOS_AUX!$A$3:$H$813,6,0),0)</f>
        <v>0.2</v>
      </c>
      <c r="G2086" s="149" t="n">
        <f aca="false">IF(C2086="M.O.",VLOOKUP(A2086,INSUMOS_AUX!A:F,6,0),0)</f>
        <v>0</v>
      </c>
    </row>
    <row r="2087" customFormat="false" ht="15" hidden="false" customHeight="false" outlineLevel="0" collapsed="false">
      <c r="A2087" s="154" t="n">
        <v>39961</v>
      </c>
      <c r="B2087" s="155" t="s">
        <v>1777</v>
      </c>
      <c r="C2087" s="148" t="str">
        <f aca="false">VLOOKUP($A2087,INSUMOS_AUX!$A$3:$H$813,3,0)</f>
        <v>MAT.</v>
      </c>
      <c r="D2087" s="156" t="s">
        <v>31</v>
      </c>
      <c r="E2087" s="154" t="n">
        <v>1.16875</v>
      </c>
      <c r="F2087" s="149" t="n">
        <f aca="false">IF(C2087="MAT.",VLOOKUP(A2087,INSUMOS_AUX!$A$3:$H$813,6,0),0)</f>
        <v>21.51</v>
      </c>
      <c r="G2087" s="149" t="n">
        <f aca="false">IF(C2087="M.O.",VLOOKUP(A2087,INSUMOS_AUX!A:F,6,0),0)</f>
        <v>0</v>
      </c>
    </row>
    <row r="2088" customFormat="false" ht="15" hidden="false" customHeight="false" outlineLevel="0" collapsed="false">
      <c r="A2088" s="154" t="n">
        <v>4750</v>
      </c>
      <c r="B2088" s="155" t="s">
        <v>1463</v>
      </c>
      <c r="C2088" s="148" t="str">
        <f aca="false">VLOOKUP($A2088,INSUMOS_AUX!$A$3:$H$813,3,0)</f>
        <v>M.O.</v>
      </c>
      <c r="D2088" s="156" t="s">
        <v>1444</v>
      </c>
      <c r="E2088" s="154" t="n">
        <v>1.03183467468</v>
      </c>
      <c r="F2088" s="149" t="n">
        <f aca="false">IF(C2088="MAT.",VLOOKUP(A2088,INSUMOS_AUX!$A$3:$H$813,6,0),0)</f>
        <v>0</v>
      </c>
      <c r="G2088" s="149" t="n">
        <f aca="false">IF(C2088="M.O.",VLOOKUP(A2088,INSUMOS_AUX!A:F,6,0),0)</f>
        <v>20.22</v>
      </c>
    </row>
    <row r="2089" customFormat="false" ht="15" hidden="false" customHeight="false" outlineLevel="0" collapsed="false">
      <c r="A2089" s="154" t="n">
        <v>6111</v>
      </c>
      <c r="B2089" s="155" t="s">
        <v>1464</v>
      </c>
      <c r="C2089" s="148" t="str">
        <f aca="false">VLOOKUP($A2089,INSUMOS_AUX!$A$3:$H$813,3,0)</f>
        <v>M.O.</v>
      </c>
      <c r="D2089" s="156" t="s">
        <v>1444</v>
      </c>
      <c r="E2089" s="154" t="n">
        <v>0.51591728628</v>
      </c>
      <c r="F2089" s="149" t="n">
        <f aca="false">IF(C2089="MAT.",VLOOKUP(A2089,INSUMOS_AUX!$A$3:$H$813,6,0),0)</f>
        <v>0</v>
      </c>
      <c r="G2089" s="149" t="n">
        <f aca="false">IF(C2089="M.O.",VLOOKUP(A2089,INSUMOS_AUX!A:F,6,0),0)</f>
        <v>12.95</v>
      </c>
    </row>
    <row r="2090" customFormat="false" ht="42" hidden="false" customHeight="false" outlineLevel="0" collapsed="false">
      <c r="A2090" s="150" t="s">
        <v>416</v>
      </c>
      <c r="B2090" s="151" t="s">
        <v>1830</v>
      </c>
      <c r="C2090" s="152" t="s">
        <v>59</v>
      </c>
      <c r="D2090" s="152" t="s">
        <v>1477</v>
      </c>
      <c r="E2090" s="150"/>
      <c r="F2090" s="153" t="n">
        <f aca="false">(SUMPRODUCT($E2091:$E2103,F2091:F2103))*1</f>
        <v>415.49508</v>
      </c>
      <c r="G2090" s="153" t="n">
        <f aca="false">(SUMPRODUCT($E2091:$E2103,G2091:G2103))*1</f>
        <v>26.17049664</v>
      </c>
    </row>
    <row r="2091" customFormat="false" ht="21" hidden="false" customHeight="false" outlineLevel="0" collapsed="false">
      <c r="A2091" s="154" t="n">
        <v>37370</v>
      </c>
      <c r="B2091" s="155" t="s">
        <v>1443</v>
      </c>
      <c r="C2091" s="148" t="str">
        <f aca="false">VLOOKUP($A2091,INSUMOS_AUX!$A$3:$H$813,3,0)</f>
        <v>MAT.</v>
      </c>
      <c r="D2091" s="156" t="s">
        <v>1444</v>
      </c>
      <c r="E2091" s="154" t="n">
        <v>1.44</v>
      </c>
      <c r="F2091" s="149" t="n">
        <f aca="false">IF(C2091="MAT.",VLOOKUP(A2091,INSUMOS_AUX!$A$3:$H$813,6,0),0)</f>
        <v>3.32</v>
      </c>
      <c r="G2091" s="149" t="n">
        <f aca="false">IF(C2091="M.O.",VLOOKUP(A2091,INSUMOS_AUX!A:F,6,0),0)</f>
        <v>0</v>
      </c>
    </row>
    <row r="2092" customFormat="false" ht="21" hidden="false" customHeight="false" outlineLevel="0" collapsed="false">
      <c r="A2092" s="154" t="n">
        <v>43489</v>
      </c>
      <c r="B2092" s="155" t="s">
        <v>1456</v>
      </c>
      <c r="C2092" s="148" t="str">
        <f aca="false">VLOOKUP($A2092,INSUMOS_AUX!$A$3:$H$813,3,0)</f>
        <v>MAT.</v>
      </c>
      <c r="D2092" s="156" t="s">
        <v>1444</v>
      </c>
      <c r="E2092" s="154" t="n">
        <v>0.96</v>
      </c>
      <c r="F2092" s="149" t="n">
        <f aca="false">IF(C2092="MAT.",VLOOKUP(A2092,INSUMOS_AUX!$A$3:$H$813,6,0),0)</f>
        <v>1.31</v>
      </c>
      <c r="G2092" s="149" t="n">
        <f aca="false">IF(C2092="M.O.",VLOOKUP(A2092,INSUMOS_AUX!A:F,6,0),0)</f>
        <v>0</v>
      </c>
    </row>
    <row r="2093" customFormat="false" ht="21" hidden="false" customHeight="false" outlineLevel="0" collapsed="false">
      <c r="A2093" s="154" t="n">
        <v>43491</v>
      </c>
      <c r="B2093" s="155" t="s">
        <v>1457</v>
      </c>
      <c r="C2093" s="148" t="s">
        <v>59</v>
      </c>
      <c r="D2093" s="156" t="s">
        <v>1444</v>
      </c>
      <c r="E2093" s="154" t="n">
        <v>0.48</v>
      </c>
      <c r="F2093" s="149" t="n">
        <f aca="false">IF(C2093="MAT.",VLOOKUP(A2093,INSUMOS_AUX!$A$3:$H$813,6,0),0)</f>
        <v>0</v>
      </c>
      <c r="G2093" s="149" t="n">
        <f aca="false">IF(C2093="M.O.",VLOOKUP(A2093,INSUMOS_AUX!A:F,6,0),0)</f>
        <v>0</v>
      </c>
    </row>
    <row r="2094" customFormat="false" ht="21" hidden="false" customHeight="false" outlineLevel="0" collapsed="false">
      <c r="A2094" s="154" t="n">
        <v>37372</v>
      </c>
      <c r="B2094" s="155" t="s">
        <v>1446</v>
      </c>
      <c r="C2094" s="148" t="str">
        <f aca="false">VLOOKUP($A2094,INSUMOS_AUX!$A$3:$H$813,3,0)</f>
        <v>MAT.</v>
      </c>
      <c r="D2094" s="156" t="s">
        <v>1444</v>
      </c>
      <c r="E2094" s="154" t="n">
        <v>1.44</v>
      </c>
      <c r="F2094" s="149" t="n">
        <f aca="false">IF(C2094="MAT.",VLOOKUP(A2094,INSUMOS_AUX!$A$3:$H$813,6,0),0)</f>
        <v>1.43</v>
      </c>
      <c r="G2094" s="149" t="n">
        <f aca="false">IF(C2094="M.O.",VLOOKUP(A2094,INSUMOS_AUX!A:F,6,0),0)</f>
        <v>0</v>
      </c>
    </row>
    <row r="2095" customFormat="false" ht="21" hidden="false" customHeight="false" outlineLevel="0" collapsed="false">
      <c r="A2095" s="154" t="n">
        <v>43465</v>
      </c>
      <c r="B2095" s="155" t="s">
        <v>1458</v>
      </c>
      <c r="C2095" s="148" t="str">
        <f aca="false">VLOOKUP($A2095,INSUMOS_AUX!$A$3:$H$813,3,0)</f>
        <v>MAT.</v>
      </c>
      <c r="D2095" s="156" t="s">
        <v>1444</v>
      </c>
      <c r="E2095" s="154" t="n">
        <v>0.96</v>
      </c>
      <c r="F2095" s="149" t="n">
        <f aca="false">IF(C2095="MAT.",VLOOKUP(A2095,INSUMOS_AUX!$A$3:$H$813,6,0),0)</f>
        <v>0.78</v>
      </c>
      <c r="G2095" s="149" t="n">
        <f aca="false">IF(C2095="M.O.",VLOOKUP(A2095,INSUMOS_AUX!A:F,6,0),0)</f>
        <v>0</v>
      </c>
    </row>
    <row r="2096" customFormat="false" ht="21" hidden="false" customHeight="false" outlineLevel="0" collapsed="false">
      <c r="A2096" s="154" t="n">
        <v>43467</v>
      </c>
      <c r="B2096" s="155" t="s">
        <v>1459</v>
      </c>
      <c r="C2096" s="148" t="str">
        <f aca="false">VLOOKUP($A2096,INSUMOS_AUX!$A$3:$H$813,3,0)</f>
        <v>MAT.</v>
      </c>
      <c r="D2096" s="156" t="s">
        <v>1444</v>
      </c>
      <c r="E2096" s="154" t="n">
        <v>0.48</v>
      </c>
      <c r="F2096" s="149" t="n">
        <f aca="false">IF(C2096="MAT.",VLOOKUP(A2096,INSUMOS_AUX!$A$3:$H$813,6,0),0)</f>
        <v>0.61</v>
      </c>
      <c r="G2096" s="149" t="n">
        <f aca="false">IF(C2096="M.O.",VLOOKUP(A2096,INSUMOS_AUX!A:F,6,0),0)</f>
        <v>0</v>
      </c>
    </row>
    <row r="2097" customFormat="false" ht="21" hidden="false" customHeight="false" outlineLevel="0" collapsed="false">
      <c r="A2097" s="154" t="n">
        <v>37373</v>
      </c>
      <c r="B2097" s="155" t="s">
        <v>1448</v>
      </c>
      <c r="C2097" s="148" t="str">
        <f aca="false">VLOOKUP($A2097,INSUMOS_AUX!$A$3:$H$813,3,0)</f>
        <v>MAT.</v>
      </c>
      <c r="D2097" s="156" t="s">
        <v>1444</v>
      </c>
      <c r="E2097" s="154" t="n">
        <v>1.44</v>
      </c>
      <c r="F2097" s="149" t="n">
        <f aca="false">IF(C2097="MAT.",VLOOKUP(A2097,INSUMOS_AUX!$A$3:$H$813,6,0),0)</f>
        <v>0.08</v>
      </c>
      <c r="G2097" s="149" t="n">
        <f aca="false">IF(C2097="M.O.",VLOOKUP(A2097,INSUMOS_AUX!A:F,6,0),0)</f>
        <v>0</v>
      </c>
    </row>
    <row r="2098" customFormat="false" ht="21" hidden="false" customHeight="false" outlineLevel="0" collapsed="false">
      <c r="A2098" s="154" t="n">
        <v>37371</v>
      </c>
      <c r="B2098" s="155" t="s">
        <v>1449</v>
      </c>
      <c r="C2098" s="148" t="str">
        <f aca="false">VLOOKUP($A2098,INSUMOS_AUX!$A$3:$H$813,3,0)</f>
        <v>MAT.</v>
      </c>
      <c r="D2098" s="156" t="s">
        <v>1444</v>
      </c>
      <c r="E2098" s="154" t="n">
        <v>1.44</v>
      </c>
      <c r="F2098" s="149" t="n">
        <f aca="false">IF(C2098="MAT.",VLOOKUP(A2098,INSUMOS_AUX!$A$3:$H$813,6,0),0)</f>
        <v>0.59</v>
      </c>
      <c r="G2098" s="149" t="n">
        <f aca="false">IF(C2098="M.O.",VLOOKUP(A2098,INSUMOS_AUX!A:F,6,0),0)</f>
        <v>0</v>
      </c>
    </row>
    <row r="2099" customFormat="false" ht="42" hidden="false" customHeight="false" outlineLevel="0" collapsed="false">
      <c r="A2099" s="154" t="n">
        <v>34364</v>
      </c>
      <c r="B2099" s="155" t="s">
        <v>1831</v>
      </c>
      <c r="C2099" s="148" t="str">
        <f aca="false">VLOOKUP($A2099,INSUMOS_AUX!$A$3:$H$813,3,0)</f>
        <v>MAT.</v>
      </c>
      <c r="D2099" s="156" t="s">
        <v>31</v>
      </c>
      <c r="E2099" s="154" t="n">
        <v>0.556</v>
      </c>
      <c r="F2099" s="149" t="n">
        <f aca="false">IF(C2099="MAT.",VLOOKUP(A2099,INSUMOS_AUX!$A$3:$H$813,6,0),0)</f>
        <v>704.83</v>
      </c>
      <c r="G2099" s="149" t="n">
        <f aca="false">IF(C2099="M.O.",VLOOKUP(A2099,INSUMOS_AUX!A:F,6,0),0)</f>
        <v>0</v>
      </c>
    </row>
    <row r="2100" customFormat="false" ht="21" hidden="false" customHeight="false" outlineLevel="0" collapsed="false">
      <c r="A2100" s="154" t="n">
        <v>4377</v>
      </c>
      <c r="B2100" s="155" t="s">
        <v>1829</v>
      </c>
      <c r="C2100" s="148" t="str">
        <f aca="false">VLOOKUP($A2100,INSUMOS_AUX!$A$3:$H$813,3,0)</f>
        <v>MAT.</v>
      </c>
      <c r="D2100" s="156" t="s">
        <v>31</v>
      </c>
      <c r="E2100" s="154" t="n">
        <v>7.3</v>
      </c>
      <c r="F2100" s="149" t="n">
        <f aca="false">IF(C2100="MAT.",VLOOKUP(A2100,INSUMOS_AUX!$A$3:$H$813,6,0),0)</f>
        <v>0.2</v>
      </c>
      <c r="G2100" s="149" t="n">
        <f aca="false">IF(C2100="M.O.",VLOOKUP(A2100,INSUMOS_AUX!A:F,6,0),0)</f>
        <v>0</v>
      </c>
    </row>
    <row r="2101" customFormat="false" ht="15" hidden="false" customHeight="false" outlineLevel="0" collapsed="false">
      <c r="A2101" s="154" t="n">
        <v>39961</v>
      </c>
      <c r="B2101" s="155" t="s">
        <v>1777</v>
      </c>
      <c r="C2101" s="148" t="str">
        <f aca="false">VLOOKUP($A2101,INSUMOS_AUX!$A$3:$H$813,3,0)</f>
        <v>MAT.</v>
      </c>
      <c r="D2101" s="156" t="s">
        <v>31</v>
      </c>
      <c r="E2101" s="154" t="n">
        <v>0.56</v>
      </c>
      <c r="F2101" s="149" t="n">
        <f aca="false">IF(C2101="MAT.",VLOOKUP(A2101,INSUMOS_AUX!$A$3:$H$813,6,0),0)</f>
        <v>21.51</v>
      </c>
      <c r="G2101" s="149" t="n">
        <f aca="false">IF(C2101="M.O.",VLOOKUP(A2101,INSUMOS_AUX!A:F,6,0),0)</f>
        <v>0</v>
      </c>
    </row>
    <row r="2102" customFormat="false" ht="15" hidden="false" customHeight="false" outlineLevel="0" collapsed="false">
      <c r="A2102" s="154" t="n">
        <v>4750</v>
      </c>
      <c r="B2102" s="155" t="s">
        <v>1463</v>
      </c>
      <c r="C2102" s="148" t="str">
        <f aca="false">VLOOKUP($A2102,INSUMOS_AUX!$A$3:$H$813,3,0)</f>
        <v>M.O.</v>
      </c>
      <c r="D2102" s="156" t="s">
        <v>1444</v>
      </c>
      <c r="E2102" s="154" t="n">
        <v>0.980352</v>
      </c>
      <c r="F2102" s="149" t="n">
        <f aca="false">IF(C2102="MAT.",VLOOKUP(A2102,INSUMOS_AUX!$A$3:$H$813,6,0),0)</f>
        <v>0</v>
      </c>
      <c r="G2102" s="149" t="n">
        <f aca="false">IF(C2102="M.O.",VLOOKUP(A2102,INSUMOS_AUX!A:F,6,0),0)</f>
        <v>20.22</v>
      </c>
    </row>
    <row r="2103" customFormat="false" ht="15" hidden="false" customHeight="false" outlineLevel="0" collapsed="false">
      <c r="A2103" s="154" t="n">
        <v>6111</v>
      </c>
      <c r="B2103" s="155" t="s">
        <v>1464</v>
      </c>
      <c r="C2103" s="148" t="str">
        <f aca="false">VLOOKUP($A2103,INSUMOS_AUX!$A$3:$H$813,3,0)</f>
        <v>M.O.</v>
      </c>
      <c r="D2103" s="156" t="s">
        <v>1444</v>
      </c>
      <c r="E2103" s="154" t="n">
        <v>0.490176</v>
      </c>
      <c r="F2103" s="149" t="n">
        <f aca="false">IF(C2103="MAT.",VLOOKUP(A2103,INSUMOS_AUX!$A$3:$H$813,6,0),0)</f>
        <v>0</v>
      </c>
      <c r="G2103" s="149" t="n">
        <f aca="false">IF(C2103="M.O.",VLOOKUP(A2103,INSUMOS_AUX!A:F,6,0),0)</f>
        <v>12.95</v>
      </c>
    </row>
    <row r="2104" customFormat="false" ht="42" hidden="false" customHeight="false" outlineLevel="0" collapsed="false">
      <c r="A2104" s="150" t="s">
        <v>418</v>
      </c>
      <c r="B2104" s="151" t="s">
        <v>1832</v>
      </c>
      <c r="C2104" s="152" t="s">
        <v>59</v>
      </c>
      <c r="D2104" s="152" t="s">
        <v>31</v>
      </c>
      <c r="E2104" s="150"/>
      <c r="F2104" s="153" t="n">
        <f aca="false">(SUMPRODUCT($E2105:$E2118,F2105:F2118))*1</f>
        <v>19895.9445889727</v>
      </c>
      <c r="G2104" s="153" t="n">
        <f aca="false">(SUMPRODUCT($E2105:$E2118,G2105:G2118))*1</f>
        <v>586.873387152</v>
      </c>
    </row>
    <row r="2105" customFormat="false" ht="21" hidden="false" customHeight="false" outlineLevel="0" collapsed="false">
      <c r="A2105" s="154" t="n">
        <v>37370</v>
      </c>
      <c r="B2105" s="155" t="s">
        <v>1443</v>
      </c>
      <c r="C2105" s="148" t="str">
        <f aca="false">VLOOKUP($A2105,INSUMOS_AUX!$A$3:$H$813,3,0)</f>
        <v>MAT.</v>
      </c>
      <c r="D2105" s="156" t="s">
        <v>1444</v>
      </c>
      <c r="E2105" s="154" t="n">
        <v>32.292</v>
      </c>
      <c r="F2105" s="149" t="n">
        <f aca="false">IF(C2105="MAT.",VLOOKUP(A2105,INSUMOS_AUX!$A$3:$H$813,6,0),0)</f>
        <v>3.32</v>
      </c>
      <c r="G2105" s="149" t="n">
        <f aca="false">IF(C2105="M.O.",VLOOKUP(A2105,INSUMOS_AUX!A:F,6,0),0)</f>
        <v>0</v>
      </c>
    </row>
    <row r="2106" customFormat="false" ht="21" hidden="false" customHeight="false" outlineLevel="0" collapsed="false">
      <c r="A2106" s="154" t="n">
        <v>43489</v>
      </c>
      <c r="B2106" s="155" t="s">
        <v>1456</v>
      </c>
      <c r="C2106" s="148" t="str">
        <f aca="false">VLOOKUP($A2106,INSUMOS_AUX!$A$3:$H$813,3,0)</f>
        <v>MAT.</v>
      </c>
      <c r="D2106" s="156" t="s">
        <v>1444</v>
      </c>
      <c r="E2106" s="154" t="n">
        <v>21.528</v>
      </c>
      <c r="F2106" s="149" t="n">
        <f aca="false">IF(C2106="MAT.",VLOOKUP(A2106,INSUMOS_AUX!$A$3:$H$813,6,0),0)</f>
        <v>1.31</v>
      </c>
      <c r="G2106" s="149" t="n">
        <f aca="false">IF(C2106="M.O.",VLOOKUP(A2106,INSUMOS_AUX!A:F,6,0),0)</f>
        <v>0</v>
      </c>
    </row>
    <row r="2107" customFormat="false" ht="21" hidden="false" customHeight="false" outlineLevel="0" collapsed="false">
      <c r="A2107" s="154" t="n">
        <v>43491</v>
      </c>
      <c r="B2107" s="155" t="s">
        <v>1457</v>
      </c>
      <c r="C2107" s="148" t="str">
        <f aca="false">VLOOKUP($A2107,INSUMOS_AUX!$A$3:$H$813,3,0)</f>
        <v>MAT.</v>
      </c>
      <c r="D2107" s="156" t="s">
        <v>1444</v>
      </c>
      <c r="E2107" s="154" t="n">
        <v>10.764</v>
      </c>
      <c r="F2107" s="149" t="n">
        <f aca="false">IF(C2107="MAT.",VLOOKUP(A2107,INSUMOS_AUX!$A$3:$H$813,6,0),0)</f>
        <v>1.39</v>
      </c>
      <c r="G2107" s="149" t="n">
        <f aca="false">IF(C2107="M.O.",VLOOKUP(A2107,INSUMOS_AUX!A:F,6,0),0)</f>
        <v>0</v>
      </c>
    </row>
    <row r="2108" customFormat="false" ht="21" hidden="false" customHeight="false" outlineLevel="0" collapsed="false">
      <c r="A2108" s="154" t="n">
        <v>37372</v>
      </c>
      <c r="B2108" s="155" t="s">
        <v>1446</v>
      </c>
      <c r="C2108" s="148" t="s">
        <v>59</v>
      </c>
      <c r="D2108" s="156" t="s">
        <v>1444</v>
      </c>
      <c r="E2108" s="154" t="n">
        <v>32.292</v>
      </c>
      <c r="F2108" s="149" t="n">
        <f aca="false">IF(C2108="MAT.",VLOOKUP(A2108,INSUMOS_AUX!$A$3:$H$813,6,0),0)</f>
        <v>0</v>
      </c>
      <c r="G2108" s="149" t="n">
        <f aca="false">IF(C2108="M.O.",VLOOKUP(A2108,INSUMOS_AUX!A:F,6,0),0)</f>
        <v>0</v>
      </c>
    </row>
    <row r="2109" customFormat="false" ht="21" hidden="false" customHeight="false" outlineLevel="0" collapsed="false">
      <c r="A2109" s="154" t="n">
        <v>43465</v>
      </c>
      <c r="B2109" s="155" t="s">
        <v>1458</v>
      </c>
      <c r="C2109" s="148" t="str">
        <f aca="false">VLOOKUP($A2109,INSUMOS_AUX!$A$3:$H$813,3,0)</f>
        <v>MAT.</v>
      </c>
      <c r="D2109" s="156" t="s">
        <v>1444</v>
      </c>
      <c r="E2109" s="154" t="n">
        <v>21.528</v>
      </c>
      <c r="F2109" s="149" t="n">
        <f aca="false">IF(C2109="MAT.",VLOOKUP(A2109,INSUMOS_AUX!$A$3:$H$813,6,0),0)</f>
        <v>0.78</v>
      </c>
      <c r="G2109" s="149" t="n">
        <f aca="false">IF(C2109="M.O.",VLOOKUP(A2109,INSUMOS_AUX!A:F,6,0),0)</f>
        <v>0</v>
      </c>
    </row>
    <row r="2110" customFormat="false" ht="21" hidden="false" customHeight="false" outlineLevel="0" collapsed="false">
      <c r="A2110" s="154" t="n">
        <v>43467</v>
      </c>
      <c r="B2110" s="155" t="s">
        <v>1459</v>
      </c>
      <c r="C2110" s="148" t="str">
        <f aca="false">VLOOKUP($A2110,INSUMOS_AUX!$A$3:$H$813,3,0)</f>
        <v>MAT.</v>
      </c>
      <c r="D2110" s="156" t="s">
        <v>1444</v>
      </c>
      <c r="E2110" s="154" t="n">
        <v>10.764</v>
      </c>
      <c r="F2110" s="149" t="n">
        <f aca="false">IF(C2110="MAT.",VLOOKUP(A2110,INSUMOS_AUX!$A$3:$H$813,6,0),0)</f>
        <v>0.61</v>
      </c>
      <c r="G2110" s="149" t="n">
        <f aca="false">IF(C2110="M.O.",VLOOKUP(A2110,INSUMOS_AUX!A:F,6,0),0)</f>
        <v>0</v>
      </c>
    </row>
    <row r="2111" customFormat="false" ht="21" hidden="false" customHeight="false" outlineLevel="0" collapsed="false">
      <c r="A2111" s="154" t="n">
        <v>37373</v>
      </c>
      <c r="B2111" s="155" t="s">
        <v>1448</v>
      </c>
      <c r="C2111" s="148" t="str">
        <f aca="false">VLOOKUP($A2111,INSUMOS_AUX!$A$3:$H$813,3,0)</f>
        <v>MAT.</v>
      </c>
      <c r="D2111" s="156" t="s">
        <v>1444</v>
      </c>
      <c r="E2111" s="154" t="n">
        <v>32.292</v>
      </c>
      <c r="F2111" s="149" t="n">
        <f aca="false">IF(C2111="MAT.",VLOOKUP(A2111,INSUMOS_AUX!$A$3:$H$813,6,0),0)</f>
        <v>0.08</v>
      </c>
      <c r="G2111" s="149" t="n">
        <f aca="false">IF(C2111="M.O.",VLOOKUP(A2111,INSUMOS_AUX!A:F,6,0),0)</f>
        <v>0</v>
      </c>
    </row>
    <row r="2112" customFormat="false" ht="21" hidden="false" customHeight="false" outlineLevel="0" collapsed="false">
      <c r="A2112" s="154" t="n">
        <v>37371</v>
      </c>
      <c r="B2112" s="155" t="s">
        <v>1449</v>
      </c>
      <c r="C2112" s="148" t="str">
        <f aca="false">VLOOKUP($A2112,INSUMOS_AUX!$A$3:$H$813,3,0)</f>
        <v>MAT.</v>
      </c>
      <c r="D2112" s="156" t="s">
        <v>1444</v>
      </c>
      <c r="E2112" s="154" t="n">
        <v>32.292</v>
      </c>
      <c r="F2112" s="149" t="n">
        <f aca="false">IF(C2112="MAT.",VLOOKUP(A2112,INSUMOS_AUX!$A$3:$H$813,6,0),0)</f>
        <v>0.59</v>
      </c>
      <c r="G2112" s="149" t="n">
        <f aca="false">IF(C2112="M.O.",VLOOKUP(A2112,INSUMOS_AUX!A:F,6,0),0)</f>
        <v>0</v>
      </c>
    </row>
    <row r="2113" customFormat="false" ht="31.5" hidden="false" customHeight="false" outlineLevel="0" collapsed="false">
      <c r="A2113" s="154" t="n">
        <v>599</v>
      </c>
      <c r="B2113" s="155" t="s">
        <v>1833</v>
      </c>
      <c r="C2113" s="148" t="str">
        <f aca="false">VLOOKUP($A2113,INSUMOS_AUX!$A$3:$H$813,3,0)</f>
        <v>MAT.</v>
      </c>
      <c r="D2113" s="156" t="s">
        <v>1477</v>
      </c>
      <c r="E2113" s="154" t="n">
        <v>22.792</v>
      </c>
      <c r="F2113" s="149" t="n">
        <f aca="false">IF(C2113="MAT.",VLOOKUP(A2113,INSUMOS_AUX!$A$3:$H$813,6,0),0)</f>
        <v>758.76</v>
      </c>
      <c r="G2113" s="149" t="n">
        <f aca="false">IF(C2113="M.O.",VLOOKUP(A2113,INSUMOS_AUX!A:F,6,0),0)</f>
        <v>0</v>
      </c>
    </row>
    <row r="2114" customFormat="false" ht="31.5" hidden="false" customHeight="false" outlineLevel="0" collapsed="false">
      <c r="A2114" s="154" t="n">
        <v>34381</v>
      </c>
      <c r="B2114" s="155" t="s">
        <v>1828</v>
      </c>
      <c r="C2114" s="148" t="str">
        <f aca="false">VLOOKUP($A2114,INSUMOS_AUX!$A$3:$H$813,3,0)</f>
        <v>MAT.</v>
      </c>
      <c r="D2114" s="156" t="s">
        <v>31</v>
      </c>
      <c r="E2114" s="154" t="n">
        <v>6.62628571</v>
      </c>
      <c r="F2114" s="149" t="n">
        <f aca="false">IF(C2114="MAT.",VLOOKUP(A2114,INSUMOS_AUX!$A$3:$H$813,6,0),0)</f>
        <v>306.37</v>
      </c>
      <c r="G2114" s="149" t="n">
        <f aca="false">IF(C2114="M.O.",VLOOKUP(A2114,INSUMOS_AUX!A:F,6,0),0)</f>
        <v>0</v>
      </c>
    </row>
    <row r="2115" customFormat="false" ht="21" hidden="false" customHeight="false" outlineLevel="0" collapsed="false">
      <c r="A2115" s="154" t="n">
        <v>4377</v>
      </c>
      <c r="B2115" s="155" t="s">
        <v>1829</v>
      </c>
      <c r="C2115" s="148" t="str">
        <f aca="false">VLOOKUP($A2115,INSUMOS_AUX!$A$3:$H$813,3,0)</f>
        <v>MAT.</v>
      </c>
      <c r="D2115" s="156" t="s">
        <v>31</v>
      </c>
      <c r="E2115" s="154" t="n">
        <v>520.6487</v>
      </c>
      <c r="F2115" s="149" t="n">
        <f aca="false">IF(C2115="MAT.",VLOOKUP(A2115,INSUMOS_AUX!$A$3:$H$813,6,0),0)</f>
        <v>0.2</v>
      </c>
      <c r="G2115" s="149" t="n">
        <f aca="false">IF(C2115="M.O.",VLOOKUP(A2115,INSUMOS_AUX!A:F,6,0),0)</f>
        <v>0</v>
      </c>
    </row>
    <row r="2116" customFormat="false" ht="15" hidden="false" customHeight="false" outlineLevel="0" collapsed="false">
      <c r="A2116" s="154" t="n">
        <v>39961</v>
      </c>
      <c r="B2116" s="155" t="s">
        <v>1777</v>
      </c>
      <c r="C2116" s="148" t="str">
        <f aca="false">VLOOKUP($A2116,INSUMOS_AUX!$A$3:$H$813,3,0)</f>
        <v>MAT.</v>
      </c>
      <c r="D2116" s="156" t="s">
        <v>31</v>
      </c>
      <c r="E2116" s="154" t="n">
        <v>12.6776</v>
      </c>
      <c r="F2116" s="149" t="n">
        <f aca="false">IF(C2116="MAT.",VLOOKUP(A2116,INSUMOS_AUX!$A$3:$H$813,6,0),0)</f>
        <v>21.51</v>
      </c>
      <c r="G2116" s="149" t="n">
        <f aca="false">IF(C2116="M.O.",VLOOKUP(A2116,INSUMOS_AUX!A:F,6,0),0)</f>
        <v>0</v>
      </c>
    </row>
    <row r="2117" customFormat="false" ht="15" hidden="false" customHeight="false" outlineLevel="0" collapsed="false">
      <c r="A2117" s="154" t="n">
        <v>4750</v>
      </c>
      <c r="B2117" s="155" t="s">
        <v>1463</v>
      </c>
      <c r="C2117" s="148" t="str">
        <f aca="false">VLOOKUP($A2117,INSUMOS_AUX!$A$3:$H$813,3,0)</f>
        <v>M.O.</v>
      </c>
      <c r="D2117" s="156" t="s">
        <v>1444</v>
      </c>
      <c r="E2117" s="154" t="n">
        <v>21.9843936</v>
      </c>
      <c r="F2117" s="149" t="n">
        <f aca="false">IF(C2117="MAT.",VLOOKUP(A2117,INSUMOS_AUX!$A$3:$H$813,6,0),0)</f>
        <v>0</v>
      </c>
      <c r="G2117" s="149" t="n">
        <f aca="false">IF(C2117="M.O.",VLOOKUP(A2117,INSUMOS_AUX!A:F,6,0),0)</f>
        <v>20.22</v>
      </c>
    </row>
    <row r="2118" customFormat="false" ht="15" hidden="false" customHeight="false" outlineLevel="0" collapsed="false">
      <c r="A2118" s="154" t="n">
        <v>6111</v>
      </c>
      <c r="B2118" s="155" t="s">
        <v>1464</v>
      </c>
      <c r="C2118" s="148" t="str">
        <f aca="false">VLOOKUP($A2118,INSUMOS_AUX!$A$3:$H$813,3,0)</f>
        <v>M.O.</v>
      </c>
      <c r="D2118" s="156" t="s">
        <v>1444</v>
      </c>
      <c r="E2118" s="154" t="n">
        <v>10.9921968</v>
      </c>
      <c r="F2118" s="149" t="n">
        <f aca="false">IF(C2118="MAT.",VLOOKUP(A2118,INSUMOS_AUX!$A$3:$H$813,6,0),0)</f>
        <v>0</v>
      </c>
      <c r="G2118" s="149" t="n">
        <f aca="false">IF(C2118="M.O.",VLOOKUP(A2118,INSUMOS_AUX!A:F,6,0),0)</f>
        <v>12.95</v>
      </c>
    </row>
    <row r="2119" customFormat="false" ht="42" hidden="false" customHeight="false" outlineLevel="0" collapsed="false">
      <c r="A2119" s="150" t="n">
        <v>100674</v>
      </c>
      <c r="B2119" s="151" t="s">
        <v>1834</v>
      </c>
      <c r="C2119" s="152" t="s">
        <v>59</v>
      </c>
      <c r="D2119" s="152" t="s">
        <v>1477</v>
      </c>
      <c r="E2119" s="150"/>
      <c r="F2119" s="153" t="n">
        <f aca="false">(SUMPRODUCT($E2120:$E2132,F2120:F2132))*1</f>
        <v>794.739178934</v>
      </c>
      <c r="G2119" s="153" t="n">
        <f aca="false">(SUMPRODUCT($E2120:$E2132,G2120:G2132))*1</f>
        <v>20.2344098400732</v>
      </c>
    </row>
    <row r="2120" customFormat="false" ht="21" hidden="false" customHeight="false" outlineLevel="0" collapsed="false">
      <c r="A2120" s="154" t="n">
        <v>37370</v>
      </c>
      <c r="B2120" s="155" t="s">
        <v>1443</v>
      </c>
      <c r="C2120" s="148" t="str">
        <f aca="false">VLOOKUP($A2120,INSUMOS_AUX!$A$3:$H$813,3,0)</f>
        <v>MAT.</v>
      </c>
      <c r="D2120" s="156" t="s">
        <v>1444</v>
      </c>
      <c r="E2120" s="154" t="n">
        <v>1.113374</v>
      </c>
      <c r="F2120" s="149" t="n">
        <f aca="false">IF(C2120="MAT.",VLOOKUP(A2120,INSUMOS_AUX!$A$3:$H$813,6,0),0)</f>
        <v>3.32</v>
      </c>
      <c r="G2120" s="149" t="n">
        <f aca="false">IF(C2120="M.O.",VLOOKUP(A2120,INSUMOS_AUX!A:F,6,0),0)</f>
        <v>0</v>
      </c>
    </row>
    <row r="2121" customFormat="false" ht="21" hidden="false" customHeight="false" outlineLevel="0" collapsed="false">
      <c r="A2121" s="154" t="n">
        <v>43489</v>
      </c>
      <c r="B2121" s="155" t="s">
        <v>1456</v>
      </c>
      <c r="C2121" s="148" t="s">
        <v>59</v>
      </c>
      <c r="D2121" s="156" t="s">
        <v>1444</v>
      </c>
      <c r="E2121" s="154" t="n">
        <v>0.7422493</v>
      </c>
      <c r="F2121" s="149" t="n">
        <f aca="false">IF(C2121="MAT.",VLOOKUP(A2121,INSUMOS_AUX!$A$3:$H$813,6,0),0)</f>
        <v>0</v>
      </c>
      <c r="G2121" s="149" t="n">
        <f aca="false">IF(C2121="M.O.",VLOOKUP(A2121,INSUMOS_AUX!A:F,6,0),0)</f>
        <v>0</v>
      </c>
    </row>
    <row r="2122" customFormat="false" ht="21" hidden="false" customHeight="false" outlineLevel="0" collapsed="false">
      <c r="A2122" s="154" t="n">
        <v>43491</v>
      </c>
      <c r="B2122" s="155" t="s">
        <v>1457</v>
      </c>
      <c r="C2122" s="148" t="str">
        <f aca="false">VLOOKUP($A2122,INSUMOS_AUX!$A$3:$H$813,3,0)</f>
        <v>MAT.</v>
      </c>
      <c r="D2122" s="156" t="s">
        <v>1444</v>
      </c>
      <c r="E2122" s="154" t="n">
        <v>0.3711247</v>
      </c>
      <c r="F2122" s="149" t="n">
        <f aca="false">IF(C2122="MAT.",VLOOKUP(A2122,INSUMOS_AUX!$A$3:$H$813,6,0),0)</f>
        <v>1.39</v>
      </c>
      <c r="G2122" s="149" t="n">
        <f aca="false">IF(C2122="M.O.",VLOOKUP(A2122,INSUMOS_AUX!A:F,6,0),0)</f>
        <v>0</v>
      </c>
    </row>
    <row r="2123" customFormat="false" ht="21" hidden="false" customHeight="false" outlineLevel="0" collapsed="false">
      <c r="A2123" s="154" t="n">
        <v>37372</v>
      </c>
      <c r="B2123" s="155" t="s">
        <v>1446</v>
      </c>
      <c r="C2123" s="148" t="str">
        <f aca="false">VLOOKUP($A2123,INSUMOS_AUX!$A$3:$H$813,3,0)</f>
        <v>MAT.</v>
      </c>
      <c r="D2123" s="156" t="s">
        <v>1444</v>
      </c>
      <c r="E2123" s="154" t="n">
        <v>1.113374</v>
      </c>
      <c r="F2123" s="149" t="n">
        <f aca="false">IF(C2123="MAT.",VLOOKUP(A2123,INSUMOS_AUX!$A$3:$H$813,6,0),0)</f>
        <v>1.43</v>
      </c>
      <c r="G2123" s="149" t="n">
        <f aca="false">IF(C2123="M.O.",VLOOKUP(A2123,INSUMOS_AUX!A:F,6,0),0)</f>
        <v>0</v>
      </c>
    </row>
    <row r="2124" customFormat="false" ht="21" hidden="false" customHeight="false" outlineLevel="0" collapsed="false">
      <c r="A2124" s="154" t="n">
        <v>43465</v>
      </c>
      <c r="B2124" s="155" t="s">
        <v>1458</v>
      </c>
      <c r="C2124" s="148" t="str">
        <f aca="false">VLOOKUP($A2124,INSUMOS_AUX!$A$3:$H$813,3,0)</f>
        <v>MAT.</v>
      </c>
      <c r="D2124" s="156" t="s">
        <v>1444</v>
      </c>
      <c r="E2124" s="154" t="n">
        <v>0.7422493</v>
      </c>
      <c r="F2124" s="149" t="n">
        <f aca="false">IF(C2124="MAT.",VLOOKUP(A2124,INSUMOS_AUX!$A$3:$H$813,6,0),0)</f>
        <v>0.78</v>
      </c>
      <c r="G2124" s="149" t="n">
        <f aca="false">IF(C2124="M.O.",VLOOKUP(A2124,INSUMOS_AUX!A:F,6,0),0)</f>
        <v>0</v>
      </c>
    </row>
    <row r="2125" customFormat="false" ht="21" hidden="false" customHeight="false" outlineLevel="0" collapsed="false">
      <c r="A2125" s="154" t="n">
        <v>43467</v>
      </c>
      <c r="B2125" s="155" t="s">
        <v>1459</v>
      </c>
      <c r="C2125" s="148" t="str">
        <f aca="false">VLOOKUP($A2125,INSUMOS_AUX!$A$3:$H$813,3,0)</f>
        <v>MAT.</v>
      </c>
      <c r="D2125" s="156" t="s">
        <v>1444</v>
      </c>
      <c r="E2125" s="154" t="n">
        <v>0.3711247</v>
      </c>
      <c r="F2125" s="149" t="n">
        <f aca="false">IF(C2125="MAT.",VLOOKUP(A2125,INSUMOS_AUX!$A$3:$H$813,6,0),0)</f>
        <v>0.61</v>
      </c>
      <c r="G2125" s="149" t="n">
        <f aca="false">IF(C2125="M.O.",VLOOKUP(A2125,INSUMOS_AUX!A:F,6,0),0)</f>
        <v>0</v>
      </c>
    </row>
    <row r="2126" customFormat="false" ht="21" hidden="false" customHeight="false" outlineLevel="0" collapsed="false">
      <c r="A2126" s="154" t="n">
        <v>37373</v>
      </c>
      <c r="B2126" s="155" t="s">
        <v>1448</v>
      </c>
      <c r="C2126" s="148" t="str">
        <f aca="false">VLOOKUP($A2126,INSUMOS_AUX!$A$3:$H$813,3,0)</f>
        <v>MAT.</v>
      </c>
      <c r="D2126" s="156" t="s">
        <v>1444</v>
      </c>
      <c r="E2126" s="154" t="n">
        <v>1.113374</v>
      </c>
      <c r="F2126" s="149" t="n">
        <f aca="false">IF(C2126="MAT.",VLOOKUP(A2126,INSUMOS_AUX!$A$3:$H$813,6,0),0)</f>
        <v>0.08</v>
      </c>
      <c r="G2126" s="149" t="n">
        <f aca="false">IF(C2126="M.O.",VLOOKUP(A2126,INSUMOS_AUX!A:F,6,0),0)</f>
        <v>0</v>
      </c>
    </row>
    <row r="2127" customFormat="false" ht="21" hidden="false" customHeight="false" outlineLevel="0" collapsed="false">
      <c r="A2127" s="154" t="n">
        <v>37371</v>
      </c>
      <c r="B2127" s="155" t="s">
        <v>1449</v>
      </c>
      <c r="C2127" s="148" t="str">
        <f aca="false">VLOOKUP($A2127,INSUMOS_AUX!$A$3:$H$813,3,0)</f>
        <v>MAT.</v>
      </c>
      <c r="D2127" s="156" t="s">
        <v>1444</v>
      </c>
      <c r="E2127" s="154" t="n">
        <v>1.113374</v>
      </c>
      <c r="F2127" s="149" t="n">
        <f aca="false">IF(C2127="MAT.",VLOOKUP(A2127,INSUMOS_AUX!$A$3:$H$813,6,0),0)</f>
        <v>0.59</v>
      </c>
      <c r="G2127" s="149" t="n">
        <f aca="false">IF(C2127="M.O.",VLOOKUP(A2127,INSUMOS_AUX!A:F,6,0),0)</f>
        <v>0</v>
      </c>
    </row>
    <row r="2128" customFormat="false" ht="31.5" hidden="false" customHeight="false" outlineLevel="0" collapsed="false">
      <c r="A2128" s="154" t="n">
        <v>599</v>
      </c>
      <c r="B2128" s="155" t="s">
        <v>1833</v>
      </c>
      <c r="C2128" s="148" t="str">
        <f aca="false">VLOOKUP($A2128,INSUMOS_AUX!$A$3:$H$813,3,0)</f>
        <v>MAT.</v>
      </c>
      <c r="D2128" s="156" t="s">
        <v>1477</v>
      </c>
      <c r="E2128" s="154" t="n">
        <v>1</v>
      </c>
      <c r="F2128" s="149" t="n">
        <f aca="false">IF(C2128="MAT.",VLOOKUP(A2128,INSUMOS_AUX!$A$3:$H$813,6,0),0)</f>
        <v>758.76</v>
      </c>
      <c r="G2128" s="149" t="n">
        <f aca="false">IF(C2128="M.O.",VLOOKUP(A2128,INSUMOS_AUX!A:F,6,0),0)</f>
        <v>0</v>
      </c>
    </row>
    <row r="2129" customFormat="false" ht="21" hidden="false" customHeight="false" outlineLevel="0" collapsed="false">
      <c r="A2129" s="154" t="n">
        <v>4377</v>
      </c>
      <c r="B2129" s="155" t="s">
        <v>1829</v>
      </c>
      <c r="C2129" s="148" t="str">
        <f aca="false">VLOOKUP($A2129,INSUMOS_AUX!$A$3:$H$813,3,0)</f>
        <v>MAT.</v>
      </c>
      <c r="D2129" s="156" t="s">
        <v>31</v>
      </c>
      <c r="E2129" s="154" t="n">
        <v>17.413</v>
      </c>
      <c r="F2129" s="149" t="n">
        <f aca="false">IF(C2129="MAT.",VLOOKUP(A2129,INSUMOS_AUX!$A$3:$H$813,6,0),0)</f>
        <v>0.2</v>
      </c>
      <c r="G2129" s="149" t="n">
        <f aca="false">IF(C2129="M.O.",VLOOKUP(A2129,INSUMOS_AUX!A:F,6,0),0)</f>
        <v>0</v>
      </c>
    </row>
    <row r="2130" customFormat="false" ht="15" hidden="false" customHeight="false" outlineLevel="0" collapsed="false">
      <c r="A2130" s="154" t="n">
        <v>39961</v>
      </c>
      <c r="B2130" s="155" t="s">
        <v>1777</v>
      </c>
      <c r="C2130" s="148" t="str">
        <f aca="false">VLOOKUP($A2130,INSUMOS_AUX!$A$3:$H$813,3,0)</f>
        <v>MAT.</v>
      </c>
      <c r="D2130" s="156" t="s">
        <v>31</v>
      </c>
      <c r="E2130" s="154" t="n">
        <v>1.1688</v>
      </c>
      <c r="F2130" s="149" t="n">
        <f aca="false">IF(C2130="MAT.",VLOOKUP(A2130,INSUMOS_AUX!$A$3:$H$813,6,0),0)</f>
        <v>21.51</v>
      </c>
      <c r="G2130" s="149" t="n">
        <f aca="false">IF(C2130="M.O.",VLOOKUP(A2130,INSUMOS_AUX!A:F,6,0),0)</f>
        <v>0</v>
      </c>
    </row>
    <row r="2131" customFormat="false" ht="15" hidden="false" customHeight="false" outlineLevel="0" collapsed="false">
      <c r="A2131" s="154" t="n">
        <v>4750</v>
      </c>
      <c r="B2131" s="155" t="s">
        <v>1463</v>
      </c>
      <c r="C2131" s="148" t="str">
        <f aca="false">VLOOKUP($A2131,INSUMOS_AUX!$A$3:$H$813,3,0)</f>
        <v>M.O.</v>
      </c>
      <c r="D2131" s="156" t="s">
        <v>1444</v>
      </c>
      <c r="E2131" s="154" t="n">
        <v>0.75798498516</v>
      </c>
      <c r="F2131" s="149" t="n">
        <f aca="false">IF(C2131="MAT.",VLOOKUP(A2131,INSUMOS_AUX!$A$3:$H$813,6,0),0)</f>
        <v>0</v>
      </c>
      <c r="G2131" s="149" t="n">
        <f aca="false">IF(C2131="M.O.",VLOOKUP(A2131,INSUMOS_AUX!A:F,6,0),0)</f>
        <v>20.22</v>
      </c>
    </row>
    <row r="2132" customFormat="false" ht="15" hidden="false" customHeight="false" outlineLevel="0" collapsed="false">
      <c r="A2132" s="154" t="n">
        <v>6111</v>
      </c>
      <c r="B2132" s="155" t="s">
        <v>1464</v>
      </c>
      <c r="C2132" s="148" t="str">
        <f aca="false">VLOOKUP($A2132,INSUMOS_AUX!$A$3:$H$813,3,0)</f>
        <v>M.O.</v>
      </c>
      <c r="D2132" s="156" t="s">
        <v>1444</v>
      </c>
      <c r="E2132" s="154" t="n">
        <v>0.37899254364</v>
      </c>
      <c r="F2132" s="149" t="n">
        <f aca="false">IF(C2132="MAT.",VLOOKUP(A2132,INSUMOS_AUX!$A$3:$H$813,6,0),0)</f>
        <v>0</v>
      </c>
      <c r="G2132" s="149" t="n">
        <f aca="false">IF(C2132="M.O.",VLOOKUP(A2132,INSUMOS_AUX!A:F,6,0),0)</f>
        <v>12.95</v>
      </c>
    </row>
    <row r="2133" customFormat="false" ht="31.5" hidden="false" customHeight="false" outlineLevel="0" collapsed="false">
      <c r="A2133" s="150" t="s">
        <v>424</v>
      </c>
      <c r="B2133" s="151" t="s">
        <v>1835</v>
      </c>
      <c r="C2133" s="152" t="s">
        <v>59</v>
      </c>
      <c r="D2133" s="152" t="s">
        <v>1477</v>
      </c>
      <c r="E2133" s="150"/>
      <c r="F2133" s="153" t="n">
        <f aca="false">(SUMPRODUCT($E2134:$E2149,F2134:F2149))*1</f>
        <v>535.3326174</v>
      </c>
      <c r="G2133" s="153" t="n">
        <f aca="false">(SUMPRODUCT($E2134:$E2149,G2134:G2149))*1</f>
        <v>22.007892892</v>
      </c>
    </row>
    <row r="2134" customFormat="false" ht="21" hidden="false" customHeight="false" outlineLevel="0" collapsed="false">
      <c r="A2134" s="154" t="n">
        <v>37370</v>
      </c>
      <c r="B2134" s="155" t="s">
        <v>1443</v>
      </c>
      <c r="C2134" s="148" t="str">
        <f aca="false">VLOOKUP($A2134,INSUMOS_AUX!$A$3:$H$813,3,0)</f>
        <v>MAT.</v>
      </c>
      <c r="D2134" s="156" t="s">
        <v>1444</v>
      </c>
      <c r="E2134" s="154" t="n">
        <v>1.25997</v>
      </c>
      <c r="F2134" s="149" t="n">
        <f aca="false">IF(C2134="MAT.",VLOOKUP(A2134,INSUMOS_AUX!$A$3:$H$813,6,0),0)</f>
        <v>3.32</v>
      </c>
      <c r="G2134" s="149" t="n">
        <f aca="false">IF(C2134="M.O.",VLOOKUP(A2134,INSUMOS_AUX!A:F,6,0),0)</f>
        <v>0</v>
      </c>
    </row>
    <row r="2135" customFormat="false" ht="21" hidden="false" customHeight="false" outlineLevel="0" collapsed="false">
      <c r="A2135" s="154" t="n">
        <v>43489</v>
      </c>
      <c r="B2135" s="155" t="s">
        <v>1456</v>
      </c>
      <c r="C2135" s="148" t="str">
        <f aca="false">VLOOKUP($A2135,INSUMOS_AUX!$A$3:$H$813,3,0)</f>
        <v>MAT.</v>
      </c>
      <c r="D2135" s="156" t="s">
        <v>1444</v>
      </c>
      <c r="E2135" s="154" t="n">
        <v>0.72</v>
      </c>
      <c r="F2135" s="149" t="n">
        <f aca="false">IF(C2135="MAT.",VLOOKUP(A2135,INSUMOS_AUX!$A$3:$H$813,6,0),0)</f>
        <v>1.31</v>
      </c>
      <c r="G2135" s="149" t="n">
        <f aca="false">IF(C2135="M.O.",VLOOKUP(A2135,INSUMOS_AUX!A:F,6,0),0)</f>
        <v>0</v>
      </c>
    </row>
    <row r="2136" customFormat="false" ht="21" hidden="false" customHeight="false" outlineLevel="0" collapsed="false">
      <c r="A2136" s="154" t="n">
        <v>43491</v>
      </c>
      <c r="B2136" s="155" t="s">
        <v>1457</v>
      </c>
      <c r="C2136" s="148" t="str">
        <f aca="false">VLOOKUP($A2136,INSUMOS_AUX!$A$3:$H$813,3,0)</f>
        <v>MAT.</v>
      </c>
      <c r="D2136" s="156" t="s">
        <v>1444</v>
      </c>
      <c r="E2136" s="154" t="n">
        <v>0.53997</v>
      </c>
      <c r="F2136" s="149" t="n">
        <f aca="false">IF(C2136="MAT.",VLOOKUP(A2136,INSUMOS_AUX!$A$3:$H$813,6,0),0)</f>
        <v>1.39</v>
      </c>
      <c r="G2136" s="149" t="n">
        <f aca="false">IF(C2136="M.O.",VLOOKUP(A2136,INSUMOS_AUX!A:F,6,0),0)</f>
        <v>0</v>
      </c>
    </row>
    <row r="2137" customFormat="false" ht="21" hidden="false" customHeight="false" outlineLevel="0" collapsed="false">
      <c r="A2137" s="154" t="n">
        <v>37372</v>
      </c>
      <c r="B2137" s="155" t="s">
        <v>1446</v>
      </c>
      <c r="C2137" s="148" t="str">
        <f aca="false">VLOOKUP($A2137,INSUMOS_AUX!$A$3:$H$813,3,0)</f>
        <v>MAT.</v>
      </c>
      <c r="D2137" s="156" t="s">
        <v>1444</v>
      </c>
      <c r="E2137" s="154" t="n">
        <v>1.25997</v>
      </c>
      <c r="F2137" s="149" t="n">
        <f aca="false">IF(C2137="MAT.",VLOOKUP(A2137,INSUMOS_AUX!$A$3:$H$813,6,0),0)</f>
        <v>1.43</v>
      </c>
      <c r="G2137" s="149" t="n">
        <f aca="false">IF(C2137="M.O.",VLOOKUP(A2137,INSUMOS_AUX!A:F,6,0),0)</f>
        <v>0</v>
      </c>
    </row>
    <row r="2138" customFormat="false" ht="21" hidden="false" customHeight="false" outlineLevel="0" collapsed="false">
      <c r="A2138" s="154" t="n">
        <v>43465</v>
      </c>
      <c r="B2138" s="155" t="s">
        <v>1458</v>
      </c>
      <c r="C2138" s="148" t="str">
        <f aca="false">VLOOKUP($A2138,INSUMOS_AUX!$A$3:$H$813,3,0)</f>
        <v>MAT.</v>
      </c>
      <c r="D2138" s="156" t="s">
        <v>1444</v>
      </c>
      <c r="E2138" s="154" t="n">
        <v>0.72</v>
      </c>
      <c r="F2138" s="149" t="n">
        <f aca="false">IF(C2138="MAT.",VLOOKUP(A2138,INSUMOS_AUX!$A$3:$H$813,6,0),0)</f>
        <v>0.78</v>
      </c>
      <c r="G2138" s="149" t="n">
        <f aca="false">IF(C2138="M.O.",VLOOKUP(A2138,INSUMOS_AUX!A:F,6,0),0)</f>
        <v>0</v>
      </c>
    </row>
    <row r="2139" customFormat="false" ht="21" hidden="false" customHeight="false" outlineLevel="0" collapsed="false">
      <c r="A2139" s="154" t="n">
        <v>43467</v>
      </c>
      <c r="B2139" s="155" t="s">
        <v>1459</v>
      </c>
      <c r="C2139" s="148" t="str">
        <f aca="false">VLOOKUP($A2139,INSUMOS_AUX!$A$3:$H$813,3,0)</f>
        <v>MAT.</v>
      </c>
      <c r="D2139" s="156" t="s">
        <v>1444</v>
      </c>
      <c r="E2139" s="154" t="n">
        <v>0.53997</v>
      </c>
      <c r="F2139" s="149" t="n">
        <f aca="false">IF(C2139="MAT.",VLOOKUP(A2139,INSUMOS_AUX!$A$3:$H$813,6,0),0)</f>
        <v>0.61</v>
      </c>
      <c r="G2139" s="149" t="n">
        <f aca="false">IF(C2139="M.O.",VLOOKUP(A2139,INSUMOS_AUX!A:F,6,0),0)</f>
        <v>0</v>
      </c>
    </row>
    <row r="2140" customFormat="false" ht="21" hidden="false" customHeight="false" outlineLevel="0" collapsed="false">
      <c r="A2140" s="154" t="n">
        <v>37373</v>
      </c>
      <c r="B2140" s="155" t="s">
        <v>1448</v>
      </c>
      <c r="C2140" s="148" t="str">
        <f aca="false">VLOOKUP($A2140,INSUMOS_AUX!$A$3:$H$813,3,0)</f>
        <v>MAT.</v>
      </c>
      <c r="D2140" s="156" t="s">
        <v>1444</v>
      </c>
      <c r="E2140" s="154" t="n">
        <v>1.25997</v>
      </c>
      <c r="F2140" s="149" t="n">
        <f aca="false">IF(C2140="MAT.",VLOOKUP(A2140,INSUMOS_AUX!$A$3:$H$813,6,0),0)</f>
        <v>0.08</v>
      </c>
      <c r="G2140" s="149" t="n">
        <f aca="false">IF(C2140="M.O.",VLOOKUP(A2140,INSUMOS_AUX!A:F,6,0),0)</f>
        <v>0</v>
      </c>
    </row>
    <row r="2141" customFormat="false" ht="21" hidden="false" customHeight="false" outlineLevel="0" collapsed="false">
      <c r="A2141" s="154" t="n">
        <v>37371</v>
      </c>
      <c r="B2141" s="155" t="s">
        <v>1449</v>
      </c>
      <c r="C2141" s="148" t="str">
        <f aca="false">VLOOKUP($A2141,INSUMOS_AUX!$A$3:$H$813,3,0)</f>
        <v>MAT.</v>
      </c>
      <c r="D2141" s="156" t="s">
        <v>1444</v>
      </c>
      <c r="E2141" s="154" t="n">
        <v>1.25997</v>
      </c>
      <c r="F2141" s="149" t="n">
        <f aca="false">IF(C2141="MAT.",VLOOKUP(A2141,INSUMOS_AUX!$A$3:$H$813,6,0),0)</f>
        <v>0.59</v>
      </c>
      <c r="G2141" s="149" t="n">
        <f aca="false">IF(C2141="M.O.",VLOOKUP(A2141,INSUMOS_AUX!A:F,6,0),0)</f>
        <v>0</v>
      </c>
    </row>
    <row r="2142" customFormat="false" ht="21" hidden="false" customHeight="false" outlineLevel="0" collapsed="false">
      <c r="A2142" s="154" t="n">
        <v>370</v>
      </c>
      <c r="B2142" s="155" t="s">
        <v>1527</v>
      </c>
      <c r="C2142" s="148" t="str">
        <f aca="false">VLOOKUP($A2142,INSUMOS_AUX!$A$3:$H$813,3,0)</f>
        <v>MAT.</v>
      </c>
      <c r="D2142" s="156" t="s">
        <v>1442</v>
      </c>
      <c r="E2142" s="154" t="n">
        <v>0.02247</v>
      </c>
      <c r="F2142" s="149" t="n">
        <f aca="false">IF(C2142="MAT.",VLOOKUP(A2142,INSUMOS_AUX!$A$3:$H$813,6,0),0)</f>
        <v>150</v>
      </c>
      <c r="G2142" s="149" t="n">
        <f aca="false">IF(C2142="M.O.",VLOOKUP(A2142,INSUMOS_AUX!A:F,6,0),0)</f>
        <v>0</v>
      </c>
    </row>
    <row r="2143" customFormat="false" ht="15" hidden="false" customHeight="false" outlineLevel="0" collapsed="false">
      <c r="A2143" s="154" t="n">
        <v>1379</v>
      </c>
      <c r="B2143" s="155" t="s">
        <v>1535</v>
      </c>
      <c r="C2143" s="148" t="s">
        <v>59</v>
      </c>
      <c r="D2143" s="156" t="s">
        <v>1513</v>
      </c>
      <c r="E2143" s="154" t="n">
        <v>10.14216</v>
      </c>
      <c r="F2143" s="149" t="n">
        <f aca="false">IF(C2143="MAT.",VLOOKUP(A2143,INSUMOS_AUX!$A$3:$H$813,6,0),0)</f>
        <v>0</v>
      </c>
      <c r="G2143" s="149" t="n">
        <f aca="false">IF(C2143="M.O.",VLOOKUP(A2143,INSUMOS_AUX!A:F,6,0),0)</f>
        <v>0</v>
      </c>
    </row>
    <row r="2144" customFormat="false" ht="31.5" hidden="false" customHeight="false" outlineLevel="0" collapsed="false">
      <c r="A2144" s="154" t="n">
        <v>599</v>
      </c>
      <c r="B2144" s="155" t="s">
        <v>1833</v>
      </c>
      <c r="C2144" s="148" t="str">
        <f aca="false">VLOOKUP($A2144,INSUMOS_AUX!$A$3:$H$813,3,0)</f>
        <v>MAT.</v>
      </c>
      <c r="D2144" s="156" t="s">
        <v>1477</v>
      </c>
      <c r="E2144" s="154" t="n">
        <v>0.45</v>
      </c>
      <c r="F2144" s="149" t="n">
        <f aca="false">IF(C2144="MAT.",VLOOKUP(A2144,INSUMOS_AUX!$A$3:$H$813,6,0),0)</f>
        <v>758.76</v>
      </c>
      <c r="G2144" s="149" t="n">
        <f aca="false">IF(C2144="M.O.",VLOOKUP(A2144,INSUMOS_AUX!A:F,6,0),0)</f>
        <v>0</v>
      </c>
    </row>
    <row r="2145" customFormat="false" ht="31.5" hidden="false" customHeight="false" outlineLevel="0" collapsed="false">
      <c r="A2145" s="154" t="n">
        <v>34381</v>
      </c>
      <c r="B2145" s="155" t="s">
        <v>1828</v>
      </c>
      <c r="C2145" s="148" t="str">
        <f aca="false">VLOOKUP($A2145,INSUMOS_AUX!$A$3:$H$813,3,0)</f>
        <v>MAT.</v>
      </c>
      <c r="D2145" s="156" t="s">
        <v>31</v>
      </c>
      <c r="E2145" s="154" t="n">
        <v>0.55</v>
      </c>
      <c r="F2145" s="149" t="n">
        <f aca="false">IF(C2145="MAT.",VLOOKUP(A2145,INSUMOS_AUX!$A$3:$H$813,6,0),0)</f>
        <v>306.37</v>
      </c>
      <c r="G2145" s="149" t="n">
        <f aca="false">IF(C2145="M.O.",VLOOKUP(A2145,INSUMOS_AUX!A:F,6,0),0)</f>
        <v>0</v>
      </c>
    </row>
    <row r="2146" customFormat="false" ht="21" hidden="false" customHeight="false" outlineLevel="0" collapsed="false">
      <c r="A2146" s="154" t="n">
        <v>4377</v>
      </c>
      <c r="B2146" s="155" t="s">
        <v>1829</v>
      </c>
      <c r="C2146" s="148" t="str">
        <f aca="false">VLOOKUP($A2146,INSUMOS_AUX!$A$3:$H$813,3,0)</f>
        <v>MAT.</v>
      </c>
      <c r="D2146" s="156" t="s">
        <v>31</v>
      </c>
      <c r="E2146" s="154" t="n">
        <v>17.413</v>
      </c>
      <c r="F2146" s="149" t="n">
        <f aca="false">IF(C2146="MAT.",VLOOKUP(A2146,INSUMOS_AUX!$A$3:$H$813,6,0),0)</f>
        <v>0.2</v>
      </c>
      <c r="G2146" s="149" t="n">
        <f aca="false">IF(C2146="M.O.",VLOOKUP(A2146,INSUMOS_AUX!A:F,6,0),0)</f>
        <v>0</v>
      </c>
    </row>
    <row r="2147" customFormat="false" ht="15" hidden="false" customHeight="false" outlineLevel="0" collapsed="false">
      <c r="A2147" s="154" t="n">
        <v>39961</v>
      </c>
      <c r="B2147" s="155" t="s">
        <v>1777</v>
      </c>
      <c r="C2147" s="148" t="str">
        <f aca="false">VLOOKUP($A2147,INSUMOS_AUX!$A$3:$H$813,3,0)</f>
        <v>MAT.</v>
      </c>
      <c r="D2147" s="156" t="s">
        <v>31</v>
      </c>
      <c r="E2147" s="154" t="n">
        <v>0.424</v>
      </c>
      <c r="F2147" s="149" t="n">
        <f aca="false">IF(C2147="MAT.",VLOOKUP(A2147,INSUMOS_AUX!$A$3:$H$813,6,0),0)</f>
        <v>21.51</v>
      </c>
      <c r="G2147" s="149" t="n">
        <f aca="false">IF(C2147="M.O.",VLOOKUP(A2147,INSUMOS_AUX!A:F,6,0),0)</f>
        <v>0</v>
      </c>
    </row>
    <row r="2148" customFormat="false" ht="15" hidden="false" customHeight="false" outlineLevel="0" collapsed="false">
      <c r="A2148" s="154" t="n">
        <v>4750</v>
      </c>
      <c r="B2148" s="155" t="s">
        <v>1463</v>
      </c>
      <c r="C2148" s="148" t="str">
        <f aca="false">VLOOKUP($A2148,INSUMOS_AUX!$A$3:$H$813,3,0)</f>
        <v>M.O.</v>
      </c>
      <c r="D2148" s="156" t="s">
        <v>1444</v>
      </c>
      <c r="E2148" s="154" t="n">
        <v>0.735264</v>
      </c>
      <c r="F2148" s="149" t="n">
        <f aca="false">IF(C2148="MAT.",VLOOKUP(A2148,INSUMOS_AUX!$A$3:$H$813,6,0),0)</f>
        <v>0</v>
      </c>
      <c r="G2148" s="149" t="n">
        <f aca="false">IF(C2148="M.O.",VLOOKUP(A2148,INSUMOS_AUX!A:F,6,0),0)</f>
        <v>20.22</v>
      </c>
    </row>
    <row r="2149" customFormat="false" ht="15" hidden="false" customHeight="false" outlineLevel="0" collapsed="false">
      <c r="A2149" s="154" t="n">
        <v>6111</v>
      </c>
      <c r="B2149" s="155" t="s">
        <v>1464</v>
      </c>
      <c r="C2149" s="148" t="str">
        <f aca="false">VLOOKUP($A2149,INSUMOS_AUX!$A$3:$H$813,3,0)</f>
        <v>M.O.</v>
      </c>
      <c r="D2149" s="156" t="s">
        <v>1444</v>
      </c>
      <c r="E2149" s="154" t="n">
        <v>0.55141736</v>
      </c>
      <c r="F2149" s="149" t="n">
        <f aca="false">IF(C2149="MAT.",VLOOKUP(A2149,INSUMOS_AUX!$A$3:$H$813,6,0),0)</f>
        <v>0</v>
      </c>
      <c r="G2149" s="149" t="n">
        <f aca="false">IF(C2149="M.O.",VLOOKUP(A2149,INSUMOS_AUX!A:F,6,0),0)</f>
        <v>12.95</v>
      </c>
    </row>
    <row r="2150" customFormat="false" ht="31.5" hidden="false" customHeight="false" outlineLevel="0" collapsed="false">
      <c r="A2150" s="150" t="s">
        <v>427</v>
      </c>
      <c r="B2150" s="151" t="s">
        <v>1836</v>
      </c>
      <c r="C2150" s="152" t="s">
        <v>59</v>
      </c>
      <c r="D2150" s="152" t="s">
        <v>1477</v>
      </c>
      <c r="E2150" s="150"/>
      <c r="F2150" s="153" t="n">
        <f aca="false">(SUMPRODUCT($E2151:$E2166,F2151:F2166))*1</f>
        <v>651.107775</v>
      </c>
      <c r="G2150" s="153" t="n">
        <f aca="false">(SUMPRODUCT($E2151:$E2166,G2151:G2166))*1</f>
        <v>22.007892892</v>
      </c>
    </row>
    <row r="2151" customFormat="false" ht="21" hidden="false" customHeight="false" outlineLevel="0" collapsed="false">
      <c r="A2151" s="154" t="n">
        <v>37370</v>
      </c>
      <c r="B2151" s="155" t="s">
        <v>1443</v>
      </c>
      <c r="C2151" s="148" t="str">
        <f aca="false">VLOOKUP($A2151,INSUMOS_AUX!$A$3:$H$813,3,0)</f>
        <v>MAT.</v>
      </c>
      <c r="D2151" s="156" t="s">
        <v>1444</v>
      </c>
      <c r="E2151" s="154" t="n">
        <v>1.25997</v>
      </c>
      <c r="F2151" s="149" t="n">
        <f aca="false">IF(C2151="MAT.",VLOOKUP(A2151,INSUMOS_AUX!$A$3:$H$813,6,0),0)</f>
        <v>3.32</v>
      </c>
      <c r="G2151" s="149" t="n">
        <f aca="false">IF(C2151="M.O.",VLOOKUP(A2151,INSUMOS_AUX!A:F,6,0),0)</f>
        <v>0</v>
      </c>
    </row>
    <row r="2152" customFormat="false" ht="21" hidden="false" customHeight="false" outlineLevel="0" collapsed="false">
      <c r="A2152" s="154" t="n">
        <v>43489</v>
      </c>
      <c r="B2152" s="155" t="s">
        <v>1456</v>
      </c>
      <c r="C2152" s="148" t="str">
        <f aca="false">VLOOKUP($A2152,INSUMOS_AUX!$A$3:$H$813,3,0)</f>
        <v>MAT.</v>
      </c>
      <c r="D2152" s="156" t="s">
        <v>1444</v>
      </c>
      <c r="E2152" s="154" t="n">
        <v>0.72</v>
      </c>
      <c r="F2152" s="149" t="n">
        <f aca="false">IF(C2152="MAT.",VLOOKUP(A2152,INSUMOS_AUX!$A$3:$H$813,6,0),0)</f>
        <v>1.31</v>
      </c>
      <c r="G2152" s="149" t="n">
        <f aca="false">IF(C2152="M.O.",VLOOKUP(A2152,INSUMOS_AUX!A:F,6,0),0)</f>
        <v>0</v>
      </c>
    </row>
    <row r="2153" customFormat="false" ht="21" hidden="false" customHeight="false" outlineLevel="0" collapsed="false">
      <c r="A2153" s="154" t="n">
        <v>43491</v>
      </c>
      <c r="B2153" s="155" t="s">
        <v>1457</v>
      </c>
      <c r="C2153" s="148" t="str">
        <f aca="false">VLOOKUP($A2153,INSUMOS_AUX!$A$3:$H$813,3,0)</f>
        <v>MAT.</v>
      </c>
      <c r="D2153" s="156" t="s">
        <v>1444</v>
      </c>
      <c r="E2153" s="154" t="n">
        <v>0.53997</v>
      </c>
      <c r="F2153" s="149" t="n">
        <f aca="false">IF(C2153="MAT.",VLOOKUP(A2153,INSUMOS_AUX!$A$3:$H$813,6,0),0)</f>
        <v>1.39</v>
      </c>
      <c r="G2153" s="149" t="n">
        <f aca="false">IF(C2153="M.O.",VLOOKUP(A2153,INSUMOS_AUX!A:F,6,0),0)</f>
        <v>0</v>
      </c>
    </row>
    <row r="2154" customFormat="false" ht="21" hidden="false" customHeight="false" outlineLevel="0" collapsed="false">
      <c r="A2154" s="154" t="n">
        <v>37372</v>
      </c>
      <c r="B2154" s="155" t="s">
        <v>1446</v>
      </c>
      <c r="C2154" s="148" t="str">
        <f aca="false">VLOOKUP($A2154,INSUMOS_AUX!$A$3:$H$813,3,0)</f>
        <v>MAT.</v>
      </c>
      <c r="D2154" s="156" t="s">
        <v>1444</v>
      </c>
      <c r="E2154" s="154" t="n">
        <v>1.25997</v>
      </c>
      <c r="F2154" s="149" t="n">
        <f aca="false">IF(C2154="MAT.",VLOOKUP(A2154,INSUMOS_AUX!$A$3:$H$813,6,0),0)</f>
        <v>1.43</v>
      </c>
      <c r="G2154" s="149" t="n">
        <f aca="false">IF(C2154="M.O.",VLOOKUP(A2154,INSUMOS_AUX!A:F,6,0),0)</f>
        <v>0</v>
      </c>
    </row>
    <row r="2155" customFormat="false" ht="21" hidden="false" customHeight="false" outlineLevel="0" collapsed="false">
      <c r="A2155" s="154" t="n">
        <v>43465</v>
      </c>
      <c r="B2155" s="155" t="s">
        <v>1458</v>
      </c>
      <c r="C2155" s="148" t="str">
        <f aca="false">VLOOKUP($A2155,INSUMOS_AUX!$A$3:$H$813,3,0)</f>
        <v>MAT.</v>
      </c>
      <c r="D2155" s="156" t="s">
        <v>1444</v>
      </c>
      <c r="E2155" s="154" t="n">
        <v>0.72</v>
      </c>
      <c r="F2155" s="149" t="n">
        <f aca="false">IF(C2155="MAT.",VLOOKUP(A2155,INSUMOS_AUX!$A$3:$H$813,6,0),0)</f>
        <v>0.78</v>
      </c>
      <c r="G2155" s="149" t="n">
        <f aca="false">IF(C2155="M.O.",VLOOKUP(A2155,INSUMOS_AUX!A:F,6,0),0)</f>
        <v>0</v>
      </c>
    </row>
    <row r="2156" customFormat="false" ht="21" hidden="false" customHeight="false" outlineLevel="0" collapsed="false">
      <c r="A2156" s="154" t="n">
        <v>43467</v>
      </c>
      <c r="B2156" s="155" t="s">
        <v>1459</v>
      </c>
      <c r="C2156" s="148" t="str">
        <f aca="false">VLOOKUP($A2156,INSUMOS_AUX!$A$3:$H$813,3,0)</f>
        <v>MAT.</v>
      </c>
      <c r="D2156" s="156" t="s">
        <v>1444</v>
      </c>
      <c r="E2156" s="154" t="n">
        <v>0.53997</v>
      </c>
      <c r="F2156" s="149" t="n">
        <f aca="false">IF(C2156="MAT.",VLOOKUP(A2156,INSUMOS_AUX!$A$3:$H$813,6,0),0)</f>
        <v>0.61</v>
      </c>
      <c r="G2156" s="149" t="n">
        <f aca="false">IF(C2156="M.O.",VLOOKUP(A2156,INSUMOS_AUX!A:F,6,0),0)</f>
        <v>0</v>
      </c>
    </row>
    <row r="2157" customFormat="false" ht="21" hidden="false" customHeight="false" outlineLevel="0" collapsed="false">
      <c r="A2157" s="154" t="n">
        <v>37373</v>
      </c>
      <c r="B2157" s="155" t="s">
        <v>1448</v>
      </c>
      <c r="C2157" s="148" t="s">
        <v>59</v>
      </c>
      <c r="D2157" s="156" t="s">
        <v>1444</v>
      </c>
      <c r="E2157" s="154" t="n">
        <v>1.25997</v>
      </c>
      <c r="F2157" s="149" t="n">
        <f aca="false">IF(C2157="MAT.",VLOOKUP(A2157,INSUMOS_AUX!$A$3:$H$813,6,0),0)</f>
        <v>0</v>
      </c>
      <c r="G2157" s="149" t="n">
        <f aca="false">IF(C2157="M.O.",VLOOKUP(A2157,INSUMOS_AUX!A:F,6,0),0)</f>
        <v>0</v>
      </c>
    </row>
    <row r="2158" customFormat="false" ht="21" hidden="false" customHeight="false" outlineLevel="0" collapsed="false">
      <c r="A2158" s="154" t="n">
        <v>37371</v>
      </c>
      <c r="B2158" s="155" t="s">
        <v>1449</v>
      </c>
      <c r="C2158" s="148" t="str">
        <f aca="false">VLOOKUP($A2158,INSUMOS_AUX!$A$3:$H$813,3,0)</f>
        <v>MAT.</v>
      </c>
      <c r="D2158" s="156" t="s">
        <v>1444</v>
      </c>
      <c r="E2158" s="154" t="n">
        <v>1.25997</v>
      </c>
      <c r="F2158" s="149" t="n">
        <f aca="false">IF(C2158="MAT.",VLOOKUP(A2158,INSUMOS_AUX!$A$3:$H$813,6,0),0)</f>
        <v>0.59</v>
      </c>
      <c r="G2158" s="149" t="n">
        <f aca="false">IF(C2158="M.O.",VLOOKUP(A2158,INSUMOS_AUX!A:F,6,0),0)</f>
        <v>0</v>
      </c>
    </row>
    <row r="2159" customFormat="false" ht="21" hidden="false" customHeight="false" outlineLevel="0" collapsed="false">
      <c r="A2159" s="154" t="n">
        <v>370</v>
      </c>
      <c r="B2159" s="155" t="s">
        <v>1527</v>
      </c>
      <c r="C2159" s="148" t="str">
        <f aca="false">VLOOKUP($A2159,INSUMOS_AUX!$A$3:$H$813,3,0)</f>
        <v>MAT.</v>
      </c>
      <c r="D2159" s="156" t="s">
        <v>1442</v>
      </c>
      <c r="E2159" s="154" t="n">
        <v>0.02247</v>
      </c>
      <c r="F2159" s="149" t="n">
        <f aca="false">IF(C2159="MAT.",VLOOKUP(A2159,INSUMOS_AUX!$A$3:$H$813,6,0),0)</f>
        <v>150</v>
      </c>
      <c r="G2159" s="149" t="n">
        <f aca="false">IF(C2159="M.O.",VLOOKUP(A2159,INSUMOS_AUX!A:F,6,0),0)</f>
        <v>0</v>
      </c>
    </row>
    <row r="2160" customFormat="false" ht="15" hidden="false" customHeight="false" outlineLevel="0" collapsed="false">
      <c r="A2160" s="154" t="n">
        <v>1379</v>
      </c>
      <c r="B2160" s="155" t="s">
        <v>1535</v>
      </c>
      <c r="C2160" s="148" t="str">
        <f aca="false">VLOOKUP($A2160,INSUMOS_AUX!$A$3:$H$813,3,0)</f>
        <v>MAT.</v>
      </c>
      <c r="D2160" s="156" t="s">
        <v>1513</v>
      </c>
      <c r="E2160" s="154" t="n">
        <v>10.14216</v>
      </c>
      <c r="F2160" s="149" t="n">
        <f aca="false">IF(C2160="MAT.",VLOOKUP(A2160,INSUMOS_AUX!$A$3:$H$813,6,0),0)</f>
        <v>0.72</v>
      </c>
      <c r="G2160" s="149" t="n">
        <f aca="false">IF(C2160="M.O.",VLOOKUP(A2160,INSUMOS_AUX!A:F,6,0),0)</f>
        <v>0</v>
      </c>
    </row>
    <row r="2161" customFormat="false" ht="31.5" hidden="false" customHeight="false" outlineLevel="0" collapsed="false">
      <c r="A2161" s="154" t="n">
        <v>599</v>
      </c>
      <c r="B2161" s="155" t="s">
        <v>1833</v>
      </c>
      <c r="C2161" s="148" t="str">
        <f aca="false">VLOOKUP($A2161,INSUMOS_AUX!$A$3:$H$813,3,0)</f>
        <v>MAT.</v>
      </c>
      <c r="D2161" s="156" t="s">
        <v>1477</v>
      </c>
      <c r="E2161" s="154" t="n">
        <v>0.69</v>
      </c>
      <c r="F2161" s="149" t="n">
        <f aca="false">IF(C2161="MAT.",VLOOKUP(A2161,INSUMOS_AUX!$A$3:$H$813,6,0),0)</f>
        <v>758.76</v>
      </c>
      <c r="G2161" s="149" t="n">
        <f aca="false">IF(C2161="M.O.",VLOOKUP(A2161,INSUMOS_AUX!A:F,6,0),0)</f>
        <v>0</v>
      </c>
    </row>
    <row r="2162" customFormat="false" ht="31.5" hidden="false" customHeight="false" outlineLevel="0" collapsed="false">
      <c r="A2162" s="154" t="n">
        <v>34381</v>
      </c>
      <c r="B2162" s="155" t="s">
        <v>1828</v>
      </c>
      <c r="C2162" s="148" t="str">
        <f aca="false">VLOOKUP($A2162,INSUMOS_AUX!$A$3:$H$813,3,0)</f>
        <v>MAT.</v>
      </c>
      <c r="D2162" s="156" t="s">
        <v>31</v>
      </c>
      <c r="E2162" s="154" t="n">
        <v>0.31</v>
      </c>
      <c r="F2162" s="149" t="n">
        <f aca="false">IF(C2162="MAT.",VLOOKUP(A2162,INSUMOS_AUX!$A$3:$H$813,6,0),0)</f>
        <v>306.37</v>
      </c>
      <c r="G2162" s="149" t="n">
        <f aca="false">IF(C2162="M.O.",VLOOKUP(A2162,INSUMOS_AUX!A:F,6,0),0)</f>
        <v>0</v>
      </c>
    </row>
    <row r="2163" customFormat="false" ht="21" hidden="false" customHeight="false" outlineLevel="0" collapsed="false">
      <c r="A2163" s="154" t="n">
        <v>4377</v>
      </c>
      <c r="B2163" s="155" t="s">
        <v>1829</v>
      </c>
      <c r="C2163" s="148" t="str">
        <f aca="false">VLOOKUP($A2163,INSUMOS_AUX!$A$3:$H$813,3,0)</f>
        <v>MAT.</v>
      </c>
      <c r="D2163" s="156" t="s">
        <v>31</v>
      </c>
      <c r="E2163" s="154" t="n">
        <v>17.413</v>
      </c>
      <c r="F2163" s="149" t="n">
        <f aca="false">IF(C2163="MAT.",VLOOKUP(A2163,INSUMOS_AUX!$A$3:$H$813,6,0),0)</f>
        <v>0.2</v>
      </c>
      <c r="G2163" s="149" t="n">
        <f aca="false">IF(C2163="M.O.",VLOOKUP(A2163,INSUMOS_AUX!A:F,6,0),0)</f>
        <v>0</v>
      </c>
    </row>
    <row r="2164" customFormat="false" ht="15" hidden="false" customHeight="false" outlineLevel="0" collapsed="false">
      <c r="A2164" s="154" t="n">
        <v>39961</v>
      </c>
      <c r="B2164" s="155" t="s">
        <v>1777</v>
      </c>
      <c r="C2164" s="148" t="str">
        <f aca="false">VLOOKUP($A2164,INSUMOS_AUX!$A$3:$H$813,3,0)</f>
        <v>MAT.</v>
      </c>
      <c r="D2164" s="156" t="s">
        <v>31</v>
      </c>
      <c r="E2164" s="154" t="n">
        <v>0.424</v>
      </c>
      <c r="F2164" s="149" t="n">
        <f aca="false">IF(C2164="MAT.",VLOOKUP(A2164,INSUMOS_AUX!$A$3:$H$813,6,0),0)</f>
        <v>21.51</v>
      </c>
      <c r="G2164" s="149" t="n">
        <f aca="false">IF(C2164="M.O.",VLOOKUP(A2164,INSUMOS_AUX!A:F,6,0),0)</f>
        <v>0</v>
      </c>
    </row>
    <row r="2165" customFormat="false" ht="15" hidden="false" customHeight="false" outlineLevel="0" collapsed="false">
      <c r="A2165" s="154" t="n">
        <v>4750</v>
      </c>
      <c r="B2165" s="155" t="s">
        <v>1463</v>
      </c>
      <c r="C2165" s="148" t="str">
        <f aca="false">VLOOKUP($A2165,INSUMOS_AUX!$A$3:$H$813,3,0)</f>
        <v>M.O.</v>
      </c>
      <c r="D2165" s="156" t="s">
        <v>1444</v>
      </c>
      <c r="E2165" s="154" t="n">
        <v>0.735264</v>
      </c>
      <c r="F2165" s="149" t="n">
        <f aca="false">IF(C2165="MAT.",VLOOKUP(A2165,INSUMOS_AUX!$A$3:$H$813,6,0),0)</f>
        <v>0</v>
      </c>
      <c r="G2165" s="149" t="n">
        <f aca="false">IF(C2165="M.O.",VLOOKUP(A2165,INSUMOS_AUX!A:F,6,0),0)</f>
        <v>20.22</v>
      </c>
    </row>
    <row r="2166" customFormat="false" ht="15" hidden="false" customHeight="false" outlineLevel="0" collapsed="false">
      <c r="A2166" s="154" t="n">
        <v>6111</v>
      </c>
      <c r="B2166" s="155" t="s">
        <v>1464</v>
      </c>
      <c r="C2166" s="148" t="str">
        <f aca="false">VLOOKUP($A2166,INSUMOS_AUX!$A$3:$H$813,3,0)</f>
        <v>M.O.</v>
      </c>
      <c r="D2166" s="156" t="s">
        <v>1444</v>
      </c>
      <c r="E2166" s="154" t="n">
        <v>0.55141736</v>
      </c>
      <c r="F2166" s="149" t="n">
        <f aca="false">IF(C2166="MAT.",VLOOKUP(A2166,INSUMOS_AUX!$A$3:$H$813,6,0),0)</f>
        <v>0</v>
      </c>
      <c r="G2166" s="149" t="n">
        <f aca="false">IF(C2166="M.O.",VLOOKUP(A2166,INSUMOS_AUX!A:F,6,0),0)</f>
        <v>12.95</v>
      </c>
    </row>
    <row r="2167" customFormat="false" ht="31.5" hidden="false" customHeight="false" outlineLevel="0" collapsed="false">
      <c r="A2167" s="150" t="s">
        <v>429</v>
      </c>
      <c r="B2167" s="151" t="s">
        <v>1837</v>
      </c>
      <c r="C2167" s="152" t="s">
        <v>59</v>
      </c>
      <c r="D2167" s="152" t="s">
        <v>1477</v>
      </c>
      <c r="E2167" s="150"/>
      <c r="F2167" s="153" t="n">
        <f aca="false">(SUMPRODUCT($E2168:$E2183,F2168:F2183))*1</f>
        <v>631.3112155</v>
      </c>
      <c r="G2167" s="153" t="n">
        <f aca="false">(SUMPRODUCT($E2168:$E2183,G2168:G2183))*1</f>
        <v>22.007892892</v>
      </c>
    </row>
    <row r="2168" customFormat="false" ht="21" hidden="false" customHeight="false" outlineLevel="0" collapsed="false">
      <c r="A2168" s="154" t="n">
        <v>37370</v>
      </c>
      <c r="B2168" s="155" t="s">
        <v>1443</v>
      </c>
      <c r="C2168" s="148" t="str">
        <f aca="false">VLOOKUP($A2168,INSUMOS_AUX!$A$3:$H$813,3,0)</f>
        <v>MAT.</v>
      </c>
      <c r="D2168" s="156" t="s">
        <v>1444</v>
      </c>
      <c r="E2168" s="154" t="n">
        <v>1.25997</v>
      </c>
      <c r="F2168" s="149" t="n">
        <f aca="false">IF(C2168="MAT.",VLOOKUP(A2168,INSUMOS_AUX!$A$3:$H$813,6,0),0)</f>
        <v>3.32</v>
      </c>
      <c r="G2168" s="149" t="n">
        <f aca="false">IF(C2168="M.O.",VLOOKUP(A2168,INSUMOS_AUX!A:F,6,0),0)</f>
        <v>0</v>
      </c>
    </row>
    <row r="2169" customFormat="false" ht="21" hidden="false" customHeight="false" outlineLevel="0" collapsed="false">
      <c r="A2169" s="154" t="n">
        <v>43489</v>
      </c>
      <c r="B2169" s="155" t="s">
        <v>1456</v>
      </c>
      <c r="C2169" s="148" t="str">
        <f aca="false">VLOOKUP($A2169,INSUMOS_AUX!$A$3:$H$813,3,0)</f>
        <v>MAT.</v>
      </c>
      <c r="D2169" s="156" t="s">
        <v>1444</v>
      </c>
      <c r="E2169" s="154" t="n">
        <v>0.72</v>
      </c>
      <c r="F2169" s="149" t="n">
        <f aca="false">IF(C2169="MAT.",VLOOKUP(A2169,INSUMOS_AUX!$A$3:$H$813,6,0),0)</f>
        <v>1.31</v>
      </c>
      <c r="G2169" s="149" t="n">
        <f aca="false">IF(C2169="M.O.",VLOOKUP(A2169,INSUMOS_AUX!A:F,6,0),0)</f>
        <v>0</v>
      </c>
    </row>
    <row r="2170" customFormat="false" ht="21" hidden="false" customHeight="false" outlineLevel="0" collapsed="false">
      <c r="A2170" s="154" t="n">
        <v>43491</v>
      </c>
      <c r="B2170" s="155" t="s">
        <v>1457</v>
      </c>
      <c r="C2170" s="148" t="str">
        <f aca="false">VLOOKUP($A2170,INSUMOS_AUX!$A$3:$H$813,3,0)</f>
        <v>MAT.</v>
      </c>
      <c r="D2170" s="156" t="s">
        <v>1444</v>
      </c>
      <c r="E2170" s="154" t="n">
        <v>0.53997</v>
      </c>
      <c r="F2170" s="149" t="n">
        <f aca="false">IF(C2170="MAT.",VLOOKUP(A2170,INSUMOS_AUX!$A$3:$H$813,6,0),0)</f>
        <v>1.39</v>
      </c>
      <c r="G2170" s="149" t="n">
        <f aca="false">IF(C2170="M.O.",VLOOKUP(A2170,INSUMOS_AUX!A:F,6,0),0)</f>
        <v>0</v>
      </c>
    </row>
    <row r="2171" customFormat="false" ht="21" hidden="false" customHeight="false" outlineLevel="0" collapsed="false">
      <c r="A2171" s="154" t="n">
        <v>37372</v>
      </c>
      <c r="B2171" s="155" t="s">
        <v>1446</v>
      </c>
      <c r="C2171" s="148" t="s">
        <v>59</v>
      </c>
      <c r="D2171" s="156" t="s">
        <v>1444</v>
      </c>
      <c r="E2171" s="154" t="n">
        <v>1.25997</v>
      </c>
      <c r="F2171" s="149" t="n">
        <f aca="false">IF(C2171="MAT.",VLOOKUP(A2171,INSUMOS_AUX!$A$3:$H$813,6,0),0)</f>
        <v>0</v>
      </c>
      <c r="G2171" s="149" t="n">
        <f aca="false">IF(C2171="M.O.",VLOOKUP(A2171,INSUMOS_AUX!A:F,6,0),0)</f>
        <v>0</v>
      </c>
    </row>
    <row r="2172" customFormat="false" ht="21" hidden="false" customHeight="false" outlineLevel="0" collapsed="false">
      <c r="A2172" s="154" t="n">
        <v>43465</v>
      </c>
      <c r="B2172" s="155" t="s">
        <v>1458</v>
      </c>
      <c r="C2172" s="148" t="str">
        <f aca="false">VLOOKUP($A2172,INSUMOS_AUX!$A$3:$H$813,3,0)</f>
        <v>MAT.</v>
      </c>
      <c r="D2172" s="156" t="s">
        <v>1444</v>
      </c>
      <c r="E2172" s="154" t="n">
        <v>0.72</v>
      </c>
      <c r="F2172" s="149" t="n">
        <f aca="false">IF(C2172="MAT.",VLOOKUP(A2172,INSUMOS_AUX!$A$3:$H$813,6,0),0)</f>
        <v>0.78</v>
      </c>
      <c r="G2172" s="149" t="n">
        <f aca="false">IF(C2172="M.O.",VLOOKUP(A2172,INSUMOS_AUX!A:F,6,0),0)</f>
        <v>0</v>
      </c>
    </row>
    <row r="2173" customFormat="false" ht="21" hidden="false" customHeight="false" outlineLevel="0" collapsed="false">
      <c r="A2173" s="154" t="n">
        <v>43467</v>
      </c>
      <c r="B2173" s="155" t="s">
        <v>1459</v>
      </c>
      <c r="C2173" s="148" t="str">
        <f aca="false">VLOOKUP($A2173,INSUMOS_AUX!$A$3:$H$813,3,0)</f>
        <v>MAT.</v>
      </c>
      <c r="D2173" s="156" t="s">
        <v>1444</v>
      </c>
      <c r="E2173" s="154" t="n">
        <v>0.53997</v>
      </c>
      <c r="F2173" s="149" t="n">
        <f aca="false">IF(C2173="MAT.",VLOOKUP(A2173,INSUMOS_AUX!$A$3:$H$813,6,0),0)</f>
        <v>0.61</v>
      </c>
      <c r="G2173" s="149" t="n">
        <f aca="false">IF(C2173="M.O.",VLOOKUP(A2173,INSUMOS_AUX!A:F,6,0),0)</f>
        <v>0</v>
      </c>
    </row>
    <row r="2174" customFormat="false" ht="21" hidden="false" customHeight="false" outlineLevel="0" collapsed="false">
      <c r="A2174" s="154" t="n">
        <v>37373</v>
      </c>
      <c r="B2174" s="155" t="s">
        <v>1448</v>
      </c>
      <c r="C2174" s="148" t="str">
        <f aca="false">VLOOKUP($A2174,INSUMOS_AUX!$A$3:$H$813,3,0)</f>
        <v>MAT.</v>
      </c>
      <c r="D2174" s="156" t="s">
        <v>1444</v>
      </c>
      <c r="E2174" s="154" t="n">
        <v>1.25997</v>
      </c>
      <c r="F2174" s="149" t="n">
        <f aca="false">IF(C2174="MAT.",VLOOKUP(A2174,INSUMOS_AUX!$A$3:$H$813,6,0),0)</f>
        <v>0.08</v>
      </c>
      <c r="G2174" s="149" t="n">
        <f aca="false">IF(C2174="M.O.",VLOOKUP(A2174,INSUMOS_AUX!A:F,6,0),0)</f>
        <v>0</v>
      </c>
    </row>
    <row r="2175" customFormat="false" ht="21" hidden="false" customHeight="false" outlineLevel="0" collapsed="false">
      <c r="A2175" s="154" t="n">
        <v>37371</v>
      </c>
      <c r="B2175" s="155" t="s">
        <v>1449</v>
      </c>
      <c r="C2175" s="148" t="str">
        <f aca="false">VLOOKUP($A2175,INSUMOS_AUX!$A$3:$H$813,3,0)</f>
        <v>MAT.</v>
      </c>
      <c r="D2175" s="156" t="s">
        <v>1444</v>
      </c>
      <c r="E2175" s="154" t="n">
        <v>1.25997</v>
      </c>
      <c r="F2175" s="149" t="n">
        <f aca="false">IF(C2175="MAT.",VLOOKUP(A2175,INSUMOS_AUX!$A$3:$H$813,6,0),0)</f>
        <v>0.59</v>
      </c>
      <c r="G2175" s="149" t="n">
        <f aca="false">IF(C2175="M.O.",VLOOKUP(A2175,INSUMOS_AUX!A:F,6,0),0)</f>
        <v>0</v>
      </c>
    </row>
    <row r="2176" customFormat="false" ht="21" hidden="false" customHeight="false" outlineLevel="0" collapsed="false">
      <c r="A2176" s="154" t="n">
        <v>370</v>
      </c>
      <c r="B2176" s="155" t="s">
        <v>1527</v>
      </c>
      <c r="C2176" s="148" t="str">
        <f aca="false">VLOOKUP($A2176,INSUMOS_AUX!$A$3:$H$813,3,0)</f>
        <v>MAT.</v>
      </c>
      <c r="D2176" s="156" t="s">
        <v>1442</v>
      </c>
      <c r="E2176" s="154" t="n">
        <v>0.02247</v>
      </c>
      <c r="F2176" s="149" t="n">
        <f aca="false">IF(C2176="MAT.",VLOOKUP(A2176,INSUMOS_AUX!$A$3:$H$813,6,0),0)</f>
        <v>150</v>
      </c>
      <c r="G2176" s="149" t="n">
        <f aca="false">IF(C2176="M.O.",VLOOKUP(A2176,INSUMOS_AUX!A:F,6,0),0)</f>
        <v>0</v>
      </c>
    </row>
    <row r="2177" customFormat="false" ht="15" hidden="false" customHeight="false" outlineLevel="0" collapsed="false">
      <c r="A2177" s="154" t="n">
        <v>1379</v>
      </c>
      <c r="B2177" s="155" t="s">
        <v>1535</v>
      </c>
      <c r="C2177" s="148" t="str">
        <f aca="false">VLOOKUP($A2177,INSUMOS_AUX!$A$3:$H$813,3,0)</f>
        <v>MAT.</v>
      </c>
      <c r="D2177" s="156" t="s">
        <v>1513</v>
      </c>
      <c r="E2177" s="154" t="n">
        <v>10.14216</v>
      </c>
      <c r="F2177" s="149" t="n">
        <f aca="false">IF(C2177="MAT.",VLOOKUP(A2177,INSUMOS_AUX!$A$3:$H$813,6,0),0)</f>
        <v>0.72</v>
      </c>
      <c r="G2177" s="149" t="n">
        <f aca="false">IF(C2177="M.O.",VLOOKUP(A2177,INSUMOS_AUX!A:F,6,0),0)</f>
        <v>0</v>
      </c>
    </row>
    <row r="2178" customFormat="false" ht="31.5" hidden="false" customHeight="false" outlineLevel="0" collapsed="false">
      <c r="A2178" s="154" t="n">
        <v>599</v>
      </c>
      <c r="B2178" s="155" t="s">
        <v>1833</v>
      </c>
      <c r="C2178" s="148" t="str">
        <f aca="false">VLOOKUP($A2178,INSUMOS_AUX!$A$3:$H$813,3,0)</f>
        <v>MAT.</v>
      </c>
      <c r="D2178" s="156" t="s">
        <v>1477</v>
      </c>
      <c r="E2178" s="154" t="n">
        <v>0.65</v>
      </c>
      <c r="F2178" s="149" t="n">
        <f aca="false">IF(C2178="MAT.",VLOOKUP(A2178,INSUMOS_AUX!$A$3:$H$813,6,0),0)</f>
        <v>758.76</v>
      </c>
      <c r="G2178" s="149" t="n">
        <f aca="false">IF(C2178="M.O.",VLOOKUP(A2178,INSUMOS_AUX!A:F,6,0),0)</f>
        <v>0</v>
      </c>
    </row>
    <row r="2179" customFormat="false" ht="31.5" hidden="false" customHeight="false" outlineLevel="0" collapsed="false">
      <c r="A2179" s="154" t="n">
        <v>34381</v>
      </c>
      <c r="B2179" s="155" t="s">
        <v>1828</v>
      </c>
      <c r="C2179" s="148" t="str">
        <f aca="false">VLOOKUP($A2179,INSUMOS_AUX!$A$3:$H$813,3,0)</f>
        <v>MAT.</v>
      </c>
      <c r="D2179" s="156" t="s">
        <v>31</v>
      </c>
      <c r="E2179" s="154" t="n">
        <v>0.35</v>
      </c>
      <c r="F2179" s="149" t="n">
        <f aca="false">IF(C2179="MAT.",VLOOKUP(A2179,INSUMOS_AUX!$A$3:$H$813,6,0),0)</f>
        <v>306.37</v>
      </c>
      <c r="G2179" s="149" t="n">
        <f aca="false">IF(C2179="M.O.",VLOOKUP(A2179,INSUMOS_AUX!A:F,6,0),0)</f>
        <v>0</v>
      </c>
    </row>
    <row r="2180" customFormat="false" ht="21" hidden="false" customHeight="false" outlineLevel="0" collapsed="false">
      <c r="A2180" s="154" t="n">
        <v>4377</v>
      </c>
      <c r="B2180" s="155" t="s">
        <v>1829</v>
      </c>
      <c r="C2180" s="148" t="str">
        <f aca="false">VLOOKUP($A2180,INSUMOS_AUX!$A$3:$H$813,3,0)</f>
        <v>MAT.</v>
      </c>
      <c r="D2180" s="156" t="s">
        <v>31</v>
      </c>
      <c r="E2180" s="154" t="n">
        <v>17.413</v>
      </c>
      <c r="F2180" s="149" t="n">
        <f aca="false">IF(C2180="MAT.",VLOOKUP(A2180,INSUMOS_AUX!$A$3:$H$813,6,0),0)</f>
        <v>0.2</v>
      </c>
      <c r="G2180" s="149" t="n">
        <f aca="false">IF(C2180="M.O.",VLOOKUP(A2180,INSUMOS_AUX!A:F,6,0),0)</f>
        <v>0</v>
      </c>
    </row>
    <row r="2181" customFormat="false" ht="15" hidden="false" customHeight="false" outlineLevel="0" collapsed="false">
      <c r="A2181" s="154" t="n">
        <v>39961</v>
      </c>
      <c r="B2181" s="155" t="s">
        <v>1777</v>
      </c>
      <c r="C2181" s="148" t="str">
        <f aca="false">VLOOKUP($A2181,INSUMOS_AUX!$A$3:$H$813,3,0)</f>
        <v>MAT.</v>
      </c>
      <c r="D2181" s="156" t="s">
        <v>31</v>
      </c>
      <c r="E2181" s="154" t="n">
        <v>0.424</v>
      </c>
      <c r="F2181" s="149" t="n">
        <f aca="false">IF(C2181="MAT.",VLOOKUP(A2181,INSUMOS_AUX!$A$3:$H$813,6,0),0)</f>
        <v>21.51</v>
      </c>
      <c r="G2181" s="149" t="n">
        <f aca="false">IF(C2181="M.O.",VLOOKUP(A2181,INSUMOS_AUX!A:F,6,0),0)</f>
        <v>0</v>
      </c>
    </row>
    <row r="2182" customFormat="false" ht="15" hidden="false" customHeight="false" outlineLevel="0" collapsed="false">
      <c r="A2182" s="154" t="n">
        <v>4750</v>
      </c>
      <c r="B2182" s="155" t="s">
        <v>1463</v>
      </c>
      <c r="C2182" s="148" t="str">
        <f aca="false">VLOOKUP($A2182,INSUMOS_AUX!$A$3:$H$813,3,0)</f>
        <v>M.O.</v>
      </c>
      <c r="D2182" s="156" t="s">
        <v>1444</v>
      </c>
      <c r="E2182" s="154" t="n">
        <v>0.735264</v>
      </c>
      <c r="F2182" s="149" t="n">
        <f aca="false">IF(C2182="MAT.",VLOOKUP(A2182,INSUMOS_AUX!$A$3:$H$813,6,0),0)</f>
        <v>0</v>
      </c>
      <c r="G2182" s="149" t="n">
        <f aca="false">IF(C2182="M.O.",VLOOKUP(A2182,INSUMOS_AUX!A:F,6,0),0)</f>
        <v>20.22</v>
      </c>
    </row>
    <row r="2183" customFormat="false" ht="15" hidden="false" customHeight="false" outlineLevel="0" collapsed="false">
      <c r="A2183" s="154" t="n">
        <v>6111</v>
      </c>
      <c r="B2183" s="155" t="s">
        <v>1464</v>
      </c>
      <c r="C2183" s="148" t="str">
        <f aca="false">VLOOKUP($A2183,INSUMOS_AUX!$A$3:$H$813,3,0)</f>
        <v>M.O.</v>
      </c>
      <c r="D2183" s="156" t="s">
        <v>1444</v>
      </c>
      <c r="E2183" s="154" t="n">
        <v>0.55141736</v>
      </c>
      <c r="F2183" s="149" t="n">
        <f aca="false">IF(C2183="MAT.",VLOOKUP(A2183,INSUMOS_AUX!$A$3:$H$813,6,0),0)</f>
        <v>0</v>
      </c>
      <c r="G2183" s="149" t="n">
        <f aca="false">IF(C2183="M.O.",VLOOKUP(A2183,INSUMOS_AUX!A:F,6,0),0)</f>
        <v>12.95</v>
      </c>
    </row>
    <row r="2184" customFormat="false" ht="31.5" hidden="false" customHeight="false" outlineLevel="0" collapsed="false">
      <c r="A2184" s="150" t="s">
        <v>431</v>
      </c>
      <c r="B2184" s="151" t="s">
        <v>1838</v>
      </c>
      <c r="C2184" s="152" t="s">
        <v>59</v>
      </c>
      <c r="D2184" s="152" t="s">
        <v>1477</v>
      </c>
      <c r="E2184" s="150"/>
      <c r="F2184" s="153" t="n">
        <f aca="false">(SUMPRODUCT($E2185:$E2200,F2185:F2200))*1</f>
        <v>653.6582976</v>
      </c>
      <c r="G2184" s="153" t="n">
        <f aca="false">(SUMPRODUCT($E2185:$E2200,G2185:G2200))*1</f>
        <v>14.86703808</v>
      </c>
    </row>
    <row r="2185" customFormat="false" ht="21" hidden="false" customHeight="false" outlineLevel="0" collapsed="false">
      <c r="A2185" s="154" t="n">
        <v>37370</v>
      </c>
      <c r="B2185" s="155" t="s">
        <v>1443</v>
      </c>
      <c r="C2185" s="148" t="str">
        <f aca="false">VLOOKUP($A2185,INSUMOS_AUX!$A$3:$H$813,3,0)</f>
        <v>MAT.</v>
      </c>
      <c r="D2185" s="156" t="s">
        <v>1444</v>
      </c>
      <c r="E2185" s="154" t="n">
        <v>1.25997</v>
      </c>
      <c r="F2185" s="149" t="n">
        <f aca="false">IF(C2185="MAT.",VLOOKUP(A2185,INSUMOS_AUX!$A$3:$H$813,6,0),0)</f>
        <v>3.32</v>
      </c>
      <c r="G2185" s="149" t="n">
        <f aca="false">IF(C2185="M.O.",VLOOKUP(A2185,INSUMOS_AUX!A:F,6,0),0)</f>
        <v>0</v>
      </c>
    </row>
    <row r="2186" customFormat="false" ht="21" hidden="false" customHeight="false" outlineLevel="0" collapsed="false">
      <c r="A2186" s="154" t="n">
        <v>43489</v>
      </c>
      <c r="B2186" s="155" t="s">
        <v>1456</v>
      </c>
      <c r="C2186" s="148" t="s">
        <v>59</v>
      </c>
      <c r="D2186" s="156" t="s">
        <v>1444</v>
      </c>
      <c r="E2186" s="154" t="n">
        <v>0.72</v>
      </c>
      <c r="F2186" s="149" t="n">
        <f aca="false">IF(C2186="MAT.",VLOOKUP(A2186,INSUMOS_AUX!$A$3:$H$813,6,0),0)</f>
        <v>0</v>
      </c>
      <c r="G2186" s="149" t="n">
        <f aca="false">IF(C2186="M.O.",VLOOKUP(A2186,INSUMOS_AUX!A:F,6,0),0)</f>
        <v>0</v>
      </c>
    </row>
    <row r="2187" customFormat="false" ht="21" hidden="false" customHeight="false" outlineLevel="0" collapsed="false">
      <c r="A2187" s="154" t="n">
        <v>43491</v>
      </c>
      <c r="B2187" s="155" t="s">
        <v>1457</v>
      </c>
      <c r="C2187" s="148" t="str">
        <f aca="false">VLOOKUP($A2187,INSUMOS_AUX!$A$3:$H$813,3,0)</f>
        <v>MAT.</v>
      </c>
      <c r="D2187" s="156" t="s">
        <v>1444</v>
      </c>
      <c r="E2187" s="154" t="n">
        <v>0.53997</v>
      </c>
      <c r="F2187" s="149" t="n">
        <f aca="false">IF(C2187="MAT.",VLOOKUP(A2187,INSUMOS_AUX!$A$3:$H$813,6,0),0)</f>
        <v>1.39</v>
      </c>
      <c r="G2187" s="149" t="n">
        <f aca="false">IF(C2187="M.O.",VLOOKUP(A2187,INSUMOS_AUX!A:F,6,0),0)</f>
        <v>0</v>
      </c>
    </row>
    <row r="2188" customFormat="false" ht="21" hidden="false" customHeight="false" outlineLevel="0" collapsed="false">
      <c r="A2188" s="154" t="n">
        <v>37372</v>
      </c>
      <c r="B2188" s="155" t="s">
        <v>1446</v>
      </c>
      <c r="C2188" s="148" t="str">
        <f aca="false">VLOOKUP($A2188,INSUMOS_AUX!$A$3:$H$813,3,0)</f>
        <v>MAT.</v>
      </c>
      <c r="D2188" s="156" t="s">
        <v>1444</v>
      </c>
      <c r="E2188" s="154" t="n">
        <v>1.25997</v>
      </c>
      <c r="F2188" s="149" t="n">
        <f aca="false">IF(C2188="MAT.",VLOOKUP(A2188,INSUMOS_AUX!$A$3:$H$813,6,0),0)</f>
        <v>1.43</v>
      </c>
      <c r="G2188" s="149" t="n">
        <f aca="false">IF(C2188="M.O.",VLOOKUP(A2188,INSUMOS_AUX!A:F,6,0),0)</f>
        <v>0</v>
      </c>
    </row>
    <row r="2189" customFormat="false" ht="21" hidden="false" customHeight="false" outlineLevel="0" collapsed="false">
      <c r="A2189" s="154" t="n">
        <v>43465</v>
      </c>
      <c r="B2189" s="155" t="s">
        <v>1458</v>
      </c>
      <c r="C2189" s="148" t="str">
        <f aca="false">VLOOKUP($A2189,INSUMOS_AUX!$A$3:$H$813,3,0)</f>
        <v>MAT.</v>
      </c>
      <c r="D2189" s="156" t="s">
        <v>1444</v>
      </c>
      <c r="E2189" s="154" t="n">
        <v>0.72</v>
      </c>
      <c r="F2189" s="149" t="n">
        <f aca="false">IF(C2189="MAT.",VLOOKUP(A2189,INSUMOS_AUX!$A$3:$H$813,6,0),0)</f>
        <v>0.78</v>
      </c>
      <c r="G2189" s="149" t="n">
        <f aca="false">IF(C2189="M.O.",VLOOKUP(A2189,INSUMOS_AUX!A:F,6,0),0)</f>
        <v>0</v>
      </c>
    </row>
    <row r="2190" customFormat="false" ht="21" hidden="false" customHeight="false" outlineLevel="0" collapsed="false">
      <c r="A2190" s="154" t="n">
        <v>43467</v>
      </c>
      <c r="B2190" s="155" t="s">
        <v>1459</v>
      </c>
      <c r="C2190" s="148" t="str">
        <f aca="false">VLOOKUP($A2190,INSUMOS_AUX!$A$3:$H$813,3,0)</f>
        <v>MAT.</v>
      </c>
      <c r="D2190" s="156" t="s">
        <v>1444</v>
      </c>
      <c r="E2190" s="154" t="n">
        <v>0.53997</v>
      </c>
      <c r="F2190" s="149" t="n">
        <f aca="false">IF(C2190="MAT.",VLOOKUP(A2190,INSUMOS_AUX!$A$3:$H$813,6,0),0)</f>
        <v>0.61</v>
      </c>
      <c r="G2190" s="149" t="n">
        <f aca="false">IF(C2190="M.O.",VLOOKUP(A2190,INSUMOS_AUX!A:F,6,0),0)</f>
        <v>0</v>
      </c>
    </row>
    <row r="2191" customFormat="false" ht="21" hidden="false" customHeight="false" outlineLevel="0" collapsed="false">
      <c r="A2191" s="154" t="n">
        <v>37373</v>
      </c>
      <c r="B2191" s="155" t="s">
        <v>1448</v>
      </c>
      <c r="C2191" s="148" t="str">
        <f aca="false">VLOOKUP($A2191,INSUMOS_AUX!$A$3:$H$813,3,0)</f>
        <v>MAT.</v>
      </c>
      <c r="D2191" s="156" t="s">
        <v>1444</v>
      </c>
      <c r="E2191" s="154" t="n">
        <v>1.25997</v>
      </c>
      <c r="F2191" s="149" t="n">
        <f aca="false">IF(C2191="MAT.",VLOOKUP(A2191,INSUMOS_AUX!$A$3:$H$813,6,0),0)</f>
        <v>0.08</v>
      </c>
      <c r="G2191" s="149" t="n">
        <f aca="false">IF(C2191="M.O.",VLOOKUP(A2191,INSUMOS_AUX!A:F,6,0),0)</f>
        <v>0</v>
      </c>
    </row>
    <row r="2192" customFormat="false" ht="21" hidden="false" customHeight="false" outlineLevel="0" collapsed="false">
      <c r="A2192" s="154" t="n">
        <v>37371</v>
      </c>
      <c r="B2192" s="155" t="s">
        <v>1449</v>
      </c>
      <c r="C2192" s="148" t="str">
        <f aca="false">VLOOKUP($A2192,INSUMOS_AUX!$A$3:$H$813,3,0)</f>
        <v>MAT.</v>
      </c>
      <c r="D2192" s="156" t="s">
        <v>1444</v>
      </c>
      <c r="E2192" s="154" t="n">
        <v>1.25997</v>
      </c>
      <c r="F2192" s="149" t="n">
        <f aca="false">IF(C2192="MAT.",VLOOKUP(A2192,INSUMOS_AUX!$A$3:$H$813,6,0),0)</f>
        <v>0.59</v>
      </c>
      <c r="G2192" s="149" t="n">
        <f aca="false">IF(C2192="M.O.",VLOOKUP(A2192,INSUMOS_AUX!A:F,6,0),0)</f>
        <v>0</v>
      </c>
    </row>
    <row r="2193" customFormat="false" ht="21" hidden="false" customHeight="false" outlineLevel="0" collapsed="false">
      <c r="A2193" s="154" t="n">
        <v>370</v>
      </c>
      <c r="B2193" s="155" t="s">
        <v>1527</v>
      </c>
      <c r="C2193" s="148" t="str">
        <f aca="false">VLOOKUP($A2193,INSUMOS_AUX!$A$3:$H$813,3,0)</f>
        <v>MAT.</v>
      </c>
      <c r="D2193" s="156" t="s">
        <v>1442</v>
      </c>
      <c r="E2193" s="154" t="n">
        <v>0.02247</v>
      </c>
      <c r="F2193" s="149" t="n">
        <f aca="false">IF(C2193="MAT.",VLOOKUP(A2193,INSUMOS_AUX!$A$3:$H$813,6,0),0)</f>
        <v>150</v>
      </c>
      <c r="G2193" s="149" t="n">
        <f aca="false">IF(C2193="M.O.",VLOOKUP(A2193,INSUMOS_AUX!A:F,6,0),0)</f>
        <v>0</v>
      </c>
    </row>
    <row r="2194" customFormat="false" ht="15" hidden="false" customHeight="false" outlineLevel="0" collapsed="false">
      <c r="A2194" s="154" t="n">
        <v>1379</v>
      </c>
      <c r="B2194" s="155" t="s">
        <v>1535</v>
      </c>
      <c r="C2194" s="148" t="str">
        <f aca="false">VLOOKUP($A2194,INSUMOS_AUX!$A$3:$H$813,3,0)</f>
        <v>MAT.</v>
      </c>
      <c r="D2194" s="156" t="s">
        <v>1513</v>
      </c>
      <c r="E2194" s="154" t="n">
        <v>10.14216</v>
      </c>
      <c r="F2194" s="149" t="n">
        <f aca="false">IF(C2194="MAT.",VLOOKUP(A2194,INSUMOS_AUX!$A$3:$H$813,6,0),0)</f>
        <v>0.72</v>
      </c>
      <c r="G2194" s="149" t="n">
        <f aca="false">IF(C2194="M.O.",VLOOKUP(A2194,INSUMOS_AUX!A:F,6,0),0)</f>
        <v>0</v>
      </c>
    </row>
    <row r="2195" customFormat="false" ht="31.5" hidden="false" customHeight="false" outlineLevel="0" collapsed="false">
      <c r="A2195" s="154" t="n">
        <v>599</v>
      </c>
      <c r="B2195" s="155" t="s">
        <v>1833</v>
      </c>
      <c r="C2195" s="148" t="str">
        <f aca="false">VLOOKUP($A2195,INSUMOS_AUX!$A$3:$H$813,3,0)</f>
        <v>MAT.</v>
      </c>
      <c r="D2195" s="156" t="s">
        <v>1477</v>
      </c>
      <c r="E2195" s="154" t="n">
        <v>0.6975</v>
      </c>
      <c r="F2195" s="149" t="n">
        <f aca="false">IF(C2195="MAT.",VLOOKUP(A2195,INSUMOS_AUX!$A$3:$H$813,6,0),0)</f>
        <v>758.76</v>
      </c>
      <c r="G2195" s="149" t="n">
        <f aca="false">IF(C2195="M.O.",VLOOKUP(A2195,INSUMOS_AUX!A:F,6,0),0)</f>
        <v>0</v>
      </c>
    </row>
    <row r="2196" customFormat="false" ht="31.5" hidden="false" customHeight="false" outlineLevel="0" collapsed="false">
      <c r="A2196" s="154" t="n">
        <v>34381</v>
      </c>
      <c r="B2196" s="155" t="s">
        <v>1828</v>
      </c>
      <c r="C2196" s="148" t="str">
        <f aca="false">VLOOKUP($A2196,INSUMOS_AUX!$A$3:$H$813,3,0)</f>
        <v>MAT.</v>
      </c>
      <c r="D2196" s="156" t="s">
        <v>31</v>
      </c>
      <c r="E2196" s="154" t="n">
        <v>0.3025</v>
      </c>
      <c r="F2196" s="149" t="n">
        <f aca="false">IF(C2196="MAT.",VLOOKUP(A2196,INSUMOS_AUX!$A$3:$H$813,6,0),0)</f>
        <v>306.37</v>
      </c>
      <c r="G2196" s="149" t="n">
        <f aca="false">IF(C2196="M.O.",VLOOKUP(A2196,INSUMOS_AUX!A:F,6,0),0)</f>
        <v>0</v>
      </c>
    </row>
    <row r="2197" customFormat="false" ht="21" hidden="false" customHeight="false" outlineLevel="0" collapsed="false">
      <c r="A2197" s="154" t="n">
        <v>4377</v>
      </c>
      <c r="B2197" s="155" t="s">
        <v>1829</v>
      </c>
      <c r="C2197" s="148" t="str">
        <f aca="false">VLOOKUP($A2197,INSUMOS_AUX!$A$3:$H$813,3,0)</f>
        <v>MAT.</v>
      </c>
      <c r="D2197" s="156" t="s">
        <v>31</v>
      </c>
      <c r="E2197" s="154" t="n">
        <v>17.413</v>
      </c>
      <c r="F2197" s="149" t="n">
        <f aca="false">IF(C2197="MAT.",VLOOKUP(A2197,INSUMOS_AUX!$A$3:$H$813,6,0),0)</f>
        <v>0.2</v>
      </c>
      <c r="G2197" s="149" t="n">
        <f aca="false">IF(C2197="M.O.",VLOOKUP(A2197,INSUMOS_AUX!A:F,6,0),0)</f>
        <v>0</v>
      </c>
    </row>
    <row r="2198" customFormat="false" ht="15" hidden="false" customHeight="false" outlineLevel="0" collapsed="false">
      <c r="A2198" s="154" t="n">
        <v>39961</v>
      </c>
      <c r="B2198" s="155" t="s">
        <v>1777</v>
      </c>
      <c r="C2198" s="148" t="str">
        <f aca="false">VLOOKUP($A2198,INSUMOS_AUX!$A$3:$H$813,3,0)</f>
        <v>MAT.</v>
      </c>
      <c r="D2198" s="156" t="s">
        <v>31</v>
      </c>
      <c r="E2198" s="154" t="n">
        <v>0.424</v>
      </c>
      <c r="F2198" s="149" t="n">
        <f aca="false">IF(C2198="MAT.",VLOOKUP(A2198,INSUMOS_AUX!$A$3:$H$813,6,0),0)</f>
        <v>21.51</v>
      </c>
      <c r="G2198" s="149" t="n">
        <f aca="false">IF(C2198="M.O.",VLOOKUP(A2198,INSUMOS_AUX!A:F,6,0),0)</f>
        <v>0</v>
      </c>
    </row>
    <row r="2199" customFormat="false" ht="15" hidden="false" customHeight="false" outlineLevel="0" collapsed="false">
      <c r="A2199" s="154" t="n">
        <v>4750</v>
      </c>
      <c r="B2199" s="155" t="s">
        <v>1463</v>
      </c>
      <c r="C2199" s="148" t="str">
        <f aca="false">VLOOKUP($A2199,INSUMOS_AUX!$A$3:$H$813,3,0)</f>
        <v>M.O.</v>
      </c>
      <c r="D2199" s="156" t="s">
        <v>1444</v>
      </c>
      <c r="E2199" s="154" t="n">
        <v>0.735264</v>
      </c>
      <c r="F2199" s="149" t="n">
        <f aca="false">IF(C2199="MAT.",VLOOKUP(A2199,INSUMOS_AUX!$A$3:$H$813,6,0),0)</f>
        <v>0</v>
      </c>
      <c r="G2199" s="149" t="n">
        <f aca="false">IF(C2199="M.O.",VLOOKUP(A2199,INSUMOS_AUX!A:F,6,0),0)</f>
        <v>20.22</v>
      </c>
    </row>
    <row r="2200" customFormat="false" ht="15" hidden="false" customHeight="false" outlineLevel="0" collapsed="false">
      <c r="A2200" s="154" t="n">
        <v>6111</v>
      </c>
      <c r="B2200" s="155" t="s">
        <v>1464</v>
      </c>
      <c r="C2200" s="148" t="s">
        <v>59</v>
      </c>
      <c r="D2200" s="156" t="s">
        <v>1444</v>
      </c>
      <c r="E2200" s="154" t="n">
        <v>0.55141736</v>
      </c>
      <c r="F2200" s="149" t="n">
        <f aca="false">IF(C2200="MAT.",VLOOKUP(A2200,INSUMOS_AUX!$A$3:$H$813,6,0),0)</f>
        <v>0</v>
      </c>
      <c r="G2200" s="149" t="n">
        <f aca="false">IF(C2200="M.O.",VLOOKUP(A2200,INSUMOS_AUX!A:F,6,0),0)</f>
        <v>0</v>
      </c>
    </row>
    <row r="2201" customFormat="false" ht="31.5" hidden="false" customHeight="false" outlineLevel="0" collapsed="false">
      <c r="A2201" s="150" t="s">
        <v>433</v>
      </c>
      <c r="B2201" s="151" t="s">
        <v>1839</v>
      </c>
      <c r="C2201" s="152" t="s">
        <v>59</v>
      </c>
      <c r="D2201" s="152" t="s">
        <v>1477</v>
      </c>
      <c r="E2201" s="150"/>
      <c r="F2201" s="153" t="n">
        <f aca="false">(SUMPRODUCT($E2202:$E2217,F2202:F2217))*1</f>
        <v>655.7324726</v>
      </c>
      <c r="G2201" s="153" t="n">
        <f aca="false">(SUMPRODUCT($E2202:$E2217,G2202:G2217))*1</f>
        <v>14.86703808</v>
      </c>
    </row>
    <row r="2202" customFormat="false" ht="21" hidden="false" customHeight="false" outlineLevel="0" collapsed="false">
      <c r="A2202" s="154" t="n">
        <v>37370</v>
      </c>
      <c r="B2202" s="155" t="s">
        <v>1443</v>
      </c>
      <c r="C2202" s="148" t="str">
        <f aca="false">VLOOKUP($A2202,INSUMOS_AUX!$A$3:$H$813,3,0)</f>
        <v>MAT.</v>
      </c>
      <c r="D2202" s="156" t="s">
        <v>1444</v>
      </c>
      <c r="E2202" s="154" t="n">
        <v>1.25997</v>
      </c>
      <c r="F2202" s="149" t="n">
        <f aca="false">IF(C2202="MAT.",VLOOKUP(A2202,INSUMOS_AUX!$A$3:$H$813,6,0),0)</f>
        <v>3.32</v>
      </c>
      <c r="G2202" s="149" t="n">
        <f aca="false">IF(C2202="M.O.",VLOOKUP(A2202,INSUMOS_AUX!A:F,6,0),0)</f>
        <v>0</v>
      </c>
    </row>
    <row r="2203" customFormat="false" ht="21" hidden="false" customHeight="false" outlineLevel="0" collapsed="false">
      <c r="A2203" s="154" t="n">
        <v>43489</v>
      </c>
      <c r="B2203" s="155" t="s">
        <v>1456</v>
      </c>
      <c r="C2203" s="148" t="str">
        <f aca="false">VLOOKUP($A2203,INSUMOS_AUX!$A$3:$H$813,3,0)</f>
        <v>MAT.</v>
      </c>
      <c r="D2203" s="156" t="s">
        <v>1444</v>
      </c>
      <c r="E2203" s="154" t="n">
        <v>0.72</v>
      </c>
      <c r="F2203" s="149" t="n">
        <f aca="false">IF(C2203="MAT.",VLOOKUP(A2203,INSUMOS_AUX!$A$3:$H$813,6,0),0)</f>
        <v>1.31</v>
      </c>
      <c r="G2203" s="149" t="n">
        <f aca="false">IF(C2203="M.O.",VLOOKUP(A2203,INSUMOS_AUX!A:F,6,0),0)</f>
        <v>0</v>
      </c>
    </row>
    <row r="2204" customFormat="false" ht="21" hidden="false" customHeight="false" outlineLevel="0" collapsed="false">
      <c r="A2204" s="154" t="n">
        <v>43491</v>
      </c>
      <c r="B2204" s="155" t="s">
        <v>1457</v>
      </c>
      <c r="C2204" s="148" t="str">
        <f aca="false">VLOOKUP($A2204,INSUMOS_AUX!$A$3:$H$813,3,0)</f>
        <v>MAT.</v>
      </c>
      <c r="D2204" s="156" t="s">
        <v>1444</v>
      </c>
      <c r="E2204" s="154" t="n">
        <v>0.53997</v>
      </c>
      <c r="F2204" s="149" t="n">
        <f aca="false">IF(C2204="MAT.",VLOOKUP(A2204,INSUMOS_AUX!$A$3:$H$813,6,0),0)</f>
        <v>1.39</v>
      </c>
      <c r="G2204" s="149" t="n">
        <f aca="false">IF(C2204="M.O.",VLOOKUP(A2204,INSUMOS_AUX!A:F,6,0),0)</f>
        <v>0</v>
      </c>
    </row>
    <row r="2205" customFormat="false" ht="21" hidden="false" customHeight="false" outlineLevel="0" collapsed="false">
      <c r="A2205" s="154" t="n">
        <v>37372</v>
      </c>
      <c r="B2205" s="155" t="s">
        <v>1446</v>
      </c>
      <c r="C2205" s="148" t="str">
        <f aca="false">VLOOKUP($A2205,INSUMOS_AUX!$A$3:$H$813,3,0)</f>
        <v>MAT.</v>
      </c>
      <c r="D2205" s="156" t="s">
        <v>1444</v>
      </c>
      <c r="E2205" s="154" t="n">
        <v>1.25997</v>
      </c>
      <c r="F2205" s="149" t="n">
        <f aca="false">IF(C2205="MAT.",VLOOKUP(A2205,INSUMOS_AUX!$A$3:$H$813,6,0),0)</f>
        <v>1.43</v>
      </c>
      <c r="G2205" s="149" t="n">
        <f aca="false">IF(C2205="M.O.",VLOOKUP(A2205,INSUMOS_AUX!A:F,6,0),0)</f>
        <v>0</v>
      </c>
    </row>
    <row r="2206" customFormat="false" ht="21" hidden="false" customHeight="false" outlineLevel="0" collapsed="false">
      <c r="A2206" s="154" t="n">
        <v>43465</v>
      </c>
      <c r="B2206" s="155" t="s">
        <v>1458</v>
      </c>
      <c r="C2206" s="148" t="str">
        <f aca="false">VLOOKUP($A2206,INSUMOS_AUX!$A$3:$H$813,3,0)</f>
        <v>MAT.</v>
      </c>
      <c r="D2206" s="156" t="s">
        <v>1444</v>
      </c>
      <c r="E2206" s="154" t="n">
        <v>0.72</v>
      </c>
      <c r="F2206" s="149" t="n">
        <f aca="false">IF(C2206="MAT.",VLOOKUP(A2206,INSUMOS_AUX!$A$3:$H$813,6,0),0)</f>
        <v>0.78</v>
      </c>
      <c r="G2206" s="149" t="n">
        <f aca="false">IF(C2206="M.O.",VLOOKUP(A2206,INSUMOS_AUX!A:F,6,0),0)</f>
        <v>0</v>
      </c>
    </row>
    <row r="2207" customFormat="false" ht="21" hidden="false" customHeight="false" outlineLevel="0" collapsed="false">
      <c r="A2207" s="154" t="n">
        <v>43467</v>
      </c>
      <c r="B2207" s="155" t="s">
        <v>1459</v>
      </c>
      <c r="C2207" s="148" t="str">
        <f aca="false">VLOOKUP($A2207,INSUMOS_AUX!$A$3:$H$813,3,0)</f>
        <v>MAT.</v>
      </c>
      <c r="D2207" s="156" t="s">
        <v>1444</v>
      </c>
      <c r="E2207" s="154" t="n">
        <v>0.53997</v>
      </c>
      <c r="F2207" s="149" t="n">
        <f aca="false">IF(C2207="MAT.",VLOOKUP(A2207,INSUMOS_AUX!$A$3:$H$813,6,0),0)</f>
        <v>0.61</v>
      </c>
      <c r="G2207" s="149" t="n">
        <f aca="false">IF(C2207="M.O.",VLOOKUP(A2207,INSUMOS_AUX!A:F,6,0),0)</f>
        <v>0</v>
      </c>
    </row>
    <row r="2208" customFormat="false" ht="21" hidden="false" customHeight="false" outlineLevel="0" collapsed="false">
      <c r="A2208" s="154" t="n">
        <v>37373</v>
      </c>
      <c r="B2208" s="155" t="s">
        <v>1448</v>
      </c>
      <c r="C2208" s="148" t="str">
        <f aca="false">VLOOKUP($A2208,INSUMOS_AUX!$A$3:$H$813,3,0)</f>
        <v>MAT.</v>
      </c>
      <c r="D2208" s="156" t="s">
        <v>1444</v>
      </c>
      <c r="E2208" s="154" t="n">
        <v>1.25997</v>
      </c>
      <c r="F2208" s="149" t="n">
        <f aca="false">IF(C2208="MAT.",VLOOKUP(A2208,INSUMOS_AUX!$A$3:$H$813,6,0),0)</f>
        <v>0.08</v>
      </c>
      <c r="G2208" s="149" t="n">
        <f aca="false">IF(C2208="M.O.",VLOOKUP(A2208,INSUMOS_AUX!A:F,6,0),0)</f>
        <v>0</v>
      </c>
    </row>
    <row r="2209" customFormat="false" ht="21" hidden="false" customHeight="false" outlineLevel="0" collapsed="false">
      <c r="A2209" s="154" t="n">
        <v>37371</v>
      </c>
      <c r="B2209" s="155" t="s">
        <v>1449</v>
      </c>
      <c r="C2209" s="148" t="str">
        <f aca="false">VLOOKUP($A2209,INSUMOS_AUX!$A$3:$H$813,3,0)</f>
        <v>MAT.</v>
      </c>
      <c r="D2209" s="156" t="s">
        <v>1444</v>
      </c>
      <c r="E2209" s="154" t="n">
        <v>1.25997</v>
      </c>
      <c r="F2209" s="149" t="n">
        <f aca="false">IF(C2209="MAT.",VLOOKUP(A2209,INSUMOS_AUX!$A$3:$H$813,6,0),0)</f>
        <v>0.59</v>
      </c>
      <c r="G2209" s="149" t="n">
        <f aca="false">IF(C2209="M.O.",VLOOKUP(A2209,INSUMOS_AUX!A:F,6,0),0)</f>
        <v>0</v>
      </c>
    </row>
    <row r="2210" customFormat="false" ht="21" hidden="false" customHeight="false" outlineLevel="0" collapsed="false">
      <c r="A2210" s="154" t="n">
        <v>370</v>
      </c>
      <c r="B2210" s="155" t="s">
        <v>1527</v>
      </c>
      <c r="C2210" s="148" t="str">
        <f aca="false">VLOOKUP($A2210,INSUMOS_AUX!$A$3:$H$813,3,0)</f>
        <v>MAT.</v>
      </c>
      <c r="D2210" s="156" t="s">
        <v>1442</v>
      </c>
      <c r="E2210" s="154" t="n">
        <v>0.02247</v>
      </c>
      <c r="F2210" s="149" t="n">
        <f aca="false">IF(C2210="MAT.",VLOOKUP(A2210,INSUMOS_AUX!$A$3:$H$813,6,0),0)</f>
        <v>150</v>
      </c>
      <c r="G2210" s="149" t="n">
        <f aca="false">IF(C2210="M.O.",VLOOKUP(A2210,INSUMOS_AUX!A:F,6,0),0)</f>
        <v>0</v>
      </c>
    </row>
    <row r="2211" customFormat="false" ht="15" hidden="false" customHeight="false" outlineLevel="0" collapsed="false">
      <c r="A2211" s="154" t="n">
        <v>1379</v>
      </c>
      <c r="B2211" s="155" t="s">
        <v>1535</v>
      </c>
      <c r="C2211" s="148" t="str">
        <f aca="false">VLOOKUP($A2211,INSUMOS_AUX!$A$3:$H$813,3,0)</f>
        <v>MAT.</v>
      </c>
      <c r="D2211" s="156" t="s">
        <v>1513</v>
      </c>
      <c r="E2211" s="154" t="n">
        <v>10.14216</v>
      </c>
      <c r="F2211" s="149" t="n">
        <f aca="false">IF(C2211="MAT.",VLOOKUP(A2211,INSUMOS_AUX!$A$3:$H$813,6,0),0)</f>
        <v>0.72</v>
      </c>
      <c r="G2211" s="149" t="n">
        <f aca="false">IF(C2211="M.O.",VLOOKUP(A2211,INSUMOS_AUX!A:F,6,0),0)</f>
        <v>0</v>
      </c>
    </row>
    <row r="2212" customFormat="false" ht="31.5" hidden="false" customHeight="false" outlineLevel="0" collapsed="false">
      <c r="A2212" s="154" t="n">
        <v>599</v>
      </c>
      <c r="B2212" s="155" t="s">
        <v>1833</v>
      </c>
      <c r="C2212" s="148" t="str">
        <f aca="false">VLOOKUP($A2212,INSUMOS_AUX!$A$3:$H$813,3,0)</f>
        <v>MAT.</v>
      </c>
      <c r="D2212" s="156" t="s">
        <v>1477</v>
      </c>
      <c r="E2212" s="154" t="n">
        <v>0.7</v>
      </c>
      <c r="F2212" s="149" t="n">
        <f aca="false">IF(C2212="MAT.",VLOOKUP(A2212,INSUMOS_AUX!$A$3:$H$813,6,0),0)</f>
        <v>758.76</v>
      </c>
      <c r="G2212" s="149" t="n">
        <f aca="false">IF(C2212="M.O.",VLOOKUP(A2212,INSUMOS_AUX!A:F,6,0),0)</f>
        <v>0</v>
      </c>
    </row>
    <row r="2213" customFormat="false" ht="31.5" hidden="false" customHeight="false" outlineLevel="0" collapsed="false">
      <c r="A2213" s="154" t="n">
        <v>34381</v>
      </c>
      <c r="B2213" s="155" t="s">
        <v>1828</v>
      </c>
      <c r="C2213" s="148" t="str">
        <f aca="false">VLOOKUP($A2213,INSUMOS_AUX!$A$3:$H$813,3,0)</f>
        <v>MAT.</v>
      </c>
      <c r="D2213" s="156" t="s">
        <v>31</v>
      </c>
      <c r="E2213" s="154" t="n">
        <v>0.3</v>
      </c>
      <c r="F2213" s="149" t="n">
        <f aca="false">IF(C2213="MAT.",VLOOKUP(A2213,INSUMOS_AUX!$A$3:$H$813,6,0),0)</f>
        <v>306.37</v>
      </c>
      <c r="G2213" s="149" t="n">
        <f aca="false">IF(C2213="M.O.",VLOOKUP(A2213,INSUMOS_AUX!A:F,6,0),0)</f>
        <v>0</v>
      </c>
    </row>
    <row r="2214" customFormat="false" ht="21" hidden="false" customHeight="false" outlineLevel="0" collapsed="false">
      <c r="A2214" s="154" t="n">
        <v>4377</v>
      </c>
      <c r="B2214" s="155" t="s">
        <v>1829</v>
      </c>
      <c r="C2214" s="148" t="str">
        <f aca="false">VLOOKUP($A2214,INSUMOS_AUX!$A$3:$H$813,3,0)</f>
        <v>MAT.</v>
      </c>
      <c r="D2214" s="156" t="s">
        <v>31</v>
      </c>
      <c r="E2214" s="154" t="n">
        <v>17.413</v>
      </c>
      <c r="F2214" s="149" t="n">
        <f aca="false">IF(C2214="MAT.",VLOOKUP(A2214,INSUMOS_AUX!$A$3:$H$813,6,0),0)</f>
        <v>0.2</v>
      </c>
      <c r="G2214" s="149" t="n">
        <f aca="false">IF(C2214="M.O.",VLOOKUP(A2214,INSUMOS_AUX!A:F,6,0),0)</f>
        <v>0</v>
      </c>
    </row>
    <row r="2215" customFormat="false" ht="15" hidden="false" customHeight="false" outlineLevel="0" collapsed="false">
      <c r="A2215" s="154" t="n">
        <v>39961</v>
      </c>
      <c r="B2215" s="155" t="s">
        <v>1777</v>
      </c>
      <c r="C2215" s="148" t="str">
        <f aca="false">VLOOKUP($A2215,INSUMOS_AUX!$A$3:$H$813,3,0)</f>
        <v>MAT.</v>
      </c>
      <c r="D2215" s="156" t="s">
        <v>31</v>
      </c>
      <c r="E2215" s="154" t="n">
        <v>0.424</v>
      </c>
      <c r="F2215" s="149" t="n">
        <f aca="false">IF(C2215="MAT.",VLOOKUP(A2215,INSUMOS_AUX!$A$3:$H$813,6,0),0)</f>
        <v>21.51</v>
      </c>
      <c r="G2215" s="149" t="n">
        <f aca="false">IF(C2215="M.O.",VLOOKUP(A2215,INSUMOS_AUX!A:F,6,0),0)</f>
        <v>0</v>
      </c>
    </row>
    <row r="2216" customFormat="false" ht="15" hidden="false" customHeight="false" outlineLevel="0" collapsed="false">
      <c r="A2216" s="154" t="n">
        <v>4750</v>
      </c>
      <c r="B2216" s="155" t="s">
        <v>1463</v>
      </c>
      <c r="C2216" s="148" t="str">
        <f aca="false">VLOOKUP($A2216,INSUMOS_AUX!$A$3:$H$813,3,0)</f>
        <v>M.O.</v>
      </c>
      <c r="D2216" s="156" t="s">
        <v>1444</v>
      </c>
      <c r="E2216" s="154" t="n">
        <v>0.735264</v>
      </c>
      <c r="F2216" s="149" t="n">
        <f aca="false">IF(C2216="MAT.",VLOOKUP(A2216,INSUMOS_AUX!$A$3:$H$813,6,0),0)</f>
        <v>0</v>
      </c>
      <c r="G2216" s="149" t="n">
        <f aca="false">IF(C2216="M.O.",VLOOKUP(A2216,INSUMOS_AUX!A:F,6,0),0)</f>
        <v>20.22</v>
      </c>
    </row>
    <row r="2217" customFormat="false" ht="15" hidden="false" customHeight="false" outlineLevel="0" collapsed="false">
      <c r="A2217" s="154" t="n">
        <v>6111</v>
      </c>
      <c r="B2217" s="155" t="s">
        <v>1464</v>
      </c>
      <c r="C2217" s="148" t="s">
        <v>59</v>
      </c>
      <c r="D2217" s="156" t="s">
        <v>1444</v>
      </c>
      <c r="E2217" s="154" t="n">
        <v>0.55141736</v>
      </c>
      <c r="F2217" s="149" t="n">
        <f aca="false">IF(C2217="MAT.",VLOOKUP(A2217,INSUMOS_AUX!$A$3:$H$813,6,0),0)</f>
        <v>0</v>
      </c>
      <c r="G2217" s="149" t="n">
        <f aca="false">IF(C2217="M.O.",VLOOKUP(A2217,INSUMOS_AUX!A:F,6,0),0)</f>
        <v>0</v>
      </c>
    </row>
    <row r="2218" customFormat="false" ht="52.5" hidden="false" customHeight="false" outlineLevel="0" collapsed="false">
      <c r="A2218" s="150" t="n">
        <v>90843</v>
      </c>
      <c r="B2218" s="151" t="s">
        <v>1840</v>
      </c>
      <c r="C2218" s="152" t="s">
        <v>59</v>
      </c>
      <c r="D2218" s="152" t="s">
        <v>31</v>
      </c>
      <c r="E2218" s="150"/>
      <c r="F2218" s="153" t="n">
        <f aca="false">(SUMPRODUCT($E2219:$E2244,F2219:F2244))*1</f>
        <v>771.81654138</v>
      </c>
      <c r="G2218" s="153" t="n">
        <f aca="false">(SUMPRODUCT($E2219:$E2244,G2219:G2244))*1</f>
        <v>208.58926779034</v>
      </c>
    </row>
    <row r="2219" customFormat="false" ht="21" hidden="false" customHeight="false" outlineLevel="0" collapsed="false">
      <c r="A2219" s="154" t="n">
        <v>37370</v>
      </c>
      <c r="B2219" s="155" t="s">
        <v>1443</v>
      </c>
      <c r="C2219" s="148" t="str">
        <f aca="false">VLOOKUP($A2219,INSUMOS_AUX!$A$3:$H$813,3,0)</f>
        <v>MAT.</v>
      </c>
      <c r="D2219" s="156" t="s">
        <v>1444</v>
      </c>
      <c r="E2219" s="154" t="n">
        <v>12.002111</v>
      </c>
      <c r="F2219" s="149" t="n">
        <f aca="false">IF(C2219="MAT.",VLOOKUP(A2219,INSUMOS_AUX!$A$3:$H$813,6,0),0)</f>
        <v>3.32</v>
      </c>
      <c r="G2219" s="149" t="n">
        <f aca="false">IF(C2219="M.O.",VLOOKUP(A2219,INSUMOS_AUX!A:F,6,0),0)</f>
        <v>0</v>
      </c>
    </row>
    <row r="2220" customFormat="false" ht="21" hidden="false" customHeight="false" outlineLevel="0" collapsed="false">
      <c r="A2220" s="154" t="n">
        <v>43483</v>
      </c>
      <c r="B2220" s="155" t="s">
        <v>1486</v>
      </c>
      <c r="C2220" s="148" t="str">
        <f aca="false">VLOOKUP($A2220,INSUMOS_AUX!$A$3:$H$813,3,0)</f>
        <v>MAT.</v>
      </c>
      <c r="D2220" s="156" t="s">
        <v>1444</v>
      </c>
      <c r="E2220" s="154" t="n">
        <v>6.521</v>
      </c>
      <c r="F2220" s="149" t="n">
        <f aca="false">IF(C2220="MAT.",VLOOKUP(A2220,INSUMOS_AUX!$A$3:$H$813,6,0),0)</f>
        <v>1.43</v>
      </c>
      <c r="G2220" s="149" t="n">
        <f aca="false">IF(C2220="M.O.",VLOOKUP(A2220,INSUMOS_AUX!A:F,6,0),0)</f>
        <v>0</v>
      </c>
    </row>
    <row r="2221" customFormat="false" ht="21" hidden="false" customHeight="false" outlineLevel="0" collapsed="false">
      <c r="A2221" s="154" t="n">
        <v>43489</v>
      </c>
      <c r="B2221" s="155" t="s">
        <v>1456</v>
      </c>
      <c r="C2221" s="148" t="str">
        <f aca="false">VLOOKUP($A2221,INSUMOS_AUX!$A$3:$H$813,3,0)</f>
        <v>MAT.</v>
      </c>
      <c r="D2221" s="156" t="s">
        <v>1444</v>
      </c>
      <c r="E2221" s="154" t="n">
        <v>1.362</v>
      </c>
      <c r="F2221" s="149" t="n">
        <f aca="false">IF(C2221="MAT.",VLOOKUP(A2221,INSUMOS_AUX!$A$3:$H$813,6,0),0)</f>
        <v>1.31</v>
      </c>
      <c r="G2221" s="149" t="n">
        <f aca="false">IF(C2221="M.O.",VLOOKUP(A2221,INSUMOS_AUX!A:F,6,0),0)</f>
        <v>0</v>
      </c>
    </row>
    <row r="2222" customFormat="false" ht="21" hidden="false" customHeight="false" outlineLevel="0" collapsed="false">
      <c r="A2222" s="154" t="n">
        <v>43491</v>
      </c>
      <c r="B2222" s="155" t="s">
        <v>1457</v>
      </c>
      <c r="C2222" s="148" t="str">
        <f aca="false">VLOOKUP($A2222,INSUMOS_AUX!$A$3:$H$813,3,0)</f>
        <v>MAT.</v>
      </c>
      <c r="D2222" s="156" t="s">
        <v>1444</v>
      </c>
      <c r="E2222" s="154" t="n">
        <v>4.119111</v>
      </c>
      <c r="F2222" s="149" t="n">
        <f aca="false">IF(C2222="MAT.",VLOOKUP(A2222,INSUMOS_AUX!$A$3:$H$813,6,0),0)</f>
        <v>1.39</v>
      </c>
      <c r="G2222" s="149" t="n">
        <f aca="false">IF(C2222="M.O.",VLOOKUP(A2222,INSUMOS_AUX!A:F,6,0),0)</f>
        <v>0</v>
      </c>
    </row>
    <row r="2223" customFormat="false" ht="21" hidden="false" customHeight="false" outlineLevel="0" collapsed="false">
      <c r="A2223" s="154" t="n">
        <v>37372</v>
      </c>
      <c r="B2223" s="155" t="s">
        <v>1446</v>
      </c>
      <c r="C2223" s="148" t="str">
        <f aca="false">VLOOKUP($A2223,INSUMOS_AUX!$A$3:$H$813,3,0)</f>
        <v>MAT.</v>
      </c>
      <c r="D2223" s="156" t="s">
        <v>1444</v>
      </c>
      <c r="E2223" s="154" t="n">
        <v>12.002111</v>
      </c>
      <c r="F2223" s="149" t="n">
        <f aca="false">IF(C2223="MAT.",VLOOKUP(A2223,INSUMOS_AUX!$A$3:$H$813,6,0),0)</f>
        <v>1.43</v>
      </c>
      <c r="G2223" s="149" t="n">
        <f aca="false">IF(C2223="M.O.",VLOOKUP(A2223,INSUMOS_AUX!A:F,6,0),0)</f>
        <v>0</v>
      </c>
    </row>
    <row r="2224" customFormat="false" ht="21" hidden="false" customHeight="false" outlineLevel="0" collapsed="false">
      <c r="A2224" s="154" t="n">
        <v>43459</v>
      </c>
      <c r="B2224" s="155" t="s">
        <v>1487</v>
      </c>
      <c r="C2224" s="148" t="str">
        <f aca="false">VLOOKUP($A2224,INSUMOS_AUX!$A$3:$H$813,3,0)</f>
        <v>MAT.</v>
      </c>
      <c r="D2224" s="156" t="s">
        <v>1444</v>
      </c>
      <c r="E2224" s="154" t="n">
        <v>6.521</v>
      </c>
      <c r="F2224" s="149" t="n">
        <f aca="false">IF(C2224="MAT.",VLOOKUP(A2224,INSUMOS_AUX!$A$3:$H$813,6,0),0)</f>
        <v>0.44</v>
      </c>
      <c r="G2224" s="149" t="n">
        <f aca="false">IF(C2224="M.O.",VLOOKUP(A2224,INSUMOS_AUX!A:F,6,0),0)</f>
        <v>0</v>
      </c>
    </row>
    <row r="2225" customFormat="false" ht="21" hidden="false" customHeight="false" outlineLevel="0" collapsed="false">
      <c r="A2225" s="154" t="n">
        <v>43465</v>
      </c>
      <c r="B2225" s="155" t="s">
        <v>1458</v>
      </c>
      <c r="C2225" s="148" t="str">
        <f aca="false">VLOOKUP($A2225,INSUMOS_AUX!$A$3:$H$813,3,0)</f>
        <v>MAT.</v>
      </c>
      <c r="D2225" s="156" t="s">
        <v>1444</v>
      </c>
      <c r="E2225" s="154" t="n">
        <v>1.362</v>
      </c>
      <c r="F2225" s="149" t="n">
        <f aca="false">IF(C2225="MAT.",VLOOKUP(A2225,INSUMOS_AUX!$A$3:$H$813,6,0),0)</f>
        <v>0.78</v>
      </c>
      <c r="G2225" s="149" t="n">
        <f aca="false">IF(C2225="M.O.",VLOOKUP(A2225,INSUMOS_AUX!A:F,6,0),0)</f>
        <v>0</v>
      </c>
    </row>
    <row r="2226" customFormat="false" ht="21" hidden="false" customHeight="false" outlineLevel="0" collapsed="false">
      <c r="A2226" s="154" t="n">
        <v>43467</v>
      </c>
      <c r="B2226" s="155" t="s">
        <v>1459</v>
      </c>
      <c r="C2226" s="148" t="str">
        <f aca="false">VLOOKUP($A2226,INSUMOS_AUX!$A$3:$H$813,3,0)</f>
        <v>MAT.</v>
      </c>
      <c r="D2226" s="156" t="s">
        <v>1444</v>
      </c>
      <c r="E2226" s="154" t="n">
        <v>4.119111</v>
      </c>
      <c r="F2226" s="149" t="n">
        <f aca="false">IF(C2226="MAT.",VLOOKUP(A2226,INSUMOS_AUX!$A$3:$H$813,6,0),0)</f>
        <v>0.61</v>
      </c>
      <c r="G2226" s="149" t="n">
        <f aca="false">IF(C2226="M.O.",VLOOKUP(A2226,INSUMOS_AUX!A:F,6,0),0)</f>
        <v>0</v>
      </c>
    </row>
    <row r="2227" customFormat="false" ht="21" hidden="false" customHeight="false" outlineLevel="0" collapsed="false">
      <c r="A2227" s="154" t="n">
        <v>37373</v>
      </c>
      <c r="B2227" s="155" t="s">
        <v>1448</v>
      </c>
      <c r="C2227" s="148" t="str">
        <f aca="false">VLOOKUP($A2227,INSUMOS_AUX!$A$3:$H$813,3,0)</f>
        <v>MAT.</v>
      </c>
      <c r="D2227" s="156" t="s">
        <v>1444</v>
      </c>
      <c r="E2227" s="154" t="n">
        <v>12.002111</v>
      </c>
      <c r="F2227" s="149" t="n">
        <f aca="false">IF(C2227="MAT.",VLOOKUP(A2227,INSUMOS_AUX!$A$3:$H$813,6,0),0)</f>
        <v>0.08</v>
      </c>
      <c r="G2227" s="149" t="n">
        <f aca="false">IF(C2227="M.O.",VLOOKUP(A2227,INSUMOS_AUX!A:F,6,0),0)</f>
        <v>0</v>
      </c>
    </row>
    <row r="2228" customFormat="false" ht="21" hidden="false" customHeight="false" outlineLevel="0" collapsed="false">
      <c r="A2228" s="154" t="n">
        <v>37371</v>
      </c>
      <c r="B2228" s="155" t="s">
        <v>1449</v>
      </c>
      <c r="C2228" s="148" t="str">
        <f aca="false">VLOOKUP($A2228,INSUMOS_AUX!$A$3:$H$813,3,0)</f>
        <v>MAT.</v>
      </c>
      <c r="D2228" s="156" t="s">
        <v>1444</v>
      </c>
      <c r="E2228" s="154" t="n">
        <v>12.002111</v>
      </c>
      <c r="F2228" s="149" t="n">
        <f aca="false">IF(C2228="MAT.",VLOOKUP(A2228,INSUMOS_AUX!$A$3:$H$813,6,0),0)</f>
        <v>0.59</v>
      </c>
      <c r="G2228" s="149" t="n">
        <f aca="false">IF(C2228="M.O.",VLOOKUP(A2228,INSUMOS_AUX!A:F,6,0),0)</f>
        <v>0</v>
      </c>
    </row>
    <row r="2229" customFormat="false" ht="21" hidden="false" customHeight="false" outlineLevel="0" collapsed="false">
      <c r="A2229" s="154" t="n">
        <v>370</v>
      </c>
      <c r="B2229" s="155" t="s">
        <v>1527</v>
      </c>
      <c r="C2229" s="148" t="str">
        <f aca="false">VLOOKUP($A2229,INSUMOS_AUX!$A$3:$H$813,3,0)</f>
        <v>MAT.</v>
      </c>
      <c r="D2229" s="156" t="s">
        <v>1442</v>
      </c>
      <c r="E2229" s="154" t="n">
        <v>0.023861</v>
      </c>
      <c r="F2229" s="149" t="n">
        <f aca="false">IF(C2229="MAT.",VLOOKUP(A2229,INSUMOS_AUX!$A$3:$H$813,6,0),0)</f>
        <v>150</v>
      </c>
      <c r="G2229" s="149" t="n">
        <f aca="false">IF(C2229="M.O.",VLOOKUP(A2229,INSUMOS_AUX!A:F,6,0),0)</f>
        <v>0</v>
      </c>
    </row>
    <row r="2230" customFormat="false" ht="52.5" hidden="false" customHeight="false" outlineLevel="0" collapsed="false">
      <c r="A2230" s="154" t="n">
        <v>183</v>
      </c>
      <c r="B2230" s="155" t="s">
        <v>1841</v>
      </c>
      <c r="C2230" s="148" t="str">
        <f aca="false">VLOOKUP($A2230,INSUMOS_AUX!$A$3:$H$813,3,0)</f>
        <v>MAT.</v>
      </c>
      <c r="D2230" s="156" t="s">
        <v>1842</v>
      </c>
      <c r="E2230" s="154" t="n">
        <v>1</v>
      </c>
      <c r="F2230" s="149" t="n">
        <f aca="false">IF(C2230="MAT.",VLOOKUP(A2230,INSUMOS_AUX!$A$3:$H$813,6,0),0)</f>
        <v>175</v>
      </c>
      <c r="G2230" s="149" t="n">
        <f aca="false">IF(C2230="M.O.",VLOOKUP(A2230,INSUMOS_AUX!A:F,6,0),0)</f>
        <v>0</v>
      </c>
    </row>
    <row r="2231" customFormat="false" ht="15" hidden="false" customHeight="false" outlineLevel="0" collapsed="false">
      <c r="A2231" s="154" t="n">
        <v>1379</v>
      </c>
      <c r="B2231" s="155" t="s">
        <v>1535</v>
      </c>
      <c r="C2231" s="148" t="str">
        <f aca="false">VLOOKUP($A2231,INSUMOS_AUX!$A$3:$H$813,3,0)</f>
        <v>MAT.</v>
      </c>
      <c r="D2231" s="156" t="s">
        <v>1513</v>
      </c>
      <c r="E2231" s="154" t="n">
        <v>10.770008</v>
      </c>
      <c r="F2231" s="149" t="n">
        <f aca="false">IF(C2231="MAT.",VLOOKUP(A2231,INSUMOS_AUX!$A$3:$H$813,6,0),0)</f>
        <v>0.72</v>
      </c>
      <c r="G2231" s="149" t="n">
        <f aca="false">IF(C2231="M.O.",VLOOKUP(A2231,INSUMOS_AUX!A:F,6,0),0)</f>
        <v>0</v>
      </c>
    </row>
    <row r="2232" customFormat="false" ht="21" hidden="false" customHeight="false" outlineLevel="0" collapsed="false">
      <c r="A2232" s="154" t="n">
        <v>2432</v>
      </c>
      <c r="B2232" s="155" t="s">
        <v>1843</v>
      </c>
      <c r="C2232" s="148" t="str">
        <f aca="false">VLOOKUP($A2232,INSUMOS_AUX!$A$3:$H$813,3,0)</f>
        <v>MAT.</v>
      </c>
      <c r="D2232" s="156" t="s">
        <v>31</v>
      </c>
      <c r="E2232" s="154" t="n">
        <v>3</v>
      </c>
      <c r="F2232" s="149" t="n">
        <f aca="false">IF(C2232="MAT.",VLOOKUP(A2232,INSUMOS_AUX!$A$3:$H$813,6,0),0)</f>
        <v>29.94</v>
      </c>
      <c r="G2232" s="149" t="n">
        <f aca="false">IF(C2232="M.O.",VLOOKUP(A2232,INSUMOS_AUX!A:F,6,0),0)</f>
        <v>0</v>
      </c>
    </row>
    <row r="2233" customFormat="false" ht="42" hidden="false" customHeight="false" outlineLevel="0" collapsed="false">
      <c r="A2233" s="154" t="n">
        <v>3081</v>
      </c>
      <c r="B2233" s="155" t="s">
        <v>1844</v>
      </c>
      <c r="C2233" s="148" t="str">
        <f aca="false">VLOOKUP($A2233,INSUMOS_AUX!$A$3:$H$813,3,0)</f>
        <v>MAT.</v>
      </c>
      <c r="D2233" s="156" t="s">
        <v>1538</v>
      </c>
      <c r="E2233" s="154" t="n">
        <v>1</v>
      </c>
      <c r="F2233" s="149" t="n">
        <f aca="false">IF(C2233="MAT.",VLOOKUP(A2233,INSUMOS_AUX!$A$3:$H$813,6,0),0)</f>
        <v>171.04</v>
      </c>
      <c r="G2233" s="149" t="n">
        <f aca="false">IF(C2233="M.O.",VLOOKUP(A2233,INSUMOS_AUX!A:F,6,0),0)</f>
        <v>0</v>
      </c>
    </row>
    <row r="2234" customFormat="false" ht="31.5" hidden="false" customHeight="false" outlineLevel="0" collapsed="false">
      <c r="A2234" s="154" t="n">
        <v>20017</v>
      </c>
      <c r="B2234" s="155" t="s">
        <v>1845</v>
      </c>
      <c r="C2234" s="148" t="s">
        <v>59</v>
      </c>
      <c r="D2234" s="156" t="s">
        <v>1455</v>
      </c>
      <c r="E2234" s="154" t="n">
        <v>11.63</v>
      </c>
      <c r="F2234" s="149" t="n">
        <f aca="false">IF(C2234="MAT.",VLOOKUP(A2234,INSUMOS_AUX!$A$3:$H$813,6,0),0)</f>
        <v>0</v>
      </c>
      <c r="G2234" s="149" t="n">
        <f aca="false">IF(C2234="M.O.",VLOOKUP(A2234,INSUMOS_AUX!A:F,6,0),0)</f>
        <v>0</v>
      </c>
    </row>
    <row r="2235" customFormat="false" ht="21" hidden="false" customHeight="false" outlineLevel="0" collapsed="false">
      <c r="A2235" s="154" t="n">
        <v>11055</v>
      </c>
      <c r="B2235" s="155" t="s">
        <v>1846</v>
      </c>
      <c r="C2235" s="148" t="str">
        <f aca="false">VLOOKUP($A2235,INSUMOS_AUX!$A$3:$H$813,3,0)</f>
        <v>MAT.</v>
      </c>
      <c r="D2235" s="156" t="s">
        <v>31</v>
      </c>
      <c r="E2235" s="154" t="n">
        <v>19.8</v>
      </c>
      <c r="F2235" s="149" t="n">
        <f aca="false">IF(C2235="MAT.",VLOOKUP(A2235,INSUMOS_AUX!$A$3:$H$813,6,0),0)</f>
        <v>0.06</v>
      </c>
      <c r="G2235" s="149" t="n">
        <f aca="false">IF(C2235="M.O.",VLOOKUP(A2235,INSUMOS_AUX!A:F,6,0),0)</f>
        <v>0</v>
      </c>
    </row>
    <row r="2236" customFormat="false" ht="31.5" hidden="false" customHeight="false" outlineLevel="0" collapsed="false">
      <c r="A2236" s="154" t="n">
        <v>10555</v>
      </c>
      <c r="B2236" s="155" t="s">
        <v>1847</v>
      </c>
      <c r="C2236" s="148" t="str">
        <f aca="false">VLOOKUP($A2236,INSUMOS_AUX!$A$3:$H$813,3,0)</f>
        <v>MAT.</v>
      </c>
      <c r="D2236" s="156" t="s">
        <v>31</v>
      </c>
      <c r="E2236" s="154" t="n">
        <v>1</v>
      </c>
      <c r="F2236" s="149" t="n">
        <f aca="false">IF(C2236="MAT.",VLOOKUP(A2236,INSUMOS_AUX!$A$3:$H$813,6,0),0)</f>
        <v>227.11</v>
      </c>
      <c r="G2236" s="149" t="n">
        <f aca="false">IF(C2236="M.O.",VLOOKUP(A2236,INSUMOS_AUX!A:F,6,0),0)</f>
        <v>0</v>
      </c>
    </row>
    <row r="2237" customFormat="false" ht="15" hidden="false" customHeight="false" outlineLevel="0" collapsed="false">
      <c r="A2237" s="154" t="n">
        <v>5066</v>
      </c>
      <c r="B2237" s="155" t="s">
        <v>1848</v>
      </c>
      <c r="C2237" s="148" t="str">
        <f aca="false">VLOOKUP($A2237,INSUMOS_AUX!$A$3:$H$813,3,0)</f>
        <v>MAT.</v>
      </c>
      <c r="D2237" s="156" t="s">
        <v>1513</v>
      </c>
      <c r="E2237" s="154" t="n">
        <v>0.011</v>
      </c>
      <c r="F2237" s="149" t="n">
        <f aca="false">IF(C2237="MAT.",VLOOKUP(A2237,INSUMOS_AUX!$A$3:$H$813,6,0),0)</f>
        <v>26.81</v>
      </c>
      <c r="G2237" s="149" t="n">
        <f aca="false">IF(C2237="M.O.",VLOOKUP(A2237,INSUMOS_AUX!A:F,6,0),0)</f>
        <v>0</v>
      </c>
    </row>
    <row r="2238" customFormat="false" ht="15" hidden="false" customHeight="false" outlineLevel="0" collapsed="false">
      <c r="A2238" s="154" t="n">
        <v>5075</v>
      </c>
      <c r="B2238" s="155" t="s">
        <v>1580</v>
      </c>
      <c r="C2238" s="148" t="str">
        <f aca="false">VLOOKUP($A2238,INSUMOS_AUX!$A$3:$H$813,3,0)</f>
        <v>MAT.</v>
      </c>
      <c r="D2238" s="156" t="s">
        <v>1513</v>
      </c>
      <c r="E2238" s="154" t="n">
        <v>0.024</v>
      </c>
      <c r="F2238" s="149" t="n">
        <f aca="false">IF(C2238="MAT.",VLOOKUP(A2238,INSUMOS_AUX!$A$3:$H$813,6,0),0)</f>
        <v>20.34</v>
      </c>
      <c r="G2238" s="149" t="n">
        <f aca="false">IF(C2238="M.O.",VLOOKUP(A2238,INSUMOS_AUX!A:F,6,0),0)</f>
        <v>0</v>
      </c>
    </row>
    <row r="2239" customFormat="false" ht="15" hidden="false" customHeight="false" outlineLevel="0" collapsed="false">
      <c r="A2239" s="154" t="n">
        <v>39027</v>
      </c>
      <c r="B2239" s="155" t="s">
        <v>1581</v>
      </c>
      <c r="C2239" s="148" t="str">
        <f aca="false">VLOOKUP($A2239,INSUMOS_AUX!$A$3:$H$813,3,0)</f>
        <v>MAT.</v>
      </c>
      <c r="D2239" s="156" t="s">
        <v>1513</v>
      </c>
      <c r="E2239" s="154" t="n">
        <v>0.2</v>
      </c>
      <c r="F2239" s="149" t="n">
        <f aca="false">IF(C2239="MAT.",VLOOKUP(A2239,INSUMOS_AUX!$A$3:$H$813,6,0),0)</f>
        <v>20.32</v>
      </c>
      <c r="G2239" s="149" t="n">
        <f aca="false">IF(C2239="M.O.",VLOOKUP(A2239,INSUMOS_AUX!A:F,6,0),0)</f>
        <v>0</v>
      </c>
    </row>
    <row r="2240" customFormat="false" ht="15" hidden="false" customHeight="false" outlineLevel="0" collapsed="false">
      <c r="A2240" s="154" t="n">
        <v>39026</v>
      </c>
      <c r="B2240" s="155" t="s">
        <v>1849</v>
      </c>
      <c r="C2240" s="148" t="str">
        <f aca="false">VLOOKUP($A2240,INSUMOS_AUX!$A$3:$H$813,3,0)</f>
        <v>MAT.</v>
      </c>
      <c r="D2240" s="156" t="s">
        <v>1513</v>
      </c>
      <c r="E2240" s="154" t="n">
        <v>0.06</v>
      </c>
      <c r="F2240" s="149" t="n">
        <f aca="false">IF(C2240="MAT.",VLOOKUP(A2240,INSUMOS_AUX!$A$3:$H$813,6,0),0)</f>
        <v>22.88</v>
      </c>
      <c r="G2240" s="149" t="n">
        <f aca="false">IF(C2240="M.O.",VLOOKUP(A2240,INSUMOS_AUX!A:F,6,0),0)</f>
        <v>0</v>
      </c>
    </row>
    <row r="2241" customFormat="false" ht="21" hidden="false" customHeight="false" outlineLevel="0" collapsed="false">
      <c r="A2241" s="154" t="n">
        <v>7319</v>
      </c>
      <c r="B2241" s="155" t="s">
        <v>1850</v>
      </c>
      <c r="C2241" s="148" t="str">
        <f aca="false">VLOOKUP($A2241,INSUMOS_AUX!$A$3:$H$813,3,0)</f>
        <v>MAT.</v>
      </c>
      <c r="D2241" s="156" t="s">
        <v>1452</v>
      </c>
      <c r="E2241" s="154" t="n">
        <v>0.1671</v>
      </c>
      <c r="F2241" s="149" t="n">
        <f aca="false">IF(C2241="MAT.",VLOOKUP(A2241,INSUMOS_AUX!$A$3:$H$813,6,0),0)</f>
        <v>10.62</v>
      </c>
      <c r="G2241" s="149" t="n">
        <f aca="false">IF(C2241="M.O.",VLOOKUP(A2241,INSUMOS_AUX!A:F,6,0),0)</f>
        <v>0</v>
      </c>
    </row>
    <row r="2242" customFormat="false" ht="15" hidden="false" customHeight="false" outlineLevel="0" collapsed="false">
      <c r="A2242" s="154" t="n">
        <v>1214</v>
      </c>
      <c r="B2242" s="155" t="s">
        <v>1556</v>
      </c>
      <c r="C2242" s="148" t="str">
        <f aca="false">VLOOKUP($A2242,INSUMOS_AUX!$A$3:$H$813,3,0)</f>
        <v>M.O.</v>
      </c>
      <c r="D2242" s="156" t="s">
        <v>1444</v>
      </c>
      <c r="E2242" s="154" t="n">
        <v>6.61724996</v>
      </c>
      <c r="F2242" s="149" t="n">
        <f aca="false">IF(C2242="MAT.",VLOOKUP(A2242,INSUMOS_AUX!$A$3:$H$813,6,0),0)</f>
        <v>0</v>
      </c>
      <c r="G2242" s="149" t="n">
        <f aca="false">IF(C2242="M.O.",VLOOKUP(A2242,INSUMOS_AUX!A:F,6,0),0)</f>
        <v>19.04</v>
      </c>
    </row>
    <row r="2243" customFormat="false" ht="15" hidden="false" customHeight="false" outlineLevel="0" collapsed="false">
      <c r="A2243" s="154" t="n">
        <v>4750</v>
      </c>
      <c r="B2243" s="155" t="s">
        <v>1463</v>
      </c>
      <c r="C2243" s="148" t="str">
        <f aca="false">VLOOKUP($A2243,INSUMOS_AUX!$A$3:$H$813,3,0)</f>
        <v>M.O.</v>
      </c>
      <c r="D2243" s="156" t="s">
        <v>1444</v>
      </c>
      <c r="E2243" s="154" t="n">
        <v>1.3908744</v>
      </c>
      <c r="F2243" s="149" t="n">
        <f aca="false">IF(C2243="MAT.",VLOOKUP(A2243,INSUMOS_AUX!$A$3:$H$813,6,0),0)</f>
        <v>0</v>
      </c>
      <c r="G2243" s="149" t="n">
        <f aca="false">IF(C2243="M.O.",VLOOKUP(A2243,INSUMOS_AUX!A:F,6,0),0)</f>
        <v>20.22</v>
      </c>
    </row>
    <row r="2244" customFormat="false" ht="15" hidden="false" customHeight="false" outlineLevel="0" collapsed="false">
      <c r="A2244" s="154" t="n">
        <v>6111</v>
      </c>
      <c r="B2244" s="155" t="s">
        <v>1464</v>
      </c>
      <c r="C2244" s="148" t="str">
        <f aca="false">VLOOKUP($A2244,INSUMOS_AUX!$A$3:$H$813,3,0)</f>
        <v>M.O.</v>
      </c>
      <c r="D2244" s="156" t="s">
        <v>1444</v>
      </c>
      <c r="E2244" s="154" t="n">
        <v>4.2064361532</v>
      </c>
      <c r="F2244" s="149" t="n">
        <f aca="false">IF(C2244="MAT.",VLOOKUP(A2244,INSUMOS_AUX!$A$3:$H$813,6,0),0)</f>
        <v>0</v>
      </c>
      <c r="G2244" s="149" t="n">
        <f aca="false">IF(C2244="M.O.",VLOOKUP(A2244,INSUMOS_AUX!A:F,6,0),0)</f>
        <v>12.95</v>
      </c>
    </row>
    <row r="2245" customFormat="false" ht="52.5" hidden="false" customHeight="false" outlineLevel="0" collapsed="false">
      <c r="A2245" s="150" t="n">
        <v>90844</v>
      </c>
      <c r="B2245" s="151" t="s">
        <v>1851</v>
      </c>
      <c r="C2245" s="152" t="s">
        <v>59</v>
      </c>
      <c r="D2245" s="152" t="s">
        <v>31</v>
      </c>
      <c r="E2245" s="150"/>
      <c r="F2245" s="153" t="n">
        <f aca="false">(SUMPRODUCT($E2246:$E2271,F2246:F2271))*1</f>
        <v>919.04382738</v>
      </c>
      <c r="G2245" s="153" t="n">
        <f aca="false">(SUMPRODUCT($E2246:$E2271,G2246:G2271))*1</f>
        <v>212.36515632858</v>
      </c>
    </row>
    <row r="2246" customFormat="false" ht="21" hidden="false" customHeight="false" outlineLevel="0" collapsed="false">
      <c r="A2246" s="154" t="n">
        <v>37370</v>
      </c>
      <c r="B2246" s="155" t="s">
        <v>1443</v>
      </c>
      <c r="C2246" s="148" t="str">
        <f aca="false">VLOOKUP($A2246,INSUMOS_AUX!$A$3:$H$813,3,0)</f>
        <v>MAT.</v>
      </c>
      <c r="D2246" s="156" t="s">
        <v>1444</v>
      </c>
      <c r="E2246" s="154" t="n">
        <v>12.220511</v>
      </c>
      <c r="F2246" s="149" t="n">
        <f aca="false">IF(C2246="MAT.",VLOOKUP(A2246,INSUMOS_AUX!$A$3:$H$813,6,0),0)</f>
        <v>3.32</v>
      </c>
      <c r="G2246" s="149" t="n">
        <f aca="false">IF(C2246="M.O.",VLOOKUP(A2246,INSUMOS_AUX!A:F,6,0),0)</f>
        <v>0</v>
      </c>
    </row>
    <row r="2247" customFormat="false" ht="21" hidden="false" customHeight="false" outlineLevel="0" collapsed="false">
      <c r="A2247" s="154" t="n">
        <v>43483</v>
      </c>
      <c r="B2247" s="155" t="s">
        <v>1486</v>
      </c>
      <c r="C2247" s="148" t="str">
        <f aca="false">VLOOKUP($A2247,INSUMOS_AUX!$A$3:$H$813,3,0)</f>
        <v>MAT.</v>
      </c>
      <c r="D2247" s="156" t="s">
        <v>1444</v>
      </c>
      <c r="E2247" s="154" t="n">
        <v>6.6666</v>
      </c>
      <c r="F2247" s="149" t="n">
        <f aca="false">IF(C2247="MAT.",VLOOKUP(A2247,INSUMOS_AUX!$A$3:$H$813,6,0),0)</f>
        <v>1.43</v>
      </c>
      <c r="G2247" s="149" t="n">
        <f aca="false">IF(C2247="M.O.",VLOOKUP(A2247,INSUMOS_AUX!A:F,6,0),0)</f>
        <v>0</v>
      </c>
    </row>
    <row r="2248" customFormat="false" ht="21" hidden="false" customHeight="false" outlineLevel="0" collapsed="false">
      <c r="A2248" s="154" t="n">
        <v>43489</v>
      </c>
      <c r="B2248" s="155" t="s">
        <v>1456</v>
      </c>
      <c r="C2248" s="148" t="str">
        <f aca="false">VLOOKUP($A2248,INSUMOS_AUX!$A$3:$H$813,3,0)</f>
        <v>MAT.</v>
      </c>
      <c r="D2248" s="156" t="s">
        <v>1444</v>
      </c>
      <c r="E2248" s="154" t="n">
        <v>1.362</v>
      </c>
      <c r="F2248" s="149" t="n">
        <f aca="false">IF(C2248="MAT.",VLOOKUP(A2248,INSUMOS_AUX!$A$3:$H$813,6,0),0)</f>
        <v>1.31</v>
      </c>
      <c r="G2248" s="149" t="n">
        <f aca="false">IF(C2248="M.O.",VLOOKUP(A2248,INSUMOS_AUX!A:F,6,0),0)</f>
        <v>0</v>
      </c>
    </row>
    <row r="2249" customFormat="false" ht="21" hidden="false" customHeight="false" outlineLevel="0" collapsed="false">
      <c r="A2249" s="154" t="n">
        <v>43491</v>
      </c>
      <c r="B2249" s="155" t="s">
        <v>1457</v>
      </c>
      <c r="C2249" s="148" t="str">
        <f aca="false">VLOOKUP($A2249,INSUMOS_AUX!$A$3:$H$813,3,0)</f>
        <v>MAT.</v>
      </c>
      <c r="D2249" s="156" t="s">
        <v>1444</v>
      </c>
      <c r="E2249" s="154" t="n">
        <v>4.191911</v>
      </c>
      <c r="F2249" s="149" t="n">
        <f aca="false">IF(C2249="MAT.",VLOOKUP(A2249,INSUMOS_AUX!$A$3:$H$813,6,0),0)</f>
        <v>1.39</v>
      </c>
      <c r="G2249" s="149" t="n">
        <f aca="false">IF(C2249="M.O.",VLOOKUP(A2249,INSUMOS_AUX!A:F,6,0),0)</f>
        <v>0</v>
      </c>
    </row>
    <row r="2250" customFormat="false" ht="21" hidden="false" customHeight="false" outlineLevel="0" collapsed="false">
      <c r="A2250" s="154" t="n">
        <v>37372</v>
      </c>
      <c r="B2250" s="155" t="s">
        <v>1446</v>
      </c>
      <c r="C2250" s="148" t="str">
        <f aca="false">VLOOKUP($A2250,INSUMOS_AUX!$A$3:$H$813,3,0)</f>
        <v>MAT.</v>
      </c>
      <c r="D2250" s="156" t="s">
        <v>1444</v>
      </c>
      <c r="E2250" s="154" t="n">
        <v>12.220511</v>
      </c>
      <c r="F2250" s="149" t="n">
        <f aca="false">IF(C2250="MAT.",VLOOKUP(A2250,INSUMOS_AUX!$A$3:$H$813,6,0),0)</f>
        <v>1.43</v>
      </c>
      <c r="G2250" s="149" t="n">
        <f aca="false">IF(C2250="M.O.",VLOOKUP(A2250,INSUMOS_AUX!A:F,6,0),0)</f>
        <v>0</v>
      </c>
    </row>
    <row r="2251" customFormat="false" ht="21" hidden="false" customHeight="false" outlineLevel="0" collapsed="false">
      <c r="A2251" s="154" t="n">
        <v>43459</v>
      </c>
      <c r="B2251" s="155" t="s">
        <v>1487</v>
      </c>
      <c r="C2251" s="148" t="s">
        <v>59</v>
      </c>
      <c r="D2251" s="156" t="s">
        <v>1444</v>
      </c>
      <c r="E2251" s="154" t="n">
        <v>6.6666</v>
      </c>
      <c r="F2251" s="149" t="n">
        <f aca="false">IF(C2251="MAT.",VLOOKUP(A2251,INSUMOS_AUX!$A$3:$H$813,6,0),0)</f>
        <v>0</v>
      </c>
      <c r="G2251" s="149" t="n">
        <f aca="false">IF(C2251="M.O.",VLOOKUP(A2251,INSUMOS_AUX!A:F,6,0),0)</f>
        <v>0</v>
      </c>
    </row>
    <row r="2252" customFormat="false" ht="21" hidden="false" customHeight="false" outlineLevel="0" collapsed="false">
      <c r="A2252" s="154" t="n">
        <v>43465</v>
      </c>
      <c r="B2252" s="155" t="s">
        <v>1458</v>
      </c>
      <c r="C2252" s="148" t="str">
        <f aca="false">VLOOKUP($A2252,INSUMOS_AUX!$A$3:$H$813,3,0)</f>
        <v>MAT.</v>
      </c>
      <c r="D2252" s="156" t="s">
        <v>1444</v>
      </c>
      <c r="E2252" s="154" t="n">
        <v>1.362</v>
      </c>
      <c r="F2252" s="149" t="n">
        <f aca="false">IF(C2252="MAT.",VLOOKUP(A2252,INSUMOS_AUX!$A$3:$H$813,6,0),0)</f>
        <v>0.78</v>
      </c>
      <c r="G2252" s="149" t="n">
        <f aca="false">IF(C2252="M.O.",VLOOKUP(A2252,INSUMOS_AUX!A:F,6,0),0)</f>
        <v>0</v>
      </c>
    </row>
    <row r="2253" customFormat="false" ht="21" hidden="false" customHeight="false" outlineLevel="0" collapsed="false">
      <c r="A2253" s="154" t="n">
        <v>43467</v>
      </c>
      <c r="B2253" s="155" t="s">
        <v>1459</v>
      </c>
      <c r="C2253" s="148" t="str">
        <f aca="false">VLOOKUP($A2253,INSUMOS_AUX!$A$3:$H$813,3,0)</f>
        <v>MAT.</v>
      </c>
      <c r="D2253" s="156" t="s">
        <v>1444</v>
      </c>
      <c r="E2253" s="154" t="n">
        <v>4.191911</v>
      </c>
      <c r="F2253" s="149" t="n">
        <f aca="false">IF(C2253="MAT.",VLOOKUP(A2253,INSUMOS_AUX!$A$3:$H$813,6,0),0)</f>
        <v>0.61</v>
      </c>
      <c r="G2253" s="149" t="n">
        <f aca="false">IF(C2253="M.O.",VLOOKUP(A2253,INSUMOS_AUX!A:F,6,0),0)</f>
        <v>0</v>
      </c>
    </row>
    <row r="2254" customFormat="false" ht="21" hidden="false" customHeight="false" outlineLevel="0" collapsed="false">
      <c r="A2254" s="154" t="n">
        <v>37373</v>
      </c>
      <c r="B2254" s="155" t="s">
        <v>1448</v>
      </c>
      <c r="C2254" s="148" t="str">
        <f aca="false">VLOOKUP($A2254,INSUMOS_AUX!$A$3:$H$813,3,0)</f>
        <v>MAT.</v>
      </c>
      <c r="D2254" s="156" t="s">
        <v>1444</v>
      </c>
      <c r="E2254" s="154" t="n">
        <v>12.220511</v>
      </c>
      <c r="F2254" s="149" t="n">
        <f aca="false">IF(C2254="MAT.",VLOOKUP(A2254,INSUMOS_AUX!$A$3:$H$813,6,0),0)</f>
        <v>0.08</v>
      </c>
      <c r="G2254" s="149" t="n">
        <f aca="false">IF(C2254="M.O.",VLOOKUP(A2254,INSUMOS_AUX!A:F,6,0),0)</f>
        <v>0</v>
      </c>
    </row>
    <row r="2255" customFormat="false" ht="21" hidden="false" customHeight="false" outlineLevel="0" collapsed="false">
      <c r="A2255" s="154" t="n">
        <v>37371</v>
      </c>
      <c r="B2255" s="155" t="s">
        <v>1449</v>
      </c>
      <c r="C2255" s="148" t="str">
        <f aca="false">VLOOKUP($A2255,INSUMOS_AUX!$A$3:$H$813,3,0)</f>
        <v>MAT.</v>
      </c>
      <c r="D2255" s="156" t="s">
        <v>1444</v>
      </c>
      <c r="E2255" s="154" t="n">
        <v>12.220511</v>
      </c>
      <c r="F2255" s="149" t="n">
        <f aca="false">IF(C2255="MAT.",VLOOKUP(A2255,INSUMOS_AUX!$A$3:$H$813,6,0),0)</f>
        <v>0.59</v>
      </c>
      <c r="G2255" s="149" t="n">
        <f aca="false">IF(C2255="M.O.",VLOOKUP(A2255,INSUMOS_AUX!A:F,6,0),0)</f>
        <v>0</v>
      </c>
    </row>
    <row r="2256" customFormat="false" ht="21" hidden="false" customHeight="false" outlineLevel="0" collapsed="false">
      <c r="A2256" s="154" t="n">
        <v>370</v>
      </c>
      <c r="B2256" s="155" t="s">
        <v>1527</v>
      </c>
      <c r="C2256" s="148" t="str">
        <f aca="false">VLOOKUP($A2256,INSUMOS_AUX!$A$3:$H$813,3,0)</f>
        <v>MAT.</v>
      </c>
      <c r="D2256" s="156" t="s">
        <v>1442</v>
      </c>
      <c r="E2256" s="154" t="n">
        <v>0.023861</v>
      </c>
      <c r="F2256" s="149" t="n">
        <f aca="false">IF(C2256="MAT.",VLOOKUP(A2256,INSUMOS_AUX!$A$3:$H$813,6,0),0)</f>
        <v>150</v>
      </c>
      <c r="G2256" s="149" t="n">
        <f aca="false">IF(C2256="M.O.",VLOOKUP(A2256,INSUMOS_AUX!A:F,6,0),0)</f>
        <v>0</v>
      </c>
    </row>
    <row r="2257" customFormat="false" ht="52.5" hidden="false" customHeight="false" outlineLevel="0" collapsed="false">
      <c r="A2257" s="154" t="n">
        <v>183</v>
      </c>
      <c r="B2257" s="155" t="s">
        <v>1841</v>
      </c>
      <c r="C2257" s="148" t="str">
        <f aca="false">VLOOKUP($A2257,INSUMOS_AUX!$A$3:$H$813,3,0)</f>
        <v>MAT.</v>
      </c>
      <c r="D2257" s="156" t="s">
        <v>1842</v>
      </c>
      <c r="E2257" s="154" t="n">
        <v>1</v>
      </c>
      <c r="F2257" s="149" t="n">
        <f aca="false">IF(C2257="MAT.",VLOOKUP(A2257,INSUMOS_AUX!$A$3:$H$813,6,0),0)</f>
        <v>175</v>
      </c>
      <c r="G2257" s="149" t="n">
        <f aca="false">IF(C2257="M.O.",VLOOKUP(A2257,INSUMOS_AUX!A:F,6,0),0)</f>
        <v>0</v>
      </c>
    </row>
    <row r="2258" customFormat="false" ht="15" hidden="false" customHeight="false" outlineLevel="0" collapsed="false">
      <c r="A2258" s="154" t="n">
        <v>1379</v>
      </c>
      <c r="B2258" s="155" t="s">
        <v>1535</v>
      </c>
      <c r="C2258" s="148" t="str">
        <f aca="false">VLOOKUP($A2258,INSUMOS_AUX!$A$3:$H$813,3,0)</f>
        <v>MAT.</v>
      </c>
      <c r="D2258" s="156" t="s">
        <v>1513</v>
      </c>
      <c r="E2258" s="154" t="n">
        <v>10.770008</v>
      </c>
      <c r="F2258" s="149" t="n">
        <f aca="false">IF(C2258="MAT.",VLOOKUP(A2258,INSUMOS_AUX!$A$3:$H$813,6,0),0)</f>
        <v>0.72</v>
      </c>
      <c r="G2258" s="149" t="n">
        <f aca="false">IF(C2258="M.O.",VLOOKUP(A2258,INSUMOS_AUX!A:F,6,0),0)</f>
        <v>0</v>
      </c>
    </row>
    <row r="2259" customFormat="false" ht="21" hidden="false" customHeight="false" outlineLevel="0" collapsed="false">
      <c r="A2259" s="154" t="n">
        <v>2432</v>
      </c>
      <c r="B2259" s="155" t="s">
        <v>1843</v>
      </c>
      <c r="C2259" s="148" t="str">
        <f aca="false">VLOOKUP($A2259,INSUMOS_AUX!$A$3:$H$813,3,0)</f>
        <v>MAT.</v>
      </c>
      <c r="D2259" s="156" t="s">
        <v>31</v>
      </c>
      <c r="E2259" s="154" t="n">
        <v>3</v>
      </c>
      <c r="F2259" s="149" t="n">
        <f aca="false">IF(C2259="MAT.",VLOOKUP(A2259,INSUMOS_AUX!$A$3:$H$813,6,0),0)</f>
        <v>29.94</v>
      </c>
      <c r="G2259" s="149" t="n">
        <f aca="false">IF(C2259="M.O.",VLOOKUP(A2259,INSUMOS_AUX!A:F,6,0),0)</f>
        <v>0</v>
      </c>
    </row>
    <row r="2260" customFormat="false" ht="42" hidden="false" customHeight="false" outlineLevel="0" collapsed="false">
      <c r="A2260" s="154" t="n">
        <v>3081</v>
      </c>
      <c r="B2260" s="155" t="s">
        <v>1844</v>
      </c>
      <c r="C2260" s="148" t="str">
        <f aca="false">VLOOKUP($A2260,INSUMOS_AUX!$A$3:$H$813,3,0)</f>
        <v>MAT.</v>
      </c>
      <c r="D2260" s="156" t="s">
        <v>1538</v>
      </c>
      <c r="E2260" s="154" t="n">
        <v>1</v>
      </c>
      <c r="F2260" s="149" t="n">
        <f aca="false">IF(C2260="MAT.",VLOOKUP(A2260,INSUMOS_AUX!$A$3:$H$813,6,0),0)</f>
        <v>171.04</v>
      </c>
      <c r="G2260" s="149" t="n">
        <f aca="false">IF(C2260="M.O.",VLOOKUP(A2260,INSUMOS_AUX!A:F,6,0),0)</f>
        <v>0</v>
      </c>
    </row>
    <row r="2261" customFormat="false" ht="31.5" hidden="false" customHeight="false" outlineLevel="0" collapsed="false">
      <c r="A2261" s="154" t="n">
        <v>20017</v>
      </c>
      <c r="B2261" s="155" t="s">
        <v>1845</v>
      </c>
      <c r="C2261" s="148" t="str">
        <f aca="false">VLOOKUP($A2261,INSUMOS_AUX!$A$3:$H$813,3,0)</f>
        <v>MAT.</v>
      </c>
      <c r="D2261" s="156" t="s">
        <v>1455</v>
      </c>
      <c r="E2261" s="154" t="n">
        <v>11.8626</v>
      </c>
      <c r="F2261" s="149" t="n">
        <f aca="false">IF(C2261="MAT.",VLOOKUP(A2261,INSUMOS_AUX!$A$3:$H$813,6,0),0)</f>
        <v>6.36</v>
      </c>
      <c r="G2261" s="149" t="n">
        <f aca="false">IF(C2261="M.O.",VLOOKUP(A2261,INSUMOS_AUX!A:F,6,0),0)</f>
        <v>0</v>
      </c>
    </row>
    <row r="2262" customFormat="false" ht="21" hidden="false" customHeight="false" outlineLevel="0" collapsed="false">
      <c r="A2262" s="154" t="n">
        <v>11055</v>
      </c>
      <c r="B2262" s="155" t="s">
        <v>1846</v>
      </c>
      <c r="C2262" s="148" t="str">
        <f aca="false">VLOOKUP($A2262,INSUMOS_AUX!$A$3:$H$813,3,0)</f>
        <v>MAT.</v>
      </c>
      <c r="D2262" s="156" t="s">
        <v>31</v>
      </c>
      <c r="E2262" s="154" t="n">
        <v>19.8</v>
      </c>
      <c r="F2262" s="149" t="n">
        <f aca="false">IF(C2262="MAT.",VLOOKUP(A2262,INSUMOS_AUX!$A$3:$H$813,6,0),0)</f>
        <v>0.06</v>
      </c>
      <c r="G2262" s="149" t="n">
        <f aca="false">IF(C2262="M.O.",VLOOKUP(A2262,INSUMOS_AUX!A:F,6,0),0)</f>
        <v>0</v>
      </c>
    </row>
    <row r="2263" customFormat="false" ht="31.5" hidden="false" customHeight="false" outlineLevel="0" collapsed="false">
      <c r="A2263" s="154" t="n">
        <v>10556</v>
      </c>
      <c r="B2263" s="155" t="s">
        <v>1852</v>
      </c>
      <c r="C2263" s="148" t="str">
        <f aca="false">VLOOKUP($A2263,INSUMOS_AUX!$A$3:$H$813,3,0)</f>
        <v>MAT.</v>
      </c>
      <c r="D2263" s="156" t="s">
        <v>31</v>
      </c>
      <c r="E2263" s="154" t="n">
        <v>1</v>
      </c>
      <c r="F2263" s="149" t="n">
        <f aca="false">IF(C2263="MAT.",VLOOKUP(A2263,INSUMOS_AUX!$A$3:$H$813,6,0),0)</f>
        <v>301.97</v>
      </c>
      <c r="G2263" s="149" t="n">
        <f aca="false">IF(C2263="M.O.",VLOOKUP(A2263,INSUMOS_AUX!A:F,6,0),0)</f>
        <v>0</v>
      </c>
    </row>
    <row r="2264" customFormat="false" ht="15" hidden="false" customHeight="false" outlineLevel="0" collapsed="false">
      <c r="A2264" s="154" t="n">
        <v>5066</v>
      </c>
      <c r="B2264" s="155" t="s">
        <v>1848</v>
      </c>
      <c r="C2264" s="148" t="str">
        <f aca="false">VLOOKUP($A2264,INSUMOS_AUX!$A$3:$H$813,3,0)</f>
        <v>MAT.</v>
      </c>
      <c r="D2264" s="156" t="s">
        <v>1513</v>
      </c>
      <c r="E2264" s="154" t="n">
        <v>0.011</v>
      </c>
      <c r="F2264" s="149" t="n">
        <f aca="false">IF(C2264="MAT.",VLOOKUP(A2264,INSUMOS_AUX!$A$3:$H$813,6,0),0)</f>
        <v>26.81</v>
      </c>
      <c r="G2264" s="149" t="n">
        <f aca="false">IF(C2264="M.O.",VLOOKUP(A2264,INSUMOS_AUX!A:F,6,0),0)</f>
        <v>0</v>
      </c>
    </row>
    <row r="2265" customFormat="false" ht="15" hidden="false" customHeight="false" outlineLevel="0" collapsed="false">
      <c r="A2265" s="154" t="n">
        <v>5075</v>
      </c>
      <c r="B2265" s="155" t="s">
        <v>1580</v>
      </c>
      <c r="C2265" s="148" t="str">
        <f aca="false">VLOOKUP($A2265,INSUMOS_AUX!$A$3:$H$813,3,0)</f>
        <v>MAT.</v>
      </c>
      <c r="D2265" s="156" t="s">
        <v>1513</v>
      </c>
      <c r="E2265" s="154" t="n">
        <v>0.024</v>
      </c>
      <c r="F2265" s="149" t="n">
        <f aca="false">IF(C2265="MAT.",VLOOKUP(A2265,INSUMOS_AUX!$A$3:$H$813,6,0),0)</f>
        <v>20.34</v>
      </c>
      <c r="G2265" s="149" t="n">
        <f aca="false">IF(C2265="M.O.",VLOOKUP(A2265,INSUMOS_AUX!A:F,6,0),0)</f>
        <v>0</v>
      </c>
    </row>
    <row r="2266" customFormat="false" ht="15" hidden="false" customHeight="false" outlineLevel="0" collapsed="false">
      <c r="A2266" s="154" t="n">
        <v>39027</v>
      </c>
      <c r="B2266" s="155" t="s">
        <v>1581</v>
      </c>
      <c r="C2266" s="148" t="str">
        <f aca="false">VLOOKUP($A2266,INSUMOS_AUX!$A$3:$H$813,3,0)</f>
        <v>MAT.</v>
      </c>
      <c r="D2266" s="156" t="s">
        <v>1513</v>
      </c>
      <c r="E2266" s="154" t="n">
        <v>0.2</v>
      </c>
      <c r="F2266" s="149" t="n">
        <f aca="false">IF(C2266="MAT.",VLOOKUP(A2266,INSUMOS_AUX!$A$3:$H$813,6,0),0)</f>
        <v>20.32</v>
      </c>
      <c r="G2266" s="149" t="n">
        <f aca="false">IF(C2266="M.O.",VLOOKUP(A2266,INSUMOS_AUX!A:F,6,0),0)</f>
        <v>0</v>
      </c>
    </row>
    <row r="2267" customFormat="false" ht="15" hidden="false" customHeight="false" outlineLevel="0" collapsed="false">
      <c r="A2267" s="154" t="n">
        <v>39026</v>
      </c>
      <c r="B2267" s="155" t="s">
        <v>1849</v>
      </c>
      <c r="C2267" s="148" t="str">
        <f aca="false">VLOOKUP($A2267,INSUMOS_AUX!$A$3:$H$813,3,0)</f>
        <v>MAT.</v>
      </c>
      <c r="D2267" s="156" t="s">
        <v>1513</v>
      </c>
      <c r="E2267" s="154" t="n">
        <v>0.0612</v>
      </c>
      <c r="F2267" s="149" t="n">
        <f aca="false">IF(C2267="MAT.",VLOOKUP(A2267,INSUMOS_AUX!$A$3:$H$813,6,0),0)</f>
        <v>22.88</v>
      </c>
      <c r="G2267" s="149" t="n">
        <f aca="false">IF(C2267="M.O.",VLOOKUP(A2267,INSUMOS_AUX!A:F,6,0),0)</f>
        <v>0</v>
      </c>
    </row>
    <row r="2268" customFormat="false" ht="21" hidden="false" customHeight="false" outlineLevel="0" collapsed="false">
      <c r="A2268" s="154" t="n">
        <v>7319</v>
      </c>
      <c r="B2268" s="155" t="s">
        <v>1850</v>
      </c>
      <c r="C2268" s="148" t="s">
        <v>59</v>
      </c>
      <c r="D2268" s="156" t="s">
        <v>1452</v>
      </c>
      <c r="E2268" s="154" t="n">
        <v>0.1671</v>
      </c>
      <c r="F2268" s="149" t="n">
        <f aca="false">IF(C2268="MAT.",VLOOKUP(A2268,INSUMOS_AUX!$A$3:$H$813,6,0),0)</f>
        <v>0</v>
      </c>
      <c r="G2268" s="149" t="n">
        <f aca="false">IF(C2268="M.O.",VLOOKUP(A2268,INSUMOS_AUX!A:F,6,0),0)</f>
        <v>0</v>
      </c>
    </row>
    <row r="2269" customFormat="false" ht="15" hidden="false" customHeight="false" outlineLevel="0" collapsed="false">
      <c r="A2269" s="154" t="n">
        <v>1214</v>
      </c>
      <c r="B2269" s="155" t="s">
        <v>1556</v>
      </c>
      <c r="C2269" s="148" t="str">
        <f aca="false">VLOOKUP($A2269,INSUMOS_AUX!$A$3:$H$813,3,0)</f>
        <v>M.O.</v>
      </c>
      <c r="D2269" s="156" t="s">
        <v>1444</v>
      </c>
      <c r="E2269" s="154" t="n">
        <v>6.764999016</v>
      </c>
      <c r="F2269" s="149" t="n">
        <f aca="false">IF(C2269="MAT.",VLOOKUP(A2269,INSUMOS_AUX!$A$3:$H$813,6,0),0)</f>
        <v>0</v>
      </c>
      <c r="G2269" s="149" t="n">
        <f aca="false">IF(C2269="M.O.",VLOOKUP(A2269,INSUMOS_AUX!A:F,6,0),0)</f>
        <v>19.04</v>
      </c>
    </row>
    <row r="2270" customFormat="false" ht="15" hidden="false" customHeight="false" outlineLevel="0" collapsed="false">
      <c r="A2270" s="154" t="n">
        <v>4750</v>
      </c>
      <c r="B2270" s="155" t="s">
        <v>1463</v>
      </c>
      <c r="C2270" s="148" t="str">
        <f aca="false">VLOOKUP($A2270,INSUMOS_AUX!$A$3:$H$813,3,0)</f>
        <v>M.O.</v>
      </c>
      <c r="D2270" s="156" t="s">
        <v>1444</v>
      </c>
      <c r="E2270" s="154" t="n">
        <v>1.3908744</v>
      </c>
      <c r="F2270" s="149" t="n">
        <f aca="false">IF(C2270="MAT.",VLOOKUP(A2270,INSUMOS_AUX!$A$3:$H$813,6,0),0)</f>
        <v>0</v>
      </c>
      <c r="G2270" s="149" t="n">
        <f aca="false">IF(C2270="M.O.",VLOOKUP(A2270,INSUMOS_AUX!A:F,6,0),0)</f>
        <v>20.22</v>
      </c>
    </row>
    <row r="2271" customFormat="false" ht="15" hidden="false" customHeight="false" outlineLevel="0" collapsed="false">
      <c r="A2271" s="154" t="n">
        <v>6111</v>
      </c>
      <c r="B2271" s="155" t="s">
        <v>1464</v>
      </c>
      <c r="C2271" s="148" t="str">
        <f aca="false">VLOOKUP($A2271,INSUMOS_AUX!$A$3:$H$813,3,0)</f>
        <v>M.O.</v>
      </c>
      <c r="D2271" s="156" t="s">
        <v>1444</v>
      </c>
      <c r="E2271" s="154" t="n">
        <v>4.2807795132</v>
      </c>
      <c r="F2271" s="149" t="n">
        <f aca="false">IF(C2271="MAT.",VLOOKUP(A2271,INSUMOS_AUX!$A$3:$H$813,6,0),0)</f>
        <v>0</v>
      </c>
      <c r="G2271" s="149" t="n">
        <f aca="false">IF(C2271="M.O.",VLOOKUP(A2271,INSUMOS_AUX!A:F,6,0),0)</f>
        <v>12.95</v>
      </c>
    </row>
    <row r="2272" customFormat="false" ht="52.5" hidden="false" customHeight="false" outlineLevel="0" collapsed="false">
      <c r="A2272" s="150" t="s">
        <v>442</v>
      </c>
      <c r="B2272" s="151" t="s">
        <v>1853</v>
      </c>
      <c r="C2272" s="152" t="s">
        <v>59</v>
      </c>
      <c r="D2272" s="152" t="s">
        <v>1854</v>
      </c>
      <c r="E2272" s="150"/>
      <c r="F2272" s="153" t="n">
        <f aca="false">(SUMPRODUCT($E2273:$E2297,F2273:F2297))*1</f>
        <v>890.95133562</v>
      </c>
      <c r="G2272" s="153" t="n">
        <f aca="false">(SUMPRODUCT($E2273:$E2297,G2273:G2297))*1</f>
        <v>355.3508340577</v>
      </c>
    </row>
    <row r="2273" customFormat="false" ht="21" hidden="false" customHeight="false" outlineLevel="0" collapsed="false">
      <c r="A2273" s="154" t="n">
        <v>37370</v>
      </c>
      <c r="B2273" s="155" t="s">
        <v>1443</v>
      </c>
      <c r="C2273" s="148" t="str">
        <f aca="false">VLOOKUP($A2273,INSUMOS_AUX!$A$3:$H$813,3,0)</f>
        <v>MAT.</v>
      </c>
      <c r="D2273" s="156" t="s">
        <v>1444</v>
      </c>
      <c r="E2273" s="154" t="n">
        <v>21.160111</v>
      </c>
      <c r="F2273" s="149" t="n">
        <f aca="false">IF(C2273="MAT.",VLOOKUP(A2273,INSUMOS_AUX!$A$3:$H$813,6,0),0)</f>
        <v>3.32</v>
      </c>
      <c r="G2273" s="149" t="n">
        <f aca="false">IF(C2273="M.O.",VLOOKUP(A2273,INSUMOS_AUX!A:F,6,0),0)</f>
        <v>0</v>
      </c>
    </row>
    <row r="2274" customFormat="false" ht="21" hidden="false" customHeight="false" outlineLevel="0" collapsed="false">
      <c r="A2274" s="154" t="n">
        <v>43483</v>
      </c>
      <c r="B2274" s="155" t="s">
        <v>1486</v>
      </c>
      <c r="C2274" s="148" t="str">
        <f aca="false">VLOOKUP($A2274,INSUMOS_AUX!$A$3:$H$813,3,0)</f>
        <v>MAT.</v>
      </c>
      <c r="D2274" s="156" t="s">
        <v>1444</v>
      </c>
      <c r="E2274" s="154" t="n">
        <v>8.293</v>
      </c>
      <c r="F2274" s="149" t="n">
        <f aca="false">IF(C2274="MAT.",VLOOKUP(A2274,INSUMOS_AUX!$A$3:$H$813,6,0),0)</f>
        <v>1.43</v>
      </c>
      <c r="G2274" s="149" t="n">
        <f aca="false">IF(C2274="M.O.",VLOOKUP(A2274,INSUMOS_AUX!A:F,6,0),0)</f>
        <v>0</v>
      </c>
    </row>
    <row r="2275" customFormat="false" ht="21" hidden="false" customHeight="false" outlineLevel="0" collapsed="false">
      <c r="A2275" s="154" t="n">
        <v>43489</v>
      </c>
      <c r="B2275" s="155" t="s">
        <v>1456</v>
      </c>
      <c r="C2275" s="148" t="str">
        <f aca="false">VLOOKUP($A2275,INSUMOS_AUX!$A$3:$H$813,3,0)</f>
        <v>MAT.</v>
      </c>
      <c r="D2275" s="156" t="s">
        <v>1444</v>
      </c>
      <c r="E2275" s="154" t="n">
        <v>3.362</v>
      </c>
      <c r="F2275" s="149" t="n">
        <f aca="false">IF(C2275="MAT.",VLOOKUP(A2275,INSUMOS_AUX!$A$3:$H$813,6,0),0)</f>
        <v>1.31</v>
      </c>
      <c r="G2275" s="149" t="n">
        <f aca="false">IF(C2275="M.O.",VLOOKUP(A2275,INSUMOS_AUX!A:F,6,0),0)</f>
        <v>0</v>
      </c>
    </row>
    <row r="2276" customFormat="false" ht="21" hidden="false" customHeight="false" outlineLevel="0" collapsed="false">
      <c r="A2276" s="154" t="n">
        <v>43491</v>
      </c>
      <c r="B2276" s="155" t="s">
        <v>1457</v>
      </c>
      <c r="C2276" s="148" t="str">
        <f aca="false">VLOOKUP($A2276,INSUMOS_AUX!$A$3:$H$813,3,0)</f>
        <v>MAT.</v>
      </c>
      <c r="D2276" s="156" t="s">
        <v>1444</v>
      </c>
      <c r="E2276" s="154" t="n">
        <v>9.505111</v>
      </c>
      <c r="F2276" s="149" t="n">
        <f aca="false">IF(C2276="MAT.",VLOOKUP(A2276,INSUMOS_AUX!$A$3:$H$813,6,0),0)</f>
        <v>1.39</v>
      </c>
      <c r="G2276" s="149" t="n">
        <f aca="false">IF(C2276="M.O.",VLOOKUP(A2276,INSUMOS_AUX!A:F,6,0),0)</f>
        <v>0</v>
      </c>
    </row>
    <row r="2277" customFormat="false" ht="21" hidden="false" customHeight="false" outlineLevel="0" collapsed="false">
      <c r="A2277" s="154" t="n">
        <v>37372</v>
      </c>
      <c r="B2277" s="155" t="s">
        <v>1446</v>
      </c>
      <c r="C2277" s="148" t="str">
        <f aca="false">VLOOKUP($A2277,INSUMOS_AUX!$A$3:$H$813,3,0)</f>
        <v>MAT.</v>
      </c>
      <c r="D2277" s="156" t="s">
        <v>1444</v>
      </c>
      <c r="E2277" s="154" t="n">
        <v>21.160111</v>
      </c>
      <c r="F2277" s="149" t="n">
        <f aca="false">IF(C2277="MAT.",VLOOKUP(A2277,INSUMOS_AUX!$A$3:$H$813,6,0),0)</f>
        <v>1.43</v>
      </c>
      <c r="G2277" s="149" t="n">
        <f aca="false">IF(C2277="M.O.",VLOOKUP(A2277,INSUMOS_AUX!A:F,6,0),0)</f>
        <v>0</v>
      </c>
    </row>
    <row r="2278" customFormat="false" ht="21" hidden="false" customHeight="false" outlineLevel="0" collapsed="false">
      <c r="A2278" s="154" t="n">
        <v>43459</v>
      </c>
      <c r="B2278" s="155" t="s">
        <v>1487</v>
      </c>
      <c r="C2278" s="148" t="str">
        <f aca="false">VLOOKUP($A2278,INSUMOS_AUX!$A$3:$H$813,3,0)</f>
        <v>MAT.</v>
      </c>
      <c r="D2278" s="156" t="s">
        <v>1444</v>
      </c>
      <c r="E2278" s="154" t="n">
        <v>8.293</v>
      </c>
      <c r="F2278" s="149" t="n">
        <f aca="false">IF(C2278="MAT.",VLOOKUP(A2278,INSUMOS_AUX!$A$3:$H$813,6,0),0)</f>
        <v>0.44</v>
      </c>
      <c r="G2278" s="149" t="n">
        <f aca="false">IF(C2278="M.O.",VLOOKUP(A2278,INSUMOS_AUX!A:F,6,0),0)</f>
        <v>0</v>
      </c>
    </row>
    <row r="2279" customFormat="false" ht="21" hidden="false" customHeight="false" outlineLevel="0" collapsed="false">
      <c r="A2279" s="154" t="n">
        <v>43465</v>
      </c>
      <c r="B2279" s="155" t="s">
        <v>1458</v>
      </c>
      <c r="C2279" s="148" t="str">
        <f aca="false">VLOOKUP($A2279,INSUMOS_AUX!$A$3:$H$813,3,0)</f>
        <v>MAT.</v>
      </c>
      <c r="D2279" s="156" t="s">
        <v>1444</v>
      </c>
      <c r="E2279" s="154" t="n">
        <v>3.362</v>
      </c>
      <c r="F2279" s="149" t="n">
        <f aca="false">IF(C2279="MAT.",VLOOKUP(A2279,INSUMOS_AUX!$A$3:$H$813,6,0),0)</f>
        <v>0.78</v>
      </c>
      <c r="G2279" s="149" t="n">
        <f aca="false">IF(C2279="M.O.",VLOOKUP(A2279,INSUMOS_AUX!A:F,6,0),0)</f>
        <v>0</v>
      </c>
    </row>
    <row r="2280" customFormat="false" ht="21" hidden="false" customHeight="false" outlineLevel="0" collapsed="false">
      <c r="A2280" s="154" t="n">
        <v>43467</v>
      </c>
      <c r="B2280" s="155" t="s">
        <v>1459</v>
      </c>
      <c r="C2280" s="148" t="str">
        <f aca="false">VLOOKUP($A2280,INSUMOS_AUX!$A$3:$H$813,3,0)</f>
        <v>MAT.</v>
      </c>
      <c r="D2280" s="156" t="s">
        <v>1444</v>
      </c>
      <c r="E2280" s="154" t="n">
        <v>9.505111</v>
      </c>
      <c r="F2280" s="149" t="n">
        <f aca="false">IF(C2280="MAT.",VLOOKUP(A2280,INSUMOS_AUX!$A$3:$H$813,6,0),0)</f>
        <v>0.61</v>
      </c>
      <c r="G2280" s="149" t="n">
        <f aca="false">IF(C2280="M.O.",VLOOKUP(A2280,INSUMOS_AUX!A:F,6,0),0)</f>
        <v>0</v>
      </c>
    </row>
    <row r="2281" customFormat="false" ht="21" hidden="false" customHeight="false" outlineLevel="0" collapsed="false">
      <c r="A2281" s="154" t="n">
        <v>37373</v>
      </c>
      <c r="B2281" s="155" t="s">
        <v>1448</v>
      </c>
      <c r="C2281" s="148" t="str">
        <f aca="false">VLOOKUP($A2281,INSUMOS_AUX!$A$3:$H$813,3,0)</f>
        <v>MAT.</v>
      </c>
      <c r="D2281" s="156" t="s">
        <v>1444</v>
      </c>
      <c r="E2281" s="154" t="n">
        <v>21.160111</v>
      </c>
      <c r="F2281" s="149" t="n">
        <f aca="false">IF(C2281="MAT.",VLOOKUP(A2281,INSUMOS_AUX!$A$3:$H$813,6,0),0)</f>
        <v>0.08</v>
      </c>
      <c r="G2281" s="149" t="n">
        <f aca="false">IF(C2281="M.O.",VLOOKUP(A2281,INSUMOS_AUX!A:F,6,0),0)</f>
        <v>0</v>
      </c>
    </row>
    <row r="2282" customFormat="false" ht="21" hidden="false" customHeight="false" outlineLevel="0" collapsed="false">
      <c r="A2282" s="154" t="n">
        <v>37371</v>
      </c>
      <c r="B2282" s="155" t="s">
        <v>1449</v>
      </c>
      <c r="C2282" s="148" t="str">
        <f aca="false">VLOOKUP($A2282,INSUMOS_AUX!$A$3:$H$813,3,0)</f>
        <v>MAT.</v>
      </c>
      <c r="D2282" s="156" t="s">
        <v>1444</v>
      </c>
      <c r="E2282" s="154" t="n">
        <v>21.160111</v>
      </c>
      <c r="F2282" s="149" t="n">
        <f aca="false">IF(C2282="MAT.",VLOOKUP(A2282,INSUMOS_AUX!$A$3:$H$813,6,0),0)</f>
        <v>0.59</v>
      </c>
      <c r="G2282" s="149" t="n">
        <f aca="false">IF(C2282="M.O.",VLOOKUP(A2282,INSUMOS_AUX!A:F,6,0),0)</f>
        <v>0</v>
      </c>
    </row>
    <row r="2283" customFormat="false" ht="21" hidden="false" customHeight="false" outlineLevel="0" collapsed="false">
      <c r="A2283" s="154" t="n">
        <v>370</v>
      </c>
      <c r="B2283" s="155" t="s">
        <v>1527</v>
      </c>
      <c r="C2283" s="148" t="str">
        <f aca="false">VLOOKUP($A2283,INSUMOS_AUX!$A$3:$H$813,3,0)</f>
        <v>MAT.</v>
      </c>
      <c r="D2283" s="156" t="s">
        <v>1442</v>
      </c>
      <c r="E2283" s="154" t="n">
        <v>0.023861</v>
      </c>
      <c r="F2283" s="149" t="n">
        <f aca="false">IF(C2283="MAT.",VLOOKUP(A2283,INSUMOS_AUX!$A$3:$H$813,6,0),0)</f>
        <v>150</v>
      </c>
      <c r="G2283" s="149" t="n">
        <f aca="false">IF(C2283="M.O.",VLOOKUP(A2283,INSUMOS_AUX!A:F,6,0),0)</f>
        <v>0</v>
      </c>
    </row>
    <row r="2284" customFormat="false" ht="52.5" hidden="false" customHeight="false" outlineLevel="0" collapsed="false">
      <c r="A2284" s="154" t="n">
        <v>183</v>
      </c>
      <c r="B2284" s="155" t="s">
        <v>1841</v>
      </c>
      <c r="C2284" s="148" t="str">
        <f aca="false">VLOOKUP($A2284,INSUMOS_AUX!$A$3:$H$813,3,0)</f>
        <v>MAT.</v>
      </c>
      <c r="D2284" s="156" t="s">
        <v>1842</v>
      </c>
      <c r="E2284" s="154" t="n">
        <v>1</v>
      </c>
      <c r="F2284" s="149" t="n">
        <f aca="false">IF(C2284="MAT.",VLOOKUP(A2284,INSUMOS_AUX!$A$3:$H$813,6,0),0)</f>
        <v>175</v>
      </c>
      <c r="G2284" s="149" t="n">
        <f aca="false">IF(C2284="M.O.",VLOOKUP(A2284,INSUMOS_AUX!A:F,6,0),0)</f>
        <v>0</v>
      </c>
    </row>
    <row r="2285" customFormat="false" ht="15" hidden="false" customHeight="false" outlineLevel="0" collapsed="false">
      <c r="A2285" s="154" t="n">
        <v>1379</v>
      </c>
      <c r="B2285" s="155" t="s">
        <v>1535</v>
      </c>
      <c r="C2285" s="148" t="s">
        <v>59</v>
      </c>
      <c r="D2285" s="156" t="s">
        <v>1513</v>
      </c>
      <c r="E2285" s="154" t="n">
        <v>10.770008</v>
      </c>
      <c r="F2285" s="149" t="n">
        <f aca="false">IF(C2285="MAT.",VLOOKUP(A2285,INSUMOS_AUX!$A$3:$H$813,6,0),0)</f>
        <v>0</v>
      </c>
      <c r="G2285" s="149" t="n">
        <f aca="false">IF(C2285="M.O.",VLOOKUP(A2285,INSUMOS_AUX!A:F,6,0),0)</f>
        <v>0</v>
      </c>
    </row>
    <row r="2286" customFormat="false" ht="15" hidden="false" customHeight="false" outlineLevel="0" collapsed="false">
      <c r="A2286" s="154" t="n">
        <v>38124</v>
      </c>
      <c r="B2286" s="155" t="s">
        <v>1716</v>
      </c>
      <c r="C2286" s="148" t="str">
        <f aca="false">VLOOKUP($A2286,INSUMOS_AUX!$A$3:$H$813,3,0)</f>
        <v>MAT.</v>
      </c>
      <c r="D2286" s="156" t="s">
        <v>31</v>
      </c>
      <c r="E2286" s="154" t="n">
        <v>1</v>
      </c>
      <c r="F2286" s="149" t="n">
        <f aca="false">IF(C2286="MAT.",VLOOKUP(A2286,INSUMOS_AUX!$A$3:$H$813,6,0),0)</f>
        <v>23.41</v>
      </c>
      <c r="G2286" s="149" t="n">
        <f aca="false">IF(C2286="M.O.",VLOOKUP(A2286,INSUMOS_AUX!A:F,6,0),0)</f>
        <v>0</v>
      </c>
    </row>
    <row r="2287" customFormat="false" ht="31.5" hidden="false" customHeight="false" outlineLevel="0" collapsed="false">
      <c r="A2287" s="154" t="n">
        <v>38165</v>
      </c>
      <c r="B2287" s="155" t="s">
        <v>1855</v>
      </c>
      <c r="C2287" s="148" t="str">
        <f aca="false">VLOOKUP($A2287,INSUMOS_AUX!$A$3:$H$813,3,0)</f>
        <v>MAT.</v>
      </c>
      <c r="D2287" s="156" t="s">
        <v>1538</v>
      </c>
      <c r="E2287" s="154" t="n">
        <v>1</v>
      </c>
      <c r="F2287" s="149" t="n">
        <f aca="false">IF(C2287="MAT.",VLOOKUP(A2287,INSUMOS_AUX!$A$3:$H$813,6,0),0)</f>
        <v>79.49</v>
      </c>
      <c r="G2287" s="149" t="n">
        <f aca="false">IF(C2287="M.O.",VLOOKUP(A2287,INSUMOS_AUX!A:F,6,0),0)</f>
        <v>0</v>
      </c>
    </row>
    <row r="2288" customFormat="false" ht="31.5" hidden="false" customHeight="false" outlineLevel="0" collapsed="false">
      <c r="A2288" s="154" t="n">
        <v>10556</v>
      </c>
      <c r="B2288" s="155" t="s">
        <v>1852</v>
      </c>
      <c r="C2288" s="148" t="str">
        <f aca="false">VLOOKUP($A2288,INSUMOS_AUX!$A$3:$H$813,3,0)</f>
        <v>MAT.</v>
      </c>
      <c r="D2288" s="156" t="s">
        <v>31</v>
      </c>
      <c r="E2288" s="154" t="n">
        <v>1</v>
      </c>
      <c r="F2288" s="149" t="n">
        <f aca="false">IF(C2288="MAT.",VLOOKUP(A2288,INSUMOS_AUX!$A$3:$H$813,6,0),0)</f>
        <v>301.97</v>
      </c>
      <c r="G2288" s="149" t="n">
        <f aca="false">IF(C2288="M.O.",VLOOKUP(A2288,INSUMOS_AUX!A:F,6,0),0)</f>
        <v>0</v>
      </c>
    </row>
    <row r="2289" customFormat="false" ht="15" hidden="false" customHeight="false" outlineLevel="0" collapsed="false">
      <c r="A2289" s="154" t="n">
        <v>5066</v>
      </c>
      <c r="B2289" s="155" t="s">
        <v>1848</v>
      </c>
      <c r="C2289" s="148" t="str">
        <f aca="false">VLOOKUP($A2289,INSUMOS_AUX!$A$3:$H$813,3,0)</f>
        <v>MAT.</v>
      </c>
      <c r="D2289" s="156" t="s">
        <v>1513</v>
      </c>
      <c r="E2289" s="154" t="n">
        <v>0.011</v>
      </c>
      <c r="F2289" s="149" t="n">
        <f aca="false">IF(C2289="MAT.",VLOOKUP(A2289,INSUMOS_AUX!$A$3:$H$813,6,0),0)</f>
        <v>26.81</v>
      </c>
      <c r="G2289" s="149" t="n">
        <f aca="false">IF(C2289="M.O.",VLOOKUP(A2289,INSUMOS_AUX!A:F,6,0),0)</f>
        <v>0</v>
      </c>
    </row>
    <row r="2290" customFormat="false" ht="15" hidden="false" customHeight="false" outlineLevel="0" collapsed="false">
      <c r="A2290" s="154" t="n">
        <v>5075</v>
      </c>
      <c r="B2290" s="155" t="s">
        <v>1580</v>
      </c>
      <c r="C2290" s="148" t="str">
        <f aca="false">VLOOKUP($A2290,INSUMOS_AUX!$A$3:$H$813,3,0)</f>
        <v>MAT.</v>
      </c>
      <c r="D2290" s="156" t="s">
        <v>1513</v>
      </c>
      <c r="E2290" s="154" t="n">
        <v>0.024</v>
      </c>
      <c r="F2290" s="149" t="n">
        <f aca="false">IF(C2290="MAT.",VLOOKUP(A2290,INSUMOS_AUX!$A$3:$H$813,6,0),0)</f>
        <v>20.34</v>
      </c>
      <c r="G2290" s="149" t="n">
        <f aca="false">IF(C2290="M.O.",VLOOKUP(A2290,INSUMOS_AUX!A:F,6,0),0)</f>
        <v>0</v>
      </c>
    </row>
    <row r="2291" customFormat="false" ht="15" hidden="false" customHeight="false" outlineLevel="0" collapsed="false">
      <c r="A2291" s="154" t="n">
        <v>39027</v>
      </c>
      <c r="B2291" s="155" t="s">
        <v>1581</v>
      </c>
      <c r="C2291" s="148" t="str">
        <f aca="false">VLOOKUP($A2291,INSUMOS_AUX!$A$3:$H$813,3,0)</f>
        <v>MAT.</v>
      </c>
      <c r="D2291" s="156" t="s">
        <v>1513</v>
      </c>
      <c r="E2291" s="154" t="n">
        <v>0.2</v>
      </c>
      <c r="F2291" s="149" t="n">
        <f aca="false">IF(C2291="MAT.",VLOOKUP(A2291,INSUMOS_AUX!$A$3:$H$813,6,0),0)</f>
        <v>20.32</v>
      </c>
      <c r="G2291" s="149" t="n">
        <f aca="false">IF(C2291="M.O.",VLOOKUP(A2291,INSUMOS_AUX!A:F,6,0),0)</f>
        <v>0</v>
      </c>
    </row>
    <row r="2292" customFormat="false" ht="31.5" hidden="false" customHeight="false" outlineLevel="0" collapsed="false">
      <c r="A2292" s="154" t="n">
        <v>38179</v>
      </c>
      <c r="B2292" s="155" t="s">
        <v>1856</v>
      </c>
      <c r="C2292" s="148" t="str">
        <f aca="false">VLOOKUP($A2292,INSUMOS_AUX!$A$3:$H$813,3,0)</f>
        <v>MAT.</v>
      </c>
      <c r="D2292" s="156" t="s">
        <v>31</v>
      </c>
      <c r="E2292" s="154" t="n">
        <v>2</v>
      </c>
      <c r="F2292" s="149" t="n">
        <f aca="false">IF(C2292="MAT.",VLOOKUP(A2292,INSUMOS_AUX!$A$3:$H$813,6,0),0)</f>
        <v>53.38</v>
      </c>
      <c r="G2292" s="149" t="n">
        <f aca="false">IF(C2292="M.O.",VLOOKUP(A2292,INSUMOS_AUX!A:F,6,0),0)</f>
        <v>0</v>
      </c>
    </row>
    <row r="2293" customFormat="false" ht="21" hidden="false" customHeight="false" outlineLevel="0" collapsed="false">
      <c r="A2293" s="154" t="n">
        <v>7319</v>
      </c>
      <c r="B2293" s="155" t="s">
        <v>1850</v>
      </c>
      <c r="C2293" s="148" t="str">
        <f aca="false">VLOOKUP($A2293,INSUMOS_AUX!$A$3:$H$813,3,0)</f>
        <v>MAT.</v>
      </c>
      <c r="D2293" s="156" t="s">
        <v>1452</v>
      </c>
      <c r="E2293" s="154" t="n">
        <v>0.1671</v>
      </c>
      <c r="F2293" s="149" t="n">
        <f aca="false">IF(C2293="MAT.",VLOOKUP(A2293,INSUMOS_AUX!$A$3:$H$813,6,0),0)</f>
        <v>10.62</v>
      </c>
      <c r="G2293" s="149" t="n">
        <f aca="false">IF(C2293="M.O.",VLOOKUP(A2293,INSUMOS_AUX!A:F,6,0),0)</f>
        <v>0</v>
      </c>
    </row>
    <row r="2294" customFormat="false" ht="31.5" hidden="false" customHeight="false" outlineLevel="0" collapsed="false">
      <c r="A2294" s="154" t="n">
        <v>11581</v>
      </c>
      <c r="B2294" s="155" t="s">
        <v>1857</v>
      </c>
      <c r="C2294" s="148" t="str">
        <f aca="false">VLOOKUP($A2294,INSUMOS_AUX!$A$3:$H$813,3,0)</f>
        <v>MAT.</v>
      </c>
      <c r="D2294" s="156" t="s">
        <v>1455</v>
      </c>
      <c r="E2294" s="154" t="n">
        <v>1.6</v>
      </c>
      <c r="F2294" s="149" t="n">
        <f aca="false">IF(C2294="MAT.",VLOOKUP(A2294,INSUMOS_AUX!$A$3:$H$813,6,0),0)</f>
        <v>23.68</v>
      </c>
      <c r="G2294" s="149" t="n">
        <f aca="false">IF(C2294="M.O.",VLOOKUP(A2294,INSUMOS_AUX!A:F,6,0),0)</f>
        <v>0</v>
      </c>
    </row>
    <row r="2295" customFormat="false" ht="15" hidden="false" customHeight="false" outlineLevel="0" collapsed="false">
      <c r="A2295" s="154" t="n">
        <v>1214</v>
      </c>
      <c r="B2295" s="155" t="s">
        <v>1556</v>
      </c>
      <c r="C2295" s="148" t="str">
        <f aca="false">VLOOKUP($A2295,INSUMOS_AUX!$A$3:$H$813,3,0)</f>
        <v>M.O.</v>
      </c>
      <c r="D2295" s="156" t="s">
        <v>1444</v>
      </c>
      <c r="E2295" s="154" t="n">
        <v>8.41540468</v>
      </c>
      <c r="F2295" s="149" t="n">
        <f aca="false">IF(C2295="MAT.",VLOOKUP(A2295,INSUMOS_AUX!$A$3:$H$813,6,0),0)</f>
        <v>0</v>
      </c>
      <c r="G2295" s="149" t="n">
        <f aca="false">IF(C2295="M.O.",VLOOKUP(A2295,INSUMOS_AUX!A:F,6,0),0)</f>
        <v>19.04</v>
      </c>
    </row>
    <row r="2296" customFormat="false" ht="15" hidden="false" customHeight="false" outlineLevel="0" collapsed="false">
      <c r="A2296" s="154" t="n">
        <v>4750</v>
      </c>
      <c r="B2296" s="155" t="s">
        <v>1463</v>
      </c>
      <c r="C2296" s="148" t="str">
        <f aca="false">VLOOKUP($A2296,INSUMOS_AUX!$A$3:$H$813,3,0)</f>
        <v>M.O.</v>
      </c>
      <c r="D2296" s="156" t="s">
        <v>1444</v>
      </c>
      <c r="E2296" s="154" t="n">
        <v>3.4332744</v>
      </c>
      <c r="F2296" s="149" t="n">
        <f aca="false">IF(C2296="MAT.",VLOOKUP(A2296,INSUMOS_AUX!$A$3:$H$813,6,0),0)</f>
        <v>0</v>
      </c>
      <c r="G2296" s="149" t="n">
        <f aca="false">IF(C2296="M.O.",VLOOKUP(A2296,INSUMOS_AUX!A:F,6,0),0)</f>
        <v>20.22</v>
      </c>
    </row>
    <row r="2297" customFormat="false" ht="15" hidden="false" customHeight="false" outlineLevel="0" collapsed="false">
      <c r="A2297" s="154" t="n">
        <v>6111</v>
      </c>
      <c r="B2297" s="155" t="s">
        <v>1464</v>
      </c>
      <c r="C2297" s="148" t="str">
        <f aca="false">VLOOKUP($A2297,INSUMOS_AUX!$A$3:$H$813,3,0)</f>
        <v>M.O.</v>
      </c>
      <c r="D2297" s="156" t="s">
        <v>1444</v>
      </c>
      <c r="E2297" s="154" t="n">
        <v>9.70661935</v>
      </c>
      <c r="F2297" s="149" t="n">
        <f aca="false">IF(C2297="MAT.",VLOOKUP(A2297,INSUMOS_AUX!$A$3:$H$813,6,0),0)</f>
        <v>0</v>
      </c>
      <c r="G2297" s="149" t="n">
        <f aca="false">IF(C2297="M.O.",VLOOKUP(A2297,INSUMOS_AUX!A:F,6,0),0)</f>
        <v>12.95</v>
      </c>
    </row>
    <row r="2298" customFormat="false" ht="21" hidden="false" customHeight="false" outlineLevel="0" collapsed="false">
      <c r="A2298" s="150" t="s">
        <v>445</v>
      </c>
      <c r="B2298" s="151" t="s">
        <v>1858</v>
      </c>
      <c r="C2298" s="152" t="s">
        <v>59</v>
      </c>
      <c r="D2298" s="152" t="s">
        <v>31</v>
      </c>
      <c r="E2298" s="150"/>
      <c r="F2298" s="153" t="n">
        <f aca="false">(SUMPRODUCT($E2299:$E2310,F2299:F2310))*1</f>
        <v>904.94207</v>
      </c>
      <c r="G2298" s="153" t="n">
        <f aca="false">(SUMPRODUCT($E2299:$E2310,G2299:G2310))*1</f>
        <v>99.3196642376</v>
      </c>
    </row>
    <row r="2299" customFormat="false" ht="21" hidden="false" customHeight="false" outlineLevel="0" collapsed="false">
      <c r="A2299" s="154" t="n">
        <v>37370</v>
      </c>
      <c r="B2299" s="155" t="s">
        <v>1443</v>
      </c>
      <c r="C2299" s="148" t="str">
        <f aca="false">VLOOKUP($A2299,INSUMOS_AUX!$A$3:$H$813,3,0)</f>
        <v>MAT.</v>
      </c>
      <c r="D2299" s="156" t="s">
        <v>1444</v>
      </c>
      <c r="E2299" s="154" t="n">
        <v>6.415</v>
      </c>
      <c r="F2299" s="149" t="n">
        <f aca="false">IF(C2299="MAT.",VLOOKUP(A2299,INSUMOS_AUX!$A$3:$H$813,6,0),0)</f>
        <v>3.32</v>
      </c>
      <c r="G2299" s="149" t="n">
        <f aca="false">IF(C2299="M.O.",VLOOKUP(A2299,INSUMOS_AUX!A:F,6,0),0)</f>
        <v>0</v>
      </c>
    </row>
    <row r="2300" customFormat="false" ht="21" hidden="false" customHeight="false" outlineLevel="0" collapsed="false">
      <c r="A2300" s="154" t="n">
        <v>43489</v>
      </c>
      <c r="B2300" s="155" t="s">
        <v>1456</v>
      </c>
      <c r="C2300" s="148" t="str">
        <f aca="false">VLOOKUP($A2300,INSUMOS_AUX!$A$3:$H$813,3,0)</f>
        <v>MAT.</v>
      </c>
      <c r="D2300" s="156" t="s">
        <v>1444</v>
      </c>
      <c r="E2300" s="154" t="n">
        <v>3.253</v>
      </c>
      <c r="F2300" s="149" t="n">
        <f aca="false">IF(C2300="MAT.",VLOOKUP(A2300,INSUMOS_AUX!$A$3:$H$813,6,0),0)</f>
        <v>1.31</v>
      </c>
      <c r="G2300" s="149" t="n">
        <f aca="false">IF(C2300="M.O.",VLOOKUP(A2300,INSUMOS_AUX!A:F,6,0),0)</f>
        <v>0</v>
      </c>
    </row>
    <row r="2301" customFormat="false" ht="21" hidden="false" customHeight="false" outlineLevel="0" collapsed="false">
      <c r="A2301" s="154" t="n">
        <v>43491</v>
      </c>
      <c r="B2301" s="155" t="s">
        <v>1457</v>
      </c>
      <c r="C2301" s="148" t="str">
        <f aca="false">VLOOKUP($A2301,INSUMOS_AUX!$A$3:$H$813,3,0)</f>
        <v>MAT.</v>
      </c>
      <c r="D2301" s="156" t="s">
        <v>1444</v>
      </c>
      <c r="E2301" s="154" t="n">
        <v>3.162</v>
      </c>
      <c r="F2301" s="149" t="n">
        <f aca="false">IF(C2301="MAT.",VLOOKUP(A2301,INSUMOS_AUX!$A$3:$H$813,6,0),0)</f>
        <v>1.39</v>
      </c>
      <c r="G2301" s="149" t="n">
        <f aca="false">IF(C2301="M.O.",VLOOKUP(A2301,INSUMOS_AUX!A:F,6,0),0)</f>
        <v>0</v>
      </c>
    </row>
    <row r="2302" customFormat="false" ht="21" hidden="false" customHeight="false" outlineLevel="0" collapsed="false">
      <c r="A2302" s="154" t="n">
        <v>37372</v>
      </c>
      <c r="B2302" s="155" t="s">
        <v>1446</v>
      </c>
      <c r="C2302" s="148" t="str">
        <f aca="false">VLOOKUP($A2302,INSUMOS_AUX!$A$3:$H$813,3,0)</f>
        <v>MAT.</v>
      </c>
      <c r="D2302" s="156" t="s">
        <v>1444</v>
      </c>
      <c r="E2302" s="154" t="n">
        <v>6.415</v>
      </c>
      <c r="F2302" s="149" t="n">
        <f aca="false">IF(C2302="MAT.",VLOOKUP(A2302,INSUMOS_AUX!$A$3:$H$813,6,0),0)</f>
        <v>1.43</v>
      </c>
      <c r="G2302" s="149" t="n">
        <f aca="false">IF(C2302="M.O.",VLOOKUP(A2302,INSUMOS_AUX!A:F,6,0),0)</f>
        <v>0</v>
      </c>
    </row>
    <row r="2303" customFormat="false" ht="21" hidden="false" customHeight="false" outlineLevel="0" collapsed="false">
      <c r="A2303" s="154" t="n">
        <v>43465</v>
      </c>
      <c r="B2303" s="155" t="s">
        <v>1458</v>
      </c>
      <c r="C2303" s="148" t="str">
        <f aca="false">VLOOKUP($A2303,INSUMOS_AUX!$A$3:$H$813,3,0)</f>
        <v>MAT.</v>
      </c>
      <c r="D2303" s="156" t="s">
        <v>1444</v>
      </c>
      <c r="E2303" s="154" t="n">
        <v>3.253</v>
      </c>
      <c r="F2303" s="149" t="n">
        <f aca="false">IF(C2303="MAT.",VLOOKUP(A2303,INSUMOS_AUX!$A$3:$H$813,6,0),0)</f>
        <v>0.78</v>
      </c>
      <c r="G2303" s="149" t="n">
        <f aca="false">IF(C2303="M.O.",VLOOKUP(A2303,INSUMOS_AUX!A:F,6,0),0)</f>
        <v>0</v>
      </c>
    </row>
    <row r="2304" customFormat="false" ht="21" hidden="false" customHeight="false" outlineLevel="0" collapsed="false">
      <c r="A2304" s="154" t="n">
        <v>43467</v>
      </c>
      <c r="B2304" s="155" t="s">
        <v>1459</v>
      </c>
      <c r="C2304" s="148" t="str">
        <f aca="false">VLOOKUP($A2304,INSUMOS_AUX!$A$3:$H$813,3,0)</f>
        <v>MAT.</v>
      </c>
      <c r="D2304" s="156" t="s">
        <v>1444</v>
      </c>
      <c r="E2304" s="154" t="n">
        <v>3.162</v>
      </c>
      <c r="F2304" s="149" t="n">
        <f aca="false">IF(C2304="MAT.",VLOOKUP(A2304,INSUMOS_AUX!$A$3:$H$813,6,0),0)</f>
        <v>0.61</v>
      </c>
      <c r="G2304" s="149" t="n">
        <f aca="false">IF(C2304="M.O.",VLOOKUP(A2304,INSUMOS_AUX!A:F,6,0),0)</f>
        <v>0</v>
      </c>
    </row>
    <row r="2305" customFormat="false" ht="21" hidden="false" customHeight="false" outlineLevel="0" collapsed="false">
      <c r="A2305" s="154" t="n">
        <v>37373</v>
      </c>
      <c r="B2305" s="155" t="s">
        <v>1448</v>
      </c>
      <c r="C2305" s="148" t="str">
        <f aca="false">VLOOKUP($A2305,INSUMOS_AUX!$A$3:$H$813,3,0)</f>
        <v>MAT.</v>
      </c>
      <c r="D2305" s="156" t="s">
        <v>1444</v>
      </c>
      <c r="E2305" s="154" t="n">
        <v>6.415</v>
      </c>
      <c r="F2305" s="149" t="n">
        <f aca="false">IF(C2305="MAT.",VLOOKUP(A2305,INSUMOS_AUX!$A$3:$H$813,6,0),0)</f>
        <v>0.08</v>
      </c>
      <c r="G2305" s="149" t="n">
        <f aca="false">IF(C2305="M.O.",VLOOKUP(A2305,INSUMOS_AUX!A:F,6,0),0)</f>
        <v>0</v>
      </c>
    </row>
    <row r="2306" customFormat="false" ht="21" hidden="false" customHeight="false" outlineLevel="0" collapsed="false">
      <c r="A2306" s="154" t="n">
        <v>37371</v>
      </c>
      <c r="B2306" s="155" t="s">
        <v>1449</v>
      </c>
      <c r="C2306" s="148" t="str">
        <f aca="false">VLOOKUP($A2306,INSUMOS_AUX!$A$3:$H$813,3,0)</f>
        <v>MAT.</v>
      </c>
      <c r="D2306" s="156" t="s">
        <v>1444</v>
      </c>
      <c r="E2306" s="154" t="n">
        <v>6.415</v>
      </c>
      <c r="F2306" s="149" t="n">
        <f aca="false">IF(C2306="MAT.",VLOOKUP(A2306,INSUMOS_AUX!$A$3:$H$813,6,0),0)</f>
        <v>0.59</v>
      </c>
      <c r="G2306" s="149" t="n">
        <f aca="false">IF(C2306="M.O.",VLOOKUP(A2306,INSUMOS_AUX!A:F,6,0),0)</f>
        <v>0</v>
      </c>
    </row>
    <row r="2307" customFormat="false" ht="42" hidden="false" customHeight="false" outlineLevel="0" collapsed="false">
      <c r="A2307" s="154" t="n">
        <v>3104</v>
      </c>
      <c r="B2307" s="155" t="s">
        <v>1859</v>
      </c>
      <c r="C2307" s="148" t="str">
        <f aca="false">VLOOKUP($A2307,INSUMOS_AUX!$A$3:$H$813,3,0)</f>
        <v>MAT.</v>
      </c>
      <c r="D2307" s="156" t="s">
        <v>1538</v>
      </c>
      <c r="E2307" s="154" t="n">
        <v>1</v>
      </c>
      <c r="F2307" s="149" t="n">
        <f aca="false">IF(C2307="MAT.",VLOOKUP(A2307,INSUMOS_AUX!$A$3:$H$813,6,0),0)</f>
        <v>199.25</v>
      </c>
      <c r="G2307" s="149" t="n">
        <f aca="false">IF(C2307="M.O.",VLOOKUP(A2307,INSUMOS_AUX!A:F,6,0),0)</f>
        <v>0</v>
      </c>
    </row>
    <row r="2308" customFormat="false" ht="21" hidden="false" customHeight="false" outlineLevel="0" collapsed="false">
      <c r="A2308" s="154" t="n">
        <v>5031</v>
      </c>
      <c r="B2308" s="155" t="s">
        <v>1860</v>
      </c>
      <c r="C2308" s="148" t="str">
        <f aca="false">VLOOKUP($A2308,INSUMOS_AUX!$A$3:$H$813,3,0)</f>
        <v>MAT.</v>
      </c>
      <c r="D2308" s="156" t="s">
        <v>1477</v>
      </c>
      <c r="E2308" s="154" t="n">
        <v>2.2</v>
      </c>
      <c r="F2308" s="149" t="n">
        <f aca="false">IF(C2308="MAT.",VLOOKUP(A2308,INSUMOS_AUX!$A$3:$H$813,6,0),0)</f>
        <v>299</v>
      </c>
      <c r="G2308" s="149" t="n">
        <f aca="false">IF(C2308="M.O.",VLOOKUP(A2308,INSUMOS_AUX!A:F,6,0),0)</f>
        <v>0</v>
      </c>
    </row>
    <row r="2309" customFormat="false" ht="15" hidden="false" customHeight="false" outlineLevel="0" collapsed="false">
      <c r="A2309" s="154" t="n">
        <v>6111</v>
      </c>
      <c r="B2309" s="155" t="s">
        <v>1464</v>
      </c>
      <c r="C2309" s="148" t="str">
        <f aca="false">VLOOKUP($A2309,INSUMOS_AUX!$A$3:$H$813,3,0)</f>
        <v>M.O.</v>
      </c>
      <c r="D2309" s="156" t="s">
        <v>1444</v>
      </c>
      <c r="E2309" s="154" t="n">
        <v>3.2290344</v>
      </c>
      <c r="F2309" s="149" t="n">
        <f aca="false">IF(C2309="MAT.",VLOOKUP(A2309,INSUMOS_AUX!$A$3:$H$813,6,0),0)</f>
        <v>0</v>
      </c>
      <c r="G2309" s="149" t="n">
        <f aca="false">IF(C2309="M.O.",VLOOKUP(A2309,INSUMOS_AUX!A:F,6,0),0)</f>
        <v>12.95</v>
      </c>
    </row>
    <row r="2310" customFormat="false" ht="15" hidden="false" customHeight="false" outlineLevel="0" collapsed="false">
      <c r="A2310" s="154" t="n">
        <v>10489</v>
      </c>
      <c r="B2310" s="155" t="s">
        <v>1779</v>
      </c>
      <c r="C2310" s="148" t="str">
        <f aca="false">VLOOKUP($A2310,INSUMOS_AUX!$A$3:$H$813,3,0)</f>
        <v>M.O.</v>
      </c>
      <c r="D2310" s="156" t="s">
        <v>1444</v>
      </c>
      <c r="E2310" s="154" t="n">
        <v>3.30101428</v>
      </c>
      <c r="F2310" s="149" t="n">
        <f aca="false">IF(C2310="MAT.",VLOOKUP(A2310,INSUMOS_AUX!$A$3:$H$813,6,0),0)</f>
        <v>0</v>
      </c>
      <c r="G2310" s="149" t="n">
        <f aca="false">IF(C2310="M.O.",VLOOKUP(A2310,INSUMOS_AUX!A:F,6,0),0)</f>
        <v>17.42</v>
      </c>
    </row>
    <row r="2311" customFormat="false" ht="21" hidden="false" customHeight="false" outlineLevel="0" collapsed="false">
      <c r="A2311" s="150" t="s">
        <v>447</v>
      </c>
      <c r="B2311" s="151" t="s">
        <v>1861</v>
      </c>
      <c r="C2311" s="152" t="s">
        <v>59</v>
      </c>
      <c r="D2311" s="152" t="s">
        <v>31</v>
      </c>
      <c r="E2311" s="150"/>
      <c r="F2311" s="153" t="n">
        <f aca="false">(SUMPRODUCT($E2312:$E2324,F2312:F2324))*1</f>
        <v>1366.85845</v>
      </c>
      <c r="G2311" s="153" t="n">
        <f aca="false">(SUMPRODUCT($E2312:$E2324,G2312:G2324))*1</f>
        <v>113.7686825984</v>
      </c>
    </row>
    <row r="2312" customFormat="false" ht="21" hidden="false" customHeight="false" outlineLevel="0" collapsed="false">
      <c r="A2312" s="154" t="n">
        <v>37370</v>
      </c>
      <c r="B2312" s="155" t="s">
        <v>1443</v>
      </c>
      <c r="C2312" s="148" t="s">
        <v>59</v>
      </c>
      <c r="D2312" s="156" t="s">
        <v>1444</v>
      </c>
      <c r="E2312" s="154" t="n">
        <v>7.348</v>
      </c>
      <c r="F2312" s="149" t="n">
        <f aca="false">IF(C2312="MAT.",VLOOKUP(A2312,INSUMOS_AUX!$A$3:$H$813,6,0),0)</f>
        <v>0</v>
      </c>
      <c r="G2312" s="149" t="n">
        <f aca="false">IF(C2312="M.O.",VLOOKUP(A2312,INSUMOS_AUX!A:F,6,0),0)</f>
        <v>0</v>
      </c>
    </row>
    <row r="2313" customFormat="false" ht="21" hidden="false" customHeight="false" outlineLevel="0" collapsed="false">
      <c r="A2313" s="154" t="n">
        <v>43489</v>
      </c>
      <c r="B2313" s="155" t="s">
        <v>1456</v>
      </c>
      <c r="C2313" s="148" t="str">
        <f aca="false">VLOOKUP($A2313,INSUMOS_AUX!$A$3:$H$813,3,0)</f>
        <v>MAT.</v>
      </c>
      <c r="D2313" s="156" t="s">
        <v>1444</v>
      </c>
      <c r="E2313" s="154" t="n">
        <v>3.727</v>
      </c>
      <c r="F2313" s="149" t="n">
        <f aca="false">IF(C2313="MAT.",VLOOKUP(A2313,INSUMOS_AUX!$A$3:$H$813,6,0),0)</f>
        <v>1.31</v>
      </c>
      <c r="G2313" s="149" t="n">
        <f aca="false">IF(C2313="M.O.",VLOOKUP(A2313,INSUMOS_AUX!A:F,6,0),0)</f>
        <v>0</v>
      </c>
    </row>
    <row r="2314" customFormat="false" ht="21" hidden="false" customHeight="false" outlineLevel="0" collapsed="false">
      <c r="A2314" s="154" t="n">
        <v>43491</v>
      </c>
      <c r="B2314" s="155" t="s">
        <v>1457</v>
      </c>
      <c r="C2314" s="148" t="str">
        <f aca="false">VLOOKUP($A2314,INSUMOS_AUX!$A$3:$H$813,3,0)</f>
        <v>MAT.</v>
      </c>
      <c r="D2314" s="156" t="s">
        <v>1444</v>
      </c>
      <c r="E2314" s="154" t="n">
        <v>3.621</v>
      </c>
      <c r="F2314" s="149" t="n">
        <f aca="false">IF(C2314="MAT.",VLOOKUP(A2314,INSUMOS_AUX!$A$3:$H$813,6,0),0)</f>
        <v>1.39</v>
      </c>
      <c r="G2314" s="149" t="n">
        <f aca="false">IF(C2314="M.O.",VLOOKUP(A2314,INSUMOS_AUX!A:F,6,0),0)</f>
        <v>0</v>
      </c>
    </row>
    <row r="2315" customFormat="false" ht="21" hidden="false" customHeight="false" outlineLevel="0" collapsed="false">
      <c r="A2315" s="154" t="n">
        <v>37372</v>
      </c>
      <c r="B2315" s="155" t="s">
        <v>1446</v>
      </c>
      <c r="C2315" s="148" t="str">
        <f aca="false">VLOOKUP($A2315,INSUMOS_AUX!$A$3:$H$813,3,0)</f>
        <v>MAT.</v>
      </c>
      <c r="D2315" s="156" t="s">
        <v>1444</v>
      </c>
      <c r="E2315" s="154" t="n">
        <v>7.348</v>
      </c>
      <c r="F2315" s="149" t="n">
        <f aca="false">IF(C2315="MAT.",VLOOKUP(A2315,INSUMOS_AUX!$A$3:$H$813,6,0),0)</f>
        <v>1.43</v>
      </c>
      <c r="G2315" s="149" t="n">
        <f aca="false">IF(C2315="M.O.",VLOOKUP(A2315,INSUMOS_AUX!A:F,6,0),0)</f>
        <v>0</v>
      </c>
    </row>
    <row r="2316" customFormat="false" ht="21" hidden="false" customHeight="false" outlineLevel="0" collapsed="false">
      <c r="A2316" s="154" t="n">
        <v>43465</v>
      </c>
      <c r="B2316" s="155" t="s">
        <v>1458</v>
      </c>
      <c r="C2316" s="148" t="str">
        <f aca="false">VLOOKUP($A2316,INSUMOS_AUX!$A$3:$H$813,3,0)</f>
        <v>MAT.</v>
      </c>
      <c r="D2316" s="156" t="s">
        <v>1444</v>
      </c>
      <c r="E2316" s="154" t="n">
        <v>3.727</v>
      </c>
      <c r="F2316" s="149" t="n">
        <f aca="false">IF(C2316="MAT.",VLOOKUP(A2316,INSUMOS_AUX!$A$3:$H$813,6,0),0)</f>
        <v>0.78</v>
      </c>
      <c r="G2316" s="149" t="n">
        <f aca="false">IF(C2316="M.O.",VLOOKUP(A2316,INSUMOS_AUX!A:F,6,0),0)</f>
        <v>0</v>
      </c>
    </row>
    <row r="2317" customFormat="false" ht="21" hidden="false" customHeight="false" outlineLevel="0" collapsed="false">
      <c r="A2317" s="154" t="n">
        <v>43467</v>
      </c>
      <c r="B2317" s="155" t="s">
        <v>1459</v>
      </c>
      <c r="C2317" s="148" t="str">
        <f aca="false">VLOOKUP($A2317,INSUMOS_AUX!$A$3:$H$813,3,0)</f>
        <v>MAT.</v>
      </c>
      <c r="D2317" s="156" t="s">
        <v>1444</v>
      </c>
      <c r="E2317" s="154" t="n">
        <v>3.621</v>
      </c>
      <c r="F2317" s="149" t="n">
        <f aca="false">IF(C2317="MAT.",VLOOKUP(A2317,INSUMOS_AUX!$A$3:$H$813,6,0),0)</f>
        <v>0.61</v>
      </c>
      <c r="G2317" s="149" t="n">
        <f aca="false">IF(C2317="M.O.",VLOOKUP(A2317,INSUMOS_AUX!A:F,6,0),0)</f>
        <v>0</v>
      </c>
    </row>
    <row r="2318" customFormat="false" ht="21" hidden="false" customHeight="false" outlineLevel="0" collapsed="false">
      <c r="A2318" s="154" t="n">
        <v>37373</v>
      </c>
      <c r="B2318" s="155" t="s">
        <v>1448</v>
      </c>
      <c r="C2318" s="148" t="str">
        <f aca="false">VLOOKUP($A2318,INSUMOS_AUX!$A$3:$H$813,3,0)</f>
        <v>MAT.</v>
      </c>
      <c r="D2318" s="156" t="s">
        <v>1444</v>
      </c>
      <c r="E2318" s="154" t="n">
        <v>7.348</v>
      </c>
      <c r="F2318" s="149" t="n">
        <f aca="false">IF(C2318="MAT.",VLOOKUP(A2318,INSUMOS_AUX!$A$3:$H$813,6,0),0)</f>
        <v>0.08</v>
      </c>
      <c r="G2318" s="149" t="n">
        <f aca="false">IF(C2318="M.O.",VLOOKUP(A2318,INSUMOS_AUX!A:F,6,0),0)</f>
        <v>0</v>
      </c>
    </row>
    <row r="2319" customFormat="false" ht="21" hidden="false" customHeight="false" outlineLevel="0" collapsed="false">
      <c r="A2319" s="154" t="n">
        <v>37371</v>
      </c>
      <c r="B2319" s="155" t="s">
        <v>1449</v>
      </c>
      <c r="C2319" s="148" t="str">
        <f aca="false">VLOOKUP($A2319,INSUMOS_AUX!$A$3:$H$813,3,0)</f>
        <v>MAT.</v>
      </c>
      <c r="D2319" s="156" t="s">
        <v>1444</v>
      </c>
      <c r="E2319" s="154" t="n">
        <v>7.348</v>
      </c>
      <c r="F2319" s="149" t="n">
        <f aca="false">IF(C2319="MAT.",VLOOKUP(A2319,INSUMOS_AUX!$A$3:$H$813,6,0),0)</f>
        <v>0.59</v>
      </c>
      <c r="G2319" s="149" t="n">
        <f aca="false">IF(C2319="M.O.",VLOOKUP(A2319,INSUMOS_AUX!A:F,6,0),0)</f>
        <v>0</v>
      </c>
    </row>
    <row r="2320" customFormat="false" ht="42" hidden="false" customHeight="false" outlineLevel="0" collapsed="false">
      <c r="A2320" s="154" t="n">
        <v>3104</v>
      </c>
      <c r="B2320" s="155" t="s">
        <v>1859</v>
      </c>
      <c r="C2320" s="148" t="str">
        <f aca="false">VLOOKUP($A2320,INSUMOS_AUX!$A$3:$H$813,3,0)</f>
        <v>MAT.</v>
      </c>
      <c r="D2320" s="156" t="s">
        <v>1538</v>
      </c>
      <c r="E2320" s="154" t="n">
        <v>1</v>
      </c>
      <c r="F2320" s="149" t="n">
        <f aca="false">IF(C2320="MAT.",VLOOKUP(A2320,INSUMOS_AUX!$A$3:$H$813,6,0),0)</f>
        <v>199.25</v>
      </c>
      <c r="G2320" s="149" t="n">
        <f aca="false">IF(C2320="M.O.",VLOOKUP(A2320,INSUMOS_AUX!A:F,6,0),0)</f>
        <v>0</v>
      </c>
    </row>
    <row r="2321" customFormat="false" ht="15" hidden="false" customHeight="false" outlineLevel="0" collapsed="false">
      <c r="A2321" s="154" t="n">
        <v>39961</v>
      </c>
      <c r="B2321" s="155" t="s">
        <v>1777</v>
      </c>
      <c r="C2321" s="148" t="str">
        <f aca="false">VLOOKUP($A2321,INSUMOS_AUX!$A$3:$H$813,3,0)</f>
        <v>MAT.</v>
      </c>
      <c r="D2321" s="156" t="s">
        <v>31</v>
      </c>
      <c r="E2321" s="154" t="n">
        <v>0.322</v>
      </c>
      <c r="F2321" s="149" t="n">
        <f aca="false">IF(C2321="MAT.",VLOOKUP(A2321,INSUMOS_AUX!$A$3:$H$813,6,0),0)</f>
        <v>21.51</v>
      </c>
      <c r="G2321" s="149" t="n">
        <f aca="false">IF(C2321="M.O.",VLOOKUP(A2321,INSUMOS_AUX!A:F,6,0),0)</f>
        <v>0</v>
      </c>
    </row>
    <row r="2322" customFormat="false" ht="21" hidden="false" customHeight="false" outlineLevel="0" collapsed="false">
      <c r="A2322" s="154" t="n">
        <v>5031</v>
      </c>
      <c r="B2322" s="155" t="s">
        <v>1860</v>
      </c>
      <c r="C2322" s="148" t="str">
        <f aca="false">VLOOKUP($A2322,INSUMOS_AUX!$A$3:$H$813,3,0)</f>
        <v>MAT.</v>
      </c>
      <c r="D2322" s="156" t="s">
        <v>1477</v>
      </c>
      <c r="E2322" s="154" t="n">
        <v>3.78</v>
      </c>
      <c r="F2322" s="149" t="n">
        <f aca="false">IF(C2322="MAT.",VLOOKUP(A2322,INSUMOS_AUX!$A$3:$H$813,6,0),0)</f>
        <v>299</v>
      </c>
      <c r="G2322" s="149" t="n">
        <f aca="false">IF(C2322="M.O.",VLOOKUP(A2322,INSUMOS_AUX!A:F,6,0),0)</f>
        <v>0</v>
      </c>
    </row>
    <row r="2323" customFormat="false" ht="15" hidden="false" customHeight="false" outlineLevel="0" collapsed="false">
      <c r="A2323" s="154" t="n">
        <v>6111</v>
      </c>
      <c r="B2323" s="155" t="s">
        <v>1464</v>
      </c>
      <c r="C2323" s="148" t="str">
        <f aca="false">VLOOKUP($A2323,INSUMOS_AUX!$A$3:$H$813,3,0)</f>
        <v>M.O.</v>
      </c>
      <c r="D2323" s="156" t="s">
        <v>1444</v>
      </c>
      <c r="E2323" s="154" t="n">
        <v>3.6977652</v>
      </c>
      <c r="F2323" s="149" t="n">
        <f aca="false">IF(C2323="MAT.",VLOOKUP(A2323,INSUMOS_AUX!$A$3:$H$813,6,0),0)</f>
        <v>0</v>
      </c>
      <c r="G2323" s="149" t="n">
        <f aca="false">IF(C2323="M.O.",VLOOKUP(A2323,INSUMOS_AUX!A:F,6,0),0)</f>
        <v>12.95</v>
      </c>
    </row>
    <row r="2324" customFormat="false" ht="15" hidden="false" customHeight="false" outlineLevel="0" collapsed="false">
      <c r="A2324" s="154" t="n">
        <v>10489</v>
      </c>
      <c r="B2324" s="155" t="s">
        <v>1779</v>
      </c>
      <c r="C2324" s="148" t="str">
        <f aca="false">VLOOKUP($A2324,INSUMOS_AUX!$A$3:$H$813,3,0)</f>
        <v>M.O.</v>
      </c>
      <c r="D2324" s="156" t="s">
        <v>1444</v>
      </c>
      <c r="E2324" s="154" t="n">
        <v>3.78201052</v>
      </c>
      <c r="F2324" s="149" t="n">
        <f aca="false">IF(C2324="MAT.",VLOOKUP(A2324,INSUMOS_AUX!$A$3:$H$813,6,0),0)</f>
        <v>0</v>
      </c>
      <c r="G2324" s="149" t="n">
        <f aca="false">IF(C2324="M.O.",VLOOKUP(A2324,INSUMOS_AUX!A:F,6,0),0)</f>
        <v>17.42</v>
      </c>
    </row>
    <row r="2325" customFormat="false" ht="31.5" hidden="false" customHeight="false" outlineLevel="0" collapsed="false">
      <c r="A2325" s="150" t="s">
        <v>449</v>
      </c>
      <c r="B2325" s="151" t="s">
        <v>1862</v>
      </c>
      <c r="C2325" s="152" t="s">
        <v>59</v>
      </c>
      <c r="D2325" s="152" t="s">
        <v>31</v>
      </c>
      <c r="E2325" s="150"/>
      <c r="F2325" s="153" t="n">
        <f aca="false">(SUMPRODUCT($E2326:$E2339,F2326:F2339))*1</f>
        <v>7734.47439166667</v>
      </c>
      <c r="G2325" s="153" t="n">
        <f aca="false">(SUMPRODUCT($E2326:$E2339,G2326:G2339))*1</f>
        <v>53.1626508</v>
      </c>
    </row>
    <row r="2326" customFormat="false" ht="21" hidden="false" customHeight="false" outlineLevel="0" collapsed="false">
      <c r="A2326" s="154" t="n">
        <v>37370</v>
      </c>
      <c r="B2326" s="155" t="s">
        <v>1443</v>
      </c>
      <c r="C2326" s="148" t="str">
        <f aca="false">VLOOKUP($A2326,INSUMOS_AUX!$A$3:$H$813,3,0)</f>
        <v>MAT.</v>
      </c>
      <c r="D2326" s="156" t="s">
        <v>1444</v>
      </c>
      <c r="E2326" s="154" t="n">
        <v>8.15</v>
      </c>
      <c r="F2326" s="149" t="n">
        <f aca="false">IF(C2326="MAT.",VLOOKUP(A2326,INSUMOS_AUX!$A$3:$H$813,6,0),0)</f>
        <v>3.32</v>
      </c>
      <c r="G2326" s="149" t="n">
        <f aca="false">IF(C2326="M.O.",VLOOKUP(A2326,INSUMOS_AUX!A:F,6,0),0)</f>
        <v>0</v>
      </c>
    </row>
    <row r="2327" customFormat="false" ht="21" hidden="false" customHeight="false" outlineLevel="0" collapsed="false">
      <c r="A2327" s="154" t="n">
        <v>43489</v>
      </c>
      <c r="B2327" s="155" t="s">
        <v>1456</v>
      </c>
      <c r="C2327" s="148" t="str">
        <f aca="false">VLOOKUP($A2327,INSUMOS_AUX!$A$3:$H$813,3,0)</f>
        <v>MAT.</v>
      </c>
      <c r="D2327" s="156" t="s">
        <v>1444</v>
      </c>
      <c r="E2327" s="154" t="n">
        <v>4.13</v>
      </c>
      <c r="F2327" s="149" t="n">
        <f aca="false">IF(C2327="MAT.",VLOOKUP(A2327,INSUMOS_AUX!$A$3:$H$813,6,0),0)</f>
        <v>1.31</v>
      </c>
      <c r="G2327" s="149" t="n">
        <f aca="false">IF(C2327="M.O.",VLOOKUP(A2327,INSUMOS_AUX!A:F,6,0),0)</f>
        <v>0</v>
      </c>
    </row>
    <row r="2328" customFormat="false" ht="21" hidden="false" customHeight="false" outlineLevel="0" collapsed="false">
      <c r="A2328" s="154" t="n">
        <v>43491</v>
      </c>
      <c r="B2328" s="155" t="s">
        <v>1457</v>
      </c>
      <c r="C2328" s="148" t="str">
        <f aca="false">VLOOKUP($A2328,INSUMOS_AUX!$A$3:$H$813,3,0)</f>
        <v>MAT.</v>
      </c>
      <c r="D2328" s="156" t="s">
        <v>1444</v>
      </c>
      <c r="E2328" s="154" t="n">
        <v>4.02</v>
      </c>
      <c r="F2328" s="149" t="n">
        <f aca="false">IF(C2328="MAT.",VLOOKUP(A2328,INSUMOS_AUX!$A$3:$H$813,6,0),0)</f>
        <v>1.39</v>
      </c>
      <c r="G2328" s="149" t="n">
        <f aca="false">IF(C2328="M.O.",VLOOKUP(A2328,INSUMOS_AUX!A:F,6,0),0)</f>
        <v>0</v>
      </c>
    </row>
    <row r="2329" customFormat="false" ht="21" hidden="false" customHeight="false" outlineLevel="0" collapsed="false">
      <c r="A2329" s="154" t="n">
        <v>37372</v>
      </c>
      <c r="B2329" s="155" t="s">
        <v>1446</v>
      </c>
      <c r="C2329" s="148" t="str">
        <f aca="false">VLOOKUP($A2329,INSUMOS_AUX!$A$3:$H$813,3,0)</f>
        <v>MAT.</v>
      </c>
      <c r="D2329" s="156" t="s">
        <v>1444</v>
      </c>
      <c r="E2329" s="154" t="n">
        <v>8.15</v>
      </c>
      <c r="F2329" s="149" t="n">
        <f aca="false">IF(C2329="MAT.",VLOOKUP(A2329,INSUMOS_AUX!$A$3:$H$813,6,0),0)</f>
        <v>1.43</v>
      </c>
      <c r="G2329" s="149" t="n">
        <f aca="false">IF(C2329="M.O.",VLOOKUP(A2329,INSUMOS_AUX!A:F,6,0),0)</f>
        <v>0</v>
      </c>
    </row>
    <row r="2330" customFormat="false" ht="21" hidden="false" customHeight="false" outlineLevel="0" collapsed="false">
      <c r="A2330" s="154" t="n">
        <v>43465</v>
      </c>
      <c r="B2330" s="155" t="s">
        <v>1458</v>
      </c>
      <c r="C2330" s="148" t="str">
        <f aca="false">VLOOKUP($A2330,INSUMOS_AUX!$A$3:$H$813,3,0)</f>
        <v>MAT.</v>
      </c>
      <c r="D2330" s="156" t="s">
        <v>1444</v>
      </c>
      <c r="E2330" s="154" t="n">
        <v>4.13</v>
      </c>
      <c r="F2330" s="149" t="n">
        <f aca="false">IF(C2330="MAT.",VLOOKUP(A2330,INSUMOS_AUX!$A$3:$H$813,6,0),0)</f>
        <v>0.78</v>
      </c>
      <c r="G2330" s="149" t="n">
        <f aca="false">IF(C2330="M.O.",VLOOKUP(A2330,INSUMOS_AUX!A:F,6,0),0)</f>
        <v>0</v>
      </c>
    </row>
    <row r="2331" customFormat="false" ht="21" hidden="false" customHeight="false" outlineLevel="0" collapsed="false">
      <c r="A2331" s="154" t="n">
        <v>43467</v>
      </c>
      <c r="B2331" s="155" t="s">
        <v>1459</v>
      </c>
      <c r="C2331" s="148" t="str">
        <f aca="false">VLOOKUP($A2331,INSUMOS_AUX!$A$3:$H$813,3,0)</f>
        <v>MAT.</v>
      </c>
      <c r="D2331" s="156" t="s">
        <v>1444</v>
      </c>
      <c r="E2331" s="154" t="n">
        <v>4.02</v>
      </c>
      <c r="F2331" s="149" t="n">
        <f aca="false">IF(C2331="MAT.",VLOOKUP(A2331,INSUMOS_AUX!$A$3:$H$813,6,0),0)</f>
        <v>0.61</v>
      </c>
      <c r="G2331" s="149" t="n">
        <f aca="false">IF(C2331="M.O.",VLOOKUP(A2331,INSUMOS_AUX!A:F,6,0),0)</f>
        <v>0</v>
      </c>
    </row>
    <row r="2332" customFormat="false" ht="21" hidden="false" customHeight="false" outlineLevel="0" collapsed="false">
      <c r="A2332" s="154" t="n">
        <v>37373</v>
      </c>
      <c r="B2332" s="155" t="s">
        <v>1448</v>
      </c>
      <c r="C2332" s="148" t="str">
        <f aca="false">VLOOKUP($A2332,INSUMOS_AUX!$A$3:$H$813,3,0)</f>
        <v>MAT.</v>
      </c>
      <c r="D2332" s="156" t="s">
        <v>1444</v>
      </c>
      <c r="E2332" s="154" t="n">
        <v>8.15</v>
      </c>
      <c r="F2332" s="149" t="n">
        <f aca="false">IF(C2332="MAT.",VLOOKUP(A2332,INSUMOS_AUX!$A$3:$H$813,6,0),0)</f>
        <v>0.08</v>
      </c>
      <c r="G2332" s="149" t="n">
        <f aca="false">IF(C2332="M.O.",VLOOKUP(A2332,INSUMOS_AUX!A:F,6,0),0)</f>
        <v>0</v>
      </c>
    </row>
    <row r="2333" customFormat="false" ht="21" hidden="false" customHeight="false" outlineLevel="0" collapsed="false">
      <c r="A2333" s="154" t="n">
        <v>37371</v>
      </c>
      <c r="B2333" s="155" t="s">
        <v>1449</v>
      </c>
      <c r="C2333" s="148" t="str">
        <f aca="false">VLOOKUP($A2333,INSUMOS_AUX!$A$3:$H$813,3,0)</f>
        <v>MAT.</v>
      </c>
      <c r="D2333" s="156" t="s">
        <v>1444</v>
      </c>
      <c r="E2333" s="154" t="n">
        <v>8.15</v>
      </c>
      <c r="F2333" s="149" t="n">
        <f aca="false">IF(C2333="MAT.",VLOOKUP(A2333,INSUMOS_AUX!$A$3:$H$813,6,0),0)</f>
        <v>0.59</v>
      </c>
      <c r="G2333" s="149" t="n">
        <f aca="false">IF(C2333="M.O.",VLOOKUP(A2333,INSUMOS_AUX!A:F,6,0),0)</f>
        <v>0</v>
      </c>
    </row>
    <row r="2334" customFormat="false" ht="15" hidden="false" customHeight="false" outlineLevel="0" collapsed="false">
      <c r="A2334" s="154" t="s">
        <v>1863</v>
      </c>
      <c r="B2334" s="155" t="s">
        <v>1864</v>
      </c>
      <c r="C2334" s="148" t="str">
        <f aca="false">VLOOKUP($A2334,INSUMOS_AUX!$A$3:$H$813,3,0)</f>
        <v>MAT.</v>
      </c>
      <c r="D2334" s="156" t="s">
        <v>31</v>
      </c>
      <c r="E2334" s="154" t="n">
        <v>2</v>
      </c>
      <c r="F2334" s="149" t="n">
        <f aca="false">IF(C2334="MAT.",VLOOKUP(A2334,INSUMOS_AUX!$A$3:$H$813,6,0),0)</f>
        <v>2775.88</v>
      </c>
      <c r="G2334" s="149" t="n">
        <f aca="false">IF(C2334="M.O.",VLOOKUP(A2334,INSUMOS_AUX!A:F,6,0),0)</f>
        <v>0</v>
      </c>
    </row>
    <row r="2335" customFormat="false" ht="31.5" hidden="false" customHeight="false" outlineLevel="0" collapsed="false">
      <c r="A2335" s="154" t="n">
        <v>11950</v>
      </c>
      <c r="B2335" s="155" t="s">
        <v>1774</v>
      </c>
      <c r="C2335" s="148" t="str">
        <f aca="false">VLOOKUP($A2335,INSUMOS_AUX!$A$3:$H$813,3,0)</f>
        <v>MAT.</v>
      </c>
      <c r="D2335" s="156" t="s">
        <v>31</v>
      </c>
      <c r="E2335" s="154" t="n">
        <v>21.32</v>
      </c>
      <c r="F2335" s="149" t="n">
        <f aca="false">IF(C2335="MAT.",VLOOKUP(A2335,INSUMOS_AUX!$A$3:$H$813,6,0),0)</f>
        <v>0.26</v>
      </c>
      <c r="G2335" s="149" t="n">
        <f aca="false">IF(C2335="M.O.",VLOOKUP(A2335,INSUMOS_AUX!A:F,6,0),0)</f>
        <v>0</v>
      </c>
    </row>
    <row r="2336" customFormat="false" ht="31.5" hidden="false" customHeight="false" outlineLevel="0" collapsed="false">
      <c r="A2336" s="154" t="s">
        <v>1865</v>
      </c>
      <c r="B2336" s="155" t="s">
        <v>1866</v>
      </c>
      <c r="C2336" s="148" t="str">
        <f aca="false">VLOOKUP($A2336,INSUMOS_AUX!$A$3:$H$813,3,0)</f>
        <v>MAT.</v>
      </c>
      <c r="D2336" s="156" t="s">
        <v>31</v>
      </c>
      <c r="E2336" s="154" t="n">
        <v>1</v>
      </c>
      <c r="F2336" s="149" t="n">
        <f aca="false">IF(C2336="MAT.",VLOOKUP(A2336,INSUMOS_AUX!$A$3:$H$813,6,0),0)</f>
        <v>2108.63666666667</v>
      </c>
      <c r="G2336" s="149" t="n">
        <f aca="false">IF(C2336="M.O.",VLOOKUP(A2336,INSUMOS_AUX!A:F,6,0),0)</f>
        <v>0</v>
      </c>
    </row>
    <row r="2337" customFormat="false" ht="15" hidden="false" customHeight="false" outlineLevel="0" collapsed="false">
      <c r="A2337" s="154" t="n">
        <v>39961</v>
      </c>
      <c r="B2337" s="155" t="s">
        <v>1777</v>
      </c>
      <c r="C2337" s="148" t="str">
        <f aca="false">VLOOKUP($A2337,INSUMOS_AUX!$A$3:$H$813,3,0)</f>
        <v>MAT.</v>
      </c>
      <c r="D2337" s="156" t="s">
        <v>31</v>
      </c>
      <c r="E2337" s="154" t="n">
        <v>0.3575</v>
      </c>
      <c r="F2337" s="149" t="n">
        <f aca="false">IF(C2337="MAT.",VLOOKUP(A2337,INSUMOS_AUX!$A$3:$H$813,6,0),0)</f>
        <v>21.51</v>
      </c>
      <c r="G2337" s="149" t="n">
        <f aca="false">IF(C2337="M.O.",VLOOKUP(A2337,INSUMOS_AUX!A:F,6,0),0)</f>
        <v>0</v>
      </c>
    </row>
    <row r="2338" customFormat="false" ht="15" hidden="false" customHeight="false" outlineLevel="0" collapsed="false">
      <c r="A2338" s="154" t="n">
        <v>6111</v>
      </c>
      <c r="B2338" s="155" t="s">
        <v>1464</v>
      </c>
      <c r="C2338" s="148" t="str">
        <f aca="false">VLOOKUP($A2338,INSUMOS_AUX!$A$3:$H$813,3,0)</f>
        <v>M.O.</v>
      </c>
      <c r="D2338" s="156" t="s">
        <v>1444</v>
      </c>
      <c r="E2338" s="154" t="n">
        <v>4.105224</v>
      </c>
      <c r="F2338" s="149" t="n">
        <f aca="false">IF(C2338="MAT.",VLOOKUP(A2338,INSUMOS_AUX!$A$3:$H$813,6,0),0)</f>
        <v>0</v>
      </c>
      <c r="G2338" s="149" t="n">
        <f aca="false">IF(C2338="M.O.",VLOOKUP(A2338,INSUMOS_AUX!A:F,6,0),0)</f>
        <v>12.95</v>
      </c>
    </row>
    <row r="2339" customFormat="false" ht="15" hidden="false" customHeight="false" outlineLevel="0" collapsed="false">
      <c r="A2339" s="154" t="n">
        <v>10489</v>
      </c>
      <c r="B2339" s="155" t="s">
        <v>1779</v>
      </c>
      <c r="C2339" s="148" t="s">
        <v>59</v>
      </c>
      <c r="D2339" s="156" t="s">
        <v>1444</v>
      </c>
      <c r="E2339" s="154" t="n">
        <v>4.1909588</v>
      </c>
      <c r="F2339" s="149" t="n">
        <f aca="false">IF(C2339="MAT.",VLOOKUP(A2339,INSUMOS_AUX!$A$3:$H$813,6,0),0)</f>
        <v>0</v>
      </c>
      <c r="G2339" s="149" t="n">
        <f aca="false">IF(C2339="M.O.",VLOOKUP(A2339,INSUMOS_AUX!A:F,6,0),0)</f>
        <v>0</v>
      </c>
    </row>
    <row r="2340" customFormat="false" ht="31.5" hidden="false" customHeight="false" outlineLevel="0" collapsed="false">
      <c r="A2340" s="150" t="n">
        <v>91341</v>
      </c>
      <c r="B2340" s="151" t="s">
        <v>1867</v>
      </c>
      <c r="C2340" s="152" t="s">
        <v>59</v>
      </c>
      <c r="D2340" s="152" t="s">
        <v>1477</v>
      </c>
      <c r="E2340" s="150"/>
      <c r="F2340" s="153" t="n">
        <f aca="false">(SUMPRODUCT($E2341:$E2354,F2341:F2354))*1</f>
        <v>678.349585</v>
      </c>
      <c r="G2340" s="153" t="n">
        <f aca="false">(SUMPRODUCT($E2341:$E2354,G2341:G2354))*1</f>
        <v>10.4260659864</v>
      </c>
    </row>
    <row r="2341" customFormat="false" ht="21" hidden="false" customHeight="false" outlineLevel="0" collapsed="false">
      <c r="A2341" s="154" t="n">
        <v>37370</v>
      </c>
      <c r="B2341" s="155" t="s">
        <v>1443</v>
      </c>
      <c r="C2341" s="148" t="str">
        <f aca="false">VLOOKUP($A2341,INSUMOS_AUX!$A$3:$H$813,3,0)</f>
        <v>MAT.</v>
      </c>
      <c r="D2341" s="156" t="s">
        <v>1444</v>
      </c>
      <c r="E2341" s="154" t="n">
        <v>0.5736</v>
      </c>
      <c r="F2341" s="149" t="n">
        <f aca="false">IF(C2341="MAT.",VLOOKUP(A2341,INSUMOS_AUX!$A$3:$H$813,6,0),0)</f>
        <v>3.32</v>
      </c>
      <c r="G2341" s="149" t="n">
        <f aca="false">IF(C2341="M.O.",VLOOKUP(A2341,INSUMOS_AUX!A:F,6,0),0)</f>
        <v>0</v>
      </c>
    </row>
    <row r="2342" customFormat="false" ht="21" hidden="false" customHeight="false" outlineLevel="0" collapsed="false">
      <c r="A2342" s="154" t="n">
        <v>43489</v>
      </c>
      <c r="B2342" s="155" t="s">
        <v>1456</v>
      </c>
      <c r="C2342" s="148" t="str">
        <f aca="false">VLOOKUP($A2342,INSUMOS_AUX!$A$3:$H$813,3,0)</f>
        <v>MAT.</v>
      </c>
      <c r="D2342" s="156" t="s">
        <v>1444</v>
      </c>
      <c r="E2342" s="154" t="n">
        <v>0.3826</v>
      </c>
      <c r="F2342" s="149" t="n">
        <f aca="false">IF(C2342="MAT.",VLOOKUP(A2342,INSUMOS_AUX!$A$3:$H$813,6,0),0)</f>
        <v>1.31</v>
      </c>
      <c r="G2342" s="149" t="n">
        <f aca="false">IF(C2342="M.O.",VLOOKUP(A2342,INSUMOS_AUX!A:F,6,0),0)</f>
        <v>0</v>
      </c>
    </row>
    <row r="2343" customFormat="false" ht="21" hidden="false" customHeight="false" outlineLevel="0" collapsed="false">
      <c r="A2343" s="154" t="n">
        <v>43491</v>
      </c>
      <c r="B2343" s="155" t="s">
        <v>1457</v>
      </c>
      <c r="C2343" s="148" t="str">
        <f aca="false">VLOOKUP($A2343,INSUMOS_AUX!$A$3:$H$813,3,0)</f>
        <v>MAT.</v>
      </c>
      <c r="D2343" s="156" t="s">
        <v>1444</v>
      </c>
      <c r="E2343" s="154" t="n">
        <v>0.191</v>
      </c>
      <c r="F2343" s="149" t="n">
        <f aca="false">IF(C2343="MAT.",VLOOKUP(A2343,INSUMOS_AUX!$A$3:$H$813,6,0),0)</f>
        <v>1.39</v>
      </c>
      <c r="G2343" s="149" t="n">
        <f aca="false">IF(C2343="M.O.",VLOOKUP(A2343,INSUMOS_AUX!A:F,6,0),0)</f>
        <v>0</v>
      </c>
    </row>
    <row r="2344" customFormat="false" ht="21" hidden="false" customHeight="false" outlineLevel="0" collapsed="false">
      <c r="A2344" s="154" t="n">
        <v>37372</v>
      </c>
      <c r="B2344" s="155" t="s">
        <v>1446</v>
      </c>
      <c r="C2344" s="148" t="str">
        <f aca="false">VLOOKUP($A2344,INSUMOS_AUX!$A$3:$H$813,3,0)</f>
        <v>MAT.</v>
      </c>
      <c r="D2344" s="156" t="s">
        <v>1444</v>
      </c>
      <c r="E2344" s="154" t="n">
        <v>0.5736</v>
      </c>
      <c r="F2344" s="149" t="n">
        <f aca="false">IF(C2344="MAT.",VLOOKUP(A2344,INSUMOS_AUX!$A$3:$H$813,6,0),0)</f>
        <v>1.43</v>
      </c>
      <c r="G2344" s="149" t="n">
        <f aca="false">IF(C2344="M.O.",VLOOKUP(A2344,INSUMOS_AUX!A:F,6,0),0)</f>
        <v>0</v>
      </c>
    </row>
    <row r="2345" customFormat="false" ht="21" hidden="false" customHeight="false" outlineLevel="0" collapsed="false">
      <c r="A2345" s="154" t="n">
        <v>43465</v>
      </c>
      <c r="B2345" s="155" t="s">
        <v>1458</v>
      </c>
      <c r="C2345" s="148" t="str">
        <f aca="false">VLOOKUP($A2345,INSUMOS_AUX!$A$3:$H$813,3,0)</f>
        <v>MAT.</v>
      </c>
      <c r="D2345" s="156" t="s">
        <v>1444</v>
      </c>
      <c r="E2345" s="154" t="n">
        <v>0.3826</v>
      </c>
      <c r="F2345" s="149" t="n">
        <f aca="false">IF(C2345="MAT.",VLOOKUP(A2345,INSUMOS_AUX!$A$3:$H$813,6,0),0)</f>
        <v>0.78</v>
      </c>
      <c r="G2345" s="149" t="n">
        <f aca="false">IF(C2345="M.O.",VLOOKUP(A2345,INSUMOS_AUX!A:F,6,0),0)</f>
        <v>0</v>
      </c>
    </row>
    <row r="2346" customFormat="false" ht="21" hidden="false" customHeight="false" outlineLevel="0" collapsed="false">
      <c r="A2346" s="154" t="n">
        <v>43467</v>
      </c>
      <c r="B2346" s="155" t="s">
        <v>1459</v>
      </c>
      <c r="C2346" s="148" t="str">
        <f aca="false">VLOOKUP($A2346,INSUMOS_AUX!$A$3:$H$813,3,0)</f>
        <v>MAT.</v>
      </c>
      <c r="D2346" s="156" t="s">
        <v>1444</v>
      </c>
      <c r="E2346" s="154" t="n">
        <v>0.191</v>
      </c>
      <c r="F2346" s="149" t="n">
        <f aca="false">IF(C2346="MAT.",VLOOKUP(A2346,INSUMOS_AUX!$A$3:$H$813,6,0),0)</f>
        <v>0.61</v>
      </c>
      <c r="G2346" s="149" t="n">
        <f aca="false">IF(C2346="M.O.",VLOOKUP(A2346,INSUMOS_AUX!A:F,6,0),0)</f>
        <v>0</v>
      </c>
    </row>
    <row r="2347" customFormat="false" ht="21" hidden="false" customHeight="false" outlineLevel="0" collapsed="false">
      <c r="A2347" s="154" t="n">
        <v>37373</v>
      </c>
      <c r="B2347" s="155" t="s">
        <v>1448</v>
      </c>
      <c r="C2347" s="148" t="str">
        <f aca="false">VLOOKUP($A2347,INSUMOS_AUX!$A$3:$H$813,3,0)</f>
        <v>MAT.</v>
      </c>
      <c r="D2347" s="156" t="s">
        <v>1444</v>
      </c>
      <c r="E2347" s="154" t="n">
        <v>0.5736</v>
      </c>
      <c r="F2347" s="149" t="n">
        <f aca="false">IF(C2347="MAT.",VLOOKUP(A2347,INSUMOS_AUX!$A$3:$H$813,6,0),0)</f>
        <v>0.08</v>
      </c>
      <c r="G2347" s="149" t="n">
        <f aca="false">IF(C2347="M.O.",VLOOKUP(A2347,INSUMOS_AUX!A:F,6,0),0)</f>
        <v>0</v>
      </c>
    </row>
    <row r="2348" customFormat="false" ht="21" hidden="false" customHeight="false" outlineLevel="0" collapsed="false">
      <c r="A2348" s="154" t="n">
        <v>37371</v>
      </c>
      <c r="B2348" s="155" t="s">
        <v>1449</v>
      </c>
      <c r="C2348" s="148" t="str">
        <f aca="false">VLOOKUP($A2348,INSUMOS_AUX!$A$3:$H$813,3,0)</f>
        <v>MAT.</v>
      </c>
      <c r="D2348" s="156" t="s">
        <v>1444</v>
      </c>
      <c r="E2348" s="154" t="n">
        <v>0.5736</v>
      </c>
      <c r="F2348" s="149" t="n">
        <f aca="false">IF(C2348="MAT.",VLOOKUP(A2348,INSUMOS_AUX!$A$3:$H$813,6,0),0)</f>
        <v>0.59</v>
      </c>
      <c r="G2348" s="149" t="n">
        <f aca="false">IF(C2348="M.O.",VLOOKUP(A2348,INSUMOS_AUX!A:F,6,0),0)</f>
        <v>0</v>
      </c>
    </row>
    <row r="2349" customFormat="false" ht="31.5" hidden="false" customHeight="false" outlineLevel="0" collapsed="false">
      <c r="A2349" s="154" t="n">
        <v>7568</v>
      </c>
      <c r="B2349" s="155" t="s">
        <v>1815</v>
      </c>
      <c r="C2349" s="148" t="str">
        <f aca="false">VLOOKUP($A2349,INSUMOS_AUX!$A$3:$H$813,3,0)</f>
        <v>MAT.</v>
      </c>
      <c r="D2349" s="156" t="s">
        <v>31</v>
      </c>
      <c r="E2349" s="154" t="n">
        <v>4.8166</v>
      </c>
      <c r="F2349" s="149" t="n">
        <f aca="false">IF(C2349="MAT.",VLOOKUP(A2349,INSUMOS_AUX!$A$3:$H$813,6,0),0)</f>
        <v>0.79</v>
      </c>
      <c r="G2349" s="149" t="n">
        <f aca="false">IF(C2349="M.O.",VLOOKUP(A2349,INSUMOS_AUX!A:F,6,0),0)</f>
        <v>0</v>
      </c>
    </row>
    <row r="2350" customFormat="false" ht="31.5" hidden="false" customHeight="false" outlineLevel="0" collapsed="false">
      <c r="A2350" s="154" t="n">
        <v>36888</v>
      </c>
      <c r="B2350" s="155" t="s">
        <v>1868</v>
      </c>
      <c r="C2350" s="148" t="str">
        <f aca="false">VLOOKUP($A2350,INSUMOS_AUX!$A$3:$H$813,3,0)</f>
        <v>MAT.</v>
      </c>
      <c r="D2350" s="156" t="s">
        <v>1455</v>
      </c>
      <c r="E2350" s="154" t="n">
        <v>6.8504</v>
      </c>
      <c r="F2350" s="149" t="n">
        <f aca="false">IF(C2350="MAT.",VLOOKUP(A2350,INSUMOS_AUX!$A$3:$H$813,6,0),0)</f>
        <v>30.5</v>
      </c>
      <c r="G2350" s="149" t="n">
        <f aca="false">IF(C2350="M.O.",VLOOKUP(A2350,INSUMOS_AUX!A:F,6,0),0)</f>
        <v>0</v>
      </c>
    </row>
    <row r="2351" customFormat="false" ht="31.5" hidden="false" customHeight="false" outlineLevel="0" collapsed="false">
      <c r="A2351" s="154" t="n">
        <v>39025</v>
      </c>
      <c r="B2351" s="155" t="s">
        <v>1869</v>
      </c>
      <c r="C2351" s="148" t="str">
        <f aca="false">VLOOKUP($A2351,INSUMOS_AUX!$A$3:$H$813,3,0)</f>
        <v>MAT.</v>
      </c>
      <c r="D2351" s="156" t="s">
        <v>31</v>
      </c>
      <c r="E2351" s="154" t="n">
        <v>0.5473</v>
      </c>
      <c r="F2351" s="149" t="n">
        <f aca="false">IF(C2351="MAT.",VLOOKUP(A2351,INSUMOS_AUX!$A$3:$H$813,6,0),0)</f>
        <v>790.37</v>
      </c>
      <c r="G2351" s="149" t="n">
        <f aca="false">IF(C2351="M.O.",VLOOKUP(A2351,INSUMOS_AUX!A:F,6,0),0)</f>
        <v>0</v>
      </c>
    </row>
    <row r="2352" customFormat="false" ht="21" hidden="false" customHeight="false" outlineLevel="0" collapsed="false">
      <c r="A2352" s="154" t="n">
        <v>142</v>
      </c>
      <c r="B2352" s="155" t="s">
        <v>1870</v>
      </c>
      <c r="C2352" s="148" t="str">
        <f aca="false">VLOOKUP($A2352,INSUMOS_AUX!$A$3:$H$813,3,0)</f>
        <v>MAT.</v>
      </c>
      <c r="D2352" s="156" t="s">
        <v>1871</v>
      </c>
      <c r="E2352" s="154" t="n">
        <v>0.8829</v>
      </c>
      <c r="F2352" s="149" t="n">
        <f aca="false">IF(C2352="MAT.",VLOOKUP(A2352,INSUMOS_AUX!$A$3:$H$813,6,0),0)</f>
        <v>32.56</v>
      </c>
      <c r="G2352" s="149" t="n">
        <f aca="false">IF(C2352="M.O.",VLOOKUP(A2352,INSUMOS_AUX!A:F,6,0),0)</f>
        <v>0</v>
      </c>
    </row>
    <row r="2353" customFormat="false" ht="15" hidden="false" customHeight="false" outlineLevel="0" collapsed="false">
      <c r="A2353" s="154" t="n">
        <v>4750</v>
      </c>
      <c r="B2353" s="155" t="s">
        <v>1463</v>
      </c>
      <c r="C2353" s="148" t="str">
        <f aca="false">VLOOKUP($A2353,INSUMOS_AUX!$A$3:$H$813,3,0)</f>
        <v>M.O.</v>
      </c>
      <c r="D2353" s="156" t="s">
        <v>1444</v>
      </c>
      <c r="E2353" s="154" t="n">
        <v>0.39071112</v>
      </c>
      <c r="F2353" s="149" t="n">
        <f aca="false">IF(C2353="MAT.",VLOOKUP(A2353,INSUMOS_AUX!$A$3:$H$813,6,0),0)</f>
        <v>0</v>
      </c>
      <c r="G2353" s="149" t="n">
        <f aca="false">IF(C2353="M.O.",VLOOKUP(A2353,INSUMOS_AUX!A:F,6,0),0)</f>
        <v>20.22</v>
      </c>
    </row>
    <row r="2354" customFormat="false" ht="15" hidden="false" customHeight="false" outlineLevel="0" collapsed="false">
      <c r="A2354" s="154" t="n">
        <v>6111</v>
      </c>
      <c r="B2354" s="155" t="s">
        <v>1464</v>
      </c>
      <c r="C2354" s="148" t="str">
        <f aca="false">VLOOKUP($A2354,INSUMOS_AUX!$A$3:$H$813,3,0)</f>
        <v>M.O.</v>
      </c>
      <c r="D2354" s="156" t="s">
        <v>1444</v>
      </c>
      <c r="E2354" s="154" t="n">
        <v>0.1950492</v>
      </c>
      <c r="F2354" s="149" t="n">
        <f aca="false">IF(C2354="MAT.",VLOOKUP(A2354,INSUMOS_AUX!$A$3:$H$813,6,0),0)</f>
        <v>0</v>
      </c>
      <c r="G2354" s="149" t="n">
        <f aca="false">IF(C2354="M.O.",VLOOKUP(A2354,INSUMOS_AUX!A:F,6,0),0)</f>
        <v>12.95</v>
      </c>
    </row>
    <row r="2355" customFormat="false" ht="31.5" hidden="false" customHeight="false" outlineLevel="0" collapsed="false">
      <c r="A2355" s="150" t="s">
        <v>465</v>
      </c>
      <c r="B2355" s="151" t="s">
        <v>1872</v>
      </c>
      <c r="C2355" s="152" t="s">
        <v>59</v>
      </c>
      <c r="D2355" s="152" t="s">
        <v>31</v>
      </c>
      <c r="E2355" s="150"/>
      <c r="F2355" s="153" t="n">
        <f aca="false">(SUMPRODUCT($E2356:$E2364,F2356:F2364))*1</f>
        <v>9601.5587375</v>
      </c>
      <c r="G2355" s="153" t="n">
        <f aca="false">(SUMPRODUCT($E2356:$E2364,G2356:G2364))*1</f>
        <v>289.9737968895</v>
      </c>
    </row>
    <row r="2356" customFormat="false" ht="21" hidden="false" customHeight="false" outlineLevel="0" collapsed="false">
      <c r="A2356" s="154" t="n">
        <v>37370</v>
      </c>
      <c r="B2356" s="155" t="s">
        <v>1443</v>
      </c>
      <c r="C2356" s="148" t="str">
        <f aca="false">VLOOKUP($A2356,INSUMOS_AUX!$A$3:$H$813,3,0)</f>
        <v>MAT.</v>
      </c>
      <c r="D2356" s="156" t="s">
        <v>1444</v>
      </c>
      <c r="E2356" s="154" t="n">
        <v>16.18625</v>
      </c>
      <c r="F2356" s="149" t="n">
        <f aca="false">IF(C2356="MAT.",VLOOKUP(A2356,INSUMOS_AUX!$A$3:$H$813,6,0),0)</f>
        <v>3.32</v>
      </c>
      <c r="G2356" s="149" t="n">
        <f aca="false">IF(C2356="M.O.",VLOOKUP(A2356,INSUMOS_AUX!A:F,6,0),0)</f>
        <v>0</v>
      </c>
    </row>
    <row r="2357" customFormat="false" ht="21" hidden="false" customHeight="false" outlineLevel="0" collapsed="false">
      <c r="A2357" s="154" t="n">
        <v>43489</v>
      </c>
      <c r="B2357" s="155" t="s">
        <v>1456</v>
      </c>
      <c r="C2357" s="148" t="str">
        <f aca="false">VLOOKUP($A2357,INSUMOS_AUX!$A$3:$H$813,3,0)</f>
        <v>MAT.</v>
      </c>
      <c r="D2357" s="156" t="s">
        <v>1444</v>
      </c>
      <c r="E2357" s="154" t="n">
        <v>16.18625</v>
      </c>
      <c r="F2357" s="149" t="n">
        <f aca="false">IF(C2357="MAT.",VLOOKUP(A2357,INSUMOS_AUX!$A$3:$H$813,6,0),0)</f>
        <v>1.31</v>
      </c>
      <c r="G2357" s="149" t="n">
        <f aca="false">IF(C2357="M.O.",VLOOKUP(A2357,INSUMOS_AUX!A:F,6,0),0)</f>
        <v>0</v>
      </c>
    </row>
    <row r="2358" customFormat="false" ht="21" hidden="false" customHeight="false" outlineLevel="0" collapsed="false">
      <c r="A2358" s="154" t="n">
        <v>37372</v>
      </c>
      <c r="B2358" s="155" t="s">
        <v>1446</v>
      </c>
      <c r="C2358" s="148" t="str">
        <f aca="false">VLOOKUP($A2358,INSUMOS_AUX!$A$3:$H$813,3,0)</f>
        <v>MAT.</v>
      </c>
      <c r="D2358" s="156" t="s">
        <v>1444</v>
      </c>
      <c r="E2358" s="154" t="n">
        <v>16.18625</v>
      </c>
      <c r="F2358" s="149" t="n">
        <f aca="false">IF(C2358="MAT.",VLOOKUP(A2358,INSUMOS_AUX!$A$3:$H$813,6,0),0)</f>
        <v>1.43</v>
      </c>
      <c r="G2358" s="149" t="n">
        <f aca="false">IF(C2358="M.O.",VLOOKUP(A2358,INSUMOS_AUX!A:F,6,0),0)</f>
        <v>0</v>
      </c>
    </row>
    <row r="2359" customFormat="false" ht="21" hidden="false" customHeight="false" outlineLevel="0" collapsed="false">
      <c r="A2359" s="154" t="n">
        <v>43465</v>
      </c>
      <c r="B2359" s="155" t="s">
        <v>1458</v>
      </c>
      <c r="C2359" s="148" t="str">
        <f aca="false">VLOOKUP($A2359,INSUMOS_AUX!$A$3:$H$813,3,0)</f>
        <v>MAT.</v>
      </c>
      <c r="D2359" s="156" t="s">
        <v>1444</v>
      </c>
      <c r="E2359" s="154" t="n">
        <v>16.18625</v>
      </c>
      <c r="F2359" s="149" t="n">
        <f aca="false">IF(C2359="MAT.",VLOOKUP(A2359,INSUMOS_AUX!$A$3:$H$813,6,0),0)</f>
        <v>0.78</v>
      </c>
      <c r="G2359" s="149" t="n">
        <f aca="false">IF(C2359="M.O.",VLOOKUP(A2359,INSUMOS_AUX!A:F,6,0),0)</f>
        <v>0</v>
      </c>
    </row>
    <row r="2360" customFormat="false" ht="21" hidden="false" customHeight="false" outlineLevel="0" collapsed="false">
      <c r="A2360" s="154" t="n">
        <v>37373</v>
      </c>
      <c r="B2360" s="155" t="s">
        <v>1448</v>
      </c>
      <c r="C2360" s="148" t="str">
        <f aca="false">VLOOKUP($A2360,INSUMOS_AUX!$A$3:$H$813,3,0)</f>
        <v>MAT.</v>
      </c>
      <c r="D2360" s="156" t="s">
        <v>1444</v>
      </c>
      <c r="E2360" s="154" t="n">
        <v>16.18625</v>
      </c>
      <c r="F2360" s="149" t="n">
        <f aca="false">IF(C2360="MAT.",VLOOKUP(A2360,INSUMOS_AUX!$A$3:$H$813,6,0),0)</f>
        <v>0.08</v>
      </c>
      <c r="G2360" s="149" t="n">
        <f aca="false">IF(C2360="M.O.",VLOOKUP(A2360,INSUMOS_AUX!A:F,6,0),0)</f>
        <v>0</v>
      </c>
    </row>
    <row r="2361" customFormat="false" ht="21" hidden="false" customHeight="false" outlineLevel="0" collapsed="false">
      <c r="A2361" s="154" t="n">
        <v>37371</v>
      </c>
      <c r="B2361" s="155" t="s">
        <v>1449</v>
      </c>
      <c r="C2361" s="148" t="str">
        <f aca="false">VLOOKUP($A2361,INSUMOS_AUX!$A$3:$H$813,3,0)</f>
        <v>MAT.</v>
      </c>
      <c r="D2361" s="156" t="s">
        <v>1444</v>
      </c>
      <c r="E2361" s="154" t="n">
        <v>16.18625</v>
      </c>
      <c r="F2361" s="149" t="n">
        <f aca="false">IF(C2361="MAT.",VLOOKUP(A2361,INSUMOS_AUX!$A$3:$H$813,6,0),0)</f>
        <v>0.59</v>
      </c>
      <c r="G2361" s="149" t="n">
        <f aca="false">IF(C2361="M.O.",VLOOKUP(A2361,INSUMOS_AUX!A:F,6,0),0)</f>
        <v>0</v>
      </c>
    </row>
    <row r="2362" customFormat="false" ht="31.5" hidden="false" customHeight="false" outlineLevel="0" collapsed="false">
      <c r="A2362" s="154" t="s">
        <v>1873</v>
      </c>
      <c r="B2362" s="155" t="s">
        <v>1872</v>
      </c>
      <c r="C2362" s="148" t="str">
        <f aca="false">VLOOKUP($A2362,INSUMOS_AUX!$A$3:$H$813,3,0)</f>
        <v>MAT.</v>
      </c>
      <c r="D2362" s="156" t="s">
        <v>31</v>
      </c>
      <c r="E2362" s="154" t="n">
        <v>1</v>
      </c>
      <c r="F2362" s="149" t="n">
        <f aca="false">IF(C2362="MAT.",VLOOKUP(A2362,INSUMOS_AUX!$A$3:$H$813,6,0),0)</f>
        <v>9480</v>
      </c>
      <c r="G2362" s="149" t="n">
        <f aca="false">IF(C2362="M.O.",VLOOKUP(A2362,INSUMOS_AUX!A:F,6,0),0)</f>
        <v>0</v>
      </c>
    </row>
    <row r="2363" customFormat="false" ht="15" hidden="false" customHeight="false" outlineLevel="0" collapsed="false">
      <c r="A2363" s="154" t="n">
        <v>252</v>
      </c>
      <c r="B2363" s="155" t="s">
        <v>1600</v>
      </c>
      <c r="C2363" s="148" t="str">
        <f aca="false">VLOOKUP($A2363,INSUMOS_AUX!$A$3:$H$813,3,0)</f>
        <v>M.O.</v>
      </c>
      <c r="D2363" s="156" t="s">
        <v>1444</v>
      </c>
      <c r="E2363" s="154" t="n">
        <v>5.903600325</v>
      </c>
      <c r="F2363" s="149" t="n">
        <f aca="false">IF(C2363="MAT.",VLOOKUP(A2363,INSUMOS_AUX!$A$3:$H$813,6,0),0)</f>
        <v>0</v>
      </c>
      <c r="G2363" s="149" t="n">
        <f aca="false">IF(C2363="M.O.",VLOOKUP(A2363,INSUMOS_AUX!A:F,6,0),0)</f>
        <v>13.26</v>
      </c>
    </row>
    <row r="2364" customFormat="false" ht="15" hidden="false" customHeight="false" outlineLevel="0" collapsed="false">
      <c r="A2364" s="154" t="n">
        <v>6110</v>
      </c>
      <c r="B2364" s="155" t="s">
        <v>1601</v>
      </c>
      <c r="C2364" s="148" t="str">
        <f aca="false">VLOOKUP($A2364,INSUMOS_AUX!$A$3:$H$813,3,0)</f>
        <v>M.O.</v>
      </c>
      <c r="D2364" s="156" t="s">
        <v>1444</v>
      </c>
      <c r="E2364" s="154" t="n">
        <v>10.469439</v>
      </c>
      <c r="F2364" s="149" t="n">
        <f aca="false">IF(C2364="MAT.",VLOOKUP(A2364,INSUMOS_AUX!$A$3:$H$813,6,0),0)</f>
        <v>0</v>
      </c>
      <c r="G2364" s="149" t="n">
        <f aca="false">IF(C2364="M.O.",VLOOKUP(A2364,INSUMOS_AUX!A:F,6,0),0)</f>
        <v>20.22</v>
      </c>
    </row>
    <row r="2365" customFormat="false" ht="31.5" hidden="false" customHeight="false" outlineLevel="0" collapsed="false">
      <c r="A2365" s="150" t="s">
        <v>467</v>
      </c>
      <c r="B2365" s="151" t="s">
        <v>1874</v>
      </c>
      <c r="C2365" s="152" t="s">
        <v>59</v>
      </c>
      <c r="D2365" s="152" t="s">
        <v>31</v>
      </c>
      <c r="E2365" s="150"/>
      <c r="F2365" s="153" t="n">
        <f aca="false">(SUMPRODUCT($E2366:$E2374,F2366:F2374))*1</f>
        <v>10633.9731666667</v>
      </c>
      <c r="G2365" s="153" t="n">
        <f aca="false">(SUMPRODUCT($E2366:$E2374,G2366:G2374))*1</f>
        <v>313.14547242</v>
      </c>
    </row>
    <row r="2366" customFormat="false" ht="21" hidden="false" customHeight="false" outlineLevel="0" collapsed="false">
      <c r="A2366" s="154" t="n">
        <v>37370</v>
      </c>
      <c r="B2366" s="155" t="s">
        <v>1443</v>
      </c>
      <c r="C2366" s="148" t="str">
        <f aca="false">VLOOKUP($A2366,INSUMOS_AUX!$A$3:$H$813,3,0)</f>
        <v>MAT.</v>
      </c>
      <c r="D2366" s="156" t="s">
        <v>1444</v>
      </c>
      <c r="E2366" s="154" t="n">
        <v>18.15</v>
      </c>
      <c r="F2366" s="149" t="n">
        <f aca="false">IF(C2366="MAT.",VLOOKUP(A2366,INSUMOS_AUX!$A$3:$H$813,6,0),0)</f>
        <v>3.32</v>
      </c>
      <c r="G2366" s="149" t="n">
        <f aca="false">IF(C2366="M.O.",VLOOKUP(A2366,INSUMOS_AUX!A:F,6,0),0)</f>
        <v>0</v>
      </c>
    </row>
    <row r="2367" customFormat="false" ht="21" hidden="false" customHeight="false" outlineLevel="0" collapsed="false">
      <c r="A2367" s="154" t="n">
        <v>43489</v>
      </c>
      <c r="B2367" s="155" t="s">
        <v>1456</v>
      </c>
      <c r="C2367" s="148" t="str">
        <f aca="false">VLOOKUP($A2367,INSUMOS_AUX!$A$3:$H$813,3,0)</f>
        <v>MAT.</v>
      </c>
      <c r="D2367" s="156" t="s">
        <v>1444</v>
      </c>
      <c r="E2367" s="154" t="n">
        <v>18.15</v>
      </c>
      <c r="F2367" s="149" t="n">
        <f aca="false">IF(C2367="MAT.",VLOOKUP(A2367,INSUMOS_AUX!$A$3:$H$813,6,0),0)</f>
        <v>1.31</v>
      </c>
      <c r="G2367" s="149" t="n">
        <f aca="false">IF(C2367="M.O.",VLOOKUP(A2367,INSUMOS_AUX!A:F,6,0),0)</f>
        <v>0</v>
      </c>
    </row>
    <row r="2368" customFormat="false" ht="21" hidden="false" customHeight="false" outlineLevel="0" collapsed="false">
      <c r="A2368" s="154" t="n">
        <v>37372</v>
      </c>
      <c r="B2368" s="155" t="s">
        <v>1446</v>
      </c>
      <c r="C2368" s="148" t="str">
        <f aca="false">VLOOKUP($A2368,INSUMOS_AUX!$A$3:$H$813,3,0)</f>
        <v>MAT.</v>
      </c>
      <c r="D2368" s="156" t="s">
        <v>1444</v>
      </c>
      <c r="E2368" s="154" t="n">
        <v>18.15</v>
      </c>
      <c r="F2368" s="149" t="n">
        <f aca="false">IF(C2368="MAT.",VLOOKUP(A2368,INSUMOS_AUX!$A$3:$H$813,6,0),0)</f>
        <v>1.43</v>
      </c>
      <c r="G2368" s="149" t="n">
        <f aca="false">IF(C2368="M.O.",VLOOKUP(A2368,INSUMOS_AUX!A:F,6,0),0)</f>
        <v>0</v>
      </c>
    </row>
    <row r="2369" customFormat="false" ht="21" hidden="false" customHeight="false" outlineLevel="0" collapsed="false">
      <c r="A2369" s="154" t="n">
        <v>43465</v>
      </c>
      <c r="B2369" s="155" t="s">
        <v>1458</v>
      </c>
      <c r="C2369" s="148" t="str">
        <f aca="false">VLOOKUP($A2369,INSUMOS_AUX!$A$3:$H$813,3,0)</f>
        <v>MAT.</v>
      </c>
      <c r="D2369" s="156" t="s">
        <v>1444</v>
      </c>
      <c r="E2369" s="154" t="n">
        <v>18.15</v>
      </c>
      <c r="F2369" s="149" t="n">
        <f aca="false">IF(C2369="MAT.",VLOOKUP(A2369,INSUMOS_AUX!$A$3:$H$813,6,0),0)</f>
        <v>0.78</v>
      </c>
      <c r="G2369" s="149" t="n">
        <f aca="false">IF(C2369="M.O.",VLOOKUP(A2369,INSUMOS_AUX!A:F,6,0),0)</f>
        <v>0</v>
      </c>
    </row>
    <row r="2370" customFormat="false" ht="21" hidden="false" customHeight="false" outlineLevel="0" collapsed="false">
      <c r="A2370" s="154" t="n">
        <v>37373</v>
      </c>
      <c r="B2370" s="155" t="s">
        <v>1448</v>
      </c>
      <c r="C2370" s="148" t="str">
        <f aca="false">VLOOKUP($A2370,INSUMOS_AUX!$A$3:$H$813,3,0)</f>
        <v>MAT.</v>
      </c>
      <c r="D2370" s="156" t="s">
        <v>1444</v>
      </c>
      <c r="E2370" s="154" t="n">
        <v>18.15</v>
      </c>
      <c r="F2370" s="149" t="n">
        <f aca="false">IF(C2370="MAT.",VLOOKUP(A2370,INSUMOS_AUX!$A$3:$H$813,6,0),0)</f>
        <v>0.08</v>
      </c>
      <c r="G2370" s="149" t="n">
        <f aca="false">IF(C2370="M.O.",VLOOKUP(A2370,INSUMOS_AUX!A:F,6,0),0)</f>
        <v>0</v>
      </c>
    </row>
    <row r="2371" customFormat="false" ht="21" hidden="false" customHeight="false" outlineLevel="0" collapsed="false">
      <c r="A2371" s="154" t="n">
        <v>37371</v>
      </c>
      <c r="B2371" s="155" t="s">
        <v>1449</v>
      </c>
      <c r="C2371" s="148" t="str">
        <f aca="false">VLOOKUP($A2371,INSUMOS_AUX!$A$3:$H$813,3,0)</f>
        <v>MAT.</v>
      </c>
      <c r="D2371" s="156" t="s">
        <v>1444</v>
      </c>
      <c r="E2371" s="154" t="n">
        <v>18.15</v>
      </c>
      <c r="F2371" s="149" t="n">
        <f aca="false">IF(C2371="MAT.",VLOOKUP(A2371,INSUMOS_AUX!$A$3:$H$813,6,0),0)</f>
        <v>0.59</v>
      </c>
      <c r="G2371" s="149" t="n">
        <f aca="false">IF(C2371="M.O.",VLOOKUP(A2371,INSUMOS_AUX!A:F,6,0),0)</f>
        <v>0</v>
      </c>
    </row>
    <row r="2372" customFormat="false" ht="31.5" hidden="false" customHeight="false" outlineLevel="0" collapsed="false">
      <c r="A2372" s="154" t="s">
        <v>1875</v>
      </c>
      <c r="B2372" s="155" t="s">
        <v>1874</v>
      </c>
      <c r="C2372" s="148" t="str">
        <f aca="false">VLOOKUP($A2372,INSUMOS_AUX!$A$3:$H$813,3,0)</f>
        <v>MAT.</v>
      </c>
      <c r="D2372" s="156" t="s">
        <v>31</v>
      </c>
      <c r="E2372" s="154" t="n">
        <v>1</v>
      </c>
      <c r="F2372" s="149" t="n">
        <f aca="false">IF(C2372="MAT.",VLOOKUP(A2372,INSUMOS_AUX!$A$3:$H$813,6,0),0)</f>
        <v>10497.6666666667</v>
      </c>
      <c r="G2372" s="149" t="n">
        <f aca="false">IF(C2372="M.O.",VLOOKUP(A2372,INSUMOS_AUX!A:F,6,0),0)</f>
        <v>0</v>
      </c>
    </row>
    <row r="2373" customFormat="false" ht="15" hidden="false" customHeight="false" outlineLevel="0" collapsed="false">
      <c r="A2373" s="154" t="n">
        <v>252</v>
      </c>
      <c r="B2373" s="155" t="s">
        <v>1600</v>
      </c>
      <c r="C2373" s="148" t="str">
        <f aca="false">VLOOKUP($A2373,INSUMOS_AUX!$A$3:$H$813,3,0)</f>
        <v>M.O.</v>
      </c>
      <c r="D2373" s="156" t="s">
        <v>1444</v>
      </c>
      <c r="E2373" s="154" t="n">
        <v>8.345205</v>
      </c>
      <c r="F2373" s="149" t="n">
        <f aca="false">IF(C2373="MAT.",VLOOKUP(A2373,INSUMOS_AUX!$A$3:$H$813,6,0),0)</f>
        <v>0</v>
      </c>
      <c r="G2373" s="149" t="n">
        <f aca="false">IF(C2373="M.O.",VLOOKUP(A2373,INSUMOS_AUX!A:F,6,0),0)</f>
        <v>13.26</v>
      </c>
    </row>
    <row r="2374" customFormat="false" ht="15" hidden="false" customHeight="false" outlineLevel="0" collapsed="false">
      <c r="A2374" s="154" t="n">
        <v>6110</v>
      </c>
      <c r="B2374" s="155" t="s">
        <v>1601</v>
      </c>
      <c r="C2374" s="148" t="str">
        <f aca="false">VLOOKUP($A2374,INSUMOS_AUX!$A$3:$H$813,3,0)</f>
        <v>M.O.</v>
      </c>
      <c r="D2374" s="156" t="s">
        <v>1444</v>
      </c>
      <c r="E2374" s="154" t="n">
        <v>10.014246</v>
      </c>
      <c r="F2374" s="149" t="n">
        <f aca="false">IF(C2374="MAT.",VLOOKUP(A2374,INSUMOS_AUX!$A$3:$H$813,6,0),0)</f>
        <v>0</v>
      </c>
      <c r="G2374" s="149" t="n">
        <f aca="false">IF(C2374="M.O.",VLOOKUP(A2374,INSUMOS_AUX!A:F,6,0),0)</f>
        <v>20.22</v>
      </c>
    </row>
    <row r="2375" customFormat="false" ht="31.5" hidden="false" customHeight="false" outlineLevel="0" collapsed="false">
      <c r="A2375" s="150" t="s">
        <v>469</v>
      </c>
      <c r="B2375" s="151" t="s">
        <v>1876</v>
      </c>
      <c r="C2375" s="152" t="s">
        <v>59</v>
      </c>
      <c r="D2375" s="152" t="s">
        <v>31</v>
      </c>
      <c r="E2375" s="150"/>
      <c r="F2375" s="153" t="n">
        <f aca="false">(SUMPRODUCT($E2376:$E2384,F2376:F2384))*1</f>
        <v>9273.24426666667</v>
      </c>
      <c r="G2375" s="153" t="n">
        <f aca="false">(SUMPRODUCT($E2376:$E2384,G2376:G2384))*1</f>
        <v>217.303979346</v>
      </c>
    </row>
    <row r="2376" customFormat="false" ht="21" hidden="false" customHeight="false" outlineLevel="0" collapsed="false">
      <c r="A2376" s="154" t="n">
        <v>37370</v>
      </c>
      <c r="B2376" s="155" t="s">
        <v>1443</v>
      </c>
      <c r="C2376" s="148" t="str">
        <f aca="false">VLOOKUP($A2376,INSUMOS_AUX!$A$3:$H$813,3,0)</f>
        <v>MAT.</v>
      </c>
      <c r="D2376" s="156" t="s">
        <v>1444</v>
      </c>
      <c r="E2376" s="154" t="n">
        <v>12.595</v>
      </c>
      <c r="F2376" s="149" t="n">
        <f aca="false">IF(C2376="MAT.",VLOOKUP(A2376,INSUMOS_AUX!$A$3:$H$813,6,0),0)</f>
        <v>3.32</v>
      </c>
      <c r="G2376" s="149" t="n">
        <f aca="false">IF(C2376="M.O.",VLOOKUP(A2376,INSUMOS_AUX!A:F,6,0),0)</f>
        <v>0</v>
      </c>
    </row>
    <row r="2377" customFormat="false" ht="21" hidden="false" customHeight="false" outlineLevel="0" collapsed="false">
      <c r="A2377" s="154" t="n">
        <v>43489</v>
      </c>
      <c r="B2377" s="155" t="s">
        <v>1456</v>
      </c>
      <c r="C2377" s="148" t="str">
        <f aca="false">VLOOKUP($A2377,INSUMOS_AUX!$A$3:$H$813,3,0)</f>
        <v>MAT.</v>
      </c>
      <c r="D2377" s="156" t="s">
        <v>1444</v>
      </c>
      <c r="E2377" s="154" t="n">
        <v>12.595</v>
      </c>
      <c r="F2377" s="149" t="n">
        <f aca="false">IF(C2377="MAT.",VLOOKUP(A2377,INSUMOS_AUX!$A$3:$H$813,6,0),0)</f>
        <v>1.31</v>
      </c>
      <c r="G2377" s="149" t="n">
        <f aca="false">IF(C2377="M.O.",VLOOKUP(A2377,INSUMOS_AUX!A:F,6,0),0)</f>
        <v>0</v>
      </c>
    </row>
    <row r="2378" customFormat="false" ht="21" hidden="false" customHeight="false" outlineLevel="0" collapsed="false">
      <c r="A2378" s="154" t="n">
        <v>37372</v>
      </c>
      <c r="B2378" s="155" t="s">
        <v>1446</v>
      </c>
      <c r="C2378" s="148" t="s">
        <v>59</v>
      </c>
      <c r="D2378" s="156" t="s">
        <v>1444</v>
      </c>
      <c r="E2378" s="154" t="n">
        <v>12.595</v>
      </c>
      <c r="F2378" s="149" t="n">
        <f aca="false">IF(C2378="MAT.",VLOOKUP(A2378,INSUMOS_AUX!$A$3:$H$813,6,0),0)</f>
        <v>0</v>
      </c>
      <c r="G2378" s="149" t="n">
        <f aca="false">IF(C2378="M.O.",VLOOKUP(A2378,INSUMOS_AUX!A:F,6,0),0)</f>
        <v>0</v>
      </c>
    </row>
    <row r="2379" customFormat="false" ht="21" hidden="false" customHeight="false" outlineLevel="0" collapsed="false">
      <c r="A2379" s="154" t="n">
        <v>43465</v>
      </c>
      <c r="B2379" s="155" t="s">
        <v>1458</v>
      </c>
      <c r="C2379" s="148" t="str">
        <f aca="false">VLOOKUP($A2379,INSUMOS_AUX!$A$3:$H$813,3,0)</f>
        <v>MAT.</v>
      </c>
      <c r="D2379" s="156" t="s">
        <v>1444</v>
      </c>
      <c r="E2379" s="154" t="n">
        <v>12.595</v>
      </c>
      <c r="F2379" s="149" t="n">
        <f aca="false">IF(C2379="MAT.",VLOOKUP(A2379,INSUMOS_AUX!$A$3:$H$813,6,0),0)</f>
        <v>0.78</v>
      </c>
      <c r="G2379" s="149" t="n">
        <f aca="false">IF(C2379="M.O.",VLOOKUP(A2379,INSUMOS_AUX!A:F,6,0),0)</f>
        <v>0</v>
      </c>
    </row>
    <row r="2380" customFormat="false" ht="21" hidden="false" customHeight="false" outlineLevel="0" collapsed="false">
      <c r="A2380" s="154" t="n">
        <v>37373</v>
      </c>
      <c r="B2380" s="155" t="s">
        <v>1448</v>
      </c>
      <c r="C2380" s="148" t="str">
        <f aca="false">VLOOKUP($A2380,INSUMOS_AUX!$A$3:$H$813,3,0)</f>
        <v>MAT.</v>
      </c>
      <c r="D2380" s="156" t="s">
        <v>1444</v>
      </c>
      <c r="E2380" s="154" t="n">
        <v>12.595</v>
      </c>
      <c r="F2380" s="149" t="n">
        <f aca="false">IF(C2380="MAT.",VLOOKUP(A2380,INSUMOS_AUX!$A$3:$H$813,6,0),0)</f>
        <v>0.08</v>
      </c>
      <c r="G2380" s="149" t="n">
        <f aca="false">IF(C2380="M.O.",VLOOKUP(A2380,INSUMOS_AUX!A:F,6,0),0)</f>
        <v>0</v>
      </c>
    </row>
    <row r="2381" customFormat="false" ht="21" hidden="false" customHeight="false" outlineLevel="0" collapsed="false">
      <c r="A2381" s="154" t="n">
        <v>37371</v>
      </c>
      <c r="B2381" s="155" t="s">
        <v>1449</v>
      </c>
      <c r="C2381" s="148" t="str">
        <f aca="false">VLOOKUP($A2381,INSUMOS_AUX!$A$3:$H$813,3,0)</f>
        <v>MAT.</v>
      </c>
      <c r="D2381" s="156" t="s">
        <v>1444</v>
      </c>
      <c r="E2381" s="154" t="n">
        <v>12.595</v>
      </c>
      <c r="F2381" s="149" t="n">
        <f aca="false">IF(C2381="MAT.",VLOOKUP(A2381,INSUMOS_AUX!$A$3:$H$813,6,0),0)</f>
        <v>0.59</v>
      </c>
      <c r="G2381" s="149" t="n">
        <f aca="false">IF(C2381="M.O.",VLOOKUP(A2381,INSUMOS_AUX!A:F,6,0),0)</f>
        <v>0</v>
      </c>
    </row>
    <row r="2382" customFormat="false" ht="31.5" hidden="false" customHeight="false" outlineLevel="0" collapsed="false">
      <c r="A2382" s="154" t="s">
        <v>1877</v>
      </c>
      <c r="B2382" s="155" t="s">
        <v>1876</v>
      </c>
      <c r="C2382" s="148" t="str">
        <f aca="false">VLOOKUP($A2382,INSUMOS_AUX!$A$3:$H$813,3,0)</f>
        <v>MAT.</v>
      </c>
      <c r="D2382" s="156" t="s">
        <v>31</v>
      </c>
      <c r="E2382" s="154" t="n">
        <v>1</v>
      </c>
      <c r="F2382" s="149" t="n">
        <f aca="false">IF(C2382="MAT.",VLOOKUP(A2382,INSUMOS_AUX!$A$3:$H$813,6,0),0)</f>
        <v>9196.66666666667</v>
      </c>
      <c r="G2382" s="149" t="n">
        <f aca="false">IF(C2382="M.O.",VLOOKUP(A2382,INSUMOS_AUX!A:F,6,0),0)</f>
        <v>0</v>
      </c>
    </row>
    <row r="2383" customFormat="false" ht="15" hidden="false" customHeight="false" outlineLevel="0" collapsed="false">
      <c r="A2383" s="154" t="n">
        <v>252</v>
      </c>
      <c r="B2383" s="155" t="s">
        <v>1600</v>
      </c>
      <c r="C2383" s="148" t="str">
        <f aca="false">VLOOKUP($A2383,INSUMOS_AUX!$A$3:$H$813,3,0)</f>
        <v>M.O.</v>
      </c>
      <c r="D2383" s="156" t="s">
        <v>1444</v>
      </c>
      <c r="E2383" s="154" t="n">
        <v>5.7910665</v>
      </c>
      <c r="F2383" s="149" t="n">
        <f aca="false">IF(C2383="MAT.",VLOOKUP(A2383,INSUMOS_AUX!$A$3:$H$813,6,0),0)</f>
        <v>0</v>
      </c>
      <c r="G2383" s="149" t="n">
        <f aca="false">IF(C2383="M.O.",VLOOKUP(A2383,INSUMOS_AUX!A:F,6,0),0)</f>
        <v>13.26</v>
      </c>
    </row>
    <row r="2384" customFormat="false" ht="15" hidden="false" customHeight="false" outlineLevel="0" collapsed="false">
      <c r="A2384" s="154" t="n">
        <v>6110</v>
      </c>
      <c r="B2384" s="155" t="s">
        <v>1601</v>
      </c>
      <c r="C2384" s="148" t="str">
        <f aca="false">VLOOKUP($A2384,INSUMOS_AUX!$A$3:$H$813,3,0)</f>
        <v>M.O.</v>
      </c>
      <c r="D2384" s="156" t="s">
        <v>1444</v>
      </c>
      <c r="E2384" s="154" t="n">
        <v>6.9492798</v>
      </c>
      <c r="F2384" s="149" t="n">
        <f aca="false">IF(C2384="MAT.",VLOOKUP(A2384,INSUMOS_AUX!$A$3:$H$813,6,0),0)</f>
        <v>0</v>
      </c>
      <c r="G2384" s="149" t="n">
        <f aca="false">IF(C2384="M.O.",VLOOKUP(A2384,INSUMOS_AUX!A:F,6,0),0)</f>
        <v>20.22</v>
      </c>
    </row>
    <row r="2385" customFormat="false" ht="21" hidden="false" customHeight="false" outlineLevel="0" collapsed="false">
      <c r="A2385" s="150" t="n">
        <v>102193</v>
      </c>
      <c r="B2385" s="151" t="s">
        <v>1878</v>
      </c>
      <c r="C2385" s="152" t="s">
        <v>59</v>
      </c>
      <c r="D2385" s="152" t="s">
        <v>1477</v>
      </c>
      <c r="E2385" s="150"/>
      <c r="F2385" s="153" t="n">
        <f aca="false">(SUMPRODUCT($E2386:$E2393,F2386:F2393))*1</f>
        <v>0.504212</v>
      </c>
      <c r="G2385" s="153" t="n">
        <f aca="false">(SUMPRODUCT($E2386:$E2393,G2386:G2393))*1</f>
        <v>1.11004799352</v>
      </c>
    </row>
    <row r="2386" customFormat="false" ht="21" hidden="false" customHeight="false" outlineLevel="0" collapsed="false">
      <c r="A2386" s="154" t="n">
        <v>37370</v>
      </c>
      <c r="B2386" s="155" t="s">
        <v>1443</v>
      </c>
      <c r="C2386" s="148" t="str">
        <f aca="false">VLOOKUP($A2386,INSUMOS_AUX!$A$3:$H$813,3,0)</f>
        <v>MAT.</v>
      </c>
      <c r="D2386" s="156" t="s">
        <v>1444</v>
      </c>
      <c r="E2386" s="154" t="n">
        <v>0.0541</v>
      </c>
      <c r="F2386" s="149" t="n">
        <f aca="false">IF(C2386="MAT.",VLOOKUP(A2386,INSUMOS_AUX!$A$3:$H$813,6,0),0)</f>
        <v>3.32</v>
      </c>
      <c r="G2386" s="149" t="n">
        <f aca="false">IF(C2386="M.O.",VLOOKUP(A2386,INSUMOS_AUX!A:F,6,0),0)</f>
        <v>0</v>
      </c>
    </row>
    <row r="2387" customFormat="false" ht="21" hidden="false" customHeight="false" outlineLevel="0" collapsed="false">
      <c r="A2387" s="154" t="n">
        <v>43490</v>
      </c>
      <c r="B2387" s="155" t="s">
        <v>1508</v>
      </c>
      <c r="C2387" s="148" t="str">
        <f aca="false">VLOOKUP($A2387,INSUMOS_AUX!$A$3:$H$813,3,0)</f>
        <v>MAT.</v>
      </c>
      <c r="D2387" s="156" t="s">
        <v>1444</v>
      </c>
      <c r="E2387" s="154" t="n">
        <v>0.0541</v>
      </c>
      <c r="F2387" s="149" t="n">
        <f aca="false">IF(C2387="MAT.",VLOOKUP(A2387,INSUMOS_AUX!$A$3:$H$813,6,0),0)</f>
        <v>1.85</v>
      </c>
      <c r="G2387" s="149" t="n">
        <f aca="false">IF(C2387="M.O.",VLOOKUP(A2387,INSUMOS_AUX!A:F,6,0),0)</f>
        <v>0</v>
      </c>
    </row>
    <row r="2388" customFormat="false" ht="21" hidden="false" customHeight="false" outlineLevel="0" collapsed="false">
      <c r="A2388" s="154" t="n">
        <v>37372</v>
      </c>
      <c r="B2388" s="155" t="s">
        <v>1446</v>
      </c>
      <c r="C2388" s="148" t="str">
        <f aca="false">VLOOKUP($A2388,INSUMOS_AUX!$A$3:$H$813,3,0)</f>
        <v>MAT.</v>
      </c>
      <c r="D2388" s="156" t="s">
        <v>1444</v>
      </c>
      <c r="E2388" s="154" t="n">
        <v>0.0541</v>
      </c>
      <c r="F2388" s="149" t="n">
        <f aca="false">IF(C2388="MAT.",VLOOKUP(A2388,INSUMOS_AUX!$A$3:$H$813,6,0),0)</f>
        <v>1.43</v>
      </c>
      <c r="G2388" s="149" t="n">
        <f aca="false">IF(C2388="M.O.",VLOOKUP(A2388,INSUMOS_AUX!A:F,6,0),0)</f>
        <v>0</v>
      </c>
    </row>
    <row r="2389" customFormat="false" ht="21" hidden="false" customHeight="false" outlineLevel="0" collapsed="false">
      <c r="A2389" s="154" t="n">
        <v>43466</v>
      </c>
      <c r="B2389" s="155" t="s">
        <v>1509</v>
      </c>
      <c r="C2389" s="148" t="str">
        <f aca="false">VLOOKUP($A2389,INSUMOS_AUX!$A$3:$H$813,3,0)</f>
        <v>MAT.</v>
      </c>
      <c r="D2389" s="156" t="s">
        <v>1444</v>
      </c>
      <c r="E2389" s="154" t="n">
        <v>0.0541</v>
      </c>
      <c r="F2389" s="149" t="n">
        <f aca="false">IF(C2389="MAT.",VLOOKUP(A2389,INSUMOS_AUX!$A$3:$H$813,6,0),0)</f>
        <v>2.05</v>
      </c>
      <c r="G2389" s="149" t="n">
        <f aca="false">IF(C2389="M.O.",VLOOKUP(A2389,INSUMOS_AUX!A:F,6,0),0)</f>
        <v>0</v>
      </c>
    </row>
    <row r="2390" customFormat="false" ht="21" hidden="false" customHeight="false" outlineLevel="0" collapsed="false">
      <c r="A2390" s="154" t="n">
        <v>37373</v>
      </c>
      <c r="B2390" s="155" t="s">
        <v>1448</v>
      </c>
      <c r="C2390" s="148" t="str">
        <f aca="false">VLOOKUP($A2390,INSUMOS_AUX!$A$3:$H$813,3,0)</f>
        <v>MAT.</v>
      </c>
      <c r="D2390" s="156" t="s">
        <v>1444</v>
      </c>
      <c r="E2390" s="154" t="n">
        <v>0.0541</v>
      </c>
      <c r="F2390" s="149" t="n">
        <f aca="false">IF(C2390="MAT.",VLOOKUP(A2390,INSUMOS_AUX!$A$3:$H$813,6,0),0)</f>
        <v>0.08</v>
      </c>
      <c r="G2390" s="149" t="n">
        <f aca="false">IF(C2390="M.O.",VLOOKUP(A2390,INSUMOS_AUX!A:F,6,0),0)</f>
        <v>0</v>
      </c>
    </row>
    <row r="2391" customFormat="false" ht="21" hidden="false" customHeight="false" outlineLevel="0" collapsed="false">
      <c r="A2391" s="154" t="n">
        <v>37371</v>
      </c>
      <c r="B2391" s="155" t="s">
        <v>1449</v>
      </c>
      <c r="C2391" s="148" t="str">
        <f aca="false">VLOOKUP($A2391,INSUMOS_AUX!$A$3:$H$813,3,0)</f>
        <v>MAT.</v>
      </c>
      <c r="D2391" s="156" t="s">
        <v>1444</v>
      </c>
      <c r="E2391" s="154" t="n">
        <v>0.0541</v>
      </c>
      <c r="F2391" s="149" t="n">
        <f aca="false">IF(C2391="MAT.",VLOOKUP(A2391,INSUMOS_AUX!$A$3:$H$813,6,0),0)</f>
        <v>0.59</v>
      </c>
      <c r="G2391" s="149" t="n">
        <f aca="false">IF(C2391="M.O.",VLOOKUP(A2391,INSUMOS_AUX!A:F,6,0),0)</f>
        <v>0</v>
      </c>
    </row>
    <row r="2392" customFormat="false" ht="21" hidden="false" customHeight="false" outlineLevel="0" collapsed="false">
      <c r="A2392" s="154" t="n">
        <v>3767</v>
      </c>
      <c r="B2392" s="155" t="s">
        <v>1879</v>
      </c>
      <c r="C2392" s="148" t="s">
        <v>59</v>
      </c>
      <c r="D2392" s="156" t="s">
        <v>31</v>
      </c>
      <c r="E2392" s="154" t="n">
        <v>0.4</v>
      </c>
      <c r="F2392" s="149" t="n">
        <f aca="false">IF(C2392="MAT.",VLOOKUP(A2392,INSUMOS_AUX!$A$3:$H$813,6,0),0)</f>
        <v>0</v>
      </c>
      <c r="G2392" s="149" t="n">
        <f aca="false">IF(C2392="M.O.",VLOOKUP(A2392,INSUMOS_AUX!A:F,6,0),0)</f>
        <v>0</v>
      </c>
    </row>
    <row r="2393" customFormat="false" ht="15" hidden="false" customHeight="false" outlineLevel="0" collapsed="false">
      <c r="A2393" s="154" t="n">
        <v>4783</v>
      </c>
      <c r="B2393" s="155" t="s">
        <v>1517</v>
      </c>
      <c r="C2393" s="148" t="str">
        <f aca="false">VLOOKUP($A2393,INSUMOS_AUX!$A$3:$H$813,3,0)</f>
        <v>M.O.</v>
      </c>
      <c r="D2393" s="156" t="s">
        <v>1444</v>
      </c>
      <c r="E2393" s="154" t="n">
        <v>0.054898516</v>
      </c>
      <c r="F2393" s="149" t="n">
        <f aca="false">IF(C2393="MAT.",VLOOKUP(A2393,INSUMOS_AUX!$A$3:$H$813,6,0),0)</f>
        <v>0</v>
      </c>
      <c r="G2393" s="149" t="n">
        <f aca="false">IF(C2393="M.O.",VLOOKUP(A2393,INSUMOS_AUX!A:F,6,0),0)</f>
        <v>20.22</v>
      </c>
    </row>
    <row r="2394" customFormat="false" ht="21" hidden="false" customHeight="false" outlineLevel="0" collapsed="false">
      <c r="A2394" s="150" t="n">
        <v>102229</v>
      </c>
      <c r="B2394" s="151" t="s">
        <v>1880</v>
      </c>
      <c r="C2394" s="152" t="s">
        <v>59</v>
      </c>
      <c r="D2394" s="152" t="s">
        <v>1477</v>
      </c>
      <c r="E2394" s="150"/>
      <c r="F2394" s="153" t="n">
        <f aca="false">(SUMPRODUCT($E2395:$E2403,F2395:F2403))*1</f>
        <v>14.484841</v>
      </c>
      <c r="G2394" s="153" t="n">
        <f aca="false">(SUMPRODUCT($E2395:$E2403,G2395:G2403))*1</f>
        <v>11.71192966176</v>
      </c>
    </row>
    <row r="2395" customFormat="false" ht="21" hidden="false" customHeight="false" outlineLevel="0" collapsed="false">
      <c r="A2395" s="154" t="n">
        <v>37370</v>
      </c>
      <c r="B2395" s="155" t="s">
        <v>1443</v>
      </c>
      <c r="C2395" s="148" t="str">
        <f aca="false">VLOOKUP($A2395,INSUMOS_AUX!$A$3:$H$813,3,0)</f>
        <v>MAT.</v>
      </c>
      <c r="D2395" s="156" t="s">
        <v>1444</v>
      </c>
      <c r="E2395" s="154" t="n">
        <v>0.5708</v>
      </c>
      <c r="F2395" s="149" t="n">
        <f aca="false">IF(C2395="MAT.",VLOOKUP(A2395,INSUMOS_AUX!$A$3:$H$813,6,0),0)</f>
        <v>3.32</v>
      </c>
      <c r="G2395" s="149" t="n">
        <f aca="false">IF(C2395="M.O.",VLOOKUP(A2395,INSUMOS_AUX!A:F,6,0),0)</f>
        <v>0</v>
      </c>
    </row>
    <row r="2396" customFormat="false" ht="21" hidden="false" customHeight="false" outlineLevel="0" collapsed="false">
      <c r="A2396" s="154" t="n">
        <v>43490</v>
      </c>
      <c r="B2396" s="155" t="s">
        <v>1508</v>
      </c>
      <c r="C2396" s="148" t="str">
        <f aca="false">VLOOKUP($A2396,INSUMOS_AUX!$A$3:$H$813,3,0)</f>
        <v>MAT.</v>
      </c>
      <c r="D2396" s="156" t="s">
        <v>1444</v>
      </c>
      <c r="E2396" s="154" t="n">
        <v>0.5708</v>
      </c>
      <c r="F2396" s="149" t="n">
        <f aca="false">IF(C2396="MAT.",VLOOKUP(A2396,INSUMOS_AUX!$A$3:$H$813,6,0),0)</f>
        <v>1.85</v>
      </c>
      <c r="G2396" s="149" t="n">
        <f aca="false">IF(C2396="M.O.",VLOOKUP(A2396,INSUMOS_AUX!A:F,6,0),0)</f>
        <v>0</v>
      </c>
    </row>
    <row r="2397" customFormat="false" ht="21" hidden="false" customHeight="false" outlineLevel="0" collapsed="false">
      <c r="A2397" s="154" t="n">
        <v>37372</v>
      </c>
      <c r="B2397" s="155" t="s">
        <v>1446</v>
      </c>
      <c r="C2397" s="148" t="str">
        <f aca="false">VLOOKUP($A2397,INSUMOS_AUX!$A$3:$H$813,3,0)</f>
        <v>MAT.</v>
      </c>
      <c r="D2397" s="156" t="s">
        <v>1444</v>
      </c>
      <c r="E2397" s="154" t="n">
        <v>0.5708</v>
      </c>
      <c r="F2397" s="149" t="n">
        <f aca="false">IF(C2397="MAT.",VLOOKUP(A2397,INSUMOS_AUX!$A$3:$H$813,6,0),0)</f>
        <v>1.43</v>
      </c>
      <c r="G2397" s="149" t="n">
        <f aca="false">IF(C2397="M.O.",VLOOKUP(A2397,INSUMOS_AUX!A:F,6,0),0)</f>
        <v>0</v>
      </c>
    </row>
    <row r="2398" customFormat="false" ht="21" hidden="false" customHeight="false" outlineLevel="0" collapsed="false">
      <c r="A2398" s="154" t="n">
        <v>43466</v>
      </c>
      <c r="B2398" s="155" t="s">
        <v>1509</v>
      </c>
      <c r="C2398" s="148" t="str">
        <f aca="false">VLOOKUP($A2398,INSUMOS_AUX!$A$3:$H$813,3,0)</f>
        <v>MAT.</v>
      </c>
      <c r="D2398" s="156" t="s">
        <v>1444</v>
      </c>
      <c r="E2398" s="154" t="n">
        <v>0.5708</v>
      </c>
      <c r="F2398" s="149" t="n">
        <f aca="false">IF(C2398="MAT.",VLOOKUP(A2398,INSUMOS_AUX!$A$3:$H$813,6,0),0)</f>
        <v>2.05</v>
      </c>
      <c r="G2398" s="149" t="n">
        <f aca="false">IF(C2398="M.O.",VLOOKUP(A2398,INSUMOS_AUX!A:F,6,0),0)</f>
        <v>0</v>
      </c>
    </row>
    <row r="2399" customFormat="false" ht="21" hidden="false" customHeight="false" outlineLevel="0" collapsed="false">
      <c r="A2399" s="154" t="n">
        <v>37373</v>
      </c>
      <c r="B2399" s="155" t="s">
        <v>1448</v>
      </c>
      <c r="C2399" s="148" t="str">
        <f aca="false">VLOOKUP($A2399,INSUMOS_AUX!$A$3:$H$813,3,0)</f>
        <v>MAT.</v>
      </c>
      <c r="D2399" s="156" t="s">
        <v>1444</v>
      </c>
      <c r="E2399" s="154" t="n">
        <v>0.5708</v>
      </c>
      <c r="F2399" s="149" t="n">
        <f aca="false">IF(C2399="MAT.",VLOOKUP(A2399,INSUMOS_AUX!$A$3:$H$813,6,0),0)</f>
        <v>0.08</v>
      </c>
      <c r="G2399" s="149" t="n">
        <f aca="false">IF(C2399="M.O.",VLOOKUP(A2399,INSUMOS_AUX!A:F,6,0),0)</f>
        <v>0</v>
      </c>
    </row>
    <row r="2400" customFormat="false" ht="21" hidden="false" customHeight="false" outlineLevel="0" collapsed="false">
      <c r="A2400" s="154" t="n">
        <v>37371</v>
      </c>
      <c r="B2400" s="155" t="s">
        <v>1449</v>
      </c>
      <c r="C2400" s="148" t="str">
        <f aca="false">VLOOKUP($A2400,INSUMOS_AUX!$A$3:$H$813,3,0)</f>
        <v>MAT.</v>
      </c>
      <c r="D2400" s="156" t="s">
        <v>1444</v>
      </c>
      <c r="E2400" s="154" t="n">
        <v>0.5708</v>
      </c>
      <c r="F2400" s="149" t="n">
        <f aca="false">IF(C2400="MAT.",VLOOKUP(A2400,INSUMOS_AUX!$A$3:$H$813,6,0),0)</f>
        <v>0.59</v>
      </c>
      <c r="G2400" s="149" t="n">
        <f aca="false">IF(C2400="M.O.",VLOOKUP(A2400,INSUMOS_AUX!A:F,6,0),0)</f>
        <v>0</v>
      </c>
    </row>
    <row r="2401" customFormat="false" ht="15" hidden="false" customHeight="false" outlineLevel="0" collapsed="false">
      <c r="A2401" s="154" t="n">
        <v>5318</v>
      </c>
      <c r="B2401" s="155" t="s">
        <v>1732</v>
      </c>
      <c r="C2401" s="148" t="str">
        <f aca="false">VLOOKUP($A2401,INSUMOS_AUX!$A$3:$H$813,3,0)</f>
        <v>MAT.</v>
      </c>
      <c r="D2401" s="156" t="s">
        <v>1452</v>
      </c>
      <c r="E2401" s="154" t="n">
        <v>0.021</v>
      </c>
      <c r="F2401" s="149" t="n">
        <f aca="false">IF(C2401="MAT.",VLOOKUP(A2401,INSUMOS_AUX!$A$3:$H$813,6,0),0)</f>
        <v>20.54</v>
      </c>
      <c r="G2401" s="149" t="n">
        <f aca="false">IF(C2401="M.O.",VLOOKUP(A2401,INSUMOS_AUX!A:F,6,0),0)</f>
        <v>0</v>
      </c>
    </row>
    <row r="2402" customFormat="false" ht="15" hidden="false" customHeight="false" outlineLevel="0" collapsed="false">
      <c r="A2402" s="154" t="n">
        <v>7311</v>
      </c>
      <c r="B2402" s="155" t="s">
        <v>1881</v>
      </c>
      <c r="C2402" s="148" t="str">
        <f aca="false">VLOOKUP($A2402,INSUMOS_AUX!$A$3:$H$813,3,0)</f>
        <v>MAT.</v>
      </c>
      <c r="D2402" s="156" t="s">
        <v>1452</v>
      </c>
      <c r="E2402" s="154" t="n">
        <v>0.2105</v>
      </c>
      <c r="F2402" s="149" t="n">
        <f aca="false">IF(C2402="MAT.",VLOOKUP(A2402,INSUMOS_AUX!$A$3:$H$813,6,0),0)</f>
        <v>41.49</v>
      </c>
      <c r="G2402" s="149" t="n">
        <f aca="false">IF(C2402="M.O.",VLOOKUP(A2402,INSUMOS_AUX!A:F,6,0),0)</f>
        <v>0</v>
      </c>
    </row>
    <row r="2403" customFormat="false" ht="15" hidden="false" customHeight="false" outlineLevel="0" collapsed="false">
      <c r="A2403" s="154" t="n">
        <v>4783</v>
      </c>
      <c r="B2403" s="155" t="s">
        <v>1517</v>
      </c>
      <c r="C2403" s="148" t="str">
        <f aca="false">VLOOKUP($A2403,INSUMOS_AUX!$A$3:$H$813,3,0)</f>
        <v>M.O.</v>
      </c>
      <c r="D2403" s="156" t="s">
        <v>1444</v>
      </c>
      <c r="E2403" s="154" t="n">
        <v>0.579225008</v>
      </c>
      <c r="F2403" s="149" t="n">
        <f aca="false">IF(C2403="MAT.",VLOOKUP(A2403,INSUMOS_AUX!$A$3:$H$813,6,0),0)</f>
        <v>0</v>
      </c>
      <c r="G2403" s="149" t="n">
        <f aca="false">IF(C2403="M.O.",VLOOKUP(A2403,INSUMOS_AUX!A:F,6,0),0)</f>
        <v>20.22</v>
      </c>
    </row>
    <row r="2404" customFormat="false" ht="21" hidden="false" customHeight="false" outlineLevel="0" collapsed="false">
      <c r="A2404" s="150" t="n">
        <v>100874</v>
      </c>
      <c r="B2404" s="151" t="s">
        <v>1882</v>
      </c>
      <c r="C2404" s="152" t="s">
        <v>59</v>
      </c>
      <c r="D2404" s="152" t="s">
        <v>31</v>
      </c>
      <c r="E2404" s="150"/>
      <c r="F2404" s="153" t="n">
        <f aca="false">(SUMPRODUCT($E2405:$E2416,F2405:F2416))*1</f>
        <v>309.708474</v>
      </c>
      <c r="G2404" s="153" t="n">
        <f aca="false">(SUMPRODUCT($E2405:$E2416,G2405:G2416))*1</f>
        <v>23.4749950386</v>
      </c>
    </row>
    <row r="2405" customFormat="false" ht="21" hidden="false" customHeight="false" outlineLevel="0" collapsed="false">
      <c r="A2405" s="154" t="n">
        <v>37370</v>
      </c>
      <c r="B2405" s="155" t="s">
        <v>1443</v>
      </c>
      <c r="C2405" s="148" t="str">
        <f aca="false">VLOOKUP($A2405,INSUMOS_AUX!$A$3:$H$813,3,0)</f>
        <v>MAT.</v>
      </c>
      <c r="D2405" s="156" t="s">
        <v>1444</v>
      </c>
      <c r="E2405" s="154" t="n">
        <v>1.2473</v>
      </c>
      <c r="F2405" s="149" t="n">
        <f aca="false">IF(C2405="MAT.",VLOOKUP(A2405,INSUMOS_AUX!$A$3:$H$813,6,0),0)</f>
        <v>3.32</v>
      </c>
      <c r="G2405" s="149" t="n">
        <f aca="false">IF(C2405="M.O.",VLOOKUP(A2405,INSUMOS_AUX!A:F,6,0),0)</f>
        <v>0</v>
      </c>
    </row>
    <row r="2406" customFormat="false" ht="21" hidden="false" customHeight="false" outlineLevel="0" collapsed="false">
      <c r="A2406" s="154" t="n">
        <v>43485</v>
      </c>
      <c r="B2406" s="155" t="s">
        <v>1481</v>
      </c>
      <c r="C2406" s="148" t="str">
        <f aca="false">VLOOKUP($A2406,INSUMOS_AUX!$A$3:$H$813,3,0)</f>
        <v>MAT.</v>
      </c>
      <c r="D2406" s="156" t="s">
        <v>1444</v>
      </c>
      <c r="E2406" s="154" t="n">
        <v>0.9485</v>
      </c>
      <c r="F2406" s="149" t="n">
        <f aca="false">IF(C2406="MAT.",VLOOKUP(A2406,INSUMOS_AUX!$A$3:$H$813,6,0),0)</f>
        <v>1.13</v>
      </c>
      <c r="G2406" s="149" t="n">
        <f aca="false">IF(C2406="M.O.",VLOOKUP(A2406,INSUMOS_AUX!A:F,6,0),0)</f>
        <v>0</v>
      </c>
    </row>
    <row r="2407" customFormat="false" ht="21" hidden="false" customHeight="false" outlineLevel="0" collapsed="false">
      <c r="A2407" s="154" t="n">
        <v>43491</v>
      </c>
      <c r="B2407" s="155" t="s">
        <v>1457</v>
      </c>
      <c r="C2407" s="148" t="s">
        <v>59</v>
      </c>
      <c r="D2407" s="156" t="s">
        <v>1444</v>
      </c>
      <c r="E2407" s="154" t="n">
        <v>0.2988</v>
      </c>
      <c r="F2407" s="149" t="n">
        <f aca="false">IF(C2407="MAT.",VLOOKUP(A2407,INSUMOS_AUX!$A$3:$H$813,6,0),0)</f>
        <v>0</v>
      </c>
      <c r="G2407" s="149" t="n">
        <f aca="false">IF(C2407="M.O.",VLOOKUP(A2407,INSUMOS_AUX!A:F,6,0),0)</f>
        <v>0</v>
      </c>
    </row>
    <row r="2408" customFormat="false" ht="21" hidden="false" customHeight="false" outlineLevel="0" collapsed="false">
      <c r="A2408" s="154" t="n">
        <v>37372</v>
      </c>
      <c r="B2408" s="155" t="s">
        <v>1446</v>
      </c>
      <c r="C2408" s="148" t="str">
        <f aca="false">VLOOKUP($A2408,INSUMOS_AUX!$A$3:$H$813,3,0)</f>
        <v>MAT.</v>
      </c>
      <c r="D2408" s="156" t="s">
        <v>1444</v>
      </c>
      <c r="E2408" s="154" t="n">
        <v>1.2473</v>
      </c>
      <c r="F2408" s="149" t="n">
        <f aca="false">IF(C2408="MAT.",VLOOKUP(A2408,INSUMOS_AUX!$A$3:$H$813,6,0),0)</f>
        <v>1.43</v>
      </c>
      <c r="G2408" s="149" t="n">
        <f aca="false">IF(C2408="M.O.",VLOOKUP(A2408,INSUMOS_AUX!A:F,6,0),0)</f>
        <v>0</v>
      </c>
    </row>
    <row r="2409" customFormat="false" ht="21" hidden="false" customHeight="false" outlineLevel="0" collapsed="false">
      <c r="A2409" s="154" t="n">
        <v>43461</v>
      </c>
      <c r="B2409" s="155" t="s">
        <v>1482</v>
      </c>
      <c r="C2409" s="148" t="str">
        <f aca="false">VLOOKUP($A2409,INSUMOS_AUX!$A$3:$H$813,3,0)</f>
        <v>MAT.</v>
      </c>
      <c r="D2409" s="156" t="s">
        <v>1444</v>
      </c>
      <c r="E2409" s="154" t="n">
        <v>0.9485</v>
      </c>
      <c r="F2409" s="149" t="n">
        <f aca="false">IF(C2409="MAT.",VLOOKUP(A2409,INSUMOS_AUX!$A$3:$H$813,6,0),0)</f>
        <v>0.31</v>
      </c>
      <c r="G2409" s="149" t="n">
        <f aca="false">IF(C2409="M.O.",VLOOKUP(A2409,INSUMOS_AUX!A:F,6,0),0)</f>
        <v>0</v>
      </c>
    </row>
    <row r="2410" customFormat="false" ht="21" hidden="false" customHeight="false" outlineLevel="0" collapsed="false">
      <c r="A2410" s="154" t="n">
        <v>43467</v>
      </c>
      <c r="B2410" s="155" t="s">
        <v>1459</v>
      </c>
      <c r="C2410" s="148" t="str">
        <f aca="false">VLOOKUP($A2410,INSUMOS_AUX!$A$3:$H$813,3,0)</f>
        <v>MAT.</v>
      </c>
      <c r="D2410" s="156" t="s">
        <v>1444</v>
      </c>
      <c r="E2410" s="154" t="n">
        <v>0.2988</v>
      </c>
      <c r="F2410" s="149" t="n">
        <f aca="false">IF(C2410="MAT.",VLOOKUP(A2410,INSUMOS_AUX!$A$3:$H$813,6,0),0)</f>
        <v>0.61</v>
      </c>
      <c r="G2410" s="149" t="n">
        <f aca="false">IF(C2410="M.O.",VLOOKUP(A2410,INSUMOS_AUX!A:F,6,0),0)</f>
        <v>0</v>
      </c>
    </row>
    <row r="2411" customFormat="false" ht="21" hidden="false" customHeight="false" outlineLevel="0" collapsed="false">
      <c r="A2411" s="154" t="n">
        <v>37373</v>
      </c>
      <c r="B2411" s="155" t="s">
        <v>1448</v>
      </c>
      <c r="C2411" s="148" t="str">
        <f aca="false">VLOOKUP($A2411,INSUMOS_AUX!$A$3:$H$813,3,0)</f>
        <v>MAT.</v>
      </c>
      <c r="D2411" s="156" t="s">
        <v>1444</v>
      </c>
      <c r="E2411" s="154" t="n">
        <v>1.2473</v>
      </c>
      <c r="F2411" s="149" t="n">
        <f aca="false">IF(C2411="MAT.",VLOOKUP(A2411,INSUMOS_AUX!$A$3:$H$813,6,0),0)</f>
        <v>0.08</v>
      </c>
      <c r="G2411" s="149" t="n">
        <f aca="false">IF(C2411="M.O.",VLOOKUP(A2411,INSUMOS_AUX!A:F,6,0),0)</f>
        <v>0</v>
      </c>
    </row>
    <row r="2412" customFormat="false" ht="21" hidden="false" customHeight="false" outlineLevel="0" collapsed="false">
      <c r="A2412" s="154" t="n">
        <v>37371</v>
      </c>
      <c r="B2412" s="155" t="s">
        <v>1449</v>
      </c>
      <c r="C2412" s="148" t="str">
        <f aca="false">VLOOKUP($A2412,INSUMOS_AUX!$A$3:$H$813,3,0)</f>
        <v>MAT.</v>
      </c>
      <c r="D2412" s="156" t="s">
        <v>1444</v>
      </c>
      <c r="E2412" s="154" t="n">
        <v>1.2473</v>
      </c>
      <c r="F2412" s="149" t="n">
        <f aca="false">IF(C2412="MAT.",VLOOKUP(A2412,INSUMOS_AUX!$A$3:$H$813,6,0),0)</f>
        <v>0.59</v>
      </c>
      <c r="G2412" s="149" t="n">
        <f aca="false">IF(C2412="M.O.",VLOOKUP(A2412,INSUMOS_AUX!A:F,6,0),0)</f>
        <v>0</v>
      </c>
    </row>
    <row r="2413" customFormat="false" ht="21" hidden="false" customHeight="false" outlineLevel="0" collapsed="false">
      <c r="A2413" s="154" t="n">
        <v>36204</v>
      </c>
      <c r="B2413" s="155" t="s">
        <v>1883</v>
      </c>
      <c r="C2413" s="148" t="str">
        <f aca="false">VLOOKUP($A2413,INSUMOS_AUX!$A$3:$H$813,3,0)</f>
        <v>MAT.</v>
      </c>
      <c r="D2413" s="156" t="s">
        <v>31</v>
      </c>
      <c r="E2413" s="154" t="n">
        <v>1</v>
      </c>
      <c r="F2413" s="149" t="n">
        <f aca="false">IF(C2413="MAT.",VLOOKUP(A2413,INSUMOS_AUX!$A$3:$H$813,6,0),0)</f>
        <v>190.46</v>
      </c>
      <c r="G2413" s="149" t="n">
        <f aca="false">IF(C2413="M.O.",VLOOKUP(A2413,INSUMOS_AUX!A:F,6,0),0)</f>
        <v>0</v>
      </c>
    </row>
    <row r="2414" customFormat="false" ht="31.5" hidden="false" customHeight="false" outlineLevel="0" collapsed="false">
      <c r="A2414" s="154" t="n">
        <v>4351</v>
      </c>
      <c r="B2414" s="155" t="s">
        <v>1884</v>
      </c>
      <c r="C2414" s="148" t="str">
        <f aca="false">VLOOKUP($A2414,INSUMOS_AUX!$A$3:$H$813,3,0)</f>
        <v>MAT.</v>
      </c>
      <c r="D2414" s="156" t="s">
        <v>31</v>
      </c>
      <c r="E2414" s="154" t="n">
        <v>6</v>
      </c>
      <c r="F2414" s="149" t="n">
        <f aca="false">IF(C2414="MAT.",VLOOKUP(A2414,INSUMOS_AUX!$A$3:$H$813,6,0),0)</f>
        <v>18.49</v>
      </c>
      <c r="G2414" s="149" t="n">
        <f aca="false">IF(C2414="M.O.",VLOOKUP(A2414,INSUMOS_AUX!A:F,6,0),0)</f>
        <v>0</v>
      </c>
    </row>
    <row r="2415" customFormat="false" ht="15" hidden="false" customHeight="false" outlineLevel="0" collapsed="false">
      <c r="A2415" s="154" t="n">
        <v>2696</v>
      </c>
      <c r="B2415" s="155" t="s">
        <v>1483</v>
      </c>
      <c r="C2415" s="148" t="str">
        <f aca="false">VLOOKUP($A2415,INSUMOS_AUX!$A$3:$H$813,3,0)</f>
        <v>M.O.</v>
      </c>
      <c r="D2415" s="156" t="s">
        <v>1444</v>
      </c>
      <c r="E2415" s="154" t="n">
        <v>0.96555403</v>
      </c>
      <c r="F2415" s="149" t="n">
        <f aca="false">IF(C2415="MAT.",VLOOKUP(A2415,INSUMOS_AUX!$A$3:$H$813,6,0),0)</f>
        <v>0</v>
      </c>
      <c r="G2415" s="149" t="n">
        <f aca="false">IF(C2415="M.O.",VLOOKUP(A2415,INSUMOS_AUX!A:F,6,0),0)</f>
        <v>20.22</v>
      </c>
    </row>
    <row r="2416" customFormat="false" ht="15" hidden="false" customHeight="false" outlineLevel="0" collapsed="false">
      <c r="A2416" s="154" t="n">
        <v>6111</v>
      </c>
      <c r="B2416" s="155" t="s">
        <v>1464</v>
      </c>
      <c r="C2416" s="148" t="str">
        <f aca="false">VLOOKUP($A2416,INSUMOS_AUX!$A$3:$H$813,3,0)</f>
        <v>M.O.</v>
      </c>
      <c r="D2416" s="156" t="s">
        <v>1444</v>
      </c>
      <c r="E2416" s="154" t="n">
        <v>0.30513456</v>
      </c>
      <c r="F2416" s="149" t="n">
        <f aca="false">IF(C2416="MAT.",VLOOKUP(A2416,INSUMOS_AUX!$A$3:$H$813,6,0),0)</f>
        <v>0</v>
      </c>
      <c r="G2416" s="149" t="n">
        <f aca="false">IF(C2416="M.O.",VLOOKUP(A2416,INSUMOS_AUX!A:F,6,0),0)</f>
        <v>12.95</v>
      </c>
    </row>
    <row r="2417" customFormat="false" ht="21" hidden="false" customHeight="false" outlineLevel="0" collapsed="false">
      <c r="A2417" s="150" t="s">
        <v>479</v>
      </c>
      <c r="B2417" s="151" t="s">
        <v>1885</v>
      </c>
      <c r="C2417" s="152" t="s">
        <v>59</v>
      </c>
      <c r="D2417" s="152" t="s">
        <v>31</v>
      </c>
      <c r="E2417" s="150"/>
      <c r="F2417" s="153" t="n">
        <f aca="false">(SUMPRODUCT($E2418:$E2429,F2418:F2429))*1</f>
        <v>433.281131</v>
      </c>
      <c r="G2417" s="153" t="n">
        <f aca="false">(SUMPRODUCT($E2418:$E2429,G2418:G2429))*1</f>
        <v>23.4749950386</v>
      </c>
    </row>
    <row r="2418" customFormat="false" ht="21" hidden="false" customHeight="false" outlineLevel="0" collapsed="false">
      <c r="A2418" s="154" t="n">
        <v>37370</v>
      </c>
      <c r="B2418" s="155" t="s">
        <v>1443</v>
      </c>
      <c r="C2418" s="148" t="str">
        <f aca="false">VLOOKUP($A2418,INSUMOS_AUX!$A$3:$H$813,3,0)</f>
        <v>MAT.</v>
      </c>
      <c r="D2418" s="156" t="s">
        <v>1444</v>
      </c>
      <c r="E2418" s="154" t="n">
        <v>1.2473</v>
      </c>
      <c r="F2418" s="149" t="n">
        <f aca="false">IF(C2418="MAT.",VLOOKUP(A2418,INSUMOS_AUX!$A$3:$H$813,6,0),0)</f>
        <v>3.32</v>
      </c>
      <c r="G2418" s="149" t="n">
        <f aca="false">IF(C2418="M.O.",VLOOKUP(A2418,INSUMOS_AUX!A:F,6,0),0)</f>
        <v>0</v>
      </c>
    </row>
    <row r="2419" customFormat="false" ht="21" hidden="false" customHeight="false" outlineLevel="0" collapsed="false">
      <c r="A2419" s="154" t="n">
        <v>43485</v>
      </c>
      <c r="B2419" s="155" t="s">
        <v>1481</v>
      </c>
      <c r="C2419" s="148" t="str">
        <f aca="false">VLOOKUP($A2419,INSUMOS_AUX!$A$3:$H$813,3,0)</f>
        <v>MAT.</v>
      </c>
      <c r="D2419" s="156" t="s">
        <v>1444</v>
      </c>
      <c r="E2419" s="154" t="n">
        <v>0.9485</v>
      </c>
      <c r="F2419" s="149" t="n">
        <f aca="false">IF(C2419="MAT.",VLOOKUP(A2419,INSUMOS_AUX!$A$3:$H$813,6,0),0)</f>
        <v>1.13</v>
      </c>
      <c r="G2419" s="149" t="n">
        <f aca="false">IF(C2419="M.O.",VLOOKUP(A2419,INSUMOS_AUX!A:F,6,0),0)</f>
        <v>0</v>
      </c>
    </row>
    <row r="2420" customFormat="false" ht="21" hidden="false" customHeight="false" outlineLevel="0" collapsed="false">
      <c r="A2420" s="154" t="n">
        <v>43491</v>
      </c>
      <c r="B2420" s="155" t="s">
        <v>1457</v>
      </c>
      <c r="C2420" s="148" t="str">
        <f aca="false">VLOOKUP($A2420,INSUMOS_AUX!$A$3:$H$813,3,0)</f>
        <v>MAT.</v>
      </c>
      <c r="D2420" s="156" t="s">
        <v>1444</v>
      </c>
      <c r="E2420" s="154" t="n">
        <v>0.2988</v>
      </c>
      <c r="F2420" s="149" t="n">
        <f aca="false">IF(C2420="MAT.",VLOOKUP(A2420,INSUMOS_AUX!$A$3:$H$813,6,0),0)</f>
        <v>1.39</v>
      </c>
      <c r="G2420" s="149" t="n">
        <f aca="false">IF(C2420="M.O.",VLOOKUP(A2420,INSUMOS_AUX!A:F,6,0),0)</f>
        <v>0</v>
      </c>
    </row>
    <row r="2421" customFormat="false" ht="21" hidden="false" customHeight="false" outlineLevel="0" collapsed="false">
      <c r="A2421" s="154" t="n">
        <v>37372</v>
      </c>
      <c r="B2421" s="155" t="s">
        <v>1446</v>
      </c>
      <c r="C2421" s="148" t="str">
        <f aca="false">VLOOKUP($A2421,INSUMOS_AUX!$A$3:$H$813,3,0)</f>
        <v>MAT.</v>
      </c>
      <c r="D2421" s="156" t="s">
        <v>1444</v>
      </c>
      <c r="E2421" s="154" t="n">
        <v>1.2473</v>
      </c>
      <c r="F2421" s="149" t="n">
        <f aca="false">IF(C2421="MAT.",VLOOKUP(A2421,INSUMOS_AUX!$A$3:$H$813,6,0),0)</f>
        <v>1.43</v>
      </c>
      <c r="G2421" s="149" t="n">
        <f aca="false">IF(C2421="M.O.",VLOOKUP(A2421,INSUMOS_AUX!A:F,6,0),0)</f>
        <v>0</v>
      </c>
    </row>
    <row r="2422" customFormat="false" ht="21" hidden="false" customHeight="false" outlineLevel="0" collapsed="false">
      <c r="A2422" s="154" t="n">
        <v>43461</v>
      </c>
      <c r="B2422" s="155" t="s">
        <v>1482</v>
      </c>
      <c r="C2422" s="148" t="s">
        <v>59</v>
      </c>
      <c r="D2422" s="156" t="s">
        <v>1444</v>
      </c>
      <c r="E2422" s="154" t="n">
        <v>0.9485</v>
      </c>
      <c r="F2422" s="149" t="n">
        <f aca="false">IF(C2422="MAT.",VLOOKUP(A2422,INSUMOS_AUX!$A$3:$H$813,6,0),0)</f>
        <v>0</v>
      </c>
      <c r="G2422" s="149" t="n">
        <f aca="false">IF(C2422="M.O.",VLOOKUP(A2422,INSUMOS_AUX!A:F,6,0),0)</f>
        <v>0</v>
      </c>
    </row>
    <row r="2423" customFormat="false" ht="21" hidden="false" customHeight="false" outlineLevel="0" collapsed="false">
      <c r="A2423" s="154" t="n">
        <v>43467</v>
      </c>
      <c r="B2423" s="155" t="s">
        <v>1459</v>
      </c>
      <c r="C2423" s="148" t="str">
        <f aca="false">VLOOKUP($A2423,INSUMOS_AUX!$A$3:$H$813,3,0)</f>
        <v>MAT.</v>
      </c>
      <c r="D2423" s="156" t="s">
        <v>1444</v>
      </c>
      <c r="E2423" s="154" t="n">
        <v>0.2988</v>
      </c>
      <c r="F2423" s="149" t="n">
        <f aca="false">IF(C2423="MAT.",VLOOKUP(A2423,INSUMOS_AUX!$A$3:$H$813,6,0),0)</f>
        <v>0.61</v>
      </c>
      <c r="G2423" s="149" t="n">
        <f aca="false">IF(C2423="M.O.",VLOOKUP(A2423,INSUMOS_AUX!A:F,6,0),0)</f>
        <v>0</v>
      </c>
    </row>
    <row r="2424" customFormat="false" ht="21" hidden="false" customHeight="false" outlineLevel="0" collapsed="false">
      <c r="A2424" s="154" t="n">
        <v>37373</v>
      </c>
      <c r="B2424" s="155" t="s">
        <v>1448</v>
      </c>
      <c r="C2424" s="148" t="str">
        <f aca="false">VLOOKUP($A2424,INSUMOS_AUX!$A$3:$H$813,3,0)</f>
        <v>MAT.</v>
      </c>
      <c r="D2424" s="156" t="s">
        <v>1444</v>
      </c>
      <c r="E2424" s="154" t="n">
        <v>1.2473</v>
      </c>
      <c r="F2424" s="149" t="n">
        <f aca="false">IF(C2424="MAT.",VLOOKUP(A2424,INSUMOS_AUX!$A$3:$H$813,6,0),0)</f>
        <v>0.08</v>
      </c>
      <c r="G2424" s="149" t="n">
        <f aca="false">IF(C2424="M.O.",VLOOKUP(A2424,INSUMOS_AUX!A:F,6,0),0)</f>
        <v>0</v>
      </c>
    </row>
    <row r="2425" customFormat="false" ht="21" hidden="false" customHeight="false" outlineLevel="0" collapsed="false">
      <c r="A2425" s="154" t="n">
        <v>37371</v>
      </c>
      <c r="B2425" s="155" t="s">
        <v>1449</v>
      </c>
      <c r="C2425" s="148" t="str">
        <f aca="false">VLOOKUP($A2425,INSUMOS_AUX!$A$3:$H$813,3,0)</f>
        <v>MAT.</v>
      </c>
      <c r="D2425" s="156" t="s">
        <v>1444</v>
      </c>
      <c r="E2425" s="154" t="n">
        <v>1.2473</v>
      </c>
      <c r="F2425" s="149" t="n">
        <f aca="false">IF(C2425="MAT.",VLOOKUP(A2425,INSUMOS_AUX!$A$3:$H$813,6,0),0)</f>
        <v>0.59</v>
      </c>
      <c r="G2425" s="149" t="n">
        <f aca="false">IF(C2425="M.O.",VLOOKUP(A2425,INSUMOS_AUX!A:F,6,0),0)</f>
        <v>0</v>
      </c>
    </row>
    <row r="2426" customFormat="false" ht="21" hidden="false" customHeight="false" outlineLevel="0" collapsed="false">
      <c r="A2426" s="154" t="n">
        <v>12759</v>
      </c>
      <c r="B2426" s="155" t="s">
        <v>1886</v>
      </c>
      <c r="C2426" s="148" t="str">
        <f aca="false">VLOOKUP($A2426,INSUMOS_AUX!$A$3:$H$813,3,0)</f>
        <v>MAT.</v>
      </c>
      <c r="D2426" s="156" t="s">
        <v>1477</v>
      </c>
      <c r="E2426" s="154" t="n">
        <v>0.336</v>
      </c>
      <c r="F2426" s="149" t="n">
        <f aca="false">IF(C2426="MAT.",VLOOKUP(A2426,INSUMOS_AUX!$A$3:$H$813,6,0),0)</f>
        <v>934.26</v>
      </c>
      <c r="G2426" s="149" t="n">
        <f aca="false">IF(C2426="M.O.",VLOOKUP(A2426,INSUMOS_AUX!A:F,6,0),0)</f>
        <v>0</v>
      </c>
    </row>
    <row r="2427" customFormat="false" ht="31.5" hidden="false" customHeight="false" outlineLevel="0" collapsed="false">
      <c r="A2427" s="154" t="n">
        <v>4351</v>
      </c>
      <c r="B2427" s="155" t="s">
        <v>1884</v>
      </c>
      <c r="C2427" s="148" t="str">
        <f aca="false">VLOOKUP($A2427,INSUMOS_AUX!$A$3:$H$813,3,0)</f>
        <v>MAT.</v>
      </c>
      <c r="D2427" s="156" t="s">
        <v>31</v>
      </c>
      <c r="E2427" s="154" t="n">
        <v>6</v>
      </c>
      <c r="F2427" s="149" t="n">
        <f aca="false">IF(C2427="MAT.",VLOOKUP(A2427,INSUMOS_AUX!$A$3:$H$813,6,0),0)</f>
        <v>18.49</v>
      </c>
      <c r="G2427" s="149" t="n">
        <f aca="false">IF(C2427="M.O.",VLOOKUP(A2427,INSUMOS_AUX!A:F,6,0),0)</f>
        <v>0</v>
      </c>
    </row>
    <row r="2428" customFormat="false" ht="15" hidden="false" customHeight="false" outlineLevel="0" collapsed="false">
      <c r="A2428" s="154" t="n">
        <v>2696</v>
      </c>
      <c r="B2428" s="155" t="s">
        <v>1483</v>
      </c>
      <c r="C2428" s="148" t="str">
        <f aca="false">VLOOKUP($A2428,INSUMOS_AUX!$A$3:$H$813,3,0)</f>
        <v>M.O.</v>
      </c>
      <c r="D2428" s="156" t="s">
        <v>1444</v>
      </c>
      <c r="E2428" s="154" t="n">
        <v>0.96555403</v>
      </c>
      <c r="F2428" s="149" t="n">
        <f aca="false">IF(C2428="MAT.",VLOOKUP(A2428,INSUMOS_AUX!$A$3:$H$813,6,0),0)</f>
        <v>0</v>
      </c>
      <c r="G2428" s="149" t="n">
        <f aca="false">IF(C2428="M.O.",VLOOKUP(A2428,INSUMOS_AUX!A:F,6,0),0)</f>
        <v>20.22</v>
      </c>
    </row>
    <row r="2429" customFormat="false" ht="15" hidden="false" customHeight="false" outlineLevel="0" collapsed="false">
      <c r="A2429" s="154" t="n">
        <v>6111</v>
      </c>
      <c r="B2429" s="155" t="s">
        <v>1464</v>
      </c>
      <c r="C2429" s="148" t="str">
        <f aca="false">VLOOKUP($A2429,INSUMOS_AUX!$A$3:$H$813,3,0)</f>
        <v>M.O.</v>
      </c>
      <c r="D2429" s="156" t="s">
        <v>1444</v>
      </c>
      <c r="E2429" s="154" t="n">
        <v>0.30513456</v>
      </c>
      <c r="F2429" s="149" t="n">
        <f aca="false">IF(C2429="MAT.",VLOOKUP(A2429,INSUMOS_AUX!$A$3:$H$813,6,0),0)</f>
        <v>0</v>
      </c>
      <c r="G2429" s="149" t="n">
        <f aca="false">IF(C2429="M.O.",VLOOKUP(A2429,INSUMOS_AUX!A:F,6,0),0)</f>
        <v>12.95</v>
      </c>
    </row>
    <row r="2430" customFormat="false" ht="31.5" hidden="false" customHeight="false" outlineLevel="0" collapsed="false">
      <c r="A2430" s="150" t="n">
        <v>101161</v>
      </c>
      <c r="B2430" s="151" t="s">
        <v>1887</v>
      </c>
      <c r="C2430" s="152" t="s">
        <v>59</v>
      </c>
      <c r="D2430" s="152" t="s">
        <v>1477</v>
      </c>
      <c r="E2430" s="150"/>
      <c r="F2430" s="153" t="n">
        <f aca="false">(SUMPRODUCT($E2431:$E2448,F2431:F2448))*1</f>
        <v>176.70361467946</v>
      </c>
      <c r="G2430" s="153" t="n">
        <f aca="false">(SUMPRODUCT($E2431:$E2448,G2431:G2448))*1</f>
        <v>56.41905049868</v>
      </c>
    </row>
    <row r="2431" customFormat="false" ht="21" hidden="false" customHeight="false" outlineLevel="0" collapsed="false">
      <c r="A2431" s="154" t="n">
        <v>37370</v>
      </c>
      <c r="B2431" s="155" t="s">
        <v>1443</v>
      </c>
      <c r="C2431" s="148" t="str">
        <f aca="false">VLOOKUP($A2431,INSUMOS_AUX!$A$3:$H$813,3,0)</f>
        <v>MAT.</v>
      </c>
      <c r="D2431" s="156" t="s">
        <v>1444</v>
      </c>
      <c r="E2431" s="154" t="n">
        <v>3.1149</v>
      </c>
      <c r="F2431" s="149" t="n">
        <f aca="false">IF(C2431="MAT.",VLOOKUP(A2431,INSUMOS_AUX!$A$3:$H$813,6,0),0)</f>
        <v>3.32</v>
      </c>
      <c r="G2431" s="149" t="n">
        <f aca="false">IF(C2431="M.O.",VLOOKUP(A2431,INSUMOS_AUX!A:F,6,0),0)</f>
        <v>0</v>
      </c>
    </row>
    <row r="2432" customFormat="false" ht="21" hidden="false" customHeight="false" outlineLevel="0" collapsed="false">
      <c r="A2432" s="154" t="n">
        <v>43488</v>
      </c>
      <c r="B2432" s="155" t="s">
        <v>1445</v>
      </c>
      <c r="C2432" s="148" t="s">
        <v>59</v>
      </c>
      <c r="D2432" s="156" t="s">
        <v>1444</v>
      </c>
      <c r="E2432" s="154" t="n">
        <v>0.0244</v>
      </c>
      <c r="F2432" s="149" t="n">
        <f aca="false">IF(C2432="MAT.",VLOOKUP(A2432,INSUMOS_AUX!$A$3:$H$813,6,0),0)</f>
        <v>0</v>
      </c>
      <c r="G2432" s="149" t="n">
        <f aca="false">IF(C2432="M.O.",VLOOKUP(A2432,INSUMOS_AUX!A:F,6,0),0)</f>
        <v>0</v>
      </c>
    </row>
    <row r="2433" customFormat="false" ht="21" hidden="false" customHeight="false" outlineLevel="0" collapsed="false">
      <c r="A2433" s="154" t="n">
        <v>43489</v>
      </c>
      <c r="B2433" s="155" t="s">
        <v>1456</v>
      </c>
      <c r="C2433" s="148" t="str">
        <f aca="false">VLOOKUP($A2433,INSUMOS_AUX!$A$3:$H$813,3,0)</f>
        <v>MAT.</v>
      </c>
      <c r="D2433" s="156" t="s">
        <v>1444</v>
      </c>
      <c r="E2433" s="154" t="n">
        <v>2.055</v>
      </c>
      <c r="F2433" s="149" t="n">
        <f aca="false">IF(C2433="MAT.",VLOOKUP(A2433,INSUMOS_AUX!$A$3:$H$813,6,0),0)</f>
        <v>1.31</v>
      </c>
      <c r="G2433" s="149" t="n">
        <f aca="false">IF(C2433="M.O.",VLOOKUP(A2433,INSUMOS_AUX!A:F,6,0),0)</f>
        <v>0</v>
      </c>
    </row>
    <row r="2434" customFormat="false" ht="21" hidden="false" customHeight="false" outlineLevel="0" collapsed="false">
      <c r="A2434" s="154" t="n">
        <v>43491</v>
      </c>
      <c r="B2434" s="155" t="s">
        <v>1457</v>
      </c>
      <c r="C2434" s="148" t="str">
        <f aca="false">VLOOKUP($A2434,INSUMOS_AUX!$A$3:$H$813,3,0)</f>
        <v>MAT.</v>
      </c>
      <c r="D2434" s="156" t="s">
        <v>1444</v>
      </c>
      <c r="E2434" s="154" t="n">
        <v>1.0355</v>
      </c>
      <c r="F2434" s="149" t="n">
        <f aca="false">IF(C2434="MAT.",VLOOKUP(A2434,INSUMOS_AUX!$A$3:$H$813,6,0),0)</f>
        <v>1.39</v>
      </c>
      <c r="G2434" s="149" t="n">
        <f aca="false">IF(C2434="M.O.",VLOOKUP(A2434,INSUMOS_AUX!A:F,6,0),0)</f>
        <v>0</v>
      </c>
    </row>
    <row r="2435" customFormat="false" ht="21" hidden="false" customHeight="false" outlineLevel="0" collapsed="false">
      <c r="A2435" s="154" t="n">
        <v>37372</v>
      </c>
      <c r="B2435" s="155" t="s">
        <v>1446</v>
      </c>
      <c r="C2435" s="148" t="str">
        <f aca="false">VLOOKUP($A2435,INSUMOS_AUX!$A$3:$H$813,3,0)</f>
        <v>MAT.</v>
      </c>
      <c r="D2435" s="156" t="s">
        <v>1444</v>
      </c>
      <c r="E2435" s="154" t="n">
        <v>3.1149</v>
      </c>
      <c r="F2435" s="149" t="n">
        <f aca="false">IF(C2435="MAT.",VLOOKUP(A2435,INSUMOS_AUX!$A$3:$H$813,6,0),0)</f>
        <v>1.43</v>
      </c>
      <c r="G2435" s="149" t="n">
        <f aca="false">IF(C2435="M.O.",VLOOKUP(A2435,INSUMOS_AUX!A:F,6,0),0)</f>
        <v>0</v>
      </c>
    </row>
    <row r="2436" customFormat="false" ht="21" hidden="false" customHeight="false" outlineLevel="0" collapsed="false">
      <c r="A2436" s="154" t="n">
        <v>43464</v>
      </c>
      <c r="B2436" s="155" t="s">
        <v>1447</v>
      </c>
      <c r="C2436" s="148" t="str">
        <f aca="false">VLOOKUP($A2436,INSUMOS_AUX!$A$3:$H$813,3,0)</f>
        <v>MAT.</v>
      </c>
      <c r="D2436" s="156" t="s">
        <v>1444</v>
      </c>
      <c r="E2436" s="154" t="n">
        <v>0.0244</v>
      </c>
      <c r="F2436" s="149" t="n">
        <f aca="false">IF(C2436="MAT.",VLOOKUP(A2436,INSUMOS_AUX!$A$3:$H$813,6,0),0)</f>
        <v>0.01</v>
      </c>
      <c r="G2436" s="149" t="n">
        <f aca="false">IF(C2436="M.O.",VLOOKUP(A2436,INSUMOS_AUX!A:F,6,0),0)</f>
        <v>0</v>
      </c>
    </row>
    <row r="2437" customFormat="false" ht="21" hidden="false" customHeight="false" outlineLevel="0" collapsed="false">
      <c r="A2437" s="154" t="n">
        <v>43465</v>
      </c>
      <c r="B2437" s="155" t="s">
        <v>1458</v>
      </c>
      <c r="C2437" s="148" t="str">
        <f aca="false">VLOOKUP($A2437,INSUMOS_AUX!$A$3:$H$813,3,0)</f>
        <v>MAT.</v>
      </c>
      <c r="D2437" s="156" t="s">
        <v>1444</v>
      </c>
      <c r="E2437" s="154" t="n">
        <v>2.055</v>
      </c>
      <c r="F2437" s="149" t="n">
        <f aca="false">IF(C2437="MAT.",VLOOKUP(A2437,INSUMOS_AUX!$A$3:$H$813,6,0),0)</f>
        <v>0.78</v>
      </c>
      <c r="G2437" s="149" t="n">
        <f aca="false">IF(C2437="M.O.",VLOOKUP(A2437,INSUMOS_AUX!A:F,6,0),0)</f>
        <v>0</v>
      </c>
    </row>
    <row r="2438" customFormat="false" ht="21" hidden="false" customHeight="false" outlineLevel="0" collapsed="false">
      <c r="A2438" s="154" t="n">
        <v>43467</v>
      </c>
      <c r="B2438" s="155" t="s">
        <v>1459</v>
      </c>
      <c r="C2438" s="148" t="str">
        <f aca="false">VLOOKUP($A2438,INSUMOS_AUX!$A$3:$H$813,3,0)</f>
        <v>MAT.</v>
      </c>
      <c r="D2438" s="156" t="s">
        <v>1444</v>
      </c>
      <c r="E2438" s="154" t="n">
        <v>1.0355</v>
      </c>
      <c r="F2438" s="149" t="n">
        <f aca="false">IF(C2438="MAT.",VLOOKUP(A2438,INSUMOS_AUX!$A$3:$H$813,6,0),0)</f>
        <v>0.61</v>
      </c>
      <c r="G2438" s="149" t="n">
        <f aca="false">IF(C2438="M.O.",VLOOKUP(A2438,INSUMOS_AUX!A:F,6,0),0)</f>
        <v>0</v>
      </c>
    </row>
    <row r="2439" customFormat="false" ht="21" hidden="false" customHeight="false" outlineLevel="0" collapsed="false">
      <c r="A2439" s="154" t="n">
        <v>37373</v>
      </c>
      <c r="B2439" s="155" t="s">
        <v>1448</v>
      </c>
      <c r="C2439" s="148" t="str">
        <f aca="false">VLOOKUP($A2439,INSUMOS_AUX!$A$3:$H$813,3,0)</f>
        <v>MAT.</v>
      </c>
      <c r="D2439" s="156" t="s">
        <v>1444</v>
      </c>
      <c r="E2439" s="154" t="n">
        <v>3.1149</v>
      </c>
      <c r="F2439" s="149" t="n">
        <f aca="false">IF(C2439="MAT.",VLOOKUP(A2439,INSUMOS_AUX!$A$3:$H$813,6,0),0)</f>
        <v>0.08</v>
      </c>
      <c r="G2439" s="149" t="n">
        <f aca="false">IF(C2439="M.O.",VLOOKUP(A2439,INSUMOS_AUX!A:F,6,0),0)</f>
        <v>0</v>
      </c>
    </row>
    <row r="2440" customFormat="false" ht="21" hidden="false" customHeight="false" outlineLevel="0" collapsed="false">
      <c r="A2440" s="154" t="n">
        <v>37371</v>
      </c>
      <c r="B2440" s="155" t="s">
        <v>1449</v>
      </c>
      <c r="C2440" s="148" t="str">
        <f aca="false">VLOOKUP($A2440,INSUMOS_AUX!$A$3:$H$813,3,0)</f>
        <v>MAT.</v>
      </c>
      <c r="D2440" s="156" t="s">
        <v>1444</v>
      </c>
      <c r="E2440" s="154" t="n">
        <v>3.1149</v>
      </c>
      <c r="F2440" s="149" t="n">
        <f aca="false">IF(C2440="MAT.",VLOOKUP(A2440,INSUMOS_AUX!$A$3:$H$813,6,0),0)</f>
        <v>0.59</v>
      </c>
      <c r="G2440" s="149" t="n">
        <f aca="false">IF(C2440="M.O.",VLOOKUP(A2440,INSUMOS_AUX!A:F,6,0),0)</f>
        <v>0</v>
      </c>
    </row>
    <row r="2441" customFormat="false" ht="31.5" hidden="false" customHeight="false" outlineLevel="0" collapsed="false">
      <c r="A2441" s="154" t="n">
        <v>36397</v>
      </c>
      <c r="B2441" s="155" t="s">
        <v>1888</v>
      </c>
      <c r="C2441" s="148" t="str">
        <f aca="false">VLOOKUP($A2441,INSUMOS_AUX!$A$3:$H$813,3,0)</f>
        <v>MAT.</v>
      </c>
      <c r="D2441" s="156" t="s">
        <v>31</v>
      </c>
      <c r="E2441" s="154" t="n">
        <v>2.32172E-006</v>
      </c>
      <c r="F2441" s="149" t="n">
        <f aca="false">IF(C2441="MAT.",VLOOKUP(A2441,INSUMOS_AUX!$A$3:$H$813,6,0),0)</f>
        <v>19114.57</v>
      </c>
      <c r="G2441" s="149" t="n">
        <f aca="false">IF(C2441="M.O.",VLOOKUP(A2441,INSUMOS_AUX!A:F,6,0),0)</f>
        <v>0</v>
      </c>
    </row>
    <row r="2442" customFormat="false" ht="15" hidden="false" customHeight="false" outlineLevel="0" collapsed="false">
      <c r="A2442" s="154" t="n">
        <v>2705</v>
      </c>
      <c r="B2442" s="155" t="s">
        <v>1467</v>
      </c>
      <c r="C2442" s="148" t="s">
        <v>59</v>
      </c>
      <c r="D2442" s="156" t="s">
        <v>1468</v>
      </c>
      <c r="E2442" s="154" t="n">
        <v>0.01425</v>
      </c>
      <c r="F2442" s="149" t="n">
        <f aca="false">IF(C2442="MAT.",VLOOKUP(A2442,INSUMOS_AUX!$A$3:$H$813,6,0),0)</f>
        <v>0</v>
      </c>
      <c r="G2442" s="149" t="n">
        <f aca="false">IF(C2442="M.O.",VLOOKUP(A2442,INSUMOS_AUX!A:F,6,0),0)</f>
        <v>0</v>
      </c>
    </row>
    <row r="2443" customFormat="false" ht="21" hidden="false" customHeight="false" outlineLevel="0" collapsed="false">
      <c r="A2443" s="154" t="n">
        <v>370</v>
      </c>
      <c r="B2443" s="155" t="s">
        <v>1527</v>
      </c>
      <c r="C2443" s="148" t="str">
        <f aca="false">VLOOKUP($A2443,INSUMOS_AUX!$A$3:$H$813,3,0)</f>
        <v>MAT.</v>
      </c>
      <c r="D2443" s="156" t="s">
        <v>1442</v>
      </c>
      <c r="E2443" s="154" t="n">
        <v>0.0107</v>
      </c>
      <c r="F2443" s="149" t="n">
        <f aca="false">IF(C2443="MAT.",VLOOKUP(A2443,INSUMOS_AUX!$A$3:$H$813,6,0),0)</f>
        <v>150</v>
      </c>
      <c r="G2443" s="149" t="n">
        <f aca="false">IF(C2443="M.O.",VLOOKUP(A2443,INSUMOS_AUX!A:F,6,0),0)</f>
        <v>0</v>
      </c>
    </row>
    <row r="2444" customFormat="false" ht="15" hidden="false" customHeight="false" outlineLevel="0" collapsed="false">
      <c r="A2444" s="154" t="n">
        <v>1379</v>
      </c>
      <c r="B2444" s="155" t="s">
        <v>1535</v>
      </c>
      <c r="C2444" s="148" t="str">
        <f aca="false">VLOOKUP($A2444,INSUMOS_AUX!$A$3:$H$813,3,0)</f>
        <v>MAT.</v>
      </c>
      <c r="D2444" s="156" t="s">
        <v>1513</v>
      </c>
      <c r="E2444" s="154" t="n">
        <v>4.8372</v>
      </c>
      <c r="F2444" s="149" t="n">
        <f aca="false">IF(C2444="MAT.",VLOOKUP(A2444,INSUMOS_AUX!$A$3:$H$813,6,0),0)</f>
        <v>0.72</v>
      </c>
      <c r="G2444" s="149" t="n">
        <f aca="false">IF(C2444="M.O.",VLOOKUP(A2444,INSUMOS_AUX!A:F,6,0),0)</f>
        <v>0</v>
      </c>
    </row>
    <row r="2445" customFormat="false" ht="21" hidden="false" customHeight="false" outlineLevel="0" collapsed="false">
      <c r="A2445" s="154" t="n">
        <v>665</v>
      </c>
      <c r="B2445" s="155" t="s">
        <v>1889</v>
      </c>
      <c r="C2445" s="148" t="str">
        <f aca="false">VLOOKUP($A2445,INSUMOS_AUX!$A$3:$H$813,3,0)</f>
        <v>MAT.</v>
      </c>
      <c r="D2445" s="156" t="s">
        <v>31</v>
      </c>
      <c r="E2445" s="154" t="n">
        <v>3.95</v>
      </c>
      <c r="F2445" s="149" t="n">
        <f aca="false">IF(C2445="MAT.",VLOOKUP(A2445,INSUMOS_AUX!$A$3:$H$813,6,0),0)</f>
        <v>37.55</v>
      </c>
      <c r="G2445" s="149" t="n">
        <f aca="false">IF(C2445="M.O.",VLOOKUP(A2445,INSUMOS_AUX!A:F,6,0),0)</f>
        <v>0</v>
      </c>
    </row>
    <row r="2446" customFormat="false" ht="15" hidden="false" customHeight="false" outlineLevel="0" collapsed="false">
      <c r="A2446" s="154" t="n">
        <v>37666</v>
      </c>
      <c r="B2446" s="155" t="s">
        <v>1558</v>
      </c>
      <c r="C2446" s="148" t="str">
        <f aca="false">VLOOKUP($A2446,INSUMOS_AUX!$A$3:$H$813,3,0)</f>
        <v>M.O.</v>
      </c>
      <c r="D2446" s="156" t="s">
        <v>1444</v>
      </c>
      <c r="E2446" s="154" t="n">
        <v>0.024602764</v>
      </c>
      <c r="F2446" s="149" t="n">
        <f aca="false">IF(C2446="MAT.",VLOOKUP(A2446,INSUMOS_AUX!$A$3:$H$813,6,0),0)</f>
        <v>0</v>
      </c>
      <c r="G2446" s="149" t="n">
        <f aca="false">IF(C2446="M.O.",VLOOKUP(A2446,INSUMOS_AUX!A:F,6,0),0)</f>
        <v>11.87</v>
      </c>
    </row>
    <row r="2447" customFormat="false" ht="15" hidden="false" customHeight="false" outlineLevel="0" collapsed="false">
      <c r="A2447" s="154" t="n">
        <v>4750</v>
      </c>
      <c r="B2447" s="155" t="s">
        <v>1463</v>
      </c>
      <c r="C2447" s="148" t="str">
        <f aca="false">VLOOKUP($A2447,INSUMOS_AUX!$A$3:$H$813,3,0)</f>
        <v>M.O.</v>
      </c>
      <c r="D2447" s="156" t="s">
        <v>1444</v>
      </c>
      <c r="E2447" s="154" t="n">
        <v>2.098566</v>
      </c>
      <c r="F2447" s="149" t="n">
        <f aca="false">IF(C2447="MAT.",VLOOKUP(A2447,INSUMOS_AUX!$A$3:$H$813,6,0),0)</f>
        <v>0</v>
      </c>
      <c r="G2447" s="149" t="n">
        <f aca="false">IF(C2447="M.O.",VLOOKUP(A2447,INSUMOS_AUX!A:F,6,0),0)</f>
        <v>20.22</v>
      </c>
    </row>
    <row r="2448" customFormat="false" ht="15" hidden="false" customHeight="false" outlineLevel="0" collapsed="false">
      <c r="A2448" s="154" t="n">
        <v>6111</v>
      </c>
      <c r="B2448" s="155" t="s">
        <v>1464</v>
      </c>
      <c r="C2448" s="148" t="str">
        <f aca="false">VLOOKUP($A2448,INSUMOS_AUX!$A$3:$H$813,3,0)</f>
        <v>M.O.</v>
      </c>
      <c r="D2448" s="156" t="s">
        <v>1444</v>
      </c>
      <c r="E2448" s="154" t="n">
        <v>1.0574526</v>
      </c>
      <c r="F2448" s="149" t="n">
        <f aca="false">IF(C2448="MAT.",VLOOKUP(A2448,INSUMOS_AUX!$A$3:$H$813,6,0),0)</f>
        <v>0</v>
      </c>
      <c r="G2448" s="149" t="n">
        <f aca="false">IF(C2448="M.O.",VLOOKUP(A2448,INSUMOS_AUX!A:F,6,0),0)</f>
        <v>12.95</v>
      </c>
    </row>
    <row r="2449" customFormat="false" ht="52.5" hidden="false" customHeight="false" outlineLevel="0" collapsed="false">
      <c r="A2449" s="150" t="s">
        <v>486</v>
      </c>
      <c r="B2449" s="151" t="s">
        <v>1890</v>
      </c>
      <c r="C2449" s="152" t="s">
        <v>59</v>
      </c>
      <c r="D2449" s="152" t="s">
        <v>1477</v>
      </c>
      <c r="E2449" s="150"/>
      <c r="F2449" s="153" t="n">
        <f aca="false">(SUMPRODUCT($E2450:$E2464,F2450:F2464))*1</f>
        <v>123.015614562052</v>
      </c>
      <c r="G2449" s="153" t="n">
        <f aca="false">(SUMPRODUCT($E2450:$E2464,G2450:G2464))*1</f>
        <v>4.46407496685</v>
      </c>
    </row>
    <row r="2450" customFormat="false" ht="21" hidden="false" customHeight="false" outlineLevel="0" collapsed="false">
      <c r="A2450" s="154" t="n">
        <v>37370</v>
      </c>
      <c r="B2450" s="155" t="s">
        <v>1443</v>
      </c>
      <c r="C2450" s="148" t="str">
        <f aca="false">VLOOKUP($A2450,INSUMOS_AUX!$A$3:$H$813,3,0)</f>
        <v>MAT.</v>
      </c>
      <c r="D2450" s="156" t="s">
        <v>1444</v>
      </c>
      <c r="E2450" s="154" t="n">
        <v>0.9805</v>
      </c>
      <c r="F2450" s="149" t="n">
        <f aca="false">IF(C2450="MAT.",VLOOKUP(A2450,INSUMOS_AUX!$A$3:$H$813,6,0),0)</f>
        <v>3.32</v>
      </c>
      <c r="G2450" s="149" t="n">
        <f aca="false">IF(C2450="M.O.",VLOOKUP(A2450,INSUMOS_AUX!A:F,6,0),0)</f>
        <v>0</v>
      </c>
    </row>
    <row r="2451" customFormat="false" ht="21" hidden="false" customHeight="false" outlineLevel="0" collapsed="false">
      <c r="A2451" s="154" t="n">
        <v>43488</v>
      </c>
      <c r="B2451" s="155" t="s">
        <v>1445</v>
      </c>
      <c r="C2451" s="148" t="str">
        <f aca="false">VLOOKUP($A2451,INSUMOS_AUX!$A$3:$H$813,3,0)</f>
        <v>MAT.</v>
      </c>
      <c r="D2451" s="156" t="s">
        <v>1444</v>
      </c>
      <c r="E2451" s="154" t="n">
        <v>0.6625</v>
      </c>
      <c r="F2451" s="149" t="n">
        <f aca="false">IF(C2451="MAT.",VLOOKUP(A2451,INSUMOS_AUX!$A$3:$H$813,6,0),0)</f>
        <v>0.89</v>
      </c>
      <c r="G2451" s="149" t="n">
        <f aca="false">IF(C2451="M.O.",VLOOKUP(A2451,INSUMOS_AUX!A:F,6,0),0)</f>
        <v>0</v>
      </c>
    </row>
    <row r="2452" customFormat="false" ht="21" hidden="false" customHeight="false" outlineLevel="0" collapsed="false">
      <c r="A2452" s="154" t="n">
        <v>43491</v>
      </c>
      <c r="B2452" s="155" t="s">
        <v>1457</v>
      </c>
      <c r="C2452" s="148" t="s">
        <v>59</v>
      </c>
      <c r="D2452" s="156" t="s">
        <v>1444</v>
      </c>
      <c r="E2452" s="154" t="n">
        <v>0.318</v>
      </c>
      <c r="F2452" s="149" t="n">
        <f aca="false">IF(C2452="MAT.",VLOOKUP(A2452,INSUMOS_AUX!$A$3:$H$813,6,0),0)</f>
        <v>0</v>
      </c>
      <c r="G2452" s="149" t="n">
        <f aca="false">IF(C2452="M.O.",VLOOKUP(A2452,INSUMOS_AUX!A:F,6,0),0)</f>
        <v>0</v>
      </c>
    </row>
    <row r="2453" customFormat="false" ht="21" hidden="false" customHeight="false" outlineLevel="0" collapsed="false">
      <c r="A2453" s="154" t="n">
        <v>37372</v>
      </c>
      <c r="B2453" s="155" t="s">
        <v>1446</v>
      </c>
      <c r="C2453" s="148" t="str">
        <f aca="false">VLOOKUP($A2453,INSUMOS_AUX!$A$3:$H$813,3,0)</f>
        <v>MAT.</v>
      </c>
      <c r="D2453" s="156" t="s">
        <v>1444</v>
      </c>
      <c r="E2453" s="154" t="n">
        <v>0.9805</v>
      </c>
      <c r="F2453" s="149" t="n">
        <f aca="false">IF(C2453="MAT.",VLOOKUP(A2453,INSUMOS_AUX!$A$3:$H$813,6,0),0)</f>
        <v>1.43</v>
      </c>
      <c r="G2453" s="149" t="n">
        <f aca="false">IF(C2453="M.O.",VLOOKUP(A2453,INSUMOS_AUX!A:F,6,0),0)</f>
        <v>0</v>
      </c>
    </row>
    <row r="2454" customFormat="false" ht="21" hidden="false" customHeight="false" outlineLevel="0" collapsed="false">
      <c r="A2454" s="154" t="n">
        <v>43464</v>
      </c>
      <c r="B2454" s="155" t="s">
        <v>1447</v>
      </c>
      <c r="C2454" s="148" t="str">
        <f aca="false">VLOOKUP($A2454,INSUMOS_AUX!$A$3:$H$813,3,0)</f>
        <v>MAT.</v>
      </c>
      <c r="D2454" s="156" t="s">
        <v>1444</v>
      </c>
      <c r="E2454" s="154" t="n">
        <v>0.6625</v>
      </c>
      <c r="F2454" s="149" t="n">
        <f aca="false">IF(C2454="MAT.",VLOOKUP(A2454,INSUMOS_AUX!$A$3:$H$813,6,0),0)</f>
        <v>0.01</v>
      </c>
      <c r="G2454" s="149" t="n">
        <f aca="false">IF(C2454="M.O.",VLOOKUP(A2454,INSUMOS_AUX!A:F,6,0),0)</f>
        <v>0</v>
      </c>
    </row>
    <row r="2455" customFormat="false" ht="21" hidden="false" customHeight="false" outlineLevel="0" collapsed="false">
      <c r="A2455" s="154" t="n">
        <v>43467</v>
      </c>
      <c r="B2455" s="155" t="s">
        <v>1459</v>
      </c>
      <c r="C2455" s="148" t="str">
        <f aca="false">VLOOKUP($A2455,INSUMOS_AUX!$A$3:$H$813,3,0)</f>
        <v>MAT.</v>
      </c>
      <c r="D2455" s="156" t="s">
        <v>1444</v>
      </c>
      <c r="E2455" s="154" t="n">
        <v>0.318</v>
      </c>
      <c r="F2455" s="149" t="n">
        <f aca="false">IF(C2455="MAT.",VLOOKUP(A2455,INSUMOS_AUX!$A$3:$H$813,6,0),0)</f>
        <v>0.61</v>
      </c>
      <c r="G2455" s="149" t="n">
        <f aca="false">IF(C2455="M.O.",VLOOKUP(A2455,INSUMOS_AUX!A:F,6,0),0)</f>
        <v>0</v>
      </c>
    </row>
    <row r="2456" customFormat="false" ht="21" hidden="false" customHeight="false" outlineLevel="0" collapsed="false">
      <c r="A2456" s="154" t="n">
        <v>37373</v>
      </c>
      <c r="B2456" s="155" t="s">
        <v>1448</v>
      </c>
      <c r="C2456" s="148" t="str">
        <f aca="false">VLOOKUP($A2456,INSUMOS_AUX!$A$3:$H$813,3,0)</f>
        <v>MAT.</v>
      </c>
      <c r="D2456" s="156" t="s">
        <v>1444</v>
      </c>
      <c r="E2456" s="154" t="n">
        <v>0.9805</v>
      </c>
      <c r="F2456" s="149" t="n">
        <f aca="false">IF(C2456="MAT.",VLOOKUP(A2456,INSUMOS_AUX!$A$3:$H$813,6,0),0)</f>
        <v>0.08</v>
      </c>
      <c r="G2456" s="149" t="n">
        <f aca="false">IF(C2456="M.O.",VLOOKUP(A2456,INSUMOS_AUX!A:F,6,0),0)</f>
        <v>0</v>
      </c>
    </row>
    <row r="2457" customFormat="false" ht="21" hidden="false" customHeight="false" outlineLevel="0" collapsed="false">
      <c r="A2457" s="154" t="n">
        <v>37371</v>
      </c>
      <c r="B2457" s="155" t="s">
        <v>1449</v>
      </c>
      <c r="C2457" s="148" t="str">
        <f aca="false">VLOOKUP($A2457,INSUMOS_AUX!$A$3:$H$813,3,0)</f>
        <v>MAT.</v>
      </c>
      <c r="D2457" s="156" t="s">
        <v>1444</v>
      </c>
      <c r="E2457" s="154" t="n">
        <v>0.9805</v>
      </c>
      <c r="F2457" s="149" t="n">
        <f aca="false">IF(C2457="MAT.",VLOOKUP(A2457,INSUMOS_AUX!$A$3:$H$813,6,0),0)</f>
        <v>0.59</v>
      </c>
      <c r="G2457" s="149" t="n">
        <f aca="false">IF(C2457="M.O.",VLOOKUP(A2457,INSUMOS_AUX!A:F,6,0),0)</f>
        <v>0</v>
      </c>
    </row>
    <row r="2458" customFormat="false" ht="21" hidden="false" customHeight="false" outlineLevel="0" collapsed="false">
      <c r="A2458" s="154" t="n">
        <v>36487</v>
      </c>
      <c r="B2458" s="155" t="s">
        <v>1526</v>
      </c>
      <c r="C2458" s="148" t="str">
        <f aca="false">VLOOKUP($A2458,INSUMOS_AUX!$A$3:$H$813,3,0)</f>
        <v>MAT.</v>
      </c>
      <c r="D2458" s="156" t="s">
        <v>31</v>
      </c>
      <c r="E2458" s="154" t="n">
        <v>2.4398E-006</v>
      </c>
      <c r="F2458" s="149" t="n">
        <f aca="false">IF(C2458="MAT.",VLOOKUP(A2458,INSUMOS_AUX!$A$3:$H$813,6,0),0)</f>
        <v>6017.74</v>
      </c>
      <c r="G2458" s="149" t="n">
        <f aca="false">IF(C2458="M.O.",VLOOKUP(A2458,INSUMOS_AUX!A:F,6,0),0)</f>
        <v>0</v>
      </c>
    </row>
    <row r="2459" customFormat="false" ht="15" hidden="false" customHeight="false" outlineLevel="0" collapsed="false">
      <c r="A2459" s="154" t="n">
        <v>2705</v>
      </c>
      <c r="B2459" s="155" t="s">
        <v>1467</v>
      </c>
      <c r="C2459" s="148" t="str">
        <f aca="false">VLOOKUP($A2459,INSUMOS_AUX!$A$3:$H$813,3,0)</f>
        <v>MAT.</v>
      </c>
      <c r="D2459" s="156" t="s">
        <v>1468</v>
      </c>
      <c r="E2459" s="154" t="n">
        <v>0.007644</v>
      </c>
      <c r="F2459" s="149" t="n">
        <f aca="false">IF(C2459="MAT.",VLOOKUP(A2459,INSUMOS_AUX!$A$3:$H$813,6,0),0)</f>
        <v>0.92</v>
      </c>
      <c r="G2459" s="149" t="n">
        <f aca="false">IF(C2459="M.O.",VLOOKUP(A2459,INSUMOS_AUX!A:F,6,0),0)</f>
        <v>0</v>
      </c>
    </row>
    <row r="2460" customFormat="false" ht="21" hidden="false" customHeight="false" outlineLevel="0" collapsed="false">
      <c r="A2460" s="154" t="n">
        <v>40549</v>
      </c>
      <c r="B2460" s="155" t="s">
        <v>1891</v>
      </c>
      <c r="C2460" s="148" t="str">
        <f aca="false">VLOOKUP($A2460,INSUMOS_AUX!$A$3:$H$813,3,0)</f>
        <v>MAT.</v>
      </c>
      <c r="D2460" s="156" t="s">
        <v>1576</v>
      </c>
      <c r="E2460" s="154" t="n">
        <v>0.021</v>
      </c>
      <c r="F2460" s="149" t="n">
        <f aca="false">IF(C2460="MAT.",VLOOKUP(A2460,INSUMOS_AUX!$A$3:$H$813,6,0),0)</f>
        <v>205.62</v>
      </c>
      <c r="G2460" s="149" t="n">
        <f aca="false">IF(C2460="M.O.",VLOOKUP(A2460,INSUMOS_AUX!A:F,6,0),0)</f>
        <v>0</v>
      </c>
    </row>
    <row r="2461" customFormat="false" ht="21" hidden="false" customHeight="false" outlineLevel="0" collapsed="false">
      <c r="A2461" s="154" t="n">
        <v>43083</v>
      </c>
      <c r="B2461" s="155" t="s">
        <v>1892</v>
      </c>
      <c r="C2461" s="148" t="str">
        <f aca="false">VLOOKUP($A2461,INSUMOS_AUX!$A$3:$H$813,3,0)</f>
        <v>MAT.</v>
      </c>
      <c r="D2461" s="156" t="s">
        <v>1513</v>
      </c>
      <c r="E2461" s="154" t="n">
        <v>12.999</v>
      </c>
      <c r="F2461" s="149" t="n">
        <f aca="false">IF(C2461="MAT.",VLOOKUP(A2461,INSUMOS_AUX!$A$3:$H$813,6,0),0)</f>
        <v>8.66</v>
      </c>
      <c r="G2461" s="149" t="n">
        <f aca="false">IF(C2461="M.O.",VLOOKUP(A2461,INSUMOS_AUX!A:F,6,0),0)</f>
        <v>0</v>
      </c>
    </row>
    <row r="2462" customFormat="false" ht="15" hidden="false" customHeight="false" outlineLevel="0" collapsed="false">
      <c r="A2462" s="154" t="n">
        <v>44497</v>
      </c>
      <c r="B2462" s="155" t="s">
        <v>1739</v>
      </c>
      <c r="C2462" s="148" t="s">
        <v>59</v>
      </c>
      <c r="D2462" s="156" t="s">
        <v>1444</v>
      </c>
      <c r="E2462" s="154" t="n">
        <v>0.64637406</v>
      </c>
      <c r="F2462" s="149" t="n">
        <f aca="false">IF(C2462="MAT.",VLOOKUP(A2462,INSUMOS_AUX!$A$3:$H$813,6,0),0)</f>
        <v>0</v>
      </c>
      <c r="G2462" s="149" t="n">
        <f aca="false">IF(C2462="M.O.",VLOOKUP(A2462,INSUMOS_AUX!A:F,6,0),0)</f>
        <v>0</v>
      </c>
    </row>
    <row r="2463" customFormat="false" ht="15" hidden="false" customHeight="false" outlineLevel="0" collapsed="false">
      <c r="A2463" s="154" t="n">
        <v>4253</v>
      </c>
      <c r="B2463" s="155" t="s">
        <v>1559</v>
      </c>
      <c r="C2463" s="148" t="str">
        <f aca="false">VLOOKUP($A2463,INSUMOS_AUX!$A$3:$H$813,3,0)</f>
        <v>M.O.</v>
      </c>
      <c r="D2463" s="156" t="s">
        <v>1444</v>
      </c>
      <c r="E2463" s="154" t="n">
        <v>0.023884695</v>
      </c>
      <c r="F2463" s="149" t="n">
        <f aca="false">IF(C2463="MAT.",VLOOKUP(A2463,INSUMOS_AUX!$A$3:$H$813,6,0),0)</f>
        <v>0</v>
      </c>
      <c r="G2463" s="149" t="n">
        <f aca="false">IF(C2463="M.O.",VLOOKUP(A2463,INSUMOS_AUX!A:F,6,0),0)</f>
        <v>10.83</v>
      </c>
    </row>
    <row r="2464" customFormat="false" ht="15" hidden="false" customHeight="false" outlineLevel="0" collapsed="false">
      <c r="A2464" s="154" t="n">
        <v>6111</v>
      </c>
      <c r="B2464" s="155" t="s">
        <v>1464</v>
      </c>
      <c r="C2464" s="148" t="str">
        <f aca="false">VLOOKUP($A2464,INSUMOS_AUX!$A$3:$H$813,3,0)</f>
        <v>M.O.</v>
      </c>
      <c r="D2464" s="156" t="s">
        <v>1444</v>
      </c>
      <c r="E2464" s="154" t="n">
        <v>0.3247416</v>
      </c>
      <c r="F2464" s="149" t="n">
        <f aca="false">IF(C2464="MAT.",VLOOKUP(A2464,INSUMOS_AUX!$A$3:$H$813,6,0),0)</f>
        <v>0</v>
      </c>
      <c r="G2464" s="149" t="n">
        <f aca="false">IF(C2464="M.O.",VLOOKUP(A2464,INSUMOS_AUX!A:F,6,0),0)</f>
        <v>12.95</v>
      </c>
    </row>
    <row r="2465" customFormat="false" ht="42" hidden="false" customHeight="false" outlineLevel="0" collapsed="false">
      <c r="A2465" s="150" t="n">
        <v>92580</v>
      </c>
      <c r="B2465" s="151" t="s">
        <v>1893</v>
      </c>
      <c r="C2465" s="152" t="s">
        <v>59</v>
      </c>
      <c r="D2465" s="152" t="s">
        <v>1477</v>
      </c>
      <c r="E2465" s="150"/>
      <c r="F2465" s="153" t="n">
        <f aca="false">(SUMPRODUCT($E2466:$E2480,F2466:F2480))*1</f>
        <v>41.1485409240944</v>
      </c>
      <c r="G2465" s="153" t="n">
        <f aca="false">(SUMPRODUCT($E2466:$E2480,G2466:G2480))*1</f>
        <v>4.70210600082</v>
      </c>
    </row>
    <row r="2466" customFormat="false" ht="21" hidden="false" customHeight="false" outlineLevel="0" collapsed="false">
      <c r="A2466" s="154" t="n">
        <v>37370</v>
      </c>
      <c r="B2466" s="155" t="s">
        <v>1443</v>
      </c>
      <c r="C2466" s="148" t="str">
        <f aca="false">VLOOKUP($A2466,INSUMOS_AUX!$A$3:$H$813,3,0)</f>
        <v>MAT.</v>
      </c>
      <c r="D2466" s="156" t="s">
        <v>1444</v>
      </c>
      <c r="E2466" s="154" t="n">
        <v>0.3352</v>
      </c>
      <c r="F2466" s="149" t="n">
        <f aca="false">IF(C2466="MAT.",VLOOKUP(A2466,INSUMOS_AUX!$A$3:$H$813,6,0),0)</f>
        <v>3.32</v>
      </c>
      <c r="G2466" s="149" t="n">
        <f aca="false">IF(C2466="M.O.",VLOOKUP(A2466,INSUMOS_AUX!A:F,6,0),0)</f>
        <v>0</v>
      </c>
    </row>
    <row r="2467" customFormat="false" ht="21" hidden="false" customHeight="false" outlineLevel="0" collapsed="false">
      <c r="A2467" s="154" t="n">
        <v>43488</v>
      </c>
      <c r="B2467" s="155" t="s">
        <v>1445</v>
      </c>
      <c r="C2467" s="148" t="str">
        <f aca="false">VLOOKUP($A2467,INSUMOS_AUX!$A$3:$H$813,3,0)</f>
        <v>MAT.</v>
      </c>
      <c r="D2467" s="156" t="s">
        <v>1444</v>
      </c>
      <c r="E2467" s="154" t="n">
        <v>0.2292</v>
      </c>
      <c r="F2467" s="149" t="n">
        <f aca="false">IF(C2467="MAT.",VLOOKUP(A2467,INSUMOS_AUX!$A$3:$H$813,6,0),0)</f>
        <v>0.89</v>
      </c>
      <c r="G2467" s="149" t="n">
        <f aca="false">IF(C2467="M.O.",VLOOKUP(A2467,INSUMOS_AUX!A:F,6,0),0)</f>
        <v>0</v>
      </c>
    </row>
    <row r="2468" customFormat="false" ht="21" hidden="false" customHeight="false" outlineLevel="0" collapsed="false">
      <c r="A2468" s="154" t="n">
        <v>43491</v>
      </c>
      <c r="B2468" s="155" t="s">
        <v>1457</v>
      </c>
      <c r="C2468" s="148" t="str">
        <f aca="false">VLOOKUP($A2468,INSUMOS_AUX!$A$3:$H$813,3,0)</f>
        <v>MAT.</v>
      </c>
      <c r="D2468" s="156" t="s">
        <v>1444</v>
      </c>
      <c r="E2468" s="154" t="n">
        <v>0.106</v>
      </c>
      <c r="F2468" s="149" t="n">
        <f aca="false">IF(C2468="MAT.",VLOOKUP(A2468,INSUMOS_AUX!$A$3:$H$813,6,0),0)</f>
        <v>1.39</v>
      </c>
      <c r="G2468" s="149" t="n">
        <f aca="false">IF(C2468="M.O.",VLOOKUP(A2468,INSUMOS_AUX!A:F,6,0),0)</f>
        <v>0</v>
      </c>
    </row>
    <row r="2469" customFormat="false" ht="21" hidden="false" customHeight="false" outlineLevel="0" collapsed="false">
      <c r="A2469" s="154" t="n">
        <v>37372</v>
      </c>
      <c r="B2469" s="155" t="s">
        <v>1446</v>
      </c>
      <c r="C2469" s="148" t="str">
        <f aca="false">VLOOKUP($A2469,INSUMOS_AUX!$A$3:$H$813,3,0)</f>
        <v>MAT.</v>
      </c>
      <c r="D2469" s="156" t="s">
        <v>1444</v>
      </c>
      <c r="E2469" s="154" t="n">
        <v>0.3352</v>
      </c>
      <c r="F2469" s="149" t="n">
        <f aca="false">IF(C2469="MAT.",VLOOKUP(A2469,INSUMOS_AUX!$A$3:$H$813,6,0),0)</f>
        <v>1.43</v>
      </c>
      <c r="G2469" s="149" t="n">
        <f aca="false">IF(C2469="M.O.",VLOOKUP(A2469,INSUMOS_AUX!A:F,6,0),0)</f>
        <v>0</v>
      </c>
    </row>
    <row r="2470" customFormat="false" ht="21" hidden="false" customHeight="false" outlineLevel="0" collapsed="false">
      <c r="A2470" s="154" t="n">
        <v>43464</v>
      </c>
      <c r="B2470" s="155" t="s">
        <v>1447</v>
      </c>
      <c r="C2470" s="148" t="str">
        <f aca="false">VLOOKUP($A2470,INSUMOS_AUX!$A$3:$H$813,3,0)</f>
        <v>MAT.</v>
      </c>
      <c r="D2470" s="156" t="s">
        <v>1444</v>
      </c>
      <c r="E2470" s="154" t="n">
        <v>0.2292</v>
      </c>
      <c r="F2470" s="149" t="n">
        <f aca="false">IF(C2470="MAT.",VLOOKUP(A2470,INSUMOS_AUX!$A$3:$H$813,6,0),0)</f>
        <v>0.01</v>
      </c>
      <c r="G2470" s="149" t="n">
        <f aca="false">IF(C2470="M.O.",VLOOKUP(A2470,INSUMOS_AUX!A:F,6,0),0)</f>
        <v>0</v>
      </c>
    </row>
    <row r="2471" customFormat="false" ht="21" hidden="false" customHeight="false" outlineLevel="0" collapsed="false">
      <c r="A2471" s="154" t="n">
        <v>43467</v>
      </c>
      <c r="B2471" s="155" t="s">
        <v>1459</v>
      </c>
      <c r="C2471" s="148" t="s">
        <v>59</v>
      </c>
      <c r="D2471" s="156" t="s">
        <v>1444</v>
      </c>
      <c r="E2471" s="154" t="n">
        <v>0.106</v>
      </c>
      <c r="F2471" s="149" t="n">
        <f aca="false">IF(C2471="MAT.",VLOOKUP(A2471,INSUMOS_AUX!$A$3:$H$813,6,0),0)</f>
        <v>0</v>
      </c>
      <c r="G2471" s="149" t="n">
        <f aca="false">IF(C2471="M.O.",VLOOKUP(A2471,INSUMOS_AUX!A:F,6,0),0)</f>
        <v>0</v>
      </c>
    </row>
    <row r="2472" customFormat="false" ht="21" hidden="false" customHeight="false" outlineLevel="0" collapsed="false">
      <c r="A2472" s="154" t="n">
        <v>37373</v>
      </c>
      <c r="B2472" s="155" t="s">
        <v>1448</v>
      </c>
      <c r="C2472" s="148" t="str">
        <f aca="false">VLOOKUP($A2472,INSUMOS_AUX!$A$3:$H$813,3,0)</f>
        <v>MAT.</v>
      </c>
      <c r="D2472" s="156" t="s">
        <v>1444</v>
      </c>
      <c r="E2472" s="154" t="n">
        <v>0.3352</v>
      </c>
      <c r="F2472" s="149" t="n">
        <f aca="false">IF(C2472="MAT.",VLOOKUP(A2472,INSUMOS_AUX!$A$3:$H$813,6,0),0)</f>
        <v>0.08</v>
      </c>
      <c r="G2472" s="149" t="n">
        <f aca="false">IF(C2472="M.O.",VLOOKUP(A2472,INSUMOS_AUX!A:F,6,0),0)</f>
        <v>0</v>
      </c>
    </row>
    <row r="2473" customFormat="false" ht="21" hidden="false" customHeight="false" outlineLevel="0" collapsed="false">
      <c r="A2473" s="154" t="n">
        <v>37371</v>
      </c>
      <c r="B2473" s="155" t="s">
        <v>1449</v>
      </c>
      <c r="C2473" s="148" t="str">
        <f aca="false">VLOOKUP($A2473,INSUMOS_AUX!$A$3:$H$813,3,0)</f>
        <v>MAT.</v>
      </c>
      <c r="D2473" s="156" t="s">
        <v>1444</v>
      </c>
      <c r="E2473" s="154" t="n">
        <v>0.3352</v>
      </c>
      <c r="F2473" s="149" t="n">
        <f aca="false">IF(C2473="MAT.",VLOOKUP(A2473,INSUMOS_AUX!$A$3:$H$813,6,0),0)</f>
        <v>0.59</v>
      </c>
      <c r="G2473" s="149" t="n">
        <f aca="false">IF(C2473="M.O.",VLOOKUP(A2473,INSUMOS_AUX!A:F,6,0),0)</f>
        <v>0</v>
      </c>
    </row>
    <row r="2474" customFormat="false" ht="21" hidden="false" customHeight="false" outlineLevel="0" collapsed="false">
      <c r="A2474" s="154" t="n">
        <v>36487</v>
      </c>
      <c r="B2474" s="155" t="s">
        <v>1526</v>
      </c>
      <c r="C2474" s="148" t="str">
        <f aca="false">VLOOKUP($A2474,INSUMOS_AUX!$A$3:$H$813,3,0)</f>
        <v>MAT.</v>
      </c>
      <c r="D2474" s="156" t="s">
        <v>31</v>
      </c>
      <c r="E2474" s="154" t="n">
        <v>1.68456E-006</v>
      </c>
      <c r="F2474" s="149" t="n">
        <f aca="false">IF(C2474="MAT.",VLOOKUP(A2474,INSUMOS_AUX!$A$3:$H$813,6,0),0)</f>
        <v>6017.74</v>
      </c>
      <c r="G2474" s="149" t="n">
        <f aca="false">IF(C2474="M.O.",VLOOKUP(A2474,INSUMOS_AUX!A:F,6,0),0)</f>
        <v>0</v>
      </c>
    </row>
    <row r="2475" customFormat="false" ht="15" hidden="false" customHeight="false" outlineLevel="0" collapsed="false">
      <c r="A2475" s="154" t="n">
        <v>2705</v>
      </c>
      <c r="B2475" s="155" t="s">
        <v>1467</v>
      </c>
      <c r="C2475" s="148" t="str">
        <f aca="false">VLOOKUP($A2475,INSUMOS_AUX!$A$3:$H$813,3,0)</f>
        <v>MAT.</v>
      </c>
      <c r="D2475" s="156" t="s">
        <v>1468</v>
      </c>
      <c r="E2475" s="154" t="n">
        <v>0.005304</v>
      </c>
      <c r="F2475" s="149" t="n">
        <f aca="false">IF(C2475="MAT.",VLOOKUP(A2475,INSUMOS_AUX!$A$3:$H$813,6,0),0)</f>
        <v>0.92</v>
      </c>
      <c r="G2475" s="149" t="n">
        <f aca="false">IF(C2475="M.O.",VLOOKUP(A2475,INSUMOS_AUX!A:F,6,0),0)</f>
        <v>0</v>
      </c>
    </row>
    <row r="2476" customFormat="false" ht="21" hidden="false" customHeight="false" outlineLevel="0" collapsed="false">
      <c r="A2476" s="154" t="n">
        <v>40549</v>
      </c>
      <c r="B2476" s="155" t="s">
        <v>1891</v>
      </c>
      <c r="C2476" s="148" t="str">
        <f aca="false">VLOOKUP($A2476,INSUMOS_AUX!$A$3:$H$813,3,0)</f>
        <v>MAT.</v>
      </c>
      <c r="D2476" s="156" t="s">
        <v>1576</v>
      </c>
      <c r="E2476" s="154" t="n">
        <v>0.007</v>
      </c>
      <c r="F2476" s="149" t="n">
        <f aca="false">IF(C2476="MAT.",VLOOKUP(A2476,INSUMOS_AUX!$A$3:$H$813,6,0),0)</f>
        <v>205.62</v>
      </c>
      <c r="G2476" s="149" t="n">
        <f aca="false">IF(C2476="M.O.",VLOOKUP(A2476,INSUMOS_AUX!A:F,6,0),0)</f>
        <v>0</v>
      </c>
    </row>
    <row r="2477" customFormat="false" ht="21" hidden="false" customHeight="false" outlineLevel="0" collapsed="false">
      <c r="A2477" s="154" t="n">
        <v>43083</v>
      </c>
      <c r="B2477" s="155" t="s">
        <v>1892</v>
      </c>
      <c r="C2477" s="148" t="str">
        <f aca="false">VLOOKUP($A2477,INSUMOS_AUX!$A$3:$H$813,3,0)</f>
        <v>MAT.</v>
      </c>
      <c r="D2477" s="156" t="s">
        <v>1513</v>
      </c>
      <c r="E2477" s="154" t="n">
        <v>4.333</v>
      </c>
      <c r="F2477" s="149" t="n">
        <f aca="false">IF(C2477="MAT.",VLOOKUP(A2477,INSUMOS_AUX!$A$3:$H$813,6,0),0)</f>
        <v>8.66</v>
      </c>
      <c r="G2477" s="149" t="n">
        <f aca="false">IF(C2477="M.O.",VLOOKUP(A2477,INSUMOS_AUX!A:F,6,0),0)</f>
        <v>0</v>
      </c>
    </row>
    <row r="2478" customFormat="false" ht="15" hidden="false" customHeight="false" outlineLevel="0" collapsed="false">
      <c r="A2478" s="154" t="n">
        <v>44497</v>
      </c>
      <c r="B2478" s="155" t="s">
        <v>1739</v>
      </c>
      <c r="C2478" s="148" t="str">
        <f aca="false">VLOOKUP($A2478,INSUMOS_AUX!$A$3:$H$813,3,0)</f>
        <v>M.O.</v>
      </c>
      <c r="D2478" s="156" t="s">
        <v>1444</v>
      </c>
      <c r="E2478" s="154" t="n">
        <v>0.21545802</v>
      </c>
      <c r="F2478" s="149" t="n">
        <f aca="false">IF(C2478="MAT.",VLOOKUP(A2478,INSUMOS_AUX!$A$3:$H$813,6,0),0)</f>
        <v>0</v>
      </c>
      <c r="G2478" s="149" t="n">
        <f aca="false">IF(C2478="M.O.",VLOOKUP(A2478,INSUMOS_AUX!A:F,6,0),0)</f>
        <v>14.49</v>
      </c>
    </row>
    <row r="2479" customFormat="false" ht="15" hidden="false" customHeight="false" outlineLevel="0" collapsed="false">
      <c r="A2479" s="154" t="n">
        <v>4253</v>
      </c>
      <c r="B2479" s="155" t="s">
        <v>1559</v>
      </c>
      <c r="C2479" s="148" t="str">
        <f aca="false">VLOOKUP($A2479,INSUMOS_AUX!$A$3:$H$813,3,0)</f>
        <v>M.O.</v>
      </c>
      <c r="D2479" s="156" t="s">
        <v>1444</v>
      </c>
      <c r="E2479" s="154" t="n">
        <v>0.016465194</v>
      </c>
      <c r="F2479" s="149" t="n">
        <f aca="false">IF(C2479="MAT.",VLOOKUP(A2479,INSUMOS_AUX!$A$3:$H$813,6,0),0)</f>
        <v>0</v>
      </c>
      <c r="G2479" s="149" t="n">
        <f aca="false">IF(C2479="M.O.",VLOOKUP(A2479,INSUMOS_AUX!A:F,6,0),0)</f>
        <v>10.83</v>
      </c>
    </row>
    <row r="2480" customFormat="false" ht="15" hidden="false" customHeight="false" outlineLevel="0" collapsed="false">
      <c r="A2480" s="154" t="n">
        <v>6111</v>
      </c>
      <c r="B2480" s="155" t="s">
        <v>1464</v>
      </c>
      <c r="C2480" s="148" t="str">
        <f aca="false">VLOOKUP($A2480,INSUMOS_AUX!$A$3:$H$813,3,0)</f>
        <v>M.O.</v>
      </c>
      <c r="D2480" s="156" t="s">
        <v>1444</v>
      </c>
      <c r="E2480" s="154" t="n">
        <v>0.1082472</v>
      </c>
      <c r="F2480" s="149" t="n">
        <f aca="false">IF(C2480="MAT.",VLOOKUP(A2480,INSUMOS_AUX!$A$3:$H$813,6,0),0)</f>
        <v>0</v>
      </c>
      <c r="G2480" s="149" t="n">
        <f aca="false">IF(C2480="M.O.",VLOOKUP(A2480,INSUMOS_AUX!A:F,6,0),0)</f>
        <v>12.95</v>
      </c>
    </row>
    <row r="2481" customFormat="false" ht="21" hidden="false" customHeight="false" outlineLevel="0" collapsed="false">
      <c r="A2481" s="150" t="n">
        <v>94216</v>
      </c>
      <c r="B2481" s="151" t="s">
        <v>1894</v>
      </c>
      <c r="C2481" s="152" t="s">
        <v>59</v>
      </c>
      <c r="D2481" s="152" t="s">
        <v>1477</v>
      </c>
      <c r="E2481" s="150"/>
      <c r="F2481" s="153" t="n">
        <f aca="false">(SUMPRODUCT($E2482:$E2498,F2482:F2498))*1</f>
        <v>137.051238613575</v>
      </c>
      <c r="G2481" s="153" t="n">
        <f aca="false">(SUMPRODUCT($E2482:$E2498,G2482:G2498))*1</f>
        <v>1.97482865811</v>
      </c>
    </row>
    <row r="2482" customFormat="false" ht="21" hidden="false" customHeight="false" outlineLevel="0" collapsed="false">
      <c r="A2482" s="154" t="n">
        <v>37370</v>
      </c>
      <c r="B2482" s="155" t="s">
        <v>1443</v>
      </c>
      <c r="C2482" s="148" t="str">
        <f aca="false">VLOOKUP($A2482,INSUMOS_AUX!$A$3:$H$813,3,0)</f>
        <v>MAT.</v>
      </c>
      <c r="D2482" s="156" t="s">
        <v>1444</v>
      </c>
      <c r="E2482" s="154" t="n">
        <v>0.1201</v>
      </c>
      <c r="F2482" s="149" t="n">
        <f aca="false">IF(C2482="MAT.",VLOOKUP(A2482,INSUMOS_AUX!$A$3:$H$813,6,0),0)</f>
        <v>3.32</v>
      </c>
      <c r="G2482" s="149" t="n">
        <f aca="false">IF(C2482="M.O.",VLOOKUP(A2482,INSUMOS_AUX!A:F,6,0),0)</f>
        <v>0</v>
      </c>
    </row>
    <row r="2483" customFormat="false" ht="21" hidden="false" customHeight="false" outlineLevel="0" collapsed="false">
      <c r="A2483" s="154" t="n">
        <v>43483</v>
      </c>
      <c r="B2483" s="155" t="s">
        <v>1486</v>
      </c>
      <c r="C2483" s="148" t="str">
        <f aca="false">VLOOKUP($A2483,INSUMOS_AUX!$A$3:$H$813,3,0)</f>
        <v>MAT.</v>
      </c>
      <c r="D2483" s="156" t="s">
        <v>1444</v>
      </c>
      <c r="E2483" s="154" t="n">
        <v>0.056</v>
      </c>
      <c r="F2483" s="149" t="n">
        <f aca="false">IF(C2483="MAT.",VLOOKUP(A2483,INSUMOS_AUX!$A$3:$H$813,6,0),0)</f>
        <v>1.43</v>
      </c>
      <c r="G2483" s="149" t="n">
        <f aca="false">IF(C2483="M.O.",VLOOKUP(A2483,INSUMOS_AUX!A:F,6,0),0)</f>
        <v>0</v>
      </c>
    </row>
    <row r="2484" customFormat="false" ht="21" hidden="false" customHeight="false" outlineLevel="0" collapsed="false">
      <c r="A2484" s="154" t="n">
        <v>43488</v>
      </c>
      <c r="B2484" s="155" t="s">
        <v>1445</v>
      </c>
      <c r="C2484" s="148" t="str">
        <f aca="false">VLOOKUP($A2484,INSUMOS_AUX!$A$3:$H$813,3,0)</f>
        <v>MAT.</v>
      </c>
      <c r="D2484" s="156" t="s">
        <v>1444</v>
      </c>
      <c r="E2484" s="154" t="n">
        <v>0.0021</v>
      </c>
      <c r="F2484" s="149" t="n">
        <f aca="false">IF(C2484="MAT.",VLOOKUP(A2484,INSUMOS_AUX!$A$3:$H$813,6,0),0)</f>
        <v>0.89</v>
      </c>
      <c r="G2484" s="149" t="n">
        <f aca="false">IF(C2484="M.O.",VLOOKUP(A2484,INSUMOS_AUX!A:F,6,0),0)</f>
        <v>0</v>
      </c>
    </row>
    <row r="2485" customFormat="false" ht="21" hidden="false" customHeight="false" outlineLevel="0" collapsed="false">
      <c r="A2485" s="154" t="n">
        <v>43491</v>
      </c>
      <c r="B2485" s="155" t="s">
        <v>1457</v>
      </c>
      <c r="C2485" s="148" t="str">
        <f aca="false">VLOOKUP($A2485,INSUMOS_AUX!$A$3:$H$813,3,0)</f>
        <v>MAT.</v>
      </c>
      <c r="D2485" s="156" t="s">
        <v>1444</v>
      </c>
      <c r="E2485" s="154" t="n">
        <v>0.062</v>
      </c>
      <c r="F2485" s="149" t="n">
        <f aca="false">IF(C2485="MAT.",VLOOKUP(A2485,INSUMOS_AUX!$A$3:$H$813,6,0),0)</f>
        <v>1.39</v>
      </c>
      <c r="G2485" s="149" t="n">
        <f aca="false">IF(C2485="M.O.",VLOOKUP(A2485,INSUMOS_AUX!A:F,6,0),0)</f>
        <v>0</v>
      </c>
    </row>
    <row r="2486" customFormat="false" ht="21" hidden="false" customHeight="false" outlineLevel="0" collapsed="false">
      <c r="A2486" s="154" t="n">
        <v>37372</v>
      </c>
      <c r="B2486" s="155" t="s">
        <v>1446</v>
      </c>
      <c r="C2486" s="148" t="str">
        <f aca="false">VLOOKUP($A2486,INSUMOS_AUX!$A$3:$H$813,3,0)</f>
        <v>MAT.</v>
      </c>
      <c r="D2486" s="156" t="s">
        <v>1444</v>
      </c>
      <c r="E2486" s="154" t="n">
        <v>0.1201</v>
      </c>
      <c r="F2486" s="149" t="n">
        <f aca="false">IF(C2486="MAT.",VLOOKUP(A2486,INSUMOS_AUX!$A$3:$H$813,6,0),0)</f>
        <v>1.43</v>
      </c>
      <c r="G2486" s="149" t="n">
        <f aca="false">IF(C2486="M.O.",VLOOKUP(A2486,INSUMOS_AUX!A:F,6,0),0)</f>
        <v>0</v>
      </c>
    </row>
    <row r="2487" customFormat="false" ht="21" hidden="false" customHeight="false" outlineLevel="0" collapsed="false">
      <c r="A2487" s="154" t="n">
        <v>43459</v>
      </c>
      <c r="B2487" s="155" t="s">
        <v>1487</v>
      </c>
      <c r="C2487" s="148" t="str">
        <f aca="false">VLOOKUP($A2487,INSUMOS_AUX!$A$3:$H$813,3,0)</f>
        <v>MAT.</v>
      </c>
      <c r="D2487" s="156" t="s">
        <v>1444</v>
      </c>
      <c r="E2487" s="154" t="n">
        <v>0.056</v>
      </c>
      <c r="F2487" s="149" t="n">
        <f aca="false">IF(C2487="MAT.",VLOOKUP(A2487,INSUMOS_AUX!$A$3:$H$813,6,0),0)</f>
        <v>0.44</v>
      </c>
      <c r="G2487" s="149" t="n">
        <f aca="false">IF(C2487="M.O.",VLOOKUP(A2487,INSUMOS_AUX!A:F,6,0),0)</f>
        <v>0</v>
      </c>
    </row>
    <row r="2488" customFormat="false" ht="21" hidden="false" customHeight="false" outlineLevel="0" collapsed="false">
      <c r="A2488" s="154" t="n">
        <v>43464</v>
      </c>
      <c r="B2488" s="155" t="s">
        <v>1447</v>
      </c>
      <c r="C2488" s="148" t="str">
        <f aca="false">VLOOKUP($A2488,INSUMOS_AUX!$A$3:$H$813,3,0)</f>
        <v>MAT.</v>
      </c>
      <c r="D2488" s="156" t="s">
        <v>1444</v>
      </c>
      <c r="E2488" s="154" t="n">
        <v>0.0021</v>
      </c>
      <c r="F2488" s="149" t="n">
        <f aca="false">IF(C2488="MAT.",VLOOKUP(A2488,INSUMOS_AUX!$A$3:$H$813,6,0),0)</f>
        <v>0.01</v>
      </c>
      <c r="G2488" s="149" t="n">
        <f aca="false">IF(C2488="M.O.",VLOOKUP(A2488,INSUMOS_AUX!A:F,6,0),0)</f>
        <v>0</v>
      </c>
    </row>
    <row r="2489" customFormat="false" ht="21" hidden="false" customHeight="false" outlineLevel="0" collapsed="false">
      <c r="A2489" s="154" t="n">
        <v>43467</v>
      </c>
      <c r="B2489" s="155" t="s">
        <v>1459</v>
      </c>
      <c r="C2489" s="148" t="str">
        <f aca="false">VLOOKUP($A2489,INSUMOS_AUX!$A$3:$H$813,3,0)</f>
        <v>MAT.</v>
      </c>
      <c r="D2489" s="156" t="s">
        <v>1444</v>
      </c>
      <c r="E2489" s="154" t="n">
        <v>0.062</v>
      </c>
      <c r="F2489" s="149" t="n">
        <f aca="false">IF(C2489="MAT.",VLOOKUP(A2489,INSUMOS_AUX!$A$3:$H$813,6,0),0)</f>
        <v>0.61</v>
      </c>
      <c r="G2489" s="149" t="n">
        <f aca="false">IF(C2489="M.O.",VLOOKUP(A2489,INSUMOS_AUX!A:F,6,0),0)</f>
        <v>0</v>
      </c>
    </row>
    <row r="2490" customFormat="false" ht="21" hidden="false" customHeight="false" outlineLevel="0" collapsed="false">
      <c r="A2490" s="154" t="n">
        <v>37373</v>
      </c>
      <c r="B2490" s="155" t="s">
        <v>1448</v>
      </c>
      <c r="C2490" s="148" t="str">
        <f aca="false">VLOOKUP($A2490,INSUMOS_AUX!$A$3:$H$813,3,0)</f>
        <v>MAT.</v>
      </c>
      <c r="D2490" s="156" t="s">
        <v>1444</v>
      </c>
      <c r="E2490" s="154" t="n">
        <v>0.1201</v>
      </c>
      <c r="F2490" s="149" t="n">
        <f aca="false">IF(C2490="MAT.",VLOOKUP(A2490,INSUMOS_AUX!$A$3:$H$813,6,0),0)</f>
        <v>0.08</v>
      </c>
      <c r="G2490" s="149" t="n">
        <f aca="false">IF(C2490="M.O.",VLOOKUP(A2490,INSUMOS_AUX!A:F,6,0),0)</f>
        <v>0</v>
      </c>
    </row>
    <row r="2491" customFormat="false" ht="21" hidden="false" customHeight="false" outlineLevel="0" collapsed="false">
      <c r="A2491" s="154" t="n">
        <v>37371</v>
      </c>
      <c r="B2491" s="155" t="s">
        <v>1449</v>
      </c>
      <c r="C2491" s="148" t="str">
        <f aca="false">VLOOKUP($A2491,INSUMOS_AUX!$A$3:$H$813,3,0)</f>
        <v>MAT.</v>
      </c>
      <c r="D2491" s="156" t="s">
        <v>1444</v>
      </c>
      <c r="E2491" s="154" t="n">
        <v>0.1201</v>
      </c>
      <c r="F2491" s="149" t="n">
        <f aca="false">IF(C2491="MAT.",VLOOKUP(A2491,INSUMOS_AUX!$A$3:$H$813,6,0),0)</f>
        <v>0.59</v>
      </c>
      <c r="G2491" s="149" t="n">
        <f aca="false">IF(C2491="M.O.",VLOOKUP(A2491,INSUMOS_AUX!A:F,6,0),0)</f>
        <v>0</v>
      </c>
    </row>
    <row r="2492" customFormat="false" ht="21" hidden="false" customHeight="false" outlineLevel="0" collapsed="false">
      <c r="A2492" s="154" t="n">
        <v>36487</v>
      </c>
      <c r="B2492" s="155" t="s">
        <v>1526</v>
      </c>
      <c r="C2492" s="148" t="str">
        <f aca="false">VLOOKUP($A2492,INSUMOS_AUX!$A$3:$H$813,3,0)</f>
        <v>MAT.</v>
      </c>
      <c r="D2492" s="156" t="s">
        <v>31</v>
      </c>
      <c r="E2492" s="154" t="n">
        <v>2.1948E-007</v>
      </c>
      <c r="F2492" s="149" t="n">
        <f aca="false">IF(C2492="MAT.",VLOOKUP(A2492,INSUMOS_AUX!$A$3:$H$813,6,0),0)</f>
        <v>6017.74</v>
      </c>
      <c r="G2492" s="149" t="n">
        <f aca="false">IF(C2492="M.O.",VLOOKUP(A2492,INSUMOS_AUX!A:F,6,0),0)</f>
        <v>0</v>
      </c>
    </row>
    <row r="2493" customFormat="false" ht="15" hidden="false" customHeight="false" outlineLevel="0" collapsed="false">
      <c r="A2493" s="154" t="n">
        <v>2705</v>
      </c>
      <c r="B2493" s="155" t="s">
        <v>1467</v>
      </c>
      <c r="C2493" s="148" t="str">
        <f aca="false">VLOOKUP($A2493,INSUMOS_AUX!$A$3:$H$813,3,0)</f>
        <v>MAT.</v>
      </c>
      <c r="D2493" s="156" t="s">
        <v>1468</v>
      </c>
      <c r="E2493" s="154" t="n">
        <v>0.000702</v>
      </c>
      <c r="F2493" s="149" t="n">
        <f aca="false">IF(C2493="MAT.",VLOOKUP(A2493,INSUMOS_AUX!$A$3:$H$813,6,0),0)</f>
        <v>0.92</v>
      </c>
      <c r="G2493" s="149" t="n">
        <f aca="false">IF(C2493="M.O.",VLOOKUP(A2493,INSUMOS_AUX!A:F,6,0),0)</f>
        <v>0</v>
      </c>
    </row>
    <row r="2494" customFormat="false" ht="31.5" hidden="false" customHeight="false" outlineLevel="0" collapsed="false">
      <c r="A2494" s="154" t="n">
        <v>11029</v>
      </c>
      <c r="B2494" s="155" t="s">
        <v>1895</v>
      </c>
      <c r="C2494" s="148" t="s">
        <v>59</v>
      </c>
      <c r="D2494" s="156" t="s">
        <v>1538</v>
      </c>
      <c r="E2494" s="154" t="n">
        <v>4.15</v>
      </c>
      <c r="F2494" s="149" t="n">
        <f aca="false">IF(C2494="MAT.",VLOOKUP(A2494,INSUMOS_AUX!$A$3:$H$813,6,0),0)</f>
        <v>0</v>
      </c>
      <c r="G2494" s="149" t="n">
        <f aca="false">IF(C2494="M.O.",VLOOKUP(A2494,INSUMOS_AUX!A:F,6,0),0)</f>
        <v>0</v>
      </c>
    </row>
    <row r="2495" customFormat="false" ht="52.5" hidden="false" customHeight="false" outlineLevel="0" collapsed="false">
      <c r="A2495" s="154" t="n">
        <v>40740</v>
      </c>
      <c r="B2495" s="155" t="s">
        <v>1896</v>
      </c>
      <c r="C2495" s="148" t="str">
        <f aca="false">VLOOKUP($A2495,INSUMOS_AUX!$A$3:$H$813,3,0)</f>
        <v>MAT.</v>
      </c>
      <c r="D2495" s="156" t="s">
        <v>1477</v>
      </c>
      <c r="E2495" s="154" t="n">
        <v>1.146</v>
      </c>
      <c r="F2495" s="149" t="n">
        <f aca="false">IF(C2495="MAT.",VLOOKUP(A2495,INSUMOS_AUX!$A$3:$H$813,6,0),0)</f>
        <v>118.82</v>
      </c>
      <c r="G2495" s="149" t="n">
        <f aca="false">IF(C2495="M.O.",VLOOKUP(A2495,INSUMOS_AUX!A:F,6,0),0)</f>
        <v>0</v>
      </c>
    </row>
    <row r="2496" customFormat="false" ht="15" hidden="false" customHeight="false" outlineLevel="0" collapsed="false">
      <c r="A2496" s="154" t="n">
        <v>4253</v>
      </c>
      <c r="B2496" s="155" t="s">
        <v>1559</v>
      </c>
      <c r="C2496" s="148" t="str">
        <f aca="false">VLOOKUP($A2496,INSUMOS_AUX!$A$3:$H$813,3,0)</f>
        <v>M.O.</v>
      </c>
      <c r="D2496" s="156" t="s">
        <v>1444</v>
      </c>
      <c r="E2496" s="154" t="n">
        <v>0.002134377</v>
      </c>
      <c r="F2496" s="149" t="n">
        <f aca="false">IF(C2496="MAT.",VLOOKUP(A2496,INSUMOS_AUX!$A$3:$H$813,6,0),0)</f>
        <v>0</v>
      </c>
      <c r="G2496" s="149" t="n">
        <f aca="false">IF(C2496="M.O.",VLOOKUP(A2496,INSUMOS_AUX!A:F,6,0),0)</f>
        <v>10.83</v>
      </c>
    </row>
    <row r="2497" customFormat="false" ht="15" hidden="false" customHeight="false" outlineLevel="0" collapsed="false">
      <c r="A2497" s="154" t="n">
        <v>6111</v>
      </c>
      <c r="B2497" s="155" t="s">
        <v>1464</v>
      </c>
      <c r="C2497" s="148" t="str">
        <f aca="false">VLOOKUP($A2497,INSUMOS_AUX!$A$3:$H$813,3,0)</f>
        <v>M.O.</v>
      </c>
      <c r="D2497" s="156" t="s">
        <v>1444</v>
      </c>
      <c r="E2497" s="154" t="n">
        <v>0.0633144</v>
      </c>
      <c r="F2497" s="149" t="n">
        <f aca="false">IF(C2497="MAT.",VLOOKUP(A2497,INSUMOS_AUX!$A$3:$H$813,6,0),0)</f>
        <v>0</v>
      </c>
      <c r="G2497" s="149" t="n">
        <f aca="false">IF(C2497="M.O.",VLOOKUP(A2497,INSUMOS_AUX!A:F,6,0),0)</f>
        <v>12.95</v>
      </c>
    </row>
    <row r="2498" customFormat="false" ht="15" hidden="false" customHeight="false" outlineLevel="0" collapsed="false">
      <c r="A2498" s="154" t="n">
        <v>12869</v>
      </c>
      <c r="B2498" s="155" t="s">
        <v>1488</v>
      </c>
      <c r="C2498" s="148" t="str">
        <f aca="false">VLOOKUP($A2498,INSUMOS_AUX!$A$3:$H$813,3,0)</f>
        <v>M.O.</v>
      </c>
      <c r="D2498" s="156" t="s">
        <v>1444</v>
      </c>
      <c r="E2498" s="154" t="n">
        <v>0.05664624</v>
      </c>
      <c r="F2498" s="149" t="n">
        <f aca="false">IF(C2498="MAT.",VLOOKUP(A2498,INSUMOS_AUX!$A$3:$H$813,6,0),0)</f>
        <v>0</v>
      </c>
      <c r="G2498" s="149" t="n">
        <f aca="false">IF(C2498="M.O.",VLOOKUP(A2498,INSUMOS_AUX!A:F,6,0),0)</f>
        <v>19.98</v>
      </c>
    </row>
    <row r="2499" customFormat="false" ht="21" hidden="false" customHeight="false" outlineLevel="0" collapsed="false">
      <c r="A2499" s="150" t="n">
        <v>94213</v>
      </c>
      <c r="B2499" s="151" t="s">
        <v>1897</v>
      </c>
      <c r="C2499" s="152" t="s">
        <v>59</v>
      </c>
      <c r="D2499" s="152" t="s">
        <v>1477</v>
      </c>
      <c r="E2499" s="150"/>
      <c r="F2499" s="153" t="n">
        <f aca="false">(SUMPRODUCT($E2500:$E2516,F2500:F2516))*1</f>
        <v>49.2003580333664</v>
      </c>
      <c r="G2499" s="153" t="n">
        <f aca="false">(SUMPRODUCT($E2500:$E2516,G2500:G2516))*1</f>
        <v>3.14615820882</v>
      </c>
    </row>
    <row r="2500" customFormat="false" ht="21" hidden="false" customHeight="false" outlineLevel="0" collapsed="false">
      <c r="A2500" s="154" t="n">
        <v>37370</v>
      </c>
      <c r="B2500" s="155" t="s">
        <v>1443</v>
      </c>
      <c r="C2500" s="148" t="str">
        <f aca="false">VLOOKUP($A2500,INSUMOS_AUX!$A$3:$H$813,3,0)</f>
        <v>MAT.</v>
      </c>
      <c r="D2500" s="156" t="s">
        <v>1444</v>
      </c>
      <c r="E2500" s="154" t="n">
        <v>0.1902</v>
      </c>
      <c r="F2500" s="149" t="n">
        <f aca="false">IF(C2500="MAT.",VLOOKUP(A2500,INSUMOS_AUX!$A$3:$H$813,6,0),0)</f>
        <v>3.32</v>
      </c>
      <c r="G2500" s="149" t="n">
        <f aca="false">IF(C2500="M.O.",VLOOKUP(A2500,INSUMOS_AUX!A:F,6,0),0)</f>
        <v>0</v>
      </c>
    </row>
    <row r="2501" customFormat="false" ht="21" hidden="false" customHeight="false" outlineLevel="0" collapsed="false">
      <c r="A2501" s="154" t="n">
        <v>43483</v>
      </c>
      <c r="B2501" s="155" t="s">
        <v>1486</v>
      </c>
      <c r="C2501" s="148" t="str">
        <f aca="false">VLOOKUP($A2501,INSUMOS_AUX!$A$3:$H$813,3,0)</f>
        <v>MAT.</v>
      </c>
      <c r="D2501" s="156" t="s">
        <v>1444</v>
      </c>
      <c r="E2501" s="154" t="n">
        <v>0.091</v>
      </c>
      <c r="F2501" s="149" t="n">
        <f aca="false">IF(C2501="MAT.",VLOOKUP(A2501,INSUMOS_AUX!$A$3:$H$813,6,0),0)</f>
        <v>1.43</v>
      </c>
      <c r="G2501" s="149" t="n">
        <f aca="false">IF(C2501="M.O.",VLOOKUP(A2501,INSUMOS_AUX!A:F,6,0),0)</f>
        <v>0</v>
      </c>
    </row>
    <row r="2502" customFormat="false" ht="21" hidden="false" customHeight="false" outlineLevel="0" collapsed="false">
      <c r="A2502" s="154" t="n">
        <v>43488</v>
      </c>
      <c r="B2502" s="155" t="s">
        <v>1445</v>
      </c>
      <c r="C2502" s="148" t="str">
        <f aca="false">VLOOKUP($A2502,INSUMOS_AUX!$A$3:$H$813,3,0)</f>
        <v>MAT.</v>
      </c>
      <c r="D2502" s="156" t="s">
        <v>1444</v>
      </c>
      <c r="E2502" s="154" t="n">
        <v>0.0022</v>
      </c>
      <c r="F2502" s="149" t="n">
        <f aca="false">IF(C2502="MAT.",VLOOKUP(A2502,INSUMOS_AUX!$A$3:$H$813,6,0),0)</f>
        <v>0.89</v>
      </c>
      <c r="G2502" s="149" t="n">
        <f aca="false">IF(C2502="M.O.",VLOOKUP(A2502,INSUMOS_AUX!A:F,6,0),0)</f>
        <v>0</v>
      </c>
    </row>
    <row r="2503" customFormat="false" ht="21" hidden="false" customHeight="false" outlineLevel="0" collapsed="false">
      <c r="A2503" s="154" t="n">
        <v>43491</v>
      </c>
      <c r="B2503" s="155" t="s">
        <v>1457</v>
      </c>
      <c r="C2503" s="148" t="str">
        <f aca="false">VLOOKUP($A2503,INSUMOS_AUX!$A$3:$H$813,3,0)</f>
        <v>MAT.</v>
      </c>
      <c r="D2503" s="156" t="s">
        <v>1444</v>
      </c>
      <c r="E2503" s="154" t="n">
        <v>0.097</v>
      </c>
      <c r="F2503" s="149" t="n">
        <f aca="false">IF(C2503="MAT.",VLOOKUP(A2503,INSUMOS_AUX!$A$3:$H$813,6,0),0)</f>
        <v>1.39</v>
      </c>
      <c r="G2503" s="149" t="n">
        <f aca="false">IF(C2503="M.O.",VLOOKUP(A2503,INSUMOS_AUX!A:F,6,0),0)</f>
        <v>0</v>
      </c>
    </row>
    <row r="2504" customFormat="false" ht="21" hidden="false" customHeight="false" outlineLevel="0" collapsed="false">
      <c r="A2504" s="154" t="n">
        <v>37372</v>
      </c>
      <c r="B2504" s="155" t="s">
        <v>1446</v>
      </c>
      <c r="C2504" s="148" t="str">
        <f aca="false">VLOOKUP($A2504,INSUMOS_AUX!$A$3:$H$813,3,0)</f>
        <v>MAT.</v>
      </c>
      <c r="D2504" s="156" t="s">
        <v>1444</v>
      </c>
      <c r="E2504" s="154" t="n">
        <v>0.1902</v>
      </c>
      <c r="F2504" s="149" t="n">
        <f aca="false">IF(C2504="MAT.",VLOOKUP(A2504,INSUMOS_AUX!$A$3:$H$813,6,0),0)</f>
        <v>1.43</v>
      </c>
      <c r="G2504" s="149" t="n">
        <f aca="false">IF(C2504="M.O.",VLOOKUP(A2504,INSUMOS_AUX!A:F,6,0),0)</f>
        <v>0</v>
      </c>
    </row>
    <row r="2505" customFormat="false" ht="21" hidden="false" customHeight="false" outlineLevel="0" collapsed="false">
      <c r="A2505" s="154" t="n">
        <v>43459</v>
      </c>
      <c r="B2505" s="155" t="s">
        <v>1487</v>
      </c>
      <c r="C2505" s="148" t="str">
        <f aca="false">VLOOKUP($A2505,INSUMOS_AUX!$A$3:$H$813,3,0)</f>
        <v>MAT.</v>
      </c>
      <c r="D2505" s="156" t="s">
        <v>1444</v>
      </c>
      <c r="E2505" s="154" t="n">
        <v>0.091</v>
      </c>
      <c r="F2505" s="149" t="n">
        <f aca="false">IF(C2505="MAT.",VLOOKUP(A2505,INSUMOS_AUX!$A$3:$H$813,6,0),0)</f>
        <v>0.44</v>
      </c>
      <c r="G2505" s="149" t="n">
        <f aca="false">IF(C2505="M.O.",VLOOKUP(A2505,INSUMOS_AUX!A:F,6,0),0)</f>
        <v>0</v>
      </c>
    </row>
    <row r="2506" customFormat="false" ht="21" hidden="false" customHeight="false" outlineLevel="0" collapsed="false">
      <c r="A2506" s="154" t="n">
        <v>43464</v>
      </c>
      <c r="B2506" s="155" t="s">
        <v>1447</v>
      </c>
      <c r="C2506" s="148" t="str">
        <f aca="false">VLOOKUP($A2506,INSUMOS_AUX!$A$3:$H$813,3,0)</f>
        <v>MAT.</v>
      </c>
      <c r="D2506" s="156" t="s">
        <v>1444</v>
      </c>
      <c r="E2506" s="154" t="n">
        <v>0.0022</v>
      </c>
      <c r="F2506" s="149" t="n">
        <f aca="false">IF(C2506="MAT.",VLOOKUP(A2506,INSUMOS_AUX!$A$3:$H$813,6,0),0)</f>
        <v>0.01</v>
      </c>
      <c r="G2506" s="149" t="n">
        <f aca="false">IF(C2506="M.O.",VLOOKUP(A2506,INSUMOS_AUX!A:F,6,0),0)</f>
        <v>0</v>
      </c>
    </row>
    <row r="2507" customFormat="false" ht="21" hidden="false" customHeight="false" outlineLevel="0" collapsed="false">
      <c r="A2507" s="154" t="n">
        <v>43467</v>
      </c>
      <c r="B2507" s="155" t="s">
        <v>1459</v>
      </c>
      <c r="C2507" s="148" t="s">
        <v>59</v>
      </c>
      <c r="D2507" s="156" t="s">
        <v>1444</v>
      </c>
      <c r="E2507" s="154" t="n">
        <v>0.097</v>
      </c>
      <c r="F2507" s="149" t="n">
        <f aca="false">IF(C2507="MAT.",VLOOKUP(A2507,INSUMOS_AUX!$A$3:$H$813,6,0),0)</f>
        <v>0</v>
      </c>
      <c r="G2507" s="149" t="n">
        <f aca="false">IF(C2507="M.O.",VLOOKUP(A2507,INSUMOS_AUX!A:F,6,0),0)</f>
        <v>0</v>
      </c>
    </row>
    <row r="2508" customFormat="false" ht="21" hidden="false" customHeight="false" outlineLevel="0" collapsed="false">
      <c r="A2508" s="154" t="n">
        <v>37373</v>
      </c>
      <c r="B2508" s="155" t="s">
        <v>1448</v>
      </c>
      <c r="C2508" s="148" t="str">
        <f aca="false">VLOOKUP($A2508,INSUMOS_AUX!$A$3:$H$813,3,0)</f>
        <v>MAT.</v>
      </c>
      <c r="D2508" s="156" t="s">
        <v>1444</v>
      </c>
      <c r="E2508" s="154" t="n">
        <v>0.1902</v>
      </c>
      <c r="F2508" s="149" t="n">
        <f aca="false">IF(C2508="MAT.",VLOOKUP(A2508,INSUMOS_AUX!$A$3:$H$813,6,0),0)</f>
        <v>0.08</v>
      </c>
      <c r="G2508" s="149" t="n">
        <f aca="false">IF(C2508="M.O.",VLOOKUP(A2508,INSUMOS_AUX!A:F,6,0),0)</f>
        <v>0</v>
      </c>
    </row>
    <row r="2509" customFormat="false" ht="21" hidden="false" customHeight="false" outlineLevel="0" collapsed="false">
      <c r="A2509" s="154" t="n">
        <v>37371</v>
      </c>
      <c r="B2509" s="155" t="s">
        <v>1449</v>
      </c>
      <c r="C2509" s="148" t="str">
        <f aca="false">VLOOKUP($A2509,INSUMOS_AUX!$A$3:$H$813,3,0)</f>
        <v>MAT.</v>
      </c>
      <c r="D2509" s="156" t="s">
        <v>1444</v>
      </c>
      <c r="E2509" s="154" t="n">
        <v>0.1902</v>
      </c>
      <c r="F2509" s="149" t="n">
        <f aca="false">IF(C2509="MAT.",VLOOKUP(A2509,INSUMOS_AUX!$A$3:$H$813,6,0),0)</f>
        <v>0.59</v>
      </c>
      <c r="G2509" s="149" t="n">
        <f aca="false">IF(C2509="M.O.",VLOOKUP(A2509,INSUMOS_AUX!A:F,6,0),0)</f>
        <v>0</v>
      </c>
    </row>
    <row r="2510" customFormat="false" ht="21" hidden="false" customHeight="false" outlineLevel="0" collapsed="false">
      <c r="A2510" s="154" t="n">
        <v>36487</v>
      </c>
      <c r="B2510" s="155" t="s">
        <v>1526</v>
      </c>
      <c r="C2510" s="148" t="str">
        <f aca="false">VLOOKUP($A2510,INSUMOS_AUX!$A$3:$H$813,3,0)</f>
        <v>MAT.</v>
      </c>
      <c r="D2510" s="156" t="s">
        <v>31</v>
      </c>
      <c r="E2510" s="154" t="n">
        <v>2.2736E-007</v>
      </c>
      <c r="F2510" s="149" t="n">
        <f aca="false">IF(C2510="MAT.",VLOOKUP(A2510,INSUMOS_AUX!$A$3:$H$813,6,0),0)</f>
        <v>6017.74</v>
      </c>
      <c r="G2510" s="149" t="n">
        <f aca="false">IF(C2510="M.O.",VLOOKUP(A2510,INSUMOS_AUX!A:F,6,0),0)</f>
        <v>0</v>
      </c>
    </row>
    <row r="2511" customFormat="false" ht="15" hidden="false" customHeight="false" outlineLevel="0" collapsed="false">
      <c r="A2511" s="154" t="n">
        <v>2705</v>
      </c>
      <c r="B2511" s="155" t="s">
        <v>1467</v>
      </c>
      <c r="C2511" s="148" t="str">
        <f aca="false">VLOOKUP($A2511,INSUMOS_AUX!$A$3:$H$813,3,0)</f>
        <v>MAT.</v>
      </c>
      <c r="D2511" s="156" t="s">
        <v>1468</v>
      </c>
      <c r="E2511" s="154" t="n">
        <v>0.000702</v>
      </c>
      <c r="F2511" s="149" t="n">
        <f aca="false">IF(C2511="MAT.",VLOOKUP(A2511,INSUMOS_AUX!$A$3:$H$813,6,0),0)</f>
        <v>0.92</v>
      </c>
      <c r="G2511" s="149" t="n">
        <f aca="false">IF(C2511="M.O.",VLOOKUP(A2511,INSUMOS_AUX!A:F,6,0),0)</f>
        <v>0</v>
      </c>
    </row>
    <row r="2512" customFormat="false" ht="31.5" hidden="false" customHeight="false" outlineLevel="0" collapsed="false">
      <c r="A2512" s="154" t="n">
        <v>11029</v>
      </c>
      <c r="B2512" s="155" t="s">
        <v>1895</v>
      </c>
      <c r="C2512" s="148" t="str">
        <f aca="false">VLOOKUP($A2512,INSUMOS_AUX!$A$3:$H$813,3,0)</f>
        <v>MAT.</v>
      </c>
      <c r="D2512" s="156" t="s">
        <v>1538</v>
      </c>
      <c r="E2512" s="154" t="n">
        <v>4.15</v>
      </c>
      <c r="F2512" s="149" t="n">
        <f aca="false">IF(C2512="MAT.",VLOOKUP(A2512,INSUMOS_AUX!$A$3:$H$813,6,0),0)</f>
        <v>1.55</v>
      </c>
      <c r="G2512" s="149" t="n">
        <f aca="false">IF(C2512="M.O.",VLOOKUP(A2512,INSUMOS_AUX!A:F,6,0),0)</f>
        <v>0</v>
      </c>
    </row>
    <row r="2513" customFormat="false" ht="31.5" hidden="false" customHeight="false" outlineLevel="0" collapsed="false">
      <c r="A2513" s="154" t="n">
        <v>7243</v>
      </c>
      <c r="B2513" s="155" t="s">
        <v>1898</v>
      </c>
      <c r="C2513" s="148" t="str">
        <f aca="false">VLOOKUP($A2513,INSUMOS_AUX!$A$3:$H$813,3,0)</f>
        <v>MAT.</v>
      </c>
      <c r="D2513" s="156" t="s">
        <v>1477</v>
      </c>
      <c r="E2513" s="154" t="n">
        <v>1.166</v>
      </c>
      <c r="F2513" s="149" t="n">
        <f aca="false">IF(C2513="MAT.",VLOOKUP(A2513,INSUMOS_AUX!$A$3:$H$813,6,0),0)</f>
        <v>35.53</v>
      </c>
      <c r="G2513" s="149" t="n">
        <f aca="false">IF(C2513="M.O.",VLOOKUP(A2513,INSUMOS_AUX!A:F,6,0),0)</f>
        <v>0</v>
      </c>
    </row>
    <row r="2514" customFormat="false" ht="15" hidden="false" customHeight="false" outlineLevel="0" collapsed="false">
      <c r="A2514" s="154" t="n">
        <v>4253</v>
      </c>
      <c r="B2514" s="155" t="s">
        <v>1559</v>
      </c>
      <c r="C2514" s="148" t="str">
        <f aca="false">VLOOKUP($A2514,INSUMOS_AUX!$A$3:$H$813,3,0)</f>
        <v>M.O.</v>
      </c>
      <c r="D2514" s="156" t="s">
        <v>1444</v>
      </c>
      <c r="E2514" s="154" t="n">
        <v>0.002236014</v>
      </c>
      <c r="F2514" s="149" t="n">
        <f aca="false">IF(C2514="MAT.",VLOOKUP(A2514,INSUMOS_AUX!$A$3:$H$813,6,0),0)</f>
        <v>0</v>
      </c>
      <c r="G2514" s="149" t="n">
        <f aca="false">IF(C2514="M.O.",VLOOKUP(A2514,INSUMOS_AUX!A:F,6,0),0)</f>
        <v>10.83</v>
      </c>
    </row>
    <row r="2515" customFormat="false" ht="15" hidden="false" customHeight="false" outlineLevel="0" collapsed="false">
      <c r="A2515" s="154" t="n">
        <v>6111</v>
      </c>
      <c r="B2515" s="155" t="s">
        <v>1464</v>
      </c>
      <c r="C2515" s="148" t="str">
        <f aca="false">VLOOKUP($A2515,INSUMOS_AUX!$A$3:$H$813,3,0)</f>
        <v>M.O.</v>
      </c>
      <c r="D2515" s="156" t="s">
        <v>1444</v>
      </c>
      <c r="E2515" s="154" t="n">
        <v>0.0990564</v>
      </c>
      <c r="F2515" s="149" t="n">
        <f aca="false">IF(C2515="MAT.",VLOOKUP(A2515,INSUMOS_AUX!$A$3:$H$813,6,0),0)</f>
        <v>0</v>
      </c>
      <c r="G2515" s="149" t="n">
        <f aca="false">IF(C2515="M.O.",VLOOKUP(A2515,INSUMOS_AUX!A:F,6,0),0)</f>
        <v>12.95</v>
      </c>
    </row>
    <row r="2516" customFormat="false" ht="15" hidden="false" customHeight="false" outlineLevel="0" collapsed="false">
      <c r="A2516" s="154" t="n">
        <v>12869</v>
      </c>
      <c r="B2516" s="155" t="s">
        <v>1488</v>
      </c>
      <c r="C2516" s="148" t="str">
        <f aca="false">VLOOKUP($A2516,INSUMOS_AUX!$A$3:$H$813,3,0)</f>
        <v>M.O.</v>
      </c>
      <c r="D2516" s="156" t="s">
        <v>1444</v>
      </c>
      <c r="E2516" s="154" t="n">
        <v>0.09205014</v>
      </c>
      <c r="F2516" s="149" t="n">
        <f aca="false">IF(C2516="MAT.",VLOOKUP(A2516,INSUMOS_AUX!$A$3:$H$813,6,0),0)</f>
        <v>0</v>
      </c>
      <c r="G2516" s="149" t="n">
        <f aca="false">IF(C2516="M.O.",VLOOKUP(A2516,INSUMOS_AUX!A:F,6,0),0)</f>
        <v>19.98</v>
      </c>
    </row>
    <row r="2517" customFormat="false" ht="31.5" hidden="false" customHeight="false" outlineLevel="0" collapsed="false">
      <c r="A2517" s="150" t="n">
        <v>94228</v>
      </c>
      <c r="B2517" s="151" t="s">
        <v>1899</v>
      </c>
      <c r="C2517" s="152" t="s">
        <v>59</v>
      </c>
      <c r="D2517" s="152" t="s">
        <v>1455</v>
      </c>
      <c r="E2517" s="150"/>
      <c r="F2517" s="153" t="n">
        <f aca="false">(SUMPRODUCT($E2518:$E2537,F2518:F2537))*1</f>
        <v>52.251899604308</v>
      </c>
      <c r="G2517" s="153" t="n">
        <f aca="false">(SUMPRODUCT($E2518:$E2537,G2518:G2537))*1</f>
        <v>10.85136155205</v>
      </c>
    </row>
    <row r="2518" customFormat="false" ht="21" hidden="false" customHeight="false" outlineLevel="0" collapsed="false">
      <c r="A2518" s="154" t="n">
        <v>37370</v>
      </c>
      <c r="B2518" s="155" t="s">
        <v>1443</v>
      </c>
      <c r="C2518" s="148" t="str">
        <f aca="false">VLOOKUP($A2518,INSUMOS_AUX!$A$3:$H$813,3,0)</f>
        <v>MAT.</v>
      </c>
      <c r="D2518" s="156" t="s">
        <v>1444</v>
      </c>
      <c r="E2518" s="154" t="n">
        <v>0.6795</v>
      </c>
      <c r="F2518" s="149" t="n">
        <f aca="false">IF(C2518="MAT.",VLOOKUP(A2518,INSUMOS_AUX!$A$3:$H$813,6,0),0)</f>
        <v>3.32</v>
      </c>
      <c r="G2518" s="149" t="n">
        <f aca="false">IF(C2518="M.O.",VLOOKUP(A2518,INSUMOS_AUX!A:F,6,0),0)</f>
        <v>0</v>
      </c>
    </row>
    <row r="2519" customFormat="false" ht="21" hidden="false" customHeight="false" outlineLevel="0" collapsed="false">
      <c r="A2519" s="154" t="n">
        <v>43483</v>
      </c>
      <c r="B2519" s="155" t="s">
        <v>1486</v>
      </c>
      <c r="C2519" s="148" t="s">
        <v>59</v>
      </c>
      <c r="D2519" s="156" t="s">
        <v>1444</v>
      </c>
      <c r="E2519" s="154" t="n">
        <v>0.277</v>
      </c>
      <c r="F2519" s="149" t="n">
        <f aca="false">IF(C2519="MAT.",VLOOKUP(A2519,INSUMOS_AUX!$A$3:$H$813,6,0),0)</f>
        <v>0</v>
      </c>
      <c r="G2519" s="149" t="n">
        <f aca="false">IF(C2519="M.O.",VLOOKUP(A2519,INSUMOS_AUX!A:F,6,0),0)</f>
        <v>0</v>
      </c>
    </row>
    <row r="2520" customFormat="false" ht="21" hidden="false" customHeight="false" outlineLevel="0" collapsed="false">
      <c r="A2520" s="154" t="n">
        <v>43488</v>
      </c>
      <c r="B2520" s="155" t="s">
        <v>1445</v>
      </c>
      <c r="C2520" s="148" t="str">
        <f aca="false">VLOOKUP($A2520,INSUMOS_AUX!$A$3:$H$813,3,0)</f>
        <v>MAT.</v>
      </c>
      <c r="D2520" s="156" t="s">
        <v>1444</v>
      </c>
      <c r="E2520" s="154" t="n">
        <v>0.0315</v>
      </c>
      <c r="F2520" s="149" t="n">
        <f aca="false">IF(C2520="MAT.",VLOOKUP(A2520,INSUMOS_AUX!$A$3:$H$813,6,0),0)</f>
        <v>0.89</v>
      </c>
      <c r="G2520" s="149" t="n">
        <f aca="false">IF(C2520="M.O.",VLOOKUP(A2520,INSUMOS_AUX!A:F,6,0),0)</f>
        <v>0</v>
      </c>
    </row>
    <row r="2521" customFormat="false" ht="21" hidden="false" customHeight="false" outlineLevel="0" collapsed="false">
      <c r="A2521" s="154" t="n">
        <v>43491</v>
      </c>
      <c r="B2521" s="155" t="s">
        <v>1457</v>
      </c>
      <c r="C2521" s="148" t="str">
        <f aca="false">VLOOKUP($A2521,INSUMOS_AUX!$A$3:$H$813,3,0)</f>
        <v>MAT.</v>
      </c>
      <c r="D2521" s="156" t="s">
        <v>1444</v>
      </c>
      <c r="E2521" s="154" t="n">
        <v>0.371</v>
      </c>
      <c r="F2521" s="149" t="n">
        <f aca="false">IF(C2521="MAT.",VLOOKUP(A2521,INSUMOS_AUX!$A$3:$H$813,6,0),0)</f>
        <v>1.39</v>
      </c>
      <c r="G2521" s="149" t="n">
        <f aca="false">IF(C2521="M.O.",VLOOKUP(A2521,INSUMOS_AUX!A:F,6,0),0)</f>
        <v>0</v>
      </c>
    </row>
    <row r="2522" customFormat="false" ht="21" hidden="false" customHeight="false" outlineLevel="0" collapsed="false">
      <c r="A2522" s="154" t="n">
        <v>37372</v>
      </c>
      <c r="B2522" s="155" t="s">
        <v>1446</v>
      </c>
      <c r="C2522" s="148" t="str">
        <f aca="false">VLOOKUP($A2522,INSUMOS_AUX!$A$3:$H$813,3,0)</f>
        <v>MAT.</v>
      </c>
      <c r="D2522" s="156" t="s">
        <v>1444</v>
      </c>
      <c r="E2522" s="154" t="n">
        <v>0.6795</v>
      </c>
      <c r="F2522" s="149" t="n">
        <f aca="false">IF(C2522="MAT.",VLOOKUP(A2522,INSUMOS_AUX!$A$3:$H$813,6,0),0)</f>
        <v>1.43</v>
      </c>
      <c r="G2522" s="149" t="n">
        <f aca="false">IF(C2522="M.O.",VLOOKUP(A2522,INSUMOS_AUX!A:F,6,0),0)</f>
        <v>0</v>
      </c>
    </row>
    <row r="2523" customFormat="false" ht="21" hidden="false" customHeight="false" outlineLevel="0" collapsed="false">
      <c r="A2523" s="154" t="n">
        <v>43459</v>
      </c>
      <c r="B2523" s="155" t="s">
        <v>1487</v>
      </c>
      <c r="C2523" s="148" t="str">
        <f aca="false">VLOOKUP($A2523,INSUMOS_AUX!$A$3:$H$813,3,0)</f>
        <v>MAT.</v>
      </c>
      <c r="D2523" s="156" t="s">
        <v>1444</v>
      </c>
      <c r="E2523" s="154" t="n">
        <v>0.277</v>
      </c>
      <c r="F2523" s="149" t="n">
        <f aca="false">IF(C2523="MAT.",VLOOKUP(A2523,INSUMOS_AUX!$A$3:$H$813,6,0),0)</f>
        <v>0.44</v>
      </c>
      <c r="G2523" s="149" t="n">
        <f aca="false">IF(C2523="M.O.",VLOOKUP(A2523,INSUMOS_AUX!A:F,6,0),0)</f>
        <v>0</v>
      </c>
    </row>
    <row r="2524" customFormat="false" ht="21" hidden="false" customHeight="false" outlineLevel="0" collapsed="false">
      <c r="A2524" s="154" t="n">
        <v>43464</v>
      </c>
      <c r="B2524" s="155" t="s">
        <v>1447</v>
      </c>
      <c r="C2524" s="148" t="str">
        <f aca="false">VLOOKUP($A2524,INSUMOS_AUX!$A$3:$H$813,3,0)</f>
        <v>MAT.</v>
      </c>
      <c r="D2524" s="156" t="s">
        <v>1444</v>
      </c>
      <c r="E2524" s="154" t="n">
        <v>0.0315</v>
      </c>
      <c r="F2524" s="149" t="n">
        <f aca="false">IF(C2524="MAT.",VLOOKUP(A2524,INSUMOS_AUX!$A$3:$H$813,6,0),0)</f>
        <v>0.01</v>
      </c>
      <c r="G2524" s="149" t="n">
        <f aca="false">IF(C2524="M.O.",VLOOKUP(A2524,INSUMOS_AUX!A:F,6,0),0)</f>
        <v>0</v>
      </c>
    </row>
    <row r="2525" customFormat="false" ht="21" hidden="false" customHeight="false" outlineLevel="0" collapsed="false">
      <c r="A2525" s="154" t="n">
        <v>43467</v>
      </c>
      <c r="B2525" s="155" t="s">
        <v>1459</v>
      </c>
      <c r="C2525" s="148" t="str">
        <f aca="false">VLOOKUP($A2525,INSUMOS_AUX!$A$3:$H$813,3,0)</f>
        <v>MAT.</v>
      </c>
      <c r="D2525" s="156" t="s">
        <v>1444</v>
      </c>
      <c r="E2525" s="154" t="n">
        <v>0.371</v>
      </c>
      <c r="F2525" s="149" t="n">
        <f aca="false">IF(C2525="MAT.",VLOOKUP(A2525,INSUMOS_AUX!$A$3:$H$813,6,0),0)</f>
        <v>0.61</v>
      </c>
      <c r="G2525" s="149" t="n">
        <f aca="false">IF(C2525="M.O.",VLOOKUP(A2525,INSUMOS_AUX!A:F,6,0),0)</f>
        <v>0</v>
      </c>
    </row>
    <row r="2526" customFormat="false" ht="21" hidden="false" customHeight="false" outlineLevel="0" collapsed="false">
      <c r="A2526" s="154" t="n">
        <v>37373</v>
      </c>
      <c r="B2526" s="155" t="s">
        <v>1448</v>
      </c>
      <c r="C2526" s="148" t="str">
        <f aca="false">VLOOKUP($A2526,INSUMOS_AUX!$A$3:$H$813,3,0)</f>
        <v>MAT.</v>
      </c>
      <c r="D2526" s="156" t="s">
        <v>1444</v>
      </c>
      <c r="E2526" s="154" t="n">
        <v>0.6795</v>
      </c>
      <c r="F2526" s="149" t="n">
        <f aca="false">IF(C2526="MAT.",VLOOKUP(A2526,INSUMOS_AUX!$A$3:$H$813,6,0),0)</f>
        <v>0.08</v>
      </c>
      <c r="G2526" s="149" t="n">
        <f aca="false">IF(C2526="M.O.",VLOOKUP(A2526,INSUMOS_AUX!A:F,6,0),0)</f>
        <v>0</v>
      </c>
    </row>
    <row r="2527" customFormat="false" ht="21" hidden="false" customHeight="false" outlineLevel="0" collapsed="false">
      <c r="A2527" s="154" t="n">
        <v>37371</v>
      </c>
      <c r="B2527" s="155" t="s">
        <v>1449</v>
      </c>
      <c r="C2527" s="148" t="str">
        <f aca="false">VLOOKUP($A2527,INSUMOS_AUX!$A$3:$H$813,3,0)</f>
        <v>MAT.</v>
      </c>
      <c r="D2527" s="156" t="s">
        <v>1444</v>
      </c>
      <c r="E2527" s="154" t="n">
        <v>0.6795</v>
      </c>
      <c r="F2527" s="149" t="n">
        <f aca="false">IF(C2527="MAT.",VLOOKUP(A2527,INSUMOS_AUX!$A$3:$H$813,6,0),0)</f>
        <v>0.59</v>
      </c>
      <c r="G2527" s="149" t="n">
        <f aca="false">IF(C2527="M.O.",VLOOKUP(A2527,INSUMOS_AUX!A:F,6,0),0)</f>
        <v>0</v>
      </c>
    </row>
    <row r="2528" customFormat="false" ht="21" hidden="false" customHeight="false" outlineLevel="0" collapsed="false">
      <c r="A2528" s="154" t="n">
        <v>36487</v>
      </c>
      <c r="B2528" s="155" t="s">
        <v>1526</v>
      </c>
      <c r="C2528" s="148" t="str">
        <f aca="false">VLOOKUP($A2528,INSUMOS_AUX!$A$3:$H$813,3,0)</f>
        <v>MAT.</v>
      </c>
      <c r="D2528" s="156" t="s">
        <v>31</v>
      </c>
      <c r="E2528" s="154" t="n">
        <v>3.2742E-006</v>
      </c>
      <c r="F2528" s="149" t="n">
        <f aca="false">IF(C2528="MAT.",VLOOKUP(A2528,INSUMOS_AUX!$A$3:$H$813,6,0),0)</f>
        <v>6017.74</v>
      </c>
      <c r="G2528" s="149" t="n">
        <f aca="false">IF(C2528="M.O.",VLOOKUP(A2528,INSUMOS_AUX!A:F,6,0),0)</f>
        <v>0</v>
      </c>
    </row>
    <row r="2529" customFormat="false" ht="15" hidden="false" customHeight="false" outlineLevel="0" collapsed="false">
      <c r="A2529" s="154" t="n">
        <v>2705</v>
      </c>
      <c r="B2529" s="155" t="s">
        <v>1467</v>
      </c>
      <c r="C2529" s="148" t="str">
        <f aca="false">VLOOKUP($A2529,INSUMOS_AUX!$A$3:$H$813,3,0)</f>
        <v>MAT.</v>
      </c>
      <c r="D2529" s="156" t="s">
        <v>1468</v>
      </c>
      <c r="E2529" s="154" t="n">
        <v>0.010296</v>
      </c>
      <c r="F2529" s="149" t="n">
        <f aca="false">IF(C2529="MAT.",VLOOKUP(A2529,INSUMOS_AUX!$A$3:$H$813,6,0),0)</f>
        <v>0.92</v>
      </c>
      <c r="G2529" s="149" t="n">
        <f aca="false">IF(C2529="M.O.",VLOOKUP(A2529,INSUMOS_AUX!A:F,6,0),0)</f>
        <v>0</v>
      </c>
    </row>
    <row r="2530" customFormat="false" ht="21" hidden="false" customHeight="false" outlineLevel="0" collapsed="false">
      <c r="A2530" s="154" t="n">
        <v>40783</v>
      </c>
      <c r="B2530" s="155" t="s">
        <v>1900</v>
      </c>
      <c r="C2530" s="148" t="str">
        <f aca="false">VLOOKUP($A2530,INSUMOS_AUX!$A$3:$H$813,3,0)</f>
        <v>MAT.</v>
      </c>
      <c r="D2530" s="156" t="s">
        <v>1455</v>
      </c>
      <c r="E2530" s="154" t="n">
        <v>1.05</v>
      </c>
      <c r="F2530" s="149" t="n">
        <f aca="false">IF(C2530="MAT.",VLOOKUP(A2530,INSUMOS_AUX!$A$3:$H$813,6,0),0)</f>
        <v>42.45</v>
      </c>
      <c r="G2530" s="149" t="n">
        <f aca="false">IF(C2530="M.O.",VLOOKUP(A2530,INSUMOS_AUX!A:F,6,0),0)</f>
        <v>0</v>
      </c>
    </row>
    <row r="2531" customFormat="false" ht="15" hidden="false" customHeight="false" outlineLevel="0" collapsed="false">
      <c r="A2531" s="154" t="n">
        <v>5061</v>
      </c>
      <c r="B2531" s="155" t="s">
        <v>1901</v>
      </c>
      <c r="C2531" s="148" t="str">
        <f aca="false">VLOOKUP($A2531,INSUMOS_AUX!$A$3:$H$813,3,0)</f>
        <v>MAT.</v>
      </c>
      <c r="D2531" s="156" t="s">
        <v>1513</v>
      </c>
      <c r="E2531" s="154" t="n">
        <v>0.013</v>
      </c>
      <c r="F2531" s="149" t="n">
        <f aca="false">IF(C2531="MAT.",VLOOKUP(A2531,INSUMOS_AUX!$A$3:$H$813,6,0),0)</f>
        <v>20</v>
      </c>
      <c r="G2531" s="149" t="n">
        <f aca="false">IF(C2531="M.O.",VLOOKUP(A2531,INSUMOS_AUX!A:F,6,0),0)</f>
        <v>0</v>
      </c>
    </row>
    <row r="2532" customFormat="false" ht="21" hidden="false" customHeight="false" outlineLevel="0" collapsed="false">
      <c r="A2532" s="154" t="n">
        <v>5104</v>
      </c>
      <c r="B2532" s="155" t="s">
        <v>1902</v>
      </c>
      <c r="C2532" s="148" t="str">
        <f aca="false">VLOOKUP($A2532,INSUMOS_AUX!$A$3:$H$813,3,0)</f>
        <v>MAT.</v>
      </c>
      <c r="D2532" s="156" t="s">
        <v>1513</v>
      </c>
      <c r="E2532" s="154" t="n">
        <v>0.0024</v>
      </c>
      <c r="F2532" s="149" t="n">
        <f aca="false">IF(C2532="MAT.",VLOOKUP(A2532,INSUMOS_AUX!$A$3:$H$813,6,0),0)</f>
        <v>74.06</v>
      </c>
      <c r="G2532" s="149" t="n">
        <f aca="false">IF(C2532="M.O.",VLOOKUP(A2532,INSUMOS_AUX!A:F,6,0),0)</f>
        <v>0</v>
      </c>
    </row>
    <row r="2533" customFormat="false" ht="21" hidden="false" customHeight="false" outlineLevel="0" collapsed="false">
      <c r="A2533" s="154" t="n">
        <v>142</v>
      </c>
      <c r="B2533" s="155" t="s">
        <v>1870</v>
      </c>
      <c r="C2533" s="148" t="str">
        <f aca="false">VLOOKUP($A2533,INSUMOS_AUX!$A$3:$H$813,3,0)</f>
        <v>MAT.</v>
      </c>
      <c r="D2533" s="156" t="s">
        <v>1871</v>
      </c>
      <c r="E2533" s="154" t="n">
        <v>0.081</v>
      </c>
      <c r="F2533" s="149" t="n">
        <f aca="false">IF(C2533="MAT.",VLOOKUP(A2533,INSUMOS_AUX!$A$3:$H$813,6,0),0)</f>
        <v>32.56</v>
      </c>
      <c r="G2533" s="149" t="n">
        <f aca="false">IF(C2533="M.O.",VLOOKUP(A2533,INSUMOS_AUX!A:F,6,0),0)</f>
        <v>0</v>
      </c>
    </row>
    <row r="2534" customFormat="false" ht="15" hidden="false" customHeight="false" outlineLevel="0" collapsed="false">
      <c r="A2534" s="154" t="n">
        <v>13388</v>
      </c>
      <c r="B2534" s="155" t="s">
        <v>1903</v>
      </c>
      <c r="C2534" s="148" t="s">
        <v>59</v>
      </c>
      <c r="D2534" s="156" t="s">
        <v>1513</v>
      </c>
      <c r="E2534" s="154" t="n">
        <v>0.09</v>
      </c>
      <c r="F2534" s="149" t="n">
        <f aca="false">IF(C2534="MAT.",VLOOKUP(A2534,INSUMOS_AUX!$A$3:$H$813,6,0),0)</f>
        <v>0</v>
      </c>
      <c r="G2534" s="149" t="n">
        <f aca="false">IF(C2534="M.O.",VLOOKUP(A2534,INSUMOS_AUX!A:F,6,0),0)</f>
        <v>0</v>
      </c>
    </row>
    <row r="2535" customFormat="false" ht="15" hidden="false" customHeight="false" outlineLevel="0" collapsed="false">
      <c r="A2535" s="154" t="n">
        <v>4253</v>
      </c>
      <c r="B2535" s="155" t="s">
        <v>1559</v>
      </c>
      <c r="C2535" s="148" t="str">
        <f aca="false">VLOOKUP($A2535,INSUMOS_AUX!$A$3:$H$813,3,0)</f>
        <v>M.O.</v>
      </c>
      <c r="D2535" s="156" t="s">
        <v>1444</v>
      </c>
      <c r="E2535" s="154" t="n">
        <v>0.032015655</v>
      </c>
      <c r="F2535" s="149" t="n">
        <f aca="false">IF(C2535="MAT.",VLOOKUP(A2535,INSUMOS_AUX!$A$3:$H$813,6,0),0)</f>
        <v>0</v>
      </c>
      <c r="G2535" s="149" t="n">
        <f aca="false">IF(C2535="M.O.",VLOOKUP(A2535,INSUMOS_AUX!A:F,6,0),0)</f>
        <v>10.83</v>
      </c>
    </row>
    <row r="2536" customFormat="false" ht="15" hidden="false" customHeight="false" outlineLevel="0" collapsed="false">
      <c r="A2536" s="154" t="n">
        <v>6111</v>
      </c>
      <c r="B2536" s="155" t="s">
        <v>1464</v>
      </c>
      <c r="C2536" s="148" t="str">
        <f aca="false">VLOOKUP($A2536,INSUMOS_AUX!$A$3:$H$813,3,0)</f>
        <v>M.O.</v>
      </c>
      <c r="D2536" s="156" t="s">
        <v>1444</v>
      </c>
      <c r="E2536" s="154" t="n">
        <v>0.3788652</v>
      </c>
      <c r="F2536" s="149" t="n">
        <f aca="false">IF(C2536="MAT.",VLOOKUP(A2536,INSUMOS_AUX!$A$3:$H$813,6,0),0)</f>
        <v>0</v>
      </c>
      <c r="G2536" s="149" t="n">
        <f aca="false">IF(C2536="M.O.",VLOOKUP(A2536,INSUMOS_AUX!A:F,6,0),0)</f>
        <v>12.95</v>
      </c>
    </row>
    <row r="2537" customFormat="false" ht="15" hidden="false" customHeight="false" outlineLevel="0" collapsed="false">
      <c r="A2537" s="154" t="n">
        <v>12869</v>
      </c>
      <c r="B2537" s="155" t="s">
        <v>1488</v>
      </c>
      <c r="C2537" s="148" t="str">
        <f aca="false">VLOOKUP($A2537,INSUMOS_AUX!$A$3:$H$813,3,0)</f>
        <v>M.O.</v>
      </c>
      <c r="D2537" s="156" t="s">
        <v>1444</v>
      </c>
      <c r="E2537" s="154" t="n">
        <v>0.28019658</v>
      </c>
      <c r="F2537" s="149" t="n">
        <f aca="false">IF(C2537="MAT.",VLOOKUP(A2537,INSUMOS_AUX!$A$3:$H$813,6,0),0)</f>
        <v>0</v>
      </c>
      <c r="G2537" s="149" t="n">
        <f aca="false">IF(C2537="M.O.",VLOOKUP(A2537,INSUMOS_AUX!A:F,6,0),0)</f>
        <v>19.98</v>
      </c>
    </row>
    <row r="2538" customFormat="false" ht="15" hidden="false" customHeight="false" outlineLevel="0" collapsed="false">
      <c r="A2538" s="150" t="n">
        <v>101979</v>
      </c>
      <c r="B2538" s="151" t="s">
        <v>1904</v>
      </c>
      <c r="C2538" s="152" t="s">
        <v>59</v>
      </c>
      <c r="D2538" s="152" t="s">
        <v>1455</v>
      </c>
      <c r="E2538" s="150"/>
      <c r="F2538" s="153" t="n">
        <f aca="false">(SUMPRODUCT($E2539:$E2551,F2539:F2551))*1</f>
        <v>31.42989</v>
      </c>
      <c r="G2538" s="153" t="n">
        <f aca="false">(SUMPRODUCT($E2539:$E2551,G2539:G2551))*1</f>
        <v>4.886319456</v>
      </c>
    </row>
    <row r="2539" customFormat="false" ht="21" hidden="false" customHeight="false" outlineLevel="0" collapsed="false">
      <c r="A2539" s="154" t="n">
        <v>37370</v>
      </c>
      <c r="B2539" s="155" t="s">
        <v>1443</v>
      </c>
      <c r="C2539" s="148" t="str">
        <f aca="false">VLOOKUP($A2539,INSUMOS_AUX!$A$3:$H$813,3,0)</f>
        <v>MAT.</v>
      </c>
      <c r="D2539" s="156" t="s">
        <v>1444</v>
      </c>
      <c r="E2539" s="154" t="n">
        <v>0.269</v>
      </c>
      <c r="F2539" s="149" t="n">
        <f aca="false">IF(C2539="MAT.",VLOOKUP(A2539,INSUMOS_AUX!$A$3:$H$813,6,0),0)</f>
        <v>3.32</v>
      </c>
      <c r="G2539" s="149" t="n">
        <f aca="false">IF(C2539="M.O.",VLOOKUP(A2539,INSUMOS_AUX!A:F,6,0),0)</f>
        <v>0</v>
      </c>
    </row>
    <row r="2540" customFormat="false" ht="21" hidden="false" customHeight="false" outlineLevel="0" collapsed="false">
      <c r="A2540" s="154" t="n">
        <v>43489</v>
      </c>
      <c r="B2540" s="155" t="s">
        <v>1456</v>
      </c>
      <c r="C2540" s="148" t="str">
        <f aca="false">VLOOKUP($A2540,INSUMOS_AUX!$A$3:$H$813,3,0)</f>
        <v>MAT.</v>
      </c>
      <c r="D2540" s="156" t="s">
        <v>1444</v>
      </c>
      <c r="E2540" s="154" t="n">
        <v>0.179</v>
      </c>
      <c r="F2540" s="149" t="n">
        <f aca="false">IF(C2540="MAT.",VLOOKUP(A2540,INSUMOS_AUX!$A$3:$H$813,6,0),0)</f>
        <v>1.31</v>
      </c>
      <c r="G2540" s="149" t="n">
        <f aca="false">IF(C2540="M.O.",VLOOKUP(A2540,INSUMOS_AUX!A:F,6,0),0)</f>
        <v>0</v>
      </c>
    </row>
    <row r="2541" customFormat="false" ht="21" hidden="false" customHeight="false" outlineLevel="0" collapsed="false">
      <c r="A2541" s="154" t="n">
        <v>43491</v>
      </c>
      <c r="B2541" s="155" t="s">
        <v>1457</v>
      </c>
      <c r="C2541" s="148" t="str">
        <f aca="false">VLOOKUP($A2541,INSUMOS_AUX!$A$3:$H$813,3,0)</f>
        <v>MAT.</v>
      </c>
      <c r="D2541" s="156" t="s">
        <v>1444</v>
      </c>
      <c r="E2541" s="154" t="n">
        <v>0.09</v>
      </c>
      <c r="F2541" s="149" t="n">
        <f aca="false">IF(C2541="MAT.",VLOOKUP(A2541,INSUMOS_AUX!$A$3:$H$813,6,0),0)</f>
        <v>1.39</v>
      </c>
      <c r="G2541" s="149" t="n">
        <f aca="false">IF(C2541="M.O.",VLOOKUP(A2541,INSUMOS_AUX!A:F,6,0),0)</f>
        <v>0</v>
      </c>
    </row>
    <row r="2542" customFormat="false" ht="21" hidden="false" customHeight="false" outlineLevel="0" collapsed="false">
      <c r="A2542" s="154" t="n">
        <v>37372</v>
      </c>
      <c r="B2542" s="155" t="s">
        <v>1446</v>
      </c>
      <c r="C2542" s="148" t="str">
        <f aca="false">VLOOKUP($A2542,INSUMOS_AUX!$A$3:$H$813,3,0)</f>
        <v>MAT.</v>
      </c>
      <c r="D2542" s="156" t="s">
        <v>1444</v>
      </c>
      <c r="E2542" s="154" t="n">
        <v>0.269</v>
      </c>
      <c r="F2542" s="149" t="n">
        <f aca="false">IF(C2542="MAT.",VLOOKUP(A2542,INSUMOS_AUX!$A$3:$H$813,6,0),0)</f>
        <v>1.43</v>
      </c>
      <c r="G2542" s="149" t="n">
        <f aca="false">IF(C2542="M.O.",VLOOKUP(A2542,INSUMOS_AUX!A:F,6,0),0)</f>
        <v>0</v>
      </c>
    </row>
    <row r="2543" customFormat="false" ht="21" hidden="false" customHeight="false" outlineLevel="0" collapsed="false">
      <c r="A2543" s="154" t="n">
        <v>43465</v>
      </c>
      <c r="B2543" s="155" t="s">
        <v>1458</v>
      </c>
      <c r="C2543" s="148" t="str">
        <f aca="false">VLOOKUP($A2543,INSUMOS_AUX!$A$3:$H$813,3,0)</f>
        <v>MAT.</v>
      </c>
      <c r="D2543" s="156" t="s">
        <v>1444</v>
      </c>
      <c r="E2543" s="154" t="n">
        <v>0.179</v>
      </c>
      <c r="F2543" s="149" t="n">
        <f aca="false">IF(C2543="MAT.",VLOOKUP(A2543,INSUMOS_AUX!$A$3:$H$813,6,0),0)</f>
        <v>0.78</v>
      </c>
      <c r="G2543" s="149" t="n">
        <f aca="false">IF(C2543="M.O.",VLOOKUP(A2543,INSUMOS_AUX!A:F,6,0),0)</f>
        <v>0</v>
      </c>
    </row>
    <row r="2544" customFormat="false" ht="21" hidden="false" customHeight="false" outlineLevel="0" collapsed="false">
      <c r="A2544" s="154" t="n">
        <v>43467</v>
      </c>
      <c r="B2544" s="155" t="s">
        <v>1459</v>
      </c>
      <c r="C2544" s="148" t="str">
        <f aca="false">VLOOKUP($A2544,INSUMOS_AUX!$A$3:$H$813,3,0)</f>
        <v>MAT.</v>
      </c>
      <c r="D2544" s="156" t="s">
        <v>1444</v>
      </c>
      <c r="E2544" s="154" t="n">
        <v>0.09</v>
      </c>
      <c r="F2544" s="149" t="n">
        <f aca="false">IF(C2544="MAT.",VLOOKUP(A2544,INSUMOS_AUX!$A$3:$H$813,6,0),0)</f>
        <v>0.61</v>
      </c>
      <c r="G2544" s="149" t="n">
        <f aca="false">IF(C2544="M.O.",VLOOKUP(A2544,INSUMOS_AUX!A:F,6,0),0)</f>
        <v>0</v>
      </c>
    </row>
    <row r="2545" customFormat="false" ht="21" hidden="false" customHeight="false" outlineLevel="0" collapsed="false">
      <c r="A2545" s="154" t="n">
        <v>37373</v>
      </c>
      <c r="B2545" s="155" t="s">
        <v>1448</v>
      </c>
      <c r="C2545" s="148" t="str">
        <f aca="false">VLOOKUP($A2545,INSUMOS_AUX!$A$3:$H$813,3,0)</f>
        <v>MAT.</v>
      </c>
      <c r="D2545" s="156" t="s">
        <v>1444</v>
      </c>
      <c r="E2545" s="154" t="n">
        <v>0.269</v>
      </c>
      <c r="F2545" s="149" t="n">
        <f aca="false">IF(C2545="MAT.",VLOOKUP(A2545,INSUMOS_AUX!$A$3:$H$813,6,0),0)</f>
        <v>0.08</v>
      </c>
      <c r="G2545" s="149" t="n">
        <f aca="false">IF(C2545="M.O.",VLOOKUP(A2545,INSUMOS_AUX!A:F,6,0),0)</f>
        <v>0</v>
      </c>
    </row>
    <row r="2546" customFormat="false" ht="21" hidden="false" customHeight="false" outlineLevel="0" collapsed="false">
      <c r="A2546" s="154" t="n">
        <v>37371</v>
      </c>
      <c r="B2546" s="155" t="s">
        <v>1449</v>
      </c>
      <c r="C2546" s="148" t="str">
        <f aca="false">VLOOKUP($A2546,INSUMOS_AUX!$A$3:$H$813,3,0)</f>
        <v>MAT.</v>
      </c>
      <c r="D2546" s="156" t="s">
        <v>1444</v>
      </c>
      <c r="E2546" s="154" t="n">
        <v>0.269</v>
      </c>
      <c r="F2546" s="149" t="n">
        <f aca="false">IF(C2546="MAT.",VLOOKUP(A2546,INSUMOS_AUX!$A$3:$H$813,6,0),0)</f>
        <v>0.59</v>
      </c>
      <c r="G2546" s="149" t="n">
        <f aca="false">IF(C2546="M.O.",VLOOKUP(A2546,INSUMOS_AUX!A:F,6,0),0)</f>
        <v>0</v>
      </c>
    </row>
    <row r="2547" customFormat="false" ht="31.5" hidden="false" customHeight="false" outlineLevel="0" collapsed="false">
      <c r="A2547" s="154" t="n">
        <v>11950</v>
      </c>
      <c r="B2547" s="155" t="s">
        <v>1774</v>
      </c>
      <c r="C2547" s="148" t="str">
        <f aca="false">VLOOKUP($A2547,INSUMOS_AUX!$A$3:$H$813,3,0)</f>
        <v>MAT.</v>
      </c>
      <c r="D2547" s="156" t="s">
        <v>31</v>
      </c>
      <c r="E2547" s="154" t="n">
        <v>1.33</v>
      </c>
      <c r="F2547" s="149" t="n">
        <f aca="false">IF(C2547="MAT.",VLOOKUP(A2547,INSUMOS_AUX!$A$3:$H$813,6,0),0)</f>
        <v>0.26</v>
      </c>
      <c r="G2547" s="149" t="n">
        <f aca="false">IF(C2547="M.O.",VLOOKUP(A2547,INSUMOS_AUX!A:F,6,0),0)</f>
        <v>0</v>
      </c>
    </row>
    <row r="2548" customFormat="false" ht="21" hidden="false" customHeight="false" outlineLevel="0" collapsed="false">
      <c r="A2548" s="154" t="n">
        <v>1113</v>
      </c>
      <c r="B2548" s="155" t="s">
        <v>1905</v>
      </c>
      <c r="C2548" s="148" t="str">
        <f aca="false">VLOOKUP($A2548,INSUMOS_AUX!$A$3:$H$813,3,0)</f>
        <v>MAT.</v>
      </c>
      <c r="D2548" s="156" t="s">
        <v>1455</v>
      </c>
      <c r="E2548" s="154" t="n">
        <v>1.15</v>
      </c>
      <c r="F2548" s="149" t="n">
        <f aca="false">IF(C2548="MAT.",VLOOKUP(A2548,INSUMOS_AUX!$A$3:$H$813,6,0),0)</f>
        <v>25.28</v>
      </c>
      <c r="G2548" s="149" t="n">
        <f aca="false">IF(C2548="M.O.",VLOOKUP(A2548,INSUMOS_AUX!A:F,6,0),0)</f>
        <v>0</v>
      </c>
    </row>
    <row r="2549" customFormat="false" ht="21" hidden="false" customHeight="false" outlineLevel="0" collapsed="false">
      <c r="A2549" s="154" t="n">
        <v>142</v>
      </c>
      <c r="B2549" s="155" t="s">
        <v>1870</v>
      </c>
      <c r="C2549" s="148" t="s">
        <v>59</v>
      </c>
      <c r="D2549" s="156" t="s">
        <v>1871</v>
      </c>
      <c r="E2549" s="154" t="n">
        <v>0.092</v>
      </c>
      <c r="F2549" s="149" t="n">
        <f aca="false">IF(C2549="MAT.",VLOOKUP(A2549,INSUMOS_AUX!$A$3:$H$813,6,0),0)</f>
        <v>0</v>
      </c>
      <c r="G2549" s="149" t="n">
        <f aca="false">IF(C2549="M.O.",VLOOKUP(A2549,INSUMOS_AUX!A:F,6,0),0)</f>
        <v>0</v>
      </c>
    </row>
    <row r="2550" customFormat="false" ht="15" hidden="false" customHeight="false" outlineLevel="0" collapsed="false">
      <c r="A2550" s="154" t="n">
        <v>4750</v>
      </c>
      <c r="B2550" s="155" t="s">
        <v>1463</v>
      </c>
      <c r="C2550" s="148" t="str">
        <f aca="false">VLOOKUP($A2550,INSUMOS_AUX!$A$3:$H$813,3,0)</f>
        <v>M.O.</v>
      </c>
      <c r="D2550" s="156" t="s">
        <v>1444</v>
      </c>
      <c r="E2550" s="154" t="n">
        <v>0.1827948</v>
      </c>
      <c r="F2550" s="149" t="n">
        <f aca="false">IF(C2550="MAT.",VLOOKUP(A2550,INSUMOS_AUX!$A$3:$H$813,6,0),0)</f>
        <v>0</v>
      </c>
      <c r="G2550" s="149" t="n">
        <f aca="false">IF(C2550="M.O.",VLOOKUP(A2550,INSUMOS_AUX!A:F,6,0),0)</f>
        <v>20.22</v>
      </c>
    </row>
    <row r="2551" customFormat="false" ht="15" hidden="false" customHeight="false" outlineLevel="0" collapsed="false">
      <c r="A2551" s="154" t="n">
        <v>6111</v>
      </c>
      <c r="B2551" s="155" t="s">
        <v>1464</v>
      </c>
      <c r="C2551" s="148" t="str">
        <f aca="false">VLOOKUP($A2551,INSUMOS_AUX!$A$3:$H$813,3,0)</f>
        <v>M.O.</v>
      </c>
      <c r="D2551" s="156" t="s">
        <v>1444</v>
      </c>
      <c r="E2551" s="154" t="n">
        <v>0.091908</v>
      </c>
      <c r="F2551" s="149" t="n">
        <f aca="false">IF(C2551="MAT.",VLOOKUP(A2551,INSUMOS_AUX!$A$3:$H$813,6,0),0)</f>
        <v>0</v>
      </c>
      <c r="G2551" s="149" t="n">
        <f aca="false">IF(C2551="M.O.",VLOOKUP(A2551,INSUMOS_AUX!A:F,6,0),0)</f>
        <v>12.95</v>
      </c>
    </row>
    <row r="2552" customFormat="false" ht="21" hidden="false" customHeight="false" outlineLevel="0" collapsed="false">
      <c r="A2552" s="150" t="n">
        <v>100327</v>
      </c>
      <c r="B2552" s="151" t="s">
        <v>1906</v>
      </c>
      <c r="C2552" s="152" t="s">
        <v>59</v>
      </c>
      <c r="D2552" s="152" t="s">
        <v>1455</v>
      </c>
      <c r="E2552" s="150"/>
      <c r="F2552" s="153" t="n">
        <f aca="false">(SUMPRODUCT($E2553:$E2572,F2553:F2572))*1</f>
        <v>43.711461604308</v>
      </c>
      <c r="G2552" s="153" t="n">
        <f aca="false">(SUMPRODUCT($E2553:$E2572,G2553:G2572))*1</f>
        <v>6.43792713765</v>
      </c>
    </row>
    <row r="2553" customFormat="false" ht="21" hidden="false" customHeight="false" outlineLevel="0" collapsed="false">
      <c r="A2553" s="154" t="n">
        <v>37370</v>
      </c>
      <c r="B2553" s="155" t="s">
        <v>1443</v>
      </c>
      <c r="C2553" s="148" t="str">
        <f aca="false">VLOOKUP($A2553,INSUMOS_AUX!$A$3:$H$813,3,0)</f>
        <v>MAT.</v>
      </c>
      <c r="D2553" s="156" t="s">
        <v>1444</v>
      </c>
      <c r="E2553" s="154" t="n">
        <v>0.4155</v>
      </c>
      <c r="F2553" s="149" t="n">
        <f aca="false">IF(C2553="MAT.",VLOOKUP(A2553,INSUMOS_AUX!$A$3:$H$813,6,0),0)</f>
        <v>3.32</v>
      </c>
      <c r="G2553" s="149" t="n">
        <f aca="false">IF(C2553="M.O.",VLOOKUP(A2553,INSUMOS_AUX!A:F,6,0),0)</f>
        <v>0</v>
      </c>
    </row>
    <row r="2554" customFormat="false" ht="21" hidden="false" customHeight="false" outlineLevel="0" collapsed="false">
      <c r="A2554" s="154" t="n">
        <v>43483</v>
      </c>
      <c r="B2554" s="155" t="s">
        <v>1486</v>
      </c>
      <c r="C2554" s="148" t="str">
        <f aca="false">VLOOKUP($A2554,INSUMOS_AUX!$A$3:$H$813,3,0)</f>
        <v>MAT.</v>
      </c>
      <c r="D2554" s="156" t="s">
        <v>1444</v>
      </c>
      <c r="E2554" s="154" t="n">
        <v>0.145</v>
      </c>
      <c r="F2554" s="149" t="n">
        <f aca="false">IF(C2554="MAT.",VLOOKUP(A2554,INSUMOS_AUX!$A$3:$H$813,6,0),0)</f>
        <v>1.43</v>
      </c>
      <c r="G2554" s="149" t="n">
        <f aca="false">IF(C2554="M.O.",VLOOKUP(A2554,INSUMOS_AUX!A:F,6,0),0)</f>
        <v>0</v>
      </c>
    </row>
    <row r="2555" customFormat="false" ht="21" hidden="false" customHeight="false" outlineLevel="0" collapsed="false">
      <c r="A2555" s="154" t="n">
        <v>43488</v>
      </c>
      <c r="B2555" s="155" t="s">
        <v>1445</v>
      </c>
      <c r="C2555" s="148" t="str">
        <f aca="false">VLOOKUP($A2555,INSUMOS_AUX!$A$3:$H$813,3,0)</f>
        <v>MAT.</v>
      </c>
      <c r="D2555" s="156" t="s">
        <v>1444</v>
      </c>
      <c r="E2555" s="154" t="n">
        <v>0.0315</v>
      </c>
      <c r="F2555" s="149" t="n">
        <f aca="false">IF(C2555="MAT.",VLOOKUP(A2555,INSUMOS_AUX!$A$3:$H$813,6,0),0)</f>
        <v>0.89</v>
      </c>
      <c r="G2555" s="149" t="n">
        <f aca="false">IF(C2555="M.O.",VLOOKUP(A2555,INSUMOS_AUX!A:F,6,0),0)</f>
        <v>0</v>
      </c>
    </row>
    <row r="2556" customFormat="false" ht="21" hidden="false" customHeight="false" outlineLevel="0" collapsed="false">
      <c r="A2556" s="154" t="n">
        <v>43491</v>
      </c>
      <c r="B2556" s="155" t="s">
        <v>1457</v>
      </c>
      <c r="C2556" s="148" t="str">
        <f aca="false">VLOOKUP($A2556,INSUMOS_AUX!$A$3:$H$813,3,0)</f>
        <v>MAT.</v>
      </c>
      <c r="D2556" s="156" t="s">
        <v>1444</v>
      </c>
      <c r="E2556" s="154" t="n">
        <v>0.239</v>
      </c>
      <c r="F2556" s="149" t="n">
        <f aca="false">IF(C2556="MAT.",VLOOKUP(A2556,INSUMOS_AUX!$A$3:$H$813,6,0),0)</f>
        <v>1.39</v>
      </c>
      <c r="G2556" s="149" t="n">
        <f aca="false">IF(C2556="M.O.",VLOOKUP(A2556,INSUMOS_AUX!A:F,6,0),0)</f>
        <v>0</v>
      </c>
    </row>
    <row r="2557" customFormat="false" ht="21" hidden="false" customHeight="false" outlineLevel="0" collapsed="false">
      <c r="A2557" s="154" t="n">
        <v>37372</v>
      </c>
      <c r="B2557" s="155" t="s">
        <v>1446</v>
      </c>
      <c r="C2557" s="148" t="str">
        <f aca="false">VLOOKUP($A2557,INSUMOS_AUX!$A$3:$H$813,3,0)</f>
        <v>MAT.</v>
      </c>
      <c r="D2557" s="156" t="s">
        <v>1444</v>
      </c>
      <c r="E2557" s="154" t="n">
        <v>0.4155</v>
      </c>
      <c r="F2557" s="149" t="n">
        <f aca="false">IF(C2557="MAT.",VLOOKUP(A2557,INSUMOS_AUX!$A$3:$H$813,6,0),0)</f>
        <v>1.43</v>
      </c>
      <c r="G2557" s="149" t="n">
        <f aca="false">IF(C2557="M.O.",VLOOKUP(A2557,INSUMOS_AUX!A:F,6,0),0)</f>
        <v>0</v>
      </c>
    </row>
    <row r="2558" customFormat="false" ht="21" hidden="false" customHeight="false" outlineLevel="0" collapsed="false">
      <c r="A2558" s="154" t="n">
        <v>43459</v>
      </c>
      <c r="B2558" s="155" t="s">
        <v>1487</v>
      </c>
      <c r="C2558" s="148" t="str">
        <f aca="false">VLOOKUP($A2558,INSUMOS_AUX!$A$3:$H$813,3,0)</f>
        <v>MAT.</v>
      </c>
      <c r="D2558" s="156" t="s">
        <v>1444</v>
      </c>
      <c r="E2558" s="154" t="n">
        <v>0.145</v>
      </c>
      <c r="F2558" s="149" t="n">
        <f aca="false">IF(C2558="MAT.",VLOOKUP(A2558,INSUMOS_AUX!$A$3:$H$813,6,0),0)</f>
        <v>0.44</v>
      </c>
      <c r="G2558" s="149" t="n">
        <f aca="false">IF(C2558="M.O.",VLOOKUP(A2558,INSUMOS_AUX!A:F,6,0),0)</f>
        <v>0</v>
      </c>
    </row>
    <row r="2559" customFormat="false" ht="21" hidden="false" customHeight="false" outlineLevel="0" collapsed="false">
      <c r="A2559" s="154" t="n">
        <v>43464</v>
      </c>
      <c r="B2559" s="155" t="s">
        <v>1447</v>
      </c>
      <c r="C2559" s="148" t="str">
        <f aca="false">VLOOKUP($A2559,INSUMOS_AUX!$A$3:$H$813,3,0)</f>
        <v>MAT.</v>
      </c>
      <c r="D2559" s="156" t="s">
        <v>1444</v>
      </c>
      <c r="E2559" s="154" t="n">
        <v>0.0315</v>
      </c>
      <c r="F2559" s="149" t="n">
        <f aca="false">IF(C2559="MAT.",VLOOKUP(A2559,INSUMOS_AUX!$A$3:$H$813,6,0),0)</f>
        <v>0.01</v>
      </c>
      <c r="G2559" s="149" t="n">
        <f aca="false">IF(C2559="M.O.",VLOOKUP(A2559,INSUMOS_AUX!A:F,6,0),0)</f>
        <v>0</v>
      </c>
    </row>
    <row r="2560" customFormat="false" ht="21" hidden="false" customHeight="false" outlineLevel="0" collapsed="false">
      <c r="A2560" s="154" t="n">
        <v>43467</v>
      </c>
      <c r="B2560" s="155" t="s">
        <v>1459</v>
      </c>
      <c r="C2560" s="148" t="str">
        <f aca="false">VLOOKUP($A2560,INSUMOS_AUX!$A$3:$H$813,3,0)</f>
        <v>MAT.</v>
      </c>
      <c r="D2560" s="156" t="s">
        <v>1444</v>
      </c>
      <c r="E2560" s="154" t="n">
        <v>0.239</v>
      </c>
      <c r="F2560" s="149" t="n">
        <f aca="false">IF(C2560="MAT.",VLOOKUP(A2560,INSUMOS_AUX!$A$3:$H$813,6,0),0)</f>
        <v>0.61</v>
      </c>
      <c r="G2560" s="149" t="n">
        <f aca="false">IF(C2560="M.O.",VLOOKUP(A2560,INSUMOS_AUX!A:F,6,0),0)</f>
        <v>0</v>
      </c>
    </row>
    <row r="2561" customFormat="false" ht="21" hidden="false" customHeight="false" outlineLevel="0" collapsed="false">
      <c r="A2561" s="154" t="n">
        <v>37373</v>
      </c>
      <c r="B2561" s="155" t="s">
        <v>1448</v>
      </c>
      <c r="C2561" s="148" t="str">
        <f aca="false">VLOOKUP($A2561,INSUMOS_AUX!$A$3:$H$813,3,0)</f>
        <v>MAT.</v>
      </c>
      <c r="D2561" s="156" t="s">
        <v>1444</v>
      </c>
      <c r="E2561" s="154" t="n">
        <v>0.4155</v>
      </c>
      <c r="F2561" s="149" t="n">
        <f aca="false">IF(C2561="MAT.",VLOOKUP(A2561,INSUMOS_AUX!$A$3:$H$813,6,0),0)</f>
        <v>0.08</v>
      </c>
      <c r="G2561" s="149" t="n">
        <f aca="false">IF(C2561="M.O.",VLOOKUP(A2561,INSUMOS_AUX!A:F,6,0),0)</f>
        <v>0</v>
      </c>
    </row>
    <row r="2562" customFormat="false" ht="21" hidden="false" customHeight="false" outlineLevel="0" collapsed="false">
      <c r="A2562" s="154" t="n">
        <v>37371</v>
      </c>
      <c r="B2562" s="155" t="s">
        <v>1449</v>
      </c>
      <c r="C2562" s="148" t="str">
        <f aca="false">VLOOKUP($A2562,INSUMOS_AUX!$A$3:$H$813,3,0)</f>
        <v>MAT.</v>
      </c>
      <c r="D2562" s="156" t="s">
        <v>1444</v>
      </c>
      <c r="E2562" s="154" t="n">
        <v>0.4155</v>
      </c>
      <c r="F2562" s="149" t="n">
        <f aca="false">IF(C2562="MAT.",VLOOKUP(A2562,INSUMOS_AUX!$A$3:$H$813,6,0),0)</f>
        <v>0.59</v>
      </c>
      <c r="G2562" s="149" t="n">
        <f aca="false">IF(C2562="M.O.",VLOOKUP(A2562,INSUMOS_AUX!A:F,6,0),0)</f>
        <v>0</v>
      </c>
    </row>
    <row r="2563" customFormat="false" ht="21" hidden="false" customHeight="false" outlineLevel="0" collapsed="false">
      <c r="A2563" s="154" t="n">
        <v>36487</v>
      </c>
      <c r="B2563" s="155" t="s">
        <v>1526</v>
      </c>
      <c r="C2563" s="148" t="str">
        <f aca="false">VLOOKUP($A2563,INSUMOS_AUX!$A$3:$H$813,3,0)</f>
        <v>MAT.</v>
      </c>
      <c r="D2563" s="156" t="s">
        <v>31</v>
      </c>
      <c r="E2563" s="154" t="n">
        <v>3.2742E-006</v>
      </c>
      <c r="F2563" s="149" t="n">
        <f aca="false">IF(C2563="MAT.",VLOOKUP(A2563,INSUMOS_AUX!$A$3:$H$813,6,0),0)</f>
        <v>6017.74</v>
      </c>
      <c r="G2563" s="149" t="n">
        <f aca="false">IF(C2563="M.O.",VLOOKUP(A2563,INSUMOS_AUX!A:F,6,0),0)</f>
        <v>0</v>
      </c>
    </row>
    <row r="2564" customFormat="false" ht="15" hidden="false" customHeight="false" outlineLevel="0" collapsed="false">
      <c r="A2564" s="154" t="n">
        <v>2705</v>
      </c>
      <c r="B2564" s="155" t="s">
        <v>1467</v>
      </c>
      <c r="C2564" s="148" t="str">
        <f aca="false">VLOOKUP($A2564,INSUMOS_AUX!$A$3:$H$813,3,0)</f>
        <v>MAT.</v>
      </c>
      <c r="D2564" s="156" t="s">
        <v>1468</v>
      </c>
      <c r="E2564" s="154" t="n">
        <v>0.010296</v>
      </c>
      <c r="F2564" s="149" t="n">
        <f aca="false">IF(C2564="MAT.",VLOOKUP(A2564,INSUMOS_AUX!$A$3:$H$813,6,0),0)</f>
        <v>0.92</v>
      </c>
      <c r="G2564" s="149" t="n">
        <f aca="false">IF(C2564="M.O.",VLOOKUP(A2564,INSUMOS_AUX!A:F,6,0),0)</f>
        <v>0</v>
      </c>
    </row>
    <row r="2565" customFormat="false" ht="15" hidden="false" customHeight="false" outlineLevel="0" collapsed="false">
      <c r="A2565" s="154" t="n">
        <v>5061</v>
      </c>
      <c r="B2565" s="155" t="s">
        <v>1901</v>
      </c>
      <c r="C2565" s="148" t="s">
        <v>59</v>
      </c>
      <c r="D2565" s="156" t="s">
        <v>1513</v>
      </c>
      <c r="E2565" s="154" t="n">
        <v>0.008</v>
      </c>
      <c r="F2565" s="149" t="n">
        <f aca="false">IF(C2565="MAT.",VLOOKUP(A2565,INSUMOS_AUX!$A$3:$H$813,6,0),0)</f>
        <v>0</v>
      </c>
      <c r="G2565" s="149" t="n">
        <f aca="false">IF(C2565="M.O.",VLOOKUP(A2565,INSUMOS_AUX!A:F,6,0),0)</f>
        <v>0</v>
      </c>
    </row>
    <row r="2566" customFormat="false" ht="21" hidden="false" customHeight="false" outlineLevel="0" collapsed="false">
      <c r="A2566" s="154" t="n">
        <v>5104</v>
      </c>
      <c r="B2566" s="155" t="s">
        <v>1902</v>
      </c>
      <c r="C2566" s="148" t="str">
        <f aca="false">VLOOKUP($A2566,INSUMOS_AUX!$A$3:$H$813,3,0)</f>
        <v>MAT.</v>
      </c>
      <c r="D2566" s="156" t="s">
        <v>1513</v>
      </c>
      <c r="E2566" s="154" t="n">
        <v>0.0016</v>
      </c>
      <c r="F2566" s="149" t="n">
        <f aca="false">IF(C2566="MAT.",VLOOKUP(A2566,INSUMOS_AUX!$A$3:$H$813,6,0),0)</f>
        <v>74.06</v>
      </c>
      <c r="G2566" s="149" t="n">
        <f aca="false">IF(C2566="M.O.",VLOOKUP(A2566,INSUMOS_AUX!A:F,6,0),0)</f>
        <v>0</v>
      </c>
    </row>
    <row r="2567" customFormat="false" ht="21" hidden="false" customHeight="false" outlineLevel="0" collapsed="false">
      <c r="A2567" s="154" t="n">
        <v>1113</v>
      </c>
      <c r="B2567" s="155" t="s">
        <v>1905</v>
      </c>
      <c r="C2567" s="148" t="str">
        <f aca="false">VLOOKUP($A2567,INSUMOS_AUX!$A$3:$H$813,3,0)</f>
        <v>MAT.</v>
      </c>
      <c r="D2567" s="156" t="s">
        <v>1455</v>
      </c>
      <c r="E2567" s="154" t="n">
        <v>1.05</v>
      </c>
      <c r="F2567" s="149" t="n">
        <f aca="false">IF(C2567="MAT.",VLOOKUP(A2567,INSUMOS_AUX!$A$3:$H$813,6,0),0)</f>
        <v>25.28</v>
      </c>
      <c r="G2567" s="149" t="n">
        <f aca="false">IF(C2567="M.O.",VLOOKUP(A2567,INSUMOS_AUX!A:F,6,0),0)</f>
        <v>0</v>
      </c>
    </row>
    <row r="2568" customFormat="false" ht="21" hidden="false" customHeight="false" outlineLevel="0" collapsed="false">
      <c r="A2568" s="154" t="n">
        <v>142</v>
      </c>
      <c r="B2568" s="155" t="s">
        <v>1870</v>
      </c>
      <c r="C2568" s="148" t="str">
        <f aca="false">VLOOKUP($A2568,INSUMOS_AUX!$A$3:$H$813,3,0)</f>
        <v>MAT.</v>
      </c>
      <c r="D2568" s="156" t="s">
        <v>1871</v>
      </c>
      <c r="E2568" s="154" t="n">
        <v>0.211</v>
      </c>
      <c r="F2568" s="149" t="n">
        <f aca="false">IF(C2568="MAT.",VLOOKUP(A2568,INSUMOS_AUX!$A$3:$H$813,6,0),0)</f>
        <v>32.56</v>
      </c>
      <c r="G2568" s="149" t="n">
        <f aca="false">IF(C2568="M.O.",VLOOKUP(A2568,INSUMOS_AUX!A:F,6,0),0)</f>
        <v>0</v>
      </c>
    </row>
    <row r="2569" customFormat="false" ht="15" hidden="false" customHeight="false" outlineLevel="0" collapsed="false">
      <c r="A2569" s="154" t="n">
        <v>13388</v>
      </c>
      <c r="B2569" s="155" t="s">
        <v>1903</v>
      </c>
      <c r="C2569" s="148" t="str">
        <f aca="false">VLOOKUP($A2569,INSUMOS_AUX!$A$3:$H$813,3,0)</f>
        <v>MAT.</v>
      </c>
      <c r="D2569" s="156" t="s">
        <v>1513</v>
      </c>
      <c r="E2569" s="154" t="n">
        <v>0.059</v>
      </c>
      <c r="F2569" s="149" t="n">
        <f aca="false">IF(C2569="MAT.",VLOOKUP(A2569,INSUMOS_AUX!$A$3:$H$813,6,0),0)</f>
        <v>120.68</v>
      </c>
      <c r="G2569" s="149" t="n">
        <f aca="false">IF(C2569="M.O.",VLOOKUP(A2569,INSUMOS_AUX!A:F,6,0),0)</f>
        <v>0</v>
      </c>
    </row>
    <row r="2570" customFormat="false" ht="15" hidden="false" customHeight="false" outlineLevel="0" collapsed="false">
      <c r="A2570" s="154" t="n">
        <v>4253</v>
      </c>
      <c r="B2570" s="155" t="s">
        <v>1559</v>
      </c>
      <c r="C2570" s="148" t="str">
        <f aca="false">VLOOKUP($A2570,INSUMOS_AUX!$A$3:$H$813,3,0)</f>
        <v>M.O.</v>
      </c>
      <c r="D2570" s="156" t="s">
        <v>1444</v>
      </c>
      <c r="E2570" s="154" t="n">
        <v>0.032015655</v>
      </c>
      <c r="F2570" s="149" t="n">
        <f aca="false">IF(C2570="MAT.",VLOOKUP(A2570,INSUMOS_AUX!$A$3:$H$813,6,0),0)</f>
        <v>0</v>
      </c>
      <c r="G2570" s="149" t="n">
        <f aca="false">IF(C2570="M.O.",VLOOKUP(A2570,INSUMOS_AUX!A:F,6,0),0)</f>
        <v>10.83</v>
      </c>
    </row>
    <row r="2571" customFormat="false" ht="15" hidden="false" customHeight="false" outlineLevel="0" collapsed="false">
      <c r="A2571" s="154" t="n">
        <v>6111</v>
      </c>
      <c r="B2571" s="155" t="s">
        <v>1464</v>
      </c>
      <c r="C2571" s="148" t="str">
        <f aca="false">VLOOKUP($A2571,INSUMOS_AUX!$A$3:$H$813,3,0)</f>
        <v>M.O.</v>
      </c>
      <c r="D2571" s="156" t="s">
        <v>1444</v>
      </c>
      <c r="E2571" s="154" t="n">
        <v>0.2440668</v>
      </c>
      <c r="F2571" s="149" t="n">
        <f aca="false">IF(C2571="MAT.",VLOOKUP(A2571,INSUMOS_AUX!$A$3:$H$813,6,0),0)</f>
        <v>0</v>
      </c>
      <c r="G2571" s="149" t="n">
        <f aca="false">IF(C2571="M.O.",VLOOKUP(A2571,INSUMOS_AUX!A:F,6,0),0)</f>
        <v>12.95</v>
      </c>
    </row>
    <row r="2572" customFormat="false" ht="15" hidden="false" customHeight="false" outlineLevel="0" collapsed="false">
      <c r="A2572" s="154" t="n">
        <v>12869</v>
      </c>
      <c r="B2572" s="155" t="s">
        <v>1488</v>
      </c>
      <c r="C2572" s="148" t="str">
        <f aca="false">VLOOKUP($A2572,INSUMOS_AUX!$A$3:$H$813,3,0)</f>
        <v>M.O.</v>
      </c>
      <c r="D2572" s="156" t="s">
        <v>1444</v>
      </c>
      <c r="E2572" s="154" t="n">
        <v>0.1466733</v>
      </c>
      <c r="F2572" s="149" t="n">
        <f aca="false">IF(C2572="MAT.",VLOOKUP(A2572,INSUMOS_AUX!$A$3:$H$813,6,0),0)</f>
        <v>0</v>
      </c>
      <c r="G2572" s="149" t="n">
        <f aca="false">IF(C2572="M.O.",VLOOKUP(A2572,INSUMOS_AUX!A:F,6,0),0)</f>
        <v>19.98</v>
      </c>
    </row>
    <row r="2573" customFormat="false" ht="31.5" hidden="false" customHeight="false" outlineLevel="0" collapsed="false">
      <c r="A2573" s="150" t="n">
        <v>98546</v>
      </c>
      <c r="B2573" s="151" t="s">
        <v>1907</v>
      </c>
      <c r="C2573" s="152" t="s">
        <v>59</v>
      </c>
      <c r="D2573" s="152" t="s">
        <v>1477</v>
      </c>
      <c r="E2573" s="150"/>
      <c r="F2573" s="153" t="n">
        <f aca="false">(SUMPRODUCT($E2574:$E2586,F2574:F2586))*1</f>
        <v>84.697122</v>
      </c>
      <c r="G2573" s="153" t="n">
        <f aca="false">(SUMPRODUCT($E2574:$E2586,G2574:G2586))*1</f>
        <v>22.14665019948</v>
      </c>
    </row>
    <row r="2574" customFormat="false" ht="21" hidden="false" customHeight="false" outlineLevel="0" collapsed="false">
      <c r="A2574" s="154" t="n">
        <v>37370</v>
      </c>
      <c r="B2574" s="155" t="s">
        <v>1443</v>
      </c>
      <c r="C2574" s="148" t="str">
        <f aca="false">VLOOKUP($A2574,INSUMOS_AUX!$A$3:$H$813,3,0)</f>
        <v>MAT.</v>
      </c>
      <c r="D2574" s="156" t="s">
        <v>1444</v>
      </c>
      <c r="E2574" s="154" t="n">
        <v>1.1426</v>
      </c>
      <c r="F2574" s="149" t="n">
        <f aca="false">IF(C2574="MAT.",VLOOKUP(A2574,INSUMOS_AUX!$A$3:$H$813,6,0),0)</f>
        <v>3.32</v>
      </c>
      <c r="G2574" s="149" t="n">
        <f aca="false">IF(C2574="M.O.",VLOOKUP(A2574,INSUMOS_AUX!A:F,6,0),0)</f>
        <v>0</v>
      </c>
    </row>
    <row r="2575" customFormat="false" ht="21" hidden="false" customHeight="false" outlineLevel="0" collapsed="false">
      <c r="A2575" s="154" t="n">
        <v>43489</v>
      </c>
      <c r="B2575" s="155" t="s">
        <v>1456</v>
      </c>
      <c r="C2575" s="148" t="str">
        <f aca="false">VLOOKUP($A2575,INSUMOS_AUX!$A$3:$H$813,3,0)</f>
        <v>MAT.</v>
      </c>
      <c r="D2575" s="156" t="s">
        <v>1444</v>
      </c>
      <c r="E2575" s="154" t="n">
        <v>0.9324</v>
      </c>
      <c r="F2575" s="149" t="n">
        <f aca="false">IF(C2575="MAT.",VLOOKUP(A2575,INSUMOS_AUX!$A$3:$H$813,6,0),0)</f>
        <v>1.31</v>
      </c>
      <c r="G2575" s="149" t="n">
        <f aca="false">IF(C2575="M.O.",VLOOKUP(A2575,INSUMOS_AUX!A:F,6,0),0)</f>
        <v>0</v>
      </c>
    </row>
    <row r="2576" customFormat="false" ht="21" hidden="false" customHeight="false" outlineLevel="0" collapsed="false">
      <c r="A2576" s="154" t="n">
        <v>43491</v>
      </c>
      <c r="B2576" s="155" t="s">
        <v>1457</v>
      </c>
      <c r="C2576" s="148" t="str">
        <f aca="false">VLOOKUP($A2576,INSUMOS_AUX!$A$3:$H$813,3,0)</f>
        <v>MAT.</v>
      </c>
      <c r="D2576" s="156" t="s">
        <v>1444</v>
      </c>
      <c r="E2576" s="154" t="n">
        <v>0.2102</v>
      </c>
      <c r="F2576" s="149" t="n">
        <f aca="false">IF(C2576="MAT.",VLOOKUP(A2576,INSUMOS_AUX!$A$3:$H$813,6,0),0)</f>
        <v>1.39</v>
      </c>
      <c r="G2576" s="149" t="n">
        <f aca="false">IF(C2576="M.O.",VLOOKUP(A2576,INSUMOS_AUX!A:F,6,0),0)</f>
        <v>0</v>
      </c>
    </row>
    <row r="2577" customFormat="false" ht="21" hidden="false" customHeight="false" outlineLevel="0" collapsed="false">
      <c r="A2577" s="154" t="n">
        <v>37372</v>
      </c>
      <c r="B2577" s="155" t="s">
        <v>1446</v>
      </c>
      <c r="C2577" s="148" t="str">
        <f aca="false">VLOOKUP($A2577,INSUMOS_AUX!$A$3:$H$813,3,0)</f>
        <v>MAT.</v>
      </c>
      <c r="D2577" s="156" t="s">
        <v>1444</v>
      </c>
      <c r="E2577" s="154" t="n">
        <v>1.1426</v>
      </c>
      <c r="F2577" s="149" t="n">
        <f aca="false">IF(C2577="MAT.",VLOOKUP(A2577,INSUMOS_AUX!$A$3:$H$813,6,0),0)</f>
        <v>1.43</v>
      </c>
      <c r="G2577" s="149" t="n">
        <f aca="false">IF(C2577="M.O.",VLOOKUP(A2577,INSUMOS_AUX!A:F,6,0),0)</f>
        <v>0</v>
      </c>
    </row>
    <row r="2578" customFormat="false" ht="21" hidden="false" customHeight="false" outlineLevel="0" collapsed="false">
      <c r="A2578" s="154" t="n">
        <v>43465</v>
      </c>
      <c r="B2578" s="155" t="s">
        <v>1458</v>
      </c>
      <c r="C2578" s="148" t="str">
        <f aca="false">VLOOKUP($A2578,INSUMOS_AUX!$A$3:$H$813,3,0)</f>
        <v>MAT.</v>
      </c>
      <c r="D2578" s="156" t="s">
        <v>1444</v>
      </c>
      <c r="E2578" s="154" t="n">
        <v>0.9324</v>
      </c>
      <c r="F2578" s="149" t="n">
        <f aca="false">IF(C2578="MAT.",VLOOKUP(A2578,INSUMOS_AUX!$A$3:$H$813,6,0),0)</f>
        <v>0.78</v>
      </c>
      <c r="G2578" s="149" t="n">
        <f aca="false">IF(C2578="M.O.",VLOOKUP(A2578,INSUMOS_AUX!A:F,6,0),0)</f>
        <v>0</v>
      </c>
    </row>
    <row r="2579" customFormat="false" ht="21" hidden="false" customHeight="false" outlineLevel="0" collapsed="false">
      <c r="A2579" s="154" t="n">
        <v>43467</v>
      </c>
      <c r="B2579" s="155" t="s">
        <v>1459</v>
      </c>
      <c r="C2579" s="148" t="str">
        <f aca="false">VLOOKUP($A2579,INSUMOS_AUX!$A$3:$H$813,3,0)</f>
        <v>MAT.</v>
      </c>
      <c r="D2579" s="156" t="s">
        <v>1444</v>
      </c>
      <c r="E2579" s="154" t="n">
        <v>0.2102</v>
      </c>
      <c r="F2579" s="149" t="n">
        <f aca="false">IF(C2579="MAT.",VLOOKUP(A2579,INSUMOS_AUX!$A$3:$H$813,6,0),0)</f>
        <v>0.61</v>
      </c>
      <c r="G2579" s="149" t="n">
        <f aca="false">IF(C2579="M.O.",VLOOKUP(A2579,INSUMOS_AUX!A:F,6,0),0)</f>
        <v>0</v>
      </c>
    </row>
    <row r="2580" customFormat="false" ht="21" hidden="false" customHeight="false" outlineLevel="0" collapsed="false">
      <c r="A2580" s="154" t="n">
        <v>37373</v>
      </c>
      <c r="B2580" s="155" t="s">
        <v>1448</v>
      </c>
      <c r="C2580" s="148" t="str">
        <f aca="false">VLOOKUP($A2580,INSUMOS_AUX!$A$3:$H$813,3,0)</f>
        <v>MAT.</v>
      </c>
      <c r="D2580" s="156" t="s">
        <v>1444</v>
      </c>
      <c r="E2580" s="154" t="n">
        <v>1.1426</v>
      </c>
      <c r="F2580" s="149" t="n">
        <f aca="false">IF(C2580="MAT.",VLOOKUP(A2580,INSUMOS_AUX!$A$3:$H$813,6,0),0)</f>
        <v>0.08</v>
      </c>
      <c r="G2580" s="149" t="n">
        <f aca="false">IF(C2580="M.O.",VLOOKUP(A2580,INSUMOS_AUX!A:F,6,0),0)</f>
        <v>0</v>
      </c>
    </row>
    <row r="2581" customFormat="false" ht="21" hidden="false" customHeight="false" outlineLevel="0" collapsed="false">
      <c r="A2581" s="154" t="n">
        <v>37371</v>
      </c>
      <c r="B2581" s="155" t="s">
        <v>1449</v>
      </c>
      <c r="C2581" s="148" t="s">
        <v>59</v>
      </c>
      <c r="D2581" s="156" t="s">
        <v>1444</v>
      </c>
      <c r="E2581" s="154" t="n">
        <v>1.1426</v>
      </c>
      <c r="F2581" s="149" t="n">
        <f aca="false">IF(C2581="MAT.",VLOOKUP(A2581,INSUMOS_AUX!$A$3:$H$813,6,0),0)</f>
        <v>0</v>
      </c>
      <c r="G2581" s="149" t="n">
        <f aca="false">IF(C2581="M.O.",VLOOKUP(A2581,INSUMOS_AUX!A:F,6,0),0)</f>
        <v>0</v>
      </c>
    </row>
    <row r="2582" customFormat="false" ht="15" hidden="false" customHeight="false" outlineLevel="0" collapsed="false">
      <c r="A2582" s="154" t="n">
        <v>4226</v>
      </c>
      <c r="B2582" s="155" t="s">
        <v>1908</v>
      </c>
      <c r="C2582" s="148" t="str">
        <f aca="false">VLOOKUP($A2582,INSUMOS_AUX!$A$3:$H$813,3,0)</f>
        <v>MAT.</v>
      </c>
      <c r="D2582" s="156" t="s">
        <v>1513</v>
      </c>
      <c r="E2582" s="154" t="n">
        <v>0.26</v>
      </c>
      <c r="F2582" s="149" t="n">
        <f aca="false">IF(C2582="MAT.",VLOOKUP(A2582,INSUMOS_AUX!$A$3:$H$813,6,0),0)</f>
        <v>8.46</v>
      </c>
      <c r="G2582" s="149" t="n">
        <f aca="false">IF(C2582="M.O.",VLOOKUP(A2582,INSUMOS_AUX!A:F,6,0),0)</f>
        <v>0</v>
      </c>
    </row>
    <row r="2583" customFormat="false" ht="21" hidden="false" customHeight="false" outlineLevel="0" collapsed="false">
      <c r="A2583" s="154" t="n">
        <v>4015</v>
      </c>
      <c r="B2583" s="155" t="s">
        <v>1909</v>
      </c>
      <c r="C2583" s="148" t="str">
        <f aca="false">VLOOKUP($A2583,INSUMOS_AUX!$A$3:$H$813,3,0)</f>
        <v>MAT.</v>
      </c>
      <c r="D2583" s="156" t="s">
        <v>1477</v>
      </c>
      <c r="E2583" s="154" t="n">
        <v>1.1319</v>
      </c>
      <c r="F2583" s="149" t="n">
        <f aca="false">IF(C2583="MAT.",VLOOKUP(A2583,INSUMOS_AUX!$A$3:$H$813,6,0),0)</f>
        <v>55.68</v>
      </c>
      <c r="G2583" s="149" t="n">
        <f aca="false">IF(C2583="M.O.",VLOOKUP(A2583,INSUMOS_AUX!A:F,6,0),0)</f>
        <v>0</v>
      </c>
    </row>
    <row r="2584" customFormat="false" ht="21" hidden="false" customHeight="false" outlineLevel="0" collapsed="false">
      <c r="A2584" s="154" t="n">
        <v>511</v>
      </c>
      <c r="B2584" s="155" t="s">
        <v>1910</v>
      </c>
      <c r="C2584" s="148" t="str">
        <f aca="false">VLOOKUP($A2584,INSUMOS_AUX!$A$3:$H$813,3,0)</f>
        <v>MAT.</v>
      </c>
      <c r="D2584" s="156" t="s">
        <v>1452</v>
      </c>
      <c r="E2584" s="154" t="n">
        <v>0.5872</v>
      </c>
      <c r="F2584" s="149" t="n">
        <f aca="false">IF(C2584="MAT.",VLOOKUP(A2584,INSUMOS_AUX!$A$3:$H$813,6,0),0)</f>
        <v>19.73</v>
      </c>
      <c r="G2584" s="149" t="n">
        <f aca="false">IF(C2584="M.O.",VLOOKUP(A2584,INSUMOS_AUX!A:F,6,0),0)</f>
        <v>0</v>
      </c>
    </row>
    <row r="2585" customFormat="false" ht="15" hidden="false" customHeight="false" outlineLevel="0" collapsed="false">
      <c r="A2585" s="154" t="n">
        <v>242</v>
      </c>
      <c r="B2585" s="155" t="s">
        <v>1660</v>
      </c>
      <c r="C2585" s="148" t="str">
        <f aca="false">VLOOKUP($A2585,INSUMOS_AUX!$A$3:$H$813,3,0)</f>
        <v>M.O.</v>
      </c>
      <c r="D2585" s="156" t="s">
        <v>1444</v>
      </c>
      <c r="E2585" s="154" t="n">
        <v>0.212625708</v>
      </c>
      <c r="F2585" s="149" t="n">
        <f aca="false">IF(C2585="MAT.",VLOOKUP(A2585,INSUMOS_AUX!$A$3:$H$813,6,0),0)</f>
        <v>0</v>
      </c>
      <c r="G2585" s="149" t="n">
        <f aca="false">IF(C2585="M.O.",VLOOKUP(A2585,INSUMOS_AUX!A:F,6,0),0)</f>
        <v>13.61</v>
      </c>
    </row>
    <row r="2586" customFormat="false" ht="15" hidden="false" customHeight="false" outlineLevel="0" collapsed="false">
      <c r="A2586" s="154" t="n">
        <v>12873</v>
      </c>
      <c r="B2586" s="155" t="s">
        <v>1661</v>
      </c>
      <c r="C2586" s="148" t="str">
        <f aca="false">VLOOKUP($A2586,INSUMOS_AUX!$A$3:$H$813,3,0)</f>
        <v>M.O.</v>
      </c>
      <c r="D2586" s="156" t="s">
        <v>1444</v>
      </c>
      <c r="E2586" s="154" t="n">
        <v>0.95216688</v>
      </c>
      <c r="F2586" s="149" t="n">
        <f aca="false">IF(C2586="MAT.",VLOOKUP(A2586,INSUMOS_AUX!$A$3:$H$813,6,0),0)</f>
        <v>0</v>
      </c>
      <c r="G2586" s="149" t="n">
        <f aca="false">IF(C2586="M.O.",VLOOKUP(A2586,INSUMOS_AUX!A:F,6,0),0)</f>
        <v>20.22</v>
      </c>
    </row>
    <row r="2587" customFormat="false" ht="21" hidden="false" customHeight="false" outlineLevel="0" collapsed="false">
      <c r="A2587" s="150" t="n">
        <v>98553</v>
      </c>
      <c r="B2587" s="151" t="s">
        <v>1911</v>
      </c>
      <c r="C2587" s="152" t="s">
        <v>59</v>
      </c>
      <c r="D2587" s="152" t="s">
        <v>1477</v>
      </c>
      <c r="E2587" s="150"/>
      <c r="F2587" s="153" t="n">
        <f aca="false">(SUMPRODUCT($E2588:$E2599,F2588:F2599))*1</f>
        <v>154.970241</v>
      </c>
      <c r="G2587" s="153" t="n">
        <f aca="false">(SUMPRODUCT($E2588:$E2599,G2588:G2599))*1</f>
        <v>1.54741747656</v>
      </c>
    </row>
    <row r="2588" customFormat="false" ht="21" hidden="false" customHeight="false" outlineLevel="0" collapsed="false">
      <c r="A2588" s="154" t="n">
        <v>37370</v>
      </c>
      <c r="B2588" s="155" t="s">
        <v>1443</v>
      </c>
      <c r="C2588" s="148" t="str">
        <f aca="false">VLOOKUP($A2588,INSUMOS_AUX!$A$3:$H$813,3,0)</f>
        <v>MAT.</v>
      </c>
      <c r="D2588" s="156" t="s">
        <v>1444</v>
      </c>
      <c r="E2588" s="154" t="n">
        <v>0.6107</v>
      </c>
      <c r="F2588" s="149" t="n">
        <f aca="false">IF(C2588="MAT.",VLOOKUP(A2588,INSUMOS_AUX!$A$3:$H$813,6,0),0)</f>
        <v>3.32</v>
      </c>
      <c r="G2588" s="149" t="n">
        <f aca="false">IF(C2588="M.O.",VLOOKUP(A2588,INSUMOS_AUX!A:F,6,0),0)</f>
        <v>0</v>
      </c>
    </row>
    <row r="2589" customFormat="false" ht="21" hidden="false" customHeight="false" outlineLevel="0" collapsed="false">
      <c r="A2589" s="154" t="n">
        <v>43489</v>
      </c>
      <c r="B2589" s="155" t="s">
        <v>1456</v>
      </c>
      <c r="C2589" s="148" t="str">
        <f aca="false">VLOOKUP($A2589,INSUMOS_AUX!$A$3:$H$813,3,0)</f>
        <v>MAT.</v>
      </c>
      <c r="D2589" s="156" t="s">
        <v>1444</v>
      </c>
      <c r="E2589" s="154" t="n">
        <v>0.4983</v>
      </c>
      <c r="F2589" s="149" t="n">
        <f aca="false">IF(C2589="MAT.",VLOOKUP(A2589,INSUMOS_AUX!$A$3:$H$813,6,0),0)</f>
        <v>1.31</v>
      </c>
      <c r="G2589" s="149" t="n">
        <f aca="false">IF(C2589="M.O.",VLOOKUP(A2589,INSUMOS_AUX!A:F,6,0),0)</f>
        <v>0</v>
      </c>
    </row>
    <row r="2590" customFormat="false" ht="21" hidden="false" customHeight="false" outlineLevel="0" collapsed="false">
      <c r="A2590" s="154" t="n">
        <v>43491</v>
      </c>
      <c r="B2590" s="155" t="s">
        <v>1457</v>
      </c>
      <c r="C2590" s="148" t="str">
        <f aca="false">VLOOKUP($A2590,INSUMOS_AUX!$A$3:$H$813,3,0)</f>
        <v>MAT.</v>
      </c>
      <c r="D2590" s="156" t="s">
        <v>1444</v>
      </c>
      <c r="E2590" s="154" t="n">
        <v>0.1124</v>
      </c>
      <c r="F2590" s="149" t="n">
        <f aca="false">IF(C2590="MAT.",VLOOKUP(A2590,INSUMOS_AUX!$A$3:$H$813,6,0),0)</f>
        <v>1.39</v>
      </c>
      <c r="G2590" s="149" t="n">
        <f aca="false">IF(C2590="M.O.",VLOOKUP(A2590,INSUMOS_AUX!A:F,6,0),0)</f>
        <v>0</v>
      </c>
    </row>
    <row r="2591" customFormat="false" ht="21" hidden="false" customHeight="false" outlineLevel="0" collapsed="false">
      <c r="A2591" s="154" t="n">
        <v>37372</v>
      </c>
      <c r="B2591" s="155" t="s">
        <v>1446</v>
      </c>
      <c r="C2591" s="148" t="str">
        <f aca="false">VLOOKUP($A2591,INSUMOS_AUX!$A$3:$H$813,3,0)</f>
        <v>MAT.</v>
      </c>
      <c r="D2591" s="156" t="s">
        <v>1444</v>
      </c>
      <c r="E2591" s="154" t="n">
        <v>0.6107</v>
      </c>
      <c r="F2591" s="149" t="n">
        <f aca="false">IF(C2591="MAT.",VLOOKUP(A2591,INSUMOS_AUX!$A$3:$H$813,6,0),0)</f>
        <v>1.43</v>
      </c>
      <c r="G2591" s="149" t="n">
        <f aca="false">IF(C2591="M.O.",VLOOKUP(A2591,INSUMOS_AUX!A:F,6,0),0)</f>
        <v>0</v>
      </c>
    </row>
    <row r="2592" customFormat="false" ht="21" hidden="false" customHeight="false" outlineLevel="0" collapsed="false">
      <c r="A2592" s="154" t="n">
        <v>43465</v>
      </c>
      <c r="B2592" s="155" t="s">
        <v>1458</v>
      </c>
      <c r="C2592" s="148" t="str">
        <f aca="false">VLOOKUP($A2592,INSUMOS_AUX!$A$3:$H$813,3,0)</f>
        <v>MAT.</v>
      </c>
      <c r="D2592" s="156" t="s">
        <v>1444</v>
      </c>
      <c r="E2592" s="154" t="n">
        <v>0.4983</v>
      </c>
      <c r="F2592" s="149" t="n">
        <f aca="false">IF(C2592="MAT.",VLOOKUP(A2592,INSUMOS_AUX!$A$3:$H$813,6,0),0)</f>
        <v>0.78</v>
      </c>
      <c r="G2592" s="149" t="n">
        <f aca="false">IF(C2592="M.O.",VLOOKUP(A2592,INSUMOS_AUX!A:F,6,0),0)</f>
        <v>0</v>
      </c>
    </row>
    <row r="2593" customFormat="false" ht="21" hidden="false" customHeight="false" outlineLevel="0" collapsed="false">
      <c r="A2593" s="154" t="n">
        <v>43467</v>
      </c>
      <c r="B2593" s="155" t="s">
        <v>1459</v>
      </c>
      <c r="C2593" s="148" t="str">
        <f aca="false">VLOOKUP($A2593,INSUMOS_AUX!$A$3:$H$813,3,0)</f>
        <v>MAT.</v>
      </c>
      <c r="D2593" s="156" t="s">
        <v>1444</v>
      </c>
      <c r="E2593" s="154" t="n">
        <v>0.1124</v>
      </c>
      <c r="F2593" s="149" t="n">
        <f aca="false">IF(C2593="MAT.",VLOOKUP(A2593,INSUMOS_AUX!$A$3:$H$813,6,0),0)</f>
        <v>0.61</v>
      </c>
      <c r="G2593" s="149" t="n">
        <f aca="false">IF(C2593="M.O.",VLOOKUP(A2593,INSUMOS_AUX!A:F,6,0),0)</f>
        <v>0</v>
      </c>
    </row>
    <row r="2594" customFormat="false" ht="21" hidden="false" customHeight="false" outlineLevel="0" collapsed="false">
      <c r="A2594" s="154" t="n">
        <v>37373</v>
      </c>
      <c r="B2594" s="155" t="s">
        <v>1448</v>
      </c>
      <c r="C2594" s="148" t="str">
        <f aca="false">VLOOKUP($A2594,INSUMOS_AUX!$A$3:$H$813,3,0)</f>
        <v>MAT.</v>
      </c>
      <c r="D2594" s="156" t="s">
        <v>1444</v>
      </c>
      <c r="E2594" s="154" t="n">
        <v>0.6107</v>
      </c>
      <c r="F2594" s="149" t="n">
        <f aca="false">IF(C2594="MAT.",VLOOKUP(A2594,INSUMOS_AUX!$A$3:$H$813,6,0),0)</f>
        <v>0.08</v>
      </c>
      <c r="G2594" s="149" t="n">
        <f aca="false">IF(C2594="M.O.",VLOOKUP(A2594,INSUMOS_AUX!A:F,6,0),0)</f>
        <v>0</v>
      </c>
    </row>
    <row r="2595" customFormat="false" ht="21" hidden="false" customHeight="false" outlineLevel="0" collapsed="false">
      <c r="A2595" s="154" t="n">
        <v>37371</v>
      </c>
      <c r="B2595" s="155" t="s">
        <v>1449</v>
      </c>
      <c r="C2595" s="148" t="str">
        <f aca="false">VLOOKUP($A2595,INSUMOS_AUX!$A$3:$H$813,3,0)</f>
        <v>MAT.</v>
      </c>
      <c r="D2595" s="156" t="s">
        <v>1444</v>
      </c>
      <c r="E2595" s="154" t="n">
        <v>0.6107</v>
      </c>
      <c r="F2595" s="149" t="n">
        <f aca="false">IF(C2595="MAT.",VLOOKUP(A2595,INSUMOS_AUX!$A$3:$H$813,6,0),0)</f>
        <v>0.59</v>
      </c>
      <c r="G2595" s="149" t="n">
        <f aca="false">IF(C2595="M.O.",VLOOKUP(A2595,INSUMOS_AUX!A:F,6,0),0)</f>
        <v>0</v>
      </c>
    </row>
    <row r="2596" customFormat="false" ht="15" hidden="false" customHeight="false" outlineLevel="0" collapsed="false">
      <c r="A2596" s="154" t="n">
        <v>43148</v>
      </c>
      <c r="B2596" s="155" t="s">
        <v>1912</v>
      </c>
      <c r="C2596" s="148" t="str">
        <f aca="false">VLOOKUP($A2596,INSUMOS_AUX!$A$3:$H$813,3,0)</f>
        <v>MAT.</v>
      </c>
      <c r="D2596" s="156" t="s">
        <v>1513</v>
      </c>
      <c r="E2596" s="154" t="n">
        <v>2</v>
      </c>
      <c r="F2596" s="149" t="n">
        <f aca="false">IF(C2596="MAT.",VLOOKUP(A2596,INSUMOS_AUX!$A$3:$H$813,6,0),0)</f>
        <v>56.48</v>
      </c>
      <c r="G2596" s="149" t="n">
        <f aca="false">IF(C2596="M.O.",VLOOKUP(A2596,INSUMOS_AUX!A:F,6,0),0)</f>
        <v>0</v>
      </c>
    </row>
    <row r="2597" customFormat="false" ht="15" hidden="false" customHeight="false" outlineLevel="0" collapsed="false">
      <c r="A2597" s="154" t="n">
        <v>44072</v>
      </c>
      <c r="B2597" s="155" t="s">
        <v>1913</v>
      </c>
      <c r="C2597" s="148" t="str">
        <f aca="false">VLOOKUP($A2597,INSUMOS_AUX!$A$3:$H$813,3,0)</f>
        <v>MAT.</v>
      </c>
      <c r="D2597" s="156" t="s">
        <v>1452</v>
      </c>
      <c r="E2597" s="154" t="n">
        <v>0.3</v>
      </c>
      <c r="F2597" s="149" t="n">
        <f aca="false">IF(C2597="MAT.",VLOOKUP(A2597,INSUMOS_AUX!$A$3:$H$813,6,0),0)</f>
        <v>124.78</v>
      </c>
      <c r="G2597" s="149" t="n">
        <f aca="false">IF(C2597="M.O.",VLOOKUP(A2597,INSUMOS_AUX!A:F,6,0),0)</f>
        <v>0</v>
      </c>
    </row>
    <row r="2598" customFormat="false" ht="15" hidden="false" customHeight="false" outlineLevel="0" collapsed="false">
      <c r="A2598" s="154" t="n">
        <v>242</v>
      </c>
      <c r="B2598" s="155" t="s">
        <v>1660</v>
      </c>
      <c r="C2598" s="148" t="str">
        <f aca="false">VLOOKUP($A2598,INSUMOS_AUX!$A$3:$H$813,3,0)</f>
        <v>M.O.</v>
      </c>
      <c r="D2598" s="156" t="s">
        <v>1444</v>
      </c>
      <c r="E2598" s="154" t="n">
        <v>0.113697096</v>
      </c>
      <c r="F2598" s="149" t="n">
        <f aca="false">IF(C2598="MAT.",VLOOKUP(A2598,INSUMOS_AUX!$A$3:$H$813,6,0),0)</f>
        <v>0</v>
      </c>
      <c r="G2598" s="149" t="n">
        <f aca="false">IF(C2598="M.O.",VLOOKUP(A2598,INSUMOS_AUX!A:F,6,0),0)</f>
        <v>13.61</v>
      </c>
    </row>
    <row r="2599" customFormat="false" ht="15" hidden="false" customHeight="false" outlineLevel="0" collapsed="false">
      <c r="A2599" s="154" t="n">
        <v>12873</v>
      </c>
      <c r="B2599" s="155" t="s">
        <v>1661</v>
      </c>
      <c r="C2599" s="148" t="s">
        <v>59</v>
      </c>
      <c r="D2599" s="156" t="s">
        <v>1444</v>
      </c>
      <c r="E2599" s="154" t="n">
        <v>0.50886396</v>
      </c>
      <c r="F2599" s="149" t="n">
        <f aca="false">IF(C2599="MAT.",VLOOKUP(A2599,INSUMOS_AUX!$A$3:$H$813,6,0),0)</f>
        <v>0</v>
      </c>
      <c r="G2599" s="149" t="n">
        <f aca="false">IF(C2599="M.O.",VLOOKUP(A2599,INSUMOS_AUX!A:F,6,0),0)</f>
        <v>0</v>
      </c>
    </row>
    <row r="2600" customFormat="false" ht="42" hidden="false" customHeight="false" outlineLevel="0" collapsed="false">
      <c r="A2600" s="150" t="n">
        <v>87765</v>
      </c>
      <c r="B2600" s="151" t="s">
        <v>1914</v>
      </c>
      <c r="C2600" s="152" t="s">
        <v>59</v>
      </c>
      <c r="D2600" s="152" t="s">
        <v>1477</v>
      </c>
      <c r="E2600" s="150"/>
      <c r="F2600" s="153" t="n">
        <f aca="false">(SUMPRODUCT($E2601:$E2617,F2601:F2617))*1</f>
        <v>37.43970590016</v>
      </c>
      <c r="G2600" s="153" t="n">
        <f aca="false">(SUMPRODUCT($E2601:$E2617,G2601:G2617))*1</f>
        <v>15.796115858885</v>
      </c>
    </row>
    <row r="2601" customFormat="false" ht="21" hidden="false" customHeight="false" outlineLevel="0" collapsed="false">
      <c r="A2601" s="154" t="n">
        <v>37370</v>
      </c>
      <c r="B2601" s="155" t="s">
        <v>1443</v>
      </c>
      <c r="C2601" s="148" t="str">
        <f aca="false">VLOOKUP($A2601,INSUMOS_AUX!$A$3:$H$813,3,0)</f>
        <v>MAT.</v>
      </c>
      <c r="D2601" s="156" t="s">
        <v>1444</v>
      </c>
      <c r="E2601" s="154" t="n">
        <v>1.18105</v>
      </c>
      <c r="F2601" s="149" t="n">
        <f aca="false">IF(C2601="MAT.",VLOOKUP(A2601,INSUMOS_AUX!$A$3:$H$813,6,0),0)</f>
        <v>3.32</v>
      </c>
      <c r="G2601" s="149" t="n">
        <f aca="false">IF(C2601="M.O.",VLOOKUP(A2601,INSUMOS_AUX!A:F,6,0),0)</f>
        <v>0</v>
      </c>
    </row>
    <row r="2602" customFormat="false" ht="21" hidden="false" customHeight="false" outlineLevel="0" collapsed="false">
      <c r="A2602" s="154" t="n">
        <v>43488</v>
      </c>
      <c r="B2602" s="155" t="s">
        <v>1445</v>
      </c>
      <c r="C2602" s="148" t="str">
        <f aca="false">VLOOKUP($A2602,INSUMOS_AUX!$A$3:$H$813,3,0)</f>
        <v>MAT.</v>
      </c>
      <c r="D2602" s="156" t="s">
        <v>1444</v>
      </c>
      <c r="E2602" s="154" t="n">
        <v>0.25705</v>
      </c>
      <c r="F2602" s="149" t="n">
        <f aca="false">IF(C2602="MAT.",VLOOKUP(A2602,INSUMOS_AUX!$A$3:$H$813,6,0),0)</f>
        <v>0.89</v>
      </c>
      <c r="G2602" s="149" t="n">
        <f aca="false">IF(C2602="M.O.",VLOOKUP(A2602,INSUMOS_AUX!A:F,6,0),0)</f>
        <v>0</v>
      </c>
    </row>
    <row r="2603" customFormat="false" ht="21" hidden="false" customHeight="false" outlineLevel="0" collapsed="false">
      <c r="A2603" s="154" t="n">
        <v>43489</v>
      </c>
      <c r="B2603" s="155" t="s">
        <v>1456</v>
      </c>
      <c r="C2603" s="148" t="str">
        <f aca="false">VLOOKUP($A2603,INSUMOS_AUX!$A$3:$H$813,3,0)</f>
        <v>MAT.</v>
      </c>
      <c r="D2603" s="156" t="s">
        <v>1444</v>
      </c>
      <c r="E2603" s="154" t="n">
        <v>0.616</v>
      </c>
      <c r="F2603" s="149" t="n">
        <f aca="false">IF(C2603="MAT.",VLOOKUP(A2603,INSUMOS_AUX!$A$3:$H$813,6,0),0)</f>
        <v>1.31</v>
      </c>
      <c r="G2603" s="149" t="n">
        <f aca="false">IF(C2603="M.O.",VLOOKUP(A2603,INSUMOS_AUX!A:F,6,0),0)</f>
        <v>0</v>
      </c>
    </row>
    <row r="2604" customFormat="false" ht="21" hidden="false" customHeight="false" outlineLevel="0" collapsed="false">
      <c r="A2604" s="154" t="n">
        <v>43491</v>
      </c>
      <c r="B2604" s="155" t="s">
        <v>1457</v>
      </c>
      <c r="C2604" s="148" t="str">
        <f aca="false">VLOOKUP($A2604,INSUMOS_AUX!$A$3:$H$813,3,0)</f>
        <v>MAT.</v>
      </c>
      <c r="D2604" s="156" t="s">
        <v>1444</v>
      </c>
      <c r="E2604" s="154" t="n">
        <v>0.308</v>
      </c>
      <c r="F2604" s="149" t="n">
        <f aca="false">IF(C2604="MAT.",VLOOKUP(A2604,INSUMOS_AUX!$A$3:$H$813,6,0),0)</f>
        <v>1.39</v>
      </c>
      <c r="G2604" s="149" t="n">
        <f aca="false">IF(C2604="M.O.",VLOOKUP(A2604,INSUMOS_AUX!A:F,6,0),0)</f>
        <v>0</v>
      </c>
    </row>
    <row r="2605" customFormat="false" ht="21" hidden="false" customHeight="false" outlineLevel="0" collapsed="false">
      <c r="A2605" s="154" t="n">
        <v>37372</v>
      </c>
      <c r="B2605" s="155" t="s">
        <v>1446</v>
      </c>
      <c r="C2605" s="148" t="str">
        <f aca="false">VLOOKUP($A2605,INSUMOS_AUX!$A$3:$H$813,3,0)</f>
        <v>MAT.</v>
      </c>
      <c r="D2605" s="156" t="s">
        <v>1444</v>
      </c>
      <c r="E2605" s="154" t="n">
        <v>1.18105</v>
      </c>
      <c r="F2605" s="149" t="n">
        <f aca="false">IF(C2605="MAT.",VLOOKUP(A2605,INSUMOS_AUX!$A$3:$H$813,6,0),0)</f>
        <v>1.43</v>
      </c>
      <c r="G2605" s="149" t="n">
        <f aca="false">IF(C2605="M.O.",VLOOKUP(A2605,INSUMOS_AUX!A:F,6,0),0)</f>
        <v>0</v>
      </c>
    </row>
    <row r="2606" customFormat="false" ht="21" hidden="false" customHeight="false" outlineLevel="0" collapsed="false">
      <c r="A2606" s="154" t="n">
        <v>43464</v>
      </c>
      <c r="B2606" s="155" t="s">
        <v>1447</v>
      </c>
      <c r="C2606" s="148" t="str">
        <f aca="false">VLOOKUP($A2606,INSUMOS_AUX!$A$3:$H$813,3,0)</f>
        <v>MAT.</v>
      </c>
      <c r="D2606" s="156" t="s">
        <v>1444</v>
      </c>
      <c r="E2606" s="154" t="n">
        <v>0.25705</v>
      </c>
      <c r="F2606" s="149" t="n">
        <f aca="false">IF(C2606="MAT.",VLOOKUP(A2606,INSUMOS_AUX!$A$3:$H$813,6,0),0)</f>
        <v>0.01</v>
      </c>
      <c r="G2606" s="149" t="n">
        <f aca="false">IF(C2606="M.O.",VLOOKUP(A2606,INSUMOS_AUX!A:F,6,0),0)</f>
        <v>0</v>
      </c>
    </row>
    <row r="2607" customFormat="false" ht="21" hidden="false" customHeight="false" outlineLevel="0" collapsed="false">
      <c r="A2607" s="154" t="n">
        <v>43465</v>
      </c>
      <c r="B2607" s="155" t="s">
        <v>1458</v>
      </c>
      <c r="C2607" s="148" t="str">
        <f aca="false">VLOOKUP($A2607,INSUMOS_AUX!$A$3:$H$813,3,0)</f>
        <v>MAT.</v>
      </c>
      <c r="D2607" s="156" t="s">
        <v>1444</v>
      </c>
      <c r="E2607" s="154" t="n">
        <v>0.616</v>
      </c>
      <c r="F2607" s="149" t="n">
        <f aca="false">IF(C2607="MAT.",VLOOKUP(A2607,INSUMOS_AUX!$A$3:$H$813,6,0),0)</f>
        <v>0.78</v>
      </c>
      <c r="G2607" s="149" t="n">
        <f aca="false">IF(C2607="M.O.",VLOOKUP(A2607,INSUMOS_AUX!A:F,6,0),0)</f>
        <v>0</v>
      </c>
    </row>
    <row r="2608" customFormat="false" ht="21" hidden="false" customHeight="false" outlineLevel="0" collapsed="false">
      <c r="A2608" s="154" t="n">
        <v>43467</v>
      </c>
      <c r="B2608" s="155" t="s">
        <v>1459</v>
      </c>
      <c r="C2608" s="148" t="str">
        <f aca="false">VLOOKUP($A2608,INSUMOS_AUX!$A$3:$H$813,3,0)</f>
        <v>MAT.</v>
      </c>
      <c r="D2608" s="156" t="s">
        <v>1444</v>
      </c>
      <c r="E2608" s="154" t="n">
        <v>0.308</v>
      </c>
      <c r="F2608" s="149" t="n">
        <f aca="false">IF(C2608="MAT.",VLOOKUP(A2608,INSUMOS_AUX!$A$3:$H$813,6,0),0)</f>
        <v>0.61</v>
      </c>
      <c r="G2608" s="149" t="n">
        <f aca="false">IF(C2608="M.O.",VLOOKUP(A2608,INSUMOS_AUX!A:F,6,0),0)</f>
        <v>0</v>
      </c>
    </row>
    <row r="2609" customFormat="false" ht="21" hidden="false" customHeight="false" outlineLevel="0" collapsed="false">
      <c r="A2609" s="154" t="n">
        <v>37373</v>
      </c>
      <c r="B2609" s="155" t="s">
        <v>1448</v>
      </c>
      <c r="C2609" s="148" t="str">
        <f aca="false">VLOOKUP($A2609,INSUMOS_AUX!$A$3:$H$813,3,0)</f>
        <v>MAT.</v>
      </c>
      <c r="D2609" s="156" t="s">
        <v>1444</v>
      </c>
      <c r="E2609" s="154" t="n">
        <v>1.18105</v>
      </c>
      <c r="F2609" s="149" t="n">
        <f aca="false">IF(C2609="MAT.",VLOOKUP(A2609,INSUMOS_AUX!$A$3:$H$813,6,0),0)</f>
        <v>0.08</v>
      </c>
      <c r="G2609" s="149" t="n">
        <f aca="false">IF(C2609="M.O.",VLOOKUP(A2609,INSUMOS_AUX!A:F,6,0),0)</f>
        <v>0</v>
      </c>
    </row>
    <row r="2610" customFormat="false" ht="21" hidden="false" customHeight="false" outlineLevel="0" collapsed="false">
      <c r="A2610" s="154" t="n">
        <v>37371</v>
      </c>
      <c r="B2610" s="155" t="s">
        <v>1449</v>
      </c>
      <c r="C2610" s="148" t="str">
        <f aca="false">VLOOKUP($A2610,INSUMOS_AUX!$A$3:$H$813,3,0)</f>
        <v>MAT.</v>
      </c>
      <c r="D2610" s="156" t="s">
        <v>1444</v>
      </c>
      <c r="E2610" s="154" t="n">
        <v>1.18105</v>
      </c>
      <c r="F2610" s="149" t="n">
        <f aca="false">IF(C2610="MAT.",VLOOKUP(A2610,INSUMOS_AUX!$A$3:$H$813,6,0),0)</f>
        <v>0.59</v>
      </c>
      <c r="G2610" s="149" t="n">
        <f aca="false">IF(C2610="M.O.",VLOOKUP(A2610,INSUMOS_AUX!A:F,6,0),0)</f>
        <v>0</v>
      </c>
    </row>
    <row r="2611" customFormat="false" ht="31.5" hidden="false" customHeight="false" outlineLevel="0" collapsed="false">
      <c r="A2611" s="154" t="n">
        <v>10535</v>
      </c>
      <c r="B2611" s="155" t="s">
        <v>1525</v>
      </c>
      <c r="C2611" s="148" t="str">
        <f aca="false">VLOOKUP($A2611,INSUMOS_AUX!$A$3:$H$813,3,0)</f>
        <v>MAT.</v>
      </c>
      <c r="D2611" s="156" t="s">
        <v>31</v>
      </c>
      <c r="E2611" s="154" t="n">
        <v>2.444784E-005</v>
      </c>
      <c r="F2611" s="149" t="n">
        <f aca="false">IF(C2611="MAT.",VLOOKUP(A2611,INSUMOS_AUX!$A$3:$H$813,6,0),0)</f>
        <v>4699</v>
      </c>
      <c r="G2611" s="149" t="n">
        <f aca="false">IF(C2611="M.O.",VLOOKUP(A2611,INSUMOS_AUX!A:F,6,0),0)</f>
        <v>0</v>
      </c>
    </row>
    <row r="2612" customFormat="false" ht="15" hidden="false" customHeight="false" outlineLevel="0" collapsed="false">
      <c r="A2612" s="154" t="n">
        <v>2705</v>
      </c>
      <c r="B2612" s="155" t="s">
        <v>1467</v>
      </c>
      <c r="C2612" s="148" t="str">
        <f aca="false">VLOOKUP($A2612,INSUMOS_AUX!$A$3:$H$813,3,0)</f>
        <v>MAT.</v>
      </c>
      <c r="D2612" s="156" t="s">
        <v>1468</v>
      </c>
      <c r="E2612" s="154" t="n">
        <v>0.0748625</v>
      </c>
      <c r="F2612" s="149" t="n">
        <f aca="false">IF(C2612="MAT.",VLOOKUP(A2612,INSUMOS_AUX!$A$3:$H$813,6,0),0)</f>
        <v>0.92</v>
      </c>
      <c r="G2612" s="149" t="n">
        <f aca="false">IF(C2612="M.O.",VLOOKUP(A2612,INSUMOS_AUX!A:F,6,0),0)</f>
        <v>0</v>
      </c>
    </row>
    <row r="2613" customFormat="false" ht="21" hidden="false" customHeight="false" outlineLevel="0" collapsed="false">
      <c r="A2613" s="154" t="n">
        <v>370</v>
      </c>
      <c r="B2613" s="155" t="s">
        <v>1527</v>
      </c>
      <c r="C2613" s="148" t="str">
        <f aca="false">VLOOKUP($A2613,INSUMOS_AUX!$A$3:$H$813,3,0)</f>
        <v>MAT.</v>
      </c>
      <c r="D2613" s="156" t="s">
        <v>1442</v>
      </c>
      <c r="E2613" s="154" t="n">
        <v>0.07208</v>
      </c>
      <c r="F2613" s="149" t="n">
        <f aca="false">IF(C2613="MAT.",VLOOKUP(A2613,INSUMOS_AUX!$A$3:$H$813,6,0),0)</f>
        <v>150</v>
      </c>
      <c r="G2613" s="149" t="n">
        <f aca="false">IF(C2613="M.O.",VLOOKUP(A2613,INSUMOS_AUX!A:F,6,0),0)</f>
        <v>0</v>
      </c>
    </row>
    <row r="2614" customFormat="false" ht="15" hidden="false" customHeight="false" outlineLevel="0" collapsed="false">
      <c r="A2614" s="154" t="n">
        <v>1379</v>
      </c>
      <c r="B2614" s="155" t="s">
        <v>1535</v>
      </c>
      <c r="C2614" s="148" t="str">
        <f aca="false">VLOOKUP($A2614,INSUMOS_AUX!$A$3:$H$813,3,0)</f>
        <v>MAT.</v>
      </c>
      <c r="D2614" s="156" t="s">
        <v>1513</v>
      </c>
      <c r="E2614" s="154" t="n">
        <v>24.87205</v>
      </c>
      <c r="F2614" s="149" t="n">
        <f aca="false">IF(C2614="MAT.",VLOOKUP(A2614,INSUMOS_AUX!$A$3:$H$813,6,0),0)</f>
        <v>0.72</v>
      </c>
      <c r="G2614" s="149" t="n">
        <f aca="false">IF(C2614="M.O.",VLOOKUP(A2614,INSUMOS_AUX!A:F,6,0),0)</f>
        <v>0</v>
      </c>
    </row>
    <row r="2615" customFormat="false" ht="15" hidden="false" customHeight="false" outlineLevel="0" collapsed="false">
      <c r="A2615" s="154" t="n">
        <v>37666</v>
      </c>
      <c r="B2615" s="155" t="s">
        <v>1558</v>
      </c>
      <c r="C2615" s="148" t="str">
        <f aca="false">VLOOKUP($A2615,INSUMOS_AUX!$A$3:$H$813,3,0)</f>
        <v>M.O.</v>
      </c>
      <c r="D2615" s="156" t="s">
        <v>1444</v>
      </c>
      <c r="E2615" s="154" t="n">
        <v>0.2591860855</v>
      </c>
      <c r="F2615" s="149" t="n">
        <f aca="false">IF(C2615="MAT.",VLOOKUP(A2615,INSUMOS_AUX!$A$3:$H$813,6,0),0)</f>
        <v>0</v>
      </c>
      <c r="G2615" s="149" t="n">
        <f aca="false">IF(C2615="M.O.",VLOOKUP(A2615,INSUMOS_AUX!A:F,6,0),0)</f>
        <v>11.87</v>
      </c>
    </row>
    <row r="2616" customFormat="false" ht="15" hidden="false" customHeight="false" outlineLevel="0" collapsed="false">
      <c r="A2616" s="154" t="n">
        <v>4750</v>
      </c>
      <c r="B2616" s="155" t="s">
        <v>1463</v>
      </c>
      <c r="C2616" s="148" t="str">
        <f aca="false">VLOOKUP($A2616,INSUMOS_AUX!$A$3:$H$813,3,0)</f>
        <v>M.O.</v>
      </c>
      <c r="D2616" s="156" t="s">
        <v>1444</v>
      </c>
      <c r="E2616" s="154" t="n">
        <v>0.6290592</v>
      </c>
      <c r="F2616" s="149" t="n">
        <f aca="false">IF(C2616="MAT.",VLOOKUP(A2616,INSUMOS_AUX!$A$3:$H$813,6,0),0)</f>
        <v>0</v>
      </c>
      <c r="G2616" s="149" t="n">
        <f aca="false">IF(C2616="M.O.",VLOOKUP(A2616,INSUMOS_AUX!A:F,6,0),0)</f>
        <v>20.22</v>
      </c>
    </row>
    <row r="2617" customFormat="false" ht="15" hidden="false" customHeight="false" outlineLevel="0" collapsed="false">
      <c r="A2617" s="154" t="n">
        <v>6111</v>
      </c>
      <c r="B2617" s="155" t="s">
        <v>1464</v>
      </c>
      <c r="C2617" s="148" t="s">
        <v>59</v>
      </c>
      <c r="D2617" s="156" t="s">
        <v>1444</v>
      </c>
      <c r="E2617" s="154" t="n">
        <v>0.3145296</v>
      </c>
      <c r="F2617" s="149" t="n">
        <f aca="false">IF(C2617="MAT.",VLOOKUP(A2617,INSUMOS_AUX!$A$3:$H$813,6,0),0)</f>
        <v>0</v>
      </c>
      <c r="G2617" s="149" t="n">
        <f aca="false">IF(C2617="M.O.",VLOOKUP(A2617,INSUMOS_AUX!A:F,6,0),0)</f>
        <v>0</v>
      </c>
    </row>
    <row r="2618" customFormat="false" ht="42" hidden="false" customHeight="false" outlineLevel="0" collapsed="false">
      <c r="A2618" s="150" t="n">
        <v>87630</v>
      </c>
      <c r="B2618" s="151" t="s">
        <v>1915</v>
      </c>
      <c r="C2618" s="152" t="s">
        <v>59</v>
      </c>
      <c r="D2618" s="152" t="s">
        <v>1477</v>
      </c>
      <c r="E2618" s="150"/>
      <c r="F2618" s="153" t="n">
        <f aca="false">(SUMPRODUCT($E2619:$E2636,F2619:F2636))*1</f>
        <v>30.140155808432</v>
      </c>
      <c r="G2618" s="153" t="n">
        <f aca="false">(SUMPRODUCT($E2619:$E2636,G2619:G2636))*1</f>
        <v>9.1874056996895</v>
      </c>
    </row>
    <row r="2619" customFormat="false" ht="21" hidden="false" customHeight="false" outlineLevel="0" collapsed="false">
      <c r="A2619" s="154" t="n">
        <v>37370</v>
      </c>
      <c r="B2619" s="155" t="s">
        <v>1443</v>
      </c>
      <c r="C2619" s="148" t="str">
        <f aca="false">VLOOKUP($A2619,INSUMOS_AUX!$A$3:$H$813,3,0)</f>
        <v>MAT.</v>
      </c>
      <c r="D2619" s="156" t="s">
        <v>1444</v>
      </c>
      <c r="E2619" s="154" t="n">
        <v>0.577035</v>
      </c>
      <c r="F2619" s="149" t="n">
        <f aca="false">IF(C2619="MAT.",VLOOKUP(A2619,INSUMOS_AUX!$A$3:$H$813,6,0),0)</f>
        <v>3.32</v>
      </c>
      <c r="G2619" s="149" t="n">
        <f aca="false">IF(C2619="M.O.",VLOOKUP(A2619,INSUMOS_AUX!A:F,6,0),0)</f>
        <v>0</v>
      </c>
    </row>
    <row r="2620" customFormat="false" ht="21" hidden="false" customHeight="false" outlineLevel="0" collapsed="false">
      <c r="A2620" s="154" t="n">
        <v>43488</v>
      </c>
      <c r="B2620" s="155" t="s">
        <v>1445</v>
      </c>
      <c r="C2620" s="148" t="str">
        <f aca="false">VLOOKUP($A2620,INSUMOS_AUX!$A$3:$H$813,3,0)</f>
        <v>MAT.</v>
      </c>
      <c r="D2620" s="156" t="s">
        <v>1444</v>
      </c>
      <c r="E2620" s="154" t="n">
        <v>0.209035</v>
      </c>
      <c r="F2620" s="149" t="n">
        <f aca="false">IF(C2620="MAT.",VLOOKUP(A2620,INSUMOS_AUX!$A$3:$H$813,6,0),0)</f>
        <v>0.89</v>
      </c>
      <c r="G2620" s="149" t="n">
        <f aca="false">IF(C2620="M.O.",VLOOKUP(A2620,INSUMOS_AUX!A:F,6,0),0)</f>
        <v>0</v>
      </c>
    </row>
    <row r="2621" customFormat="false" ht="21" hidden="false" customHeight="false" outlineLevel="0" collapsed="false">
      <c r="A2621" s="154" t="n">
        <v>43489</v>
      </c>
      <c r="B2621" s="155" t="s">
        <v>1456</v>
      </c>
      <c r="C2621" s="148" t="str">
        <f aca="false">VLOOKUP($A2621,INSUMOS_AUX!$A$3:$H$813,3,0)</f>
        <v>MAT.</v>
      </c>
      <c r="D2621" s="156" t="s">
        <v>1444</v>
      </c>
      <c r="E2621" s="154" t="n">
        <v>0.245</v>
      </c>
      <c r="F2621" s="149" t="n">
        <f aca="false">IF(C2621="MAT.",VLOOKUP(A2621,INSUMOS_AUX!$A$3:$H$813,6,0),0)</f>
        <v>1.31</v>
      </c>
      <c r="G2621" s="149" t="n">
        <f aca="false">IF(C2621="M.O.",VLOOKUP(A2621,INSUMOS_AUX!A:F,6,0),0)</f>
        <v>0</v>
      </c>
    </row>
    <row r="2622" customFormat="false" ht="21" hidden="false" customHeight="false" outlineLevel="0" collapsed="false">
      <c r="A2622" s="154" t="n">
        <v>43491</v>
      </c>
      <c r="B2622" s="155" t="s">
        <v>1457</v>
      </c>
      <c r="C2622" s="148" t="str">
        <f aca="false">VLOOKUP($A2622,INSUMOS_AUX!$A$3:$H$813,3,0)</f>
        <v>MAT.</v>
      </c>
      <c r="D2622" s="156" t="s">
        <v>1444</v>
      </c>
      <c r="E2622" s="154" t="n">
        <v>0.123</v>
      </c>
      <c r="F2622" s="149" t="n">
        <f aca="false">IF(C2622="MAT.",VLOOKUP(A2622,INSUMOS_AUX!$A$3:$H$813,6,0),0)</f>
        <v>1.39</v>
      </c>
      <c r="G2622" s="149" t="n">
        <f aca="false">IF(C2622="M.O.",VLOOKUP(A2622,INSUMOS_AUX!A:F,6,0),0)</f>
        <v>0</v>
      </c>
    </row>
    <row r="2623" customFormat="false" ht="21" hidden="false" customHeight="false" outlineLevel="0" collapsed="false">
      <c r="A2623" s="154" t="n">
        <v>37372</v>
      </c>
      <c r="B2623" s="155" t="s">
        <v>1446</v>
      </c>
      <c r="C2623" s="148" t="str">
        <f aca="false">VLOOKUP($A2623,INSUMOS_AUX!$A$3:$H$813,3,0)</f>
        <v>MAT.</v>
      </c>
      <c r="D2623" s="156" t="s">
        <v>1444</v>
      </c>
      <c r="E2623" s="154" t="n">
        <v>0.577035</v>
      </c>
      <c r="F2623" s="149" t="n">
        <f aca="false">IF(C2623="MAT.",VLOOKUP(A2623,INSUMOS_AUX!$A$3:$H$813,6,0),0)</f>
        <v>1.43</v>
      </c>
      <c r="G2623" s="149" t="n">
        <f aca="false">IF(C2623="M.O.",VLOOKUP(A2623,INSUMOS_AUX!A:F,6,0),0)</f>
        <v>0</v>
      </c>
    </row>
    <row r="2624" customFormat="false" ht="21" hidden="false" customHeight="false" outlineLevel="0" collapsed="false">
      <c r="A2624" s="154" t="n">
        <v>43464</v>
      </c>
      <c r="B2624" s="155" t="s">
        <v>1447</v>
      </c>
      <c r="C2624" s="148" t="str">
        <f aca="false">VLOOKUP($A2624,INSUMOS_AUX!$A$3:$H$813,3,0)</f>
        <v>MAT.</v>
      </c>
      <c r="D2624" s="156" t="s">
        <v>1444</v>
      </c>
      <c r="E2624" s="154" t="n">
        <v>0.209035</v>
      </c>
      <c r="F2624" s="149" t="n">
        <f aca="false">IF(C2624="MAT.",VLOOKUP(A2624,INSUMOS_AUX!$A$3:$H$813,6,0),0)</f>
        <v>0.01</v>
      </c>
      <c r="G2624" s="149" t="n">
        <f aca="false">IF(C2624="M.O.",VLOOKUP(A2624,INSUMOS_AUX!A:F,6,0),0)</f>
        <v>0</v>
      </c>
    </row>
    <row r="2625" customFormat="false" ht="21" hidden="false" customHeight="false" outlineLevel="0" collapsed="false">
      <c r="A2625" s="154" t="n">
        <v>43465</v>
      </c>
      <c r="B2625" s="155" t="s">
        <v>1458</v>
      </c>
      <c r="C2625" s="148" t="str">
        <f aca="false">VLOOKUP($A2625,INSUMOS_AUX!$A$3:$H$813,3,0)</f>
        <v>MAT.</v>
      </c>
      <c r="D2625" s="156" t="s">
        <v>1444</v>
      </c>
      <c r="E2625" s="154" t="n">
        <v>0.245</v>
      </c>
      <c r="F2625" s="149" t="n">
        <f aca="false">IF(C2625="MAT.",VLOOKUP(A2625,INSUMOS_AUX!$A$3:$H$813,6,0),0)</f>
        <v>0.78</v>
      </c>
      <c r="G2625" s="149" t="n">
        <f aca="false">IF(C2625="M.O.",VLOOKUP(A2625,INSUMOS_AUX!A:F,6,0),0)</f>
        <v>0</v>
      </c>
    </row>
    <row r="2626" customFormat="false" ht="21" hidden="false" customHeight="false" outlineLevel="0" collapsed="false">
      <c r="A2626" s="154" t="n">
        <v>43467</v>
      </c>
      <c r="B2626" s="155" t="s">
        <v>1459</v>
      </c>
      <c r="C2626" s="148" t="str">
        <f aca="false">VLOOKUP($A2626,INSUMOS_AUX!$A$3:$H$813,3,0)</f>
        <v>MAT.</v>
      </c>
      <c r="D2626" s="156" t="s">
        <v>1444</v>
      </c>
      <c r="E2626" s="154" t="n">
        <v>0.123</v>
      </c>
      <c r="F2626" s="149" t="n">
        <f aca="false">IF(C2626="MAT.",VLOOKUP(A2626,INSUMOS_AUX!$A$3:$H$813,6,0),0)</f>
        <v>0.61</v>
      </c>
      <c r="G2626" s="149" t="n">
        <f aca="false">IF(C2626="M.O.",VLOOKUP(A2626,INSUMOS_AUX!A:F,6,0),0)</f>
        <v>0</v>
      </c>
    </row>
    <row r="2627" customFormat="false" ht="21" hidden="false" customHeight="false" outlineLevel="0" collapsed="false">
      <c r="A2627" s="154" t="n">
        <v>37373</v>
      </c>
      <c r="B2627" s="155" t="s">
        <v>1448</v>
      </c>
      <c r="C2627" s="148" t="str">
        <f aca="false">VLOOKUP($A2627,INSUMOS_AUX!$A$3:$H$813,3,0)</f>
        <v>MAT.</v>
      </c>
      <c r="D2627" s="156" t="s">
        <v>1444</v>
      </c>
      <c r="E2627" s="154" t="n">
        <v>0.577035</v>
      </c>
      <c r="F2627" s="149" t="n">
        <f aca="false">IF(C2627="MAT.",VLOOKUP(A2627,INSUMOS_AUX!$A$3:$H$813,6,0),0)</f>
        <v>0.08</v>
      </c>
      <c r="G2627" s="149" t="n">
        <f aca="false">IF(C2627="M.O.",VLOOKUP(A2627,INSUMOS_AUX!A:F,6,0),0)</f>
        <v>0</v>
      </c>
    </row>
    <row r="2628" customFormat="false" ht="21" hidden="false" customHeight="false" outlineLevel="0" collapsed="false">
      <c r="A2628" s="154" t="n">
        <v>37371</v>
      </c>
      <c r="B2628" s="155" t="s">
        <v>1449</v>
      </c>
      <c r="C2628" s="148" t="s">
        <v>59</v>
      </c>
      <c r="D2628" s="156" t="s">
        <v>1444</v>
      </c>
      <c r="E2628" s="154" t="n">
        <v>0.577035</v>
      </c>
      <c r="F2628" s="149" t="n">
        <f aca="false">IF(C2628="MAT.",VLOOKUP(A2628,INSUMOS_AUX!$A$3:$H$813,6,0),0)</f>
        <v>0</v>
      </c>
      <c r="G2628" s="149" t="n">
        <f aca="false">IF(C2628="M.O.",VLOOKUP(A2628,INSUMOS_AUX!A:F,6,0),0)</f>
        <v>0</v>
      </c>
    </row>
    <row r="2629" customFormat="false" ht="31.5" hidden="false" customHeight="false" outlineLevel="0" collapsed="false">
      <c r="A2629" s="154" t="n">
        <v>10535</v>
      </c>
      <c r="B2629" s="155" t="s">
        <v>1525</v>
      </c>
      <c r="C2629" s="148" t="str">
        <f aca="false">VLOOKUP($A2629,INSUMOS_AUX!$A$3:$H$813,3,0)</f>
        <v>MAT.</v>
      </c>
      <c r="D2629" s="156" t="s">
        <v>31</v>
      </c>
      <c r="E2629" s="154" t="n">
        <v>1.9881168E-005</v>
      </c>
      <c r="F2629" s="149" t="n">
        <f aca="false">IF(C2629="MAT.",VLOOKUP(A2629,INSUMOS_AUX!$A$3:$H$813,6,0),0)</f>
        <v>4699</v>
      </c>
      <c r="G2629" s="149" t="n">
        <f aca="false">IF(C2629="M.O.",VLOOKUP(A2629,INSUMOS_AUX!A:F,6,0),0)</f>
        <v>0</v>
      </c>
    </row>
    <row r="2630" customFormat="false" ht="15" hidden="false" customHeight="false" outlineLevel="0" collapsed="false">
      <c r="A2630" s="154" t="n">
        <v>2705</v>
      </c>
      <c r="B2630" s="155" t="s">
        <v>1467</v>
      </c>
      <c r="C2630" s="148" t="str">
        <f aca="false">VLOOKUP($A2630,INSUMOS_AUX!$A$3:$H$813,3,0)</f>
        <v>MAT.</v>
      </c>
      <c r="D2630" s="156" t="s">
        <v>1468</v>
      </c>
      <c r="E2630" s="154" t="n">
        <v>0.06087875</v>
      </c>
      <c r="F2630" s="149" t="n">
        <f aca="false">IF(C2630="MAT.",VLOOKUP(A2630,INSUMOS_AUX!$A$3:$H$813,6,0),0)</f>
        <v>0.92</v>
      </c>
      <c r="G2630" s="149" t="n">
        <f aca="false">IF(C2630="M.O.",VLOOKUP(A2630,INSUMOS_AUX!A:F,6,0),0)</f>
        <v>0</v>
      </c>
    </row>
    <row r="2631" customFormat="false" ht="21" hidden="false" customHeight="false" outlineLevel="0" collapsed="false">
      <c r="A2631" s="154" t="n">
        <v>7334</v>
      </c>
      <c r="B2631" s="155" t="s">
        <v>1916</v>
      </c>
      <c r="C2631" s="148" t="str">
        <f aca="false">VLOOKUP($A2631,INSUMOS_AUX!$A$3:$H$813,3,0)</f>
        <v>MAT.</v>
      </c>
      <c r="D2631" s="156" t="s">
        <v>1452</v>
      </c>
      <c r="E2631" s="154" t="n">
        <v>0.21</v>
      </c>
      <c r="F2631" s="149" t="n">
        <f aca="false">IF(C2631="MAT.",VLOOKUP(A2631,INSUMOS_AUX!$A$3:$H$813,6,0),0)</f>
        <v>13.5</v>
      </c>
      <c r="G2631" s="149" t="n">
        <f aca="false">IF(C2631="M.O.",VLOOKUP(A2631,INSUMOS_AUX!A:F,6,0),0)</f>
        <v>0</v>
      </c>
    </row>
    <row r="2632" customFormat="false" ht="21" hidden="false" customHeight="false" outlineLevel="0" collapsed="false">
      <c r="A2632" s="154" t="n">
        <v>370</v>
      </c>
      <c r="B2632" s="155" t="s">
        <v>1527</v>
      </c>
      <c r="C2632" s="148" t="str">
        <f aca="false">VLOOKUP($A2632,INSUMOS_AUX!$A$3:$H$813,3,0)</f>
        <v>MAT.</v>
      </c>
      <c r="D2632" s="156" t="s">
        <v>1442</v>
      </c>
      <c r="E2632" s="154" t="n">
        <v>0.058616</v>
      </c>
      <c r="F2632" s="149" t="n">
        <f aca="false">IF(C2632="MAT.",VLOOKUP(A2632,INSUMOS_AUX!$A$3:$H$813,6,0),0)</f>
        <v>150</v>
      </c>
      <c r="G2632" s="149" t="n">
        <f aca="false">IF(C2632="M.O.",VLOOKUP(A2632,INSUMOS_AUX!A:F,6,0),0)</f>
        <v>0</v>
      </c>
    </row>
    <row r="2633" customFormat="false" ht="15" hidden="false" customHeight="false" outlineLevel="0" collapsed="false">
      <c r="A2633" s="154" t="n">
        <v>1379</v>
      </c>
      <c r="B2633" s="155" t="s">
        <v>1535</v>
      </c>
      <c r="C2633" s="148" t="str">
        <f aca="false">VLOOKUP($A2633,INSUMOS_AUX!$A$3:$H$813,3,0)</f>
        <v>MAT.</v>
      </c>
      <c r="D2633" s="156" t="s">
        <v>1513</v>
      </c>
      <c r="E2633" s="154" t="n">
        <v>20.319535</v>
      </c>
      <c r="F2633" s="149" t="n">
        <f aca="false">IF(C2633="MAT.",VLOOKUP(A2633,INSUMOS_AUX!$A$3:$H$813,6,0),0)</f>
        <v>0.72</v>
      </c>
      <c r="G2633" s="149" t="n">
        <f aca="false">IF(C2633="M.O.",VLOOKUP(A2633,INSUMOS_AUX!A:F,6,0),0)</f>
        <v>0</v>
      </c>
    </row>
    <row r="2634" customFormat="false" ht="15" hidden="false" customHeight="false" outlineLevel="0" collapsed="false">
      <c r="A2634" s="154" t="n">
        <v>37666</v>
      </c>
      <c r="B2634" s="155" t="s">
        <v>1558</v>
      </c>
      <c r="C2634" s="148" t="str">
        <f aca="false">VLOOKUP($A2634,INSUMOS_AUX!$A$3:$H$813,3,0)</f>
        <v>M.O.</v>
      </c>
      <c r="D2634" s="156" t="s">
        <v>1444</v>
      </c>
      <c r="E2634" s="154" t="n">
        <v>0.21077208085</v>
      </c>
      <c r="F2634" s="149" t="n">
        <f aca="false">IF(C2634="MAT.",VLOOKUP(A2634,INSUMOS_AUX!$A$3:$H$813,6,0),0)</f>
        <v>0</v>
      </c>
      <c r="G2634" s="149" t="n">
        <f aca="false">IF(C2634="M.O.",VLOOKUP(A2634,INSUMOS_AUX!A:F,6,0),0)</f>
        <v>11.87</v>
      </c>
    </row>
    <row r="2635" customFormat="false" ht="15" hidden="false" customHeight="false" outlineLevel="0" collapsed="false">
      <c r="A2635" s="154" t="n">
        <v>4750</v>
      </c>
      <c r="B2635" s="155" t="s">
        <v>1463</v>
      </c>
      <c r="C2635" s="148" t="str">
        <f aca="false">VLOOKUP($A2635,INSUMOS_AUX!$A$3:$H$813,3,0)</f>
        <v>M.O.</v>
      </c>
      <c r="D2635" s="156" t="s">
        <v>1444</v>
      </c>
      <c r="E2635" s="154" t="n">
        <v>0.250194</v>
      </c>
      <c r="F2635" s="149" t="n">
        <f aca="false">IF(C2635="MAT.",VLOOKUP(A2635,INSUMOS_AUX!$A$3:$H$813,6,0),0)</f>
        <v>0</v>
      </c>
      <c r="G2635" s="149" t="n">
        <f aca="false">IF(C2635="M.O.",VLOOKUP(A2635,INSUMOS_AUX!A:F,6,0),0)</f>
        <v>20.22</v>
      </c>
    </row>
    <row r="2636" customFormat="false" ht="15" hidden="false" customHeight="false" outlineLevel="0" collapsed="false">
      <c r="A2636" s="154" t="n">
        <v>6111</v>
      </c>
      <c r="B2636" s="155" t="s">
        <v>1464</v>
      </c>
      <c r="C2636" s="148" t="str">
        <f aca="false">VLOOKUP($A2636,INSUMOS_AUX!$A$3:$H$813,3,0)</f>
        <v>M.O.</v>
      </c>
      <c r="D2636" s="156" t="s">
        <v>1444</v>
      </c>
      <c r="E2636" s="154" t="n">
        <v>0.1256076</v>
      </c>
      <c r="F2636" s="149" t="n">
        <f aca="false">IF(C2636="MAT.",VLOOKUP(A2636,INSUMOS_AUX!$A$3:$H$813,6,0),0)</f>
        <v>0</v>
      </c>
      <c r="G2636" s="149" t="n">
        <f aca="false">IF(C2636="M.O.",VLOOKUP(A2636,INSUMOS_AUX!A:F,6,0),0)</f>
        <v>12.95</v>
      </c>
    </row>
    <row r="2637" customFormat="false" ht="21" hidden="false" customHeight="false" outlineLevel="0" collapsed="false">
      <c r="A2637" s="150" t="n">
        <v>102500</v>
      </c>
      <c r="B2637" s="151" t="s">
        <v>1917</v>
      </c>
      <c r="C2637" s="152" t="s">
        <v>59</v>
      </c>
      <c r="D2637" s="152" t="s">
        <v>1455</v>
      </c>
      <c r="E2637" s="150"/>
      <c r="F2637" s="153" t="n">
        <f aca="false">(SUMPRODUCT($E2638:$E2649,F2638:F2649))*1</f>
        <v>2.33683</v>
      </c>
      <c r="G2637" s="153" t="n">
        <f aca="false">(SUMPRODUCT($E2638:$E2649,G2638:G2649))*1</f>
        <v>1.7030311176</v>
      </c>
    </row>
    <row r="2638" customFormat="false" ht="21" hidden="false" customHeight="false" outlineLevel="0" collapsed="false">
      <c r="A2638" s="154" t="n">
        <v>37370</v>
      </c>
      <c r="B2638" s="155" t="s">
        <v>1443</v>
      </c>
      <c r="C2638" s="148" t="str">
        <f aca="false">VLOOKUP($A2638,INSUMOS_AUX!$A$3:$H$813,3,0)</f>
        <v>MAT.</v>
      </c>
      <c r="D2638" s="156" t="s">
        <v>1444</v>
      </c>
      <c r="E2638" s="154" t="n">
        <v>0.118</v>
      </c>
      <c r="F2638" s="149" t="n">
        <f aca="false">IF(C2638="MAT.",VLOOKUP(A2638,INSUMOS_AUX!$A$3:$H$813,6,0),0)</f>
        <v>3.32</v>
      </c>
      <c r="G2638" s="149" t="n">
        <f aca="false">IF(C2638="M.O.",VLOOKUP(A2638,INSUMOS_AUX!A:F,6,0),0)</f>
        <v>0</v>
      </c>
    </row>
    <row r="2639" customFormat="false" ht="21" hidden="false" customHeight="false" outlineLevel="0" collapsed="false">
      <c r="A2639" s="154" t="n">
        <v>43490</v>
      </c>
      <c r="B2639" s="155" t="s">
        <v>1508</v>
      </c>
      <c r="C2639" s="148" t="str">
        <f aca="false">VLOOKUP($A2639,INSUMOS_AUX!$A$3:$H$813,3,0)</f>
        <v>MAT.</v>
      </c>
      <c r="D2639" s="156" t="s">
        <v>1444</v>
      </c>
      <c r="E2639" s="154" t="n">
        <v>0.083</v>
      </c>
      <c r="F2639" s="149" t="n">
        <f aca="false">IF(C2639="MAT.",VLOOKUP(A2639,INSUMOS_AUX!$A$3:$H$813,6,0),0)</f>
        <v>1.85</v>
      </c>
      <c r="G2639" s="149" t="n">
        <f aca="false">IF(C2639="M.O.",VLOOKUP(A2639,INSUMOS_AUX!A:F,6,0),0)</f>
        <v>0</v>
      </c>
    </row>
    <row r="2640" customFormat="false" ht="21" hidden="false" customHeight="false" outlineLevel="0" collapsed="false">
      <c r="A2640" s="154" t="n">
        <v>43491</v>
      </c>
      <c r="B2640" s="155" t="s">
        <v>1457</v>
      </c>
      <c r="C2640" s="148" t="str">
        <f aca="false">VLOOKUP($A2640,INSUMOS_AUX!$A$3:$H$813,3,0)</f>
        <v>MAT.</v>
      </c>
      <c r="D2640" s="156" t="s">
        <v>1444</v>
      </c>
      <c r="E2640" s="154" t="n">
        <v>0.035</v>
      </c>
      <c r="F2640" s="149" t="n">
        <f aca="false">IF(C2640="MAT.",VLOOKUP(A2640,INSUMOS_AUX!$A$3:$H$813,6,0),0)</f>
        <v>1.39</v>
      </c>
      <c r="G2640" s="149" t="n">
        <f aca="false">IF(C2640="M.O.",VLOOKUP(A2640,INSUMOS_AUX!A:F,6,0),0)</f>
        <v>0</v>
      </c>
    </row>
    <row r="2641" customFormat="false" ht="21" hidden="false" customHeight="false" outlineLevel="0" collapsed="false">
      <c r="A2641" s="154" t="n">
        <v>37372</v>
      </c>
      <c r="B2641" s="155" t="s">
        <v>1446</v>
      </c>
      <c r="C2641" s="148" t="str">
        <f aca="false">VLOOKUP($A2641,INSUMOS_AUX!$A$3:$H$813,3,0)</f>
        <v>MAT.</v>
      </c>
      <c r="D2641" s="156" t="s">
        <v>1444</v>
      </c>
      <c r="E2641" s="154" t="n">
        <v>0.118</v>
      </c>
      <c r="F2641" s="149" t="n">
        <f aca="false">IF(C2641="MAT.",VLOOKUP(A2641,INSUMOS_AUX!$A$3:$H$813,6,0),0)</f>
        <v>1.43</v>
      </c>
      <c r="G2641" s="149" t="n">
        <f aca="false">IF(C2641="M.O.",VLOOKUP(A2641,INSUMOS_AUX!A:F,6,0),0)</f>
        <v>0</v>
      </c>
    </row>
    <row r="2642" customFormat="false" ht="21" hidden="false" customHeight="false" outlineLevel="0" collapsed="false">
      <c r="A2642" s="154" t="n">
        <v>43466</v>
      </c>
      <c r="B2642" s="155" t="s">
        <v>1509</v>
      </c>
      <c r="C2642" s="148" t="str">
        <f aca="false">VLOOKUP($A2642,INSUMOS_AUX!$A$3:$H$813,3,0)</f>
        <v>MAT.</v>
      </c>
      <c r="D2642" s="156" t="s">
        <v>1444</v>
      </c>
      <c r="E2642" s="154" t="n">
        <v>0.083</v>
      </c>
      <c r="F2642" s="149" t="n">
        <f aca="false">IF(C2642="MAT.",VLOOKUP(A2642,INSUMOS_AUX!$A$3:$H$813,6,0),0)</f>
        <v>2.05</v>
      </c>
      <c r="G2642" s="149" t="n">
        <f aca="false">IF(C2642="M.O.",VLOOKUP(A2642,INSUMOS_AUX!A:F,6,0),0)</f>
        <v>0</v>
      </c>
    </row>
    <row r="2643" customFormat="false" ht="21" hidden="false" customHeight="false" outlineLevel="0" collapsed="false">
      <c r="A2643" s="154" t="n">
        <v>43467</v>
      </c>
      <c r="B2643" s="155" t="s">
        <v>1459</v>
      </c>
      <c r="C2643" s="148" t="str">
        <f aca="false">VLOOKUP($A2643,INSUMOS_AUX!$A$3:$H$813,3,0)</f>
        <v>MAT.</v>
      </c>
      <c r="D2643" s="156" t="s">
        <v>1444</v>
      </c>
      <c r="E2643" s="154" t="n">
        <v>0.035</v>
      </c>
      <c r="F2643" s="149" t="n">
        <f aca="false">IF(C2643="MAT.",VLOOKUP(A2643,INSUMOS_AUX!$A$3:$H$813,6,0),0)</f>
        <v>0.61</v>
      </c>
      <c r="G2643" s="149" t="n">
        <f aca="false">IF(C2643="M.O.",VLOOKUP(A2643,INSUMOS_AUX!A:F,6,0),0)</f>
        <v>0</v>
      </c>
    </row>
    <row r="2644" customFormat="false" ht="21" hidden="false" customHeight="false" outlineLevel="0" collapsed="false">
      <c r="A2644" s="154" t="n">
        <v>37373</v>
      </c>
      <c r="B2644" s="155" t="s">
        <v>1448</v>
      </c>
      <c r="C2644" s="148" t="str">
        <f aca="false">VLOOKUP($A2644,INSUMOS_AUX!$A$3:$H$813,3,0)</f>
        <v>MAT.</v>
      </c>
      <c r="D2644" s="156" t="s">
        <v>1444</v>
      </c>
      <c r="E2644" s="154" t="n">
        <v>0.118</v>
      </c>
      <c r="F2644" s="149" t="n">
        <f aca="false">IF(C2644="MAT.",VLOOKUP(A2644,INSUMOS_AUX!$A$3:$H$813,6,0),0)</f>
        <v>0.08</v>
      </c>
      <c r="G2644" s="149" t="n">
        <f aca="false">IF(C2644="M.O.",VLOOKUP(A2644,INSUMOS_AUX!A:F,6,0),0)</f>
        <v>0</v>
      </c>
    </row>
    <row r="2645" customFormat="false" ht="21" hidden="false" customHeight="false" outlineLevel="0" collapsed="false">
      <c r="A2645" s="154" t="n">
        <v>37371</v>
      </c>
      <c r="B2645" s="155" t="s">
        <v>1449</v>
      </c>
      <c r="C2645" s="148" t="str">
        <f aca="false">VLOOKUP($A2645,INSUMOS_AUX!$A$3:$H$813,3,0)</f>
        <v>MAT.</v>
      </c>
      <c r="D2645" s="156" t="s">
        <v>1444</v>
      </c>
      <c r="E2645" s="154" t="n">
        <v>0.118</v>
      </c>
      <c r="F2645" s="149" t="n">
        <f aca="false">IF(C2645="MAT.",VLOOKUP(A2645,INSUMOS_AUX!$A$3:$H$813,6,0),0)</f>
        <v>0.59</v>
      </c>
      <c r="G2645" s="149" t="n">
        <f aca="false">IF(C2645="M.O.",VLOOKUP(A2645,INSUMOS_AUX!A:F,6,0),0)</f>
        <v>0</v>
      </c>
    </row>
    <row r="2646" customFormat="false" ht="15" hidden="false" customHeight="false" outlineLevel="0" collapsed="false">
      <c r="A2646" s="154" t="n">
        <v>12815</v>
      </c>
      <c r="B2646" s="155" t="s">
        <v>1918</v>
      </c>
      <c r="C2646" s="148" t="str">
        <f aca="false">VLOOKUP($A2646,INSUMOS_AUX!$A$3:$H$813,3,0)</f>
        <v>MAT.</v>
      </c>
      <c r="D2646" s="156" t="s">
        <v>31</v>
      </c>
      <c r="E2646" s="154" t="n">
        <v>0.04</v>
      </c>
      <c r="F2646" s="149" t="n">
        <f aca="false">IF(C2646="MAT.",VLOOKUP(A2646,INSUMOS_AUX!$A$3:$H$813,6,0),0)</f>
        <v>9.81</v>
      </c>
      <c r="G2646" s="149" t="n">
        <f aca="false">IF(C2646="M.O.",VLOOKUP(A2646,INSUMOS_AUX!A:F,6,0),0)</f>
        <v>0</v>
      </c>
    </row>
    <row r="2647" customFormat="false" ht="15" hidden="false" customHeight="false" outlineLevel="0" collapsed="false">
      <c r="A2647" s="154" t="n">
        <v>7348</v>
      </c>
      <c r="B2647" s="155" t="s">
        <v>1919</v>
      </c>
      <c r="C2647" s="148" t="str">
        <f aca="false">VLOOKUP($A2647,INSUMOS_AUX!$A$3:$H$813,3,0)</f>
        <v>MAT.</v>
      </c>
      <c r="D2647" s="156" t="s">
        <v>1452</v>
      </c>
      <c r="E2647" s="154" t="n">
        <v>0.043</v>
      </c>
      <c r="F2647" s="149" t="n">
        <f aca="false">IF(C2647="MAT.",VLOOKUP(A2647,INSUMOS_AUX!$A$3:$H$813,6,0),0)</f>
        <v>21.19</v>
      </c>
      <c r="G2647" s="149" t="n">
        <f aca="false">IF(C2647="M.O.",VLOOKUP(A2647,INSUMOS_AUX!A:F,6,0),0)</f>
        <v>0</v>
      </c>
    </row>
    <row r="2648" customFormat="false" ht="15" hidden="false" customHeight="false" outlineLevel="0" collapsed="false">
      <c r="A2648" s="154" t="n">
        <v>4783</v>
      </c>
      <c r="B2648" s="155" t="s">
        <v>1517</v>
      </c>
      <c r="C2648" s="148" t="str">
        <f aca="false">VLOOKUP($A2648,INSUMOS_AUX!$A$3:$H$813,3,0)</f>
        <v>M.O.</v>
      </c>
      <c r="D2648" s="156" t="s">
        <v>1444</v>
      </c>
      <c r="E2648" s="154" t="n">
        <v>0.08422508</v>
      </c>
      <c r="F2648" s="149" t="n">
        <f aca="false">IF(C2648="MAT.",VLOOKUP(A2648,INSUMOS_AUX!$A$3:$H$813,6,0),0)</f>
        <v>0</v>
      </c>
      <c r="G2648" s="149" t="n">
        <f aca="false">IF(C2648="M.O.",VLOOKUP(A2648,INSUMOS_AUX!A:F,6,0),0)</f>
        <v>20.22</v>
      </c>
    </row>
    <row r="2649" customFormat="false" ht="15" hidden="false" customHeight="false" outlineLevel="0" collapsed="false">
      <c r="A2649" s="154" t="n">
        <v>6111</v>
      </c>
      <c r="B2649" s="155" t="s">
        <v>1464</v>
      </c>
      <c r="C2649" s="148" t="s">
        <v>59</v>
      </c>
      <c r="D2649" s="156" t="s">
        <v>1444</v>
      </c>
      <c r="E2649" s="154" t="n">
        <v>0.035742</v>
      </c>
      <c r="F2649" s="149" t="n">
        <f aca="false">IF(C2649="MAT.",VLOOKUP(A2649,INSUMOS_AUX!$A$3:$H$813,6,0),0)</f>
        <v>0</v>
      </c>
      <c r="G2649" s="149" t="n">
        <f aca="false">IF(C2649="M.O.",VLOOKUP(A2649,INSUMOS_AUX!A:F,6,0),0)</f>
        <v>0</v>
      </c>
    </row>
    <row r="2650" customFormat="false" ht="31.5" hidden="false" customHeight="false" outlineLevel="0" collapsed="false">
      <c r="A2650" s="150" t="n">
        <v>102513</v>
      </c>
      <c r="B2650" s="151" t="s">
        <v>1920</v>
      </c>
      <c r="C2650" s="152" t="s">
        <v>59</v>
      </c>
      <c r="D2650" s="152" t="s">
        <v>1477</v>
      </c>
      <c r="E2650" s="150"/>
      <c r="F2650" s="153" t="n">
        <f aca="false">(SUMPRODUCT($E2651:$E2662,F2651:F2662))*1</f>
        <v>23.21963</v>
      </c>
      <c r="G2650" s="153" t="n">
        <f aca="false">(SUMPRODUCT($E2651:$E2662,G2651:G2662))*1</f>
        <v>24.987525312</v>
      </c>
    </row>
    <row r="2651" customFormat="false" ht="21" hidden="false" customHeight="false" outlineLevel="0" collapsed="false">
      <c r="A2651" s="154" t="n">
        <v>37370</v>
      </c>
      <c r="B2651" s="155" t="s">
        <v>1443</v>
      </c>
      <c r="C2651" s="148" t="str">
        <f aca="false">VLOOKUP($A2651,INSUMOS_AUX!$A$3:$H$813,3,0)</f>
        <v>MAT.</v>
      </c>
      <c r="D2651" s="156" t="s">
        <v>1444</v>
      </c>
      <c r="E2651" s="154" t="n">
        <v>1.36</v>
      </c>
      <c r="F2651" s="149" t="n">
        <f aca="false">IF(C2651="MAT.",VLOOKUP(A2651,INSUMOS_AUX!$A$3:$H$813,6,0),0)</f>
        <v>3.32</v>
      </c>
      <c r="G2651" s="149" t="n">
        <f aca="false">IF(C2651="M.O.",VLOOKUP(A2651,INSUMOS_AUX!A:F,6,0),0)</f>
        <v>0</v>
      </c>
    </row>
    <row r="2652" customFormat="false" ht="21" hidden="false" customHeight="false" outlineLevel="0" collapsed="false">
      <c r="A2652" s="154" t="n">
        <v>43490</v>
      </c>
      <c r="B2652" s="155" t="s">
        <v>1508</v>
      </c>
      <c r="C2652" s="148" t="str">
        <f aca="false">VLOOKUP($A2652,INSUMOS_AUX!$A$3:$H$813,3,0)</f>
        <v>MAT.</v>
      </c>
      <c r="D2652" s="156" t="s">
        <v>1444</v>
      </c>
      <c r="E2652" s="154" t="n">
        <v>0.96</v>
      </c>
      <c r="F2652" s="149" t="n">
        <f aca="false">IF(C2652="MAT.",VLOOKUP(A2652,INSUMOS_AUX!$A$3:$H$813,6,0),0)</f>
        <v>1.85</v>
      </c>
      <c r="G2652" s="149" t="n">
        <f aca="false">IF(C2652="M.O.",VLOOKUP(A2652,INSUMOS_AUX!A:F,6,0),0)</f>
        <v>0</v>
      </c>
    </row>
    <row r="2653" customFormat="false" ht="21" hidden="false" customHeight="false" outlineLevel="0" collapsed="false">
      <c r="A2653" s="154" t="n">
        <v>43491</v>
      </c>
      <c r="B2653" s="155" t="s">
        <v>1457</v>
      </c>
      <c r="C2653" s="148" t="str">
        <f aca="false">VLOOKUP($A2653,INSUMOS_AUX!$A$3:$H$813,3,0)</f>
        <v>MAT.</v>
      </c>
      <c r="D2653" s="156" t="s">
        <v>1444</v>
      </c>
      <c r="E2653" s="154" t="n">
        <v>0.4</v>
      </c>
      <c r="F2653" s="149" t="n">
        <f aca="false">IF(C2653="MAT.",VLOOKUP(A2653,INSUMOS_AUX!$A$3:$H$813,6,0),0)</f>
        <v>1.39</v>
      </c>
      <c r="G2653" s="149" t="n">
        <f aca="false">IF(C2653="M.O.",VLOOKUP(A2653,INSUMOS_AUX!A:F,6,0),0)</f>
        <v>0</v>
      </c>
    </row>
    <row r="2654" customFormat="false" ht="21" hidden="false" customHeight="false" outlineLevel="0" collapsed="false">
      <c r="A2654" s="154" t="n">
        <v>37372</v>
      </c>
      <c r="B2654" s="155" t="s">
        <v>1446</v>
      </c>
      <c r="C2654" s="148" t="str">
        <f aca="false">VLOOKUP($A2654,INSUMOS_AUX!$A$3:$H$813,3,0)</f>
        <v>MAT.</v>
      </c>
      <c r="D2654" s="156" t="s">
        <v>1444</v>
      </c>
      <c r="E2654" s="154" t="n">
        <v>1.36</v>
      </c>
      <c r="F2654" s="149" t="n">
        <f aca="false">IF(C2654="MAT.",VLOOKUP(A2654,INSUMOS_AUX!$A$3:$H$813,6,0),0)</f>
        <v>1.43</v>
      </c>
      <c r="G2654" s="149" t="n">
        <f aca="false">IF(C2654="M.O.",VLOOKUP(A2654,INSUMOS_AUX!A:F,6,0),0)</f>
        <v>0</v>
      </c>
    </row>
    <row r="2655" customFormat="false" ht="21" hidden="false" customHeight="false" outlineLevel="0" collapsed="false">
      <c r="A2655" s="154" t="n">
        <v>43466</v>
      </c>
      <c r="B2655" s="155" t="s">
        <v>1509</v>
      </c>
      <c r="C2655" s="148" t="str">
        <f aca="false">VLOOKUP($A2655,INSUMOS_AUX!$A$3:$H$813,3,0)</f>
        <v>MAT.</v>
      </c>
      <c r="D2655" s="156" t="s">
        <v>1444</v>
      </c>
      <c r="E2655" s="154" t="n">
        <v>0.96</v>
      </c>
      <c r="F2655" s="149" t="n">
        <f aca="false">IF(C2655="MAT.",VLOOKUP(A2655,INSUMOS_AUX!$A$3:$H$813,6,0),0)</f>
        <v>2.05</v>
      </c>
      <c r="G2655" s="149" t="n">
        <f aca="false">IF(C2655="M.O.",VLOOKUP(A2655,INSUMOS_AUX!A:F,6,0),0)</f>
        <v>0</v>
      </c>
    </row>
    <row r="2656" customFormat="false" ht="21" hidden="false" customHeight="false" outlineLevel="0" collapsed="false">
      <c r="A2656" s="154" t="n">
        <v>43467</v>
      </c>
      <c r="B2656" s="155" t="s">
        <v>1459</v>
      </c>
      <c r="C2656" s="148" t="str">
        <f aca="false">VLOOKUP($A2656,INSUMOS_AUX!$A$3:$H$813,3,0)</f>
        <v>MAT.</v>
      </c>
      <c r="D2656" s="156" t="s">
        <v>1444</v>
      </c>
      <c r="E2656" s="154" t="n">
        <v>0.4</v>
      </c>
      <c r="F2656" s="149" t="n">
        <f aca="false">IF(C2656="MAT.",VLOOKUP(A2656,INSUMOS_AUX!$A$3:$H$813,6,0),0)</f>
        <v>0.61</v>
      </c>
      <c r="G2656" s="149" t="n">
        <f aca="false">IF(C2656="M.O.",VLOOKUP(A2656,INSUMOS_AUX!A:F,6,0),0)</f>
        <v>0</v>
      </c>
    </row>
    <row r="2657" customFormat="false" ht="21" hidden="false" customHeight="false" outlineLevel="0" collapsed="false">
      <c r="A2657" s="154" t="n">
        <v>37373</v>
      </c>
      <c r="B2657" s="155" t="s">
        <v>1448</v>
      </c>
      <c r="C2657" s="148" t="str">
        <f aca="false">VLOOKUP($A2657,INSUMOS_AUX!$A$3:$H$813,3,0)</f>
        <v>MAT.</v>
      </c>
      <c r="D2657" s="156" t="s">
        <v>1444</v>
      </c>
      <c r="E2657" s="154" t="n">
        <v>1.36</v>
      </c>
      <c r="F2657" s="149" t="n">
        <f aca="false">IF(C2657="MAT.",VLOOKUP(A2657,INSUMOS_AUX!$A$3:$H$813,6,0),0)</f>
        <v>0.08</v>
      </c>
      <c r="G2657" s="149" t="n">
        <f aca="false">IF(C2657="M.O.",VLOOKUP(A2657,INSUMOS_AUX!A:F,6,0),0)</f>
        <v>0</v>
      </c>
    </row>
    <row r="2658" customFormat="false" ht="21" hidden="false" customHeight="false" outlineLevel="0" collapsed="false">
      <c r="A2658" s="154" t="n">
        <v>37371</v>
      </c>
      <c r="B2658" s="155" t="s">
        <v>1449</v>
      </c>
      <c r="C2658" s="148" t="str">
        <f aca="false">VLOOKUP($A2658,INSUMOS_AUX!$A$3:$H$813,3,0)</f>
        <v>MAT.</v>
      </c>
      <c r="D2658" s="156" t="s">
        <v>1444</v>
      </c>
      <c r="E2658" s="154" t="n">
        <v>1.36</v>
      </c>
      <c r="F2658" s="149" t="n">
        <f aca="false">IF(C2658="MAT.",VLOOKUP(A2658,INSUMOS_AUX!$A$3:$H$813,6,0),0)</f>
        <v>0.59</v>
      </c>
      <c r="G2658" s="149" t="n">
        <f aca="false">IF(C2658="M.O.",VLOOKUP(A2658,INSUMOS_AUX!A:F,6,0),0)</f>
        <v>0</v>
      </c>
    </row>
    <row r="2659" customFormat="false" ht="15" hidden="false" customHeight="false" outlineLevel="0" collapsed="false">
      <c r="A2659" s="154" t="n">
        <v>12815</v>
      </c>
      <c r="B2659" s="155" t="s">
        <v>1918</v>
      </c>
      <c r="C2659" s="148" t="str">
        <f aca="false">VLOOKUP($A2659,INSUMOS_AUX!$A$3:$H$813,3,0)</f>
        <v>MAT.</v>
      </c>
      <c r="D2659" s="156" t="s">
        <v>31</v>
      </c>
      <c r="E2659" s="154" t="n">
        <v>0.23</v>
      </c>
      <c r="F2659" s="149" t="n">
        <f aca="false">IF(C2659="MAT.",VLOOKUP(A2659,INSUMOS_AUX!$A$3:$H$813,6,0),0)</f>
        <v>9.81</v>
      </c>
      <c r="G2659" s="149" t="n">
        <f aca="false">IF(C2659="M.O.",VLOOKUP(A2659,INSUMOS_AUX!A:F,6,0),0)</f>
        <v>0</v>
      </c>
    </row>
    <row r="2660" customFormat="false" ht="15" hidden="false" customHeight="false" outlineLevel="0" collapsed="false">
      <c r="A2660" s="154" t="n">
        <v>7348</v>
      </c>
      <c r="B2660" s="155" t="s">
        <v>1919</v>
      </c>
      <c r="C2660" s="148" t="str">
        <f aca="false">VLOOKUP($A2660,INSUMOS_AUX!$A$3:$H$813,3,0)</f>
        <v>MAT.</v>
      </c>
      <c r="D2660" s="156" t="s">
        <v>1452</v>
      </c>
      <c r="E2660" s="154" t="n">
        <v>0.427</v>
      </c>
      <c r="F2660" s="149" t="n">
        <f aca="false">IF(C2660="MAT.",VLOOKUP(A2660,INSUMOS_AUX!$A$3:$H$813,6,0),0)</f>
        <v>21.19</v>
      </c>
      <c r="G2660" s="149" t="n">
        <f aca="false">IF(C2660="M.O.",VLOOKUP(A2660,INSUMOS_AUX!A:F,6,0),0)</f>
        <v>0</v>
      </c>
    </row>
    <row r="2661" customFormat="false" ht="15" hidden="false" customHeight="false" outlineLevel="0" collapsed="false">
      <c r="A2661" s="154" t="n">
        <v>4783</v>
      </c>
      <c r="B2661" s="155" t="s">
        <v>1517</v>
      </c>
      <c r="C2661" s="148" t="str">
        <f aca="false">VLOOKUP($A2661,INSUMOS_AUX!$A$3:$H$813,3,0)</f>
        <v>M.O.</v>
      </c>
      <c r="D2661" s="156" t="s">
        <v>1444</v>
      </c>
      <c r="E2661" s="154" t="n">
        <v>0.9741696</v>
      </c>
      <c r="F2661" s="149" t="n">
        <f aca="false">IF(C2661="MAT.",VLOOKUP(A2661,INSUMOS_AUX!$A$3:$H$813,6,0),0)</f>
        <v>0</v>
      </c>
      <c r="G2661" s="149" t="n">
        <f aca="false">IF(C2661="M.O.",VLOOKUP(A2661,INSUMOS_AUX!A:F,6,0),0)</f>
        <v>20.22</v>
      </c>
    </row>
    <row r="2662" customFormat="false" ht="15" hidden="false" customHeight="false" outlineLevel="0" collapsed="false">
      <c r="A2662" s="154" t="n">
        <v>6111</v>
      </c>
      <c r="B2662" s="155" t="s">
        <v>1464</v>
      </c>
      <c r="C2662" s="148" t="str">
        <f aca="false">VLOOKUP($A2662,INSUMOS_AUX!$A$3:$H$813,3,0)</f>
        <v>M.O.</v>
      </c>
      <c r="D2662" s="156" t="s">
        <v>1444</v>
      </c>
      <c r="E2662" s="154" t="n">
        <v>0.40848</v>
      </c>
      <c r="F2662" s="149" t="n">
        <f aca="false">IF(C2662="MAT.",VLOOKUP(A2662,INSUMOS_AUX!$A$3:$H$813,6,0),0)</f>
        <v>0</v>
      </c>
      <c r="G2662" s="149" t="n">
        <f aca="false">IF(C2662="M.O.",VLOOKUP(A2662,INSUMOS_AUX!A:F,6,0),0)</f>
        <v>12.95</v>
      </c>
    </row>
    <row r="2663" customFormat="false" ht="21" hidden="false" customHeight="false" outlineLevel="0" collapsed="false">
      <c r="A2663" s="150" t="s">
        <v>515</v>
      </c>
      <c r="B2663" s="151" t="s">
        <v>1921</v>
      </c>
      <c r="C2663" s="152" t="s">
        <v>59</v>
      </c>
      <c r="D2663" s="152" t="s">
        <v>31</v>
      </c>
      <c r="E2663" s="150"/>
      <c r="F2663" s="153" t="n">
        <f aca="false">(SUMPRODUCT($E2664:$E2671,F2664:F2671))*1</f>
        <v>9.905704</v>
      </c>
      <c r="G2663" s="153" t="n">
        <f aca="false">(SUMPRODUCT($E2664:$E2671,G2664:G2671))*1</f>
        <v>0.544851048</v>
      </c>
    </row>
    <row r="2664" customFormat="false" ht="21" hidden="false" customHeight="false" outlineLevel="0" collapsed="false">
      <c r="A2664" s="154" t="n">
        <v>37370</v>
      </c>
      <c r="B2664" s="155" t="s">
        <v>1443</v>
      </c>
      <c r="C2664" s="148" t="str">
        <f aca="false">VLOOKUP($A2664,INSUMOS_AUX!$A$3:$H$813,3,0)</f>
        <v>MAT.</v>
      </c>
      <c r="D2664" s="156" t="s">
        <v>1444</v>
      </c>
      <c r="E2664" s="154" t="n">
        <v>0.0412</v>
      </c>
      <c r="F2664" s="149" t="n">
        <f aca="false">IF(C2664="MAT.",VLOOKUP(A2664,INSUMOS_AUX!$A$3:$H$813,6,0),0)</f>
        <v>3.32</v>
      </c>
      <c r="G2664" s="149" t="n">
        <f aca="false">IF(C2664="M.O.",VLOOKUP(A2664,INSUMOS_AUX!A:F,6,0),0)</f>
        <v>0</v>
      </c>
    </row>
    <row r="2665" customFormat="false" ht="21" hidden="false" customHeight="false" outlineLevel="0" collapsed="false">
      <c r="A2665" s="154" t="n">
        <v>43491</v>
      </c>
      <c r="B2665" s="155" t="s">
        <v>1457</v>
      </c>
      <c r="C2665" s="148" t="str">
        <f aca="false">VLOOKUP($A2665,INSUMOS_AUX!$A$3:$H$813,3,0)</f>
        <v>MAT.</v>
      </c>
      <c r="D2665" s="156" t="s">
        <v>1444</v>
      </c>
      <c r="E2665" s="154" t="n">
        <v>0.0412</v>
      </c>
      <c r="F2665" s="149" t="n">
        <f aca="false">IF(C2665="MAT.",VLOOKUP(A2665,INSUMOS_AUX!$A$3:$H$813,6,0),0)</f>
        <v>1.39</v>
      </c>
      <c r="G2665" s="149" t="n">
        <f aca="false">IF(C2665="M.O.",VLOOKUP(A2665,INSUMOS_AUX!A:F,6,0),0)</f>
        <v>0</v>
      </c>
    </row>
    <row r="2666" customFormat="false" ht="21" hidden="false" customHeight="false" outlineLevel="0" collapsed="false">
      <c r="A2666" s="154" t="n">
        <v>37372</v>
      </c>
      <c r="B2666" s="155" t="s">
        <v>1446</v>
      </c>
      <c r="C2666" s="148" t="str">
        <f aca="false">VLOOKUP($A2666,INSUMOS_AUX!$A$3:$H$813,3,0)</f>
        <v>MAT.</v>
      </c>
      <c r="D2666" s="156" t="s">
        <v>1444</v>
      </c>
      <c r="E2666" s="154" t="n">
        <v>0.0412</v>
      </c>
      <c r="F2666" s="149" t="n">
        <f aca="false">IF(C2666="MAT.",VLOOKUP(A2666,INSUMOS_AUX!$A$3:$H$813,6,0),0)</f>
        <v>1.43</v>
      </c>
      <c r="G2666" s="149" t="n">
        <f aca="false">IF(C2666="M.O.",VLOOKUP(A2666,INSUMOS_AUX!A:F,6,0),0)</f>
        <v>0</v>
      </c>
    </row>
    <row r="2667" customFormat="false" ht="21" hidden="false" customHeight="false" outlineLevel="0" collapsed="false">
      <c r="A2667" s="154" t="n">
        <v>43467</v>
      </c>
      <c r="B2667" s="155" t="s">
        <v>1459</v>
      </c>
      <c r="C2667" s="148" t="str">
        <f aca="false">VLOOKUP($A2667,INSUMOS_AUX!$A$3:$H$813,3,0)</f>
        <v>MAT.</v>
      </c>
      <c r="D2667" s="156" t="s">
        <v>1444</v>
      </c>
      <c r="E2667" s="154" t="n">
        <v>0.0412</v>
      </c>
      <c r="F2667" s="149" t="n">
        <f aca="false">IF(C2667="MAT.",VLOOKUP(A2667,INSUMOS_AUX!$A$3:$H$813,6,0),0)</f>
        <v>0.61</v>
      </c>
      <c r="G2667" s="149" t="n">
        <f aca="false">IF(C2667="M.O.",VLOOKUP(A2667,INSUMOS_AUX!A:F,6,0),0)</f>
        <v>0</v>
      </c>
    </row>
    <row r="2668" customFormat="false" ht="21" hidden="false" customHeight="false" outlineLevel="0" collapsed="false">
      <c r="A2668" s="154" t="n">
        <v>37373</v>
      </c>
      <c r="B2668" s="155" t="s">
        <v>1448</v>
      </c>
      <c r="C2668" s="148" t="str">
        <f aca="false">VLOOKUP($A2668,INSUMOS_AUX!$A$3:$H$813,3,0)</f>
        <v>MAT.</v>
      </c>
      <c r="D2668" s="156" t="s">
        <v>1444</v>
      </c>
      <c r="E2668" s="154" t="n">
        <v>0.0412</v>
      </c>
      <c r="F2668" s="149" t="n">
        <f aca="false">IF(C2668="MAT.",VLOOKUP(A2668,INSUMOS_AUX!$A$3:$H$813,6,0),0)</f>
        <v>0.08</v>
      </c>
      <c r="G2668" s="149" t="n">
        <f aca="false">IF(C2668="M.O.",VLOOKUP(A2668,INSUMOS_AUX!A:F,6,0),0)</f>
        <v>0</v>
      </c>
    </row>
    <row r="2669" customFormat="false" ht="21" hidden="false" customHeight="false" outlineLevel="0" collapsed="false">
      <c r="A2669" s="154" t="n">
        <v>37371</v>
      </c>
      <c r="B2669" s="155" t="s">
        <v>1449</v>
      </c>
      <c r="C2669" s="148" t="str">
        <f aca="false">VLOOKUP($A2669,INSUMOS_AUX!$A$3:$H$813,3,0)</f>
        <v>MAT.</v>
      </c>
      <c r="D2669" s="156" t="s">
        <v>1444</v>
      </c>
      <c r="E2669" s="154" t="n">
        <v>0.0412</v>
      </c>
      <c r="F2669" s="149" t="n">
        <f aca="false">IF(C2669="MAT.",VLOOKUP(A2669,INSUMOS_AUX!$A$3:$H$813,6,0),0)</f>
        <v>0.59</v>
      </c>
      <c r="G2669" s="149" t="n">
        <f aca="false">IF(C2669="M.O.",VLOOKUP(A2669,INSUMOS_AUX!A:F,6,0),0)</f>
        <v>0</v>
      </c>
    </row>
    <row r="2670" customFormat="false" ht="15" hidden="false" customHeight="false" outlineLevel="0" collapsed="false">
      <c r="A2670" s="154" t="s">
        <v>1922</v>
      </c>
      <c r="B2670" s="155" t="s">
        <v>1923</v>
      </c>
      <c r="C2670" s="148" t="str">
        <f aca="false">VLOOKUP($A2670,INSUMOS_AUX!$A$3:$H$813,3,0)</f>
        <v>MAT.</v>
      </c>
      <c r="D2670" s="156" t="s">
        <v>1924</v>
      </c>
      <c r="E2670" s="154" t="n">
        <v>1</v>
      </c>
      <c r="F2670" s="149" t="n">
        <f aca="false">IF(C2670="MAT.",VLOOKUP(A2670,INSUMOS_AUX!$A$3:$H$813,6,0),0)</f>
        <v>9.6</v>
      </c>
      <c r="G2670" s="149" t="n">
        <f aca="false">IF(C2670="M.O.",VLOOKUP(A2670,INSUMOS_AUX!A:F,6,0),0)</f>
        <v>0</v>
      </c>
    </row>
    <row r="2671" customFormat="false" ht="15" hidden="false" customHeight="false" outlineLevel="0" collapsed="false">
      <c r="A2671" s="154" t="n">
        <v>6111</v>
      </c>
      <c r="B2671" s="155" t="s">
        <v>1464</v>
      </c>
      <c r="C2671" s="148" t="str">
        <f aca="false">VLOOKUP($A2671,INSUMOS_AUX!$A$3:$H$813,3,0)</f>
        <v>M.O.</v>
      </c>
      <c r="D2671" s="156" t="s">
        <v>1444</v>
      </c>
      <c r="E2671" s="154" t="n">
        <v>0.04207344</v>
      </c>
      <c r="F2671" s="149" t="n">
        <f aca="false">IF(C2671="MAT.",VLOOKUP(A2671,INSUMOS_AUX!$A$3:$H$813,6,0),0)</f>
        <v>0</v>
      </c>
      <c r="G2671" s="149" t="n">
        <f aca="false">IF(C2671="M.O.",VLOOKUP(A2671,INSUMOS_AUX!A:F,6,0),0)</f>
        <v>12.95</v>
      </c>
    </row>
    <row r="2672" customFormat="false" ht="15" hidden="false" customHeight="false" outlineLevel="0" collapsed="false">
      <c r="A2672" s="150" t="s">
        <v>517</v>
      </c>
      <c r="B2672" s="151" t="s">
        <v>1925</v>
      </c>
      <c r="C2672" s="152" t="s">
        <v>59</v>
      </c>
      <c r="D2672" s="152" t="s">
        <v>31</v>
      </c>
      <c r="E2672" s="150"/>
      <c r="F2672" s="153" t="n">
        <f aca="false">(SUMPRODUCT($E2673:$E2685,F2673:F2685))*1</f>
        <v>555.212908</v>
      </c>
      <c r="G2672" s="153" t="n">
        <f aca="false">(SUMPRODUCT($E2673:$E2685,G2673:G2685))*1</f>
        <v>10.026846228</v>
      </c>
    </row>
    <row r="2673" customFormat="false" ht="21" hidden="false" customHeight="false" outlineLevel="0" collapsed="false">
      <c r="A2673" s="154" t="n">
        <v>37370</v>
      </c>
      <c r="B2673" s="155" t="s">
        <v>1443</v>
      </c>
      <c r="C2673" s="148" t="str">
        <f aca="false">VLOOKUP($A2673,INSUMOS_AUX!$A$3:$H$813,3,0)</f>
        <v>MAT.</v>
      </c>
      <c r="D2673" s="156" t="s">
        <v>1444</v>
      </c>
      <c r="E2673" s="154" t="n">
        <v>1.0109</v>
      </c>
      <c r="F2673" s="149" t="n">
        <f aca="false">IF(C2673="MAT.",VLOOKUP(A2673,INSUMOS_AUX!$A$3:$H$813,6,0),0)</f>
        <v>3.32</v>
      </c>
      <c r="G2673" s="149" t="n">
        <f aca="false">IF(C2673="M.O.",VLOOKUP(A2673,INSUMOS_AUX!A:F,6,0),0)</f>
        <v>0</v>
      </c>
    </row>
    <row r="2674" customFormat="false" ht="21" hidden="false" customHeight="false" outlineLevel="0" collapsed="false">
      <c r="A2674" s="154" t="n">
        <v>43488</v>
      </c>
      <c r="B2674" s="155" t="s">
        <v>1445</v>
      </c>
      <c r="C2674" s="148" t="str">
        <f aca="false">VLOOKUP($A2674,INSUMOS_AUX!$A$3:$H$813,3,0)</f>
        <v>MAT.</v>
      </c>
      <c r="D2674" s="156" t="s">
        <v>1444</v>
      </c>
      <c r="E2674" s="154" t="n">
        <v>0.2527</v>
      </c>
      <c r="F2674" s="149" t="n">
        <f aca="false">IF(C2674="MAT.",VLOOKUP(A2674,INSUMOS_AUX!$A$3:$H$813,6,0),0)</f>
        <v>0.89</v>
      </c>
      <c r="G2674" s="149" t="n">
        <f aca="false">IF(C2674="M.O.",VLOOKUP(A2674,INSUMOS_AUX!A:F,6,0),0)</f>
        <v>0</v>
      </c>
    </row>
    <row r="2675" customFormat="false" ht="21" hidden="false" customHeight="false" outlineLevel="0" collapsed="false">
      <c r="A2675" s="154" t="n">
        <v>43491</v>
      </c>
      <c r="B2675" s="155" t="s">
        <v>1457</v>
      </c>
      <c r="C2675" s="148" t="str">
        <f aca="false">VLOOKUP($A2675,INSUMOS_AUX!$A$3:$H$813,3,0)</f>
        <v>MAT.</v>
      </c>
      <c r="D2675" s="156" t="s">
        <v>1444</v>
      </c>
      <c r="E2675" s="154" t="n">
        <v>0.7582</v>
      </c>
      <c r="F2675" s="149" t="n">
        <f aca="false">IF(C2675="MAT.",VLOOKUP(A2675,INSUMOS_AUX!$A$3:$H$813,6,0),0)</f>
        <v>1.39</v>
      </c>
      <c r="G2675" s="149" t="n">
        <f aca="false">IF(C2675="M.O.",VLOOKUP(A2675,INSUMOS_AUX!A:F,6,0),0)</f>
        <v>0</v>
      </c>
    </row>
    <row r="2676" customFormat="false" ht="21" hidden="false" customHeight="false" outlineLevel="0" collapsed="false">
      <c r="A2676" s="154" t="n">
        <v>37372</v>
      </c>
      <c r="B2676" s="155" t="s">
        <v>1446</v>
      </c>
      <c r="C2676" s="148" t="str">
        <f aca="false">VLOOKUP($A2676,INSUMOS_AUX!$A$3:$H$813,3,0)</f>
        <v>MAT.</v>
      </c>
      <c r="D2676" s="156" t="s">
        <v>1444</v>
      </c>
      <c r="E2676" s="154" t="n">
        <v>1.0109</v>
      </c>
      <c r="F2676" s="149" t="n">
        <f aca="false">IF(C2676="MAT.",VLOOKUP(A2676,INSUMOS_AUX!$A$3:$H$813,6,0),0)</f>
        <v>1.43</v>
      </c>
      <c r="G2676" s="149" t="n">
        <f aca="false">IF(C2676="M.O.",VLOOKUP(A2676,INSUMOS_AUX!A:F,6,0),0)</f>
        <v>0</v>
      </c>
    </row>
    <row r="2677" customFormat="false" ht="21" hidden="false" customHeight="false" outlineLevel="0" collapsed="false">
      <c r="A2677" s="154" t="n">
        <v>43464</v>
      </c>
      <c r="B2677" s="155" t="s">
        <v>1447</v>
      </c>
      <c r="C2677" s="148" t="str">
        <f aca="false">VLOOKUP($A2677,INSUMOS_AUX!$A$3:$H$813,3,0)</f>
        <v>MAT.</v>
      </c>
      <c r="D2677" s="156" t="s">
        <v>1444</v>
      </c>
      <c r="E2677" s="154" t="n">
        <v>0.2527</v>
      </c>
      <c r="F2677" s="149" t="n">
        <f aca="false">IF(C2677="MAT.",VLOOKUP(A2677,INSUMOS_AUX!$A$3:$H$813,6,0),0)</f>
        <v>0.01</v>
      </c>
      <c r="G2677" s="149" t="n">
        <f aca="false">IF(C2677="M.O.",VLOOKUP(A2677,INSUMOS_AUX!A:F,6,0),0)</f>
        <v>0</v>
      </c>
    </row>
    <row r="2678" customFormat="false" ht="21" hidden="false" customHeight="false" outlineLevel="0" collapsed="false">
      <c r="A2678" s="154" t="n">
        <v>43467</v>
      </c>
      <c r="B2678" s="155" t="s">
        <v>1459</v>
      </c>
      <c r="C2678" s="148" t="str">
        <f aca="false">VLOOKUP($A2678,INSUMOS_AUX!$A$3:$H$813,3,0)</f>
        <v>MAT.</v>
      </c>
      <c r="D2678" s="156" t="s">
        <v>1444</v>
      </c>
      <c r="E2678" s="154" t="n">
        <v>0.7582</v>
      </c>
      <c r="F2678" s="149" t="n">
        <f aca="false">IF(C2678="MAT.",VLOOKUP(A2678,INSUMOS_AUX!$A$3:$H$813,6,0),0)</f>
        <v>0.61</v>
      </c>
      <c r="G2678" s="149" t="n">
        <f aca="false">IF(C2678="M.O.",VLOOKUP(A2678,INSUMOS_AUX!A:F,6,0),0)</f>
        <v>0</v>
      </c>
    </row>
    <row r="2679" customFormat="false" ht="21" hidden="false" customHeight="false" outlineLevel="0" collapsed="false">
      <c r="A2679" s="154" t="n">
        <v>37373</v>
      </c>
      <c r="B2679" s="155" t="s">
        <v>1448</v>
      </c>
      <c r="C2679" s="148" t="str">
        <f aca="false">VLOOKUP($A2679,INSUMOS_AUX!$A$3:$H$813,3,0)</f>
        <v>MAT.</v>
      </c>
      <c r="D2679" s="156" t="s">
        <v>1444</v>
      </c>
      <c r="E2679" s="154" t="n">
        <v>1.0109</v>
      </c>
      <c r="F2679" s="149" t="n">
        <f aca="false">IF(C2679="MAT.",VLOOKUP(A2679,INSUMOS_AUX!$A$3:$H$813,6,0),0)</f>
        <v>0.08</v>
      </c>
      <c r="G2679" s="149" t="n">
        <f aca="false">IF(C2679="M.O.",VLOOKUP(A2679,INSUMOS_AUX!A:F,6,0),0)</f>
        <v>0</v>
      </c>
    </row>
    <row r="2680" customFormat="false" ht="21" hidden="false" customHeight="false" outlineLevel="0" collapsed="false">
      <c r="A2680" s="154" t="n">
        <v>37371</v>
      </c>
      <c r="B2680" s="155" t="s">
        <v>1449</v>
      </c>
      <c r="C2680" s="148" t="str">
        <f aca="false">VLOOKUP($A2680,INSUMOS_AUX!$A$3:$H$813,3,0)</f>
        <v>MAT.</v>
      </c>
      <c r="D2680" s="156" t="s">
        <v>1444</v>
      </c>
      <c r="E2680" s="154" t="n">
        <v>1.0109</v>
      </c>
      <c r="F2680" s="149" t="n">
        <f aca="false">IF(C2680="MAT.",VLOOKUP(A2680,INSUMOS_AUX!$A$3:$H$813,6,0),0)</f>
        <v>0.59</v>
      </c>
      <c r="G2680" s="149" t="n">
        <f aca="false">IF(C2680="M.O.",VLOOKUP(A2680,INSUMOS_AUX!A:F,6,0),0)</f>
        <v>0</v>
      </c>
    </row>
    <row r="2681" customFormat="false" ht="21" hidden="false" customHeight="false" outlineLevel="0" collapsed="false">
      <c r="A2681" s="154" t="n">
        <v>399</v>
      </c>
      <c r="B2681" s="155" t="s">
        <v>1926</v>
      </c>
      <c r="C2681" s="148" t="str">
        <f aca="false">VLOOKUP($A2681,INSUMOS_AUX!$A$3:$H$813,3,0)</f>
        <v>MAT.</v>
      </c>
      <c r="D2681" s="156" t="s">
        <v>31</v>
      </c>
      <c r="E2681" s="154" t="n">
        <v>4</v>
      </c>
      <c r="F2681" s="149" t="n">
        <f aca="false">IF(C2681="MAT.",VLOOKUP(A2681,INSUMOS_AUX!$A$3:$H$813,6,0),0)</f>
        <v>6.37</v>
      </c>
      <c r="G2681" s="149" t="n">
        <f aca="false">IF(C2681="M.O.",VLOOKUP(A2681,INSUMOS_AUX!A:F,6,0),0)</f>
        <v>0</v>
      </c>
    </row>
    <row r="2682" customFormat="false" ht="15" hidden="false" customHeight="false" outlineLevel="0" collapsed="false">
      <c r="A2682" s="154" t="s">
        <v>1927</v>
      </c>
      <c r="B2682" s="155" t="s">
        <v>1928</v>
      </c>
      <c r="C2682" s="148" t="str">
        <f aca="false">VLOOKUP($A2682,INSUMOS_AUX!$A$3:$H$813,3,0)</f>
        <v>MAT.</v>
      </c>
      <c r="D2682" s="156" t="s">
        <v>31</v>
      </c>
      <c r="E2682" s="154" t="n">
        <v>1</v>
      </c>
      <c r="F2682" s="149" t="n">
        <f aca="false">IF(C2682="MAT.",VLOOKUP(A2682,INSUMOS_AUX!$A$3:$H$813,6,0),0)</f>
        <v>95.63</v>
      </c>
      <c r="G2682" s="149" t="n">
        <f aca="false">IF(C2682="M.O.",VLOOKUP(A2682,INSUMOS_AUX!A:F,6,0),0)</f>
        <v>0</v>
      </c>
    </row>
    <row r="2683" customFormat="false" ht="21" hidden="false" customHeight="false" outlineLevel="0" collapsed="false">
      <c r="A2683" s="154" t="n">
        <v>5050</v>
      </c>
      <c r="B2683" s="155" t="s">
        <v>1929</v>
      </c>
      <c r="C2683" s="148" t="str">
        <f aca="false">VLOOKUP($A2683,INSUMOS_AUX!$A$3:$H$813,3,0)</f>
        <v>MAT.</v>
      </c>
      <c r="D2683" s="156" t="s">
        <v>31</v>
      </c>
      <c r="E2683" s="154" t="n">
        <v>1</v>
      </c>
      <c r="F2683" s="149" t="n">
        <f aca="false">IF(C2683="MAT.",VLOOKUP(A2683,INSUMOS_AUX!$A$3:$H$813,6,0),0)</f>
        <v>426.88</v>
      </c>
      <c r="G2683" s="149" t="n">
        <f aca="false">IF(C2683="M.O.",VLOOKUP(A2683,INSUMOS_AUX!A:F,6,0),0)</f>
        <v>0</v>
      </c>
    </row>
    <row r="2684" customFormat="false" ht="15" hidden="false" customHeight="false" outlineLevel="0" collapsed="false">
      <c r="A2684" s="154" t="n">
        <v>44497</v>
      </c>
      <c r="B2684" s="155" t="s">
        <v>1739</v>
      </c>
      <c r="C2684" s="148" t="s">
        <v>59</v>
      </c>
      <c r="D2684" s="156" t="s">
        <v>1444</v>
      </c>
      <c r="E2684" s="154" t="n">
        <v>0.255616158</v>
      </c>
      <c r="F2684" s="149" t="n">
        <f aca="false">IF(C2684="MAT.",VLOOKUP(A2684,INSUMOS_AUX!$A$3:$H$813,6,0),0)</f>
        <v>0</v>
      </c>
      <c r="G2684" s="149" t="n">
        <f aca="false">IF(C2684="M.O.",VLOOKUP(A2684,INSUMOS_AUX!A:F,6,0),0)</f>
        <v>0</v>
      </c>
    </row>
    <row r="2685" customFormat="false" ht="15" hidden="false" customHeight="false" outlineLevel="0" collapsed="false">
      <c r="A2685" s="154" t="n">
        <v>6111</v>
      </c>
      <c r="B2685" s="155" t="s">
        <v>1464</v>
      </c>
      <c r="C2685" s="148" t="str">
        <f aca="false">VLOOKUP($A2685,INSUMOS_AUX!$A$3:$H$813,3,0)</f>
        <v>M.O.</v>
      </c>
      <c r="D2685" s="156" t="s">
        <v>1444</v>
      </c>
      <c r="E2685" s="154" t="n">
        <v>0.77427384</v>
      </c>
      <c r="F2685" s="149" t="n">
        <f aca="false">IF(C2685="MAT.",VLOOKUP(A2685,INSUMOS_AUX!$A$3:$H$813,6,0),0)</f>
        <v>0</v>
      </c>
      <c r="G2685" s="149" t="n">
        <f aca="false">IF(C2685="M.O.",VLOOKUP(A2685,INSUMOS_AUX!A:F,6,0),0)</f>
        <v>12.95</v>
      </c>
    </row>
    <row r="2686" customFormat="false" ht="21" hidden="false" customHeight="false" outlineLevel="0" collapsed="false">
      <c r="A2686" s="150" t="s">
        <v>519</v>
      </c>
      <c r="B2686" s="151" t="s">
        <v>1930</v>
      </c>
      <c r="C2686" s="152" t="s">
        <v>59</v>
      </c>
      <c r="D2686" s="152" t="s">
        <v>1455</v>
      </c>
      <c r="E2686" s="150"/>
      <c r="F2686" s="153" t="n">
        <f aca="false">(SUMPRODUCT($E2687:$E2697,F2687:F2697))*1</f>
        <v>139.807</v>
      </c>
      <c r="G2686" s="153" t="n">
        <f aca="false">(SUMPRODUCT($E2687:$E2697,G2687:G2697))*1</f>
        <v>10.324332</v>
      </c>
    </row>
    <row r="2687" customFormat="false" ht="21" hidden="false" customHeight="false" outlineLevel="0" collapsed="false">
      <c r="A2687" s="154" t="n">
        <v>37370</v>
      </c>
      <c r="B2687" s="155" t="s">
        <v>1443</v>
      </c>
      <c r="C2687" s="148" t="str">
        <f aca="false">VLOOKUP($A2687,INSUMOS_AUX!$A$3:$H$813,3,0)</f>
        <v>MAT.</v>
      </c>
      <c r="D2687" s="156" t="s">
        <v>1444</v>
      </c>
      <c r="E2687" s="154" t="n">
        <v>1.1</v>
      </c>
      <c r="F2687" s="149" t="n">
        <f aca="false">IF(C2687="MAT.",VLOOKUP(A2687,INSUMOS_AUX!$A$3:$H$813,6,0),0)</f>
        <v>3.32</v>
      </c>
      <c r="G2687" s="149" t="n">
        <f aca="false">IF(C2687="M.O.",VLOOKUP(A2687,INSUMOS_AUX!A:F,6,0),0)</f>
        <v>0</v>
      </c>
    </row>
    <row r="2688" customFormat="false" ht="21" hidden="false" customHeight="false" outlineLevel="0" collapsed="false">
      <c r="A2688" s="154" t="n">
        <v>43489</v>
      </c>
      <c r="B2688" s="155" t="s">
        <v>1456</v>
      </c>
      <c r="C2688" s="148" t="str">
        <f aca="false">VLOOKUP($A2688,INSUMOS_AUX!$A$3:$H$813,3,0)</f>
        <v>MAT.</v>
      </c>
      <c r="D2688" s="156" t="s">
        <v>1444</v>
      </c>
      <c r="E2688" s="154" t="n">
        <v>0.5</v>
      </c>
      <c r="F2688" s="149" t="n">
        <f aca="false">IF(C2688="MAT.",VLOOKUP(A2688,INSUMOS_AUX!$A$3:$H$813,6,0),0)</f>
        <v>1.31</v>
      </c>
      <c r="G2688" s="149" t="n">
        <f aca="false">IF(C2688="M.O.",VLOOKUP(A2688,INSUMOS_AUX!A:F,6,0),0)</f>
        <v>0</v>
      </c>
    </row>
    <row r="2689" customFormat="false" ht="21" hidden="false" customHeight="false" outlineLevel="0" collapsed="false">
      <c r="A2689" s="154" t="n">
        <v>43491</v>
      </c>
      <c r="B2689" s="155" t="s">
        <v>1457</v>
      </c>
      <c r="C2689" s="148" t="str">
        <f aca="false">VLOOKUP($A2689,INSUMOS_AUX!$A$3:$H$813,3,0)</f>
        <v>MAT.</v>
      </c>
      <c r="D2689" s="156" t="s">
        <v>1444</v>
      </c>
      <c r="E2689" s="154" t="n">
        <v>0.6</v>
      </c>
      <c r="F2689" s="149" t="n">
        <f aca="false">IF(C2689="MAT.",VLOOKUP(A2689,INSUMOS_AUX!$A$3:$H$813,6,0),0)</f>
        <v>1.39</v>
      </c>
      <c r="G2689" s="149" t="n">
        <f aca="false">IF(C2689="M.O.",VLOOKUP(A2689,INSUMOS_AUX!A:F,6,0),0)</f>
        <v>0</v>
      </c>
    </row>
    <row r="2690" customFormat="false" ht="21" hidden="false" customHeight="false" outlineLevel="0" collapsed="false">
      <c r="A2690" s="154" t="n">
        <v>37372</v>
      </c>
      <c r="B2690" s="155" t="s">
        <v>1446</v>
      </c>
      <c r="C2690" s="148" t="str">
        <f aca="false">VLOOKUP($A2690,INSUMOS_AUX!$A$3:$H$813,3,0)</f>
        <v>MAT.</v>
      </c>
      <c r="D2690" s="156" t="s">
        <v>1444</v>
      </c>
      <c r="E2690" s="154" t="n">
        <v>1.1</v>
      </c>
      <c r="F2690" s="149" t="n">
        <f aca="false">IF(C2690="MAT.",VLOOKUP(A2690,INSUMOS_AUX!$A$3:$H$813,6,0),0)</f>
        <v>1.43</v>
      </c>
      <c r="G2690" s="149" t="n">
        <f aca="false">IF(C2690="M.O.",VLOOKUP(A2690,INSUMOS_AUX!A:F,6,0),0)</f>
        <v>0</v>
      </c>
    </row>
    <row r="2691" customFormat="false" ht="21" hidden="false" customHeight="false" outlineLevel="0" collapsed="false">
      <c r="A2691" s="154" t="n">
        <v>43465</v>
      </c>
      <c r="B2691" s="155" t="s">
        <v>1458</v>
      </c>
      <c r="C2691" s="148" t="str">
        <f aca="false">VLOOKUP($A2691,INSUMOS_AUX!$A$3:$H$813,3,0)</f>
        <v>MAT.</v>
      </c>
      <c r="D2691" s="156" t="s">
        <v>1444</v>
      </c>
      <c r="E2691" s="154" t="n">
        <v>0.5</v>
      </c>
      <c r="F2691" s="149" t="n">
        <f aca="false">IF(C2691="MAT.",VLOOKUP(A2691,INSUMOS_AUX!$A$3:$H$813,6,0),0)</f>
        <v>0.78</v>
      </c>
      <c r="G2691" s="149" t="n">
        <f aca="false">IF(C2691="M.O.",VLOOKUP(A2691,INSUMOS_AUX!A:F,6,0),0)</f>
        <v>0</v>
      </c>
    </row>
    <row r="2692" customFormat="false" ht="21" hidden="false" customHeight="false" outlineLevel="0" collapsed="false">
      <c r="A2692" s="154" t="n">
        <v>43467</v>
      </c>
      <c r="B2692" s="155" t="s">
        <v>1459</v>
      </c>
      <c r="C2692" s="148" t="str">
        <f aca="false">VLOOKUP($A2692,INSUMOS_AUX!$A$3:$H$813,3,0)</f>
        <v>MAT.</v>
      </c>
      <c r="D2692" s="156" t="s">
        <v>1444</v>
      </c>
      <c r="E2692" s="154" t="n">
        <v>0.6</v>
      </c>
      <c r="F2692" s="149" t="n">
        <f aca="false">IF(C2692="MAT.",VLOOKUP(A2692,INSUMOS_AUX!$A$3:$H$813,6,0),0)</f>
        <v>0.61</v>
      </c>
      <c r="G2692" s="149" t="n">
        <f aca="false">IF(C2692="M.O.",VLOOKUP(A2692,INSUMOS_AUX!A:F,6,0),0)</f>
        <v>0</v>
      </c>
    </row>
    <row r="2693" customFormat="false" ht="21" hidden="false" customHeight="false" outlineLevel="0" collapsed="false">
      <c r="A2693" s="154" t="n">
        <v>37373</v>
      </c>
      <c r="B2693" s="155" t="s">
        <v>1448</v>
      </c>
      <c r="C2693" s="148" t="str">
        <f aca="false">VLOOKUP($A2693,INSUMOS_AUX!$A$3:$H$813,3,0)</f>
        <v>MAT.</v>
      </c>
      <c r="D2693" s="156" t="s">
        <v>1444</v>
      </c>
      <c r="E2693" s="154" t="n">
        <v>1.1</v>
      </c>
      <c r="F2693" s="149" t="n">
        <f aca="false">IF(C2693="MAT.",VLOOKUP(A2693,INSUMOS_AUX!$A$3:$H$813,6,0),0)</f>
        <v>0.08</v>
      </c>
      <c r="G2693" s="149" t="n">
        <f aca="false">IF(C2693="M.O.",VLOOKUP(A2693,INSUMOS_AUX!A:F,6,0),0)</f>
        <v>0</v>
      </c>
    </row>
    <row r="2694" customFormat="false" ht="21" hidden="false" customHeight="false" outlineLevel="0" collapsed="false">
      <c r="A2694" s="154" t="n">
        <v>37371</v>
      </c>
      <c r="B2694" s="155" t="s">
        <v>1449</v>
      </c>
      <c r="C2694" s="148" t="str">
        <f aca="false">VLOOKUP($A2694,INSUMOS_AUX!$A$3:$H$813,3,0)</f>
        <v>MAT.</v>
      </c>
      <c r="D2694" s="156" t="s">
        <v>1444</v>
      </c>
      <c r="E2694" s="154" t="n">
        <v>1.1</v>
      </c>
      <c r="F2694" s="149" t="n">
        <f aca="false">IF(C2694="MAT.",VLOOKUP(A2694,INSUMOS_AUX!$A$3:$H$813,6,0),0)</f>
        <v>0.59</v>
      </c>
      <c r="G2694" s="149" t="n">
        <f aca="false">IF(C2694="M.O.",VLOOKUP(A2694,INSUMOS_AUX!A:F,6,0),0)</f>
        <v>0</v>
      </c>
    </row>
    <row r="2695" customFormat="false" ht="15" hidden="false" customHeight="false" outlineLevel="0" collapsed="false">
      <c r="A2695" s="154" t="s">
        <v>1931</v>
      </c>
      <c r="B2695" s="155" t="s">
        <v>1932</v>
      </c>
      <c r="C2695" s="148" t="str">
        <f aca="false">VLOOKUP($A2695,INSUMOS_AUX!$A$3:$H$813,3,0)</f>
        <v>MAT.</v>
      </c>
      <c r="D2695" s="156" t="s">
        <v>1455</v>
      </c>
      <c r="E2695" s="154" t="n">
        <v>1</v>
      </c>
      <c r="F2695" s="149" t="n">
        <f aca="false">IF(C2695="MAT.",VLOOKUP(A2695,INSUMOS_AUX!$A$3:$H$813,6,0),0)</f>
        <v>131.6</v>
      </c>
      <c r="G2695" s="149" t="n">
        <f aca="false">IF(C2695="M.O.",VLOOKUP(A2695,INSUMOS_AUX!A:F,6,0),0)</f>
        <v>0</v>
      </c>
    </row>
    <row r="2696" customFormat="false" ht="15" hidden="false" customHeight="false" outlineLevel="0" collapsed="false">
      <c r="A2696" s="154" t="n">
        <v>4750</v>
      </c>
      <c r="B2696" s="155" t="s">
        <v>1463</v>
      </c>
      <c r="C2696" s="148" t="str">
        <f aca="false">VLOOKUP($A2696,INSUMOS_AUX!$A$3:$H$813,3,0)</f>
        <v>M.O.</v>
      </c>
      <c r="D2696" s="156" t="s">
        <v>1444</v>
      </c>
      <c r="E2696" s="154" t="n">
        <v>0.5106</v>
      </c>
      <c r="F2696" s="149" t="n">
        <f aca="false">IF(C2696="MAT.",VLOOKUP(A2696,INSUMOS_AUX!$A$3:$H$813,6,0),0)</f>
        <v>0</v>
      </c>
      <c r="G2696" s="149" t="n">
        <f aca="false">IF(C2696="M.O.",VLOOKUP(A2696,INSUMOS_AUX!A:F,6,0),0)</f>
        <v>20.22</v>
      </c>
    </row>
    <row r="2697" customFormat="false" ht="15" hidden="false" customHeight="false" outlineLevel="0" collapsed="false">
      <c r="A2697" s="154" t="n">
        <v>6111</v>
      </c>
      <c r="B2697" s="155" t="s">
        <v>1464</v>
      </c>
      <c r="C2697" s="148" t="s">
        <v>59</v>
      </c>
      <c r="D2697" s="156" t="s">
        <v>1444</v>
      </c>
      <c r="E2697" s="154" t="n">
        <v>0.61272</v>
      </c>
      <c r="F2697" s="149" t="n">
        <f aca="false">IF(C2697="MAT.",VLOOKUP(A2697,INSUMOS_AUX!$A$3:$H$813,6,0),0)</f>
        <v>0</v>
      </c>
      <c r="G2697" s="149" t="n">
        <f aca="false">IF(C2697="M.O.",VLOOKUP(A2697,INSUMOS_AUX!A:F,6,0),0)</f>
        <v>0</v>
      </c>
    </row>
    <row r="2698" customFormat="false" ht="21" hidden="false" customHeight="false" outlineLevel="0" collapsed="false">
      <c r="A2698" s="150" t="s">
        <v>521</v>
      </c>
      <c r="B2698" s="151" t="s">
        <v>1933</v>
      </c>
      <c r="C2698" s="152" t="s">
        <v>59</v>
      </c>
      <c r="D2698" s="152" t="s">
        <v>1455</v>
      </c>
      <c r="E2698" s="150"/>
      <c r="F2698" s="153" t="n">
        <f aca="false">(SUMPRODUCT($E2699:$E2709,F2699:F2709))*1</f>
        <v>117.540333333333</v>
      </c>
      <c r="G2698" s="153" t="n">
        <f aca="false">(SUMPRODUCT($E2699:$E2709,G2699:G2709))*1</f>
        <v>18.259056</v>
      </c>
    </row>
    <row r="2699" customFormat="false" ht="21" hidden="false" customHeight="false" outlineLevel="0" collapsed="false">
      <c r="A2699" s="154" t="n">
        <v>37370</v>
      </c>
      <c r="B2699" s="155" t="s">
        <v>1443</v>
      </c>
      <c r="C2699" s="148" t="str">
        <f aca="false">VLOOKUP($A2699,INSUMOS_AUX!$A$3:$H$813,3,0)</f>
        <v>MAT.</v>
      </c>
      <c r="D2699" s="156" t="s">
        <v>1444</v>
      </c>
      <c r="E2699" s="154" t="n">
        <v>1.1</v>
      </c>
      <c r="F2699" s="149" t="n">
        <f aca="false">IF(C2699="MAT.",VLOOKUP(A2699,INSUMOS_AUX!$A$3:$H$813,6,0),0)</f>
        <v>3.32</v>
      </c>
      <c r="G2699" s="149" t="n">
        <f aca="false">IF(C2699="M.O.",VLOOKUP(A2699,INSUMOS_AUX!A:F,6,0),0)</f>
        <v>0</v>
      </c>
    </row>
    <row r="2700" customFormat="false" ht="21" hidden="false" customHeight="false" outlineLevel="0" collapsed="false">
      <c r="A2700" s="154" t="n">
        <v>43489</v>
      </c>
      <c r="B2700" s="155" t="s">
        <v>1456</v>
      </c>
      <c r="C2700" s="148" t="str">
        <f aca="false">VLOOKUP($A2700,INSUMOS_AUX!$A$3:$H$813,3,0)</f>
        <v>MAT.</v>
      </c>
      <c r="D2700" s="156" t="s">
        <v>1444</v>
      </c>
      <c r="E2700" s="154" t="n">
        <v>0.5</v>
      </c>
      <c r="F2700" s="149" t="n">
        <f aca="false">IF(C2700="MAT.",VLOOKUP(A2700,INSUMOS_AUX!$A$3:$H$813,6,0),0)</f>
        <v>1.31</v>
      </c>
      <c r="G2700" s="149" t="n">
        <f aca="false">IF(C2700="M.O.",VLOOKUP(A2700,INSUMOS_AUX!A:F,6,0),0)</f>
        <v>0</v>
      </c>
    </row>
    <row r="2701" customFormat="false" ht="21" hidden="false" customHeight="false" outlineLevel="0" collapsed="false">
      <c r="A2701" s="154" t="n">
        <v>43491</v>
      </c>
      <c r="B2701" s="155" t="s">
        <v>1457</v>
      </c>
      <c r="C2701" s="148" t="str">
        <f aca="false">VLOOKUP($A2701,INSUMOS_AUX!$A$3:$H$813,3,0)</f>
        <v>MAT.</v>
      </c>
      <c r="D2701" s="156" t="s">
        <v>1444</v>
      </c>
      <c r="E2701" s="154" t="n">
        <v>0.6</v>
      </c>
      <c r="F2701" s="149" t="n">
        <f aca="false">IF(C2701="MAT.",VLOOKUP(A2701,INSUMOS_AUX!$A$3:$H$813,6,0),0)</f>
        <v>1.39</v>
      </c>
      <c r="G2701" s="149" t="n">
        <f aca="false">IF(C2701="M.O.",VLOOKUP(A2701,INSUMOS_AUX!A:F,6,0),0)</f>
        <v>0</v>
      </c>
    </row>
    <row r="2702" customFormat="false" ht="21" hidden="false" customHeight="false" outlineLevel="0" collapsed="false">
      <c r="A2702" s="154" t="n">
        <v>37372</v>
      </c>
      <c r="B2702" s="155" t="s">
        <v>1446</v>
      </c>
      <c r="C2702" s="148" t="str">
        <f aca="false">VLOOKUP($A2702,INSUMOS_AUX!$A$3:$H$813,3,0)</f>
        <v>MAT.</v>
      </c>
      <c r="D2702" s="156" t="s">
        <v>1444</v>
      </c>
      <c r="E2702" s="154" t="n">
        <v>1.1</v>
      </c>
      <c r="F2702" s="149" t="n">
        <f aca="false">IF(C2702="MAT.",VLOOKUP(A2702,INSUMOS_AUX!$A$3:$H$813,6,0),0)</f>
        <v>1.43</v>
      </c>
      <c r="G2702" s="149" t="n">
        <f aca="false">IF(C2702="M.O.",VLOOKUP(A2702,INSUMOS_AUX!A:F,6,0),0)</f>
        <v>0</v>
      </c>
    </row>
    <row r="2703" customFormat="false" ht="21" hidden="false" customHeight="false" outlineLevel="0" collapsed="false">
      <c r="A2703" s="154" t="n">
        <v>43465</v>
      </c>
      <c r="B2703" s="155" t="s">
        <v>1458</v>
      </c>
      <c r="C2703" s="148" t="str">
        <f aca="false">VLOOKUP($A2703,INSUMOS_AUX!$A$3:$H$813,3,0)</f>
        <v>MAT.</v>
      </c>
      <c r="D2703" s="156" t="s">
        <v>1444</v>
      </c>
      <c r="E2703" s="154" t="n">
        <v>0.5</v>
      </c>
      <c r="F2703" s="149" t="n">
        <f aca="false">IF(C2703="MAT.",VLOOKUP(A2703,INSUMOS_AUX!$A$3:$H$813,6,0),0)</f>
        <v>0.78</v>
      </c>
      <c r="G2703" s="149" t="n">
        <f aca="false">IF(C2703="M.O.",VLOOKUP(A2703,INSUMOS_AUX!A:F,6,0),0)</f>
        <v>0</v>
      </c>
    </row>
    <row r="2704" customFormat="false" ht="21" hidden="false" customHeight="false" outlineLevel="0" collapsed="false">
      <c r="A2704" s="154" t="n">
        <v>43467</v>
      </c>
      <c r="B2704" s="155" t="s">
        <v>1459</v>
      </c>
      <c r="C2704" s="148" t="str">
        <f aca="false">VLOOKUP($A2704,INSUMOS_AUX!$A$3:$H$813,3,0)</f>
        <v>MAT.</v>
      </c>
      <c r="D2704" s="156" t="s">
        <v>1444</v>
      </c>
      <c r="E2704" s="154" t="n">
        <v>0.6</v>
      </c>
      <c r="F2704" s="149" t="n">
        <f aca="false">IF(C2704="MAT.",VLOOKUP(A2704,INSUMOS_AUX!$A$3:$H$813,6,0),0)</f>
        <v>0.61</v>
      </c>
      <c r="G2704" s="149" t="n">
        <f aca="false">IF(C2704="M.O.",VLOOKUP(A2704,INSUMOS_AUX!A:F,6,0),0)</f>
        <v>0</v>
      </c>
    </row>
    <row r="2705" customFormat="false" ht="21" hidden="false" customHeight="false" outlineLevel="0" collapsed="false">
      <c r="A2705" s="154" t="n">
        <v>37373</v>
      </c>
      <c r="B2705" s="155" t="s">
        <v>1448</v>
      </c>
      <c r="C2705" s="148" t="str">
        <f aca="false">VLOOKUP($A2705,INSUMOS_AUX!$A$3:$H$813,3,0)</f>
        <v>MAT.</v>
      </c>
      <c r="D2705" s="156" t="s">
        <v>1444</v>
      </c>
      <c r="E2705" s="154" t="n">
        <v>1.1</v>
      </c>
      <c r="F2705" s="149" t="n">
        <f aca="false">IF(C2705="MAT.",VLOOKUP(A2705,INSUMOS_AUX!$A$3:$H$813,6,0),0)</f>
        <v>0.08</v>
      </c>
      <c r="G2705" s="149" t="n">
        <f aca="false">IF(C2705="M.O.",VLOOKUP(A2705,INSUMOS_AUX!A:F,6,0),0)</f>
        <v>0</v>
      </c>
    </row>
    <row r="2706" customFormat="false" ht="21" hidden="false" customHeight="false" outlineLevel="0" collapsed="false">
      <c r="A2706" s="154" t="n">
        <v>37371</v>
      </c>
      <c r="B2706" s="155" t="s">
        <v>1449</v>
      </c>
      <c r="C2706" s="148" t="str">
        <f aca="false">VLOOKUP($A2706,INSUMOS_AUX!$A$3:$H$813,3,0)</f>
        <v>MAT.</v>
      </c>
      <c r="D2706" s="156" t="s">
        <v>1444</v>
      </c>
      <c r="E2706" s="154" t="n">
        <v>1.1</v>
      </c>
      <c r="F2706" s="149" t="n">
        <f aca="false">IF(C2706="MAT.",VLOOKUP(A2706,INSUMOS_AUX!$A$3:$H$813,6,0),0)</f>
        <v>0.59</v>
      </c>
      <c r="G2706" s="149" t="n">
        <f aca="false">IF(C2706="M.O.",VLOOKUP(A2706,INSUMOS_AUX!A:F,6,0),0)</f>
        <v>0</v>
      </c>
    </row>
    <row r="2707" customFormat="false" ht="15" hidden="false" customHeight="false" outlineLevel="0" collapsed="false">
      <c r="A2707" s="154" t="s">
        <v>1934</v>
      </c>
      <c r="B2707" s="155" t="s">
        <v>1935</v>
      </c>
      <c r="C2707" s="148" t="str">
        <f aca="false">VLOOKUP($A2707,INSUMOS_AUX!$A$3:$H$813,3,0)</f>
        <v>MAT.</v>
      </c>
      <c r="D2707" s="156" t="s">
        <v>1455</v>
      </c>
      <c r="E2707" s="154" t="n">
        <v>1</v>
      </c>
      <c r="F2707" s="149" t="n">
        <f aca="false">IF(C2707="MAT.",VLOOKUP(A2707,INSUMOS_AUX!$A$3:$H$813,6,0),0)</f>
        <v>109.333333333333</v>
      </c>
      <c r="G2707" s="149" t="n">
        <f aca="false">IF(C2707="M.O.",VLOOKUP(A2707,INSUMOS_AUX!A:F,6,0),0)</f>
        <v>0</v>
      </c>
    </row>
    <row r="2708" customFormat="false" ht="15" hidden="false" customHeight="false" outlineLevel="0" collapsed="false">
      <c r="A2708" s="154" t="n">
        <v>4750</v>
      </c>
      <c r="B2708" s="155" t="s">
        <v>1463</v>
      </c>
      <c r="C2708" s="148" t="str">
        <f aca="false">VLOOKUP($A2708,INSUMOS_AUX!$A$3:$H$813,3,0)</f>
        <v>M.O.</v>
      </c>
      <c r="D2708" s="156" t="s">
        <v>1444</v>
      </c>
      <c r="E2708" s="154" t="n">
        <v>0.5106</v>
      </c>
      <c r="F2708" s="149" t="n">
        <f aca="false">IF(C2708="MAT.",VLOOKUP(A2708,INSUMOS_AUX!$A$3:$H$813,6,0),0)</f>
        <v>0</v>
      </c>
      <c r="G2708" s="149" t="n">
        <f aca="false">IF(C2708="M.O.",VLOOKUP(A2708,INSUMOS_AUX!A:F,6,0),0)</f>
        <v>20.22</v>
      </c>
    </row>
    <row r="2709" customFormat="false" ht="15" hidden="false" customHeight="false" outlineLevel="0" collapsed="false">
      <c r="A2709" s="154" t="n">
        <v>6111</v>
      </c>
      <c r="B2709" s="155" t="s">
        <v>1464</v>
      </c>
      <c r="C2709" s="148" t="str">
        <f aca="false">VLOOKUP($A2709,INSUMOS_AUX!$A$3:$H$813,3,0)</f>
        <v>M.O.</v>
      </c>
      <c r="D2709" s="156" t="s">
        <v>1444</v>
      </c>
      <c r="E2709" s="154" t="n">
        <v>0.61272</v>
      </c>
      <c r="F2709" s="149" t="n">
        <f aca="false">IF(C2709="MAT.",VLOOKUP(A2709,INSUMOS_AUX!$A$3:$H$813,6,0),0)</f>
        <v>0</v>
      </c>
      <c r="G2709" s="149" t="n">
        <f aca="false">IF(C2709="M.O.",VLOOKUP(A2709,INSUMOS_AUX!A:F,6,0),0)</f>
        <v>12.95</v>
      </c>
    </row>
    <row r="2710" customFormat="false" ht="31.5" hidden="false" customHeight="false" outlineLevel="0" collapsed="false">
      <c r="A2710" s="150" t="n">
        <v>87261</v>
      </c>
      <c r="B2710" s="151" t="s">
        <v>1936</v>
      </c>
      <c r="C2710" s="152" t="s">
        <v>59</v>
      </c>
      <c r="D2710" s="152" t="s">
        <v>1477</v>
      </c>
      <c r="E2710" s="150"/>
      <c r="F2710" s="153" t="n">
        <f aca="false">(SUMPRODUCT($E2711:$E2723,F2711:F2723))*1</f>
        <v>103.44895</v>
      </c>
      <c r="G2710" s="153" t="n">
        <f aca="false">(SUMPRODUCT($E2711:$E2723,G2711:G2723))*1</f>
        <v>26.78637420144</v>
      </c>
    </row>
    <row r="2711" customFormat="false" ht="21" hidden="false" customHeight="false" outlineLevel="0" collapsed="false">
      <c r="A2711" s="154" t="n">
        <v>37370</v>
      </c>
      <c r="B2711" s="155" t="s">
        <v>1443</v>
      </c>
      <c r="C2711" s="148" t="s">
        <v>59</v>
      </c>
      <c r="D2711" s="156" t="s">
        <v>1444</v>
      </c>
      <c r="E2711" s="154" t="n">
        <v>1.3626</v>
      </c>
      <c r="F2711" s="149" t="n">
        <f aca="false">IF(C2711="MAT.",VLOOKUP(A2711,INSUMOS_AUX!$A$3:$H$813,6,0),0)</f>
        <v>0</v>
      </c>
      <c r="G2711" s="149" t="n">
        <f aca="false">IF(C2711="M.O.",VLOOKUP(A2711,INSUMOS_AUX!A:F,6,0),0)</f>
        <v>0</v>
      </c>
    </row>
    <row r="2712" customFormat="false" ht="21" hidden="false" customHeight="false" outlineLevel="0" collapsed="false">
      <c r="A2712" s="154" t="n">
        <v>43489</v>
      </c>
      <c r="B2712" s="155" t="s">
        <v>1456</v>
      </c>
      <c r="C2712" s="148" t="str">
        <f aca="false">VLOOKUP($A2712,INSUMOS_AUX!$A$3:$H$813,3,0)</f>
        <v>MAT.</v>
      </c>
      <c r="D2712" s="156" t="s">
        <v>1444</v>
      </c>
      <c r="E2712" s="154" t="n">
        <v>1.1136</v>
      </c>
      <c r="F2712" s="149" t="n">
        <f aca="false">IF(C2712="MAT.",VLOOKUP(A2712,INSUMOS_AUX!$A$3:$H$813,6,0),0)</f>
        <v>1.31</v>
      </c>
      <c r="G2712" s="149" t="n">
        <f aca="false">IF(C2712="M.O.",VLOOKUP(A2712,INSUMOS_AUX!A:F,6,0),0)</f>
        <v>0</v>
      </c>
    </row>
    <row r="2713" customFormat="false" ht="21" hidden="false" customHeight="false" outlineLevel="0" collapsed="false">
      <c r="A2713" s="154" t="n">
        <v>43491</v>
      </c>
      <c r="B2713" s="155" t="s">
        <v>1457</v>
      </c>
      <c r="C2713" s="148" t="str">
        <f aca="false">VLOOKUP($A2713,INSUMOS_AUX!$A$3:$H$813,3,0)</f>
        <v>MAT.</v>
      </c>
      <c r="D2713" s="156" t="s">
        <v>1444</v>
      </c>
      <c r="E2713" s="154" t="n">
        <v>0.249</v>
      </c>
      <c r="F2713" s="149" t="n">
        <f aca="false">IF(C2713="MAT.",VLOOKUP(A2713,INSUMOS_AUX!$A$3:$H$813,6,0),0)</f>
        <v>1.39</v>
      </c>
      <c r="G2713" s="149" t="n">
        <f aca="false">IF(C2713="M.O.",VLOOKUP(A2713,INSUMOS_AUX!A:F,6,0),0)</f>
        <v>0</v>
      </c>
    </row>
    <row r="2714" customFormat="false" ht="21" hidden="false" customHeight="false" outlineLevel="0" collapsed="false">
      <c r="A2714" s="154" t="n">
        <v>37372</v>
      </c>
      <c r="B2714" s="155" t="s">
        <v>1446</v>
      </c>
      <c r="C2714" s="148" t="str">
        <f aca="false">VLOOKUP($A2714,INSUMOS_AUX!$A$3:$H$813,3,0)</f>
        <v>MAT.</v>
      </c>
      <c r="D2714" s="156" t="s">
        <v>1444</v>
      </c>
      <c r="E2714" s="154" t="n">
        <v>1.3626</v>
      </c>
      <c r="F2714" s="149" t="n">
        <f aca="false">IF(C2714="MAT.",VLOOKUP(A2714,INSUMOS_AUX!$A$3:$H$813,6,0),0)</f>
        <v>1.43</v>
      </c>
      <c r="G2714" s="149" t="n">
        <f aca="false">IF(C2714="M.O.",VLOOKUP(A2714,INSUMOS_AUX!A:F,6,0),0)</f>
        <v>0</v>
      </c>
    </row>
    <row r="2715" customFormat="false" ht="21" hidden="false" customHeight="false" outlineLevel="0" collapsed="false">
      <c r="A2715" s="154" t="n">
        <v>43465</v>
      </c>
      <c r="B2715" s="155" t="s">
        <v>1458</v>
      </c>
      <c r="C2715" s="148" t="str">
        <f aca="false">VLOOKUP($A2715,INSUMOS_AUX!$A$3:$H$813,3,0)</f>
        <v>MAT.</v>
      </c>
      <c r="D2715" s="156" t="s">
        <v>1444</v>
      </c>
      <c r="E2715" s="154" t="n">
        <v>1.1136</v>
      </c>
      <c r="F2715" s="149" t="n">
        <f aca="false">IF(C2715="MAT.",VLOOKUP(A2715,INSUMOS_AUX!$A$3:$H$813,6,0),0)</f>
        <v>0.78</v>
      </c>
      <c r="G2715" s="149" t="n">
        <f aca="false">IF(C2715="M.O.",VLOOKUP(A2715,INSUMOS_AUX!A:F,6,0),0)</f>
        <v>0</v>
      </c>
    </row>
    <row r="2716" customFormat="false" ht="21" hidden="false" customHeight="false" outlineLevel="0" collapsed="false">
      <c r="A2716" s="154" t="n">
        <v>43467</v>
      </c>
      <c r="B2716" s="155" t="s">
        <v>1459</v>
      </c>
      <c r="C2716" s="148" t="str">
        <f aca="false">VLOOKUP($A2716,INSUMOS_AUX!$A$3:$H$813,3,0)</f>
        <v>MAT.</v>
      </c>
      <c r="D2716" s="156" t="s">
        <v>1444</v>
      </c>
      <c r="E2716" s="154" t="n">
        <v>0.249</v>
      </c>
      <c r="F2716" s="149" t="n">
        <f aca="false">IF(C2716="MAT.",VLOOKUP(A2716,INSUMOS_AUX!$A$3:$H$813,6,0),0)</f>
        <v>0.61</v>
      </c>
      <c r="G2716" s="149" t="n">
        <f aca="false">IF(C2716="M.O.",VLOOKUP(A2716,INSUMOS_AUX!A:F,6,0),0)</f>
        <v>0</v>
      </c>
    </row>
    <row r="2717" customFormat="false" ht="21" hidden="false" customHeight="false" outlineLevel="0" collapsed="false">
      <c r="A2717" s="154" t="n">
        <v>37373</v>
      </c>
      <c r="B2717" s="155" t="s">
        <v>1448</v>
      </c>
      <c r="C2717" s="148" t="str">
        <f aca="false">VLOOKUP($A2717,INSUMOS_AUX!$A$3:$H$813,3,0)</f>
        <v>MAT.</v>
      </c>
      <c r="D2717" s="156" t="s">
        <v>1444</v>
      </c>
      <c r="E2717" s="154" t="n">
        <v>1.3626</v>
      </c>
      <c r="F2717" s="149" t="n">
        <f aca="false">IF(C2717="MAT.",VLOOKUP(A2717,INSUMOS_AUX!$A$3:$H$813,6,0),0)</f>
        <v>0.08</v>
      </c>
      <c r="G2717" s="149" t="n">
        <f aca="false">IF(C2717="M.O.",VLOOKUP(A2717,INSUMOS_AUX!A:F,6,0),0)</f>
        <v>0</v>
      </c>
    </row>
    <row r="2718" customFormat="false" ht="21" hidden="false" customHeight="false" outlineLevel="0" collapsed="false">
      <c r="A2718" s="154" t="n">
        <v>37371</v>
      </c>
      <c r="B2718" s="155" t="s">
        <v>1449</v>
      </c>
      <c r="C2718" s="148" t="str">
        <f aca="false">VLOOKUP($A2718,INSUMOS_AUX!$A$3:$H$813,3,0)</f>
        <v>MAT.</v>
      </c>
      <c r="D2718" s="156" t="s">
        <v>1444</v>
      </c>
      <c r="E2718" s="154" t="n">
        <v>1.3626</v>
      </c>
      <c r="F2718" s="149" t="n">
        <f aca="false">IF(C2718="MAT.",VLOOKUP(A2718,INSUMOS_AUX!$A$3:$H$813,6,0),0)</f>
        <v>0.59</v>
      </c>
      <c r="G2718" s="149" t="n">
        <f aca="false">IF(C2718="M.O.",VLOOKUP(A2718,INSUMOS_AUX!A:F,6,0),0)</f>
        <v>0</v>
      </c>
    </row>
    <row r="2719" customFormat="false" ht="15" hidden="false" customHeight="false" outlineLevel="0" collapsed="false">
      <c r="A2719" s="154" t="n">
        <v>37595</v>
      </c>
      <c r="B2719" s="155" t="s">
        <v>1822</v>
      </c>
      <c r="C2719" s="148" t="str">
        <f aca="false">VLOOKUP($A2719,INSUMOS_AUX!$A$3:$H$813,3,0)</f>
        <v>MAT.</v>
      </c>
      <c r="D2719" s="156" t="s">
        <v>1513</v>
      </c>
      <c r="E2719" s="154" t="n">
        <v>9.13</v>
      </c>
      <c r="F2719" s="149" t="n">
        <f aca="false">IF(C2719="MAT.",VLOOKUP(A2719,INSUMOS_AUX!$A$3:$H$813,6,0),0)</f>
        <v>2.46</v>
      </c>
      <c r="G2719" s="149" t="n">
        <f aca="false">IF(C2719="M.O.",VLOOKUP(A2719,INSUMOS_AUX!A:F,6,0),0)</f>
        <v>0</v>
      </c>
    </row>
    <row r="2720" customFormat="false" ht="21" hidden="false" customHeight="false" outlineLevel="0" collapsed="false">
      <c r="A2720" s="154" t="n">
        <v>45190</v>
      </c>
      <c r="B2720" s="155" t="s">
        <v>1937</v>
      </c>
      <c r="C2720" s="148" t="str">
        <f aca="false">VLOOKUP($A2720,INSUMOS_AUX!$A$3:$H$813,3,0)</f>
        <v>MAT.</v>
      </c>
      <c r="D2720" s="156" t="s">
        <v>1477</v>
      </c>
      <c r="E2720" s="154" t="n">
        <v>1.13264</v>
      </c>
      <c r="F2720" s="149" t="n">
        <f aca="false">IF(C2720="MAT.",VLOOKUP(A2720,INSUMOS_AUX!$A$3:$H$813,6,0),0)</f>
        <v>65.9</v>
      </c>
      <c r="G2720" s="149" t="n">
        <f aca="false">IF(C2720="M.O.",VLOOKUP(A2720,INSUMOS_AUX!A:F,6,0),0)</f>
        <v>0</v>
      </c>
    </row>
    <row r="2721" customFormat="false" ht="15" hidden="false" customHeight="false" outlineLevel="0" collapsed="false">
      <c r="A2721" s="154" t="n">
        <v>34357</v>
      </c>
      <c r="B2721" s="155" t="s">
        <v>1938</v>
      </c>
      <c r="C2721" s="148" t="str">
        <f aca="false">VLOOKUP($A2721,INSUMOS_AUX!$A$3:$H$813,3,0)</f>
        <v>MAT.</v>
      </c>
      <c r="D2721" s="156" t="s">
        <v>1513</v>
      </c>
      <c r="E2721" s="154" t="n">
        <v>0.141</v>
      </c>
      <c r="F2721" s="149" t="n">
        <f aca="false">IF(C2721="MAT.",VLOOKUP(A2721,INSUMOS_AUX!$A$3:$H$813,6,0),0)</f>
        <v>4.69</v>
      </c>
      <c r="G2721" s="149" t="n">
        <f aca="false">IF(C2721="M.O.",VLOOKUP(A2721,INSUMOS_AUX!A:F,6,0),0)</f>
        <v>0</v>
      </c>
    </row>
    <row r="2722" customFormat="false" ht="15" hidden="false" customHeight="false" outlineLevel="0" collapsed="false">
      <c r="A2722" s="154" t="n">
        <v>4760</v>
      </c>
      <c r="B2722" s="155" t="s">
        <v>1939</v>
      </c>
      <c r="C2722" s="148" t="str">
        <f aca="false">VLOOKUP($A2722,INSUMOS_AUX!$A$3:$H$813,3,0)</f>
        <v>M.O.</v>
      </c>
      <c r="D2722" s="156" t="s">
        <v>1444</v>
      </c>
      <c r="E2722" s="154" t="n">
        <v>1.130036736</v>
      </c>
      <c r="F2722" s="149" t="n">
        <f aca="false">IF(C2722="MAT.",VLOOKUP(A2722,INSUMOS_AUX!$A$3:$H$813,6,0),0)</f>
        <v>0</v>
      </c>
      <c r="G2722" s="149" t="n">
        <f aca="false">IF(C2722="M.O.",VLOOKUP(A2722,INSUMOS_AUX!A:F,6,0),0)</f>
        <v>20.79</v>
      </c>
    </row>
    <row r="2723" customFormat="false" ht="15" hidden="false" customHeight="false" outlineLevel="0" collapsed="false">
      <c r="A2723" s="154" t="n">
        <v>6111</v>
      </c>
      <c r="B2723" s="155" t="s">
        <v>1464</v>
      </c>
      <c r="C2723" s="148" t="str">
        <f aca="false">VLOOKUP($A2723,INSUMOS_AUX!$A$3:$H$813,3,0)</f>
        <v>M.O.</v>
      </c>
      <c r="D2723" s="156" t="s">
        <v>1444</v>
      </c>
      <c r="E2723" s="154" t="n">
        <v>0.2542788</v>
      </c>
      <c r="F2723" s="149" t="n">
        <f aca="false">IF(C2723="MAT.",VLOOKUP(A2723,INSUMOS_AUX!$A$3:$H$813,6,0),0)</f>
        <v>0</v>
      </c>
      <c r="G2723" s="149" t="n">
        <f aca="false">IF(C2723="M.O.",VLOOKUP(A2723,INSUMOS_AUX!A:F,6,0),0)</f>
        <v>12.95</v>
      </c>
    </row>
    <row r="2724" customFormat="false" ht="31.5" hidden="false" customHeight="false" outlineLevel="0" collapsed="false">
      <c r="A2724" s="150" t="n">
        <v>87263</v>
      </c>
      <c r="B2724" s="151" t="s">
        <v>1940</v>
      </c>
      <c r="C2724" s="152" t="s">
        <v>59</v>
      </c>
      <c r="D2724" s="152" t="s">
        <v>1477</v>
      </c>
      <c r="E2724" s="150"/>
      <c r="F2724" s="153" t="n">
        <f aca="false">(SUMPRODUCT($E2725:$E2737,F2725:F2737))*1</f>
        <v>98.717751</v>
      </c>
      <c r="G2724" s="153" t="n">
        <f aca="false">(SUMPRODUCT($E2725:$E2737,G2725:G2737))*1</f>
        <v>13.19048446212</v>
      </c>
    </row>
    <row r="2725" customFormat="false" ht="21" hidden="false" customHeight="false" outlineLevel="0" collapsed="false">
      <c r="A2725" s="154" t="n">
        <v>37370</v>
      </c>
      <c r="B2725" s="155" t="s">
        <v>1443</v>
      </c>
      <c r="C2725" s="148" t="str">
        <f aca="false">VLOOKUP($A2725,INSUMOS_AUX!$A$3:$H$813,3,0)</f>
        <v>MAT.</v>
      </c>
      <c r="D2725" s="156" t="s">
        <v>1444</v>
      </c>
      <c r="E2725" s="154" t="n">
        <v>0.6877</v>
      </c>
      <c r="F2725" s="149" t="n">
        <f aca="false">IF(C2725="MAT.",VLOOKUP(A2725,INSUMOS_AUX!$A$3:$H$813,6,0),0)</f>
        <v>3.32</v>
      </c>
      <c r="G2725" s="149" t="n">
        <f aca="false">IF(C2725="M.O.",VLOOKUP(A2725,INSUMOS_AUX!A:F,6,0),0)</f>
        <v>0</v>
      </c>
    </row>
    <row r="2726" customFormat="false" ht="21" hidden="false" customHeight="false" outlineLevel="0" collapsed="false">
      <c r="A2726" s="154" t="n">
        <v>43489</v>
      </c>
      <c r="B2726" s="155" t="s">
        <v>1456</v>
      </c>
      <c r="C2726" s="148" t="str">
        <f aca="false">VLOOKUP($A2726,INSUMOS_AUX!$A$3:$H$813,3,0)</f>
        <v>MAT.</v>
      </c>
      <c r="D2726" s="156" t="s">
        <v>1444</v>
      </c>
      <c r="E2726" s="154" t="n">
        <v>0.5203</v>
      </c>
      <c r="F2726" s="149" t="n">
        <f aca="false">IF(C2726="MAT.",VLOOKUP(A2726,INSUMOS_AUX!$A$3:$H$813,6,0),0)</f>
        <v>1.31</v>
      </c>
      <c r="G2726" s="149" t="n">
        <f aca="false">IF(C2726="M.O.",VLOOKUP(A2726,INSUMOS_AUX!A:F,6,0),0)</f>
        <v>0</v>
      </c>
    </row>
    <row r="2727" customFormat="false" ht="21" hidden="false" customHeight="false" outlineLevel="0" collapsed="false">
      <c r="A2727" s="154" t="n">
        <v>43491</v>
      </c>
      <c r="B2727" s="155" t="s">
        <v>1457</v>
      </c>
      <c r="C2727" s="148" t="str">
        <f aca="false">VLOOKUP($A2727,INSUMOS_AUX!$A$3:$H$813,3,0)</f>
        <v>MAT.</v>
      </c>
      <c r="D2727" s="156" t="s">
        <v>1444</v>
      </c>
      <c r="E2727" s="154" t="n">
        <v>0.1674</v>
      </c>
      <c r="F2727" s="149" t="n">
        <f aca="false">IF(C2727="MAT.",VLOOKUP(A2727,INSUMOS_AUX!$A$3:$H$813,6,0),0)</f>
        <v>1.39</v>
      </c>
      <c r="G2727" s="149" t="n">
        <f aca="false">IF(C2727="M.O.",VLOOKUP(A2727,INSUMOS_AUX!A:F,6,0),0)</f>
        <v>0</v>
      </c>
    </row>
    <row r="2728" customFormat="false" ht="21" hidden="false" customHeight="false" outlineLevel="0" collapsed="false">
      <c r="A2728" s="154" t="n">
        <v>37372</v>
      </c>
      <c r="B2728" s="155" t="s">
        <v>1446</v>
      </c>
      <c r="C2728" s="148" t="str">
        <f aca="false">VLOOKUP($A2728,INSUMOS_AUX!$A$3:$H$813,3,0)</f>
        <v>MAT.</v>
      </c>
      <c r="D2728" s="156" t="s">
        <v>1444</v>
      </c>
      <c r="E2728" s="154" t="n">
        <v>0.6877</v>
      </c>
      <c r="F2728" s="149" t="n">
        <f aca="false">IF(C2728="MAT.",VLOOKUP(A2728,INSUMOS_AUX!$A$3:$H$813,6,0),0)</f>
        <v>1.43</v>
      </c>
      <c r="G2728" s="149" t="n">
        <f aca="false">IF(C2728="M.O.",VLOOKUP(A2728,INSUMOS_AUX!A:F,6,0),0)</f>
        <v>0</v>
      </c>
    </row>
    <row r="2729" customFormat="false" ht="21" hidden="false" customHeight="false" outlineLevel="0" collapsed="false">
      <c r="A2729" s="154" t="n">
        <v>43465</v>
      </c>
      <c r="B2729" s="155" t="s">
        <v>1458</v>
      </c>
      <c r="C2729" s="148" t="str">
        <f aca="false">VLOOKUP($A2729,INSUMOS_AUX!$A$3:$H$813,3,0)</f>
        <v>MAT.</v>
      </c>
      <c r="D2729" s="156" t="s">
        <v>1444</v>
      </c>
      <c r="E2729" s="154" t="n">
        <v>0.5203</v>
      </c>
      <c r="F2729" s="149" t="n">
        <f aca="false">IF(C2729="MAT.",VLOOKUP(A2729,INSUMOS_AUX!$A$3:$H$813,6,0),0)</f>
        <v>0.78</v>
      </c>
      <c r="G2729" s="149" t="n">
        <f aca="false">IF(C2729="M.O.",VLOOKUP(A2729,INSUMOS_AUX!A:F,6,0),0)</f>
        <v>0</v>
      </c>
    </row>
    <row r="2730" customFormat="false" ht="21" hidden="false" customHeight="false" outlineLevel="0" collapsed="false">
      <c r="A2730" s="154" t="n">
        <v>43467</v>
      </c>
      <c r="B2730" s="155" t="s">
        <v>1459</v>
      </c>
      <c r="C2730" s="148" t="str">
        <f aca="false">VLOOKUP($A2730,INSUMOS_AUX!$A$3:$H$813,3,0)</f>
        <v>MAT.</v>
      </c>
      <c r="D2730" s="156" t="s">
        <v>1444</v>
      </c>
      <c r="E2730" s="154" t="n">
        <v>0.1674</v>
      </c>
      <c r="F2730" s="149" t="n">
        <f aca="false">IF(C2730="MAT.",VLOOKUP(A2730,INSUMOS_AUX!$A$3:$H$813,6,0),0)</f>
        <v>0.61</v>
      </c>
      <c r="G2730" s="149" t="n">
        <f aca="false">IF(C2730="M.O.",VLOOKUP(A2730,INSUMOS_AUX!A:F,6,0),0)</f>
        <v>0</v>
      </c>
    </row>
    <row r="2731" customFormat="false" ht="21" hidden="false" customHeight="false" outlineLevel="0" collapsed="false">
      <c r="A2731" s="154" t="n">
        <v>37373</v>
      </c>
      <c r="B2731" s="155" t="s">
        <v>1448</v>
      </c>
      <c r="C2731" s="148" t="str">
        <f aca="false">VLOOKUP($A2731,INSUMOS_AUX!$A$3:$H$813,3,0)</f>
        <v>MAT.</v>
      </c>
      <c r="D2731" s="156" t="s">
        <v>1444</v>
      </c>
      <c r="E2731" s="154" t="n">
        <v>0.6877</v>
      </c>
      <c r="F2731" s="149" t="n">
        <f aca="false">IF(C2731="MAT.",VLOOKUP(A2731,INSUMOS_AUX!$A$3:$H$813,6,0),0)</f>
        <v>0.08</v>
      </c>
      <c r="G2731" s="149" t="n">
        <f aca="false">IF(C2731="M.O.",VLOOKUP(A2731,INSUMOS_AUX!A:F,6,0),0)</f>
        <v>0</v>
      </c>
    </row>
    <row r="2732" customFormat="false" ht="21" hidden="false" customHeight="false" outlineLevel="0" collapsed="false">
      <c r="A2732" s="154" t="n">
        <v>37371</v>
      </c>
      <c r="B2732" s="155" t="s">
        <v>1449</v>
      </c>
      <c r="C2732" s="148" t="str">
        <f aca="false">VLOOKUP($A2732,INSUMOS_AUX!$A$3:$H$813,3,0)</f>
        <v>MAT.</v>
      </c>
      <c r="D2732" s="156" t="s">
        <v>1444</v>
      </c>
      <c r="E2732" s="154" t="n">
        <v>0.6877</v>
      </c>
      <c r="F2732" s="149" t="n">
        <f aca="false">IF(C2732="MAT.",VLOOKUP(A2732,INSUMOS_AUX!$A$3:$H$813,6,0),0)</f>
        <v>0.59</v>
      </c>
      <c r="G2732" s="149" t="n">
        <f aca="false">IF(C2732="M.O.",VLOOKUP(A2732,INSUMOS_AUX!A:F,6,0),0)</f>
        <v>0</v>
      </c>
    </row>
    <row r="2733" customFormat="false" ht="15" hidden="false" customHeight="false" outlineLevel="0" collapsed="false">
      <c r="A2733" s="154" t="n">
        <v>37595</v>
      </c>
      <c r="B2733" s="155" t="s">
        <v>1822</v>
      </c>
      <c r="C2733" s="148" t="str">
        <f aca="false">VLOOKUP($A2733,INSUMOS_AUX!$A$3:$H$813,3,0)</f>
        <v>MAT.</v>
      </c>
      <c r="D2733" s="156" t="s">
        <v>1513</v>
      </c>
      <c r="E2733" s="154" t="n">
        <v>9.13</v>
      </c>
      <c r="F2733" s="149" t="n">
        <f aca="false">IF(C2733="MAT.",VLOOKUP(A2733,INSUMOS_AUX!$A$3:$H$813,6,0),0)</f>
        <v>2.46</v>
      </c>
      <c r="G2733" s="149" t="n">
        <f aca="false">IF(C2733="M.O.",VLOOKUP(A2733,INSUMOS_AUX!A:F,6,0),0)</f>
        <v>0</v>
      </c>
    </row>
    <row r="2734" customFormat="false" ht="21" hidden="false" customHeight="false" outlineLevel="0" collapsed="false">
      <c r="A2734" s="154" t="n">
        <v>45190</v>
      </c>
      <c r="B2734" s="155" t="s">
        <v>1937</v>
      </c>
      <c r="C2734" s="148" t="str">
        <f aca="false">VLOOKUP($A2734,INSUMOS_AUX!$A$3:$H$813,3,0)</f>
        <v>MAT.</v>
      </c>
      <c r="D2734" s="156" t="s">
        <v>1477</v>
      </c>
      <c r="E2734" s="154" t="n">
        <v>1.069</v>
      </c>
      <c r="F2734" s="149" t="n">
        <f aca="false">IF(C2734="MAT.",VLOOKUP(A2734,INSUMOS_AUX!$A$3:$H$813,6,0),0)</f>
        <v>65.9</v>
      </c>
      <c r="G2734" s="149" t="n">
        <f aca="false">IF(C2734="M.O.",VLOOKUP(A2734,INSUMOS_AUX!A:F,6,0),0)</f>
        <v>0</v>
      </c>
    </row>
    <row r="2735" customFormat="false" ht="15" hidden="false" customHeight="false" outlineLevel="0" collapsed="false">
      <c r="A2735" s="154" t="n">
        <v>34357</v>
      </c>
      <c r="B2735" s="155" t="s">
        <v>1938</v>
      </c>
      <c r="C2735" s="148" t="str">
        <f aca="false">VLOOKUP($A2735,INSUMOS_AUX!$A$3:$H$813,3,0)</f>
        <v>MAT.</v>
      </c>
      <c r="D2735" s="156" t="s">
        <v>1513</v>
      </c>
      <c r="E2735" s="154" t="n">
        <v>0.141</v>
      </c>
      <c r="F2735" s="149" t="n">
        <f aca="false">IF(C2735="MAT.",VLOOKUP(A2735,INSUMOS_AUX!$A$3:$H$813,6,0),0)</f>
        <v>4.69</v>
      </c>
      <c r="G2735" s="149" t="n">
        <f aca="false">IF(C2735="M.O.",VLOOKUP(A2735,INSUMOS_AUX!A:F,6,0),0)</f>
        <v>0</v>
      </c>
    </row>
    <row r="2736" customFormat="false" ht="15" hidden="false" customHeight="false" outlineLevel="0" collapsed="false">
      <c r="A2736" s="154" t="n">
        <v>4760</v>
      </c>
      <c r="B2736" s="155" t="s">
        <v>1939</v>
      </c>
      <c r="C2736" s="148" t="str">
        <f aca="false">VLOOKUP($A2736,INSUMOS_AUX!$A$3:$H$813,3,0)</f>
        <v>M.O.</v>
      </c>
      <c r="D2736" s="156" t="s">
        <v>1444</v>
      </c>
      <c r="E2736" s="154" t="n">
        <v>0.527979628</v>
      </c>
      <c r="F2736" s="149" t="n">
        <f aca="false">IF(C2736="MAT.",VLOOKUP(A2736,INSUMOS_AUX!$A$3:$H$813,6,0),0)</f>
        <v>0</v>
      </c>
      <c r="G2736" s="149" t="n">
        <f aca="false">IF(C2736="M.O.",VLOOKUP(A2736,INSUMOS_AUX!A:F,6,0),0)</f>
        <v>20.79</v>
      </c>
    </row>
    <row r="2737" customFormat="false" ht="15" hidden="false" customHeight="false" outlineLevel="0" collapsed="false">
      <c r="A2737" s="154" t="n">
        <v>6111</v>
      </c>
      <c r="B2737" s="155" t="s">
        <v>1464</v>
      </c>
      <c r="C2737" s="148" t="str">
        <f aca="false">VLOOKUP($A2737,INSUMOS_AUX!$A$3:$H$813,3,0)</f>
        <v>M.O.</v>
      </c>
      <c r="D2737" s="156" t="s">
        <v>1444</v>
      </c>
      <c r="E2737" s="154" t="n">
        <v>0.17094888</v>
      </c>
      <c r="F2737" s="149" t="n">
        <f aca="false">IF(C2737="MAT.",VLOOKUP(A2737,INSUMOS_AUX!$A$3:$H$813,6,0),0)</f>
        <v>0</v>
      </c>
      <c r="G2737" s="149" t="n">
        <f aca="false">IF(C2737="M.O.",VLOOKUP(A2737,INSUMOS_AUX!A:F,6,0),0)</f>
        <v>12.95</v>
      </c>
    </row>
    <row r="2738" customFormat="false" ht="31.5" hidden="false" customHeight="false" outlineLevel="0" collapsed="false">
      <c r="A2738" s="150" t="s">
        <v>527</v>
      </c>
      <c r="B2738" s="151" t="s">
        <v>1941</v>
      </c>
      <c r="C2738" s="152" t="s">
        <v>59</v>
      </c>
      <c r="D2738" s="152" t="s">
        <v>1477</v>
      </c>
      <c r="E2738" s="150"/>
      <c r="F2738" s="153" t="n">
        <f aca="false">(SUMPRODUCT($E2739:$E2751,F2739:F2751))*1</f>
        <v>48.240723</v>
      </c>
      <c r="G2738" s="153" t="n">
        <f aca="false">(SUMPRODUCT($E2739:$E2751,G2739:G2751))*1</f>
        <v>16.84294143588</v>
      </c>
    </row>
    <row r="2739" customFormat="false" ht="21" hidden="false" customHeight="false" outlineLevel="0" collapsed="false">
      <c r="A2739" s="154" t="n">
        <v>37370</v>
      </c>
      <c r="B2739" s="155" t="s">
        <v>1443</v>
      </c>
      <c r="C2739" s="148" t="str">
        <f aca="false">VLOOKUP($A2739,INSUMOS_AUX!$A$3:$H$813,3,0)</f>
        <v>MAT.</v>
      </c>
      <c r="D2739" s="156" t="s">
        <v>1444</v>
      </c>
      <c r="E2739" s="154" t="n">
        <v>0.869</v>
      </c>
      <c r="F2739" s="149" t="n">
        <f aca="false">IF(C2739="MAT.",VLOOKUP(A2739,INSUMOS_AUX!$A$3:$H$813,6,0),0)</f>
        <v>3.32</v>
      </c>
      <c r="G2739" s="149" t="n">
        <f aca="false">IF(C2739="M.O.",VLOOKUP(A2739,INSUMOS_AUX!A:F,6,0),0)</f>
        <v>0</v>
      </c>
    </row>
    <row r="2740" customFormat="false" ht="21" hidden="false" customHeight="false" outlineLevel="0" collapsed="false">
      <c r="A2740" s="154" t="n">
        <v>43489</v>
      </c>
      <c r="B2740" s="155" t="s">
        <v>1456</v>
      </c>
      <c r="C2740" s="148" t="str">
        <f aca="false">VLOOKUP($A2740,INSUMOS_AUX!$A$3:$H$813,3,0)</f>
        <v>MAT.</v>
      </c>
      <c r="D2740" s="156" t="s">
        <v>1444</v>
      </c>
      <c r="E2740" s="154" t="n">
        <v>0.6797</v>
      </c>
      <c r="F2740" s="149" t="n">
        <f aca="false">IF(C2740="MAT.",VLOOKUP(A2740,INSUMOS_AUX!$A$3:$H$813,6,0),0)</f>
        <v>1.31</v>
      </c>
      <c r="G2740" s="149" t="n">
        <f aca="false">IF(C2740="M.O.",VLOOKUP(A2740,INSUMOS_AUX!A:F,6,0),0)</f>
        <v>0</v>
      </c>
    </row>
    <row r="2741" customFormat="false" ht="21" hidden="false" customHeight="false" outlineLevel="0" collapsed="false">
      <c r="A2741" s="154" t="n">
        <v>43491</v>
      </c>
      <c r="B2741" s="155" t="s">
        <v>1457</v>
      </c>
      <c r="C2741" s="148" t="str">
        <f aca="false">VLOOKUP($A2741,INSUMOS_AUX!$A$3:$H$813,3,0)</f>
        <v>MAT.</v>
      </c>
      <c r="D2741" s="156" t="s">
        <v>1444</v>
      </c>
      <c r="E2741" s="154" t="n">
        <v>0.1893</v>
      </c>
      <c r="F2741" s="149" t="n">
        <f aca="false">IF(C2741="MAT.",VLOOKUP(A2741,INSUMOS_AUX!$A$3:$H$813,6,0),0)</f>
        <v>1.39</v>
      </c>
      <c r="G2741" s="149" t="n">
        <f aca="false">IF(C2741="M.O.",VLOOKUP(A2741,INSUMOS_AUX!A:F,6,0),0)</f>
        <v>0</v>
      </c>
    </row>
    <row r="2742" customFormat="false" ht="21" hidden="false" customHeight="false" outlineLevel="0" collapsed="false">
      <c r="A2742" s="154" t="n">
        <v>37372</v>
      </c>
      <c r="B2742" s="155" t="s">
        <v>1446</v>
      </c>
      <c r="C2742" s="148" t="s">
        <v>59</v>
      </c>
      <c r="D2742" s="156" t="s">
        <v>1444</v>
      </c>
      <c r="E2742" s="154" t="n">
        <v>0.869</v>
      </c>
      <c r="F2742" s="149" t="n">
        <f aca="false">IF(C2742="MAT.",VLOOKUP(A2742,INSUMOS_AUX!$A$3:$H$813,6,0),0)</f>
        <v>0</v>
      </c>
      <c r="G2742" s="149" t="n">
        <f aca="false">IF(C2742="M.O.",VLOOKUP(A2742,INSUMOS_AUX!A:F,6,0),0)</f>
        <v>0</v>
      </c>
    </row>
    <row r="2743" customFormat="false" ht="21" hidden="false" customHeight="false" outlineLevel="0" collapsed="false">
      <c r="A2743" s="154" t="n">
        <v>43465</v>
      </c>
      <c r="B2743" s="155" t="s">
        <v>1458</v>
      </c>
      <c r="C2743" s="148" t="str">
        <f aca="false">VLOOKUP($A2743,INSUMOS_AUX!$A$3:$H$813,3,0)</f>
        <v>MAT.</v>
      </c>
      <c r="D2743" s="156" t="s">
        <v>1444</v>
      </c>
      <c r="E2743" s="154" t="n">
        <v>0.6797</v>
      </c>
      <c r="F2743" s="149" t="n">
        <f aca="false">IF(C2743="MAT.",VLOOKUP(A2743,INSUMOS_AUX!$A$3:$H$813,6,0),0)</f>
        <v>0.78</v>
      </c>
      <c r="G2743" s="149" t="n">
        <f aca="false">IF(C2743="M.O.",VLOOKUP(A2743,INSUMOS_AUX!A:F,6,0),0)</f>
        <v>0</v>
      </c>
    </row>
    <row r="2744" customFormat="false" ht="21" hidden="false" customHeight="false" outlineLevel="0" collapsed="false">
      <c r="A2744" s="154" t="n">
        <v>43467</v>
      </c>
      <c r="B2744" s="155" t="s">
        <v>1459</v>
      </c>
      <c r="C2744" s="148" t="str">
        <f aca="false">VLOOKUP($A2744,INSUMOS_AUX!$A$3:$H$813,3,0)</f>
        <v>MAT.</v>
      </c>
      <c r="D2744" s="156" t="s">
        <v>1444</v>
      </c>
      <c r="E2744" s="154" t="n">
        <v>0.1893</v>
      </c>
      <c r="F2744" s="149" t="n">
        <f aca="false">IF(C2744="MAT.",VLOOKUP(A2744,INSUMOS_AUX!$A$3:$H$813,6,0),0)</f>
        <v>0.61</v>
      </c>
      <c r="G2744" s="149" t="n">
        <f aca="false">IF(C2744="M.O.",VLOOKUP(A2744,INSUMOS_AUX!A:F,6,0),0)</f>
        <v>0</v>
      </c>
    </row>
    <row r="2745" customFormat="false" ht="21" hidden="false" customHeight="false" outlineLevel="0" collapsed="false">
      <c r="A2745" s="154" t="n">
        <v>37373</v>
      </c>
      <c r="B2745" s="155" t="s">
        <v>1448</v>
      </c>
      <c r="C2745" s="148" t="str">
        <f aca="false">VLOOKUP($A2745,INSUMOS_AUX!$A$3:$H$813,3,0)</f>
        <v>MAT.</v>
      </c>
      <c r="D2745" s="156" t="s">
        <v>1444</v>
      </c>
      <c r="E2745" s="154" t="n">
        <v>0.869</v>
      </c>
      <c r="F2745" s="149" t="n">
        <f aca="false">IF(C2745="MAT.",VLOOKUP(A2745,INSUMOS_AUX!$A$3:$H$813,6,0),0)</f>
        <v>0.08</v>
      </c>
      <c r="G2745" s="149" t="n">
        <f aca="false">IF(C2745="M.O.",VLOOKUP(A2745,INSUMOS_AUX!A:F,6,0),0)</f>
        <v>0</v>
      </c>
    </row>
    <row r="2746" customFormat="false" ht="21" hidden="false" customHeight="false" outlineLevel="0" collapsed="false">
      <c r="A2746" s="154" t="n">
        <v>37371</v>
      </c>
      <c r="B2746" s="155" t="s">
        <v>1449</v>
      </c>
      <c r="C2746" s="148" t="str">
        <f aca="false">VLOOKUP($A2746,INSUMOS_AUX!$A$3:$H$813,3,0)</f>
        <v>MAT.</v>
      </c>
      <c r="D2746" s="156" t="s">
        <v>1444</v>
      </c>
      <c r="E2746" s="154" t="n">
        <v>0.869</v>
      </c>
      <c r="F2746" s="149" t="n">
        <f aca="false">IF(C2746="MAT.",VLOOKUP(A2746,INSUMOS_AUX!$A$3:$H$813,6,0),0)</f>
        <v>0.59</v>
      </c>
      <c r="G2746" s="149" t="n">
        <f aca="false">IF(C2746="M.O.",VLOOKUP(A2746,INSUMOS_AUX!A:F,6,0),0)</f>
        <v>0</v>
      </c>
    </row>
    <row r="2747" customFormat="false" ht="15" hidden="false" customHeight="false" outlineLevel="0" collapsed="false">
      <c r="A2747" s="154" t="n">
        <v>1381</v>
      </c>
      <c r="B2747" s="155" t="s">
        <v>1942</v>
      </c>
      <c r="C2747" s="148" t="str">
        <f aca="false">VLOOKUP($A2747,INSUMOS_AUX!$A$3:$H$813,3,0)</f>
        <v>MAT.</v>
      </c>
      <c r="D2747" s="156" t="s">
        <v>1513</v>
      </c>
      <c r="E2747" s="154" t="n">
        <v>9.1325</v>
      </c>
      <c r="F2747" s="149" t="n">
        <f aca="false">IF(C2747="MAT.",VLOOKUP(A2747,INSUMOS_AUX!$A$3:$H$813,6,0),0)</f>
        <v>0.8</v>
      </c>
      <c r="G2747" s="149" t="n">
        <f aca="false">IF(C2747="M.O.",VLOOKUP(A2747,INSUMOS_AUX!A:F,6,0),0)</f>
        <v>0</v>
      </c>
    </row>
    <row r="2748" customFormat="false" ht="21" hidden="false" customHeight="false" outlineLevel="0" collapsed="false">
      <c r="A2748" s="154" t="n">
        <v>1287</v>
      </c>
      <c r="B2748" s="155" t="s">
        <v>1943</v>
      </c>
      <c r="C2748" s="148" t="str">
        <f aca="false">VLOOKUP($A2748,INSUMOS_AUX!$A$3:$H$813,3,0)</f>
        <v>MAT.</v>
      </c>
      <c r="D2748" s="156" t="s">
        <v>1477</v>
      </c>
      <c r="E2748" s="154" t="n">
        <v>1.081</v>
      </c>
      <c r="F2748" s="149" t="n">
        <f aca="false">IF(C2748="MAT.",VLOOKUP(A2748,INSUMOS_AUX!$A$3:$H$813,6,0),0)</f>
        <v>31.95</v>
      </c>
      <c r="G2748" s="149" t="n">
        <f aca="false">IF(C2748="M.O.",VLOOKUP(A2748,INSUMOS_AUX!A:F,6,0),0)</f>
        <v>0</v>
      </c>
    </row>
    <row r="2749" customFormat="false" ht="15" hidden="false" customHeight="false" outlineLevel="0" collapsed="false">
      <c r="A2749" s="154" t="n">
        <v>34357</v>
      </c>
      <c r="B2749" s="155" t="s">
        <v>1938</v>
      </c>
      <c r="C2749" s="148" t="str">
        <f aca="false">VLOOKUP($A2749,INSUMOS_AUX!$A$3:$H$813,3,0)</f>
        <v>MAT.</v>
      </c>
      <c r="D2749" s="156" t="s">
        <v>1513</v>
      </c>
      <c r="E2749" s="154" t="n">
        <v>0.241</v>
      </c>
      <c r="F2749" s="149" t="n">
        <f aca="false">IF(C2749="MAT.",VLOOKUP(A2749,INSUMOS_AUX!$A$3:$H$813,6,0),0)</f>
        <v>4.69</v>
      </c>
      <c r="G2749" s="149" t="n">
        <f aca="false">IF(C2749="M.O.",VLOOKUP(A2749,INSUMOS_AUX!A:F,6,0),0)</f>
        <v>0</v>
      </c>
    </row>
    <row r="2750" customFormat="false" ht="15" hidden="false" customHeight="false" outlineLevel="0" collapsed="false">
      <c r="A2750" s="154" t="n">
        <v>4760</v>
      </c>
      <c r="B2750" s="155" t="s">
        <v>1939</v>
      </c>
      <c r="C2750" s="148" t="str">
        <f aca="false">VLOOKUP($A2750,INSUMOS_AUX!$A$3:$H$813,3,0)</f>
        <v>M.O.</v>
      </c>
      <c r="D2750" s="156" t="s">
        <v>1444</v>
      </c>
      <c r="E2750" s="154" t="n">
        <v>0.689732372</v>
      </c>
      <c r="F2750" s="149" t="n">
        <f aca="false">IF(C2750="MAT.",VLOOKUP(A2750,INSUMOS_AUX!$A$3:$H$813,6,0),0)</f>
        <v>0</v>
      </c>
      <c r="G2750" s="149" t="n">
        <f aca="false">IF(C2750="M.O.",VLOOKUP(A2750,INSUMOS_AUX!A:F,6,0),0)</f>
        <v>20.79</v>
      </c>
    </row>
    <row r="2751" customFormat="false" ht="15" hidden="false" customHeight="false" outlineLevel="0" collapsed="false">
      <c r="A2751" s="154" t="n">
        <v>6111</v>
      </c>
      <c r="B2751" s="155" t="s">
        <v>1464</v>
      </c>
      <c r="C2751" s="148" t="str">
        <f aca="false">VLOOKUP($A2751,INSUMOS_AUX!$A$3:$H$813,3,0)</f>
        <v>M.O.</v>
      </c>
      <c r="D2751" s="156" t="s">
        <v>1444</v>
      </c>
      <c r="E2751" s="154" t="n">
        <v>0.19331316</v>
      </c>
      <c r="F2751" s="149" t="n">
        <f aca="false">IF(C2751="MAT.",VLOOKUP(A2751,INSUMOS_AUX!$A$3:$H$813,6,0),0)</f>
        <v>0</v>
      </c>
      <c r="G2751" s="149" t="n">
        <f aca="false">IF(C2751="M.O.",VLOOKUP(A2751,INSUMOS_AUX!A:F,6,0),0)</f>
        <v>12.95</v>
      </c>
    </row>
    <row r="2752" customFormat="false" ht="31.5" hidden="false" customHeight="false" outlineLevel="0" collapsed="false">
      <c r="A2752" s="150" t="s">
        <v>529</v>
      </c>
      <c r="B2752" s="151" t="s">
        <v>1944</v>
      </c>
      <c r="C2752" s="152" t="s">
        <v>59</v>
      </c>
      <c r="D2752" s="152" t="s">
        <v>1477</v>
      </c>
      <c r="E2752" s="150"/>
      <c r="F2752" s="153" t="n">
        <f aca="false">(SUMPRODUCT($E2753:$E2765,F2753:F2765))*1</f>
        <v>37.672476</v>
      </c>
      <c r="G2752" s="153" t="n">
        <f aca="false">(SUMPRODUCT($E2753:$E2765,G2753:G2765))*1</f>
        <v>6.79241870244</v>
      </c>
    </row>
    <row r="2753" customFormat="false" ht="21" hidden="false" customHeight="false" outlineLevel="0" collapsed="false">
      <c r="A2753" s="154" t="n">
        <v>37370</v>
      </c>
      <c r="B2753" s="155" t="s">
        <v>1443</v>
      </c>
      <c r="C2753" s="148" t="str">
        <f aca="false">VLOOKUP($A2753,INSUMOS_AUX!$A$3:$H$813,3,0)</f>
        <v>MAT.</v>
      </c>
      <c r="D2753" s="156" t="s">
        <v>1444</v>
      </c>
      <c r="E2753" s="154" t="n">
        <v>0.3701</v>
      </c>
      <c r="F2753" s="149" t="n">
        <f aca="false">IF(C2753="MAT.",VLOOKUP(A2753,INSUMOS_AUX!$A$3:$H$813,6,0),0)</f>
        <v>3.32</v>
      </c>
      <c r="G2753" s="149" t="n">
        <f aca="false">IF(C2753="M.O.",VLOOKUP(A2753,INSUMOS_AUX!A:F,6,0),0)</f>
        <v>0</v>
      </c>
    </row>
    <row r="2754" customFormat="false" ht="21" hidden="false" customHeight="false" outlineLevel="0" collapsed="false">
      <c r="A2754" s="154" t="n">
        <v>43489</v>
      </c>
      <c r="B2754" s="155" t="s">
        <v>1456</v>
      </c>
      <c r="C2754" s="148" t="str">
        <f aca="false">VLOOKUP($A2754,INSUMOS_AUX!$A$3:$H$813,3,0)</f>
        <v>MAT.</v>
      </c>
      <c r="D2754" s="156" t="s">
        <v>1444</v>
      </c>
      <c r="E2754" s="154" t="n">
        <v>0.2411</v>
      </c>
      <c r="F2754" s="149" t="n">
        <f aca="false">IF(C2754="MAT.",VLOOKUP(A2754,INSUMOS_AUX!$A$3:$H$813,6,0),0)</f>
        <v>1.31</v>
      </c>
      <c r="G2754" s="149" t="n">
        <f aca="false">IF(C2754="M.O.",VLOOKUP(A2754,INSUMOS_AUX!A:F,6,0),0)</f>
        <v>0</v>
      </c>
    </row>
    <row r="2755" customFormat="false" ht="21" hidden="false" customHeight="false" outlineLevel="0" collapsed="false">
      <c r="A2755" s="154" t="n">
        <v>43491</v>
      </c>
      <c r="B2755" s="155" t="s">
        <v>1457</v>
      </c>
      <c r="C2755" s="148" t="str">
        <f aca="false">VLOOKUP($A2755,INSUMOS_AUX!$A$3:$H$813,3,0)</f>
        <v>MAT.</v>
      </c>
      <c r="D2755" s="156" t="s">
        <v>1444</v>
      </c>
      <c r="E2755" s="154" t="n">
        <v>0.129</v>
      </c>
      <c r="F2755" s="149" t="n">
        <f aca="false">IF(C2755="MAT.",VLOOKUP(A2755,INSUMOS_AUX!$A$3:$H$813,6,0),0)</f>
        <v>1.39</v>
      </c>
      <c r="G2755" s="149" t="n">
        <f aca="false">IF(C2755="M.O.",VLOOKUP(A2755,INSUMOS_AUX!A:F,6,0),0)</f>
        <v>0</v>
      </c>
    </row>
    <row r="2756" customFormat="false" ht="21" hidden="false" customHeight="false" outlineLevel="0" collapsed="false">
      <c r="A2756" s="154" t="n">
        <v>37372</v>
      </c>
      <c r="B2756" s="155" t="s">
        <v>1446</v>
      </c>
      <c r="C2756" s="148" t="str">
        <f aca="false">VLOOKUP($A2756,INSUMOS_AUX!$A$3:$H$813,3,0)</f>
        <v>MAT.</v>
      </c>
      <c r="D2756" s="156" t="s">
        <v>1444</v>
      </c>
      <c r="E2756" s="154" t="n">
        <v>0.3701</v>
      </c>
      <c r="F2756" s="149" t="n">
        <f aca="false">IF(C2756="MAT.",VLOOKUP(A2756,INSUMOS_AUX!$A$3:$H$813,6,0),0)</f>
        <v>1.43</v>
      </c>
      <c r="G2756" s="149" t="n">
        <f aca="false">IF(C2756="M.O.",VLOOKUP(A2756,INSUMOS_AUX!A:F,6,0),0)</f>
        <v>0</v>
      </c>
    </row>
    <row r="2757" customFormat="false" ht="21" hidden="false" customHeight="false" outlineLevel="0" collapsed="false">
      <c r="A2757" s="154" t="n">
        <v>43465</v>
      </c>
      <c r="B2757" s="155" t="s">
        <v>1458</v>
      </c>
      <c r="C2757" s="148" t="str">
        <f aca="false">VLOOKUP($A2757,INSUMOS_AUX!$A$3:$H$813,3,0)</f>
        <v>MAT.</v>
      </c>
      <c r="D2757" s="156" t="s">
        <v>1444</v>
      </c>
      <c r="E2757" s="154" t="n">
        <v>0.2411</v>
      </c>
      <c r="F2757" s="149" t="n">
        <f aca="false">IF(C2757="MAT.",VLOOKUP(A2757,INSUMOS_AUX!$A$3:$H$813,6,0),0)</f>
        <v>0.78</v>
      </c>
      <c r="G2757" s="149" t="n">
        <f aca="false">IF(C2757="M.O.",VLOOKUP(A2757,INSUMOS_AUX!A:F,6,0),0)</f>
        <v>0</v>
      </c>
    </row>
    <row r="2758" customFormat="false" ht="21" hidden="false" customHeight="false" outlineLevel="0" collapsed="false">
      <c r="A2758" s="154" t="n">
        <v>43467</v>
      </c>
      <c r="B2758" s="155" t="s">
        <v>1459</v>
      </c>
      <c r="C2758" s="148" t="str">
        <f aca="false">VLOOKUP($A2758,INSUMOS_AUX!$A$3:$H$813,3,0)</f>
        <v>MAT.</v>
      </c>
      <c r="D2758" s="156" t="s">
        <v>1444</v>
      </c>
      <c r="E2758" s="154" t="n">
        <v>0.129</v>
      </c>
      <c r="F2758" s="149" t="n">
        <f aca="false">IF(C2758="MAT.",VLOOKUP(A2758,INSUMOS_AUX!$A$3:$H$813,6,0),0)</f>
        <v>0.61</v>
      </c>
      <c r="G2758" s="149" t="n">
        <f aca="false">IF(C2758="M.O.",VLOOKUP(A2758,INSUMOS_AUX!A:F,6,0),0)</f>
        <v>0</v>
      </c>
    </row>
    <row r="2759" customFormat="false" ht="21" hidden="false" customHeight="false" outlineLevel="0" collapsed="false">
      <c r="A2759" s="154" t="n">
        <v>37373</v>
      </c>
      <c r="B2759" s="155" t="s">
        <v>1448</v>
      </c>
      <c r="C2759" s="148" t="str">
        <f aca="false">VLOOKUP($A2759,INSUMOS_AUX!$A$3:$H$813,3,0)</f>
        <v>MAT.</v>
      </c>
      <c r="D2759" s="156" t="s">
        <v>1444</v>
      </c>
      <c r="E2759" s="154" t="n">
        <v>0.3701</v>
      </c>
      <c r="F2759" s="149" t="n">
        <f aca="false">IF(C2759="MAT.",VLOOKUP(A2759,INSUMOS_AUX!$A$3:$H$813,6,0),0)</f>
        <v>0.08</v>
      </c>
      <c r="G2759" s="149" t="n">
        <f aca="false">IF(C2759="M.O.",VLOOKUP(A2759,INSUMOS_AUX!A:F,6,0),0)</f>
        <v>0</v>
      </c>
    </row>
    <row r="2760" customFormat="false" ht="21" hidden="false" customHeight="false" outlineLevel="0" collapsed="false">
      <c r="A2760" s="154" t="n">
        <v>37371</v>
      </c>
      <c r="B2760" s="155" t="s">
        <v>1449</v>
      </c>
      <c r="C2760" s="148" t="str">
        <f aca="false">VLOOKUP($A2760,INSUMOS_AUX!$A$3:$H$813,3,0)</f>
        <v>MAT.</v>
      </c>
      <c r="D2760" s="156" t="s">
        <v>1444</v>
      </c>
      <c r="E2760" s="154" t="n">
        <v>0.3701</v>
      </c>
      <c r="F2760" s="149" t="n">
        <f aca="false">IF(C2760="MAT.",VLOOKUP(A2760,INSUMOS_AUX!$A$3:$H$813,6,0),0)</f>
        <v>0.59</v>
      </c>
      <c r="G2760" s="149" t="n">
        <f aca="false">IF(C2760="M.O.",VLOOKUP(A2760,INSUMOS_AUX!A:F,6,0),0)</f>
        <v>0</v>
      </c>
    </row>
    <row r="2761" customFormat="false" ht="15" hidden="false" customHeight="false" outlineLevel="0" collapsed="false">
      <c r="A2761" s="154" t="n">
        <v>1381</v>
      </c>
      <c r="B2761" s="155" t="s">
        <v>1942</v>
      </c>
      <c r="C2761" s="148" t="s">
        <v>59</v>
      </c>
      <c r="D2761" s="156" t="s">
        <v>1513</v>
      </c>
      <c r="E2761" s="154" t="n">
        <v>9.1325</v>
      </c>
      <c r="F2761" s="149" t="n">
        <f aca="false">IF(C2761="MAT.",VLOOKUP(A2761,INSUMOS_AUX!$A$3:$H$813,6,0),0)</f>
        <v>0</v>
      </c>
      <c r="G2761" s="149" t="n">
        <f aca="false">IF(C2761="M.O.",VLOOKUP(A2761,INSUMOS_AUX!A:F,6,0),0)</f>
        <v>0</v>
      </c>
    </row>
    <row r="2762" customFormat="false" ht="21" hidden="false" customHeight="false" outlineLevel="0" collapsed="false">
      <c r="A2762" s="154" t="n">
        <v>1287</v>
      </c>
      <c r="B2762" s="155" t="s">
        <v>1943</v>
      </c>
      <c r="C2762" s="148" t="str">
        <f aca="false">VLOOKUP($A2762,INSUMOS_AUX!$A$3:$H$813,3,0)</f>
        <v>MAT.</v>
      </c>
      <c r="D2762" s="156" t="s">
        <v>1477</v>
      </c>
      <c r="E2762" s="154" t="n">
        <v>1.0571</v>
      </c>
      <c r="F2762" s="149" t="n">
        <f aca="false">IF(C2762="MAT.",VLOOKUP(A2762,INSUMOS_AUX!$A$3:$H$813,6,0),0)</f>
        <v>31.95</v>
      </c>
      <c r="G2762" s="149" t="n">
        <f aca="false">IF(C2762="M.O.",VLOOKUP(A2762,INSUMOS_AUX!A:F,6,0),0)</f>
        <v>0</v>
      </c>
    </row>
    <row r="2763" customFormat="false" ht="15" hidden="false" customHeight="false" outlineLevel="0" collapsed="false">
      <c r="A2763" s="154" t="n">
        <v>34357</v>
      </c>
      <c r="B2763" s="155" t="s">
        <v>1938</v>
      </c>
      <c r="C2763" s="148" t="str">
        <f aca="false">VLOOKUP($A2763,INSUMOS_AUX!$A$3:$H$813,3,0)</f>
        <v>MAT.</v>
      </c>
      <c r="D2763" s="156" t="s">
        <v>1513</v>
      </c>
      <c r="E2763" s="154" t="n">
        <v>0.241</v>
      </c>
      <c r="F2763" s="149" t="n">
        <f aca="false">IF(C2763="MAT.",VLOOKUP(A2763,INSUMOS_AUX!$A$3:$H$813,6,0),0)</f>
        <v>4.69</v>
      </c>
      <c r="G2763" s="149" t="n">
        <f aca="false">IF(C2763="M.O.",VLOOKUP(A2763,INSUMOS_AUX!A:F,6,0),0)</f>
        <v>0</v>
      </c>
    </row>
    <row r="2764" customFormat="false" ht="15" hidden="false" customHeight="false" outlineLevel="0" collapsed="false">
      <c r="A2764" s="154" t="n">
        <v>4760</v>
      </c>
      <c r="B2764" s="155" t="s">
        <v>1939</v>
      </c>
      <c r="C2764" s="148" t="str">
        <f aca="false">VLOOKUP($A2764,INSUMOS_AUX!$A$3:$H$813,3,0)</f>
        <v>M.O.</v>
      </c>
      <c r="D2764" s="156" t="s">
        <v>1444</v>
      </c>
      <c r="E2764" s="154" t="n">
        <v>0.244658636</v>
      </c>
      <c r="F2764" s="149" t="n">
        <f aca="false">IF(C2764="MAT.",VLOOKUP(A2764,INSUMOS_AUX!$A$3:$H$813,6,0),0)</f>
        <v>0</v>
      </c>
      <c r="G2764" s="149" t="n">
        <f aca="false">IF(C2764="M.O.",VLOOKUP(A2764,INSUMOS_AUX!A:F,6,0),0)</f>
        <v>20.79</v>
      </c>
    </row>
    <row r="2765" customFormat="false" ht="15" hidden="false" customHeight="false" outlineLevel="0" collapsed="false">
      <c r="A2765" s="154" t="n">
        <v>6111</v>
      </c>
      <c r="B2765" s="155" t="s">
        <v>1464</v>
      </c>
      <c r="C2765" s="148" t="str">
        <f aca="false">VLOOKUP($A2765,INSUMOS_AUX!$A$3:$H$813,3,0)</f>
        <v>M.O.</v>
      </c>
      <c r="D2765" s="156" t="s">
        <v>1444</v>
      </c>
      <c r="E2765" s="154" t="n">
        <v>0.1317348</v>
      </c>
      <c r="F2765" s="149" t="n">
        <f aca="false">IF(C2765="MAT.",VLOOKUP(A2765,INSUMOS_AUX!$A$3:$H$813,6,0),0)</f>
        <v>0</v>
      </c>
      <c r="G2765" s="149" t="n">
        <f aca="false">IF(C2765="M.O.",VLOOKUP(A2765,INSUMOS_AUX!A:F,6,0),0)</f>
        <v>12.95</v>
      </c>
    </row>
    <row r="2766" customFormat="false" ht="21" hidden="false" customHeight="false" outlineLevel="0" collapsed="false">
      <c r="A2766" s="150" t="n">
        <v>97097</v>
      </c>
      <c r="B2766" s="151" t="s">
        <v>1945</v>
      </c>
      <c r="C2766" s="152" t="s">
        <v>59</v>
      </c>
      <c r="D2766" s="152" t="s">
        <v>1477</v>
      </c>
      <c r="E2766" s="150"/>
      <c r="F2766" s="153" t="n">
        <f aca="false">(SUMPRODUCT($E2767:$E2776,F2767:F2776))*1</f>
        <v>34.07119744</v>
      </c>
      <c r="G2766" s="153" t="n">
        <f aca="false">(SUMPRODUCT($E2767:$E2776,G2767:G2776))*1</f>
        <v>1.817082432</v>
      </c>
    </row>
    <row r="2767" customFormat="false" ht="21" hidden="false" customHeight="false" outlineLevel="0" collapsed="false">
      <c r="A2767" s="154" t="n">
        <v>37370</v>
      </c>
      <c r="B2767" s="155" t="s">
        <v>1443</v>
      </c>
      <c r="C2767" s="148" t="str">
        <f aca="false">VLOOKUP($A2767,INSUMOS_AUX!$A$3:$H$813,3,0)</f>
        <v>MAT.</v>
      </c>
      <c r="D2767" s="156" t="s">
        <v>1444</v>
      </c>
      <c r="E2767" s="154" t="n">
        <v>0.088</v>
      </c>
      <c r="F2767" s="149" t="n">
        <f aca="false">IF(C2767="MAT.",VLOOKUP(A2767,INSUMOS_AUX!$A$3:$H$813,6,0),0)</f>
        <v>3.32</v>
      </c>
      <c r="G2767" s="149" t="n">
        <f aca="false">IF(C2767="M.O.",VLOOKUP(A2767,INSUMOS_AUX!A:F,6,0),0)</f>
        <v>0</v>
      </c>
    </row>
    <row r="2768" customFormat="false" ht="21" hidden="false" customHeight="false" outlineLevel="0" collapsed="false">
      <c r="A2768" s="154" t="n">
        <v>43489</v>
      </c>
      <c r="B2768" s="155" t="s">
        <v>1456</v>
      </c>
      <c r="C2768" s="148" t="str">
        <f aca="false">VLOOKUP($A2768,INSUMOS_AUX!$A$3:$H$813,3,0)</f>
        <v>MAT.</v>
      </c>
      <c r="D2768" s="156" t="s">
        <v>1444</v>
      </c>
      <c r="E2768" s="154" t="n">
        <v>0.088</v>
      </c>
      <c r="F2768" s="149" t="n">
        <f aca="false">IF(C2768="MAT.",VLOOKUP(A2768,INSUMOS_AUX!$A$3:$H$813,6,0),0)</f>
        <v>1.31</v>
      </c>
      <c r="G2768" s="149" t="n">
        <f aca="false">IF(C2768="M.O.",VLOOKUP(A2768,INSUMOS_AUX!A:F,6,0),0)</f>
        <v>0</v>
      </c>
    </row>
    <row r="2769" customFormat="false" ht="21" hidden="false" customHeight="false" outlineLevel="0" collapsed="false">
      <c r="A2769" s="154" t="n">
        <v>37372</v>
      </c>
      <c r="B2769" s="155" t="s">
        <v>1446</v>
      </c>
      <c r="C2769" s="148" t="str">
        <f aca="false">VLOOKUP($A2769,INSUMOS_AUX!$A$3:$H$813,3,0)</f>
        <v>MAT.</v>
      </c>
      <c r="D2769" s="156" t="s">
        <v>1444</v>
      </c>
      <c r="E2769" s="154" t="n">
        <v>0.088</v>
      </c>
      <c r="F2769" s="149" t="n">
        <f aca="false">IF(C2769="MAT.",VLOOKUP(A2769,INSUMOS_AUX!$A$3:$H$813,6,0),0)</f>
        <v>1.43</v>
      </c>
      <c r="G2769" s="149" t="n">
        <f aca="false">IF(C2769="M.O.",VLOOKUP(A2769,INSUMOS_AUX!A:F,6,0),0)</f>
        <v>0</v>
      </c>
    </row>
    <row r="2770" customFormat="false" ht="21" hidden="false" customHeight="false" outlineLevel="0" collapsed="false">
      <c r="A2770" s="154" t="n">
        <v>43465</v>
      </c>
      <c r="B2770" s="155" t="s">
        <v>1458</v>
      </c>
      <c r="C2770" s="148" t="str">
        <f aca="false">VLOOKUP($A2770,INSUMOS_AUX!$A$3:$H$813,3,0)</f>
        <v>MAT.</v>
      </c>
      <c r="D2770" s="156" t="s">
        <v>1444</v>
      </c>
      <c r="E2770" s="154" t="n">
        <v>0.088</v>
      </c>
      <c r="F2770" s="149" t="n">
        <f aca="false">IF(C2770="MAT.",VLOOKUP(A2770,INSUMOS_AUX!$A$3:$H$813,6,0),0)</f>
        <v>0.78</v>
      </c>
      <c r="G2770" s="149" t="n">
        <f aca="false">IF(C2770="M.O.",VLOOKUP(A2770,INSUMOS_AUX!A:F,6,0),0)</f>
        <v>0</v>
      </c>
    </row>
    <row r="2771" customFormat="false" ht="21" hidden="false" customHeight="false" outlineLevel="0" collapsed="false">
      <c r="A2771" s="154" t="n">
        <v>37373</v>
      </c>
      <c r="B2771" s="155" t="s">
        <v>1448</v>
      </c>
      <c r="C2771" s="148" t="str">
        <f aca="false">VLOOKUP($A2771,INSUMOS_AUX!$A$3:$H$813,3,0)</f>
        <v>MAT.</v>
      </c>
      <c r="D2771" s="156" t="s">
        <v>1444</v>
      </c>
      <c r="E2771" s="154" t="n">
        <v>0.088</v>
      </c>
      <c r="F2771" s="149" t="n">
        <f aca="false">IF(C2771="MAT.",VLOOKUP(A2771,INSUMOS_AUX!$A$3:$H$813,6,0),0)</f>
        <v>0.08</v>
      </c>
      <c r="G2771" s="149" t="n">
        <f aca="false">IF(C2771="M.O.",VLOOKUP(A2771,INSUMOS_AUX!A:F,6,0),0)</f>
        <v>0</v>
      </c>
    </row>
    <row r="2772" customFormat="false" ht="21" hidden="false" customHeight="false" outlineLevel="0" collapsed="false">
      <c r="A2772" s="154" t="n">
        <v>37371</v>
      </c>
      <c r="B2772" s="155" t="s">
        <v>1449</v>
      </c>
      <c r="C2772" s="148" t="str">
        <f aca="false">VLOOKUP($A2772,INSUMOS_AUX!$A$3:$H$813,3,0)</f>
        <v>MAT.</v>
      </c>
      <c r="D2772" s="156" t="s">
        <v>1444</v>
      </c>
      <c r="E2772" s="154" t="n">
        <v>0.088</v>
      </c>
      <c r="F2772" s="149" t="n">
        <f aca="false">IF(C2772="MAT.",VLOOKUP(A2772,INSUMOS_AUX!$A$3:$H$813,6,0),0)</f>
        <v>0.59</v>
      </c>
      <c r="G2772" s="149" t="n">
        <f aca="false">IF(C2772="M.O.",VLOOKUP(A2772,INSUMOS_AUX!A:F,6,0),0)</f>
        <v>0</v>
      </c>
    </row>
    <row r="2773" customFormat="false" ht="21" hidden="false" customHeight="false" outlineLevel="0" collapsed="false">
      <c r="A2773" s="154" t="n">
        <v>10658</v>
      </c>
      <c r="B2773" s="155" t="s">
        <v>1946</v>
      </c>
      <c r="C2773" s="148" t="str">
        <f aca="false">VLOOKUP($A2773,INSUMOS_AUX!$A$3:$H$813,3,0)</f>
        <v>MAT.</v>
      </c>
      <c r="D2773" s="156" t="s">
        <v>31</v>
      </c>
      <c r="E2773" s="154" t="n">
        <v>1.0976E-006</v>
      </c>
      <c r="F2773" s="149" t="n">
        <f aca="false">IF(C2773="MAT.",VLOOKUP(A2773,INSUMOS_AUX!$A$3:$H$813,6,0),0)</f>
        <v>9400</v>
      </c>
      <c r="G2773" s="149" t="n">
        <f aca="false">IF(C2773="M.O.",VLOOKUP(A2773,INSUMOS_AUX!A:F,6,0),0)</f>
        <v>0</v>
      </c>
    </row>
    <row r="2774" customFormat="false" ht="21" hidden="false" customHeight="false" outlineLevel="0" collapsed="false">
      <c r="A2774" s="154" t="n">
        <v>43146</v>
      </c>
      <c r="B2774" s="155" t="s">
        <v>1947</v>
      </c>
      <c r="C2774" s="148" t="str">
        <f aca="false">VLOOKUP($A2774,INSUMOS_AUX!$A$3:$H$813,3,0)</f>
        <v>MAT.</v>
      </c>
      <c r="D2774" s="156" t="s">
        <v>1513</v>
      </c>
      <c r="E2774" s="154" t="n">
        <v>4</v>
      </c>
      <c r="F2774" s="149" t="n">
        <f aca="false">IF(C2774="MAT.",VLOOKUP(A2774,INSUMOS_AUX!$A$3:$H$813,6,0),0)</f>
        <v>8.35</v>
      </c>
      <c r="G2774" s="149" t="n">
        <f aca="false">IF(C2774="M.O.",VLOOKUP(A2774,INSUMOS_AUX!A:F,6,0),0)</f>
        <v>0</v>
      </c>
    </row>
    <row r="2775" customFormat="false" ht="15" hidden="false" customHeight="false" outlineLevel="0" collapsed="false">
      <c r="A2775" s="154" t="n">
        <v>4222</v>
      </c>
      <c r="B2775" s="155" t="s">
        <v>1572</v>
      </c>
      <c r="C2775" s="148" t="s">
        <v>59</v>
      </c>
      <c r="D2775" s="156" t="s">
        <v>1452</v>
      </c>
      <c r="E2775" s="154" t="n">
        <v>0.01008</v>
      </c>
      <c r="F2775" s="149" t="n">
        <f aca="false">IF(C2775="MAT.",VLOOKUP(A2775,INSUMOS_AUX!$A$3:$H$813,6,0),0)</f>
        <v>0</v>
      </c>
      <c r="G2775" s="149" t="n">
        <f aca="false">IF(C2775="M.O.",VLOOKUP(A2775,INSUMOS_AUX!A:F,6,0),0)</f>
        <v>0</v>
      </c>
    </row>
    <row r="2776" customFormat="false" ht="15" hidden="false" customHeight="false" outlineLevel="0" collapsed="false">
      <c r="A2776" s="154" t="n">
        <v>4750</v>
      </c>
      <c r="B2776" s="155" t="s">
        <v>1463</v>
      </c>
      <c r="C2776" s="148" t="str">
        <f aca="false">VLOOKUP($A2776,INSUMOS_AUX!$A$3:$H$813,3,0)</f>
        <v>M.O.</v>
      </c>
      <c r="D2776" s="156" t="s">
        <v>1444</v>
      </c>
      <c r="E2776" s="154" t="n">
        <v>0.0898656</v>
      </c>
      <c r="F2776" s="149" t="n">
        <f aca="false">IF(C2776="MAT.",VLOOKUP(A2776,INSUMOS_AUX!$A$3:$H$813,6,0),0)</f>
        <v>0</v>
      </c>
      <c r="G2776" s="149" t="n">
        <f aca="false">IF(C2776="M.O.",VLOOKUP(A2776,INSUMOS_AUX!A:F,6,0),0)</f>
        <v>20.22</v>
      </c>
    </row>
    <row r="2777" customFormat="false" ht="15" hidden="false" customHeight="false" outlineLevel="0" collapsed="false">
      <c r="A2777" s="150" t="n">
        <v>98671</v>
      </c>
      <c r="B2777" s="151" t="s">
        <v>1948</v>
      </c>
      <c r="C2777" s="152" t="s">
        <v>59</v>
      </c>
      <c r="D2777" s="152" t="s">
        <v>1477</v>
      </c>
      <c r="E2777" s="150"/>
      <c r="F2777" s="153" t="n">
        <f aca="false">(SUMPRODUCT($E2778:$E2790,F2778:F2790))*1</f>
        <v>375.95736</v>
      </c>
      <c r="G2777" s="153" t="n">
        <f aca="false">(SUMPRODUCT($E2778:$E2790,G2778:G2790))*1</f>
        <v>32.2312920336</v>
      </c>
    </row>
    <row r="2778" customFormat="false" ht="21" hidden="false" customHeight="false" outlineLevel="0" collapsed="false">
      <c r="A2778" s="154" t="n">
        <v>37370</v>
      </c>
      <c r="B2778" s="155" t="s">
        <v>1443</v>
      </c>
      <c r="C2778" s="148" t="str">
        <f aca="false">VLOOKUP($A2778,INSUMOS_AUX!$A$3:$H$813,3,0)</f>
        <v>MAT.</v>
      </c>
      <c r="D2778" s="156" t="s">
        <v>1444</v>
      </c>
      <c r="E2778" s="154" t="n">
        <v>1.782</v>
      </c>
      <c r="F2778" s="149" t="n">
        <f aca="false">IF(C2778="MAT.",VLOOKUP(A2778,INSUMOS_AUX!$A$3:$H$813,6,0),0)</f>
        <v>3.32</v>
      </c>
      <c r="G2778" s="149" t="n">
        <f aca="false">IF(C2778="M.O.",VLOOKUP(A2778,INSUMOS_AUX!A:F,6,0),0)</f>
        <v>0</v>
      </c>
    </row>
    <row r="2779" customFormat="false" ht="21" hidden="false" customHeight="false" outlineLevel="0" collapsed="false">
      <c r="A2779" s="154" t="n">
        <v>43489</v>
      </c>
      <c r="B2779" s="155" t="s">
        <v>1456</v>
      </c>
      <c r="C2779" s="148" t="str">
        <f aca="false">VLOOKUP($A2779,INSUMOS_AUX!$A$3:$H$813,3,0)</f>
        <v>MAT.</v>
      </c>
      <c r="D2779" s="156" t="s">
        <v>1444</v>
      </c>
      <c r="E2779" s="154" t="n">
        <v>1.188</v>
      </c>
      <c r="F2779" s="149" t="n">
        <f aca="false">IF(C2779="MAT.",VLOOKUP(A2779,INSUMOS_AUX!$A$3:$H$813,6,0),0)</f>
        <v>1.31</v>
      </c>
      <c r="G2779" s="149" t="n">
        <f aca="false">IF(C2779="M.O.",VLOOKUP(A2779,INSUMOS_AUX!A:F,6,0),0)</f>
        <v>0</v>
      </c>
    </row>
    <row r="2780" customFormat="false" ht="21" hidden="false" customHeight="false" outlineLevel="0" collapsed="false">
      <c r="A2780" s="154" t="n">
        <v>43491</v>
      </c>
      <c r="B2780" s="155" t="s">
        <v>1457</v>
      </c>
      <c r="C2780" s="148" t="str">
        <f aca="false">VLOOKUP($A2780,INSUMOS_AUX!$A$3:$H$813,3,0)</f>
        <v>MAT.</v>
      </c>
      <c r="D2780" s="156" t="s">
        <v>1444</v>
      </c>
      <c r="E2780" s="154" t="n">
        <v>0.594</v>
      </c>
      <c r="F2780" s="149" t="n">
        <f aca="false">IF(C2780="MAT.",VLOOKUP(A2780,INSUMOS_AUX!$A$3:$H$813,6,0),0)</f>
        <v>1.39</v>
      </c>
      <c r="G2780" s="149" t="n">
        <f aca="false">IF(C2780="M.O.",VLOOKUP(A2780,INSUMOS_AUX!A:F,6,0),0)</f>
        <v>0</v>
      </c>
    </row>
    <row r="2781" customFormat="false" ht="21" hidden="false" customHeight="false" outlineLevel="0" collapsed="false">
      <c r="A2781" s="154" t="n">
        <v>37372</v>
      </c>
      <c r="B2781" s="155" t="s">
        <v>1446</v>
      </c>
      <c r="C2781" s="148" t="str">
        <f aca="false">VLOOKUP($A2781,INSUMOS_AUX!$A$3:$H$813,3,0)</f>
        <v>MAT.</v>
      </c>
      <c r="D2781" s="156" t="s">
        <v>1444</v>
      </c>
      <c r="E2781" s="154" t="n">
        <v>1.782</v>
      </c>
      <c r="F2781" s="149" t="n">
        <f aca="false">IF(C2781="MAT.",VLOOKUP(A2781,INSUMOS_AUX!$A$3:$H$813,6,0),0)</f>
        <v>1.43</v>
      </c>
      <c r="G2781" s="149" t="n">
        <f aca="false">IF(C2781="M.O.",VLOOKUP(A2781,INSUMOS_AUX!A:F,6,0),0)</f>
        <v>0</v>
      </c>
    </row>
    <row r="2782" customFormat="false" ht="21" hidden="false" customHeight="false" outlineLevel="0" collapsed="false">
      <c r="A2782" s="154" t="n">
        <v>43465</v>
      </c>
      <c r="B2782" s="155" t="s">
        <v>1458</v>
      </c>
      <c r="C2782" s="148" t="str">
        <f aca="false">VLOOKUP($A2782,INSUMOS_AUX!$A$3:$H$813,3,0)</f>
        <v>MAT.</v>
      </c>
      <c r="D2782" s="156" t="s">
        <v>1444</v>
      </c>
      <c r="E2782" s="154" t="n">
        <v>1.188</v>
      </c>
      <c r="F2782" s="149" t="n">
        <f aca="false">IF(C2782="MAT.",VLOOKUP(A2782,INSUMOS_AUX!$A$3:$H$813,6,0),0)</f>
        <v>0.78</v>
      </c>
      <c r="G2782" s="149" t="n">
        <f aca="false">IF(C2782="M.O.",VLOOKUP(A2782,INSUMOS_AUX!A:F,6,0),0)</f>
        <v>0</v>
      </c>
    </row>
    <row r="2783" customFormat="false" ht="21" hidden="false" customHeight="false" outlineLevel="0" collapsed="false">
      <c r="A2783" s="154" t="n">
        <v>43467</v>
      </c>
      <c r="B2783" s="155" t="s">
        <v>1459</v>
      </c>
      <c r="C2783" s="148" t="str">
        <f aca="false">VLOOKUP($A2783,INSUMOS_AUX!$A$3:$H$813,3,0)</f>
        <v>MAT.</v>
      </c>
      <c r="D2783" s="156" t="s">
        <v>1444</v>
      </c>
      <c r="E2783" s="154" t="n">
        <v>0.594</v>
      </c>
      <c r="F2783" s="149" t="n">
        <f aca="false">IF(C2783="MAT.",VLOOKUP(A2783,INSUMOS_AUX!$A$3:$H$813,6,0),0)</f>
        <v>0.61</v>
      </c>
      <c r="G2783" s="149" t="n">
        <f aca="false">IF(C2783="M.O.",VLOOKUP(A2783,INSUMOS_AUX!A:F,6,0),0)</f>
        <v>0</v>
      </c>
    </row>
    <row r="2784" customFormat="false" ht="21" hidden="false" customHeight="false" outlineLevel="0" collapsed="false">
      <c r="A2784" s="154" t="n">
        <v>37373</v>
      </c>
      <c r="B2784" s="155" t="s">
        <v>1448</v>
      </c>
      <c r="C2784" s="148" t="str">
        <f aca="false">VLOOKUP($A2784,INSUMOS_AUX!$A$3:$H$813,3,0)</f>
        <v>MAT.</v>
      </c>
      <c r="D2784" s="156" t="s">
        <v>1444</v>
      </c>
      <c r="E2784" s="154" t="n">
        <v>1.782</v>
      </c>
      <c r="F2784" s="149" t="n">
        <f aca="false">IF(C2784="MAT.",VLOOKUP(A2784,INSUMOS_AUX!$A$3:$H$813,6,0),0)</f>
        <v>0.08</v>
      </c>
      <c r="G2784" s="149" t="n">
        <f aca="false">IF(C2784="M.O.",VLOOKUP(A2784,INSUMOS_AUX!A:F,6,0),0)</f>
        <v>0</v>
      </c>
    </row>
    <row r="2785" customFormat="false" ht="21" hidden="false" customHeight="false" outlineLevel="0" collapsed="false">
      <c r="A2785" s="154" t="n">
        <v>37371</v>
      </c>
      <c r="B2785" s="155" t="s">
        <v>1449</v>
      </c>
      <c r="C2785" s="148" t="str">
        <f aca="false">VLOOKUP($A2785,INSUMOS_AUX!$A$3:$H$813,3,0)</f>
        <v>MAT.</v>
      </c>
      <c r="D2785" s="156" t="s">
        <v>1444</v>
      </c>
      <c r="E2785" s="154" t="n">
        <v>1.782</v>
      </c>
      <c r="F2785" s="149" t="n">
        <f aca="false">IF(C2785="MAT.",VLOOKUP(A2785,INSUMOS_AUX!$A$3:$H$813,6,0),0)</f>
        <v>0.59</v>
      </c>
      <c r="G2785" s="149" t="n">
        <f aca="false">IF(C2785="M.O.",VLOOKUP(A2785,INSUMOS_AUX!A:F,6,0),0)</f>
        <v>0</v>
      </c>
    </row>
    <row r="2786" customFormat="false" ht="15" hidden="false" customHeight="false" outlineLevel="0" collapsed="false">
      <c r="A2786" s="154" t="n">
        <v>37595</v>
      </c>
      <c r="B2786" s="155" t="s">
        <v>1822</v>
      </c>
      <c r="C2786" s="148" t="str">
        <f aca="false">VLOOKUP($A2786,INSUMOS_AUX!$A$3:$H$813,3,0)</f>
        <v>MAT.</v>
      </c>
      <c r="D2786" s="156" t="s">
        <v>1513</v>
      </c>
      <c r="E2786" s="154" t="n">
        <v>8.62</v>
      </c>
      <c r="F2786" s="149" t="n">
        <f aca="false">IF(C2786="MAT.",VLOOKUP(A2786,INSUMOS_AUX!$A$3:$H$813,6,0),0)</f>
        <v>2.46</v>
      </c>
      <c r="G2786" s="149" t="n">
        <f aca="false">IF(C2786="M.O.",VLOOKUP(A2786,INSUMOS_AUX!A:F,6,0),0)</f>
        <v>0</v>
      </c>
    </row>
    <row r="2787" customFormat="false" ht="31.5" hidden="false" customHeight="false" outlineLevel="0" collapsed="false">
      <c r="A2787" s="154" t="n">
        <v>10841</v>
      </c>
      <c r="B2787" s="155" t="s">
        <v>1949</v>
      </c>
      <c r="C2787" s="148" t="str">
        <f aca="false">VLOOKUP($A2787,INSUMOS_AUX!$A$3:$H$813,3,0)</f>
        <v>MAT.</v>
      </c>
      <c r="D2787" s="156" t="s">
        <v>1477</v>
      </c>
      <c r="E2787" s="154" t="n">
        <v>1.16</v>
      </c>
      <c r="F2787" s="149" t="n">
        <f aca="false">IF(C2787="MAT.",VLOOKUP(A2787,INSUMOS_AUX!$A$3:$H$813,6,0),0)</f>
        <v>294.33</v>
      </c>
      <c r="G2787" s="149" t="n">
        <f aca="false">IF(C2787="M.O.",VLOOKUP(A2787,INSUMOS_AUX!A:F,6,0),0)</f>
        <v>0</v>
      </c>
    </row>
    <row r="2788" customFormat="false" ht="15" hidden="false" customHeight="false" outlineLevel="0" collapsed="false">
      <c r="A2788" s="154" t="n">
        <v>34357</v>
      </c>
      <c r="B2788" s="155" t="s">
        <v>1938</v>
      </c>
      <c r="C2788" s="148" t="s">
        <v>59</v>
      </c>
      <c r="D2788" s="156" t="s">
        <v>1513</v>
      </c>
      <c r="E2788" s="154" t="n">
        <v>0.14</v>
      </c>
      <c r="F2788" s="149" t="n">
        <f aca="false">IF(C2788="MAT.",VLOOKUP(A2788,INSUMOS_AUX!$A$3:$H$813,6,0),0)</f>
        <v>0</v>
      </c>
      <c r="G2788" s="149" t="n">
        <f aca="false">IF(C2788="M.O.",VLOOKUP(A2788,INSUMOS_AUX!A:F,6,0),0)</f>
        <v>0</v>
      </c>
    </row>
    <row r="2789" customFormat="false" ht="15" hidden="false" customHeight="false" outlineLevel="0" collapsed="false">
      <c r="A2789" s="154" t="n">
        <v>4755</v>
      </c>
      <c r="B2789" s="155" t="s">
        <v>1783</v>
      </c>
      <c r="C2789" s="148" t="str">
        <f aca="false">VLOOKUP($A2789,INSUMOS_AUX!$A$3:$H$813,3,0)</f>
        <v>M.O.</v>
      </c>
      <c r="D2789" s="156" t="s">
        <v>1444</v>
      </c>
      <c r="E2789" s="154" t="n">
        <v>1.20553488</v>
      </c>
      <c r="F2789" s="149" t="n">
        <f aca="false">IF(C2789="MAT.",VLOOKUP(A2789,INSUMOS_AUX!$A$3:$H$813,6,0),0)</f>
        <v>0</v>
      </c>
      <c r="G2789" s="149" t="n">
        <f aca="false">IF(C2789="M.O.",VLOOKUP(A2789,INSUMOS_AUX!A:F,6,0),0)</f>
        <v>20.22</v>
      </c>
    </row>
    <row r="2790" customFormat="false" ht="15" hidden="false" customHeight="false" outlineLevel="0" collapsed="false">
      <c r="A2790" s="154" t="n">
        <v>6111</v>
      </c>
      <c r="B2790" s="155" t="s">
        <v>1464</v>
      </c>
      <c r="C2790" s="148" t="str">
        <f aca="false">VLOOKUP($A2790,INSUMOS_AUX!$A$3:$H$813,3,0)</f>
        <v>M.O.</v>
      </c>
      <c r="D2790" s="156" t="s">
        <v>1444</v>
      </c>
      <c r="E2790" s="154" t="n">
        <v>0.6065928</v>
      </c>
      <c r="F2790" s="149" t="n">
        <f aca="false">IF(C2790="MAT.",VLOOKUP(A2790,INSUMOS_AUX!$A$3:$H$813,6,0),0)</f>
        <v>0</v>
      </c>
      <c r="G2790" s="149" t="n">
        <f aca="false">IF(C2790="M.O.",VLOOKUP(A2790,INSUMOS_AUX!A:F,6,0),0)</f>
        <v>12.95</v>
      </c>
    </row>
    <row r="2791" customFormat="false" ht="31.5" hidden="false" customHeight="false" outlineLevel="0" collapsed="false">
      <c r="A2791" s="150" t="n">
        <v>94994</v>
      </c>
      <c r="B2791" s="151" t="s">
        <v>1950</v>
      </c>
      <c r="C2791" s="152" t="s">
        <v>59</v>
      </c>
      <c r="D2791" s="152" t="s">
        <v>1477</v>
      </c>
      <c r="E2791" s="150"/>
      <c r="F2791" s="153" t="n">
        <f aca="false">(SUMPRODUCT($E2792:$E2817,F2792:F2817))*1</f>
        <v>76.6323729043012</v>
      </c>
      <c r="G2791" s="153" t="n">
        <f aca="false">(SUMPRODUCT($E2792:$E2817,G2792:G2817))*1</f>
        <v>15.9480297594751</v>
      </c>
    </row>
    <row r="2792" customFormat="false" ht="21" hidden="false" customHeight="false" outlineLevel="0" collapsed="false">
      <c r="A2792" s="154" t="n">
        <v>37370</v>
      </c>
      <c r="B2792" s="155" t="s">
        <v>1443</v>
      </c>
      <c r="C2792" s="148" t="str">
        <f aca="false">VLOOKUP($A2792,INSUMOS_AUX!$A$3:$H$813,3,0)</f>
        <v>MAT.</v>
      </c>
      <c r="D2792" s="156" t="s">
        <v>1444</v>
      </c>
      <c r="E2792" s="154" t="n">
        <v>1.04418315</v>
      </c>
      <c r="F2792" s="149" t="n">
        <f aca="false">IF(C2792="MAT.",VLOOKUP(A2792,INSUMOS_AUX!$A$3:$H$813,6,0),0)</f>
        <v>3.32</v>
      </c>
      <c r="G2792" s="149" t="n">
        <f aca="false">IF(C2792="M.O.",VLOOKUP(A2792,INSUMOS_AUX!A:F,6,0),0)</f>
        <v>0</v>
      </c>
    </row>
    <row r="2793" customFormat="false" ht="21" hidden="false" customHeight="false" outlineLevel="0" collapsed="false">
      <c r="A2793" s="154" t="n">
        <v>43483</v>
      </c>
      <c r="B2793" s="155" t="s">
        <v>1486</v>
      </c>
      <c r="C2793" s="148" t="str">
        <f aca="false">VLOOKUP($A2793,INSUMOS_AUX!$A$3:$H$813,3,0)</f>
        <v>MAT.</v>
      </c>
      <c r="D2793" s="156" t="s">
        <v>1444</v>
      </c>
      <c r="E2793" s="154" t="n">
        <v>0.1301</v>
      </c>
      <c r="F2793" s="149" t="n">
        <f aca="false">IF(C2793="MAT.",VLOOKUP(A2793,INSUMOS_AUX!$A$3:$H$813,6,0),0)</f>
        <v>1.43</v>
      </c>
      <c r="G2793" s="149" t="n">
        <f aca="false">IF(C2793="M.O.",VLOOKUP(A2793,INSUMOS_AUX!A:F,6,0),0)</f>
        <v>0</v>
      </c>
    </row>
    <row r="2794" customFormat="false" ht="21" hidden="false" customHeight="false" outlineLevel="0" collapsed="false">
      <c r="A2794" s="154" t="n">
        <v>43488</v>
      </c>
      <c r="B2794" s="155" t="s">
        <v>1445</v>
      </c>
      <c r="C2794" s="148" t="str">
        <f aca="false">VLOOKUP($A2794,INSUMOS_AUX!$A$3:$H$813,3,0)</f>
        <v>MAT.</v>
      </c>
      <c r="D2794" s="156" t="s">
        <v>1444</v>
      </c>
      <c r="E2794" s="154" t="n">
        <v>0.1580531</v>
      </c>
      <c r="F2794" s="149" t="n">
        <f aca="false">IF(C2794="MAT.",VLOOKUP(A2794,INSUMOS_AUX!$A$3:$H$813,6,0),0)</f>
        <v>0.89</v>
      </c>
      <c r="G2794" s="149" t="n">
        <f aca="false">IF(C2794="M.O.",VLOOKUP(A2794,INSUMOS_AUX!A:F,6,0),0)</f>
        <v>0</v>
      </c>
    </row>
    <row r="2795" customFormat="false" ht="21" hidden="false" customHeight="false" outlineLevel="0" collapsed="false">
      <c r="A2795" s="154" t="n">
        <v>43489</v>
      </c>
      <c r="B2795" s="155" t="s">
        <v>1456</v>
      </c>
      <c r="C2795" s="148" t="str">
        <f aca="false">VLOOKUP($A2795,INSUMOS_AUX!$A$3:$H$813,3,0)</f>
        <v>MAT.</v>
      </c>
      <c r="D2795" s="156" t="s">
        <v>1444</v>
      </c>
      <c r="E2795" s="154" t="n">
        <v>0.1882</v>
      </c>
      <c r="F2795" s="149" t="n">
        <f aca="false">IF(C2795="MAT.",VLOOKUP(A2795,INSUMOS_AUX!$A$3:$H$813,6,0),0)</f>
        <v>1.31</v>
      </c>
      <c r="G2795" s="149" t="n">
        <f aca="false">IF(C2795="M.O.",VLOOKUP(A2795,INSUMOS_AUX!A:F,6,0),0)</f>
        <v>0</v>
      </c>
    </row>
    <row r="2796" customFormat="false" ht="21" hidden="false" customHeight="false" outlineLevel="0" collapsed="false">
      <c r="A2796" s="154" t="n">
        <v>43491</v>
      </c>
      <c r="B2796" s="155" t="s">
        <v>1457</v>
      </c>
      <c r="C2796" s="148" t="str">
        <f aca="false">VLOOKUP($A2796,INSUMOS_AUX!$A$3:$H$813,3,0)</f>
        <v>MAT.</v>
      </c>
      <c r="D2796" s="156" t="s">
        <v>1444</v>
      </c>
      <c r="E2796" s="154" t="n">
        <v>0.56783005</v>
      </c>
      <c r="F2796" s="149" t="n">
        <f aca="false">IF(C2796="MAT.",VLOOKUP(A2796,INSUMOS_AUX!$A$3:$H$813,6,0),0)</f>
        <v>1.39</v>
      </c>
      <c r="G2796" s="149" t="n">
        <f aca="false">IF(C2796="M.O.",VLOOKUP(A2796,INSUMOS_AUX!A:F,6,0),0)</f>
        <v>0</v>
      </c>
    </row>
    <row r="2797" customFormat="false" ht="21" hidden="false" customHeight="false" outlineLevel="0" collapsed="false">
      <c r="A2797" s="154" t="n">
        <v>37372</v>
      </c>
      <c r="B2797" s="155" t="s">
        <v>1446</v>
      </c>
      <c r="C2797" s="148" t="str">
        <f aca="false">VLOOKUP($A2797,INSUMOS_AUX!$A$3:$H$813,3,0)</f>
        <v>MAT.</v>
      </c>
      <c r="D2797" s="156" t="s">
        <v>1444</v>
      </c>
      <c r="E2797" s="154" t="n">
        <v>1.04418315</v>
      </c>
      <c r="F2797" s="149" t="n">
        <f aca="false">IF(C2797="MAT.",VLOOKUP(A2797,INSUMOS_AUX!$A$3:$H$813,6,0),0)</f>
        <v>1.43</v>
      </c>
      <c r="G2797" s="149" t="n">
        <f aca="false">IF(C2797="M.O.",VLOOKUP(A2797,INSUMOS_AUX!A:F,6,0),0)</f>
        <v>0</v>
      </c>
    </row>
    <row r="2798" customFormat="false" ht="21" hidden="false" customHeight="false" outlineLevel="0" collapsed="false">
      <c r="A2798" s="154" t="n">
        <v>43459</v>
      </c>
      <c r="B2798" s="155" t="s">
        <v>1487</v>
      </c>
      <c r="C2798" s="148" t="str">
        <f aca="false">VLOOKUP($A2798,INSUMOS_AUX!$A$3:$H$813,3,0)</f>
        <v>MAT.</v>
      </c>
      <c r="D2798" s="156" t="s">
        <v>1444</v>
      </c>
      <c r="E2798" s="154" t="n">
        <v>0.1301</v>
      </c>
      <c r="F2798" s="149" t="n">
        <f aca="false">IF(C2798="MAT.",VLOOKUP(A2798,INSUMOS_AUX!$A$3:$H$813,6,0),0)</f>
        <v>0.44</v>
      </c>
      <c r="G2798" s="149" t="n">
        <f aca="false">IF(C2798="M.O.",VLOOKUP(A2798,INSUMOS_AUX!A:F,6,0),0)</f>
        <v>0</v>
      </c>
    </row>
    <row r="2799" customFormat="false" ht="21" hidden="false" customHeight="false" outlineLevel="0" collapsed="false">
      <c r="A2799" s="154" t="n">
        <v>43464</v>
      </c>
      <c r="B2799" s="155" t="s">
        <v>1447</v>
      </c>
      <c r="C2799" s="148" t="str">
        <f aca="false">VLOOKUP($A2799,INSUMOS_AUX!$A$3:$H$813,3,0)</f>
        <v>MAT.</v>
      </c>
      <c r="D2799" s="156" t="s">
        <v>1444</v>
      </c>
      <c r="E2799" s="154" t="n">
        <v>0.1580531</v>
      </c>
      <c r="F2799" s="149" t="n">
        <f aca="false">IF(C2799="MAT.",VLOOKUP(A2799,INSUMOS_AUX!$A$3:$H$813,6,0),0)</f>
        <v>0.01</v>
      </c>
      <c r="G2799" s="149" t="n">
        <f aca="false">IF(C2799="M.O.",VLOOKUP(A2799,INSUMOS_AUX!A:F,6,0),0)</f>
        <v>0</v>
      </c>
    </row>
    <row r="2800" customFormat="false" ht="21" hidden="false" customHeight="false" outlineLevel="0" collapsed="false">
      <c r="A2800" s="154" t="n">
        <v>43465</v>
      </c>
      <c r="B2800" s="155" t="s">
        <v>1458</v>
      </c>
      <c r="C2800" s="148" t="str">
        <f aca="false">VLOOKUP($A2800,INSUMOS_AUX!$A$3:$H$813,3,0)</f>
        <v>MAT.</v>
      </c>
      <c r="D2800" s="156" t="s">
        <v>1444</v>
      </c>
      <c r="E2800" s="154" t="n">
        <v>0.1882</v>
      </c>
      <c r="F2800" s="149" t="n">
        <f aca="false">IF(C2800="MAT.",VLOOKUP(A2800,INSUMOS_AUX!$A$3:$H$813,6,0),0)</f>
        <v>0.78</v>
      </c>
      <c r="G2800" s="149" t="n">
        <f aca="false">IF(C2800="M.O.",VLOOKUP(A2800,INSUMOS_AUX!A:F,6,0),0)</f>
        <v>0</v>
      </c>
    </row>
    <row r="2801" customFormat="false" ht="21" hidden="false" customHeight="false" outlineLevel="0" collapsed="false">
      <c r="A2801" s="154" t="n">
        <v>43467</v>
      </c>
      <c r="B2801" s="155" t="s">
        <v>1459</v>
      </c>
      <c r="C2801" s="148" t="s">
        <v>59</v>
      </c>
      <c r="D2801" s="156" t="s">
        <v>1444</v>
      </c>
      <c r="E2801" s="154" t="n">
        <v>0.56783005</v>
      </c>
      <c r="F2801" s="149" t="n">
        <f aca="false">IF(C2801="MAT.",VLOOKUP(A2801,INSUMOS_AUX!$A$3:$H$813,6,0),0)</f>
        <v>0</v>
      </c>
      <c r="G2801" s="149" t="n">
        <f aca="false">IF(C2801="M.O.",VLOOKUP(A2801,INSUMOS_AUX!A:F,6,0),0)</f>
        <v>0</v>
      </c>
    </row>
    <row r="2802" customFormat="false" ht="21" hidden="false" customHeight="false" outlineLevel="0" collapsed="false">
      <c r="A2802" s="154" t="n">
        <v>37373</v>
      </c>
      <c r="B2802" s="155" t="s">
        <v>1448</v>
      </c>
      <c r="C2802" s="148" t="str">
        <f aca="false">VLOOKUP($A2802,INSUMOS_AUX!$A$3:$H$813,3,0)</f>
        <v>MAT.</v>
      </c>
      <c r="D2802" s="156" t="s">
        <v>1444</v>
      </c>
      <c r="E2802" s="154" t="n">
        <v>1.04418315</v>
      </c>
      <c r="F2802" s="149" t="n">
        <f aca="false">IF(C2802="MAT.",VLOOKUP(A2802,INSUMOS_AUX!$A$3:$H$813,6,0),0)</f>
        <v>0.08</v>
      </c>
      <c r="G2802" s="149" t="n">
        <f aca="false">IF(C2802="M.O.",VLOOKUP(A2802,INSUMOS_AUX!A:F,6,0),0)</f>
        <v>0</v>
      </c>
    </row>
    <row r="2803" customFormat="false" ht="21" hidden="false" customHeight="false" outlineLevel="0" collapsed="false">
      <c r="A2803" s="154" t="n">
        <v>37371</v>
      </c>
      <c r="B2803" s="155" t="s">
        <v>1449</v>
      </c>
      <c r="C2803" s="148" t="str">
        <f aca="false">VLOOKUP($A2803,INSUMOS_AUX!$A$3:$H$813,3,0)</f>
        <v>MAT.</v>
      </c>
      <c r="D2803" s="156" t="s">
        <v>1444</v>
      </c>
      <c r="E2803" s="154" t="n">
        <v>1.04418315</v>
      </c>
      <c r="F2803" s="149" t="n">
        <f aca="false">IF(C2803="MAT.",VLOOKUP(A2803,INSUMOS_AUX!$A$3:$H$813,6,0),0)</f>
        <v>0.59</v>
      </c>
      <c r="G2803" s="149" t="n">
        <f aca="false">IF(C2803="M.O.",VLOOKUP(A2803,INSUMOS_AUX!A:F,6,0),0)</f>
        <v>0</v>
      </c>
    </row>
    <row r="2804" customFormat="false" ht="31.5" hidden="false" customHeight="false" outlineLevel="0" collapsed="false">
      <c r="A2804" s="154" t="n">
        <v>10535</v>
      </c>
      <c r="B2804" s="155" t="s">
        <v>1525</v>
      </c>
      <c r="C2804" s="148" t="str">
        <f aca="false">VLOOKUP($A2804,INSUMOS_AUX!$A$3:$H$813,3,0)</f>
        <v>MAT.</v>
      </c>
      <c r="D2804" s="156" t="s">
        <v>31</v>
      </c>
      <c r="E2804" s="154" t="n">
        <v>1.814916478E-005</v>
      </c>
      <c r="F2804" s="149" t="n">
        <f aca="false">IF(C2804="MAT.",VLOOKUP(A2804,INSUMOS_AUX!$A$3:$H$813,6,0),0)</f>
        <v>4699</v>
      </c>
      <c r="G2804" s="149" t="n">
        <f aca="false">IF(C2804="M.O.",VLOOKUP(A2804,INSUMOS_AUX!A:F,6,0),0)</f>
        <v>0</v>
      </c>
    </row>
    <row r="2805" customFormat="false" ht="15" hidden="false" customHeight="false" outlineLevel="0" collapsed="false">
      <c r="A2805" s="154" t="n">
        <v>2705</v>
      </c>
      <c r="B2805" s="155" t="s">
        <v>1467</v>
      </c>
      <c r="C2805" s="148" t="str">
        <f aca="false">VLOOKUP($A2805,INSUMOS_AUX!$A$3:$H$813,3,0)</f>
        <v>MAT.</v>
      </c>
      <c r="D2805" s="156" t="s">
        <v>1468</v>
      </c>
      <c r="E2805" s="154" t="n">
        <v>0.1016889375</v>
      </c>
      <c r="F2805" s="149" t="n">
        <f aca="false">IF(C2805="MAT.",VLOOKUP(A2805,INSUMOS_AUX!$A$3:$H$813,6,0),0)</f>
        <v>0.92</v>
      </c>
      <c r="G2805" s="149" t="n">
        <f aca="false">IF(C2805="M.O.",VLOOKUP(A2805,INSUMOS_AUX!A:F,6,0),0)</f>
        <v>0</v>
      </c>
    </row>
    <row r="2806" customFormat="false" ht="21" hidden="false" customHeight="false" outlineLevel="0" collapsed="false">
      <c r="A2806" s="154" t="n">
        <v>370</v>
      </c>
      <c r="B2806" s="155" t="s">
        <v>1527</v>
      </c>
      <c r="C2806" s="148" t="str">
        <f aca="false">VLOOKUP($A2806,INSUMOS_AUX!$A$3:$H$813,3,0)</f>
        <v>MAT.</v>
      </c>
      <c r="D2806" s="156" t="s">
        <v>1442</v>
      </c>
      <c r="E2806" s="154" t="n">
        <v>0.0744463</v>
      </c>
      <c r="F2806" s="149" t="n">
        <f aca="false">IF(C2806="MAT.",VLOOKUP(A2806,INSUMOS_AUX!$A$3:$H$813,6,0),0)</f>
        <v>150</v>
      </c>
      <c r="G2806" s="149" t="n">
        <f aca="false">IF(C2806="M.O.",VLOOKUP(A2806,INSUMOS_AUX!A:F,6,0),0)</f>
        <v>0</v>
      </c>
    </row>
    <row r="2807" customFormat="false" ht="15" hidden="false" customHeight="false" outlineLevel="0" collapsed="false">
      <c r="A2807" s="154" t="n">
        <v>1379</v>
      </c>
      <c r="B2807" s="155" t="s">
        <v>1535</v>
      </c>
      <c r="C2807" s="148" t="str">
        <f aca="false">VLOOKUP($A2807,INSUMOS_AUX!$A$3:$H$813,3,0)</f>
        <v>MAT.</v>
      </c>
      <c r="D2807" s="156" t="s">
        <v>1513</v>
      </c>
      <c r="E2807" s="154" t="n">
        <v>31.81330345</v>
      </c>
      <c r="F2807" s="149" t="n">
        <f aca="false">IF(C2807="MAT.",VLOOKUP(A2807,INSUMOS_AUX!$A$3:$H$813,6,0),0)</f>
        <v>0.72</v>
      </c>
      <c r="G2807" s="149" t="n">
        <f aca="false">IF(C2807="M.O.",VLOOKUP(A2807,INSUMOS_AUX!A:F,6,0),0)</f>
        <v>0</v>
      </c>
    </row>
    <row r="2808" customFormat="false" ht="21" hidden="false" customHeight="false" outlineLevel="0" collapsed="false">
      <c r="A2808" s="154" t="n">
        <v>2692</v>
      </c>
      <c r="B2808" s="155" t="s">
        <v>1570</v>
      </c>
      <c r="C2808" s="148" t="str">
        <f aca="false">VLOOKUP($A2808,INSUMOS_AUX!$A$3:$H$813,3,0)</f>
        <v>MAT.</v>
      </c>
      <c r="D2808" s="156" t="s">
        <v>1452</v>
      </c>
      <c r="E2808" s="154" t="n">
        <v>0.0017</v>
      </c>
      <c r="F2808" s="149" t="n">
        <f aca="false">IF(C2808="MAT.",VLOOKUP(A2808,INSUMOS_AUX!$A$3:$H$813,6,0),0)</f>
        <v>6.52</v>
      </c>
      <c r="G2808" s="149" t="n">
        <f aca="false">IF(C2808="M.O.",VLOOKUP(A2808,INSUMOS_AUX!A:F,6,0),0)</f>
        <v>0</v>
      </c>
    </row>
    <row r="2809" customFormat="false" ht="21" hidden="false" customHeight="false" outlineLevel="0" collapsed="false">
      <c r="A2809" s="154" t="n">
        <v>4721</v>
      </c>
      <c r="B2809" s="155" t="s">
        <v>1593</v>
      </c>
      <c r="C2809" s="148" t="str">
        <f aca="false">VLOOKUP($A2809,INSUMOS_AUX!$A$3:$H$813,3,0)</f>
        <v>MAT.</v>
      </c>
      <c r="D2809" s="156" t="s">
        <v>1442</v>
      </c>
      <c r="E2809" s="154" t="n">
        <v>0.0578392</v>
      </c>
      <c r="F2809" s="149" t="n">
        <f aca="false">IF(C2809="MAT.",VLOOKUP(A2809,INSUMOS_AUX!$A$3:$H$813,6,0),0)</f>
        <v>115.7</v>
      </c>
      <c r="G2809" s="149" t="n">
        <f aca="false">IF(C2809="M.O.",VLOOKUP(A2809,INSUMOS_AUX!A:F,6,0),0)</f>
        <v>0</v>
      </c>
    </row>
    <row r="2810" customFormat="false" ht="15" hidden="false" customHeight="false" outlineLevel="0" collapsed="false">
      <c r="A2810" s="154" t="n">
        <v>5068</v>
      </c>
      <c r="B2810" s="155" t="s">
        <v>1579</v>
      </c>
      <c r="C2810" s="148" t="s">
        <v>59</v>
      </c>
      <c r="D2810" s="156" t="s">
        <v>1513</v>
      </c>
      <c r="E2810" s="154" t="n">
        <v>0.024</v>
      </c>
      <c r="F2810" s="149" t="n">
        <f aca="false">IF(C2810="MAT.",VLOOKUP(A2810,INSUMOS_AUX!$A$3:$H$813,6,0),0)</f>
        <v>0</v>
      </c>
      <c r="G2810" s="149" t="n">
        <f aca="false">IF(C2810="M.O.",VLOOKUP(A2810,INSUMOS_AUX!A:F,6,0),0)</f>
        <v>0</v>
      </c>
    </row>
    <row r="2811" customFormat="false" ht="21" hidden="false" customHeight="false" outlineLevel="0" collapsed="false">
      <c r="A2811" s="154" t="n">
        <v>4509</v>
      </c>
      <c r="B2811" s="155" t="s">
        <v>1515</v>
      </c>
      <c r="C2811" s="148" t="str">
        <f aca="false">VLOOKUP($A2811,INSUMOS_AUX!$A$3:$H$813,3,0)</f>
        <v>MAT.</v>
      </c>
      <c r="D2811" s="156" t="s">
        <v>1455</v>
      </c>
      <c r="E2811" s="154" t="n">
        <v>0.25</v>
      </c>
      <c r="F2811" s="149" t="n">
        <f aca="false">IF(C2811="MAT.",VLOOKUP(A2811,INSUMOS_AUX!$A$3:$H$813,6,0),0)</f>
        <v>5.2</v>
      </c>
      <c r="G2811" s="149" t="n">
        <f aca="false">IF(C2811="M.O.",VLOOKUP(A2811,INSUMOS_AUX!A:F,6,0),0)</f>
        <v>0</v>
      </c>
    </row>
    <row r="2812" customFormat="false" ht="21" hidden="false" customHeight="false" outlineLevel="0" collapsed="false">
      <c r="A2812" s="154" t="n">
        <v>4517</v>
      </c>
      <c r="B2812" s="155" t="s">
        <v>1582</v>
      </c>
      <c r="C2812" s="148" t="str">
        <f aca="false">VLOOKUP($A2812,INSUMOS_AUX!$A$3:$H$813,3,0)</f>
        <v>MAT.</v>
      </c>
      <c r="D2812" s="156" t="s">
        <v>1455</v>
      </c>
      <c r="E2812" s="154" t="n">
        <v>0.2</v>
      </c>
      <c r="F2812" s="149" t="n">
        <f aca="false">IF(C2812="MAT.",VLOOKUP(A2812,INSUMOS_AUX!$A$3:$H$813,6,0),0)</f>
        <v>3.58</v>
      </c>
      <c r="G2812" s="149" t="n">
        <f aca="false">IF(C2812="M.O.",VLOOKUP(A2812,INSUMOS_AUX!A:F,6,0),0)</f>
        <v>0</v>
      </c>
    </row>
    <row r="2813" customFormat="false" ht="31.5" hidden="false" customHeight="false" outlineLevel="0" collapsed="false">
      <c r="A2813" s="154" t="n">
        <v>7156</v>
      </c>
      <c r="B2813" s="155" t="s">
        <v>1585</v>
      </c>
      <c r="C2813" s="148" t="str">
        <f aca="false">VLOOKUP($A2813,INSUMOS_AUX!$A$3:$H$813,3,0)</f>
        <v>MAT.</v>
      </c>
      <c r="D2813" s="156" t="s">
        <v>1477</v>
      </c>
      <c r="E2813" s="154" t="n">
        <v>1.0816</v>
      </c>
      <c r="F2813" s="149" t="n">
        <f aca="false">IF(C2813="MAT.",VLOOKUP(A2813,INSUMOS_AUX!$A$3:$H$813,6,0),0)</f>
        <v>24.44</v>
      </c>
      <c r="G2813" s="149" t="n">
        <f aca="false">IF(C2813="M.O.",VLOOKUP(A2813,INSUMOS_AUX!A:F,6,0),0)</f>
        <v>0</v>
      </c>
    </row>
    <row r="2814" customFormat="false" ht="15" hidden="false" customHeight="false" outlineLevel="0" collapsed="false">
      <c r="A2814" s="154" t="n">
        <v>1213</v>
      </c>
      <c r="B2814" s="155" t="s">
        <v>1516</v>
      </c>
      <c r="C2814" s="148" t="str">
        <f aca="false">VLOOKUP($A2814,INSUMOS_AUX!$A$3:$H$813,3,0)</f>
        <v>M.O.</v>
      </c>
      <c r="D2814" s="156" t="s">
        <v>1444</v>
      </c>
      <c r="E2814" s="154" t="n">
        <v>0.131601354</v>
      </c>
      <c r="F2814" s="149" t="n">
        <f aca="false">IF(C2814="MAT.",VLOOKUP(A2814,INSUMOS_AUX!$A$3:$H$813,6,0),0)</f>
        <v>0</v>
      </c>
      <c r="G2814" s="149" t="n">
        <f aca="false">IF(C2814="M.O.",VLOOKUP(A2814,INSUMOS_AUX!A:F,6,0),0)</f>
        <v>20.22</v>
      </c>
    </row>
    <row r="2815" customFormat="false" ht="15" hidden="false" customHeight="false" outlineLevel="0" collapsed="false">
      <c r="A2815" s="154" t="n">
        <v>37666</v>
      </c>
      <c r="B2815" s="155" t="s">
        <v>1558</v>
      </c>
      <c r="C2815" s="148" t="str">
        <f aca="false">VLOOKUP($A2815,INSUMOS_AUX!$A$3:$H$813,3,0)</f>
        <v>M.O.</v>
      </c>
      <c r="D2815" s="156" t="s">
        <v>1444</v>
      </c>
      <c r="E2815" s="154" t="n">
        <v>0.159366521261</v>
      </c>
      <c r="F2815" s="149" t="n">
        <f aca="false">IF(C2815="MAT.",VLOOKUP(A2815,INSUMOS_AUX!$A$3:$H$813,6,0),0)</f>
        <v>0</v>
      </c>
      <c r="G2815" s="149" t="n">
        <f aca="false">IF(C2815="M.O.",VLOOKUP(A2815,INSUMOS_AUX!A:F,6,0),0)</f>
        <v>11.87</v>
      </c>
    </row>
    <row r="2816" customFormat="false" ht="15" hidden="false" customHeight="false" outlineLevel="0" collapsed="false">
      <c r="A2816" s="154" t="n">
        <v>4750</v>
      </c>
      <c r="B2816" s="155" t="s">
        <v>1463</v>
      </c>
      <c r="C2816" s="148" t="str">
        <f aca="false">VLOOKUP($A2816,INSUMOS_AUX!$A$3:$H$813,3,0)</f>
        <v>M.O.</v>
      </c>
      <c r="D2816" s="156" t="s">
        <v>1444</v>
      </c>
      <c r="E2816" s="154" t="n">
        <v>0.19218984</v>
      </c>
      <c r="F2816" s="149" t="n">
        <f aca="false">IF(C2816="MAT.",VLOOKUP(A2816,INSUMOS_AUX!$A$3:$H$813,6,0),0)</f>
        <v>0</v>
      </c>
      <c r="G2816" s="149" t="n">
        <f aca="false">IF(C2816="M.O.",VLOOKUP(A2816,INSUMOS_AUX!A:F,6,0),0)</f>
        <v>20.22</v>
      </c>
    </row>
    <row r="2817" customFormat="false" ht="15" hidden="false" customHeight="false" outlineLevel="0" collapsed="false">
      <c r="A2817" s="154" t="n">
        <v>6111</v>
      </c>
      <c r="B2817" s="155" t="s">
        <v>1464</v>
      </c>
      <c r="C2817" s="148" t="str">
        <f aca="false">VLOOKUP($A2817,INSUMOS_AUX!$A$3:$H$813,3,0)</f>
        <v>M.O.</v>
      </c>
      <c r="D2817" s="156" t="s">
        <v>1444</v>
      </c>
      <c r="E2817" s="154" t="n">
        <v>0.57986804706</v>
      </c>
      <c r="F2817" s="149" t="n">
        <f aca="false">IF(C2817="MAT.",VLOOKUP(A2817,INSUMOS_AUX!$A$3:$H$813,6,0),0)</f>
        <v>0</v>
      </c>
      <c r="G2817" s="149" t="n">
        <f aca="false">IF(C2817="M.O.",VLOOKUP(A2817,INSUMOS_AUX!A:F,6,0),0)</f>
        <v>12.95</v>
      </c>
    </row>
    <row r="2818" customFormat="false" ht="21" hidden="false" customHeight="false" outlineLevel="0" collapsed="false">
      <c r="A2818" s="150" t="s">
        <v>543</v>
      </c>
      <c r="B2818" s="151" t="s">
        <v>1951</v>
      </c>
      <c r="C2818" s="152" t="s">
        <v>59</v>
      </c>
      <c r="D2818" s="152" t="s">
        <v>1477</v>
      </c>
      <c r="E2818" s="150"/>
      <c r="F2818" s="153" t="n">
        <f aca="false">(SUMPRODUCT($E2819:$E2835,F2819:F2835))*1</f>
        <v>98.1878276126445</v>
      </c>
      <c r="G2818" s="153" t="n">
        <f aca="false">(SUMPRODUCT($E2819:$E2835,G2819:G2835))*1</f>
        <v>11.8253244315</v>
      </c>
    </row>
    <row r="2819" customFormat="false" ht="21" hidden="false" customHeight="false" outlineLevel="0" collapsed="false">
      <c r="A2819" s="154" t="n">
        <v>37370</v>
      </c>
      <c r="B2819" s="155" t="s">
        <v>1443</v>
      </c>
      <c r="C2819" s="148" t="str">
        <f aca="false">VLOOKUP($A2819,INSUMOS_AUX!$A$3:$H$813,3,0)</f>
        <v>MAT.</v>
      </c>
      <c r="D2819" s="156" t="s">
        <v>1444</v>
      </c>
      <c r="E2819" s="154" t="n">
        <v>0.745</v>
      </c>
      <c r="F2819" s="149" t="n">
        <f aca="false">IF(C2819="MAT.",VLOOKUP(A2819,INSUMOS_AUX!$A$3:$H$813,6,0),0)</f>
        <v>3.32</v>
      </c>
      <c r="G2819" s="149" t="n">
        <f aca="false">IF(C2819="M.O.",VLOOKUP(A2819,INSUMOS_AUX!A:F,6,0),0)</f>
        <v>0</v>
      </c>
    </row>
    <row r="2820" customFormat="false" ht="21" hidden="false" customHeight="false" outlineLevel="0" collapsed="false">
      <c r="A2820" s="154" t="n">
        <v>43489</v>
      </c>
      <c r="B2820" s="155" t="s">
        <v>1456</v>
      </c>
      <c r="C2820" s="148" t="str">
        <f aca="false">VLOOKUP($A2820,INSUMOS_AUX!$A$3:$H$813,3,0)</f>
        <v>MAT.</v>
      </c>
      <c r="D2820" s="156" t="s">
        <v>1444</v>
      </c>
      <c r="E2820" s="154" t="n">
        <v>0.3725</v>
      </c>
      <c r="F2820" s="149" t="n">
        <f aca="false">IF(C2820="MAT.",VLOOKUP(A2820,INSUMOS_AUX!$A$3:$H$813,6,0),0)</f>
        <v>1.31</v>
      </c>
      <c r="G2820" s="149" t="n">
        <f aca="false">IF(C2820="M.O.",VLOOKUP(A2820,INSUMOS_AUX!A:F,6,0),0)</f>
        <v>0</v>
      </c>
    </row>
    <row r="2821" customFormat="false" ht="21" hidden="false" customHeight="false" outlineLevel="0" collapsed="false">
      <c r="A2821" s="154" t="n">
        <v>43491</v>
      </c>
      <c r="B2821" s="155" t="s">
        <v>1457</v>
      </c>
      <c r="C2821" s="148" t="str">
        <f aca="false">VLOOKUP($A2821,INSUMOS_AUX!$A$3:$H$813,3,0)</f>
        <v>MAT.</v>
      </c>
      <c r="D2821" s="156" t="s">
        <v>1444</v>
      </c>
      <c r="E2821" s="154" t="n">
        <v>0.3725</v>
      </c>
      <c r="F2821" s="149" t="n">
        <f aca="false">IF(C2821="MAT.",VLOOKUP(A2821,INSUMOS_AUX!$A$3:$H$813,6,0),0)</f>
        <v>1.39</v>
      </c>
      <c r="G2821" s="149" t="n">
        <f aca="false">IF(C2821="M.O.",VLOOKUP(A2821,INSUMOS_AUX!A:F,6,0),0)</f>
        <v>0</v>
      </c>
    </row>
    <row r="2822" customFormat="false" ht="21" hidden="false" customHeight="false" outlineLevel="0" collapsed="false">
      <c r="A2822" s="154" t="n">
        <v>37372</v>
      </c>
      <c r="B2822" s="155" t="s">
        <v>1446</v>
      </c>
      <c r="C2822" s="148" t="str">
        <f aca="false">VLOOKUP($A2822,INSUMOS_AUX!$A$3:$H$813,3,0)</f>
        <v>MAT.</v>
      </c>
      <c r="D2822" s="156" t="s">
        <v>1444</v>
      </c>
      <c r="E2822" s="154" t="n">
        <v>0.745</v>
      </c>
      <c r="F2822" s="149" t="n">
        <f aca="false">IF(C2822="MAT.",VLOOKUP(A2822,INSUMOS_AUX!$A$3:$H$813,6,0),0)</f>
        <v>1.43</v>
      </c>
      <c r="G2822" s="149" t="n">
        <f aca="false">IF(C2822="M.O.",VLOOKUP(A2822,INSUMOS_AUX!A:F,6,0),0)</f>
        <v>0</v>
      </c>
    </row>
    <row r="2823" customFormat="false" ht="21" hidden="false" customHeight="false" outlineLevel="0" collapsed="false">
      <c r="A2823" s="154" t="n">
        <v>43465</v>
      </c>
      <c r="B2823" s="155" t="s">
        <v>1458</v>
      </c>
      <c r="C2823" s="148" t="str">
        <f aca="false">VLOOKUP($A2823,INSUMOS_AUX!$A$3:$H$813,3,0)</f>
        <v>MAT.</v>
      </c>
      <c r="D2823" s="156" t="s">
        <v>1444</v>
      </c>
      <c r="E2823" s="154" t="n">
        <v>0.3725</v>
      </c>
      <c r="F2823" s="149" t="n">
        <f aca="false">IF(C2823="MAT.",VLOOKUP(A2823,INSUMOS_AUX!$A$3:$H$813,6,0),0)</f>
        <v>0.78</v>
      </c>
      <c r="G2823" s="149" t="n">
        <f aca="false">IF(C2823="M.O.",VLOOKUP(A2823,INSUMOS_AUX!A:F,6,0),0)</f>
        <v>0</v>
      </c>
    </row>
    <row r="2824" customFormat="false" ht="21" hidden="false" customHeight="false" outlineLevel="0" collapsed="false">
      <c r="A2824" s="154" t="n">
        <v>43467</v>
      </c>
      <c r="B2824" s="155" t="s">
        <v>1459</v>
      </c>
      <c r="C2824" s="148" t="s">
        <v>59</v>
      </c>
      <c r="D2824" s="156" t="s">
        <v>1444</v>
      </c>
      <c r="E2824" s="154" t="n">
        <v>0.3725</v>
      </c>
      <c r="F2824" s="149" t="n">
        <f aca="false">IF(C2824="MAT.",VLOOKUP(A2824,INSUMOS_AUX!$A$3:$H$813,6,0),0)</f>
        <v>0</v>
      </c>
      <c r="G2824" s="149" t="n">
        <f aca="false">IF(C2824="M.O.",VLOOKUP(A2824,INSUMOS_AUX!A:F,6,0),0)</f>
        <v>0</v>
      </c>
    </row>
    <row r="2825" customFormat="false" ht="21" hidden="false" customHeight="false" outlineLevel="0" collapsed="false">
      <c r="A2825" s="154" t="n">
        <v>37373</v>
      </c>
      <c r="B2825" s="155" t="s">
        <v>1448</v>
      </c>
      <c r="C2825" s="148" t="str">
        <f aca="false">VLOOKUP($A2825,INSUMOS_AUX!$A$3:$H$813,3,0)</f>
        <v>MAT.</v>
      </c>
      <c r="D2825" s="156" t="s">
        <v>1444</v>
      </c>
      <c r="E2825" s="154" t="n">
        <v>0.745</v>
      </c>
      <c r="F2825" s="149" t="n">
        <f aca="false">IF(C2825="MAT.",VLOOKUP(A2825,INSUMOS_AUX!$A$3:$H$813,6,0),0)</f>
        <v>0.08</v>
      </c>
      <c r="G2825" s="149" t="n">
        <f aca="false">IF(C2825="M.O.",VLOOKUP(A2825,INSUMOS_AUX!A:F,6,0),0)</f>
        <v>0</v>
      </c>
    </row>
    <row r="2826" customFormat="false" ht="21" hidden="false" customHeight="false" outlineLevel="0" collapsed="false">
      <c r="A2826" s="154" t="n">
        <v>37371</v>
      </c>
      <c r="B2826" s="155" t="s">
        <v>1449</v>
      </c>
      <c r="C2826" s="148" t="str">
        <f aca="false">VLOOKUP($A2826,INSUMOS_AUX!$A$3:$H$813,3,0)</f>
        <v>MAT.</v>
      </c>
      <c r="D2826" s="156" t="s">
        <v>1444</v>
      </c>
      <c r="E2826" s="154" t="n">
        <v>0.745</v>
      </c>
      <c r="F2826" s="149" t="n">
        <f aca="false">IF(C2826="MAT.",VLOOKUP(A2826,INSUMOS_AUX!$A$3:$H$813,6,0),0)</f>
        <v>0.59</v>
      </c>
      <c r="G2826" s="149" t="n">
        <f aca="false">IF(C2826="M.O.",VLOOKUP(A2826,INSUMOS_AUX!A:F,6,0),0)</f>
        <v>0</v>
      </c>
    </row>
    <row r="2827" customFormat="false" ht="42" hidden="false" customHeight="false" outlineLevel="0" collapsed="false">
      <c r="A2827" s="154" t="n">
        <v>1442</v>
      </c>
      <c r="B2827" s="155" t="s">
        <v>1562</v>
      </c>
      <c r="C2827" s="148" t="str">
        <f aca="false">VLOOKUP($A2827,INSUMOS_AUX!$A$3:$H$813,3,0)</f>
        <v>MAT.</v>
      </c>
      <c r="D2827" s="156" t="s">
        <v>31</v>
      </c>
      <c r="E2827" s="154" t="n">
        <v>1.286059E-005</v>
      </c>
      <c r="F2827" s="149" t="n">
        <f aca="false">IF(C2827="MAT.",VLOOKUP(A2827,INSUMOS_AUX!$A$3:$H$813,6,0),0)</f>
        <v>10731.19</v>
      </c>
      <c r="G2827" s="149" t="n">
        <f aca="false">IF(C2827="M.O.",VLOOKUP(A2827,INSUMOS_AUX!A:F,6,0),0)</f>
        <v>0</v>
      </c>
    </row>
    <row r="2828" customFormat="false" ht="31.5" hidden="false" customHeight="false" outlineLevel="0" collapsed="false">
      <c r="A2828" s="154" t="n">
        <v>11280</v>
      </c>
      <c r="B2828" s="155" t="s">
        <v>1710</v>
      </c>
      <c r="C2828" s="148" t="str">
        <f aca="false">VLOOKUP($A2828,INSUMOS_AUX!$A$3:$H$813,3,0)</f>
        <v>MAT.</v>
      </c>
      <c r="D2828" s="156" t="s">
        <v>31</v>
      </c>
      <c r="E2828" s="154" t="n">
        <v>1.860056E-005</v>
      </c>
      <c r="F2828" s="149" t="n">
        <f aca="false">IF(C2828="MAT.",VLOOKUP(A2828,INSUMOS_AUX!$A$3:$H$813,6,0),0)</f>
        <v>11783.29</v>
      </c>
      <c r="G2828" s="149" t="n">
        <f aca="false">IF(C2828="M.O.",VLOOKUP(A2828,INSUMOS_AUX!A:F,6,0),0)</f>
        <v>0</v>
      </c>
    </row>
    <row r="2829" customFormat="false" ht="21" hidden="false" customHeight="false" outlineLevel="0" collapsed="false">
      <c r="A2829" s="154" t="n">
        <v>370</v>
      </c>
      <c r="B2829" s="155" t="s">
        <v>1527</v>
      </c>
      <c r="C2829" s="148" t="str">
        <f aca="false">VLOOKUP($A2829,INSUMOS_AUX!$A$3:$H$813,3,0)</f>
        <v>MAT.</v>
      </c>
      <c r="D2829" s="156" t="s">
        <v>1442</v>
      </c>
      <c r="E2829" s="154" t="n">
        <v>0.0568</v>
      </c>
      <c r="F2829" s="149" t="n">
        <f aca="false">IF(C2829="MAT.",VLOOKUP(A2829,INSUMOS_AUX!$A$3:$H$813,6,0),0)</f>
        <v>150</v>
      </c>
      <c r="G2829" s="149" t="n">
        <f aca="false">IF(C2829="M.O.",VLOOKUP(A2829,INSUMOS_AUX!A:F,6,0),0)</f>
        <v>0</v>
      </c>
    </row>
    <row r="2830" customFormat="false" ht="31.5" hidden="false" customHeight="false" outlineLevel="0" collapsed="false">
      <c r="A2830" s="154" t="n">
        <v>36170</v>
      </c>
      <c r="B2830" s="155" t="s">
        <v>1952</v>
      </c>
      <c r="C2830" s="148" t="str">
        <f aca="false">VLOOKUP($A2830,INSUMOS_AUX!$A$3:$H$813,3,0)</f>
        <v>MAT.</v>
      </c>
      <c r="D2830" s="156" t="s">
        <v>1477</v>
      </c>
      <c r="E2830" s="154" t="n">
        <v>1.03</v>
      </c>
      <c r="F2830" s="149" t="n">
        <f aca="false">IF(C2830="MAT.",VLOOKUP(A2830,INSUMOS_AUX!$A$3:$H$813,6,0),0)</f>
        <v>80</v>
      </c>
      <c r="G2830" s="149" t="n">
        <f aca="false">IF(C2830="M.O.",VLOOKUP(A2830,INSUMOS_AUX!A:F,6,0),0)</f>
        <v>0</v>
      </c>
    </row>
    <row r="2831" customFormat="false" ht="21" hidden="false" customHeight="false" outlineLevel="0" collapsed="false">
      <c r="A2831" s="154" t="n">
        <v>13887</v>
      </c>
      <c r="B2831" s="155" t="s">
        <v>1711</v>
      </c>
      <c r="C2831" s="148" t="str">
        <f aca="false">VLOOKUP($A2831,INSUMOS_AUX!$A$3:$H$813,3,0)</f>
        <v>MAT.</v>
      </c>
      <c r="D2831" s="156" t="s">
        <v>31</v>
      </c>
      <c r="E2831" s="154" t="n">
        <v>1.58448E-005</v>
      </c>
      <c r="F2831" s="149" t="n">
        <f aca="false">IF(C2831="MAT.",VLOOKUP(A2831,INSUMOS_AUX!$A$3:$H$813,6,0),0)</f>
        <v>755.25</v>
      </c>
      <c r="G2831" s="149" t="n">
        <f aca="false">IF(C2831="M.O.",VLOOKUP(A2831,INSUMOS_AUX!A:F,6,0),0)</f>
        <v>0</v>
      </c>
    </row>
    <row r="2832" customFormat="false" ht="15" hidden="false" customHeight="false" outlineLevel="0" collapsed="false">
      <c r="A2832" s="154" t="n">
        <v>4222</v>
      </c>
      <c r="B2832" s="155" t="s">
        <v>1572</v>
      </c>
      <c r="C2832" s="148" t="str">
        <f aca="false">VLOOKUP($A2832,INSUMOS_AUX!$A$3:$H$813,3,0)</f>
        <v>MAT.</v>
      </c>
      <c r="D2832" s="156" t="s">
        <v>1452</v>
      </c>
      <c r="E2832" s="154" t="n">
        <v>0.077099</v>
      </c>
      <c r="F2832" s="149" t="n">
        <f aca="false">IF(C2832="MAT.",VLOOKUP(A2832,INSUMOS_AUX!$A$3:$H$813,6,0),0)</f>
        <v>6.4</v>
      </c>
      <c r="G2832" s="149" t="n">
        <f aca="false">IF(C2832="M.O.",VLOOKUP(A2832,INSUMOS_AUX!A:F,6,0),0)</f>
        <v>0</v>
      </c>
    </row>
    <row r="2833" customFormat="false" ht="15" hidden="false" customHeight="false" outlineLevel="0" collapsed="false">
      <c r="A2833" s="154" t="n">
        <v>4741</v>
      </c>
      <c r="B2833" s="155" t="s">
        <v>1953</v>
      </c>
      <c r="C2833" s="148" t="str">
        <f aca="false">VLOOKUP($A2833,INSUMOS_AUX!$A$3:$H$813,3,0)</f>
        <v>MAT.</v>
      </c>
      <c r="D2833" s="156" t="s">
        <v>1442</v>
      </c>
      <c r="E2833" s="154" t="n">
        <v>0.0098</v>
      </c>
      <c r="F2833" s="149" t="n">
        <f aca="false">IF(C2833="MAT.",VLOOKUP(A2833,INSUMOS_AUX!$A$3:$H$813,6,0),0)</f>
        <v>109.29</v>
      </c>
      <c r="G2833" s="149" t="n">
        <f aca="false">IF(C2833="M.O.",VLOOKUP(A2833,INSUMOS_AUX!A:F,6,0),0)</f>
        <v>0</v>
      </c>
    </row>
    <row r="2834" customFormat="false" ht="15" hidden="false" customHeight="false" outlineLevel="0" collapsed="false">
      <c r="A2834" s="154" t="n">
        <v>4759</v>
      </c>
      <c r="B2834" s="155" t="s">
        <v>1954</v>
      </c>
      <c r="C2834" s="148" t="str">
        <f aca="false">VLOOKUP($A2834,INSUMOS_AUX!$A$3:$H$813,3,0)</f>
        <v>M.O.</v>
      </c>
      <c r="D2834" s="156" t="s">
        <v>1444</v>
      </c>
      <c r="E2834" s="154" t="n">
        <v>0.37679865</v>
      </c>
      <c r="F2834" s="149" t="n">
        <f aca="false">IF(C2834="MAT.",VLOOKUP(A2834,INSUMOS_AUX!$A$3:$H$813,6,0),0)</f>
        <v>0</v>
      </c>
      <c r="G2834" s="149" t="n">
        <f aca="false">IF(C2834="M.O.",VLOOKUP(A2834,INSUMOS_AUX!A:F,6,0),0)</f>
        <v>18.31</v>
      </c>
    </row>
    <row r="2835" customFormat="false" ht="15" hidden="false" customHeight="false" outlineLevel="0" collapsed="false">
      <c r="A2835" s="154" t="n">
        <v>6111</v>
      </c>
      <c r="B2835" s="155" t="s">
        <v>1464</v>
      </c>
      <c r="C2835" s="148" t="str">
        <f aca="false">VLOOKUP($A2835,INSUMOS_AUX!$A$3:$H$813,3,0)</f>
        <v>M.O.</v>
      </c>
      <c r="D2835" s="156" t="s">
        <v>1444</v>
      </c>
      <c r="E2835" s="154" t="n">
        <v>0.380397</v>
      </c>
      <c r="F2835" s="149" t="n">
        <f aca="false">IF(C2835="MAT.",VLOOKUP(A2835,INSUMOS_AUX!$A$3:$H$813,6,0),0)</f>
        <v>0</v>
      </c>
      <c r="G2835" s="149" t="n">
        <f aca="false">IF(C2835="M.O.",VLOOKUP(A2835,INSUMOS_AUX!A:F,6,0),0)</f>
        <v>12.95</v>
      </c>
    </row>
    <row r="2836" customFormat="false" ht="42" hidden="false" customHeight="false" outlineLevel="0" collapsed="false">
      <c r="A2836" s="150" t="n">
        <v>94277</v>
      </c>
      <c r="B2836" s="151" t="s">
        <v>1955</v>
      </c>
      <c r="C2836" s="152" t="s">
        <v>59</v>
      </c>
      <c r="D2836" s="152" t="s">
        <v>1455</v>
      </c>
      <c r="E2836" s="150"/>
      <c r="F2836" s="153" t="n">
        <f aca="false">(SUMPRODUCT($E2837:$E2849,F2837:F2849))*1</f>
        <v>32.96231566</v>
      </c>
      <c r="G2836" s="153" t="n">
        <f aca="false">(SUMPRODUCT($E2837:$E2849,G2837:G2849))*1</f>
        <v>2.80528199658</v>
      </c>
    </row>
    <row r="2837" customFormat="false" ht="21" hidden="false" customHeight="false" outlineLevel="0" collapsed="false">
      <c r="A2837" s="154" t="n">
        <v>37370</v>
      </c>
      <c r="B2837" s="155" t="s">
        <v>1443</v>
      </c>
      <c r="C2837" s="148" t="str">
        <f aca="false">VLOOKUP($A2837,INSUMOS_AUX!$A$3:$H$813,3,0)</f>
        <v>MAT.</v>
      </c>
      <c r="D2837" s="156" t="s">
        <v>1444</v>
      </c>
      <c r="E2837" s="154" t="n">
        <v>0.414827</v>
      </c>
      <c r="F2837" s="149" t="n">
        <f aca="false">IF(C2837="MAT.",VLOOKUP(A2837,INSUMOS_AUX!$A$3:$H$813,6,0),0)</f>
        <v>3.32</v>
      </c>
      <c r="G2837" s="149" t="n">
        <f aca="false">IF(C2837="M.O.",VLOOKUP(A2837,INSUMOS_AUX!A:F,6,0),0)</f>
        <v>0</v>
      </c>
    </row>
    <row r="2838" customFormat="false" ht="21" hidden="false" customHeight="false" outlineLevel="0" collapsed="false">
      <c r="A2838" s="154" t="n">
        <v>43489</v>
      </c>
      <c r="B2838" s="155" t="s">
        <v>1456</v>
      </c>
      <c r="C2838" s="148" t="str">
        <f aca="false">VLOOKUP($A2838,INSUMOS_AUX!$A$3:$H$813,3,0)</f>
        <v>MAT.</v>
      </c>
      <c r="D2838" s="156" t="s">
        <v>1444</v>
      </c>
      <c r="E2838" s="154" t="n">
        <v>0.2027</v>
      </c>
      <c r="F2838" s="149" t="n">
        <f aca="false">IF(C2838="MAT.",VLOOKUP(A2838,INSUMOS_AUX!$A$3:$H$813,6,0),0)</f>
        <v>1.31</v>
      </c>
      <c r="G2838" s="149" t="n">
        <f aca="false">IF(C2838="M.O.",VLOOKUP(A2838,INSUMOS_AUX!A:F,6,0),0)</f>
        <v>0</v>
      </c>
    </row>
    <row r="2839" customFormat="false" ht="21" hidden="false" customHeight="false" outlineLevel="0" collapsed="false">
      <c r="A2839" s="154" t="n">
        <v>43491</v>
      </c>
      <c r="B2839" s="155" t="s">
        <v>1457</v>
      </c>
      <c r="C2839" s="148" t="str">
        <f aca="false">VLOOKUP($A2839,INSUMOS_AUX!$A$3:$H$813,3,0)</f>
        <v>MAT.</v>
      </c>
      <c r="D2839" s="156" t="s">
        <v>1444</v>
      </c>
      <c r="E2839" s="154" t="n">
        <v>0.212127</v>
      </c>
      <c r="F2839" s="149" t="n">
        <f aca="false">IF(C2839="MAT.",VLOOKUP(A2839,INSUMOS_AUX!$A$3:$H$813,6,0),0)</f>
        <v>1.39</v>
      </c>
      <c r="G2839" s="149" t="n">
        <f aca="false">IF(C2839="M.O.",VLOOKUP(A2839,INSUMOS_AUX!A:F,6,0),0)</f>
        <v>0</v>
      </c>
    </row>
    <row r="2840" customFormat="false" ht="21" hidden="false" customHeight="false" outlineLevel="0" collapsed="false">
      <c r="A2840" s="154" t="n">
        <v>37372</v>
      </c>
      <c r="B2840" s="155" t="s">
        <v>1446</v>
      </c>
      <c r="C2840" s="148" t="str">
        <f aca="false">VLOOKUP($A2840,INSUMOS_AUX!$A$3:$H$813,3,0)</f>
        <v>MAT.</v>
      </c>
      <c r="D2840" s="156" t="s">
        <v>1444</v>
      </c>
      <c r="E2840" s="154" t="n">
        <v>0.414827</v>
      </c>
      <c r="F2840" s="149" t="n">
        <f aca="false">IF(C2840="MAT.",VLOOKUP(A2840,INSUMOS_AUX!$A$3:$H$813,6,0),0)</f>
        <v>1.43</v>
      </c>
      <c r="G2840" s="149" t="n">
        <f aca="false">IF(C2840="M.O.",VLOOKUP(A2840,INSUMOS_AUX!A:F,6,0),0)</f>
        <v>0</v>
      </c>
    </row>
    <row r="2841" customFormat="false" ht="21" hidden="false" customHeight="false" outlineLevel="0" collapsed="false">
      <c r="A2841" s="154" t="n">
        <v>43465</v>
      </c>
      <c r="B2841" s="155" t="s">
        <v>1458</v>
      </c>
      <c r="C2841" s="148" t="str">
        <f aca="false">VLOOKUP($A2841,INSUMOS_AUX!$A$3:$H$813,3,0)</f>
        <v>MAT.</v>
      </c>
      <c r="D2841" s="156" t="s">
        <v>1444</v>
      </c>
      <c r="E2841" s="154" t="n">
        <v>0.2027</v>
      </c>
      <c r="F2841" s="149" t="n">
        <f aca="false">IF(C2841="MAT.",VLOOKUP(A2841,INSUMOS_AUX!$A$3:$H$813,6,0),0)</f>
        <v>0.78</v>
      </c>
      <c r="G2841" s="149" t="n">
        <f aca="false">IF(C2841="M.O.",VLOOKUP(A2841,INSUMOS_AUX!A:F,6,0),0)</f>
        <v>0</v>
      </c>
    </row>
    <row r="2842" customFormat="false" ht="21" hidden="false" customHeight="false" outlineLevel="0" collapsed="false">
      <c r="A2842" s="154" t="n">
        <v>43467</v>
      </c>
      <c r="B2842" s="155" t="s">
        <v>1459</v>
      </c>
      <c r="C2842" s="148" t="str">
        <f aca="false">VLOOKUP($A2842,INSUMOS_AUX!$A$3:$H$813,3,0)</f>
        <v>MAT.</v>
      </c>
      <c r="D2842" s="156" t="s">
        <v>1444</v>
      </c>
      <c r="E2842" s="154" t="n">
        <v>0.212127</v>
      </c>
      <c r="F2842" s="149" t="n">
        <f aca="false">IF(C2842="MAT.",VLOOKUP(A2842,INSUMOS_AUX!$A$3:$H$813,6,0),0)</f>
        <v>0.61</v>
      </c>
      <c r="G2842" s="149" t="n">
        <f aca="false">IF(C2842="M.O.",VLOOKUP(A2842,INSUMOS_AUX!A:F,6,0),0)</f>
        <v>0</v>
      </c>
    </row>
    <row r="2843" customFormat="false" ht="21" hidden="false" customHeight="false" outlineLevel="0" collapsed="false">
      <c r="A2843" s="154" t="n">
        <v>37373</v>
      </c>
      <c r="B2843" s="155" t="s">
        <v>1448</v>
      </c>
      <c r="C2843" s="148" t="str">
        <f aca="false">VLOOKUP($A2843,INSUMOS_AUX!$A$3:$H$813,3,0)</f>
        <v>MAT.</v>
      </c>
      <c r="D2843" s="156" t="s">
        <v>1444</v>
      </c>
      <c r="E2843" s="154" t="n">
        <v>0.414827</v>
      </c>
      <c r="F2843" s="149" t="n">
        <f aca="false">IF(C2843="MAT.",VLOOKUP(A2843,INSUMOS_AUX!$A$3:$H$813,6,0),0)</f>
        <v>0.08</v>
      </c>
      <c r="G2843" s="149" t="n">
        <f aca="false">IF(C2843="M.O.",VLOOKUP(A2843,INSUMOS_AUX!A:F,6,0),0)</f>
        <v>0</v>
      </c>
    </row>
    <row r="2844" customFormat="false" ht="21" hidden="false" customHeight="false" outlineLevel="0" collapsed="false">
      <c r="A2844" s="154" t="n">
        <v>37371</v>
      </c>
      <c r="B2844" s="155" t="s">
        <v>1449</v>
      </c>
      <c r="C2844" s="148" t="str">
        <f aca="false">VLOOKUP($A2844,INSUMOS_AUX!$A$3:$H$813,3,0)</f>
        <v>MAT.</v>
      </c>
      <c r="D2844" s="156" t="s">
        <v>1444</v>
      </c>
      <c r="E2844" s="154" t="n">
        <v>0.414827</v>
      </c>
      <c r="F2844" s="149" t="n">
        <f aca="false">IF(C2844="MAT.",VLOOKUP(A2844,INSUMOS_AUX!$A$3:$H$813,6,0),0)</f>
        <v>0.59</v>
      </c>
      <c r="G2844" s="149" t="n">
        <f aca="false">IF(C2844="M.O.",VLOOKUP(A2844,INSUMOS_AUX!A:F,6,0),0)</f>
        <v>0</v>
      </c>
    </row>
    <row r="2845" customFormat="false" ht="21" hidden="false" customHeight="false" outlineLevel="0" collapsed="false">
      <c r="A2845" s="154" t="n">
        <v>370</v>
      </c>
      <c r="B2845" s="155" t="s">
        <v>1527</v>
      </c>
      <c r="C2845" s="148" t="str">
        <f aca="false">VLOOKUP($A2845,INSUMOS_AUX!$A$3:$H$813,3,0)</f>
        <v>MAT.</v>
      </c>
      <c r="D2845" s="156" t="s">
        <v>1442</v>
      </c>
      <c r="E2845" s="154" t="n">
        <v>0.007777</v>
      </c>
      <c r="F2845" s="149" t="n">
        <f aca="false">IF(C2845="MAT.",VLOOKUP(A2845,INSUMOS_AUX!$A$3:$H$813,6,0),0)</f>
        <v>150</v>
      </c>
      <c r="G2845" s="149" t="n">
        <f aca="false">IF(C2845="M.O.",VLOOKUP(A2845,INSUMOS_AUX!A:F,6,0),0)</f>
        <v>0</v>
      </c>
    </row>
    <row r="2846" customFormat="false" ht="15" hidden="false" customHeight="false" outlineLevel="0" collapsed="false">
      <c r="A2846" s="154" t="n">
        <v>1379</v>
      </c>
      <c r="B2846" s="155" t="s">
        <v>1535</v>
      </c>
      <c r="C2846" s="148" t="str">
        <f aca="false">VLOOKUP($A2846,INSUMOS_AUX!$A$3:$H$813,3,0)</f>
        <v>MAT.</v>
      </c>
      <c r="D2846" s="156" t="s">
        <v>1513</v>
      </c>
      <c r="E2846" s="154" t="n">
        <v>0.531256</v>
      </c>
      <c r="F2846" s="149" t="n">
        <f aca="false">IF(C2846="MAT.",VLOOKUP(A2846,INSUMOS_AUX!$A$3:$H$813,6,0),0)</f>
        <v>0.72</v>
      </c>
      <c r="G2846" s="149" t="n">
        <f aca="false">IF(C2846="M.O.",VLOOKUP(A2846,INSUMOS_AUX!A:F,6,0),0)</f>
        <v>0</v>
      </c>
    </row>
    <row r="2847" customFormat="false" ht="21" hidden="false" customHeight="false" outlineLevel="0" collapsed="false">
      <c r="A2847" s="154" t="n">
        <v>41681</v>
      </c>
      <c r="B2847" s="155" t="s">
        <v>1956</v>
      </c>
      <c r="C2847" s="148" t="str">
        <f aca="false">VLOOKUP($A2847,INSUMOS_AUX!$A$3:$H$813,3,0)</f>
        <v>MAT.</v>
      </c>
      <c r="D2847" s="156" t="s">
        <v>31</v>
      </c>
      <c r="E2847" s="154" t="n">
        <v>1.2563</v>
      </c>
      <c r="F2847" s="149" t="n">
        <f aca="false">IF(C2847="MAT.",VLOOKUP(A2847,INSUMOS_AUX!$A$3:$H$813,6,0),0)</f>
        <v>22.54</v>
      </c>
      <c r="G2847" s="149" t="n">
        <f aca="false">IF(C2847="M.O.",VLOOKUP(A2847,INSUMOS_AUX!A:F,6,0),0)</f>
        <v>0</v>
      </c>
    </row>
    <row r="2848" customFormat="false" ht="15" hidden="false" customHeight="false" outlineLevel="0" collapsed="false">
      <c r="A2848" s="154" t="n">
        <v>4750</v>
      </c>
      <c r="B2848" s="155" t="s">
        <v>1463</v>
      </c>
      <c r="C2848" s="148" t="s">
        <v>59</v>
      </c>
      <c r="D2848" s="156" t="s">
        <v>1444</v>
      </c>
      <c r="E2848" s="154" t="n">
        <v>0.20699724</v>
      </c>
      <c r="F2848" s="149" t="n">
        <f aca="false">IF(C2848="MAT.",VLOOKUP(A2848,INSUMOS_AUX!$A$3:$H$813,6,0),0)</f>
        <v>0</v>
      </c>
      <c r="G2848" s="149" t="n">
        <f aca="false">IF(C2848="M.O.",VLOOKUP(A2848,INSUMOS_AUX!A:F,6,0),0)</f>
        <v>0</v>
      </c>
    </row>
    <row r="2849" customFormat="false" ht="15" hidden="false" customHeight="false" outlineLevel="0" collapsed="false">
      <c r="A2849" s="154" t="n">
        <v>6111</v>
      </c>
      <c r="B2849" s="155" t="s">
        <v>1464</v>
      </c>
      <c r="C2849" s="148" t="str">
        <f aca="false">VLOOKUP($A2849,INSUMOS_AUX!$A$3:$H$813,3,0)</f>
        <v>M.O.</v>
      </c>
      <c r="D2849" s="156" t="s">
        <v>1444</v>
      </c>
      <c r="E2849" s="154" t="n">
        <v>0.2166240924</v>
      </c>
      <c r="F2849" s="149" t="n">
        <f aca="false">IF(C2849="MAT.",VLOOKUP(A2849,INSUMOS_AUX!$A$3:$H$813,6,0),0)</f>
        <v>0</v>
      </c>
      <c r="G2849" s="149" t="n">
        <f aca="false">IF(C2849="M.O.",VLOOKUP(A2849,INSUMOS_AUX!A:F,6,0),0)</f>
        <v>12.95</v>
      </c>
    </row>
    <row r="2850" customFormat="false" ht="42" hidden="false" customHeight="false" outlineLevel="0" collapsed="false">
      <c r="A2850" s="150" t="n">
        <v>94278</v>
      </c>
      <c r="B2850" s="151" t="s">
        <v>1957</v>
      </c>
      <c r="C2850" s="152" t="s">
        <v>59</v>
      </c>
      <c r="D2850" s="152" t="s">
        <v>1455</v>
      </c>
      <c r="E2850" s="150"/>
      <c r="F2850" s="153" t="n">
        <f aca="false">(SUMPRODUCT($E2851:$E2863,F2851:F2863))*1</f>
        <v>33.80287466</v>
      </c>
      <c r="G2850" s="153" t="n">
        <f aca="false">(SUMPRODUCT($E2851:$E2863,G2851:G2863))*1</f>
        <v>3.54982359858</v>
      </c>
    </row>
    <row r="2851" customFormat="false" ht="21" hidden="false" customHeight="false" outlineLevel="0" collapsed="false">
      <c r="A2851" s="154" t="n">
        <v>37370</v>
      </c>
      <c r="B2851" s="155" t="s">
        <v>1443</v>
      </c>
      <c r="C2851" s="148" t="str">
        <f aca="false">VLOOKUP($A2851,INSUMOS_AUX!$A$3:$H$813,3,0)</f>
        <v>MAT.</v>
      </c>
      <c r="D2851" s="156" t="s">
        <v>1444</v>
      </c>
      <c r="E2851" s="154" t="n">
        <v>0.527427</v>
      </c>
      <c r="F2851" s="149" t="n">
        <f aca="false">IF(C2851="MAT.",VLOOKUP(A2851,INSUMOS_AUX!$A$3:$H$813,6,0),0)</f>
        <v>3.32</v>
      </c>
      <c r="G2851" s="149" t="n">
        <f aca="false">IF(C2851="M.O.",VLOOKUP(A2851,INSUMOS_AUX!A:F,6,0),0)</f>
        <v>0</v>
      </c>
    </row>
    <row r="2852" customFormat="false" ht="21" hidden="false" customHeight="false" outlineLevel="0" collapsed="false">
      <c r="A2852" s="154" t="n">
        <v>43489</v>
      </c>
      <c r="B2852" s="155" t="s">
        <v>1456</v>
      </c>
      <c r="C2852" s="148" t="str">
        <f aca="false">VLOOKUP($A2852,INSUMOS_AUX!$A$3:$H$813,3,0)</f>
        <v>MAT.</v>
      </c>
      <c r="D2852" s="156" t="s">
        <v>1444</v>
      </c>
      <c r="E2852" s="154" t="n">
        <v>0.259</v>
      </c>
      <c r="F2852" s="149" t="n">
        <f aca="false">IF(C2852="MAT.",VLOOKUP(A2852,INSUMOS_AUX!$A$3:$H$813,6,0),0)</f>
        <v>1.31</v>
      </c>
      <c r="G2852" s="149" t="n">
        <f aca="false">IF(C2852="M.O.",VLOOKUP(A2852,INSUMOS_AUX!A:F,6,0),0)</f>
        <v>0</v>
      </c>
    </row>
    <row r="2853" customFormat="false" ht="21" hidden="false" customHeight="false" outlineLevel="0" collapsed="false">
      <c r="A2853" s="154" t="n">
        <v>43491</v>
      </c>
      <c r="B2853" s="155" t="s">
        <v>1457</v>
      </c>
      <c r="C2853" s="148" t="str">
        <f aca="false">VLOOKUP($A2853,INSUMOS_AUX!$A$3:$H$813,3,0)</f>
        <v>MAT.</v>
      </c>
      <c r="D2853" s="156" t="s">
        <v>1444</v>
      </c>
      <c r="E2853" s="154" t="n">
        <v>0.268427</v>
      </c>
      <c r="F2853" s="149" t="n">
        <f aca="false">IF(C2853="MAT.",VLOOKUP(A2853,INSUMOS_AUX!$A$3:$H$813,6,0),0)</f>
        <v>1.39</v>
      </c>
      <c r="G2853" s="149" t="n">
        <f aca="false">IF(C2853="M.O.",VLOOKUP(A2853,INSUMOS_AUX!A:F,6,0),0)</f>
        <v>0</v>
      </c>
    </row>
    <row r="2854" customFormat="false" ht="21" hidden="false" customHeight="false" outlineLevel="0" collapsed="false">
      <c r="A2854" s="154" t="n">
        <v>37372</v>
      </c>
      <c r="B2854" s="155" t="s">
        <v>1446</v>
      </c>
      <c r="C2854" s="148" t="str">
        <f aca="false">VLOOKUP($A2854,INSUMOS_AUX!$A$3:$H$813,3,0)</f>
        <v>MAT.</v>
      </c>
      <c r="D2854" s="156" t="s">
        <v>1444</v>
      </c>
      <c r="E2854" s="154" t="n">
        <v>0.527427</v>
      </c>
      <c r="F2854" s="149" t="n">
        <f aca="false">IF(C2854="MAT.",VLOOKUP(A2854,INSUMOS_AUX!$A$3:$H$813,6,0),0)</f>
        <v>1.43</v>
      </c>
      <c r="G2854" s="149" t="n">
        <f aca="false">IF(C2854="M.O.",VLOOKUP(A2854,INSUMOS_AUX!A:F,6,0),0)</f>
        <v>0</v>
      </c>
    </row>
    <row r="2855" customFormat="false" ht="21" hidden="false" customHeight="false" outlineLevel="0" collapsed="false">
      <c r="A2855" s="154" t="n">
        <v>43465</v>
      </c>
      <c r="B2855" s="155" t="s">
        <v>1458</v>
      </c>
      <c r="C2855" s="148" t="str">
        <f aca="false">VLOOKUP($A2855,INSUMOS_AUX!$A$3:$H$813,3,0)</f>
        <v>MAT.</v>
      </c>
      <c r="D2855" s="156" t="s">
        <v>1444</v>
      </c>
      <c r="E2855" s="154" t="n">
        <v>0.259</v>
      </c>
      <c r="F2855" s="149" t="n">
        <f aca="false">IF(C2855="MAT.",VLOOKUP(A2855,INSUMOS_AUX!$A$3:$H$813,6,0),0)</f>
        <v>0.78</v>
      </c>
      <c r="G2855" s="149" t="n">
        <f aca="false">IF(C2855="M.O.",VLOOKUP(A2855,INSUMOS_AUX!A:F,6,0),0)</f>
        <v>0</v>
      </c>
    </row>
    <row r="2856" customFormat="false" ht="21" hidden="false" customHeight="false" outlineLevel="0" collapsed="false">
      <c r="A2856" s="154" t="n">
        <v>43467</v>
      </c>
      <c r="B2856" s="155" t="s">
        <v>1459</v>
      </c>
      <c r="C2856" s="148" t="str">
        <f aca="false">VLOOKUP($A2856,INSUMOS_AUX!$A$3:$H$813,3,0)</f>
        <v>MAT.</v>
      </c>
      <c r="D2856" s="156" t="s">
        <v>1444</v>
      </c>
      <c r="E2856" s="154" t="n">
        <v>0.268427</v>
      </c>
      <c r="F2856" s="149" t="n">
        <f aca="false">IF(C2856="MAT.",VLOOKUP(A2856,INSUMOS_AUX!$A$3:$H$813,6,0),0)</f>
        <v>0.61</v>
      </c>
      <c r="G2856" s="149" t="n">
        <f aca="false">IF(C2856="M.O.",VLOOKUP(A2856,INSUMOS_AUX!A:F,6,0),0)</f>
        <v>0</v>
      </c>
    </row>
    <row r="2857" customFormat="false" ht="21" hidden="false" customHeight="false" outlineLevel="0" collapsed="false">
      <c r="A2857" s="154" t="n">
        <v>37373</v>
      </c>
      <c r="B2857" s="155" t="s">
        <v>1448</v>
      </c>
      <c r="C2857" s="148" t="str">
        <f aca="false">VLOOKUP($A2857,INSUMOS_AUX!$A$3:$H$813,3,0)</f>
        <v>MAT.</v>
      </c>
      <c r="D2857" s="156" t="s">
        <v>1444</v>
      </c>
      <c r="E2857" s="154" t="n">
        <v>0.527427</v>
      </c>
      <c r="F2857" s="149" t="n">
        <f aca="false">IF(C2857="MAT.",VLOOKUP(A2857,INSUMOS_AUX!$A$3:$H$813,6,0),0)</f>
        <v>0.08</v>
      </c>
      <c r="G2857" s="149" t="n">
        <f aca="false">IF(C2857="M.O.",VLOOKUP(A2857,INSUMOS_AUX!A:F,6,0),0)</f>
        <v>0</v>
      </c>
    </row>
    <row r="2858" customFormat="false" ht="21" hidden="false" customHeight="false" outlineLevel="0" collapsed="false">
      <c r="A2858" s="154" t="n">
        <v>37371</v>
      </c>
      <c r="B2858" s="155" t="s">
        <v>1449</v>
      </c>
      <c r="C2858" s="148" t="str">
        <f aca="false">VLOOKUP($A2858,INSUMOS_AUX!$A$3:$H$813,3,0)</f>
        <v>MAT.</v>
      </c>
      <c r="D2858" s="156" t="s">
        <v>1444</v>
      </c>
      <c r="E2858" s="154" t="n">
        <v>0.527427</v>
      </c>
      <c r="F2858" s="149" t="n">
        <f aca="false">IF(C2858="MAT.",VLOOKUP(A2858,INSUMOS_AUX!$A$3:$H$813,6,0),0)</f>
        <v>0.59</v>
      </c>
      <c r="G2858" s="149" t="n">
        <f aca="false">IF(C2858="M.O.",VLOOKUP(A2858,INSUMOS_AUX!A:F,6,0),0)</f>
        <v>0</v>
      </c>
    </row>
    <row r="2859" customFormat="false" ht="21" hidden="false" customHeight="false" outlineLevel="0" collapsed="false">
      <c r="A2859" s="154" t="n">
        <v>370</v>
      </c>
      <c r="B2859" s="155" t="s">
        <v>1527</v>
      </c>
      <c r="C2859" s="148" t="str">
        <f aca="false">VLOOKUP($A2859,INSUMOS_AUX!$A$3:$H$813,3,0)</f>
        <v>MAT.</v>
      </c>
      <c r="D2859" s="156" t="s">
        <v>1442</v>
      </c>
      <c r="E2859" s="154" t="n">
        <v>0.007777</v>
      </c>
      <c r="F2859" s="149" t="n">
        <f aca="false">IF(C2859="MAT.",VLOOKUP(A2859,INSUMOS_AUX!$A$3:$H$813,6,0),0)</f>
        <v>150</v>
      </c>
      <c r="G2859" s="149" t="n">
        <f aca="false">IF(C2859="M.O.",VLOOKUP(A2859,INSUMOS_AUX!A:F,6,0),0)</f>
        <v>0</v>
      </c>
    </row>
    <row r="2860" customFormat="false" ht="15" hidden="false" customHeight="false" outlineLevel="0" collapsed="false">
      <c r="A2860" s="154" t="n">
        <v>1379</v>
      </c>
      <c r="B2860" s="155" t="s">
        <v>1535</v>
      </c>
      <c r="C2860" s="148" t="str">
        <f aca="false">VLOOKUP($A2860,INSUMOS_AUX!$A$3:$H$813,3,0)</f>
        <v>MAT.</v>
      </c>
      <c r="D2860" s="156" t="s">
        <v>1513</v>
      </c>
      <c r="E2860" s="154" t="n">
        <v>0.531256</v>
      </c>
      <c r="F2860" s="149" t="n">
        <f aca="false">IF(C2860="MAT.",VLOOKUP(A2860,INSUMOS_AUX!$A$3:$H$813,6,0),0)</f>
        <v>0.72</v>
      </c>
      <c r="G2860" s="149" t="n">
        <f aca="false">IF(C2860="M.O.",VLOOKUP(A2860,INSUMOS_AUX!A:F,6,0),0)</f>
        <v>0</v>
      </c>
    </row>
    <row r="2861" customFormat="false" ht="21" hidden="false" customHeight="false" outlineLevel="0" collapsed="false">
      <c r="A2861" s="154" t="n">
        <v>41681</v>
      </c>
      <c r="B2861" s="155" t="s">
        <v>1956</v>
      </c>
      <c r="C2861" s="148" t="str">
        <f aca="false">VLOOKUP($A2861,INSUMOS_AUX!$A$3:$H$813,3,0)</f>
        <v>MAT.</v>
      </c>
      <c r="D2861" s="156" t="s">
        <v>31</v>
      </c>
      <c r="E2861" s="154" t="n">
        <v>1.2563</v>
      </c>
      <c r="F2861" s="149" t="n">
        <f aca="false">IF(C2861="MAT.",VLOOKUP(A2861,INSUMOS_AUX!$A$3:$H$813,6,0),0)</f>
        <v>22.54</v>
      </c>
      <c r="G2861" s="149" t="n">
        <f aca="false">IF(C2861="M.O.",VLOOKUP(A2861,INSUMOS_AUX!A:F,6,0),0)</f>
        <v>0</v>
      </c>
    </row>
    <row r="2862" customFormat="false" ht="15" hidden="false" customHeight="false" outlineLevel="0" collapsed="false">
      <c r="A2862" s="154" t="n">
        <v>4750</v>
      </c>
      <c r="B2862" s="155" t="s">
        <v>1463</v>
      </c>
      <c r="C2862" s="148" t="s">
        <v>59</v>
      </c>
      <c r="D2862" s="156" t="s">
        <v>1444</v>
      </c>
      <c r="E2862" s="154" t="n">
        <v>0.2644908</v>
      </c>
      <c r="F2862" s="149" t="n">
        <f aca="false">IF(C2862="MAT.",VLOOKUP(A2862,INSUMOS_AUX!$A$3:$H$813,6,0),0)</f>
        <v>0</v>
      </c>
      <c r="G2862" s="149" t="n">
        <f aca="false">IF(C2862="M.O.",VLOOKUP(A2862,INSUMOS_AUX!A:F,6,0),0)</f>
        <v>0</v>
      </c>
    </row>
    <row r="2863" customFormat="false" ht="15" hidden="false" customHeight="false" outlineLevel="0" collapsed="false">
      <c r="A2863" s="154" t="n">
        <v>6111</v>
      </c>
      <c r="B2863" s="155" t="s">
        <v>1464</v>
      </c>
      <c r="C2863" s="148" t="str">
        <f aca="false">VLOOKUP($A2863,INSUMOS_AUX!$A$3:$H$813,3,0)</f>
        <v>M.O.</v>
      </c>
      <c r="D2863" s="156" t="s">
        <v>1444</v>
      </c>
      <c r="E2863" s="154" t="n">
        <v>0.2741176524</v>
      </c>
      <c r="F2863" s="149" t="n">
        <f aca="false">IF(C2863="MAT.",VLOOKUP(A2863,INSUMOS_AUX!$A$3:$H$813,6,0),0)</f>
        <v>0</v>
      </c>
      <c r="G2863" s="149" t="n">
        <f aca="false">IF(C2863="M.O.",VLOOKUP(A2863,INSUMOS_AUX!A:F,6,0),0)</f>
        <v>12.95</v>
      </c>
    </row>
    <row r="2864" customFormat="false" ht="21" hidden="false" customHeight="false" outlineLevel="0" collapsed="false">
      <c r="A2864" s="150" t="n">
        <v>102494</v>
      </c>
      <c r="B2864" s="151" t="s">
        <v>1958</v>
      </c>
      <c r="C2864" s="152" t="s">
        <v>59</v>
      </c>
      <c r="D2864" s="152" t="s">
        <v>1477</v>
      </c>
      <c r="E2864" s="150"/>
      <c r="F2864" s="153" t="n">
        <f aca="false">(SUMPRODUCT($E2865:$E2878,F2865:F2878))*1</f>
        <v>31.666528</v>
      </c>
      <c r="G2864" s="153" t="n">
        <f aca="false">(SUMPRODUCT($E2865:$E2878,G2865:G2878))*1</f>
        <v>7.16339508</v>
      </c>
    </row>
    <row r="2865" customFormat="false" ht="21" hidden="false" customHeight="false" outlineLevel="0" collapsed="false">
      <c r="A2865" s="154" t="n">
        <v>37370</v>
      </c>
      <c r="B2865" s="155" t="s">
        <v>1443</v>
      </c>
      <c r="C2865" s="148" t="str">
        <f aca="false">VLOOKUP($A2865,INSUMOS_AUX!$A$3:$H$813,3,0)</f>
        <v>MAT.</v>
      </c>
      <c r="D2865" s="156" t="s">
        <v>1444</v>
      </c>
      <c r="E2865" s="154" t="n">
        <v>0.39</v>
      </c>
      <c r="F2865" s="149" t="n">
        <f aca="false">IF(C2865="MAT.",VLOOKUP(A2865,INSUMOS_AUX!$A$3:$H$813,6,0),0)</f>
        <v>3.32</v>
      </c>
      <c r="G2865" s="149" t="n">
        <f aca="false">IF(C2865="M.O.",VLOOKUP(A2865,INSUMOS_AUX!A:F,6,0),0)</f>
        <v>0</v>
      </c>
    </row>
    <row r="2866" customFormat="false" ht="21" hidden="false" customHeight="false" outlineLevel="0" collapsed="false">
      <c r="A2866" s="154" t="n">
        <v>43490</v>
      </c>
      <c r="B2866" s="155" t="s">
        <v>1508</v>
      </c>
      <c r="C2866" s="148" t="str">
        <f aca="false">VLOOKUP($A2866,INSUMOS_AUX!$A$3:$H$813,3,0)</f>
        <v>MAT.</v>
      </c>
      <c r="D2866" s="156" t="s">
        <v>1444</v>
      </c>
      <c r="E2866" s="154" t="n">
        <v>0.275</v>
      </c>
      <c r="F2866" s="149" t="n">
        <f aca="false">IF(C2866="MAT.",VLOOKUP(A2866,INSUMOS_AUX!$A$3:$H$813,6,0),0)</f>
        <v>1.85</v>
      </c>
      <c r="G2866" s="149" t="n">
        <f aca="false">IF(C2866="M.O.",VLOOKUP(A2866,INSUMOS_AUX!A:F,6,0),0)</f>
        <v>0</v>
      </c>
    </row>
    <row r="2867" customFormat="false" ht="21" hidden="false" customHeight="false" outlineLevel="0" collapsed="false">
      <c r="A2867" s="154" t="n">
        <v>43491</v>
      </c>
      <c r="B2867" s="155" t="s">
        <v>1457</v>
      </c>
      <c r="C2867" s="148" t="str">
        <f aca="false">VLOOKUP($A2867,INSUMOS_AUX!$A$3:$H$813,3,0)</f>
        <v>MAT.</v>
      </c>
      <c r="D2867" s="156" t="s">
        <v>1444</v>
      </c>
      <c r="E2867" s="154" t="n">
        <v>0.115</v>
      </c>
      <c r="F2867" s="149" t="n">
        <f aca="false">IF(C2867="MAT.",VLOOKUP(A2867,INSUMOS_AUX!$A$3:$H$813,6,0),0)</f>
        <v>1.39</v>
      </c>
      <c r="G2867" s="149" t="n">
        <f aca="false">IF(C2867="M.O.",VLOOKUP(A2867,INSUMOS_AUX!A:F,6,0),0)</f>
        <v>0</v>
      </c>
    </row>
    <row r="2868" customFormat="false" ht="21" hidden="false" customHeight="false" outlineLevel="0" collapsed="false">
      <c r="A2868" s="154" t="n">
        <v>37372</v>
      </c>
      <c r="B2868" s="155" t="s">
        <v>1446</v>
      </c>
      <c r="C2868" s="148" t="str">
        <f aca="false">VLOOKUP($A2868,INSUMOS_AUX!$A$3:$H$813,3,0)</f>
        <v>MAT.</v>
      </c>
      <c r="D2868" s="156" t="s">
        <v>1444</v>
      </c>
      <c r="E2868" s="154" t="n">
        <v>0.39</v>
      </c>
      <c r="F2868" s="149" t="n">
        <f aca="false">IF(C2868="MAT.",VLOOKUP(A2868,INSUMOS_AUX!$A$3:$H$813,6,0),0)</f>
        <v>1.43</v>
      </c>
      <c r="G2868" s="149" t="n">
        <f aca="false">IF(C2868="M.O.",VLOOKUP(A2868,INSUMOS_AUX!A:F,6,0),0)</f>
        <v>0</v>
      </c>
    </row>
    <row r="2869" customFormat="false" ht="21" hidden="false" customHeight="false" outlineLevel="0" collapsed="false">
      <c r="A2869" s="154" t="n">
        <v>43466</v>
      </c>
      <c r="B2869" s="155" t="s">
        <v>1509</v>
      </c>
      <c r="C2869" s="148" t="str">
        <f aca="false">VLOOKUP($A2869,INSUMOS_AUX!$A$3:$H$813,3,0)</f>
        <v>MAT.</v>
      </c>
      <c r="D2869" s="156" t="s">
        <v>1444</v>
      </c>
      <c r="E2869" s="154" t="n">
        <v>0.275</v>
      </c>
      <c r="F2869" s="149" t="n">
        <f aca="false">IF(C2869="MAT.",VLOOKUP(A2869,INSUMOS_AUX!$A$3:$H$813,6,0),0)</f>
        <v>2.05</v>
      </c>
      <c r="G2869" s="149" t="n">
        <f aca="false">IF(C2869="M.O.",VLOOKUP(A2869,INSUMOS_AUX!A:F,6,0),0)</f>
        <v>0</v>
      </c>
    </row>
    <row r="2870" customFormat="false" ht="21" hidden="false" customHeight="false" outlineLevel="0" collapsed="false">
      <c r="A2870" s="154" t="n">
        <v>43467</v>
      </c>
      <c r="B2870" s="155" t="s">
        <v>1459</v>
      </c>
      <c r="C2870" s="148" t="str">
        <f aca="false">VLOOKUP($A2870,INSUMOS_AUX!$A$3:$H$813,3,0)</f>
        <v>MAT.</v>
      </c>
      <c r="D2870" s="156" t="s">
        <v>1444</v>
      </c>
      <c r="E2870" s="154" t="n">
        <v>0.115</v>
      </c>
      <c r="F2870" s="149" t="n">
        <f aca="false">IF(C2870="MAT.",VLOOKUP(A2870,INSUMOS_AUX!$A$3:$H$813,6,0),0)</f>
        <v>0.61</v>
      </c>
      <c r="G2870" s="149" t="n">
        <f aca="false">IF(C2870="M.O.",VLOOKUP(A2870,INSUMOS_AUX!A:F,6,0),0)</f>
        <v>0</v>
      </c>
    </row>
    <row r="2871" customFormat="false" ht="21" hidden="false" customHeight="false" outlineLevel="0" collapsed="false">
      <c r="A2871" s="154" t="n">
        <v>37373</v>
      </c>
      <c r="B2871" s="155" t="s">
        <v>1448</v>
      </c>
      <c r="C2871" s="148" t="str">
        <f aca="false">VLOOKUP($A2871,INSUMOS_AUX!$A$3:$H$813,3,0)</f>
        <v>MAT.</v>
      </c>
      <c r="D2871" s="156" t="s">
        <v>1444</v>
      </c>
      <c r="E2871" s="154" t="n">
        <v>0.39</v>
      </c>
      <c r="F2871" s="149" t="n">
        <f aca="false">IF(C2871="MAT.",VLOOKUP(A2871,INSUMOS_AUX!$A$3:$H$813,6,0),0)</f>
        <v>0.08</v>
      </c>
      <c r="G2871" s="149" t="n">
        <f aca="false">IF(C2871="M.O.",VLOOKUP(A2871,INSUMOS_AUX!A:F,6,0),0)</f>
        <v>0</v>
      </c>
    </row>
    <row r="2872" customFormat="false" ht="21" hidden="false" customHeight="false" outlineLevel="0" collapsed="false">
      <c r="A2872" s="154" t="n">
        <v>37371</v>
      </c>
      <c r="B2872" s="155" t="s">
        <v>1449</v>
      </c>
      <c r="C2872" s="148" t="str">
        <f aca="false">VLOOKUP($A2872,INSUMOS_AUX!$A$3:$H$813,3,0)</f>
        <v>MAT.</v>
      </c>
      <c r="D2872" s="156" t="s">
        <v>1444</v>
      </c>
      <c r="E2872" s="154" t="n">
        <v>0.39</v>
      </c>
      <c r="F2872" s="149" t="n">
        <f aca="false">IF(C2872="MAT.",VLOOKUP(A2872,INSUMOS_AUX!$A$3:$H$813,6,0),0)</f>
        <v>0.59</v>
      </c>
      <c r="G2872" s="149" t="n">
        <f aca="false">IF(C2872="M.O.",VLOOKUP(A2872,INSUMOS_AUX!A:F,6,0),0)</f>
        <v>0</v>
      </c>
    </row>
    <row r="2873" customFormat="false" ht="15" hidden="false" customHeight="false" outlineLevel="0" collapsed="false">
      <c r="A2873" s="154" t="n">
        <v>5330</v>
      </c>
      <c r="B2873" s="155" t="s">
        <v>1959</v>
      </c>
      <c r="C2873" s="148" t="str">
        <f aca="false">VLOOKUP($A2873,INSUMOS_AUX!$A$3:$H$813,3,0)</f>
        <v>MAT.</v>
      </c>
      <c r="D2873" s="156" t="s">
        <v>1452</v>
      </c>
      <c r="E2873" s="154" t="n">
        <v>0.064</v>
      </c>
      <c r="F2873" s="149" t="n">
        <f aca="false">IF(C2873="MAT.",VLOOKUP(A2873,INSUMOS_AUX!$A$3:$H$813,6,0),0)</f>
        <v>46.82</v>
      </c>
      <c r="G2873" s="149" t="n">
        <f aca="false">IF(C2873="M.O.",VLOOKUP(A2873,INSUMOS_AUX!A:F,6,0),0)</f>
        <v>0</v>
      </c>
    </row>
    <row r="2874" customFormat="false" ht="15" hidden="false" customHeight="false" outlineLevel="0" collapsed="false">
      <c r="A2874" s="154" t="n">
        <v>12815</v>
      </c>
      <c r="B2874" s="155" t="s">
        <v>1918</v>
      </c>
      <c r="C2874" s="148" t="str">
        <f aca="false">VLOOKUP($A2874,INSUMOS_AUX!$A$3:$H$813,3,0)</f>
        <v>MAT.</v>
      </c>
      <c r="D2874" s="156" t="s">
        <v>31</v>
      </c>
      <c r="E2874" s="154" t="n">
        <v>0.01</v>
      </c>
      <c r="F2874" s="149" t="n">
        <f aca="false">IF(C2874="MAT.",VLOOKUP(A2874,INSUMOS_AUX!$A$3:$H$813,6,0),0)</f>
        <v>9.81</v>
      </c>
      <c r="G2874" s="149" t="n">
        <f aca="false">IF(C2874="M.O.",VLOOKUP(A2874,INSUMOS_AUX!A:F,6,0),0)</f>
        <v>0</v>
      </c>
    </row>
    <row r="2875" customFormat="false" ht="15" hidden="false" customHeight="false" outlineLevel="0" collapsed="false">
      <c r="A2875" s="154" t="n">
        <v>44072</v>
      </c>
      <c r="B2875" s="155" t="s">
        <v>1913</v>
      </c>
      <c r="C2875" s="148" t="str">
        <f aca="false">VLOOKUP($A2875,INSUMOS_AUX!$A$3:$H$813,3,0)</f>
        <v>MAT.</v>
      </c>
      <c r="D2875" s="156" t="s">
        <v>1452</v>
      </c>
      <c r="E2875" s="154" t="n">
        <v>0.2016</v>
      </c>
      <c r="F2875" s="149" t="n">
        <f aca="false">IF(C2875="MAT.",VLOOKUP(A2875,INSUMOS_AUX!$A$3:$H$813,6,0),0)</f>
        <v>124.78</v>
      </c>
      <c r="G2875" s="149" t="n">
        <f aca="false">IF(C2875="M.O.",VLOOKUP(A2875,INSUMOS_AUX!A:F,6,0),0)</f>
        <v>0</v>
      </c>
    </row>
    <row r="2876" customFormat="false" ht="15" hidden="false" customHeight="false" outlineLevel="0" collapsed="false">
      <c r="A2876" s="154" t="n">
        <v>7304</v>
      </c>
      <c r="B2876" s="155" t="s">
        <v>1960</v>
      </c>
      <c r="C2876" s="148" t="s">
        <v>59</v>
      </c>
      <c r="D2876" s="156" t="s">
        <v>1452</v>
      </c>
      <c r="E2876" s="154" t="n">
        <v>0.322</v>
      </c>
      <c r="F2876" s="149" t="n">
        <f aca="false">IF(C2876="MAT.",VLOOKUP(A2876,INSUMOS_AUX!$A$3:$H$813,6,0),0)</f>
        <v>0</v>
      </c>
      <c r="G2876" s="149" t="n">
        <f aca="false">IF(C2876="M.O.",VLOOKUP(A2876,INSUMOS_AUX!A:F,6,0),0)</f>
        <v>0</v>
      </c>
    </row>
    <row r="2877" customFormat="false" ht="15" hidden="false" customHeight="false" outlineLevel="0" collapsed="false">
      <c r="A2877" s="154" t="n">
        <v>4783</v>
      </c>
      <c r="B2877" s="155" t="s">
        <v>1517</v>
      </c>
      <c r="C2877" s="148" t="str">
        <f aca="false">VLOOKUP($A2877,INSUMOS_AUX!$A$3:$H$813,3,0)</f>
        <v>M.O.</v>
      </c>
      <c r="D2877" s="156" t="s">
        <v>1444</v>
      </c>
      <c r="E2877" s="154" t="n">
        <v>0.279059</v>
      </c>
      <c r="F2877" s="149" t="n">
        <f aca="false">IF(C2877="MAT.",VLOOKUP(A2877,INSUMOS_AUX!$A$3:$H$813,6,0),0)</f>
        <v>0</v>
      </c>
      <c r="G2877" s="149" t="n">
        <f aca="false">IF(C2877="M.O.",VLOOKUP(A2877,INSUMOS_AUX!A:F,6,0),0)</f>
        <v>20.22</v>
      </c>
    </row>
    <row r="2878" customFormat="false" ht="15" hidden="false" customHeight="false" outlineLevel="0" collapsed="false">
      <c r="A2878" s="154" t="n">
        <v>6111</v>
      </c>
      <c r="B2878" s="155" t="s">
        <v>1464</v>
      </c>
      <c r="C2878" s="148" t="str">
        <f aca="false">VLOOKUP($A2878,INSUMOS_AUX!$A$3:$H$813,3,0)</f>
        <v>M.O.</v>
      </c>
      <c r="D2878" s="156" t="s">
        <v>1444</v>
      </c>
      <c r="E2878" s="154" t="n">
        <v>0.117438</v>
      </c>
      <c r="F2878" s="149" t="n">
        <f aca="false">IF(C2878="MAT.",VLOOKUP(A2878,INSUMOS_AUX!$A$3:$H$813,6,0),0)</f>
        <v>0</v>
      </c>
      <c r="G2878" s="149" t="n">
        <f aca="false">IF(C2878="M.O.",VLOOKUP(A2878,INSUMOS_AUX!A:F,6,0),0)</f>
        <v>12.95</v>
      </c>
    </row>
    <row r="2879" customFormat="false" ht="42" hidden="false" customHeight="false" outlineLevel="0" collapsed="false">
      <c r="A2879" s="150" t="n">
        <v>87905</v>
      </c>
      <c r="B2879" s="151" t="s">
        <v>1961</v>
      </c>
      <c r="C2879" s="152" t="s">
        <v>59</v>
      </c>
      <c r="D2879" s="152" t="s">
        <v>1477</v>
      </c>
      <c r="E2879" s="150"/>
      <c r="F2879" s="153" t="n">
        <f aca="false">(SUMPRODUCT($E2880:$E2896,F2880:F2896))*1</f>
        <v>3.49699919</v>
      </c>
      <c r="G2879" s="153" t="n">
        <f aca="false">(SUMPRODUCT($E2880:$E2896,G2880:G2896))*1</f>
        <v>4.5115474605648</v>
      </c>
    </row>
    <row r="2880" customFormat="false" ht="21" hidden="false" customHeight="false" outlineLevel="0" collapsed="false">
      <c r="A2880" s="154" t="n">
        <v>37370</v>
      </c>
      <c r="B2880" s="155" t="s">
        <v>1443</v>
      </c>
      <c r="C2880" s="148" t="str">
        <f aca="false">VLOOKUP($A2880,INSUMOS_AUX!$A$3:$H$813,3,0)</f>
        <v>MAT.</v>
      </c>
      <c r="D2880" s="156" t="s">
        <v>1444</v>
      </c>
      <c r="E2880" s="154" t="n">
        <v>0.245884</v>
      </c>
      <c r="F2880" s="149" t="n">
        <f aca="false">IF(C2880="MAT.",VLOOKUP(A2880,INSUMOS_AUX!$A$3:$H$813,6,0),0)</f>
        <v>3.32</v>
      </c>
      <c r="G2880" s="149" t="n">
        <f aca="false">IF(C2880="M.O.",VLOOKUP(A2880,INSUMOS_AUX!A:F,6,0),0)</f>
        <v>0</v>
      </c>
    </row>
    <row r="2881" customFormat="false" ht="21" hidden="false" customHeight="false" outlineLevel="0" collapsed="false">
      <c r="A2881" s="154" t="n">
        <v>43488</v>
      </c>
      <c r="B2881" s="155" t="s">
        <v>1445</v>
      </c>
      <c r="C2881" s="148" t="str">
        <f aca="false">VLOOKUP($A2881,INSUMOS_AUX!$A$3:$H$813,3,0)</f>
        <v>MAT.</v>
      </c>
      <c r="D2881" s="156" t="s">
        <v>1444</v>
      </c>
      <c r="E2881" s="154" t="n">
        <v>0.015984</v>
      </c>
      <c r="F2881" s="149" t="n">
        <f aca="false">IF(C2881="MAT.",VLOOKUP(A2881,INSUMOS_AUX!$A$3:$H$813,6,0),0)</f>
        <v>0.89</v>
      </c>
      <c r="G2881" s="149" t="n">
        <f aca="false">IF(C2881="M.O.",VLOOKUP(A2881,INSUMOS_AUX!A:F,6,0),0)</f>
        <v>0</v>
      </c>
    </row>
    <row r="2882" customFormat="false" ht="21" hidden="false" customHeight="false" outlineLevel="0" collapsed="false">
      <c r="A2882" s="154" t="n">
        <v>43489</v>
      </c>
      <c r="B2882" s="155" t="s">
        <v>1456</v>
      </c>
      <c r="C2882" s="148" t="str">
        <f aca="false">VLOOKUP($A2882,INSUMOS_AUX!$A$3:$H$813,3,0)</f>
        <v>MAT.</v>
      </c>
      <c r="D2882" s="156" t="s">
        <v>1444</v>
      </c>
      <c r="E2882" s="154" t="n">
        <v>0.1724</v>
      </c>
      <c r="F2882" s="149" t="n">
        <f aca="false">IF(C2882="MAT.",VLOOKUP(A2882,INSUMOS_AUX!$A$3:$H$813,6,0),0)</f>
        <v>1.31</v>
      </c>
      <c r="G2882" s="149" t="n">
        <f aca="false">IF(C2882="M.O.",VLOOKUP(A2882,INSUMOS_AUX!A:F,6,0),0)</f>
        <v>0</v>
      </c>
    </row>
    <row r="2883" customFormat="false" ht="21" hidden="false" customHeight="false" outlineLevel="0" collapsed="false">
      <c r="A2883" s="154" t="n">
        <v>43491</v>
      </c>
      <c r="B2883" s="155" t="s">
        <v>1457</v>
      </c>
      <c r="C2883" s="148" t="str">
        <f aca="false">VLOOKUP($A2883,INSUMOS_AUX!$A$3:$H$813,3,0)</f>
        <v>MAT.</v>
      </c>
      <c r="D2883" s="156" t="s">
        <v>1444</v>
      </c>
      <c r="E2883" s="154" t="n">
        <v>0.0575</v>
      </c>
      <c r="F2883" s="149" t="n">
        <f aca="false">IF(C2883="MAT.",VLOOKUP(A2883,INSUMOS_AUX!$A$3:$H$813,6,0),0)</f>
        <v>1.39</v>
      </c>
      <c r="G2883" s="149" t="n">
        <f aca="false">IF(C2883="M.O.",VLOOKUP(A2883,INSUMOS_AUX!A:F,6,0),0)</f>
        <v>0</v>
      </c>
    </row>
    <row r="2884" customFormat="false" ht="21" hidden="false" customHeight="false" outlineLevel="0" collapsed="false">
      <c r="A2884" s="154" t="n">
        <v>37372</v>
      </c>
      <c r="B2884" s="155" t="s">
        <v>1446</v>
      </c>
      <c r="C2884" s="148" t="str">
        <f aca="false">VLOOKUP($A2884,INSUMOS_AUX!$A$3:$H$813,3,0)</f>
        <v>MAT.</v>
      </c>
      <c r="D2884" s="156" t="s">
        <v>1444</v>
      </c>
      <c r="E2884" s="154" t="n">
        <v>0.245884</v>
      </c>
      <c r="F2884" s="149" t="n">
        <f aca="false">IF(C2884="MAT.",VLOOKUP(A2884,INSUMOS_AUX!$A$3:$H$813,6,0),0)</f>
        <v>1.43</v>
      </c>
      <c r="G2884" s="149" t="n">
        <f aca="false">IF(C2884="M.O.",VLOOKUP(A2884,INSUMOS_AUX!A:F,6,0),0)</f>
        <v>0</v>
      </c>
    </row>
    <row r="2885" customFormat="false" ht="21" hidden="false" customHeight="false" outlineLevel="0" collapsed="false">
      <c r="A2885" s="154" t="n">
        <v>43464</v>
      </c>
      <c r="B2885" s="155" t="s">
        <v>1447</v>
      </c>
      <c r="C2885" s="148" t="str">
        <f aca="false">VLOOKUP($A2885,INSUMOS_AUX!$A$3:$H$813,3,0)</f>
        <v>MAT.</v>
      </c>
      <c r="D2885" s="156" t="s">
        <v>1444</v>
      </c>
      <c r="E2885" s="154" t="n">
        <v>0.015984</v>
      </c>
      <c r="F2885" s="149" t="n">
        <f aca="false">IF(C2885="MAT.",VLOOKUP(A2885,INSUMOS_AUX!$A$3:$H$813,6,0),0)</f>
        <v>0.01</v>
      </c>
      <c r="G2885" s="149" t="n">
        <f aca="false">IF(C2885="M.O.",VLOOKUP(A2885,INSUMOS_AUX!A:F,6,0),0)</f>
        <v>0</v>
      </c>
    </row>
    <row r="2886" customFormat="false" ht="21" hidden="false" customHeight="false" outlineLevel="0" collapsed="false">
      <c r="A2886" s="154" t="n">
        <v>43465</v>
      </c>
      <c r="B2886" s="155" t="s">
        <v>1458</v>
      </c>
      <c r="C2886" s="148" t="str">
        <f aca="false">VLOOKUP($A2886,INSUMOS_AUX!$A$3:$H$813,3,0)</f>
        <v>MAT.</v>
      </c>
      <c r="D2886" s="156" t="s">
        <v>1444</v>
      </c>
      <c r="E2886" s="154" t="n">
        <v>0.1724</v>
      </c>
      <c r="F2886" s="149" t="n">
        <f aca="false">IF(C2886="MAT.",VLOOKUP(A2886,INSUMOS_AUX!$A$3:$H$813,6,0),0)</f>
        <v>0.78</v>
      </c>
      <c r="G2886" s="149" t="n">
        <f aca="false">IF(C2886="M.O.",VLOOKUP(A2886,INSUMOS_AUX!A:F,6,0),0)</f>
        <v>0</v>
      </c>
    </row>
    <row r="2887" customFormat="false" ht="21" hidden="false" customHeight="false" outlineLevel="0" collapsed="false">
      <c r="A2887" s="154" t="n">
        <v>43467</v>
      </c>
      <c r="B2887" s="155" t="s">
        <v>1459</v>
      </c>
      <c r="C2887" s="148" t="str">
        <f aca="false">VLOOKUP($A2887,INSUMOS_AUX!$A$3:$H$813,3,0)</f>
        <v>MAT.</v>
      </c>
      <c r="D2887" s="156" t="s">
        <v>1444</v>
      </c>
      <c r="E2887" s="154" t="n">
        <v>0.0575</v>
      </c>
      <c r="F2887" s="149" t="n">
        <f aca="false">IF(C2887="MAT.",VLOOKUP(A2887,INSUMOS_AUX!$A$3:$H$813,6,0),0)</f>
        <v>0.61</v>
      </c>
      <c r="G2887" s="149" t="n">
        <f aca="false">IF(C2887="M.O.",VLOOKUP(A2887,INSUMOS_AUX!A:F,6,0),0)</f>
        <v>0</v>
      </c>
    </row>
    <row r="2888" customFormat="false" ht="21" hidden="false" customHeight="false" outlineLevel="0" collapsed="false">
      <c r="A2888" s="154" t="n">
        <v>37373</v>
      </c>
      <c r="B2888" s="155" t="s">
        <v>1448</v>
      </c>
      <c r="C2888" s="148" t="str">
        <f aca="false">VLOOKUP($A2888,INSUMOS_AUX!$A$3:$H$813,3,0)</f>
        <v>MAT.</v>
      </c>
      <c r="D2888" s="156" t="s">
        <v>1444</v>
      </c>
      <c r="E2888" s="154" t="n">
        <v>0.245884</v>
      </c>
      <c r="F2888" s="149" t="n">
        <f aca="false">IF(C2888="MAT.",VLOOKUP(A2888,INSUMOS_AUX!$A$3:$H$813,6,0),0)</f>
        <v>0.08</v>
      </c>
      <c r="G2888" s="149" t="n">
        <f aca="false">IF(C2888="M.O.",VLOOKUP(A2888,INSUMOS_AUX!A:F,6,0),0)</f>
        <v>0</v>
      </c>
    </row>
    <row r="2889" customFormat="false" ht="21" hidden="false" customHeight="false" outlineLevel="0" collapsed="false">
      <c r="A2889" s="154" t="n">
        <v>37371</v>
      </c>
      <c r="B2889" s="155" t="s">
        <v>1449</v>
      </c>
      <c r="C2889" s="148" t="str">
        <f aca="false">VLOOKUP($A2889,INSUMOS_AUX!$A$3:$H$813,3,0)</f>
        <v>MAT.</v>
      </c>
      <c r="D2889" s="156" t="s">
        <v>1444</v>
      </c>
      <c r="E2889" s="154" t="n">
        <v>0.245884</v>
      </c>
      <c r="F2889" s="149" t="n">
        <f aca="false">IF(C2889="MAT.",VLOOKUP(A2889,INSUMOS_AUX!$A$3:$H$813,6,0),0)</f>
        <v>0.59</v>
      </c>
      <c r="G2889" s="149" t="n">
        <f aca="false">IF(C2889="M.O.",VLOOKUP(A2889,INSUMOS_AUX!A:F,6,0),0)</f>
        <v>0</v>
      </c>
    </row>
    <row r="2890" customFormat="false" ht="31.5" hidden="false" customHeight="false" outlineLevel="0" collapsed="false">
      <c r="A2890" s="154" t="n">
        <v>10535</v>
      </c>
      <c r="B2890" s="155" t="s">
        <v>1525</v>
      </c>
      <c r="C2890" s="148" t="s">
        <v>59</v>
      </c>
      <c r="D2890" s="156" t="s">
        <v>31</v>
      </c>
      <c r="E2890" s="154" t="n">
        <v>1.5211292E-006</v>
      </c>
      <c r="F2890" s="149" t="n">
        <f aca="false">IF(C2890="MAT.",VLOOKUP(A2890,INSUMOS_AUX!$A$3:$H$813,6,0),0)</f>
        <v>0</v>
      </c>
      <c r="G2890" s="149" t="n">
        <f aca="false">IF(C2890="M.O.",VLOOKUP(A2890,INSUMOS_AUX!A:F,6,0),0)</f>
        <v>0</v>
      </c>
    </row>
    <row r="2891" customFormat="false" ht="15" hidden="false" customHeight="false" outlineLevel="0" collapsed="false">
      <c r="A2891" s="154" t="n">
        <v>2705</v>
      </c>
      <c r="B2891" s="155" t="s">
        <v>1467</v>
      </c>
      <c r="C2891" s="148" t="str">
        <f aca="false">VLOOKUP($A2891,INSUMOS_AUX!$A$3:$H$813,3,0)</f>
        <v>MAT.</v>
      </c>
      <c r="D2891" s="156" t="s">
        <v>1468</v>
      </c>
      <c r="E2891" s="154" t="n">
        <v>0.00467125</v>
      </c>
      <c r="F2891" s="149" t="n">
        <f aca="false">IF(C2891="MAT.",VLOOKUP(A2891,INSUMOS_AUX!$A$3:$H$813,6,0),0)</f>
        <v>0.92</v>
      </c>
      <c r="G2891" s="149" t="n">
        <f aca="false">IF(C2891="M.O.",VLOOKUP(A2891,INSUMOS_AUX!A:F,6,0),0)</f>
        <v>0</v>
      </c>
    </row>
    <row r="2892" customFormat="false" ht="21" hidden="false" customHeight="false" outlineLevel="0" collapsed="false">
      <c r="A2892" s="154" t="n">
        <v>367</v>
      </c>
      <c r="B2892" s="155" t="s">
        <v>1962</v>
      </c>
      <c r="C2892" s="148" t="str">
        <f aca="false">VLOOKUP($A2892,INSUMOS_AUX!$A$3:$H$813,3,0)</f>
        <v>MAT.</v>
      </c>
      <c r="D2892" s="156" t="s">
        <v>1442</v>
      </c>
      <c r="E2892" s="154" t="n">
        <v>0.003515</v>
      </c>
      <c r="F2892" s="149" t="n">
        <f aca="false">IF(C2892="MAT.",VLOOKUP(A2892,INSUMOS_AUX!$A$3:$H$813,6,0),0)</f>
        <v>151.96</v>
      </c>
      <c r="G2892" s="149" t="n">
        <f aca="false">IF(C2892="M.O.",VLOOKUP(A2892,INSUMOS_AUX!A:F,6,0),0)</f>
        <v>0</v>
      </c>
    </row>
    <row r="2893" customFormat="false" ht="15" hidden="false" customHeight="false" outlineLevel="0" collapsed="false">
      <c r="A2893" s="154" t="n">
        <v>1379</v>
      </c>
      <c r="B2893" s="155" t="s">
        <v>1535</v>
      </c>
      <c r="C2893" s="148" t="str">
        <f aca="false">VLOOKUP($A2893,INSUMOS_AUX!$A$3:$H$813,3,0)</f>
        <v>MAT.</v>
      </c>
      <c r="D2893" s="156" t="s">
        <v>1513</v>
      </c>
      <c r="E2893" s="154" t="n">
        <v>1.578013</v>
      </c>
      <c r="F2893" s="149" t="n">
        <f aca="false">IF(C2893="MAT.",VLOOKUP(A2893,INSUMOS_AUX!$A$3:$H$813,6,0),0)</f>
        <v>0.72</v>
      </c>
      <c r="G2893" s="149" t="n">
        <f aca="false">IF(C2893="M.O.",VLOOKUP(A2893,INSUMOS_AUX!A:F,6,0),0)</f>
        <v>0</v>
      </c>
    </row>
    <row r="2894" customFormat="false" ht="15" hidden="false" customHeight="false" outlineLevel="0" collapsed="false">
      <c r="A2894" s="154" t="n">
        <v>37666</v>
      </c>
      <c r="B2894" s="155" t="s">
        <v>1558</v>
      </c>
      <c r="C2894" s="148" t="str">
        <f aca="false">VLOOKUP($A2894,INSUMOS_AUX!$A$3:$H$813,3,0)</f>
        <v>M.O.</v>
      </c>
      <c r="D2894" s="156" t="s">
        <v>1444</v>
      </c>
      <c r="E2894" s="154" t="n">
        <v>0.01611682704</v>
      </c>
      <c r="F2894" s="149" t="n">
        <f aca="false">IF(C2894="MAT.",VLOOKUP(A2894,INSUMOS_AUX!$A$3:$H$813,6,0),0)</f>
        <v>0</v>
      </c>
      <c r="G2894" s="149" t="n">
        <f aca="false">IF(C2894="M.O.",VLOOKUP(A2894,INSUMOS_AUX!A:F,6,0),0)</f>
        <v>11.87</v>
      </c>
    </row>
    <row r="2895" customFormat="false" ht="15" hidden="false" customHeight="false" outlineLevel="0" collapsed="false">
      <c r="A2895" s="154" t="n">
        <v>4750</v>
      </c>
      <c r="B2895" s="155" t="s">
        <v>1463</v>
      </c>
      <c r="C2895" s="148" t="str">
        <f aca="false">VLOOKUP($A2895,INSUMOS_AUX!$A$3:$H$813,3,0)</f>
        <v>M.O.</v>
      </c>
      <c r="D2895" s="156" t="s">
        <v>1444</v>
      </c>
      <c r="E2895" s="154" t="n">
        <v>0.17605488</v>
      </c>
      <c r="F2895" s="149" t="n">
        <f aca="false">IF(C2895="MAT.",VLOOKUP(A2895,INSUMOS_AUX!$A$3:$H$813,6,0),0)</f>
        <v>0</v>
      </c>
      <c r="G2895" s="149" t="n">
        <f aca="false">IF(C2895="M.O.",VLOOKUP(A2895,INSUMOS_AUX!A:F,6,0),0)</f>
        <v>20.22</v>
      </c>
    </row>
    <row r="2896" customFormat="false" ht="15" hidden="false" customHeight="false" outlineLevel="0" collapsed="false">
      <c r="A2896" s="154" t="n">
        <v>6111</v>
      </c>
      <c r="B2896" s="155" t="s">
        <v>1464</v>
      </c>
      <c r="C2896" s="148" t="str">
        <f aca="false">VLOOKUP($A2896,INSUMOS_AUX!$A$3:$H$813,3,0)</f>
        <v>M.O.</v>
      </c>
      <c r="D2896" s="156" t="s">
        <v>1444</v>
      </c>
      <c r="E2896" s="154" t="n">
        <v>0.058719</v>
      </c>
      <c r="F2896" s="149" t="n">
        <f aca="false">IF(C2896="MAT.",VLOOKUP(A2896,INSUMOS_AUX!$A$3:$H$813,6,0),0)</f>
        <v>0</v>
      </c>
      <c r="G2896" s="149" t="n">
        <f aca="false">IF(C2896="M.O.",VLOOKUP(A2896,INSUMOS_AUX!A:F,6,0),0)</f>
        <v>12.95</v>
      </c>
    </row>
    <row r="2897" customFormat="false" ht="31.5" hidden="false" customHeight="false" outlineLevel="0" collapsed="false">
      <c r="A2897" s="150" t="n">
        <v>87550</v>
      </c>
      <c r="B2897" s="151" t="s">
        <v>1963</v>
      </c>
      <c r="C2897" s="152" t="s">
        <v>59</v>
      </c>
      <c r="D2897" s="152" t="s">
        <v>1477</v>
      </c>
      <c r="E2897" s="150"/>
      <c r="F2897" s="153" t="n">
        <f aca="false">(SUMPRODUCT($E2898:$E2910,F2898:F2910))*1</f>
        <v>16.05128654</v>
      </c>
      <c r="G2897" s="153" t="n">
        <f aca="false">(SUMPRODUCT($E2898:$E2910,G2898:G2910))*1</f>
        <v>12.3018643548</v>
      </c>
    </row>
    <row r="2898" customFormat="false" ht="21" hidden="false" customHeight="false" outlineLevel="0" collapsed="false">
      <c r="A2898" s="154" t="n">
        <v>37370</v>
      </c>
      <c r="B2898" s="155" t="s">
        <v>1443</v>
      </c>
      <c r="C2898" s="148" t="str">
        <f aca="false">VLOOKUP($A2898,INSUMOS_AUX!$A$3:$H$813,3,0)</f>
        <v>MAT.</v>
      </c>
      <c r="D2898" s="156" t="s">
        <v>1444</v>
      </c>
      <c r="E2898" s="154" t="n">
        <v>0.73554</v>
      </c>
      <c r="F2898" s="149" t="n">
        <f aca="false">IF(C2898="MAT.",VLOOKUP(A2898,INSUMOS_AUX!$A$3:$H$813,6,0),0)</f>
        <v>3.32</v>
      </c>
      <c r="G2898" s="149" t="n">
        <f aca="false">IF(C2898="M.O.",VLOOKUP(A2898,INSUMOS_AUX!A:F,6,0),0)</f>
        <v>0</v>
      </c>
    </row>
    <row r="2899" customFormat="false" ht="21" hidden="false" customHeight="false" outlineLevel="0" collapsed="false">
      <c r="A2899" s="154" t="n">
        <v>43489</v>
      </c>
      <c r="B2899" s="155" t="s">
        <v>1456</v>
      </c>
      <c r="C2899" s="148" t="str">
        <f aca="false">VLOOKUP($A2899,INSUMOS_AUX!$A$3:$H$813,3,0)</f>
        <v>MAT.</v>
      </c>
      <c r="D2899" s="156" t="s">
        <v>1444</v>
      </c>
      <c r="E2899" s="154" t="n">
        <v>0.3468</v>
      </c>
      <c r="F2899" s="149" t="n">
        <f aca="false">IF(C2899="MAT.",VLOOKUP(A2899,INSUMOS_AUX!$A$3:$H$813,6,0),0)</f>
        <v>1.31</v>
      </c>
      <c r="G2899" s="149" t="n">
        <f aca="false">IF(C2899="M.O.",VLOOKUP(A2899,INSUMOS_AUX!A:F,6,0),0)</f>
        <v>0</v>
      </c>
    </row>
    <row r="2900" customFormat="false" ht="21" hidden="false" customHeight="false" outlineLevel="0" collapsed="false">
      <c r="A2900" s="154" t="n">
        <v>43491</v>
      </c>
      <c r="B2900" s="155" t="s">
        <v>1457</v>
      </c>
      <c r="C2900" s="148" t="str">
        <f aca="false">VLOOKUP($A2900,INSUMOS_AUX!$A$3:$H$813,3,0)</f>
        <v>MAT.</v>
      </c>
      <c r="D2900" s="156" t="s">
        <v>1444</v>
      </c>
      <c r="E2900" s="154" t="n">
        <v>0.38874</v>
      </c>
      <c r="F2900" s="149" t="n">
        <f aca="false">IF(C2900="MAT.",VLOOKUP(A2900,INSUMOS_AUX!$A$3:$H$813,6,0),0)</f>
        <v>1.39</v>
      </c>
      <c r="G2900" s="149" t="n">
        <f aca="false">IF(C2900="M.O.",VLOOKUP(A2900,INSUMOS_AUX!A:F,6,0),0)</f>
        <v>0</v>
      </c>
    </row>
    <row r="2901" customFormat="false" ht="21" hidden="false" customHeight="false" outlineLevel="0" collapsed="false">
      <c r="A2901" s="154" t="n">
        <v>37372</v>
      </c>
      <c r="B2901" s="155" t="s">
        <v>1446</v>
      </c>
      <c r="C2901" s="148" t="str">
        <f aca="false">VLOOKUP($A2901,INSUMOS_AUX!$A$3:$H$813,3,0)</f>
        <v>MAT.</v>
      </c>
      <c r="D2901" s="156" t="s">
        <v>1444</v>
      </c>
      <c r="E2901" s="154" t="n">
        <v>0.73554</v>
      </c>
      <c r="F2901" s="149" t="n">
        <f aca="false">IF(C2901="MAT.",VLOOKUP(A2901,INSUMOS_AUX!$A$3:$H$813,6,0),0)</f>
        <v>1.43</v>
      </c>
      <c r="G2901" s="149" t="n">
        <f aca="false">IF(C2901="M.O.",VLOOKUP(A2901,INSUMOS_AUX!A:F,6,0),0)</f>
        <v>0</v>
      </c>
    </row>
    <row r="2902" customFormat="false" ht="21" hidden="false" customHeight="false" outlineLevel="0" collapsed="false">
      <c r="A2902" s="154" t="n">
        <v>43465</v>
      </c>
      <c r="B2902" s="155" t="s">
        <v>1458</v>
      </c>
      <c r="C2902" s="148" t="str">
        <f aca="false">VLOOKUP($A2902,INSUMOS_AUX!$A$3:$H$813,3,0)</f>
        <v>MAT.</v>
      </c>
      <c r="D2902" s="156" t="s">
        <v>1444</v>
      </c>
      <c r="E2902" s="154" t="n">
        <v>0.3468</v>
      </c>
      <c r="F2902" s="149" t="n">
        <f aca="false">IF(C2902="MAT.",VLOOKUP(A2902,INSUMOS_AUX!$A$3:$H$813,6,0),0)</f>
        <v>0.78</v>
      </c>
      <c r="G2902" s="149" t="n">
        <f aca="false">IF(C2902="M.O.",VLOOKUP(A2902,INSUMOS_AUX!A:F,6,0),0)</f>
        <v>0</v>
      </c>
    </row>
    <row r="2903" customFormat="false" ht="21" hidden="false" customHeight="false" outlineLevel="0" collapsed="false">
      <c r="A2903" s="154" t="n">
        <v>43467</v>
      </c>
      <c r="B2903" s="155" t="s">
        <v>1459</v>
      </c>
      <c r="C2903" s="148" t="str">
        <f aca="false">VLOOKUP($A2903,INSUMOS_AUX!$A$3:$H$813,3,0)</f>
        <v>MAT.</v>
      </c>
      <c r="D2903" s="156" t="s">
        <v>1444</v>
      </c>
      <c r="E2903" s="154" t="n">
        <v>0.38874</v>
      </c>
      <c r="F2903" s="149" t="n">
        <f aca="false">IF(C2903="MAT.",VLOOKUP(A2903,INSUMOS_AUX!$A$3:$H$813,6,0),0)</f>
        <v>0.61</v>
      </c>
      <c r="G2903" s="149" t="n">
        <f aca="false">IF(C2903="M.O.",VLOOKUP(A2903,INSUMOS_AUX!A:F,6,0),0)</f>
        <v>0</v>
      </c>
    </row>
    <row r="2904" customFormat="false" ht="21" hidden="false" customHeight="false" outlineLevel="0" collapsed="false">
      <c r="A2904" s="154" t="n">
        <v>37373</v>
      </c>
      <c r="B2904" s="155" t="s">
        <v>1448</v>
      </c>
      <c r="C2904" s="148" t="s">
        <v>59</v>
      </c>
      <c r="D2904" s="156" t="s">
        <v>1444</v>
      </c>
      <c r="E2904" s="154" t="n">
        <v>0.73554</v>
      </c>
      <c r="F2904" s="149" t="n">
        <f aca="false">IF(C2904="MAT.",VLOOKUP(A2904,INSUMOS_AUX!$A$3:$H$813,6,0),0)</f>
        <v>0</v>
      </c>
      <c r="G2904" s="149" t="n">
        <f aca="false">IF(C2904="M.O.",VLOOKUP(A2904,INSUMOS_AUX!A:F,6,0),0)</f>
        <v>0</v>
      </c>
    </row>
    <row r="2905" customFormat="false" ht="21" hidden="false" customHeight="false" outlineLevel="0" collapsed="false">
      <c r="A2905" s="154" t="n">
        <v>37371</v>
      </c>
      <c r="B2905" s="155" t="s">
        <v>1449</v>
      </c>
      <c r="C2905" s="148" t="str">
        <f aca="false">VLOOKUP($A2905,INSUMOS_AUX!$A$3:$H$813,3,0)</f>
        <v>MAT.</v>
      </c>
      <c r="D2905" s="156" t="s">
        <v>1444</v>
      </c>
      <c r="E2905" s="154" t="n">
        <v>0.73554</v>
      </c>
      <c r="F2905" s="149" t="n">
        <f aca="false">IF(C2905="MAT.",VLOOKUP(A2905,INSUMOS_AUX!$A$3:$H$813,6,0),0)</f>
        <v>0.59</v>
      </c>
      <c r="G2905" s="149" t="n">
        <f aca="false">IF(C2905="M.O.",VLOOKUP(A2905,INSUMOS_AUX!A:F,6,0),0)</f>
        <v>0</v>
      </c>
    </row>
    <row r="2906" customFormat="false" ht="21" hidden="false" customHeight="false" outlineLevel="0" collapsed="false">
      <c r="A2906" s="154" t="n">
        <v>370</v>
      </c>
      <c r="B2906" s="155" t="s">
        <v>1527</v>
      </c>
      <c r="C2906" s="148" t="str">
        <f aca="false">VLOOKUP($A2906,INSUMOS_AUX!$A$3:$H$813,3,0)</f>
        <v>MAT.</v>
      </c>
      <c r="D2906" s="156" t="s">
        <v>1442</v>
      </c>
      <c r="E2906" s="154" t="n">
        <v>0.022116</v>
      </c>
      <c r="F2906" s="149" t="n">
        <f aca="false">IF(C2906="MAT.",VLOOKUP(A2906,INSUMOS_AUX!$A$3:$H$813,6,0),0)</f>
        <v>150</v>
      </c>
      <c r="G2906" s="149" t="n">
        <f aca="false">IF(C2906="M.O.",VLOOKUP(A2906,INSUMOS_AUX!A:F,6,0),0)</f>
        <v>0</v>
      </c>
    </row>
    <row r="2907" customFormat="false" ht="15" hidden="false" customHeight="false" outlineLevel="0" collapsed="false">
      <c r="A2907" s="154" t="n">
        <v>1106</v>
      </c>
      <c r="B2907" s="155" t="s">
        <v>1745</v>
      </c>
      <c r="C2907" s="148" t="str">
        <f aca="false">VLOOKUP($A2907,INSUMOS_AUX!$A$3:$H$813,3,0)</f>
        <v>MAT.</v>
      </c>
      <c r="D2907" s="156" t="s">
        <v>1513</v>
      </c>
      <c r="E2907" s="154" t="n">
        <v>3.319922</v>
      </c>
      <c r="F2907" s="149" t="n">
        <f aca="false">IF(C2907="MAT.",VLOOKUP(A2907,INSUMOS_AUX!$A$3:$H$813,6,0),0)</f>
        <v>1.39</v>
      </c>
      <c r="G2907" s="149" t="n">
        <f aca="false">IF(C2907="M.O.",VLOOKUP(A2907,INSUMOS_AUX!A:F,6,0),0)</f>
        <v>0</v>
      </c>
    </row>
    <row r="2908" customFormat="false" ht="15" hidden="false" customHeight="false" outlineLevel="0" collapsed="false">
      <c r="A2908" s="154" t="n">
        <v>1379</v>
      </c>
      <c r="B2908" s="155" t="s">
        <v>1535</v>
      </c>
      <c r="C2908" s="148" t="str">
        <f aca="false">VLOOKUP($A2908,INSUMOS_AUX!$A$3:$H$813,3,0)</f>
        <v>MAT.</v>
      </c>
      <c r="D2908" s="156" t="s">
        <v>1513</v>
      </c>
      <c r="E2908" s="154" t="n">
        <v>3.734888</v>
      </c>
      <c r="F2908" s="149" t="n">
        <f aca="false">IF(C2908="MAT.",VLOOKUP(A2908,INSUMOS_AUX!$A$3:$H$813,6,0),0)</f>
        <v>0.72</v>
      </c>
      <c r="G2908" s="149" t="n">
        <f aca="false">IF(C2908="M.O.",VLOOKUP(A2908,INSUMOS_AUX!A:F,6,0),0)</f>
        <v>0</v>
      </c>
    </row>
    <row r="2909" customFormat="false" ht="15" hidden="false" customHeight="false" outlineLevel="0" collapsed="false">
      <c r="A2909" s="154" t="n">
        <v>4750</v>
      </c>
      <c r="B2909" s="155" t="s">
        <v>1463</v>
      </c>
      <c r="C2909" s="148" t="str">
        <f aca="false">VLOOKUP($A2909,INSUMOS_AUX!$A$3:$H$813,3,0)</f>
        <v>M.O.</v>
      </c>
      <c r="D2909" s="156" t="s">
        <v>1444</v>
      </c>
      <c r="E2909" s="154" t="n">
        <v>0.35415216</v>
      </c>
      <c r="F2909" s="149" t="n">
        <f aca="false">IF(C2909="MAT.",VLOOKUP(A2909,INSUMOS_AUX!$A$3:$H$813,6,0),0)</f>
        <v>0</v>
      </c>
      <c r="G2909" s="149" t="n">
        <f aca="false">IF(C2909="M.O.",VLOOKUP(A2909,INSUMOS_AUX!A:F,6,0),0)</f>
        <v>20.22</v>
      </c>
    </row>
    <row r="2910" customFormat="false" ht="15" hidden="false" customHeight="false" outlineLevel="0" collapsed="false">
      <c r="A2910" s="154" t="n">
        <v>6111</v>
      </c>
      <c r="B2910" s="155" t="s">
        <v>1464</v>
      </c>
      <c r="C2910" s="148" t="str">
        <f aca="false">VLOOKUP($A2910,INSUMOS_AUX!$A$3:$H$813,3,0)</f>
        <v>M.O.</v>
      </c>
      <c r="D2910" s="156" t="s">
        <v>1444</v>
      </c>
      <c r="E2910" s="154" t="n">
        <v>0.396981288</v>
      </c>
      <c r="F2910" s="149" t="n">
        <f aca="false">IF(C2910="MAT.",VLOOKUP(A2910,INSUMOS_AUX!$A$3:$H$813,6,0),0)</f>
        <v>0</v>
      </c>
      <c r="G2910" s="149" t="n">
        <f aca="false">IF(C2910="M.O.",VLOOKUP(A2910,INSUMOS_AUX!A:F,6,0),0)</f>
        <v>12.95</v>
      </c>
    </row>
    <row r="2911" customFormat="false" ht="31.5" hidden="false" customHeight="false" outlineLevel="0" collapsed="false">
      <c r="A2911" s="150" t="n">
        <v>87548</v>
      </c>
      <c r="B2911" s="151" t="s">
        <v>1964</v>
      </c>
      <c r="C2911" s="152" t="s">
        <v>59</v>
      </c>
      <c r="D2911" s="152" t="s">
        <v>1477</v>
      </c>
      <c r="E2911" s="150"/>
      <c r="F2911" s="153" t="n">
        <f aca="false">(SUMPRODUCT($E2912:$E2924,F2912:F2924))*1</f>
        <v>15.34931554</v>
      </c>
      <c r="G2911" s="153" t="n">
        <f aca="false">(SUMPRODUCT($E2912:$E2924,G2912:G2924))*1</f>
        <v>13.1762791092</v>
      </c>
    </row>
    <row r="2912" customFormat="false" ht="21" hidden="false" customHeight="false" outlineLevel="0" collapsed="false">
      <c r="A2912" s="154" t="n">
        <v>37370</v>
      </c>
      <c r="B2912" s="155" t="s">
        <v>1443</v>
      </c>
      <c r="C2912" s="148" t="str">
        <f aca="false">VLOOKUP($A2912,INSUMOS_AUX!$A$3:$H$813,3,0)</f>
        <v>MAT.</v>
      </c>
      <c r="D2912" s="156" t="s">
        <v>1444</v>
      </c>
      <c r="E2912" s="154" t="n">
        <v>0.78364</v>
      </c>
      <c r="F2912" s="149" t="n">
        <f aca="false">IF(C2912="MAT.",VLOOKUP(A2912,INSUMOS_AUX!$A$3:$H$813,6,0),0)</f>
        <v>3.32</v>
      </c>
      <c r="G2912" s="149" t="n">
        <f aca="false">IF(C2912="M.O.",VLOOKUP(A2912,INSUMOS_AUX!A:F,6,0),0)</f>
        <v>0</v>
      </c>
    </row>
    <row r="2913" customFormat="false" ht="21" hidden="false" customHeight="false" outlineLevel="0" collapsed="false">
      <c r="A2913" s="154" t="n">
        <v>43489</v>
      </c>
      <c r="B2913" s="155" t="s">
        <v>1456</v>
      </c>
      <c r="C2913" s="148" t="str">
        <f aca="false">VLOOKUP($A2913,INSUMOS_AUX!$A$3:$H$813,3,0)</f>
        <v>MAT.</v>
      </c>
      <c r="D2913" s="156" t="s">
        <v>1444</v>
      </c>
      <c r="E2913" s="154" t="n">
        <v>0.3789</v>
      </c>
      <c r="F2913" s="149" t="n">
        <f aca="false">IF(C2913="MAT.",VLOOKUP(A2913,INSUMOS_AUX!$A$3:$H$813,6,0),0)</f>
        <v>1.31</v>
      </c>
      <c r="G2913" s="149" t="n">
        <f aca="false">IF(C2913="M.O.",VLOOKUP(A2913,INSUMOS_AUX!A:F,6,0),0)</f>
        <v>0</v>
      </c>
    </row>
    <row r="2914" customFormat="false" ht="21" hidden="false" customHeight="false" outlineLevel="0" collapsed="false">
      <c r="A2914" s="154" t="n">
        <v>43491</v>
      </c>
      <c r="B2914" s="155" t="s">
        <v>1457</v>
      </c>
      <c r="C2914" s="148" t="str">
        <f aca="false">VLOOKUP($A2914,INSUMOS_AUX!$A$3:$H$813,3,0)</f>
        <v>MAT.</v>
      </c>
      <c r="D2914" s="156" t="s">
        <v>1444</v>
      </c>
      <c r="E2914" s="154" t="n">
        <v>0.40474</v>
      </c>
      <c r="F2914" s="149" t="n">
        <f aca="false">IF(C2914="MAT.",VLOOKUP(A2914,INSUMOS_AUX!$A$3:$H$813,6,0),0)</f>
        <v>1.39</v>
      </c>
      <c r="G2914" s="149" t="n">
        <f aca="false">IF(C2914="M.O.",VLOOKUP(A2914,INSUMOS_AUX!A:F,6,0),0)</f>
        <v>0</v>
      </c>
    </row>
    <row r="2915" customFormat="false" ht="21" hidden="false" customHeight="false" outlineLevel="0" collapsed="false">
      <c r="A2915" s="154" t="n">
        <v>37372</v>
      </c>
      <c r="B2915" s="155" t="s">
        <v>1446</v>
      </c>
      <c r="C2915" s="148" t="s">
        <v>59</v>
      </c>
      <c r="D2915" s="156" t="s">
        <v>1444</v>
      </c>
      <c r="E2915" s="154" t="n">
        <v>0.78364</v>
      </c>
      <c r="F2915" s="149" t="n">
        <f aca="false">IF(C2915="MAT.",VLOOKUP(A2915,INSUMOS_AUX!$A$3:$H$813,6,0),0)</f>
        <v>0</v>
      </c>
      <c r="G2915" s="149" t="n">
        <f aca="false">IF(C2915="M.O.",VLOOKUP(A2915,INSUMOS_AUX!A:F,6,0),0)</f>
        <v>0</v>
      </c>
    </row>
    <row r="2916" customFormat="false" ht="21" hidden="false" customHeight="false" outlineLevel="0" collapsed="false">
      <c r="A2916" s="154" t="n">
        <v>43465</v>
      </c>
      <c r="B2916" s="155" t="s">
        <v>1458</v>
      </c>
      <c r="C2916" s="148" t="str">
        <f aca="false">VLOOKUP($A2916,INSUMOS_AUX!$A$3:$H$813,3,0)</f>
        <v>MAT.</v>
      </c>
      <c r="D2916" s="156" t="s">
        <v>1444</v>
      </c>
      <c r="E2916" s="154" t="n">
        <v>0.3789</v>
      </c>
      <c r="F2916" s="149" t="n">
        <f aca="false">IF(C2916="MAT.",VLOOKUP(A2916,INSUMOS_AUX!$A$3:$H$813,6,0),0)</f>
        <v>0.78</v>
      </c>
      <c r="G2916" s="149" t="n">
        <f aca="false">IF(C2916="M.O.",VLOOKUP(A2916,INSUMOS_AUX!A:F,6,0),0)</f>
        <v>0</v>
      </c>
    </row>
    <row r="2917" customFormat="false" ht="21" hidden="false" customHeight="false" outlineLevel="0" collapsed="false">
      <c r="A2917" s="154" t="n">
        <v>43467</v>
      </c>
      <c r="B2917" s="155" t="s">
        <v>1459</v>
      </c>
      <c r="C2917" s="148" t="str">
        <f aca="false">VLOOKUP($A2917,INSUMOS_AUX!$A$3:$H$813,3,0)</f>
        <v>MAT.</v>
      </c>
      <c r="D2917" s="156" t="s">
        <v>1444</v>
      </c>
      <c r="E2917" s="154" t="n">
        <v>0.40474</v>
      </c>
      <c r="F2917" s="149" t="n">
        <f aca="false">IF(C2917="MAT.",VLOOKUP(A2917,INSUMOS_AUX!$A$3:$H$813,6,0),0)</f>
        <v>0.61</v>
      </c>
      <c r="G2917" s="149" t="n">
        <f aca="false">IF(C2917="M.O.",VLOOKUP(A2917,INSUMOS_AUX!A:F,6,0),0)</f>
        <v>0</v>
      </c>
    </row>
    <row r="2918" customFormat="false" ht="21" hidden="false" customHeight="false" outlineLevel="0" collapsed="false">
      <c r="A2918" s="154" t="n">
        <v>37373</v>
      </c>
      <c r="B2918" s="155" t="s">
        <v>1448</v>
      </c>
      <c r="C2918" s="148" t="str">
        <f aca="false">VLOOKUP($A2918,INSUMOS_AUX!$A$3:$H$813,3,0)</f>
        <v>MAT.</v>
      </c>
      <c r="D2918" s="156" t="s">
        <v>1444</v>
      </c>
      <c r="E2918" s="154" t="n">
        <v>0.78364</v>
      </c>
      <c r="F2918" s="149" t="n">
        <f aca="false">IF(C2918="MAT.",VLOOKUP(A2918,INSUMOS_AUX!$A$3:$H$813,6,0),0)</f>
        <v>0.08</v>
      </c>
      <c r="G2918" s="149" t="n">
        <f aca="false">IF(C2918="M.O.",VLOOKUP(A2918,INSUMOS_AUX!A:F,6,0),0)</f>
        <v>0</v>
      </c>
    </row>
    <row r="2919" customFormat="false" ht="21" hidden="false" customHeight="false" outlineLevel="0" collapsed="false">
      <c r="A2919" s="154" t="n">
        <v>37371</v>
      </c>
      <c r="B2919" s="155" t="s">
        <v>1449</v>
      </c>
      <c r="C2919" s="148" t="str">
        <f aca="false">VLOOKUP($A2919,INSUMOS_AUX!$A$3:$H$813,3,0)</f>
        <v>MAT.</v>
      </c>
      <c r="D2919" s="156" t="s">
        <v>1444</v>
      </c>
      <c r="E2919" s="154" t="n">
        <v>0.78364</v>
      </c>
      <c r="F2919" s="149" t="n">
        <f aca="false">IF(C2919="MAT.",VLOOKUP(A2919,INSUMOS_AUX!$A$3:$H$813,6,0),0)</f>
        <v>0.59</v>
      </c>
      <c r="G2919" s="149" t="n">
        <f aca="false">IF(C2919="M.O.",VLOOKUP(A2919,INSUMOS_AUX!A:F,6,0),0)</f>
        <v>0</v>
      </c>
    </row>
    <row r="2920" customFormat="false" ht="21" hidden="false" customHeight="false" outlineLevel="0" collapsed="false">
      <c r="A2920" s="154" t="n">
        <v>370</v>
      </c>
      <c r="B2920" s="155" t="s">
        <v>1527</v>
      </c>
      <c r="C2920" s="148" t="str">
        <f aca="false">VLOOKUP($A2920,INSUMOS_AUX!$A$3:$H$813,3,0)</f>
        <v>MAT.</v>
      </c>
      <c r="D2920" s="156" t="s">
        <v>1442</v>
      </c>
      <c r="E2920" s="154" t="n">
        <v>0.022116</v>
      </c>
      <c r="F2920" s="149" t="n">
        <f aca="false">IF(C2920="MAT.",VLOOKUP(A2920,INSUMOS_AUX!$A$3:$H$813,6,0),0)</f>
        <v>150</v>
      </c>
      <c r="G2920" s="149" t="n">
        <f aca="false">IF(C2920="M.O.",VLOOKUP(A2920,INSUMOS_AUX!A:F,6,0),0)</f>
        <v>0</v>
      </c>
    </row>
    <row r="2921" customFormat="false" ht="15" hidden="false" customHeight="false" outlineLevel="0" collapsed="false">
      <c r="A2921" s="154" t="n">
        <v>1106</v>
      </c>
      <c r="B2921" s="155" t="s">
        <v>1745</v>
      </c>
      <c r="C2921" s="148" t="str">
        <f aca="false">VLOOKUP($A2921,INSUMOS_AUX!$A$3:$H$813,3,0)</f>
        <v>MAT.</v>
      </c>
      <c r="D2921" s="156" t="s">
        <v>1513</v>
      </c>
      <c r="E2921" s="154" t="n">
        <v>3.319922</v>
      </c>
      <c r="F2921" s="149" t="n">
        <f aca="false">IF(C2921="MAT.",VLOOKUP(A2921,INSUMOS_AUX!$A$3:$H$813,6,0),0)</f>
        <v>1.39</v>
      </c>
      <c r="G2921" s="149" t="n">
        <f aca="false">IF(C2921="M.O.",VLOOKUP(A2921,INSUMOS_AUX!A:F,6,0),0)</f>
        <v>0</v>
      </c>
    </row>
    <row r="2922" customFormat="false" ht="15" hidden="false" customHeight="false" outlineLevel="0" collapsed="false">
      <c r="A2922" s="154" t="n">
        <v>1379</v>
      </c>
      <c r="B2922" s="155" t="s">
        <v>1535</v>
      </c>
      <c r="C2922" s="148" t="str">
        <f aca="false">VLOOKUP($A2922,INSUMOS_AUX!$A$3:$H$813,3,0)</f>
        <v>MAT.</v>
      </c>
      <c r="D2922" s="156" t="s">
        <v>1513</v>
      </c>
      <c r="E2922" s="154" t="n">
        <v>3.734888</v>
      </c>
      <c r="F2922" s="149" t="n">
        <f aca="false">IF(C2922="MAT.",VLOOKUP(A2922,INSUMOS_AUX!$A$3:$H$813,6,0),0)</f>
        <v>0.72</v>
      </c>
      <c r="G2922" s="149" t="n">
        <f aca="false">IF(C2922="M.O.",VLOOKUP(A2922,INSUMOS_AUX!A:F,6,0),0)</f>
        <v>0</v>
      </c>
    </row>
    <row r="2923" customFormat="false" ht="15" hidden="false" customHeight="false" outlineLevel="0" collapsed="false">
      <c r="A2923" s="154" t="n">
        <v>4750</v>
      </c>
      <c r="B2923" s="155" t="s">
        <v>1463</v>
      </c>
      <c r="C2923" s="148" t="str">
        <f aca="false">VLOOKUP($A2923,INSUMOS_AUX!$A$3:$H$813,3,0)</f>
        <v>M.O.</v>
      </c>
      <c r="D2923" s="156" t="s">
        <v>1444</v>
      </c>
      <c r="E2923" s="154" t="n">
        <v>0.38693268</v>
      </c>
      <c r="F2923" s="149" t="n">
        <f aca="false">IF(C2923="MAT.",VLOOKUP(A2923,INSUMOS_AUX!$A$3:$H$813,6,0),0)</f>
        <v>0</v>
      </c>
      <c r="G2923" s="149" t="n">
        <f aca="false">IF(C2923="M.O.",VLOOKUP(A2923,INSUMOS_AUX!A:F,6,0),0)</f>
        <v>20.22</v>
      </c>
    </row>
    <row r="2924" customFormat="false" ht="15" hidden="false" customHeight="false" outlineLevel="0" collapsed="false">
      <c r="A2924" s="154" t="n">
        <v>6111</v>
      </c>
      <c r="B2924" s="155" t="s">
        <v>1464</v>
      </c>
      <c r="C2924" s="148" t="str">
        <f aca="false">VLOOKUP($A2924,INSUMOS_AUX!$A$3:$H$813,3,0)</f>
        <v>M.O.</v>
      </c>
      <c r="D2924" s="156" t="s">
        <v>1444</v>
      </c>
      <c r="E2924" s="154" t="n">
        <v>0.413320488</v>
      </c>
      <c r="F2924" s="149" t="n">
        <f aca="false">IF(C2924="MAT.",VLOOKUP(A2924,INSUMOS_AUX!$A$3:$H$813,6,0),0)</f>
        <v>0</v>
      </c>
      <c r="G2924" s="149" t="n">
        <f aca="false">IF(C2924="M.O.",VLOOKUP(A2924,INSUMOS_AUX!A:F,6,0),0)</f>
        <v>12.95</v>
      </c>
    </row>
    <row r="2925" customFormat="false" ht="21" hidden="false" customHeight="false" outlineLevel="0" collapsed="false">
      <c r="A2925" s="150" t="s">
        <v>558</v>
      </c>
      <c r="B2925" s="151" t="s">
        <v>1965</v>
      </c>
      <c r="C2925" s="152" t="s">
        <v>59</v>
      </c>
      <c r="D2925" s="152" t="s">
        <v>1477</v>
      </c>
      <c r="E2925" s="150"/>
      <c r="F2925" s="153" t="n">
        <f aca="false">(SUMPRODUCT($E2926:$E2937,F2926:F2937))*1</f>
        <v>9.431286</v>
      </c>
      <c r="G2925" s="153" t="n">
        <f aca="false">(SUMPRODUCT($E2926:$E2937,G2926:G2937))*1</f>
        <v>8.9980716012</v>
      </c>
    </row>
    <row r="2926" customFormat="false" ht="21" hidden="false" customHeight="false" outlineLevel="0" collapsed="false">
      <c r="A2926" s="154" t="n">
        <v>37370</v>
      </c>
      <c r="B2926" s="155" t="s">
        <v>1443</v>
      </c>
      <c r="C2926" s="148" t="str">
        <f aca="false">VLOOKUP($A2926,INSUMOS_AUX!$A$3:$H$813,3,0)</f>
        <v>MAT.</v>
      </c>
      <c r="D2926" s="156" t="s">
        <v>1444</v>
      </c>
      <c r="E2926" s="154" t="n">
        <v>0.4813</v>
      </c>
      <c r="F2926" s="149" t="n">
        <f aca="false">IF(C2926="MAT.",VLOOKUP(A2926,INSUMOS_AUX!$A$3:$H$813,6,0),0)</f>
        <v>3.32</v>
      </c>
      <c r="G2926" s="149" t="n">
        <f aca="false">IF(C2926="M.O.",VLOOKUP(A2926,INSUMOS_AUX!A:F,6,0),0)</f>
        <v>0</v>
      </c>
    </row>
    <row r="2927" customFormat="false" ht="21" hidden="false" customHeight="false" outlineLevel="0" collapsed="false">
      <c r="A2927" s="154" t="n">
        <v>43490</v>
      </c>
      <c r="B2927" s="155" t="s">
        <v>1508</v>
      </c>
      <c r="C2927" s="148" t="str">
        <f aca="false">VLOOKUP($A2927,INSUMOS_AUX!$A$3:$H$813,3,0)</f>
        <v>MAT.</v>
      </c>
      <c r="D2927" s="156" t="s">
        <v>1444</v>
      </c>
      <c r="E2927" s="154" t="n">
        <v>0.361</v>
      </c>
      <c r="F2927" s="149" t="n">
        <f aca="false">IF(C2927="MAT.",VLOOKUP(A2927,INSUMOS_AUX!$A$3:$H$813,6,0),0)</f>
        <v>1.85</v>
      </c>
      <c r="G2927" s="149" t="n">
        <f aca="false">IF(C2927="M.O.",VLOOKUP(A2927,INSUMOS_AUX!A:F,6,0),0)</f>
        <v>0</v>
      </c>
    </row>
    <row r="2928" customFormat="false" ht="21" hidden="false" customHeight="false" outlineLevel="0" collapsed="false">
      <c r="A2928" s="154" t="n">
        <v>43491</v>
      </c>
      <c r="B2928" s="155" t="s">
        <v>1457</v>
      </c>
      <c r="C2928" s="148" t="str">
        <f aca="false">VLOOKUP($A2928,INSUMOS_AUX!$A$3:$H$813,3,0)</f>
        <v>MAT.</v>
      </c>
      <c r="D2928" s="156" t="s">
        <v>1444</v>
      </c>
      <c r="E2928" s="154" t="n">
        <v>0.1203</v>
      </c>
      <c r="F2928" s="149" t="n">
        <f aca="false">IF(C2928="MAT.",VLOOKUP(A2928,INSUMOS_AUX!$A$3:$H$813,6,0),0)</f>
        <v>1.39</v>
      </c>
      <c r="G2928" s="149" t="n">
        <f aca="false">IF(C2928="M.O.",VLOOKUP(A2928,INSUMOS_AUX!A:F,6,0),0)</f>
        <v>0</v>
      </c>
    </row>
    <row r="2929" customFormat="false" ht="21" hidden="false" customHeight="false" outlineLevel="0" collapsed="false">
      <c r="A2929" s="154" t="n">
        <v>37372</v>
      </c>
      <c r="B2929" s="155" t="s">
        <v>1446</v>
      </c>
      <c r="C2929" s="148" t="s">
        <v>59</v>
      </c>
      <c r="D2929" s="156" t="s">
        <v>1444</v>
      </c>
      <c r="E2929" s="154" t="n">
        <v>0.4813</v>
      </c>
      <c r="F2929" s="149" t="n">
        <f aca="false">IF(C2929="MAT.",VLOOKUP(A2929,INSUMOS_AUX!$A$3:$H$813,6,0),0)</f>
        <v>0</v>
      </c>
      <c r="G2929" s="149" t="n">
        <f aca="false">IF(C2929="M.O.",VLOOKUP(A2929,INSUMOS_AUX!A:F,6,0),0)</f>
        <v>0</v>
      </c>
    </row>
    <row r="2930" customFormat="false" ht="21" hidden="false" customHeight="false" outlineLevel="0" collapsed="false">
      <c r="A2930" s="154" t="n">
        <v>43466</v>
      </c>
      <c r="B2930" s="155" t="s">
        <v>1509</v>
      </c>
      <c r="C2930" s="148" t="str">
        <f aca="false">VLOOKUP($A2930,INSUMOS_AUX!$A$3:$H$813,3,0)</f>
        <v>MAT.</v>
      </c>
      <c r="D2930" s="156" t="s">
        <v>1444</v>
      </c>
      <c r="E2930" s="154" t="n">
        <v>0.361</v>
      </c>
      <c r="F2930" s="149" t="n">
        <f aca="false">IF(C2930="MAT.",VLOOKUP(A2930,INSUMOS_AUX!$A$3:$H$813,6,0),0)</f>
        <v>2.05</v>
      </c>
      <c r="G2930" s="149" t="n">
        <f aca="false">IF(C2930="M.O.",VLOOKUP(A2930,INSUMOS_AUX!A:F,6,0),0)</f>
        <v>0</v>
      </c>
    </row>
    <row r="2931" customFormat="false" ht="21" hidden="false" customHeight="false" outlineLevel="0" collapsed="false">
      <c r="A2931" s="154" t="n">
        <v>43467</v>
      </c>
      <c r="B2931" s="155" t="s">
        <v>1459</v>
      </c>
      <c r="C2931" s="148" t="str">
        <f aca="false">VLOOKUP($A2931,INSUMOS_AUX!$A$3:$H$813,3,0)</f>
        <v>MAT.</v>
      </c>
      <c r="D2931" s="156" t="s">
        <v>1444</v>
      </c>
      <c r="E2931" s="154" t="n">
        <v>0.1203</v>
      </c>
      <c r="F2931" s="149" t="n">
        <f aca="false">IF(C2931="MAT.",VLOOKUP(A2931,INSUMOS_AUX!$A$3:$H$813,6,0),0)</f>
        <v>0.61</v>
      </c>
      <c r="G2931" s="149" t="n">
        <f aca="false">IF(C2931="M.O.",VLOOKUP(A2931,INSUMOS_AUX!A:F,6,0),0)</f>
        <v>0</v>
      </c>
    </row>
    <row r="2932" customFormat="false" ht="21" hidden="false" customHeight="false" outlineLevel="0" collapsed="false">
      <c r="A2932" s="154" t="n">
        <v>37373</v>
      </c>
      <c r="B2932" s="155" t="s">
        <v>1448</v>
      </c>
      <c r="C2932" s="148" t="str">
        <f aca="false">VLOOKUP($A2932,INSUMOS_AUX!$A$3:$H$813,3,0)</f>
        <v>MAT.</v>
      </c>
      <c r="D2932" s="156" t="s">
        <v>1444</v>
      </c>
      <c r="E2932" s="154" t="n">
        <v>0.4813</v>
      </c>
      <c r="F2932" s="149" t="n">
        <f aca="false">IF(C2932="MAT.",VLOOKUP(A2932,INSUMOS_AUX!$A$3:$H$813,6,0),0)</f>
        <v>0.08</v>
      </c>
      <c r="G2932" s="149" t="n">
        <f aca="false">IF(C2932="M.O.",VLOOKUP(A2932,INSUMOS_AUX!A:F,6,0),0)</f>
        <v>0</v>
      </c>
    </row>
    <row r="2933" customFormat="false" ht="21" hidden="false" customHeight="false" outlineLevel="0" collapsed="false">
      <c r="A2933" s="154" t="n">
        <v>37371</v>
      </c>
      <c r="B2933" s="155" t="s">
        <v>1449</v>
      </c>
      <c r="C2933" s="148" t="str">
        <f aca="false">VLOOKUP($A2933,INSUMOS_AUX!$A$3:$H$813,3,0)</f>
        <v>MAT.</v>
      </c>
      <c r="D2933" s="156" t="s">
        <v>1444</v>
      </c>
      <c r="E2933" s="154" t="n">
        <v>0.4813</v>
      </c>
      <c r="F2933" s="149" t="n">
        <f aca="false">IF(C2933="MAT.",VLOOKUP(A2933,INSUMOS_AUX!$A$3:$H$813,6,0),0)</f>
        <v>0.59</v>
      </c>
      <c r="G2933" s="149" t="n">
        <f aca="false">IF(C2933="M.O.",VLOOKUP(A2933,INSUMOS_AUX!A:F,6,0),0)</f>
        <v>0</v>
      </c>
    </row>
    <row r="2934" customFormat="false" ht="21" hidden="false" customHeight="false" outlineLevel="0" collapsed="false">
      <c r="A2934" s="154" t="n">
        <v>3767</v>
      </c>
      <c r="B2934" s="155" t="s">
        <v>1879</v>
      </c>
      <c r="C2934" s="148" t="str">
        <f aca="false">VLOOKUP($A2934,INSUMOS_AUX!$A$3:$H$813,3,0)</f>
        <v>MAT.</v>
      </c>
      <c r="D2934" s="156" t="s">
        <v>31</v>
      </c>
      <c r="E2934" s="154" t="n">
        <v>0.0802</v>
      </c>
      <c r="F2934" s="149" t="n">
        <f aca="false">IF(C2934="MAT.",VLOOKUP(A2934,INSUMOS_AUX!$A$3:$H$813,6,0),0)</f>
        <v>0.81</v>
      </c>
      <c r="G2934" s="149" t="n">
        <f aca="false">IF(C2934="M.O.",VLOOKUP(A2934,INSUMOS_AUX!A:F,6,0),0)</f>
        <v>0</v>
      </c>
    </row>
    <row r="2935" customFormat="false" ht="15" hidden="false" customHeight="false" outlineLevel="0" collapsed="false">
      <c r="A2935" s="154" t="n">
        <v>43651</v>
      </c>
      <c r="B2935" s="155" t="s">
        <v>1966</v>
      </c>
      <c r="C2935" s="148" t="str">
        <f aca="false">VLOOKUP($A2935,INSUMOS_AUX!$A$3:$H$813,3,0)</f>
        <v>MAT.</v>
      </c>
      <c r="D2935" s="156" t="s">
        <v>1513</v>
      </c>
      <c r="E2935" s="154" t="n">
        <v>1.3389</v>
      </c>
      <c r="F2935" s="149" t="n">
        <f aca="false">IF(C2935="MAT.",VLOOKUP(A2935,INSUMOS_AUX!$A$3:$H$813,6,0),0)</f>
        <v>4.33</v>
      </c>
      <c r="G2935" s="149" t="n">
        <f aca="false">IF(C2935="M.O.",VLOOKUP(A2935,INSUMOS_AUX!A:F,6,0),0)</f>
        <v>0</v>
      </c>
    </row>
    <row r="2936" customFormat="false" ht="15" hidden="false" customHeight="false" outlineLevel="0" collapsed="false">
      <c r="A2936" s="154" t="n">
        <v>4783</v>
      </c>
      <c r="B2936" s="155" t="s">
        <v>1517</v>
      </c>
      <c r="C2936" s="148" t="str">
        <f aca="false">VLOOKUP($A2936,INSUMOS_AUX!$A$3:$H$813,3,0)</f>
        <v>M.O.</v>
      </c>
      <c r="D2936" s="156" t="s">
        <v>1444</v>
      </c>
      <c r="E2936" s="154" t="n">
        <v>0.36632836</v>
      </c>
      <c r="F2936" s="149" t="n">
        <f aca="false">IF(C2936="MAT.",VLOOKUP(A2936,INSUMOS_AUX!$A$3:$H$813,6,0),0)</f>
        <v>0</v>
      </c>
      <c r="G2936" s="149" t="n">
        <f aca="false">IF(C2936="M.O.",VLOOKUP(A2936,INSUMOS_AUX!A:F,6,0),0)</f>
        <v>20.22</v>
      </c>
    </row>
    <row r="2937" customFormat="false" ht="15" hidden="false" customHeight="false" outlineLevel="0" collapsed="false">
      <c r="A2937" s="154" t="n">
        <v>6111</v>
      </c>
      <c r="B2937" s="155" t="s">
        <v>1464</v>
      </c>
      <c r="C2937" s="148" t="str">
        <f aca="false">VLOOKUP($A2937,INSUMOS_AUX!$A$3:$H$813,3,0)</f>
        <v>M.O.</v>
      </c>
      <c r="D2937" s="156" t="s">
        <v>1444</v>
      </c>
      <c r="E2937" s="154" t="n">
        <v>0.12285036</v>
      </c>
      <c r="F2937" s="149" t="n">
        <f aca="false">IF(C2937="MAT.",VLOOKUP(A2937,INSUMOS_AUX!$A$3:$H$813,6,0),0)</f>
        <v>0</v>
      </c>
      <c r="G2937" s="149" t="n">
        <f aca="false">IF(C2937="M.O.",VLOOKUP(A2937,INSUMOS_AUX!A:F,6,0),0)</f>
        <v>12.95</v>
      </c>
    </row>
    <row r="2938" customFormat="false" ht="31.5" hidden="false" customHeight="false" outlineLevel="0" collapsed="false">
      <c r="A2938" s="150" t="s">
        <v>561</v>
      </c>
      <c r="B2938" s="151" t="s">
        <v>1967</v>
      </c>
      <c r="C2938" s="152" t="s">
        <v>59</v>
      </c>
      <c r="D2938" s="152" t="s">
        <v>1477</v>
      </c>
      <c r="E2938" s="150"/>
      <c r="F2938" s="153" t="n">
        <f aca="false">(SUMPRODUCT($E2939:$E2951,F2939:F2951))*1</f>
        <v>71.440589</v>
      </c>
      <c r="G2938" s="153" t="n">
        <f aca="false">(SUMPRODUCT($E2939:$E2951,G2939:G2951))*1</f>
        <v>19.93632208428</v>
      </c>
    </row>
    <row r="2939" customFormat="false" ht="21" hidden="false" customHeight="false" outlineLevel="0" collapsed="false">
      <c r="A2939" s="154" t="n">
        <v>37370</v>
      </c>
      <c r="B2939" s="155" t="s">
        <v>1443</v>
      </c>
      <c r="C2939" s="148" t="str">
        <f aca="false">VLOOKUP($A2939,INSUMOS_AUX!$A$3:$H$813,3,0)</f>
        <v>MAT.</v>
      </c>
      <c r="D2939" s="156" t="s">
        <v>1444</v>
      </c>
      <c r="E2939" s="154" t="n">
        <v>1.0666</v>
      </c>
      <c r="F2939" s="149" t="n">
        <f aca="false">IF(C2939="MAT.",VLOOKUP(A2939,INSUMOS_AUX!$A$3:$H$813,6,0),0)</f>
        <v>3.32</v>
      </c>
      <c r="G2939" s="149" t="n">
        <f aca="false">IF(C2939="M.O.",VLOOKUP(A2939,INSUMOS_AUX!A:F,6,0),0)</f>
        <v>0</v>
      </c>
    </row>
    <row r="2940" customFormat="false" ht="21" hidden="false" customHeight="false" outlineLevel="0" collapsed="false">
      <c r="A2940" s="154" t="n">
        <v>43489</v>
      </c>
      <c r="B2940" s="155" t="s">
        <v>1456</v>
      </c>
      <c r="C2940" s="148" t="str">
        <f aca="false">VLOOKUP($A2940,INSUMOS_AUX!$A$3:$H$813,3,0)</f>
        <v>MAT.</v>
      </c>
      <c r="D2940" s="156" t="s">
        <v>1444</v>
      </c>
      <c r="E2940" s="154" t="n">
        <v>0.7407</v>
      </c>
      <c r="F2940" s="149" t="n">
        <f aca="false">IF(C2940="MAT.",VLOOKUP(A2940,INSUMOS_AUX!$A$3:$H$813,6,0),0)</f>
        <v>1.31</v>
      </c>
      <c r="G2940" s="149" t="n">
        <f aca="false">IF(C2940="M.O.",VLOOKUP(A2940,INSUMOS_AUX!A:F,6,0),0)</f>
        <v>0</v>
      </c>
    </row>
    <row r="2941" customFormat="false" ht="21" hidden="false" customHeight="false" outlineLevel="0" collapsed="false">
      <c r="A2941" s="154" t="n">
        <v>43491</v>
      </c>
      <c r="B2941" s="155" t="s">
        <v>1457</v>
      </c>
      <c r="C2941" s="148" t="str">
        <f aca="false">VLOOKUP($A2941,INSUMOS_AUX!$A$3:$H$813,3,0)</f>
        <v>MAT.</v>
      </c>
      <c r="D2941" s="156" t="s">
        <v>1444</v>
      </c>
      <c r="E2941" s="154" t="n">
        <v>0.3259</v>
      </c>
      <c r="F2941" s="149" t="n">
        <f aca="false">IF(C2941="MAT.",VLOOKUP(A2941,INSUMOS_AUX!$A$3:$H$813,6,0),0)</f>
        <v>1.39</v>
      </c>
      <c r="G2941" s="149" t="n">
        <f aca="false">IF(C2941="M.O.",VLOOKUP(A2941,INSUMOS_AUX!A:F,6,0),0)</f>
        <v>0</v>
      </c>
    </row>
    <row r="2942" customFormat="false" ht="21" hidden="false" customHeight="false" outlineLevel="0" collapsed="false">
      <c r="A2942" s="154" t="n">
        <v>37372</v>
      </c>
      <c r="B2942" s="155" t="s">
        <v>1446</v>
      </c>
      <c r="C2942" s="148" t="str">
        <f aca="false">VLOOKUP($A2942,INSUMOS_AUX!$A$3:$H$813,3,0)</f>
        <v>MAT.</v>
      </c>
      <c r="D2942" s="156" t="s">
        <v>1444</v>
      </c>
      <c r="E2942" s="154" t="n">
        <v>1.0666</v>
      </c>
      <c r="F2942" s="149" t="n">
        <f aca="false">IF(C2942="MAT.",VLOOKUP(A2942,INSUMOS_AUX!$A$3:$H$813,6,0),0)</f>
        <v>1.43</v>
      </c>
      <c r="G2942" s="149" t="n">
        <f aca="false">IF(C2942="M.O.",VLOOKUP(A2942,INSUMOS_AUX!A:F,6,0),0)</f>
        <v>0</v>
      </c>
    </row>
    <row r="2943" customFormat="false" ht="21" hidden="false" customHeight="false" outlineLevel="0" collapsed="false">
      <c r="A2943" s="154" t="n">
        <v>43465</v>
      </c>
      <c r="B2943" s="155" t="s">
        <v>1458</v>
      </c>
      <c r="C2943" s="148" t="str">
        <f aca="false">VLOOKUP($A2943,INSUMOS_AUX!$A$3:$H$813,3,0)</f>
        <v>MAT.</v>
      </c>
      <c r="D2943" s="156" t="s">
        <v>1444</v>
      </c>
      <c r="E2943" s="154" t="n">
        <v>0.7407</v>
      </c>
      <c r="F2943" s="149" t="n">
        <f aca="false">IF(C2943="MAT.",VLOOKUP(A2943,INSUMOS_AUX!$A$3:$H$813,6,0),0)</f>
        <v>0.78</v>
      </c>
      <c r="G2943" s="149" t="n">
        <f aca="false">IF(C2943="M.O.",VLOOKUP(A2943,INSUMOS_AUX!A:F,6,0),0)</f>
        <v>0</v>
      </c>
    </row>
    <row r="2944" customFormat="false" ht="21" hidden="false" customHeight="false" outlineLevel="0" collapsed="false">
      <c r="A2944" s="154" t="n">
        <v>43467</v>
      </c>
      <c r="B2944" s="155" t="s">
        <v>1459</v>
      </c>
      <c r="C2944" s="148" t="str">
        <f aca="false">VLOOKUP($A2944,INSUMOS_AUX!$A$3:$H$813,3,0)</f>
        <v>MAT.</v>
      </c>
      <c r="D2944" s="156" t="s">
        <v>1444</v>
      </c>
      <c r="E2944" s="154" t="n">
        <v>0.3259</v>
      </c>
      <c r="F2944" s="149" t="n">
        <f aca="false">IF(C2944="MAT.",VLOOKUP(A2944,INSUMOS_AUX!$A$3:$H$813,6,0),0)</f>
        <v>0.61</v>
      </c>
      <c r="G2944" s="149" t="n">
        <f aca="false">IF(C2944="M.O.",VLOOKUP(A2944,INSUMOS_AUX!A:F,6,0),0)</f>
        <v>0</v>
      </c>
    </row>
    <row r="2945" customFormat="false" ht="21" hidden="false" customHeight="false" outlineLevel="0" collapsed="false">
      <c r="A2945" s="154" t="n">
        <v>37373</v>
      </c>
      <c r="B2945" s="155" t="s">
        <v>1448</v>
      </c>
      <c r="C2945" s="148" t="str">
        <f aca="false">VLOOKUP($A2945,INSUMOS_AUX!$A$3:$H$813,3,0)</f>
        <v>MAT.</v>
      </c>
      <c r="D2945" s="156" t="s">
        <v>1444</v>
      </c>
      <c r="E2945" s="154" t="n">
        <v>1.0666</v>
      </c>
      <c r="F2945" s="149" t="n">
        <f aca="false">IF(C2945="MAT.",VLOOKUP(A2945,INSUMOS_AUX!$A$3:$H$813,6,0),0)</f>
        <v>0.08</v>
      </c>
      <c r="G2945" s="149" t="n">
        <f aca="false">IF(C2945="M.O.",VLOOKUP(A2945,INSUMOS_AUX!A:F,6,0),0)</f>
        <v>0</v>
      </c>
    </row>
    <row r="2946" customFormat="false" ht="21" hidden="false" customHeight="false" outlineLevel="0" collapsed="false">
      <c r="A2946" s="154" t="n">
        <v>37371</v>
      </c>
      <c r="B2946" s="155" t="s">
        <v>1449</v>
      </c>
      <c r="C2946" s="148" t="str">
        <f aca="false">VLOOKUP($A2946,INSUMOS_AUX!$A$3:$H$813,3,0)</f>
        <v>MAT.</v>
      </c>
      <c r="D2946" s="156" t="s">
        <v>1444</v>
      </c>
      <c r="E2946" s="154" t="n">
        <v>1.0666</v>
      </c>
      <c r="F2946" s="149" t="n">
        <f aca="false">IF(C2946="MAT.",VLOOKUP(A2946,INSUMOS_AUX!$A$3:$H$813,6,0),0)</f>
        <v>0.59</v>
      </c>
      <c r="G2946" s="149" t="n">
        <f aca="false">IF(C2946="M.O.",VLOOKUP(A2946,INSUMOS_AUX!A:F,6,0),0)</f>
        <v>0</v>
      </c>
    </row>
    <row r="2947" customFormat="false" ht="15" hidden="false" customHeight="false" outlineLevel="0" collapsed="false">
      <c r="A2947" s="154" t="n">
        <v>1381</v>
      </c>
      <c r="B2947" s="155" t="s">
        <v>1942</v>
      </c>
      <c r="C2947" s="148" t="str">
        <f aca="false">VLOOKUP($A2947,INSUMOS_AUX!$A$3:$H$813,3,0)</f>
        <v>MAT.</v>
      </c>
      <c r="D2947" s="156" t="s">
        <v>1513</v>
      </c>
      <c r="E2947" s="154" t="n">
        <v>6.85</v>
      </c>
      <c r="F2947" s="149" t="n">
        <f aca="false">IF(C2947="MAT.",VLOOKUP(A2947,INSUMOS_AUX!$A$3:$H$813,6,0),0)</f>
        <v>0.8</v>
      </c>
      <c r="G2947" s="149" t="n">
        <f aca="false">IF(C2947="M.O.",VLOOKUP(A2947,INSUMOS_AUX!A:F,6,0),0)</f>
        <v>0</v>
      </c>
    </row>
    <row r="2948" customFormat="false" ht="15" hidden="false" customHeight="false" outlineLevel="0" collapsed="false">
      <c r="A2948" s="154" t="n">
        <v>34357</v>
      </c>
      <c r="B2948" s="155" t="s">
        <v>1938</v>
      </c>
      <c r="C2948" s="148" t="str">
        <f aca="false">VLOOKUP($A2948,INSUMOS_AUX!$A$3:$H$813,3,0)</f>
        <v>MAT.</v>
      </c>
      <c r="D2948" s="156" t="s">
        <v>1513</v>
      </c>
      <c r="E2948" s="154" t="n">
        <v>0.141</v>
      </c>
      <c r="F2948" s="149" t="n">
        <f aca="false">IF(C2948="MAT.",VLOOKUP(A2948,INSUMOS_AUX!$A$3:$H$813,6,0),0)</f>
        <v>4.69</v>
      </c>
      <c r="G2948" s="149" t="n">
        <f aca="false">IF(C2948="M.O.",VLOOKUP(A2948,INSUMOS_AUX!A:F,6,0),0)</f>
        <v>0</v>
      </c>
    </row>
    <row r="2949" customFormat="false" ht="21" hidden="false" customHeight="false" outlineLevel="0" collapsed="false">
      <c r="A2949" s="154" t="n">
        <v>10515</v>
      </c>
      <c r="B2949" s="155" t="s">
        <v>1968</v>
      </c>
      <c r="C2949" s="148" t="str">
        <f aca="false">VLOOKUP($A2949,INSUMOS_AUX!$A$3:$H$813,3,0)</f>
        <v>MAT.</v>
      </c>
      <c r="D2949" s="156" t="s">
        <v>1477</v>
      </c>
      <c r="E2949" s="154" t="n">
        <v>1.0864</v>
      </c>
      <c r="F2949" s="149" t="n">
        <f aca="false">IF(C2949="MAT.",VLOOKUP(A2949,INSUMOS_AUX!$A$3:$H$813,6,0),0)</f>
        <v>52.76</v>
      </c>
      <c r="G2949" s="149" t="n">
        <f aca="false">IF(C2949="M.O.",VLOOKUP(A2949,INSUMOS_AUX!A:F,6,0),0)</f>
        <v>0</v>
      </c>
    </row>
    <row r="2950" customFormat="false" ht="15" hidden="false" customHeight="false" outlineLevel="0" collapsed="false">
      <c r="A2950" s="154" t="n">
        <v>4760</v>
      </c>
      <c r="B2950" s="155" t="s">
        <v>1939</v>
      </c>
      <c r="C2950" s="148" t="str">
        <f aca="false">VLOOKUP($A2950,INSUMOS_AUX!$A$3:$H$813,3,0)</f>
        <v>M.O.</v>
      </c>
      <c r="D2950" s="156" t="s">
        <v>1444</v>
      </c>
      <c r="E2950" s="154" t="n">
        <v>0.751632732</v>
      </c>
      <c r="F2950" s="149" t="n">
        <f aca="false">IF(C2950="MAT.",VLOOKUP(A2950,INSUMOS_AUX!$A$3:$H$813,6,0),0)</f>
        <v>0</v>
      </c>
      <c r="G2950" s="149" t="n">
        <f aca="false">IF(C2950="M.O.",VLOOKUP(A2950,INSUMOS_AUX!A:F,6,0),0)</f>
        <v>20.79</v>
      </c>
    </row>
    <row r="2951" customFormat="false" ht="15" hidden="false" customHeight="false" outlineLevel="0" collapsed="false">
      <c r="A2951" s="154" t="n">
        <v>6111</v>
      </c>
      <c r="B2951" s="155" t="s">
        <v>1464</v>
      </c>
      <c r="C2951" s="148" t="str">
        <f aca="false">VLOOKUP($A2951,INSUMOS_AUX!$A$3:$H$813,3,0)</f>
        <v>M.O.</v>
      </c>
      <c r="D2951" s="156" t="s">
        <v>1444</v>
      </c>
      <c r="E2951" s="154" t="n">
        <v>0.33280908</v>
      </c>
      <c r="F2951" s="149" t="n">
        <f aca="false">IF(C2951="MAT.",VLOOKUP(A2951,INSUMOS_AUX!$A$3:$H$813,6,0),0)</f>
        <v>0</v>
      </c>
      <c r="G2951" s="149" t="n">
        <f aca="false">IF(C2951="M.O.",VLOOKUP(A2951,INSUMOS_AUX!A:F,6,0),0)</f>
        <v>12.95</v>
      </c>
    </row>
    <row r="2952" customFormat="false" ht="31.5" hidden="false" customHeight="false" outlineLevel="0" collapsed="false">
      <c r="A2952" s="150" t="s">
        <v>563</v>
      </c>
      <c r="B2952" s="151" t="s">
        <v>1969</v>
      </c>
      <c r="C2952" s="152" t="s">
        <v>59</v>
      </c>
      <c r="D2952" s="152" t="s">
        <v>1477</v>
      </c>
      <c r="E2952" s="150"/>
      <c r="F2952" s="153" t="n">
        <f aca="false">(SUMPRODUCT($E2953:$E2965,F2953:F2965))*1</f>
        <v>42.9069</v>
      </c>
      <c r="G2952" s="153" t="n">
        <f aca="false">(SUMPRODUCT($E2953:$E2965,G2953:G2965))*1</f>
        <v>17.66029484352</v>
      </c>
    </row>
    <row r="2953" customFormat="false" ht="21" hidden="false" customHeight="false" outlineLevel="0" collapsed="false">
      <c r="A2953" s="154" t="n">
        <v>37370</v>
      </c>
      <c r="B2953" s="155" t="s">
        <v>1443</v>
      </c>
      <c r="C2953" s="148" t="str">
        <f aca="false">VLOOKUP($A2953,INSUMOS_AUX!$A$3:$H$813,3,0)</f>
        <v>MAT.</v>
      </c>
      <c r="D2953" s="156" t="s">
        <v>1444</v>
      </c>
      <c r="E2953" s="154" t="n">
        <v>0.9492</v>
      </c>
      <c r="F2953" s="149" t="n">
        <f aca="false">IF(C2953="MAT.",VLOOKUP(A2953,INSUMOS_AUX!$A$3:$H$813,6,0),0)</f>
        <v>3.32</v>
      </c>
      <c r="G2953" s="149" t="n">
        <f aca="false">IF(C2953="M.O.",VLOOKUP(A2953,INSUMOS_AUX!A:F,6,0),0)</f>
        <v>0</v>
      </c>
    </row>
    <row r="2954" customFormat="false" ht="21" hidden="false" customHeight="false" outlineLevel="0" collapsed="false">
      <c r="A2954" s="154" t="n">
        <v>43489</v>
      </c>
      <c r="B2954" s="155" t="s">
        <v>1456</v>
      </c>
      <c r="C2954" s="148" t="str">
        <f aca="false">VLOOKUP($A2954,INSUMOS_AUX!$A$3:$H$813,3,0)</f>
        <v>MAT.</v>
      </c>
      <c r="D2954" s="156" t="s">
        <v>1444</v>
      </c>
      <c r="E2954" s="154" t="n">
        <v>0.6488</v>
      </c>
      <c r="F2954" s="149" t="n">
        <f aca="false">IF(C2954="MAT.",VLOOKUP(A2954,INSUMOS_AUX!$A$3:$H$813,6,0),0)</f>
        <v>1.31</v>
      </c>
      <c r="G2954" s="149" t="n">
        <f aca="false">IF(C2954="M.O.",VLOOKUP(A2954,INSUMOS_AUX!A:F,6,0),0)</f>
        <v>0</v>
      </c>
    </row>
    <row r="2955" customFormat="false" ht="21" hidden="false" customHeight="false" outlineLevel="0" collapsed="false">
      <c r="A2955" s="154" t="n">
        <v>43491</v>
      </c>
      <c r="B2955" s="155" t="s">
        <v>1457</v>
      </c>
      <c r="C2955" s="148" t="str">
        <f aca="false">VLOOKUP($A2955,INSUMOS_AUX!$A$3:$H$813,3,0)</f>
        <v>MAT.</v>
      </c>
      <c r="D2955" s="156" t="s">
        <v>1444</v>
      </c>
      <c r="E2955" s="154" t="n">
        <v>0.3004</v>
      </c>
      <c r="F2955" s="149" t="n">
        <f aca="false">IF(C2955="MAT.",VLOOKUP(A2955,INSUMOS_AUX!$A$3:$H$813,6,0),0)</f>
        <v>1.39</v>
      </c>
      <c r="G2955" s="149" t="n">
        <f aca="false">IF(C2955="M.O.",VLOOKUP(A2955,INSUMOS_AUX!A:F,6,0),0)</f>
        <v>0</v>
      </c>
    </row>
    <row r="2956" customFormat="false" ht="21" hidden="false" customHeight="false" outlineLevel="0" collapsed="false">
      <c r="A2956" s="154" t="n">
        <v>37372</v>
      </c>
      <c r="B2956" s="155" t="s">
        <v>1446</v>
      </c>
      <c r="C2956" s="148" t="s">
        <v>59</v>
      </c>
      <c r="D2956" s="156" t="s">
        <v>1444</v>
      </c>
      <c r="E2956" s="154" t="n">
        <v>0.9492</v>
      </c>
      <c r="F2956" s="149" t="n">
        <f aca="false">IF(C2956="MAT.",VLOOKUP(A2956,INSUMOS_AUX!$A$3:$H$813,6,0),0)</f>
        <v>0</v>
      </c>
      <c r="G2956" s="149" t="n">
        <f aca="false">IF(C2956="M.O.",VLOOKUP(A2956,INSUMOS_AUX!A:F,6,0),0)</f>
        <v>0</v>
      </c>
    </row>
    <row r="2957" customFormat="false" ht="21" hidden="false" customHeight="false" outlineLevel="0" collapsed="false">
      <c r="A2957" s="154" t="n">
        <v>43465</v>
      </c>
      <c r="B2957" s="155" t="s">
        <v>1458</v>
      </c>
      <c r="C2957" s="148" t="str">
        <f aca="false">VLOOKUP($A2957,INSUMOS_AUX!$A$3:$H$813,3,0)</f>
        <v>MAT.</v>
      </c>
      <c r="D2957" s="156" t="s">
        <v>1444</v>
      </c>
      <c r="E2957" s="154" t="n">
        <v>0.6488</v>
      </c>
      <c r="F2957" s="149" t="n">
        <f aca="false">IF(C2957="MAT.",VLOOKUP(A2957,INSUMOS_AUX!$A$3:$H$813,6,0),0)</f>
        <v>0.78</v>
      </c>
      <c r="G2957" s="149" t="n">
        <f aca="false">IF(C2957="M.O.",VLOOKUP(A2957,INSUMOS_AUX!A:F,6,0),0)</f>
        <v>0</v>
      </c>
    </row>
    <row r="2958" customFormat="false" ht="21" hidden="false" customHeight="false" outlineLevel="0" collapsed="false">
      <c r="A2958" s="154" t="n">
        <v>43467</v>
      </c>
      <c r="B2958" s="155" t="s">
        <v>1459</v>
      </c>
      <c r="C2958" s="148" t="str">
        <f aca="false">VLOOKUP($A2958,INSUMOS_AUX!$A$3:$H$813,3,0)</f>
        <v>MAT.</v>
      </c>
      <c r="D2958" s="156" t="s">
        <v>1444</v>
      </c>
      <c r="E2958" s="154" t="n">
        <v>0.3004</v>
      </c>
      <c r="F2958" s="149" t="n">
        <f aca="false">IF(C2958="MAT.",VLOOKUP(A2958,INSUMOS_AUX!$A$3:$H$813,6,0),0)</f>
        <v>0.61</v>
      </c>
      <c r="G2958" s="149" t="n">
        <f aca="false">IF(C2958="M.O.",VLOOKUP(A2958,INSUMOS_AUX!A:F,6,0),0)</f>
        <v>0</v>
      </c>
    </row>
    <row r="2959" customFormat="false" ht="21" hidden="false" customHeight="false" outlineLevel="0" collapsed="false">
      <c r="A2959" s="154" t="n">
        <v>37373</v>
      </c>
      <c r="B2959" s="155" t="s">
        <v>1448</v>
      </c>
      <c r="C2959" s="148" t="str">
        <f aca="false">VLOOKUP($A2959,INSUMOS_AUX!$A$3:$H$813,3,0)</f>
        <v>MAT.</v>
      </c>
      <c r="D2959" s="156" t="s">
        <v>1444</v>
      </c>
      <c r="E2959" s="154" t="n">
        <v>0.9492</v>
      </c>
      <c r="F2959" s="149" t="n">
        <f aca="false">IF(C2959="MAT.",VLOOKUP(A2959,INSUMOS_AUX!$A$3:$H$813,6,0),0)</f>
        <v>0.08</v>
      </c>
      <c r="G2959" s="149" t="n">
        <f aca="false">IF(C2959="M.O.",VLOOKUP(A2959,INSUMOS_AUX!A:F,6,0),0)</f>
        <v>0</v>
      </c>
    </row>
    <row r="2960" customFormat="false" ht="21" hidden="false" customHeight="false" outlineLevel="0" collapsed="false">
      <c r="A2960" s="154" t="n">
        <v>37371</v>
      </c>
      <c r="B2960" s="155" t="s">
        <v>1449</v>
      </c>
      <c r="C2960" s="148" t="str">
        <f aca="false">VLOOKUP($A2960,INSUMOS_AUX!$A$3:$H$813,3,0)</f>
        <v>MAT.</v>
      </c>
      <c r="D2960" s="156" t="s">
        <v>1444</v>
      </c>
      <c r="E2960" s="154" t="n">
        <v>0.9492</v>
      </c>
      <c r="F2960" s="149" t="n">
        <f aca="false">IF(C2960="MAT.",VLOOKUP(A2960,INSUMOS_AUX!$A$3:$H$813,6,0),0)</f>
        <v>0.59</v>
      </c>
      <c r="G2960" s="149" t="n">
        <f aca="false">IF(C2960="M.O.",VLOOKUP(A2960,INSUMOS_AUX!A:F,6,0),0)</f>
        <v>0</v>
      </c>
    </row>
    <row r="2961" customFormat="false" ht="15" hidden="false" customHeight="false" outlineLevel="0" collapsed="false">
      <c r="A2961" s="154" t="n">
        <v>1381</v>
      </c>
      <c r="B2961" s="155" t="s">
        <v>1942</v>
      </c>
      <c r="C2961" s="148" t="str">
        <f aca="false">VLOOKUP($A2961,INSUMOS_AUX!$A$3:$H$813,3,0)</f>
        <v>MAT.</v>
      </c>
      <c r="D2961" s="156" t="s">
        <v>1513</v>
      </c>
      <c r="E2961" s="154" t="n">
        <v>4.91</v>
      </c>
      <c r="F2961" s="149" t="n">
        <f aca="false">IF(C2961="MAT.",VLOOKUP(A2961,INSUMOS_AUX!$A$3:$H$813,6,0),0)</f>
        <v>0.8</v>
      </c>
      <c r="G2961" s="149" t="n">
        <f aca="false">IF(C2961="M.O.",VLOOKUP(A2961,INSUMOS_AUX!A:F,6,0),0)</f>
        <v>0</v>
      </c>
    </row>
    <row r="2962" customFormat="false" ht="15" hidden="false" customHeight="false" outlineLevel="0" collapsed="false">
      <c r="A2962" s="154" t="n">
        <v>34357</v>
      </c>
      <c r="B2962" s="155" t="s">
        <v>1938</v>
      </c>
      <c r="C2962" s="148" t="str">
        <f aca="false">VLOOKUP($A2962,INSUMOS_AUX!$A$3:$H$813,3,0)</f>
        <v>MAT.</v>
      </c>
      <c r="D2962" s="156" t="s">
        <v>1513</v>
      </c>
      <c r="E2962" s="154" t="n">
        <v>0.29</v>
      </c>
      <c r="F2962" s="149" t="n">
        <f aca="false">IF(C2962="MAT.",VLOOKUP(A2962,INSUMOS_AUX!$A$3:$H$813,6,0),0)</f>
        <v>4.69</v>
      </c>
      <c r="G2962" s="149" t="n">
        <f aca="false">IF(C2962="M.O.",VLOOKUP(A2962,INSUMOS_AUX!A:F,6,0),0)</f>
        <v>0</v>
      </c>
    </row>
    <row r="2963" customFormat="false" ht="21" hidden="false" customHeight="false" outlineLevel="0" collapsed="false">
      <c r="A2963" s="154" t="n">
        <v>536</v>
      </c>
      <c r="B2963" s="155" t="s">
        <v>1970</v>
      </c>
      <c r="C2963" s="148" t="str">
        <f aca="false">VLOOKUP($A2963,INSUMOS_AUX!$A$3:$H$813,3,0)</f>
        <v>MAT.</v>
      </c>
      <c r="D2963" s="156" t="s">
        <v>1477</v>
      </c>
      <c r="E2963" s="154" t="n">
        <v>1.0725</v>
      </c>
      <c r="F2963" s="149" t="n">
        <f aca="false">IF(C2963="MAT.",VLOOKUP(A2963,INSUMOS_AUX!$A$3:$H$813,6,0),0)</f>
        <v>29.72</v>
      </c>
      <c r="G2963" s="149" t="n">
        <f aca="false">IF(C2963="M.O.",VLOOKUP(A2963,INSUMOS_AUX!A:F,6,0),0)</f>
        <v>0</v>
      </c>
    </row>
    <row r="2964" customFormat="false" ht="15" hidden="false" customHeight="false" outlineLevel="0" collapsed="false">
      <c r="A2964" s="154" t="n">
        <v>4760</v>
      </c>
      <c r="B2964" s="155" t="s">
        <v>1939</v>
      </c>
      <c r="C2964" s="148" t="str">
        <f aca="false">VLOOKUP($A2964,INSUMOS_AUX!$A$3:$H$813,3,0)</f>
        <v>M.O.</v>
      </c>
      <c r="D2964" s="156" t="s">
        <v>1444</v>
      </c>
      <c r="E2964" s="154" t="n">
        <v>0.658376288</v>
      </c>
      <c r="F2964" s="149" t="n">
        <f aca="false">IF(C2964="MAT.",VLOOKUP(A2964,INSUMOS_AUX!$A$3:$H$813,6,0),0)</f>
        <v>0</v>
      </c>
      <c r="G2964" s="149" t="n">
        <f aca="false">IF(C2964="M.O.",VLOOKUP(A2964,INSUMOS_AUX!A:F,6,0),0)</f>
        <v>20.79</v>
      </c>
    </row>
    <row r="2965" customFormat="false" ht="15" hidden="false" customHeight="false" outlineLevel="0" collapsed="false">
      <c r="A2965" s="154" t="n">
        <v>6111</v>
      </c>
      <c r="B2965" s="155" t="s">
        <v>1464</v>
      </c>
      <c r="C2965" s="148" t="str">
        <f aca="false">VLOOKUP($A2965,INSUMOS_AUX!$A$3:$H$813,3,0)</f>
        <v>M.O.</v>
      </c>
      <c r="D2965" s="156" t="s">
        <v>1444</v>
      </c>
      <c r="E2965" s="154" t="n">
        <v>0.30676848</v>
      </c>
      <c r="F2965" s="149" t="n">
        <f aca="false">IF(C2965="MAT.",VLOOKUP(A2965,INSUMOS_AUX!$A$3:$H$813,6,0),0)</f>
        <v>0</v>
      </c>
      <c r="G2965" s="149" t="n">
        <f aca="false">IF(C2965="M.O.",VLOOKUP(A2965,INSUMOS_AUX!A:F,6,0),0)</f>
        <v>12.95</v>
      </c>
    </row>
    <row r="2966" customFormat="false" ht="21" hidden="false" customHeight="false" outlineLevel="0" collapsed="false">
      <c r="A2966" s="150" t="n">
        <v>88485</v>
      </c>
      <c r="B2966" s="151" t="s">
        <v>1971</v>
      </c>
      <c r="C2966" s="152" t="s">
        <v>59</v>
      </c>
      <c r="D2966" s="152" t="s">
        <v>1477</v>
      </c>
      <c r="E2966" s="150"/>
      <c r="F2966" s="153" t="n">
        <f aca="false">(SUMPRODUCT($E2967:$E2977,F2967:F2977))*1</f>
        <v>2.665604</v>
      </c>
      <c r="G2966" s="153" t="n">
        <f aca="false">(SUMPRODUCT($E2967:$E2977,G2967:G2977))*1</f>
        <v>1.66011337152</v>
      </c>
    </row>
    <row r="2967" customFormat="false" ht="21" hidden="false" customHeight="false" outlineLevel="0" collapsed="false">
      <c r="A2967" s="154" t="n">
        <v>37370</v>
      </c>
      <c r="B2967" s="155" t="s">
        <v>1443</v>
      </c>
      <c r="C2967" s="148" t="str">
        <f aca="false">VLOOKUP($A2967,INSUMOS_AUX!$A$3:$H$813,3,0)</f>
        <v>MAT.</v>
      </c>
      <c r="D2967" s="156" t="s">
        <v>1444</v>
      </c>
      <c r="E2967" s="154" t="n">
        <v>0.0888</v>
      </c>
      <c r="F2967" s="149" t="n">
        <f aca="false">IF(C2967="MAT.",VLOOKUP(A2967,INSUMOS_AUX!$A$3:$H$813,6,0),0)</f>
        <v>3.32</v>
      </c>
      <c r="G2967" s="149" t="n">
        <f aca="false">IF(C2967="M.O.",VLOOKUP(A2967,INSUMOS_AUX!A:F,6,0),0)</f>
        <v>0</v>
      </c>
    </row>
    <row r="2968" customFormat="false" ht="21" hidden="false" customHeight="false" outlineLevel="0" collapsed="false">
      <c r="A2968" s="154" t="n">
        <v>43490</v>
      </c>
      <c r="B2968" s="155" t="s">
        <v>1508</v>
      </c>
      <c r="C2968" s="148" t="str">
        <f aca="false">VLOOKUP($A2968,INSUMOS_AUX!$A$3:$H$813,3,0)</f>
        <v>MAT.</v>
      </c>
      <c r="D2968" s="156" t="s">
        <v>1444</v>
      </c>
      <c r="E2968" s="154" t="n">
        <v>0.0666</v>
      </c>
      <c r="F2968" s="149" t="n">
        <f aca="false">IF(C2968="MAT.",VLOOKUP(A2968,INSUMOS_AUX!$A$3:$H$813,6,0),0)</f>
        <v>1.85</v>
      </c>
      <c r="G2968" s="149" t="n">
        <f aca="false">IF(C2968="M.O.",VLOOKUP(A2968,INSUMOS_AUX!A:F,6,0),0)</f>
        <v>0</v>
      </c>
    </row>
    <row r="2969" customFormat="false" ht="21" hidden="false" customHeight="false" outlineLevel="0" collapsed="false">
      <c r="A2969" s="154" t="n">
        <v>43491</v>
      </c>
      <c r="B2969" s="155" t="s">
        <v>1457</v>
      </c>
      <c r="C2969" s="148" t="str">
        <f aca="false">VLOOKUP($A2969,INSUMOS_AUX!$A$3:$H$813,3,0)</f>
        <v>MAT.</v>
      </c>
      <c r="D2969" s="156" t="s">
        <v>1444</v>
      </c>
      <c r="E2969" s="154" t="n">
        <v>0.0222</v>
      </c>
      <c r="F2969" s="149" t="n">
        <f aca="false">IF(C2969="MAT.",VLOOKUP(A2969,INSUMOS_AUX!$A$3:$H$813,6,0),0)</f>
        <v>1.39</v>
      </c>
      <c r="G2969" s="149" t="n">
        <f aca="false">IF(C2969="M.O.",VLOOKUP(A2969,INSUMOS_AUX!A:F,6,0),0)</f>
        <v>0</v>
      </c>
    </row>
    <row r="2970" customFormat="false" ht="21" hidden="false" customHeight="false" outlineLevel="0" collapsed="false">
      <c r="A2970" s="154" t="n">
        <v>37372</v>
      </c>
      <c r="B2970" s="155" t="s">
        <v>1446</v>
      </c>
      <c r="C2970" s="148" t="str">
        <f aca="false">VLOOKUP($A2970,INSUMOS_AUX!$A$3:$H$813,3,0)</f>
        <v>MAT.</v>
      </c>
      <c r="D2970" s="156" t="s">
        <v>1444</v>
      </c>
      <c r="E2970" s="154" t="n">
        <v>0.0888</v>
      </c>
      <c r="F2970" s="149" t="n">
        <f aca="false">IF(C2970="MAT.",VLOOKUP(A2970,INSUMOS_AUX!$A$3:$H$813,6,0),0)</f>
        <v>1.43</v>
      </c>
      <c r="G2970" s="149" t="n">
        <f aca="false">IF(C2970="M.O.",VLOOKUP(A2970,INSUMOS_AUX!A:F,6,0),0)</f>
        <v>0</v>
      </c>
    </row>
    <row r="2971" customFormat="false" ht="21" hidden="false" customHeight="false" outlineLevel="0" collapsed="false">
      <c r="A2971" s="154" t="n">
        <v>43466</v>
      </c>
      <c r="B2971" s="155" t="s">
        <v>1509</v>
      </c>
      <c r="C2971" s="148" t="str">
        <f aca="false">VLOOKUP($A2971,INSUMOS_AUX!$A$3:$H$813,3,0)</f>
        <v>MAT.</v>
      </c>
      <c r="D2971" s="156" t="s">
        <v>1444</v>
      </c>
      <c r="E2971" s="154" t="n">
        <v>0.0666</v>
      </c>
      <c r="F2971" s="149" t="n">
        <f aca="false">IF(C2971="MAT.",VLOOKUP(A2971,INSUMOS_AUX!$A$3:$H$813,6,0),0)</f>
        <v>2.05</v>
      </c>
      <c r="G2971" s="149" t="n">
        <f aca="false">IF(C2971="M.O.",VLOOKUP(A2971,INSUMOS_AUX!A:F,6,0),0)</f>
        <v>0</v>
      </c>
    </row>
    <row r="2972" customFormat="false" ht="21" hidden="false" customHeight="false" outlineLevel="0" collapsed="false">
      <c r="A2972" s="154" t="n">
        <v>43467</v>
      </c>
      <c r="B2972" s="155" t="s">
        <v>1459</v>
      </c>
      <c r="C2972" s="148" t="str">
        <f aca="false">VLOOKUP($A2972,INSUMOS_AUX!$A$3:$H$813,3,0)</f>
        <v>MAT.</v>
      </c>
      <c r="D2972" s="156" t="s">
        <v>1444</v>
      </c>
      <c r="E2972" s="154" t="n">
        <v>0.0222</v>
      </c>
      <c r="F2972" s="149" t="n">
        <f aca="false">IF(C2972="MAT.",VLOOKUP(A2972,INSUMOS_AUX!$A$3:$H$813,6,0),0)</f>
        <v>0.61</v>
      </c>
      <c r="G2972" s="149" t="n">
        <f aca="false">IF(C2972="M.O.",VLOOKUP(A2972,INSUMOS_AUX!A:F,6,0),0)</f>
        <v>0</v>
      </c>
    </row>
    <row r="2973" customFormat="false" ht="21" hidden="false" customHeight="false" outlineLevel="0" collapsed="false">
      <c r="A2973" s="154" t="n">
        <v>37373</v>
      </c>
      <c r="B2973" s="155" t="s">
        <v>1448</v>
      </c>
      <c r="C2973" s="148" t="str">
        <f aca="false">VLOOKUP($A2973,INSUMOS_AUX!$A$3:$H$813,3,0)</f>
        <v>MAT.</v>
      </c>
      <c r="D2973" s="156" t="s">
        <v>1444</v>
      </c>
      <c r="E2973" s="154" t="n">
        <v>0.0888</v>
      </c>
      <c r="F2973" s="149" t="n">
        <f aca="false">IF(C2973="MAT.",VLOOKUP(A2973,INSUMOS_AUX!$A$3:$H$813,6,0),0)</f>
        <v>0.08</v>
      </c>
      <c r="G2973" s="149" t="n">
        <f aca="false">IF(C2973="M.O.",VLOOKUP(A2973,INSUMOS_AUX!A:F,6,0),0)</f>
        <v>0</v>
      </c>
    </row>
    <row r="2974" customFormat="false" ht="21" hidden="false" customHeight="false" outlineLevel="0" collapsed="false">
      <c r="A2974" s="154" t="n">
        <v>37371</v>
      </c>
      <c r="B2974" s="155" t="s">
        <v>1449</v>
      </c>
      <c r="C2974" s="148" t="s">
        <v>59</v>
      </c>
      <c r="D2974" s="156" t="s">
        <v>1444</v>
      </c>
      <c r="E2974" s="154" t="n">
        <v>0.0888</v>
      </c>
      <c r="F2974" s="149" t="n">
        <f aca="false">IF(C2974="MAT.",VLOOKUP(A2974,INSUMOS_AUX!$A$3:$H$813,6,0),0)</f>
        <v>0</v>
      </c>
      <c r="G2974" s="149" t="n">
        <f aca="false">IF(C2974="M.O.",VLOOKUP(A2974,INSUMOS_AUX!A:F,6,0),0)</f>
        <v>0</v>
      </c>
    </row>
    <row r="2975" customFormat="false" ht="15" hidden="false" customHeight="false" outlineLevel="0" collapsed="false">
      <c r="A2975" s="154" t="n">
        <v>6085</v>
      </c>
      <c r="B2975" s="155" t="s">
        <v>1972</v>
      </c>
      <c r="C2975" s="148" t="str">
        <f aca="false">VLOOKUP($A2975,INSUMOS_AUX!$A$3:$H$813,3,0)</f>
        <v>MAT.</v>
      </c>
      <c r="D2975" s="156" t="s">
        <v>1452</v>
      </c>
      <c r="E2975" s="154" t="n">
        <v>0.1666</v>
      </c>
      <c r="F2975" s="149" t="n">
        <f aca="false">IF(C2975="MAT.",VLOOKUP(A2975,INSUMOS_AUX!$A$3:$H$813,6,0),0)</f>
        <v>11.6</v>
      </c>
      <c r="G2975" s="149" t="n">
        <f aca="false">IF(C2975="M.O.",VLOOKUP(A2975,INSUMOS_AUX!A:F,6,0),0)</f>
        <v>0</v>
      </c>
    </row>
    <row r="2976" customFormat="false" ht="15" hidden="false" customHeight="false" outlineLevel="0" collapsed="false">
      <c r="A2976" s="154" t="n">
        <v>4783</v>
      </c>
      <c r="B2976" s="155" t="s">
        <v>1517</v>
      </c>
      <c r="C2976" s="148" t="str">
        <f aca="false">VLOOKUP($A2976,INSUMOS_AUX!$A$3:$H$813,3,0)</f>
        <v>M.O.</v>
      </c>
      <c r="D2976" s="156" t="s">
        <v>1444</v>
      </c>
      <c r="E2976" s="154" t="n">
        <v>0.067583016</v>
      </c>
      <c r="F2976" s="149" t="n">
        <f aca="false">IF(C2976="MAT.",VLOOKUP(A2976,INSUMOS_AUX!$A$3:$H$813,6,0),0)</f>
        <v>0</v>
      </c>
      <c r="G2976" s="149" t="n">
        <f aca="false">IF(C2976="M.O.",VLOOKUP(A2976,INSUMOS_AUX!A:F,6,0),0)</f>
        <v>20.22</v>
      </c>
    </row>
    <row r="2977" customFormat="false" ht="15" hidden="false" customHeight="false" outlineLevel="0" collapsed="false">
      <c r="A2977" s="154" t="n">
        <v>6111</v>
      </c>
      <c r="B2977" s="155" t="s">
        <v>1464</v>
      </c>
      <c r="C2977" s="148" t="str">
        <f aca="false">VLOOKUP($A2977,INSUMOS_AUX!$A$3:$H$813,3,0)</f>
        <v>M.O.</v>
      </c>
      <c r="D2977" s="156" t="s">
        <v>1444</v>
      </c>
      <c r="E2977" s="154" t="n">
        <v>0.02267064</v>
      </c>
      <c r="F2977" s="149" t="n">
        <f aca="false">IF(C2977="MAT.",VLOOKUP(A2977,INSUMOS_AUX!$A$3:$H$813,6,0),0)</f>
        <v>0</v>
      </c>
      <c r="G2977" s="149" t="n">
        <f aca="false">IF(C2977="M.O.",VLOOKUP(A2977,INSUMOS_AUX!A:F,6,0),0)</f>
        <v>12.95</v>
      </c>
    </row>
    <row r="2978" customFormat="false" ht="21" hidden="false" customHeight="false" outlineLevel="0" collapsed="false">
      <c r="A2978" s="150" t="s">
        <v>569</v>
      </c>
      <c r="B2978" s="151" t="s">
        <v>1973</v>
      </c>
      <c r="C2978" s="152" t="s">
        <v>59</v>
      </c>
      <c r="D2978" s="152" t="s">
        <v>1477</v>
      </c>
      <c r="E2978" s="150"/>
      <c r="F2978" s="153" t="n">
        <f aca="false">(SUMPRODUCT($E2979:$E2989,F2979:F2989))*1</f>
        <v>9.88387601851852</v>
      </c>
      <c r="G2978" s="153" t="n">
        <f aca="false">(SUMPRODUCT($E2979:$E2989,G2979:G2989))*1</f>
        <v>0.719414976</v>
      </c>
    </row>
    <row r="2979" customFormat="false" ht="21" hidden="false" customHeight="false" outlineLevel="0" collapsed="false">
      <c r="A2979" s="154" t="n">
        <v>37370</v>
      </c>
      <c r="B2979" s="155" t="s">
        <v>1443</v>
      </c>
      <c r="C2979" s="148" t="str">
        <f aca="false">VLOOKUP($A2979,INSUMOS_AUX!$A$3:$H$813,3,0)</f>
        <v>MAT.</v>
      </c>
      <c r="D2979" s="156" t="s">
        <v>1444</v>
      </c>
      <c r="E2979" s="154" t="n">
        <v>0.2175</v>
      </c>
      <c r="F2979" s="149" t="n">
        <f aca="false">IF(C2979="MAT.",VLOOKUP(A2979,INSUMOS_AUX!$A$3:$H$813,6,0),0)</f>
        <v>3.32</v>
      </c>
      <c r="G2979" s="149" t="n">
        <f aca="false">IF(C2979="M.O.",VLOOKUP(A2979,INSUMOS_AUX!A:F,6,0),0)</f>
        <v>0</v>
      </c>
    </row>
    <row r="2980" customFormat="false" ht="21" hidden="false" customHeight="false" outlineLevel="0" collapsed="false">
      <c r="A2980" s="154" t="n">
        <v>43490</v>
      </c>
      <c r="B2980" s="155" t="s">
        <v>1508</v>
      </c>
      <c r="C2980" s="148" t="str">
        <f aca="false">VLOOKUP($A2980,INSUMOS_AUX!$A$3:$H$813,3,0)</f>
        <v>MAT.</v>
      </c>
      <c r="D2980" s="156" t="s">
        <v>1444</v>
      </c>
      <c r="E2980" s="154" t="n">
        <v>0.1631</v>
      </c>
      <c r="F2980" s="149" t="n">
        <f aca="false">IF(C2980="MAT.",VLOOKUP(A2980,INSUMOS_AUX!$A$3:$H$813,6,0),0)</f>
        <v>1.85</v>
      </c>
      <c r="G2980" s="149" t="n">
        <f aca="false">IF(C2980="M.O.",VLOOKUP(A2980,INSUMOS_AUX!A:F,6,0),0)</f>
        <v>0</v>
      </c>
    </row>
    <row r="2981" customFormat="false" ht="21" hidden="false" customHeight="false" outlineLevel="0" collapsed="false">
      <c r="A2981" s="154" t="n">
        <v>43491</v>
      </c>
      <c r="B2981" s="155" t="s">
        <v>1457</v>
      </c>
      <c r="C2981" s="148" t="str">
        <f aca="false">VLOOKUP($A2981,INSUMOS_AUX!$A$3:$H$813,3,0)</f>
        <v>MAT.</v>
      </c>
      <c r="D2981" s="156" t="s">
        <v>1444</v>
      </c>
      <c r="E2981" s="154" t="n">
        <v>0.0544</v>
      </c>
      <c r="F2981" s="149" t="n">
        <f aca="false">IF(C2981="MAT.",VLOOKUP(A2981,INSUMOS_AUX!$A$3:$H$813,6,0),0)</f>
        <v>1.39</v>
      </c>
      <c r="G2981" s="149" t="n">
        <f aca="false">IF(C2981="M.O.",VLOOKUP(A2981,INSUMOS_AUX!A:F,6,0),0)</f>
        <v>0</v>
      </c>
    </row>
    <row r="2982" customFormat="false" ht="21" hidden="false" customHeight="false" outlineLevel="0" collapsed="false">
      <c r="A2982" s="154" t="n">
        <v>37372</v>
      </c>
      <c r="B2982" s="155" t="s">
        <v>1446</v>
      </c>
      <c r="C2982" s="148" t="str">
        <f aca="false">VLOOKUP($A2982,INSUMOS_AUX!$A$3:$H$813,3,0)</f>
        <v>MAT.</v>
      </c>
      <c r="D2982" s="156" t="s">
        <v>1444</v>
      </c>
      <c r="E2982" s="154" t="n">
        <v>0.2175</v>
      </c>
      <c r="F2982" s="149" t="n">
        <f aca="false">IF(C2982="MAT.",VLOOKUP(A2982,INSUMOS_AUX!$A$3:$H$813,6,0),0)</f>
        <v>1.43</v>
      </c>
      <c r="G2982" s="149" t="n">
        <f aca="false">IF(C2982="M.O.",VLOOKUP(A2982,INSUMOS_AUX!A:F,6,0),0)</f>
        <v>0</v>
      </c>
    </row>
    <row r="2983" customFormat="false" ht="21" hidden="false" customHeight="false" outlineLevel="0" collapsed="false">
      <c r="A2983" s="154" t="n">
        <v>43466</v>
      </c>
      <c r="B2983" s="155" t="s">
        <v>1509</v>
      </c>
      <c r="C2983" s="148" t="str">
        <f aca="false">VLOOKUP($A2983,INSUMOS_AUX!$A$3:$H$813,3,0)</f>
        <v>MAT.</v>
      </c>
      <c r="D2983" s="156" t="s">
        <v>1444</v>
      </c>
      <c r="E2983" s="154" t="n">
        <v>0.1631</v>
      </c>
      <c r="F2983" s="149" t="n">
        <f aca="false">IF(C2983="MAT.",VLOOKUP(A2983,INSUMOS_AUX!$A$3:$H$813,6,0),0)</f>
        <v>2.05</v>
      </c>
      <c r="G2983" s="149" t="n">
        <f aca="false">IF(C2983="M.O.",VLOOKUP(A2983,INSUMOS_AUX!A:F,6,0),0)</f>
        <v>0</v>
      </c>
    </row>
    <row r="2984" customFormat="false" ht="21" hidden="false" customHeight="false" outlineLevel="0" collapsed="false">
      <c r="A2984" s="154" t="n">
        <v>43467</v>
      </c>
      <c r="B2984" s="155" t="s">
        <v>1459</v>
      </c>
      <c r="C2984" s="148" t="str">
        <f aca="false">VLOOKUP($A2984,INSUMOS_AUX!$A$3:$H$813,3,0)</f>
        <v>MAT.</v>
      </c>
      <c r="D2984" s="156" t="s">
        <v>1444</v>
      </c>
      <c r="E2984" s="154" t="n">
        <v>0.0544</v>
      </c>
      <c r="F2984" s="149" t="n">
        <f aca="false">IF(C2984="MAT.",VLOOKUP(A2984,INSUMOS_AUX!$A$3:$H$813,6,0),0)</f>
        <v>0.61</v>
      </c>
      <c r="G2984" s="149" t="n">
        <f aca="false">IF(C2984="M.O.",VLOOKUP(A2984,INSUMOS_AUX!A:F,6,0),0)</f>
        <v>0</v>
      </c>
    </row>
    <row r="2985" customFormat="false" ht="21" hidden="false" customHeight="false" outlineLevel="0" collapsed="false">
      <c r="A2985" s="154" t="n">
        <v>37373</v>
      </c>
      <c r="B2985" s="155" t="s">
        <v>1448</v>
      </c>
      <c r="C2985" s="148" t="str">
        <f aca="false">VLOOKUP($A2985,INSUMOS_AUX!$A$3:$H$813,3,0)</f>
        <v>MAT.</v>
      </c>
      <c r="D2985" s="156" t="s">
        <v>1444</v>
      </c>
      <c r="E2985" s="154" t="n">
        <v>0.2175</v>
      </c>
      <c r="F2985" s="149" t="n">
        <f aca="false">IF(C2985="MAT.",VLOOKUP(A2985,INSUMOS_AUX!$A$3:$H$813,6,0),0)</f>
        <v>0.08</v>
      </c>
      <c r="G2985" s="149" t="n">
        <f aca="false">IF(C2985="M.O.",VLOOKUP(A2985,INSUMOS_AUX!A:F,6,0),0)</f>
        <v>0</v>
      </c>
    </row>
    <row r="2986" customFormat="false" ht="21" hidden="false" customHeight="false" outlineLevel="0" collapsed="false">
      <c r="A2986" s="154" t="n">
        <v>37371</v>
      </c>
      <c r="B2986" s="155" t="s">
        <v>1449</v>
      </c>
      <c r="C2986" s="148" t="str">
        <f aca="false">VLOOKUP($A2986,INSUMOS_AUX!$A$3:$H$813,3,0)</f>
        <v>MAT.</v>
      </c>
      <c r="D2986" s="156" t="s">
        <v>1444</v>
      </c>
      <c r="E2986" s="154" t="n">
        <v>0.2175</v>
      </c>
      <c r="F2986" s="149" t="n">
        <f aca="false">IF(C2986="MAT.",VLOOKUP(A2986,INSUMOS_AUX!$A$3:$H$813,6,0),0)</f>
        <v>0.59</v>
      </c>
      <c r="G2986" s="149" t="n">
        <f aca="false">IF(C2986="M.O.",VLOOKUP(A2986,INSUMOS_AUX!A:F,6,0),0)</f>
        <v>0</v>
      </c>
    </row>
    <row r="2987" customFormat="false" ht="21" hidden="false" customHeight="false" outlineLevel="0" collapsed="false">
      <c r="A2987" s="154" t="s">
        <v>1974</v>
      </c>
      <c r="B2987" s="155" t="s">
        <v>1975</v>
      </c>
      <c r="C2987" s="148" t="str">
        <f aca="false">VLOOKUP($A2987,INSUMOS_AUX!$A$3:$H$813,3,0)</f>
        <v>MAT.</v>
      </c>
      <c r="D2987" s="156" t="s">
        <v>1452</v>
      </c>
      <c r="E2987" s="154" t="n">
        <v>0.2285</v>
      </c>
      <c r="F2987" s="149" t="n">
        <f aca="false">IF(C2987="MAT.",VLOOKUP(A2987,INSUMOS_AUX!$A$3:$H$813,6,0),0)</f>
        <v>34.8364814814815</v>
      </c>
      <c r="G2987" s="149" t="n">
        <f aca="false">IF(C2987="M.O.",VLOOKUP(A2987,INSUMOS_AUX!A:F,6,0),0)</f>
        <v>0</v>
      </c>
    </row>
    <row r="2988" customFormat="false" ht="15" hidden="false" customHeight="false" outlineLevel="0" collapsed="false">
      <c r="A2988" s="154" t="n">
        <v>4783</v>
      </c>
      <c r="B2988" s="155" t="s">
        <v>1517</v>
      </c>
      <c r="C2988" s="148" t="s">
        <v>59</v>
      </c>
      <c r="D2988" s="156" t="s">
        <v>1444</v>
      </c>
      <c r="E2988" s="154" t="n">
        <v>0.165507356</v>
      </c>
      <c r="F2988" s="149" t="n">
        <f aca="false">IF(C2988="MAT.",VLOOKUP(A2988,INSUMOS_AUX!$A$3:$H$813,6,0),0)</f>
        <v>0</v>
      </c>
      <c r="G2988" s="149" t="n">
        <f aca="false">IF(C2988="M.O.",VLOOKUP(A2988,INSUMOS_AUX!A:F,6,0),0)</f>
        <v>0</v>
      </c>
    </row>
    <row r="2989" customFormat="false" ht="15" hidden="false" customHeight="false" outlineLevel="0" collapsed="false">
      <c r="A2989" s="154" t="n">
        <v>6111</v>
      </c>
      <c r="B2989" s="155" t="s">
        <v>1464</v>
      </c>
      <c r="C2989" s="148" t="str">
        <f aca="false">VLOOKUP($A2989,INSUMOS_AUX!$A$3:$H$813,3,0)</f>
        <v>M.O.</v>
      </c>
      <c r="D2989" s="156" t="s">
        <v>1444</v>
      </c>
      <c r="E2989" s="154" t="n">
        <v>0.05555328</v>
      </c>
      <c r="F2989" s="149" t="n">
        <f aca="false">IF(C2989="MAT.",VLOOKUP(A2989,INSUMOS_AUX!$A$3:$H$813,6,0),0)</f>
        <v>0</v>
      </c>
      <c r="G2989" s="149" t="n">
        <f aca="false">IF(C2989="M.O.",VLOOKUP(A2989,INSUMOS_AUX!A:F,6,0),0)</f>
        <v>12.95</v>
      </c>
    </row>
    <row r="2990" customFormat="false" ht="15" hidden="false" customHeight="false" outlineLevel="0" collapsed="false">
      <c r="A2990" s="150" t="s">
        <v>573</v>
      </c>
      <c r="B2990" s="151" t="s">
        <v>1976</v>
      </c>
      <c r="C2990" s="152" t="s">
        <v>59</v>
      </c>
      <c r="D2990" s="152" t="s">
        <v>1477</v>
      </c>
      <c r="E2990" s="150"/>
      <c r="F2990" s="153" t="n">
        <f aca="false">(SUMPRODUCT($E2991:$E3001,F2991:F3001))*1</f>
        <v>12.9027304347826</v>
      </c>
      <c r="G2990" s="153" t="n">
        <f aca="false">(SUMPRODUCT($E2991:$E3001,G2991:G3001))*1</f>
        <v>3.84163406952</v>
      </c>
    </row>
    <row r="2991" customFormat="false" ht="21" hidden="false" customHeight="false" outlineLevel="0" collapsed="false">
      <c r="A2991" s="154" t="n">
        <v>37370</v>
      </c>
      <c r="B2991" s="155" t="s">
        <v>1443</v>
      </c>
      <c r="C2991" s="148" t="str">
        <f aca="false">VLOOKUP($A2991,INSUMOS_AUX!$A$3:$H$813,3,0)</f>
        <v>MAT.</v>
      </c>
      <c r="D2991" s="156" t="s">
        <v>1444</v>
      </c>
      <c r="E2991" s="154" t="n">
        <v>0.2055</v>
      </c>
      <c r="F2991" s="149" t="n">
        <f aca="false">IF(C2991="MAT.",VLOOKUP(A2991,INSUMOS_AUX!$A$3:$H$813,6,0),0)</f>
        <v>3.32</v>
      </c>
      <c r="G2991" s="149" t="n">
        <f aca="false">IF(C2991="M.O.",VLOOKUP(A2991,INSUMOS_AUX!A:F,6,0),0)</f>
        <v>0</v>
      </c>
    </row>
    <row r="2992" customFormat="false" ht="21" hidden="false" customHeight="false" outlineLevel="0" collapsed="false">
      <c r="A2992" s="154" t="n">
        <v>43490</v>
      </c>
      <c r="B2992" s="155" t="s">
        <v>1508</v>
      </c>
      <c r="C2992" s="148" t="str">
        <f aca="false">VLOOKUP($A2992,INSUMOS_AUX!$A$3:$H$813,3,0)</f>
        <v>MAT.</v>
      </c>
      <c r="D2992" s="156" t="s">
        <v>1444</v>
      </c>
      <c r="E2992" s="154" t="n">
        <v>0.1541</v>
      </c>
      <c r="F2992" s="149" t="n">
        <f aca="false">IF(C2992="MAT.",VLOOKUP(A2992,INSUMOS_AUX!$A$3:$H$813,6,0),0)</f>
        <v>1.85</v>
      </c>
      <c r="G2992" s="149" t="n">
        <f aca="false">IF(C2992="M.O.",VLOOKUP(A2992,INSUMOS_AUX!A:F,6,0),0)</f>
        <v>0</v>
      </c>
    </row>
    <row r="2993" customFormat="false" ht="21" hidden="false" customHeight="false" outlineLevel="0" collapsed="false">
      <c r="A2993" s="154" t="n">
        <v>43491</v>
      </c>
      <c r="B2993" s="155" t="s">
        <v>1457</v>
      </c>
      <c r="C2993" s="148" t="str">
        <f aca="false">VLOOKUP($A2993,INSUMOS_AUX!$A$3:$H$813,3,0)</f>
        <v>MAT.</v>
      </c>
      <c r="D2993" s="156" t="s">
        <v>1444</v>
      </c>
      <c r="E2993" s="154" t="n">
        <v>0.0514</v>
      </c>
      <c r="F2993" s="149" t="n">
        <f aca="false">IF(C2993="MAT.",VLOOKUP(A2993,INSUMOS_AUX!$A$3:$H$813,6,0),0)</f>
        <v>1.39</v>
      </c>
      <c r="G2993" s="149" t="n">
        <f aca="false">IF(C2993="M.O.",VLOOKUP(A2993,INSUMOS_AUX!A:F,6,0),0)</f>
        <v>0</v>
      </c>
    </row>
    <row r="2994" customFormat="false" ht="21" hidden="false" customHeight="false" outlineLevel="0" collapsed="false">
      <c r="A2994" s="154" t="n">
        <v>37372</v>
      </c>
      <c r="B2994" s="155" t="s">
        <v>1446</v>
      </c>
      <c r="C2994" s="148" t="str">
        <f aca="false">VLOOKUP($A2994,INSUMOS_AUX!$A$3:$H$813,3,0)</f>
        <v>MAT.</v>
      </c>
      <c r="D2994" s="156" t="s">
        <v>1444</v>
      </c>
      <c r="E2994" s="154" t="n">
        <v>0.2055</v>
      </c>
      <c r="F2994" s="149" t="n">
        <f aca="false">IF(C2994="MAT.",VLOOKUP(A2994,INSUMOS_AUX!$A$3:$H$813,6,0),0)</f>
        <v>1.43</v>
      </c>
      <c r="G2994" s="149" t="n">
        <f aca="false">IF(C2994="M.O.",VLOOKUP(A2994,INSUMOS_AUX!A:F,6,0),0)</f>
        <v>0</v>
      </c>
    </row>
    <row r="2995" customFormat="false" ht="21" hidden="false" customHeight="false" outlineLevel="0" collapsed="false">
      <c r="A2995" s="154" t="n">
        <v>43466</v>
      </c>
      <c r="B2995" s="155" t="s">
        <v>1509</v>
      </c>
      <c r="C2995" s="148" t="str">
        <f aca="false">VLOOKUP($A2995,INSUMOS_AUX!$A$3:$H$813,3,0)</f>
        <v>MAT.</v>
      </c>
      <c r="D2995" s="156" t="s">
        <v>1444</v>
      </c>
      <c r="E2995" s="154" t="n">
        <v>0.1541</v>
      </c>
      <c r="F2995" s="149" t="n">
        <f aca="false">IF(C2995="MAT.",VLOOKUP(A2995,INSUMOS_AUX!$A$3:$H$813,6,0),0)</f>
        <v>2.05</v>
      </c>
      <c r="G2995" s="149" t="n">
        <f aca="false">IF(C2995="M.O.",VLOOKUP(A2995,INSUMOS_AUX!A:F,6,0),0)</f>
        <v>0</v>
      </c>
    </row>
    <row r="2996" customFormat="false" ht="21" hidden="false" customHeight="false" outlineLevel="0" collapsed="false">
      <c r="A2996" s="154" t="n">
        <v>43467</v>
      </c>
      <c r="B2996" s="155" t="s">
        <v>1459</v>
      </c>
      <c r="C2996" s="148" t="str">
        <f aca="false">VLOOKUP($A2996,INSUMOS_AUX!$A$3:$H$813,3,0)</f>
        <v>MAT.</v>
      </c>
      <c r="D2996" s="156" t="s">
        <v>1444</v>
      </c>
      <c r="E2996" s="154" t="n">
        <v>0.0514</v>
      </c>
      <c r="F2996" s="149" t="n">
        <f aca="false">IF(C2996="MAT.",VLOOKUP(A2996,INSUMOS_AUX!$A$3:$H$813,6,0),0)</f>
        <v>0.61</v>
      </c>
      <c r="G2996" s="149" t="n">
        <f aca="false">IF(C2996="M.O.",VLOOKUP(A2996,INSUMOS_AUX!A:F,6,0),0)</f>
        <v>0</v>
      </c>
    </row>
    <row r="2997" customFormat="false" ht="21" hidden="false" customHeight="false" outlineLevel="0" collapsed="false">
      <c r="A2997" s="154" t="n">
        <v>37373</v>
      </c>
      <c r="B2997" s="155" t="s">
        <v>1448</v>
      </c>
      <c r="C2997" s="148" t="str">
        <f aca="false">VLOOKUP($A2997,INSUMOS_AUX!$A$3:$H$813,3,0)</f>
        <v>MAT.</v>
      </c>
      <c r="D2997" s="156" t="s">
        <v>1444</v>
      </c>
      <c r="E2997" s="154" t="n">
        <v>0.2055</v>
      </c>
      <c r="F2997" s="149" t="n">
        <f aca="false">IF(C2997="MAT.",VLOOKUP(A2997,INSUMOS_AUX!$A$3:$H$813,6,0),0)</f>
        <v>0.08</v>
      </c>
      <c r="G2997" s="149" t="n">
        <f aca="false">IF(C2997="M.O.",VLOOKUP(A2997,INSUMOS_AUX!A:F,6,0),0)</f>
        <v>0</v>
      </c>
    </row>
    <row r="2998" customFormat="false" ht="21" hidden="false" customHeight="false" outlineLevel="0" collapsed="false">
      <c r="A2998" s="154" t="n">
        <v>37371</v>
      </c>
      <c r="B2998" s="155" t="s">
        <v>1449</v>
      </c>
      <c r="C2998" s="148" t="str">
        <f aca="false">VLOOKUP($A2998,INSUMOS_AUX!$A$3:$H$813,3,0)</f>
        <v>MAT.</v>
      </c>
      <c r="D2998" s="156" t="s">
        <v>1444</v>
      </c>
      <c r="E2998" s="154" t="n">
        <v>0.2055</v>
      </c>
      <c r="F2998" s="149" t="n">
        <f aca="false">IF(C2998="MAT.",VLOOKUP(A2998,INSUMOS_AUX!$A$3:$H$813,6,0),0)</f>
        <v>0.59</v>
      </c>
      <c r="G2998" s="149" t="n">
        <f aca="false">IF(C2998="M.O.",VLOOKUP(A2998,INSUMOS_AUX!A:F,6,0),0)</f>
        <v>0</v>
      </c>
    </row>
    <row r="2999" customFormat="false" ht="15" hidden="false" customHeight="false" outlineLevel="0" collapsed="false">
      <c r="A2999" s="154" t="s">
        <v>1977</v>
      </c>
      <c r="B2999" s="155" t="s">
        <v>1978</v>
      </c>
      <c r="C2999" s="148" t="str">
        <f aca="false">VLOOKUP($A2999,INSUMOS_AUX!$A$3:$H$813,3,0)</f>
        <v>MAT.</v>
      </c>
      <c r="D2999" s="156" t="s">
        <v>1513</v>
      </c>
      <c r="E2999" s="154" t="n">
        <v>1.8</v>
      </c>
      <c r="F2999" s="149" t="n">
        <f aca="false">IF(C2999="MAT.",VLOOKUP(A2999,INSUMOS_AUX!$A$3:$H$813,6,0),0)</f>
        <v>6.15840579710145</v>
      </c>
      <c r="G2999" s="149" t="n">
        <f aca="false">IF(C2999="M.O.",VLOOKUP(A2999,INSUMOS_AUX!A:F,6,0),0)</f>
        <v>0</v>
      </c>
    </row>
    <row r="3000" customFormat="false" ht="15" hidden="false" customHeight="false" outlineLevel="0" collapsed="false">
      <c r="A3000" s="154" t="n">
        <v>4783</v>
      </c>
      <c r="B3000" s="155" t="s">
        <v>1517</v>
      </c>
      <c r="C3000" s="148" t="str">
        <f aca="false">VLOOKUP($A3000,INSUMOS_AUX!$A$3:$H$813,3,0)</f>
        <v>M.O.</v>
      </c>
      <c r="D3000" s="156" t="s">
        <v>1444</v>
      </c>
      <c r="E3000" s="154" t="n">
        <v>0.156374516</v>
      </c>
      <c r="F3000" s="149" t="n">
        <f aca="false">IF(C3000="MAT.",VLOOKUP(A3000,INSUMOS_AUX!$A$3:$H$813,6,0),0)</f>
        <v>0</v>
      </c>
      <c r="G3000" s="149" t="n">
        <f aca="false">IF(C3000="M.O.",VLOOKUP(A3000,INSUMOS_AUX!A:F,6,0),0)</f>
        <v>20.22</v>
      </c>
    </row>
    <row r="3001" customFormat="false" ht="15" hidden="false" customHeight="false" outlineLevel="0" collapsed="false">
      <c r="A3001" s="154" t="n">
        <v>6111</v>
      </c>
      <c r="B3001" s="155" t="s">
        <v>1464</v>
      </c>
      <c r="C3001" s="148" t="str">
        <f aca="false">VLOOKUP($A3001,INSUMOS_AUX!$A$3:$H$813,3,0)</f>
        <v>M.O.</v>
      </c>
      <c r="D3001" s="156" t="s">
        <v>1444</v>
      </c>
      <c r="E3001" s="154" t="n">
        <v>0.05248968</v>
      </c>
      <c r="F3001" s="149" t="n">
        <f aca="false">IF(C3001="MAT.",VLOOKUP(A3001,INSUMOS_AUX!$A$3:$H$813,6,0),0)</f>
        <v>0</v>
      </c>
      <c r="G3001" s="149" t="n">
        <f aca="false">IF(C3001="M.O.",VLOOKUP(A3001,INSUMOS_AUX!A:F,6,0),0)</f>
        <v>12.95</v>
      </c>
    </row>
    <row r="3002" customFormat="false" ht="52.5" hidden="false" customHeight="false" outlineLevel="0" collapsed="false">
      <c r="A3002" s="150" t="s">
        <v>579</v>
      </c>
      <c r="B3002" s="151" t="s">
        <v>1979</v>
      </c>
      <c r="C3002" s="152" t="s">
        <v>59</v>
      </c>
      <c r="D3002" s="152" t="s">
        <v>31</v>
      </c>
      <c r="E3002" s="150"/>
      <c r="F3002" s="153" t="n">
        <f aca="false">(SUMPRODUCT($E3003:$E3015,F3003:F3015))*1</f>
        <v>6696.2152</v>
      </c>
      <c r="G3002" s="153" t="n">
        <f aca="false">(SUMPRODUCT($E3003:$E3015,G3003:G3015))*1</f>
        <v>398.9790312</v>
      </c>
    </row>
    <row r="3003" customFormat="false" ht="21" hidden="false" customHeight="false" outlineLevel="0" collapsed="false">
      <c r="A3003" s="154" t="n">
        <v>37370</v>
      </c>
      <c r="B3003" s="155" t="s">
        <v>1443</v>
      </c>
      <c r="C3003" s="148" t="str">
        <f aca="false">VLOOKUP($A3003,INSUMOS_AUX!$A$3:$H$813,3,0)</f>
        <v>MAT.</v>
      </c>
      <c r="D3003" s="156" t="s">
        <v>1444</v>
      </c>
      <c r="E3003" s="154" t="n">
        <v>24</v>
      </c>
      <c r="F3003" s="149" t="n">
        <f aca="false">IF(C3003="MAT.",VLOOKUP(A3003,INSUMOS_AUX!$A$3:$H$813,6,0),0)</f>
        <v>3.32</v>
      </c>
      <c r="G3003" s="149" t="n">
        <f aca="false">IF(C3003="M.O.",VLOOKUP(A3003,INSUMOS_AUX!A:F,6,0),0)</f>
        <v>0</v>
      </c>
    </row>
    <row r="3004" customFormat="false" ht="21" hidden="false" customHeight="false" outlineLevel="0" collapsed="false">
      <c r="A3004" s="154" t="n">
        <v>43489</v>
      </c>
      <c r="B3004" s="155" t="s">
        <v>1456</v>
      </c>
      <c r="C3004" s="148" t="str">
        <f aca="false">VLOOKUP($A3004,INSUMOS_AUX!$A$3:$H$813,3,0)</f>
        <v>MAT.</v>
      </c>
      <c r="D3004" s="156" t="s">
        <v>1444</v>
      </c>
      <c r="E3004" s="154" t="n">
        <v>22</v>
      </c>
      <c r="F3004" s="149" t="n">
        <f aca="false">IF(C3004="MAT.",VLOOKUP(A3004,INSUMOS_AUX!$A$3:$H$813,6,0),0)</f>
        <v>1.31</v>
      </c>
      <c r="G3004" s="149" t="n">
        <f aca="false">IF(C3004="M.O.",VLOOKUP(A3004,INSUMOS_AUX!A:F,6,0),0)</f>
        <v>0</v>
      </c>
    </row>
    <row r="3005" customFormat="false" ht="21" hidden="false" customHeight="false" outlineLevel="0" collapsed="false">
      <c r="A3005" s="154" t="n">
        <v>43491</v>
      </c>
      <c r="B3005" s="155" t="s">
        <v>1457</v>
      </c>
      <c r="C3005" s="148" t="str">
        <f aca="false">VLOOKUP($A3005,INSUMOS_AUX!$A$3:$H$813,3,0)</f>
        <v>MAT.</v>
      </c>
      <c r="D3005" s="156" t="s">
        <v>1444</v>
      </c>
      <c r="E3005" s="154" t="n">
        <v>2</v>
      </c>
      <c r="F3005" s="149" t="n">
        <f aca="false">IF(C3005="MAT.",VLOOKUP(A3005,INSUMOS_AUX!$A$3:$H$813,6,0),0)</f>
        <v>1.39</v>
      </c>
      <c r="G3005" s="149" t="n">
        <f aca="false">IF(C3005="M.O.",VLOOKUP(A3005,INSUMOS_AUX!A:F,6,0),0)</f>
        <v>0</v>
      </c>
    </row>
    <row r="3006" customFormat="false" ht="21" hidden="false" customHeight="false" outlineLevel="0" collapsed="false">
      <c r="A3006" s="154" t="n">
        <v>37372</v>
      </c>
      <c r="B3006" s="155" t="s">
        <v>1446</v>
      </c>
      <c r="C3006" s="148" t="str">
        <f aca="false">VLOOKUP($A3006,INSUMOS_AUX!$A$3:$H$813,3,0)</f>
        <v>MAT.</v>
      </c>
      <c r="D3006" s="156" t="s">
        <v>1444</v>
      </c>
      <c r="E3006" s="154" t="n">
        <v>24</v>
      </c>
      <c r="F3006" s="149" t="n">
        <f aca="false">IF(C3006="MAT.",VLOOKUP(A3006,INSUMOS_AUX!$A$3:$H$813,6,0),0)</f>
        <v>1.43</v>
      </c>
      <c r="G3006" s="149" t="n">
        <f aca="false">IF(C3006="M.O.",VLOOKUP(A3006,INSUMOS_AUX!A:F,6,0),0)</f>
        <v>0</v>
      </c>
    </row>
    <row r="3007" customFormat="false" ht="21" hidden="false" customHeight="false" outlineLevel="0" collapsed="false">
      <c r="A3007" s="154" t="n">
        <v>43465</v>
      </c>
      <c r="B3007" s="155" t="s">
        <v>1458</v>
      </c>
      <c r="C3007" s="148" t="str">
        <f aca="false">VLOOKUP($A3007,INSUMOS_AUX!$A$3:$H$813,3,0)</f>
        <v>MAT.</v>
      </c>
      <c r="D3007" s="156" t="s">
        <v>1444</v>
      </c>
      <c r="E3007" s="154" t="n">
        <v>22</v>
      </c>
      <c r="F3007" s="149" t="n">
        <f aca="false">IF(C3007="MAT.",VLOOKUP(A3007,INSUMOS_AUX!$A$3:$H$813,6,0),0)</f>
        <v>0.78</v>
      </c>
      <c r="G3007" s="149" t="n">
        <f aca="false">IF(C3007="M.O.",VLOOKUP(A3007,INSUMOS_AUX!A:F,6,0),0)</f>
        <v>0</v>
      </c>
    </row>
    <row r="3008" customFormat="false" ht="21" hidden="false" customHeight="false" outlineLevel="0" collapsed="false">
      <c r="A3008" s="154" t="n">
        <v>43467</v>
      </c>
      <c r="B3008" s="155" t="s">
        <v>1459</v>
      </c>
      <c r="C3008" s="148" t="str">
        <f aca="false">VLOOKUP($A3008,INSUMOS_AUX!$A$3:$H$813,3,0)</f>
        <v>MAT.</v>
      </c>
      <c r="D3008" s="156" t="s">
        <v>1444</v>
      </c>
      <c r="E3008" s="154" t="n">
        <v>2</v>
      </c>
      <c r="F3008" s="149" t="n">
        <f aca="false">IF(C3008="MAT.",VLOOKUP(A3008,INSUMOS_AUX!$A$3:$H$813,6,0),0)</f>
        <v>0.61</v>
      </c>
      <c r="G3008" s="149" t="n">
        <f aca="false">IF(C3008="M.O.",VLOOKUP(A3008,INSUMOS_AUX!A:F,6,0),0)</f>
        <v>0</v>
      </c>
    </row>
    <row r="3009" customFormat="false" ht="21" hidden="false" customHeight="false" outlineLevel="0" collapsed="false">
      <c r="A3009" s="154" t="n">
        <v>37373</v>
      </c>
      <c r="B3009" s="155" t="s">
        <v>1448</v>
      </c>
      <c r="C3009" s="148" t="str">
        <f aca="false">VLOOKUP($A3009,INSUMOS_AUX!$A$3:$H$813,3,0)</f>
        <v>MAT.</v>
      </c>
      <c r="D3009" s="156" t="s">
        <v>1444</v>
      </c>
      <c r="E3009" s="154" t="n">
        <v>24</v>
      </c>
      <c r="F3009" s="149" t="n">
        <f aca="false">IF(C3009="MAT.",VLOOKUP(A3009,INSUMOS_AUX!$A$3:$H$813,6,0),0)</f>
        <v>0.08</v>
      </c>
      <c r="G3009" s="149" t="n">
        <f aca="false">IF(C3009="M.O.",VLOOKUP(A3009,INSUMOS_AUX!A:F,6,0),0)</f>
        <v>0</v>
      </c>
    </row>
    <row r="3010" customFormat="false" ht="21" hidden="false" customHeight="false" outlineLevel="0" collapsed="false">
      <c r="A3010" s="154" t="n">
        <v>37371</v>
      </c>
      <c r="B3010" s="155" t="s">
        <v>1449</v>
      </c>
      <c r="C3010" s="148" t="str">
        <f aca="false">VLOOKUP($A3010,INSUMOS_AUX!$A$3:$H$813,3,0)</f>
        <v>MAT.</v>
      </c>
      <c r="D3010" s="156" t="s">
        <v>1444</v>
      </c>
      <c r="E3010" s="154" t="n">
        <v>24</v>
      </c>
      <c r="F3010" s="149" t="n">
        <f aca="false">IF(C3010="MAT.",VLOOKUP(A3010,INSUMOS_AUX!$A$3:$H$813,6,0),0)</f>
        <v>0.59</v>
      </c>
      <c r="G3010" s="149" t="n">
        <f aca="false">IF(C3010="M.O.",VLOOKUP(A3010,INSUMOS_AUX!A:F,6,0),0)</f>
        <v>0</v>
      </c>
    </row>
    <row r="3011" customFormat="false" ht="15" hidden="false" customHeight="false" outlineLevel="0" collapsed="false">
      <c r="A3011" s="154" t="s">
        <v>1980</v>
      </c>
      <c r="B3011" s="155" t="s">
        <v>1981</v>
      </c>
      <c r="C3011" s="148" t="str">
        <f aca="false">VLOOKUP($A3011,INSUMOS_AUX!$A$3:$H$813,3,0)</f>
        <v>MAT.</v>
      </c>
      <c r="D3011" s="156" t="s">
        <v>1455</v>
      </c>
      <c r="E3011" s="154" t="n">
        <v>26.74</v>
      </c>
      <c r="F3011" s="149" t="n">
        <f aca="false">IF(C3011="MAT.",VLOOKUP(A3011,INSUMOS_AUX!$A$3:$H$813,6,0),0)</f>
        <v>26.8133333333333</v>
      </c>
      <c r="G3011" s="149" t="n">
        <f aca="false">IF(C3011="M.O.",VLOOKUP(A3011,INSUMOS_AUX!A:F,6,0),0)</f>
        <v>0</v>
      </c>
    </row>
    <row r="3012" customFormat="false" ht="52.5" hidden="false" customHeight="false" outlineLevel="0" collapsed="false">
      <c r="A3012" s="154" t="s">
        <v>1982</v>
      </c>
      <c r="B3012" s="155" t="s">
        <v>1979</v>
      </c>
      <c r="C3012" s="148" t="str">
        <f aca="false">VLOOKUP($A3012,INSUMOS_AUX!$A$3:$H$813,3,0)</f>
        <v>MAT.</v>
      </c>
      <c r="D3012" s="156" t="s">
        <v>31</v>
      </c>
      <c r="E3012" s="154" t="n">
        <v>1</v>
      </c>
      <c r="F3012" s="149" t="n">
        <f aca="false">IF(C3012="MAT.",VLOOKUP(A3012,INSUMOS_AUX!$A$3:$H$813,6,0),0)</f>
        <v>5799.16666666667</v>
      </c>
      <c r="G3012" s="149" t="n">
        <f aca="false">IF(C3012="M.O.",VLOOKUP(A3012,INSUMOS_AUX!A:F,6,0),0)</f>
        <v>0</v>
      </c>
    </row>
    <row r="3013" customFormat="false" ht="15" hidden="false" customHeight="false" outlineLevel="0" collapsed="false">
      <c r="A3013" s="154" t="n">
        <v>252</v>
      </c>
      <c r="B3013" s="155" t="s">
        <v>1600</v>
      </c>
      <c r="C3013" s="148" t="str">
        <f aca="false">VLOOKUP($A3013,INSUMOS_AUX!$A$3:$H$813,3,0)</f>
        <v>M.O.</v>
      </c>
      <c r="D3013" s="156" t="s">
        <v>1444</v>
      </c>
      <c r="E3013" s="154" t="n">
        <v>11.12694</v>
      </c>
      <c r="F3013" s="149" t="n">
        <f aca="false">IF(C3013="MAT.",VLOOKUP(A3013,INSUMOS_AUX!$A$3:$H$813,6,0),0)</f>
        <v>0</v>
      </c>
      <c r="G3013" s="149" t="n">
        <f aca="false">IF(C3013="M.O.",VLOOKUP(A3013,INSUMOS_AUX!A:F,6,0),0)</f>
        <v>13.26</v>
      </c>
    </row>
    <row r="3014" customFormat="false" ht="15" hidden="false" customHeight="false" outlineLevel="0" collapsed="false">
      <c r="A3014" s="154" t="n">
        <v>6110</v>
      </c>
      <c r="B3014" s="155" t="s">
        <v>1601</v>
      </c>
      <c r="C3014" s="148" t="str">
        <f aca="false">VLOOKUP($A3014,INSUMOS_AUX!$A$3:$H$813,3,0)</f>
        <v>M.O.</v>
      </c>
      <c r="D3014" s="156" t="s">
        <v>1444</v>
      </c>
      <c r="E3014" s="154" t="n">
        <v>11.12694</v>
      </c>
      <c r="F3014" s="149" t="n">
        <f aca="false">IF(C3014="MAT.",VLOOKUP(A3014,INSUMOS_AUX!$A$3:$H$813,6,0),0)</f>
        <v>0</v>
      </c>
      <c r="G3014" s="149" t="n">
        <f aca="false">IF(C3014="M.O.",VLOOKUP(A3014,INSUMOS_AUX!A:F,6,0),0)</f>
        <v>20.22</v>
      </c>
    </row>
    <row r="3015" customFormat="false" ht="15" hidden="false" customHeight="false" outlineLevel="0" collapsed="false">
      <c r="A3015" s="154" t="n">
        <v>6111</v>
      </c>
      <c r="B3015" s="155" t="s">
        <v>1464</v>
      </c>
      <c r="C3015" s="148" t="str">
        <f aca="false">VLOOKUP($A3015,INSUMOS_AUX!$A$3:$H$813,3,0)</f>
        <v>M.O.</v>
      </c>
      <c r="D3015" s="156" t="s">
        <v>1444</v>
      </c>
      <c r="E3015" s="154" t="n">
        <v>2.0424</v>
      </c>
      <c r="F3015" s="149" t="n">
        <f aca="false">IF(C3015="MAT.",VLOOKUP(A3015,INSUMOS_AUX!$A$3:$H$813,6,0),0)</f>
        <v>0</v>
      </c>
      <c r="G3015" s="149" t="n">
        <f aca="false">IF(C3015="M.O.",VLOOKUP(A3015,INSUMOS_AUX!A:F,6,0),0)</f>
        <v>12.95</v>
      </c>
    </row>
    <row r="3016" customFormat="false" ht="42" hidden="false" customHeight="false" outlineLevel="0" collapsed="false">
      <c r="A3016" s="150" t="s">
        <v>581</v>
      </c>
      <c r="B3016" s="151" t="s">
        <v>1983</v>
      </c>
      <c r="C3016" s="152" t="s">
        <v>59</v>
      </c>
      <c r="D3016" s="152" t="s">
        <v>31</v>
      </c>
      <c r="E3016" s="150"/>
      <c r="F3016" s="153" t="n">
        <f aca="false">(SUMPRODUCT($E3017:$E3029,F3017:F3029))*1</f>
        <v>11008.9022666667</v>
      </c>
      <c r="G3016" s="153" t="n">
        <f aca="false">(SUMPRODUCT($E3017:$E3029,G3017:G3029))*1</f>
        <v>398.9790312</v>
      </c>
    </row>
    <row r="3017" customFormat="false" ht="21" hidden="false" customHeight="false" outlineLevel="0" collapsed="false">
      <c r="A3017" s="154" t="n">
        <v>37370</v>
      </c>
      <c r="B3017" s="155" t="s">
        <v>1443</v>
      </c>
      <c r="C3017" s="148" t="str">
        <f aca="false">VLOOKUP($A3017,INSUMOS_AUX!$A$3:$H$813,3,0)</f>
        <v>MAT.</v>
      </c>
      <c r="D3017" s="156" t="s">
        <v>1444</v>
      </c>
      <c r="E3017" s="154" t="n">
        <v>24</v>
      </c>
      <c r="F3017" s="149" t="n">
        <f aca="false">IF(C3017="MAT.",VLOOKUP(A3017,INSUMOS_AUX!$A$3:$H$813,6,0),0)</f>
        <v>3.32</v>
      </c>
      <c r="G3017" s="149" t="n">
        <f aca="false">IF(C3017="M.O.",VLOOKUP(A3017,INSUMOS_AUX!A:F,6,0),0)</f>
        <v>0</v>
      </c>
    </row>
    <row r="3018" customFormat="false" ht="21" hidden="false" customHeight="false" outlineLevel="0" collapsed="false">
      <c r="A3018" s="154" t="n">
        <v>43489</v>
      </c>
      <c r="B3018" s="155" t="s">
        <v>1456</v>
      </c>
      <c r="C3018" s="148" t="str">
        <f aca="false">VLOOKUP($A3018,INSUMOS_AUX!$A$3:$H$813,3,0)</f>
        <v>MAT.</v>
      </c>
      <c r="D3018" s="156" t="s">
        <v>1444</v>
      </c>
      <c r="E3018" s="154" t="n">
        <v>22</v>
      </c>
      <c r="F3018" s="149" t="n">
        <f aca="false">IF(C3018="MAT.",VLOOKUP(A3018,INSUMOS_AUX!$A$3:$H$813,6,0),0)</f>
        <v>1.31</v>
      </c>
      <c r="G3018" s="149" t="n">
        <f aca="false">IF(C3018="M.O.",VLOOKUP(A3018,INSUMOS_AUX!A:F,6,0),0)</f>
        <v>0</v>
      </c>
    </row>
    <row r="3019" customFormat="false" ht="21" hidden="false" customHeight="false" outlineLevel="0" collapsed="false">
      <c r="A3019" s="154" t="n">
        <v>43491</v>
      </c>
      <c r="B3019" s="155" t="s">
        <v>1457</v>
      </c>
      <c r="C3019" s="148" t="str">
        <f aca="false">VLOOKUP($A3019,INSUMOS_AUX!$A$3:$H$813,3,0)</f>
        <v>MAT.</v>
      </c>
      <c r="D3019" s="156" t="s">
        <v>1444</v>
      </c>
      <c r="E3019" s="154" t="n">
        <v>2</v>
      </c>
      <c r="F3019" s="149" t="n">
        <f aca="false">IF(C3019="MAT.",VLOOKUP(A3019,INSUMOS_AUX!$A$3:$H$813,6,0),0)</f>
        <v>1.39</v>
      </c>
      <c r="G3019" s="149" t="n">
        <f aca="false">IF(C3019="M.O.",VLOOKUP(A3019,INSUMOS_AUX!A:F,6,0),0)</f>
        <v>0</v>
      </c>
    </row>
    <row r="3020" customFormat="false" ht="21" hidden="false" customHeight="false" outlineLevel="0" collapsed="false">
      <c r="A3020" s="154" t="n">
        <v>37372</v>
      </c>
      <c r="B3020" s="155" t="s">
        <v>1446</v>
      </c>
      <c r="C3020" s="148" t="str">
        <f aca="false">VLOOKUP($A3020,INSUMOS_AUX!$A$3:$H$813,3,0)</f>
        <v>MAT.</v>
      </c>
      <c r="D3020" s="156" t="s">
        <v>1444</v>
      </c>
      <c r="E3020" s="154" t="n">
        <v>24</v>
      </c>
      <c r="F3020" s="149" t="n">
        <f aca="false">IF(C3020="MAT.",VLOOKUP(A3020,INSUMOS_AUX!$A$3:$H$813,6,0),0)</f>
        <v>1.43</v>
      </c>
      <c r="G3020" s="149" t="n">
        <f aca="false">IF(C3020="M.O.",VLOOKUP(A3020,INSUMOS_AUX!A:F,6,0),0)</f>
        <v>0</v>
      </c>
    </row>
    <row r="3021" customFormat="false" ht="21" hidden="false" customHeight="false" outlineLevel="0" collapsed="false">
      <c r="A3021" s="154" t="n">
        <v>43465</v>
      </c>
      <c r="B3021" s="155" t="s">
        <v>1458</v>
      </c>
      <c r="C3021" s="148" t="str">
        <f aca="false">VLOOKUP($A3021,INSUMOS_AUX!$A$3:$H$813,3,0)</f>
        <v>MAT.</v>
      </c>
      <c r="D3021" s="156" t="s">
        <v>1444</v>
      </c>
      <c r="E3021" s="154" t="n">
        <v>22</v>
      </c>
      <c r="F3021" s="149" t="n">
        <f aca="false">IF(C3021="MAT.",VLOOKUP(A3021,INSUMOS_AUX!$A$3:$H$813,6,0),0)</f>
        <v>0.78</v>
      </c>
      <c r="G3021" s="149" t="n">
        <f aca="false">IF(C3021="M.O.",VLOOKUP(A3021,INSUMOS_AUX!A:F,6,0),0)</f>
        <v>0</v>
      </c>
    </row>
    <row r="3022" customFormat="false" ht="21" hidden="false" customHeight="false" outlineLevel="0" collapsed="false">
      <c r="A3022" s="154" t="n">
        <v>43467</v>
      </c>
      <c r="B3022" s="155" t="s">
        <v>1459</v>
      </c>
      <c r="C3022" s="148" t="str">
        <f aca="false">VLOOKUP($A3022,INSUMOS_AUX!$A$3:$H$813,3,0)</f>
        <v>MAT.</v>
      </c>
      <c r="D3022" s="156" t="s">
        <v>1444</v>
      </c>
      <c r="E3022" s="154" t="n">
        <v>2</v>
      </c>
      <c r="F3022" s="149" t="n">
        <f aca="false">IF(C3022="MAT.",VLOOKUP(A3022,INSUMOS_AUX!$A$3:$H$813,6,0),0)</f>
        <v>0.61</v>
      </c>
      <c r="G3022" s="149" t="n">
        <f aca="false">IF(C3022="M.O.",VLOOKUP(A3022,INSUMOS_AUX!A:F,6,0),0)</f>
        <v>0</v>
      </c>
    </row>
    <row r="3023" customFormat="false" ht="21" hidden="false" customHeight="false" outlineLevel="0" collapsed="false">
      <c r="A3023" s="154" t="n">
        <v>37373</v>
      </c>
      <c r="B3023" s="155" t="s">
        <v>1448</v>
      </c>
      <c r="C3023" s="148" t="str">
        <f aca="false">VLOOKUP($A3023,INSUMOS_AUX!$A$3:$H$813,3,0)</f>
        <v>MAT.</v>
      </c>
      <c r="D3023" s="156" t="s">
        <v>1444</v>
      </c>
      <c r="E3023" s="154" t="n">
        <v>24</v>
      </c>
      <c r="F3023" s="149" t="n">
        <f aca="false">IF(C3023="MAT.",VLOOKUP(A3023,INSUMOS_AUX!$A$3:$H$813,6,0),0)</f>
        <v>0.08</v>
      </c>
      <c r="G3023" s="149" t="n">
        <f aca="false">IF(C3023="M.O.",VLOOKUP(A3023,INSUMOS_AUX!A:F,6,0),0)</f>
        <v>0</v>
      </c>
    </row>
    <row r="3024" customFormat="false" ht="21" hidden="false" customHeight="false" outlineLevel="0" collapsed="false">
      <c r="A3024" s="154" t="n">
        <v>37371</v>
      </c>
      <c r="B3024" s="155" t="s">
        <v>1449</v>
      </c>
      <c r="C3024" s="148" t="str">
        <f aca="false">VLOOKUP($A3024,INSUMOS_AUX!$A$3:$H$813,3,0)</f>
        <v>MAT.</v>
      </c>
      <c r="D3024" s="156" t="s">
        <v>1444</v>
      </c>
      <c r="E3024" s="154" t="n">
        <v>24</v>
      </c>
      <c r="F3024" s="149" t="n">
        <f aca="false">IF(C3024="MAT.",VLOOKUP(A3024,INSUMOS_AUX!$A$3:$H$813,6,0),0)</f>
        <v>0.59</v>
      </c>
      <c r="G3024" s="149" t="n">
        <f aca="false">IF(C3024="M.O.",VLOOKUP(A3024,INSUMOS_AUX!A:F,6,0),0)</f>
        <v>0</v>
      </c>
    </row>
    <row r="3025" customFormat="false" ht="15" hidden="false" customHeight="false" outlineLevel="0" collapsed="false">
      <c r="A3025" s="154" t="s">
        <v>1980</v>
      </c>
      <c r="B3025" s="155" t="s">
        <v>1981</v>
      </c>
      <c r="C3025" s="148" t="str">
        <f aca="false">VLOOKUP($A3025,INSUMOS_AUX!$A$3:$H$813,3,0)</f>
        <v>MAT.</v>
      </c>
      <c r="D3025" s="156" t="s">
        <v>1455</v>
      </c>
      <c r="E3025" s="154" t="n">
        <v>28.22</v>
      </c>
      <c r="F3025" s="149" t="n">
        <f aca="false">IF(C3025="MAT.",VLOOKUP(A3025,INSUMOS_AUX!$A$3:$H$813,6,0),0)</f>
        <v>26.8133333333333</v>
      </c>
      <c r="G3025" s="149" t="n">
        <f aca="false">IF(C3025="M.O.",VLOOKUP(A3025,INSUMOS_AUX!A:F,6,0),0)</f>
        <v>0</v>
      </c>
    </row>
    <row r="3026" customFormat="false" ht="42" hidden="false" customHeight="false" outlineLevel="0" collapsed="false">
      <c r="A3026" s="154" t="s">
        <v>1984</v>
      </c>
      <c r="B3026" s="155" t="s">
        <v>1983</v>
      </c>
      <c r="C3026" s="148" t="str">
        <f aca="false">VLOOKUP($A3026,INSUMOS_AUX!$A$3:$H$813,3,0)</f>
        <v>MAT.</v>
      </c>
      <c r="D3026" s="156" t="s">
        <v>31</v>
      </c>
      <c r="E3026" s="154" t="n">
        <v>1</v>
      </c>
      <c r="F3026" s="149" t="n">
        <f aca="false">IF(C3026="MAT.",VLOOKUP(A3026,INSUMOS_AUX!$A$3:$H$813,6,0),0)</f>
        <v>10072.17</v>
      </c>
      <c r="G3026" s="149" t="n">
        <f aca="false">IF(C3026="M.O.",VLOOKUP(A3026,INSUMOS_AUX!A:F,6,0),0)</f>
        <v>0</v>
      </c>
    </row>
    <row r="3027" customFormat="false" ht="15" hidden="false" customHeight="false" outlineLevel="0" collapsed="false">
      <c r="A3027" s="154" t="n">
        <v>252</v>
      </c>
      <c r="B3027" s="155" t="s">
        <v>1600</v>
      </c>
      <c r="C3027" s="148" t="str">
        <f aca="false">VLOOKUP($A3027,INSUMOS_AUX!$A$3:$H$813,3,0)</f>
        <v>M.O.</v>
      </c>
      <c r="D3027" s="156" t="s">
        <v>1444</v>
      </c>
      <c r="E3027" s="154" t="n">
        <v>11.12694</v>
      </c>
      <c r="F3027" s="149" t="n">
        <f aca="false">IF(C3027="MAT.",VLOOKUP(A3027,INSUMOS_AUX!$A$3:$H$813,6,0),0)</f>
        <v>0</v>
      </c>
      <c r="G3027" s="149" t="n">
        <f aca="false">IF(C3027="M.O.",VLOOKUP(A3027,INSUMOS_AUX!A:F,6,0),0)</f>
        <v>13.26</v>
      </c>
    </row>
    <row r="3028" customFormat="false" ht="15" hidden="false" customHeight="false" outlineLevel="0" collapsed="false">
      <c r="A3028" s="154" t="n">
        <v>6110</v>
      </c>
      <c r="B3028" s="155" t="s">
        <v>1601</v>
      </c>
      <c r="C3028" s="148" t="str">
        <f aca="false">VLOOKUP($A3028,INSUMOS_AUX!$A$3:$H$813,3,0)</f>
        <v>M.O.</v>
      </c>
      <c r="D3028" s="156" t="s">
        <v>1444</v>
      </c>
      <c r="E3028" s="154" t="n">
        <v>11.12694</v>
      </c>
      <c r="F3028" s="149" t="n">
        <f aca="false">IF(C3028="MAT.",VLOOKUP(A3028,INSUMOS_AUX!$A$3:$H$813,6,0),0)</f>
        <v>0</v>
      </c>
      <c r="G3028" s="149" t="n">
        <f aca="false">IF(C3028="M.O.",VLOOKUP(A3028,INSUMOS_AUX!A:F,6,0),0)</f>
        <v>20.22</v>
      </c>
    </row>
    <row r="3029" customFormat="false" ht="15" hidden="false" customHeight="false" outlineLevel="0" collapsed="false">
      <c r="A3029" s="154" t="n">
        <v>6111</v>
      </c>
      <c r="B3029" s="155" t="s">
        <v>1464</v>
      </c>
      <c r="C3029" s="148" t="str">
        <f aca="false">VLOOKUP($A3029,INSUMOS_AUX!$A$3:$H$813,3,0)</f>
        <v>M.O.</v>
      </c>
      <c r="D3029" s="156" t="s">
        <v>1444</v>
      </c>
      <c r="E3029" s="154" t="n">
        <v>2.0424</v>
      </c>
      <c r="F3029" s="149" t="n">
        <f aca="false">IF(C3029="MAT.",VLOOKUP(A3029,INSUMOS_AUX!$A$3:$H$813,6,0),0)</f>
        <v>0</v>
      </c>
      <c r="G3029" s="149" t="n">
        <f aca="false">IF(C3029="M.O.",VLOOKUP(A3029,INSUMOS_AUX!A:F,6,0),0)</f>
        <v>12.95</v>
      </c>
    </row>
    <row r="3030" customFormat="false" ht="21" hidden="false" customHeight="false" outlineLevel="0" collapsed="false">
      <c r="A3030" s="150" t="s">
        <v>584</v>
      </c>
      <c r="B3030" s="151" t="s">
        <v>1985</v>
      </c>
      <c r="C3030" s="152" t="s">
        <v>59</v>
      </c>
      <c r="D3030" s="152" t="s">
        <v>31</v>
      </c>
      <c r="E3030" s="150"/>
      <c r="F3030" s="153" t="n">
        <f aca="false">(SUMPRODUCT($E3031:$E3038,F3031:F3038))*1</f>
        <v>65.21</v>
      </c>
      <c r="G3030" s="153" t="n">
        <f aca="false">(SUMPRODUCT($E3031:$E3038,G3031:G3038))*1</f>
        <v>2.644908</v>
      </c>
    </row>
    <row r="3031" customFormat="false" ht="21" hidden="false" customHeight="false" outlineLevel="0" collapsed="false">
      <c r="A3031" s="154" t="n">
        <v>37370</v>
      </c>
      <c r="B3031" s="155" t="s">
        <v>1443</v>
      </c>
      <c r="C3031" s="148" t="s">
        <v>59</v>
      </c>
      <c r="D3031" s="156" t="s">
        <v>1444</v>
      </c>
      <c r="E3031" s="154" t="n">
        <v>0.2</v>
      </c>
      <c r="F3031" s="149" t="n">
        <f aca="false">IF(C3031="MAT.",VLOOKUP(A3031,INSUMOS_AUX!$A$3:$H$813,6,0),0)</f>
        <v>0</v>
      </c>
      <c r="G3031" s="149" t="n">
        <f aca="false">IF(C3031="M.O.",VLOOKUP(A3031,INSUMOS_AUX!A:F,6,0),0)</f>
        <v>0</v>
      </c>
    </row>
    <row r="3032" customFormat="false" ht="21" hidden="false" customHeight="false" outlineLevel="0" collapsed="false">
      <c r="A3032" s="154" t="n">
        <v>43491</v>
      </c>
      <c r="B3032" s="155" t="s">
        <v>1457</v>
      </c>
      <c r="C3032" s="148" t="str">
        <f aca="false">VLOOKUP($A3032,INSUMOS_AUX!$A$3:$H$813,3,0)</f>
        <v>MAT.</v>
      </c>
      <c r="D3032" s="156" t="s">
        <v>1444</v>
      </c>
      <c r="E3032" s="154" t="n">
        <v>0.2</v>
      </c>
      <c r="F3032" s="149" t="n">
        <f aca="false">IF(C3032="MAT.",VLOOKUP(A3032,INSUMOS_AUX!$A$3:$H$813,6,0),0)</f>
        <v>1.39</v>
      </c>
      <c r="G3032" s="149" t="n">
        <f aca="false">IF(C3032="M.O.",VLOOKUP(A3032,INSUMOS_AUX!A:F,6,0),0)</f>
        <v>0</v>
      </c>
    </row>
    <row r="3033" customFormat="false" ht="21" hidden="false" customHeight="false" outlineLevel="0" collapsed="false">
      <c r="A3033" s="154" t="n">
        <v>37372</v>
      </c>
      <c r="B3033" s="155" t="s">
        <v>1446</v>
      </c>
      <c r="C3033" s="148" t="str">
        <f aca="false">VLOOKUP($A3033,INSUMOS_AUX!$A$3:$H$813,3,0)</f>
        <v>MAT.</v>
      </c>
      <c r="D3033" s="156" t="s">
        <v>1444</v>
      </c>
      <c r="E3033" s="154" t="n">
        <v>0.2</v>
      </c>
      <c r="F3033" s="149" t="n">
        <f aca="false">IF(C3033="MAT.",VLOOKUP(A3033,INSUMOS_AUX!$A$3:$H$813,6,0),0)</f>
        <v>1.43</v>
      </c>
      <c r="G3033" s="149" t="n">
        <f aca="false">IF(C3033="M.O.",VLOOKUP(A3033,INSUMOS_AUX!A:F,6,0),0)</f>
        <v>0</v>
      </c>
    </row>
    <row r="3034" customFormat="false" ht="21" hidden="false" customHeight="false" outlineLevel="0" collapsed="false">
      <c r="A3034" s="154" t="n">
        <v>43467</v>
      </c>
      <c r="B3034" s="155" t="s">
        <v>1459</v>
      </c>
      <c r="C3034" s="148" t="str">
        <f aca="false">VLOOKUP($A3034,INSUMOS_AUX!$A$3:$H$813,3,0)</f>
        <v>MAT.</v>
      </c>
      <c r="D3034" s="156" t="s">
        <v>1444</v>
      </c>
      <c r="E3034" s="154" t="n">
        <v>0.2</v>
      </c>
      <c r="F3034" s="149" t="n">
        <f aca="false">IF(C3034="MAT.",VLOOKUP(A3034,INSUMOS_AUX!$A$3:$H$813,6,0),0)</f>
        <v>0.61</v>
      </c>
      <c r="G3034" s="149" t="n">
        <f aca="false">IF(C3034="M.O.",VLOOKUP(A3034,INSUMOS_AUX!A:F,6,0),0)</f>
        <v>0</v>
      </c>
    </row>
    <row r="3035" customFormat="false" ht="21" hidden="false" customHeight="false" outlineLevel="0" collapsed="false">
      <c r="A3035" s="154" t="n">
        <v>37373</v>
      </c>
      <c r="B3035" s="155" t="s">
        <v>1448</v>
      </c>
      <c r="C3035" s="148" t="str">
        <f aca="false">VLOOKUP($A3035,INSUMOS_AUX!$A$3:$H$813,3,0)</f>
        <v>MAT.</v>
      </c>
      <c r="D3035" s="156" t="s">
        <v>1444</v>
      </c>
      <c r="E3035" s="154" t="n">
        <v>0.2</v>
      </c>
      <c r="F3035" s="149" t="n">
        <f aca="false">IF(C3035="MAT.",VLOOKUP(A3035,INSUMOS_AUX!$A$3:$H$813,6,0),0)</f>
        <v>0.08</v>
      </c>
      <c r="G3035" s="149" t="n">
        <f aca="false">IF(C3035="M.O.",VLOOKUP(A3035,INSUMOS_AUX!A:F,6,0),0)</f>
        <v>0</v>
      </c>
    </row>
    <row r="3036" customFormat="false" ht="21" hidden="false" customHeight="false" outlineLevel="0" collapsed="false">
      <c r="A3036" s="154" t="n">
        <v>37371</v>
      </c>
      <c r="B3036" s="155" t="s">
        <v>1449</v>
      </c>
      <c r="C3036" s="148" t="str">
        <f aca="false">VLOOKUP($A3036,INSUMOS_AUX!$A$3:$H$813,3,0)</f>
        <v>MAT.</v>
      </c>
      <c r="D3036" s="156" t="s">
        <v>1444</v>
      </c>
      <c r="E3036" s="154" t="n">
        <v>0.2</v>
      </c>
      <c r="F3036" s="149" t="n">
        <f aca="false">IF(C3036="MAT.",VLOOKUP(A3036,INSUMOS_AUX!$A$3:$H$813,6,0),0)</f>
        <v>0.59</v>
      </c>
      <c r="G3036" s="149" t="n">
        <f aca="false">IF(C3036="M.O.",VLOOKUP(A3036,INSUMOS_AUX!A:F,6,0),0)</f>
        <v>0</v>
      </c>
    </row>
    <row r="3037" customFormat="false" ht="31.5" hidden="false" customHeight="false" outlineLevel="0" collapsed="false">
      <c r="A3037" s="154" t="n">
        <v>10851</v>
      </c>
      <c r="B3037" s="155" t="s">
        <v>1986</v>
      </c>
      <c r="C3037" s="148" t="str">
        <f aca="false">VLOOKUP($A3037,INSUMOS_AUX!$A$3:$H$813,3,0)</f>
        <v>MAT.</v>
      </c>
      <c r="D3037" s="156" t="s">
        <v>31</v>
      </c>
      <c r="E3037" s="154" t="n">
        <v>1</v>
      </c>
      <c r="F3037" s="149" t="n">
        <f aca="false">IF(C3037="MAT.",VLOOKUP(A3037,INSUMOS_AUX!$A$3:$H$813,6,0),0)</f>
        <v>64.39</v>
      </c>
      <c r="G3037" s="149" t="n">
        <f aca="false">IF(C3037="M.O.",VLOOKUP(A3037,INSUMOS_AUX!A:F,6,0),0)</f>
        <v>0</v>
      </c>
    </row>
    <row r="3038" customFormat="false" ht="15" hidden="false" customHeight="false" outlineLevel="0" collapsed="false">
      <c r="A3038" s="154" t="n">
        <v>6111</v>
      </c>
      <c r="B3038" s="155" t="s">
        <v>1464</v>
      </c>
      <c r="C3038" s="148" t="str">
        <f aca="false">VLOOKUP($A3038,INSUMOS_AUX!$A$3:$H$813,3,0)</f>
        <v>M.O.</v>
      </c>
      <c r="D3038" s="156" t="s">
        <v>1444</v>
      </c>
      <c r="E3038" s="154" t="n">
        <v>0.20424</v>
      </c>
      <c r="F3038" s="149" t="n">
        <f aca="false">IF(C3038="MAT.",VLOOKUP(A3038,INSUMOS_AUX!$A$3:$H$813,6,0),0)</f>
        <v>0</v>
      </c>
      <c r="G3038" s="149" t="n">
        <f aca="false">IF(C3038="M.O.",VLOOKUP(A3038,INSUMOS_AUX!A:F,6,0),0)</f>
        <v>12.95</v>
      </c>
    </row>
    <row r="3039" customFormat="false" ht="21" hidden="false" customHeight="false" outlineLevel="0" collapsed="false">
      <c r="A3039" s="150" t="s">
        <v>586</v>
      </c>
      <c r="B3039" s="151" t="s">
        <v>1987</v>
      </c>
      <c r="C3039" s="152" t="s">
        <v>59</v>
      </c>
      <c r="D3039" s="152" t="s">
        <v>31</v>
      </c>
      <c r="E3039" s="150"/>
      <c r="F3039" s="153" t="n">
        <f aca="false">(SUMPRODUCT($E3040:$E3047,F3040:F3047))*1</f>
        <v>52.3606666666667</v>
      </c>
      <c r="G3039" s="153" t="n">
        <f aca="false">(SUMPRODUCT($E3040:$E3047,G3040:G3047))*1</f>
        <v>2.644908</v>
      </c>
    </row>
    <row r="3040" customFormat="false" ht="21" hidden="false" customHeight="false" outlineLevel="0" collapsed="false">
      <c r="A3040" s="154" t="n">
        <v>37370</v>
      </c>
      <c r="B3040" s="155" t="s">
        <v>1443</v>
      </c>
      <c r="C3040" s="148" t="str">
        <f aca="false">VLOOKUP($A3040,INSUMOS_AUX!$A$3:$H$813,3,0)</f>
        <v>MAT.</v>
      </c>
      <c r="D3040" s="156" t="s">
        <v>1444</v>
      </c>
      <c r="E3040" s="154" t="n">
        <v>0.2</v>
      </c>
      <c r="F3040" s="149" t="n">
        <f aca="false">IF(C3040="MAT.",VLOOKUP(A3040,INSUMOS_AUX!$A$3:$H$813,6,0),0)</f>
        <v>3.32</v>
      </c>
      <c r="G3040" s="149" t="n">
        <f aca="false">IF(C3040="M.O.",VLOOKUP(A3040,INSUMOS_AUX!A:F,6,0),0)</f>
        <v>0</v>
      </c>
    </row>
    <row r="3041" customFormat="false" ht="21" hidden="false" customHeight="false" outlineLevel="0" collapsed="false">
      <c r="A3041" s="154" t="n">
        <v>43491</v>
      </c>
      <c r="B3041" s="155" t="s">
        <v>1457</v>
      </c>
      <c r="C3041" s="148" t="str">
        <f aca="false">VLOOKUP($A3041,INSUMOS_AUX!$A$3:$H$813,3,0)</f>
        <v>MAT.</v>
      </c>
      <c r="D3041" s="156" t="s">
        <v>1444</v>
      </c>
      <c r="E3041" s="154" t="n">
        <v>0.2</v>
      </c>
      <c r="F3041" s="149" t="n">
        <f aca="false">IF(C3041="MAT.",VLOOKUP(A3041,INSUMOS_AUX!$A$3:$H$813,6,0),0)</f>
        <v>1.39</v>
      </c>
      <c r="G3041" s="149" t="n">
        <f aca="false">IF(C3041="M.O.",VLOOKUP(A3041,INSUMOS_AUX!A:F,6,0),0)</f>
        <v>0</v>
      </c>
    </row>
    <row r="3042" customFormat="false" ht="21" hidden="false" customHeight="false" outlineLevel="0" collapsed="false">
      <c r="A3042" s="154" t="n">
        <v>37372</v>
      </c>
      <c r="B3042" s="155" t="s">
        <v>1446</v>
      </c>
      <c r="C3042" s="148" t="str">
        <f aca="false">VLOOKUP($A3042,INSUMOS_AUX!$A$3:$H$813,3,0)</f>
        <v>MAT.</v>
      </c>
      <c r="D3042" s="156" t="s">
        <v>1444</v>
      </c>
      <c r="E3042" s="154" t="n">
        <v>0.2</v>
      </c>
      <c r="F3042" s="149" t="n">
        <f aca="false">IF(C3042="MAT.",VLOOKUP(A3042,INSUMOS_AUX!$A$3:$H$813,6,0),0)</f>
        <v>1.43</v>
      </c>
      <c r="G3042" s="149" t="n">
        <f aca="false">IF(C3042="M.O.",VLOOKUP(A3042,INSUMOS_AUX!A:F,6,0),0)</f>
        <v>0</v>
      </c>
    </row>
    <row r="3043" customFormat="false" ht="21" hidden="false" customHeight="false" outlineLevel="0" collapsed="false">
      <c r="A3043" s="154" t="n">
        <v>43467</v>
      </c>
      <c r="B3043" s="155" t="s">
        <v>1459</v>
      </c>
      <c r="C3043" s="148" t="str">
        <f aca="false">VLOOKUP($A3043,INSUMOS_AUX!$A$3:$H$813,3,0)</f>
        <v>MAT.</v>
      </c>
      <c r="D3043" s="156" t="s">
        <v>1444</v>
      </c>
      <c r="E3043" s="154" t="n">
        <v>0.2</v>
      </c>
      <c r="F3043" s="149" t="n">
        <f aca="false">IF(C3043="MAT.",VLOOKUP(A3043,INSUMOS_AUX!$A$3:$H$813,6,0),0)</f>
        <v>0.61</v>
      </c>
      <c r="G3043" s="149" t="n">
        <f aca="false">IF(C3043="M.O.",VLOOKUP(A3043,INSUMOS_AUX!A:F,6,0),0)</f>
        <v>0</v>
      </c>
    </row>
    <row r="3044" customFormat="false" ht="21" hidden="false" customHeight="false" outlineLevel="0" collapsed="false">
      <c r="A3044" s="154" t="n">
        <v>37373</v>
      </c>
      <c r="B3044" s="155" t="s">
        <v>1448</v>
      </c>
      <c r="C3044" s="148" t="str">
        <f aca="false">VLOOKUP($A3044,INSUMOS_AUX!$A$3:$H$813,3,0)</f>
        <v>MAT.</v>
      </c>
      <c r="D3044" s="156" t="s">
        <v>1444</v>
      </c>
      <c r="E3044" s="154" t="n">
        <v>0.2</v>
      </c>
      <c r="F3044" s="149" t="n">
        <f aca="false">IF(C3044="MAT.",VLOOKUP(A3044,INSUMOS_AUX!$A$3:$H$813,6,0),0)</f>
        <v>0.08</v>
      </c>
      <c r="G3044" s="149" t="n">
        <f aca="false">IF(C3044="M.O.",VLOOKUP(A3044,INSUMOS_AUX!A:F,6,0),0)</f>
        <v>0</v>
      </c>
    </row>
    <row r="3045" customFormat="false" ht="21" hidden="false" customHeight="false" outlineLevel="0" collapsed="false">
      <c r="A3045" s="154" t="n">
        <v>37371</v>
      </c>
      <c r="B3045" s="155" t="s">
        <v>1449</v>
      </c>
      <c r="C3045" s="148" t="str">
        <f aca="false">VLOOKUP($A3045,INSUMOS_AUX!$A$3:$H$813,3,0)</f>
        <v>MAT.</v>
      </c>
      <c r="D3045" s="156" t="s">
        <v>1444</v>
      </c>
      <c r="E3045" s="154" t="n">
        <v>0.2</v>
      </c>
      <c r="F3045" s="149" t="n">
        <f aca="false">IF(C3045="MAT.",VLOOKUP(A3045,INSUMOS_AUX!$A$3:$H$813,6,0),0)</f>
        <v>0.59</v>
      </c>
      <c r="G3045" s="149" t="n">
        <f aca="false">IF(C3045="M.O.",VLOOKUP(A3045,INSUMOS_AUX!A:F,6,0),0)</f>
        <v>0</v>
      </c>
    </row>
    <row r="3046" customFormat="false" ht="21" hidden="false" customHeight="false" outlineLevel="0" collapsed="false">
      <c r="A3046" s="154" t="s">
        <v>1988</v>
      </c>
      <c r="B3046" s="155" t="s">
        <v>1989</v>
      </c>
      <c r="C3046" s="148" t="str">
        <f aca="false">VLOOKUP($A3046,INSUMOS_AUX!$A$3:$H$813,3,0)</f>
        <v>MAT.</v>
      </c>
      <c r="D3046" s="156" t="s">
        <v>31</v>
      </c>
      <c r="E3046" s="154" t="n">
        <v>1</v>
      </c>
      <c r="F3046" s="149" t="n">
        <f aca="false">IF(C3046="MAT.",VLOOKUP(A3046,INSUMOS_AUX!$A$3:$H$813,6,0),0)</f>
        <v>50.8766666666667</v>
      </c>
      <c r="G3046" s="149" t="n">
        <f aca="false">IF(C3046="M.O.",VLOOKUP(A3046,INSUMOS_AUX!A:F,6,0),0)</f>
        <v>0</v>
      </c>
    </row>
    <row r="3047" customFormat="false" ht="15" hidden="false" customHeight="false" outlineLevel="0" collapsed="false">
      <c r="A3047" s="154" t="n">
        <v>6111</v>
      </c>
      <c r="B3047" s="155" t="s">
        <v>1464</v>
      </c>
      <c r="C3047" s="148" t="str">
        <f aca="false">VLOOKUP($A3047,INSUMOS_AUX!$A$3:$H$813,3,0)</f>
        <v>M.O.</v>
      </c>
      <c r="D3047" s="156" t="s">
        <v>1444</v>
      </c>
      <c r="E3047" s="154" t="n">
        <v>0.20424</v>
      </c>
      <c r="F3047" s="149" t="n">
        <f aca="false">IF(C3047="MAT.",VLOOKUP(A3047,INSUMOS_AUX!$A$3:$H$813,6,0),0)</f>
        <v>0</v>
      </c>
      <c r="G3047" s="149" t="n">
        <f aca="false">IF(C3047="M.O.",VLOOKUP(A3047,INSUMOS_AUX!A:F,6,0),0)</f>
        <v>12.95</v>
      </c>
    </row>
    <row r="3048" customFormat="false" ht="21" hidden="false" customHeight="false" outlineLevel="0" collapsed="false">
      <c r="A3048" s="150" t="s">
        <v>588</v>
      </c>
      <c r="B3048" s="151" t="s">
        <v>1990</v>
      </c>
      <c r="C3048" s="152" t="s">
        <v>59</v>
      </c>
      <c r="D3048" s="152" t="s">
        <v>31</v>
      </c>
      <c r="E3048" s="150"/>
      <c r="F3048" s="153" t="n">
        <f aca="false">(SUMPRODUCT($E3049:$E3056,F3049:F3056))*1</f>
        <v>8.98666666666667</v>
      </c>
      <c r="G3048" s="153" t="n">
        <f aca="false">(SUMPRODUCT($E3049:$E3056,G3049:G3056))*1</f>
        <v>2.644908</v>
      </c>
    </row>
    <row r="3049" customFormat="false" ht="21" hidden="false" customHeight="false" outlineLevel="0" collapsed="false">
      <c r="A3049" s="154" t="n">
        <v>37370</v>
      </c>
      <c r="B3049" s="155" t="s">
        <v>1443</v>
      </c>
      <c r="C3049" s="148" t="s">
        <v>59</v>
      </c>
      <c r="D3049" s="156" t="s">
        <v>1444</v>
      </c>
      <c r="E3049" s="154" t="n">
        <v>0.2</v>
      </c>
      <c r="F3049" s="149" t="n">
        <f aca="false">IF(C3049="MAT.",VLOOKUP(A3049,INSUMOS_AUX!$A$3:$H$813,6,0),0)</f>
        <v>0</v>
      </c>
      <c r="G3049" s="149" t="n">
        <f aca="false">IF(C3049="M.O.",VLOOKUP(A3049,INSUMOS_AUX!A:F,6,0),0)</f>
        <v>0</v>
      </c>
    </row>
    <row r="3050" customFormat="false" ht="21" hidden="false" customHeight="false" outlineLevel="0" collapsed="false">
      <c r="A3050" s="154" t="n">
        <v>43491</v>
      </c>
      <c r="B3050" s="155" t="s">
        <v>1457</v>
      </c>
      <c r="C3050" s="148" t="str">
        <f aca="false">VLOOKUP($A3050,INSUMOS_AUX!$A$3:$H$813,3,0)</f>
        <v>MAT.</v>
      </c>
      <c r="D3050" s="156" t="s">
        <v>1444</v>
      </c>
      <c r="E3050" s="154" t="n">
        <v>0.2</v>
      </c>
      <c r="F3050" s="149" t="n">
        <f aca="false">IF(C3050="MAT.",VLOOKUP(A3050,INSUMOS_AUX!$A$3:$H$813,6,0),0)</f>
        <v>1.39</v>
      </c>
      <c r="G3050" s="149" t="n">
        <f aca="false">IF(C3050="M.O.",VLOOKUP(A3050,INSUMOS_AUX!A:F,6,0),0)</f>
        <v>0</v>
      </c>
    </row>
    <row r="3051" customFormat="false" ht="21" hidden="false" customHeight="false" outlineLevel="0" collapsed="false">
      <c r="A3051" s="154" t="n">
        <v>37372</v>
      </c>
      <c r="B3051" s="155" t="s">
        <v>1446</v>
      </c>
      <c r="C3051" s="148" t="str">
        <f aca="false">VLOOKUP($A3051,INSUMOS_AUX!$A$3:$H$813,3,0)</f>
        <v>MAT.</v>
      </c>
      <c r="D3051" s="156" t="s">
        <v>1444</v>
      </c>
      <c r="E3051" s="154" t="n">
        <v>0.2</v>
      </c>
      <c r="F3051" s="149" t="n">
        <f aca="false">IF(C3051="MAT.",VLOOKUP(A3051,INSUMOS_AUX!$A$3:$H$813,6,0),0)</f>
        <v>1.43</v>
      </c>
      <c r="G3051" s="149" t="n">
        <f aca="false">IF(C3051="M.O.",VLOOKUP(A3051,INSUMOS_AUX!A:F,6,0),0)</f>
        <v>0</v>
      </c>
    </row>
    <row r="3052" customFormat="false" ht="21" hidden="false" customHeight="false" outlineLevel="0" collapsed="false">
      <c r="A3052" s="154" t="n">
        <v>43467</v>
      </c>
      <c r="B3052" s="155" t="s">
        <v>1459</v>
      </c>
      <c r="C3052" s="148" t="str">
        <f aca="false">VLOOKUP($A3052,INSUMOS_AUX!$A$3:$H$813,3,0)</f>
        <v>MAT.</v>
      </c>
      <c r="D3052" s="156" t="s">
        <v>1444</v>
      </c>
      <c r="E3052" s="154" t="n">
        <v>0.2</v>
      </c>
      <c r="F3052" s="149" t="n">
        <f aca="false">IF(C3052="MAT.",VLOOKUP(A3052,INSUMOS_AUX!$A$3:$H$813,6,0),0)</f>
        <v>0.61</v>
      </c>
      <c r="G3052" s="149" t="n">
        <f aca="false">IF(C3052="M.O.",VLOOKUP(A3052,INSUMOS_AUX!A:F,6,0),0)</f>
        <v>0</v>
      </c>
    </row>
    <row r="3053" customFormat="false" ht="21" hidden="false" customHeight="false" outlineLevel="0" collapsed="false">
      <c r="A3053" s="154" t="n">
        <v>37373</v>
      </c>
      <c r="B3053" s="155" t="s">
        <v>1448</v>
      </c>
      <c r="C3053" s="148" t="str">
        <f aca="false">VLOOKUP($A3053,INSUMOS_AUX!$A$3:$H$813,3,0)</f>
        <v>MAT.</v>
      </c>
      <c r="D3053" s="156" t="s">
        <v>1444</v>
      </c>
      <c r="E3053" s="154" t="n">
        <v>0.2</v>
      </c>
      <c r="F3053" s="149" t="n">
        <f aca="false">IF(C3053="MAT.",VLOOKUP(A3053,INSUMOS_AUX!$A$3:$H$813,6,0),0)</f>
        <v>0.08</v>
      </c>
      <c r="G3053" s="149" t="n">
        <f aca="false">IF(C3053="M.O.",VLOOKUP(A3053,INSUMOS_AUX!A:F,6,0),0)</f>
        <v>0</v>
      </c>
    </row>
    <row r="3054" customFormat="false" ht="21" hidden="false" customHeight="false" outlineLevel="0" collapsed="false">
      <c r="A3054" s="154" t="n">
        <v>37371</v>
      </c>
      <c r="B3054" s="155" t="s">
        <v>1449</v>
      </c>
      <c r="C3054" s="148" t="str">
        <f aca="false">VLOOKUP($A3054,INSUMOS_AUX!$A$3:$H$813,3,0)</f>
        <v>MAT.</v>
      </c>
      <c r="D3054" s="156" t="s">
        <v>1444</v>
      </c>
      <c r="E3054" s="154" t="n">
        <v>0.2</v>
      </c>
      <c r="F3054" s="149" t="n">
        <f aca="false">IF(C3054="MAT.",VLOOKUP(A3054,INSUMOS_AUX!$A$3:$H$813,6,0),0)</f>
        <v>0.59</v>
      </c>
      <c r="G3054" s="149" t="n">
        <f aca="false">IF(C3054="M.O.",VLOOKUP(A3054,INSUMOS_AUX!A:F,6,0),0)</f>
        <v>0</v>
      </c>
    </row>
    <row r="3055" customFormat="false" ht="15" hidden="false" customHeight="false" outlineLevel="0" collapsed="false">
      <c r="A3055" s="154" t="s">
        <v>1991</v>
      </c>
      <c r="B3055" s="155" t="s">
        <v>1992</v>
      </c>
      <c r="C3055" s="148" t="str">
        <f aca="false">VLOOKUP($A3055,INSUMOS_AUX!$A$3:$H$813,3,0)</f>
        <v>MAT.</v>
      </c>
      <c r="D3055" s="156" t="s">
        <v>31</v>
      </c>
      <c r="E3055" s="154" t="n">
        <v>1</v>
      </c>
      <c r="F3055" s="149" t="n">
        <f aca="false">IF(C3055="MAT.",VLOOKUP(A3055,INSUMOS_AUX!$A$3:$H$813,6,0),0)</f>
        <v>8.16666666666667</v>
      </c>
      <c r="G3055" s="149" t="n">
        <f aca="false">IF(C3055="M.O.",VLOOKUP(A3055,INSUMOS_AUX!A:F,6,0),0)</f>
        <v>0</v>
      </c>
    </row>
    <row r="3056" customFormat="false" ht="15" hidden="false" customHeight="false" outlineLevel="0" collapsed="false">
      <c r="A3056" s="154" t="n">
        <v>6111</v>
      </c>
      <c r="B3056" s="155" t="s">
        <v>1464</v>
      </c>
      <c r="C3056" s="148" t="str">
        <f aca="false">VLOOKUP($A3056,INSUMOS_AUX!$A$3:$H$813,3,0)</f>
        <v>M.O.</v>
      </c>
      <c r="D3056" s="156" t="s">
        <v>1444</v>
      </c>
      <c r="E3056" s="154" t="n">
        <v>0.20424</v>
      </c>
      <c r="F3056" s="149" t="n">
        <f aca="false">IF(C3056="MAT.",VLOOKUP(A3056,INSUMOS_AUX!$A$3:$H$813,6,0),0)</f>
        <v>0</v>
      </c>
      <c r="G3056" s="149" t="n">
        <f aca="false">IF(C3056="M.O.",VLOOKUP(A3056,INSUMOS_AUX!A:F,6,0),0)</f>
        <v>12.95</v>
      </c>
    </row>
    <row r="3057" customFormat="false" ht="21" hidden="false" customHeight="false" outlineLevel="0" collapsed="false">
      <c r="A3057" s="150" t="s">
        <v>590</v>
      </c>
      <c r="B3057" s="151" t="s">
        <v>1993</v>
      </c>
      <c r="C3057" s="152" t="s">
        <v>59</v>
      </c>
      <c r="D3057" s="152" t="s">
        <v>31</v>
      </c>
      <c r="E3057" s="150"/>
      <c r="F3057" s="153" t="n">
        <f aca="false">(SUMPRODUCT($E3058:$E3065,F3058:F3065))*1</f>
        <v>19.966</v>
      </c>
      <c r="G3057" s="153" t="n">
        <f aca="false">(SUMPRODUCT($E3058:$E3065,G3058:G3065))*1</f>
        <v>2.644908</v>
      </c>
    </row>
    <row r="3058" customFormat="false" ht="21" hidden="false" customHeight="false" outlineLevel="0" collapsed="false">
      <c r="A3058" s="154" t="n">
        <v>37370</v>
      </c>
      <c r="B3058" s="155" t="s">
        <v>1443</v>
      </c>
      <c r="C3058" s="148" t="str">
        <f aca="false">VLOOKUP($A3058,INSUMOS_AUX!$A$3:$H$813,3,0)</f>
        <v>MAT.</v>
      </c>
      <c r="D3058" s="156" t="s">
        <v>1444</v>
      </c>
      <c r="E3058" s="154" t="n">
        <v>0.2</v>
      </c>
      <c r="F3058" s="149" t="n">
        <f aca="false">IF(C3058="MAT.",VLOOKUP(A3058,INSUMOS_AUX!$A$3:$H$813,6,0),0)</f>
        <v>3.32</v>
      </c>
      <c r="G3058" s="149" t="n">
        <f aca="false">IF(C3058="M.O.",VLOOKUP(A3058,INSUMOS_AUX!A:F,6,0),0)</f>
        <v>0</v>
      </c>
    </row>
    <row r="3059" customFormat="false" ht="21" hidden="false" customHeight="false" outlineLevel="0" collapsed="false">
      <c r="A3059" s="154" t="n">
        <v>43491</v>
      </c>
      <c r="B3059" s="155" t="s">
        <v>1457</v>
      </c>
      <c r="C3059" s="148" t="str">
        <f aca="false">VLOOKUP($A3059,INSUMOS_AUX!$A$3:$H$813,3,0)</f>
        <v>MAT.</v>
      </c>
      <c r="D3059" s="156" t="s">
        <v>1444</v>
      </c>
      <c r="E3059" s="154" t="n">
        <v>0.2</v>
      </c>
      <c r="F3059" s="149" t="n">
        <f aca="false">IF(C3059="MAT.",VLOOKUP(A3059,INSUMOS_AUX!$A$3:$H$813,6,0),0)</f>
        <v>1.39</v>
      </c>
      <c r="G3059" s="149" t="n">
        <f aca="false">IF(C3059="M.O.",VLOOKUP(A3059,INSUMOS_AUX!A:F,6,0),0)</f>
        <v>0</v>
      </c>
    </row>
    <row r="3060" customFormat="false" ht="21" hidden="false" customHeight="false" outlineLevel="0" collapsed="false">
      <c r="A3060" s="154" t="n">
        <v>37372</v>
      </c>
      <c r="B3060" s="155" t="s">
        <v>1446</v>
      </c>
      <c r="C3060" s="148" t="str">
        <f aca="false">VLOOKUP($A3060,INSUMOS_AUX!$A$3:$H$813,3,0)</f>
        <v>MAT.</v>
      </c>
      <c r="D3060" s="156" t="s">
        <v>1444</v>
      </c>
      <c r="E3060" s="154" t="n">
        <v>0.2</v>
      </c>
      <c r="F3060" s="149" t="n">
        <f aca="false">IF(C3060="MAT.",VLOOKUP(A3060,INSUMOS_AUX!$A$3:$H$813,6,0),0)</f>
        <v>1.43</v>
      </c>
      <c r="G3060" s="149" t="n">
        <f aca="false">IF(C3060="M.O.",VLOOKUP(A3060,INSUMOS_AUX!A:F,6,0),0)</f>
        <v>0</v>
      </c>
    </row>
    <row r="3061" customFormat="false" ht="21" hidden="false" customHeight="false" outlineLevel="0" collapsed="false">
      <c r="A3061" s="154" t="n">
        <v>43467</v>
      </c>
      <c r="B3061" s="155" t="s">
        <v>1459</v>
      </c>
      <c r="C3061" s="148" t="str">
        <f aca="false">VLOOKUP($A3061,INSUMOS_AUX!$A$3:$H$813,3,0)</f>
        <v>MAT.</v>
      </c>
      <c r="D3061" s="156" t="s">
        <v>1444</v>
      </c>
      <c r="E3061" s="154" t="n">
        <v>0.2</v>
      </c>
      <c r="F3061" s="149" t="n">
        <f aca="false">IF(C3061="MAT.",VLOOKUP(A3061,INSUMOS_AUX!$A$3:$H$813,6,0),0)</f>
        <v>0.61</v>
      </c>
      <c r="G3061" s="149" t="n">
        <f aca="false">IF(C3061="M.O.",VLOOKUP(A3061,INSUMOS_AUX!A:F,6,0),0)</f>
        <v>0</v>
      </c>
    </row>
    <row r="3062" customFormat="false" ht="21" hidden="false" customHeight="false" outlineLevel="0" collapsed="false">
      <c r="A3062" s="154" t="n">
        <v>37373</v>
      </c>
      <c r="B3062" s="155" t="s">
        <v>1448</v>
      </c>
      <c r="C3062" s="148" t="str">
        <f aca="false">VLOOKUP($A3062,INSUMOS_AUX!$A$3:$H$813,3,0)</f>
        <v>MAT.</v>
      </c>
      <c r="D3062" s="156" t="s">
        <v>1444</v>
      </c>
      <c r="E3062" s="154" t="n">
        <v>0.2</v>
      </c>
      <c r="F3062" s="149" t="n">
        <f aca="false">IF(C3062="MAT.",VLOOKUP(A3062,INSUMOS_AUX!$A$3:$H$813,6,0),0)</f>
        <v>0.08</v>
      </c>
      <c r="G3062" s="149" t="n">
        <f aca="false">IF(C3062="M.O.",VLOOKUP(A3062,INSUMOS_AUX!A:F,6,0),0)</f>
        <v>0</v>
      </c>
    </row>
    <row r="3063" customFormat="false" ht="21" hidden="false" customHeight="false" outlineLevel="0" collapsed="false">
      <c r="A3063" s="154" t="n">
        <v>37371</v>
      </c>
      <c r="B3063" s="155" t="s">
        <v>1449</v>
      </c>
      <c r="C3063" s="148" t="s">
        <v>59</v>
      </c>
      <c r="D3063" s="156" t="s">
        <v>1444</v>
      </c>
      <c r="E3063" s="154" t="n">
        <v>0.2</v>
      </c>
      <c r="F3063" s="149" t="n">
        <f aca="false">IF(C3063="MAT.",VLOOKUP(A3063,INSUMOS_AUX!$A$3:$H$813,6,0),0)</f>
        <v>0</v>
      </c>
      <c r="G3063" s="149" t="n">
        <f aca="false">IF(C3063="M.O.",VLOOKUP(A3063,INSUMOS_AUX!A:F,6,0),0)</f>
        <v>0</v>
      </c>
    </row>
    <row r="3064" customFormat="false" ht="15" hidden="false" customHeight="false" outlineLevel="0" collapsed="false">
      <c r="A3064" s="154" t="s">
        <v>1994</v>
      </c>
      <c r="B3064" s="155" t="s">
        <v>1995</v>
      </c>
      <c r="C3064" s="148" t="str">
        <f aca="false">VLOOKUP($A3064,INSUMOS_AUX!$A$3:$H$813,3,0)</f>
        <v>MAT.</v>
      </c>
      <c r="D3064" s="156" t="s">
        <v>31</v>
      </c>
      <c r="E3064" s="154" t="n">
        <v>1</v>
      </c>
      <c r="F3064" s="149" t="n">
        <f aca="false">IF(C3064="MAT.",VLOOKUP(A3064,INSUMOS_AUX!$A$3:$H$813,6,0),0)</f>
        <v>18.6</v>
      </c>
      <c r="G3064" s="149" t="n">
        <f aca="false">IF(C3064="M.O.",VLOOKUP(A3064,INSUMOS_AUX!A:F,6,0),0)</f>
        <v>0</v>
      </c>
    </row>
    <row r="3065" customFormat="false" ht="15" hidden="false" customHeight="false" outlineLevel="0" collapsed="false">
      <c r="A3065" s="154" t="n">
        <v>6111</v>
      </c>
      <c r="B3065" s="155" t="s">
        <v>1464</v>
      </c>
      <c r="C3065" s="148" t="str">
        <f aca="false">VLOOKUP($A3065,INSUMOS_AUX!$A$3:$H$813,3,0)</f>
        <v>M.O.</v>
      </c>
      <c r="D3065" s="156" t="s">
        <v>1444</v>
      </c>
      <c r="E3065" s="154" t="n">
        <v>0.20424</v>
      </c>
      <c r="F3065" s="149" t="n">
        <f aca="false">IF(C3065="MAT.",VLOOKUP(A3065,INSUMOS_AUX!$A$3:$H$813,6,0),0)</f>
        <v>0</v>
      </c>
      <c r="G3065" s="149" t="n">
        <f aca="false">IF(C3065="M.O.",VLOOKUP(A3065,INSUMOS_AUX!A:F,6,0),0)</f>
        <v>12.95</v>
      </c>
    </row>
    <row r="3066" customFormat="false" ht="21" hidden="false" customHeight="false" outlineLevel="0" collapsed="false">
      <c r="A3066" s="150" t="n">
        <v>100717</v>
      </c>
      <c r="B3066" s="151" t="s">
        <v>1996</v>
      </c>
      <c r="C3066" s="152" t="s">
        <v>59</v>
      </c>
      <c r="D3066" s="152" t="s">
        <v>1477</v>
      </c>
      <c r="E3066" s="150"/>
      <c r="F3066" s="153" t="n">
        <f aca="false">(SUMPRODUCT($E3067:$E3074,F3067:F3074))*1</f>
        <v>3.511952</v>
      </c>
      <c r="G3066" s="153" t="n">
        <f aca="false">(SUMPRODUCT($E3067:$E3074,G3067:G3074))*1</f>
        <v>6.12680833392</v>
      </c>
    </row>
    <row r="3067" customFormat="false" ht="21" hidden="false" customHeight="false" outlineLevel="0" collapsed="false">
      <c r="A3067" s="154" t="n">
        <v>37370</v>
      </c>
      <c r="B3067" s="155" t="s">
        <v>1443</v>
      </c>
      <c r="C3067" s="148" t="str">
        <f aca="false">VLOOKUP($A3067,INSUMOS_AUX!$A$3:$H$813,3,0)</f>
        <v>MAT.</v>
      </c>
      <c r="D3067" s="156" t="s">
        <v>1444</v>
      </c>
      <c r="E3067" s="154" t="n">
        <v>0.2986</v>
      </c>
      <c r="F3067" s="149" t="n">
        <f aca="false">IF(C3067="MAT.",VLOOKUP(A3067,INSUMOS_AUX!$A$3:$H$813,6,0),0)</f>
        <v>3.32</v>
      </c>
      <c r="G3067" s="149" t="n">
        <f aca="false">IF(C3067="M.O.",VLOOKUP(A3067,INSUMOS_AUX!A:F,6,0),0)</f>
        <v>0</v>
      </c>
    </row>
    <row r="3068" customFormat="false" ht="21" hidden="false" customHeight="false" outlineLevel="0" collapsed="false">
      <c r="A3068" s="154" t="n">
        <v>43490</v>
      </c>
      <c r="B3068" s="155" t="s">
        <v>1508</v>
      </c>
      <c r="C3068" s="148" t="str">
        <f aca="false">VLOOKUP($A3068,INSUMOS_AUX!$A$3:$H$813,3,0)</f>
        <v>MAT.</v>
      </c>
      <c r="D3068" s="156" t="s">
        <v>1444</v>
      </c>
      <c r="E3068" s="154" t="n">
        <v>0.2986</v>
      </c>
      <c r="F3068" s="149" t="n">
        <f aca="false">IF(C3068="MAT.",VLOOKUP(A3068,INSUMOS_AUX!$A$3:$H$813,6,0),0)</f>
        <v>1.85</v>
      </c>
      <c r="G3068" s="149" t="n">
        <f aca="false">IF(C3068="M.O.",VLOOKUP(A3068,INSUMOS_AUX!A:F,6,0),0)</f>
        <v>0</v>
      </c>
    </row>
    <row r="3069" customFormat="false" ht="21" hidden="false" customHeight="false" outlineLevel="0" collapsed="false">
      <c r="A3069" s="154" t="n">
        <v>37372</v>
      </c>
      <c r="B3069" s="155" t="s">
        <v>1446</v>
      </c>
      <c r="C3069" s="148" t="str">
        <f aca="false">VLOOKUP($A3069,INSUMOS_AUX!$A$3:$H$813,3,0)</f>
        <v>MAT.</v>
      </c>
      <c r="D3069" s="156" t="s">
        <v>1444</v>
      </c>
      <c r="E3069" s="154" t="n">
        <v>0.2986</v>
      </c>
      <c r="F3069" s="149" t="n">
        <f aca="false">IF(C3069="MAT.",VLOOKUP(A3069,INSUMOS_AUX!$A$3:$H$813,6,0),0)</f>
        <v>1.43</v>
      </c>
      <c r="G3069" s="149" t="n">
        <f aca="false">IF(C3069="M.O.",VLOOKUP(A3069,INSUMOS_AUX!A:F,6,0),0)</f>
        <v>0</v>
      </c>
    </row>
    <row r="3070" customFormat="false" ht="21" hidden="false" customHeight="false" outlineLevel="0" collapsed="false">
      <c r="A3070" s="154" t="n">
        <v>43466</v>
      </c>
      <c r="B3070" s="155" t="s">
        <v>1509</v>
      </c>
      <c r="C3070" s="148" t="str">
        <f aca="false">VLOOKUP($A3070,INSUMOS_AUX!$A$3:$H$813,3,0)</f>
        <v>MAT.</v>
      </c>
      <c r="D3070" s="156" t="s">
        <v>1444</v>
      </c>
      <c r="E3070" s="154" t="n">
        <v>0.2986</v>
      </c>
      <c r="F3070" s="149" t="n">
        <f aca="false">IF(C3070="MAT.",VLOOKUP(A3070,INSUMOS_AUX!$A$3:$H$813,6,0),0)</f>
        <v>2.05</v>
      </c>
      <c r="G3070" s="149" t="n">
        <f aca="false">IF(C3070="M.O.",VLOOKUP(A3070,INSUMOS_AUX!A:F,6,0),0)</f>
        <v>0</v>
      </c>
    </row>
    <row r="3071" customFormat="false" ht="21" hidden="false" customHeight="false" outlineLevel="0" collapsed="false">
      <c r="A3071" s="154" t="n">
        <v>37373</v>
      </c>
      <c r="B3071" s="155" t="s">
        <v>1448</v>
      </c>
      <c r="C3071" s="148" t="str">
        <f aca="false">VLOOKUP($A3071,INSUMOS_AUX!$A$3:$H$813,3,0)</f>
        <v>MAT.</v>
      </c>
      <c r="D3071" s="156" t="s">
        <v>1444</v>
      </c>
      <c r="E3071" s="154" t="n">
        <v>0.2986</v>
      </c>
      <c r="F3071" s="149" t="n">
        <f aca="false">IF(C3071="MAT.",VLOOKUP(A3071,INSUMOS_AUX!$A$3:$H$813,6,0),0)</f>
        <v>0.08</v>
      </c>
      <c r="G3071" s="149" t="n">
        <f aca="false">IF(C3071="M.O.",VLOOKUP(A3071,INSUMOS_AUX!A:F,6,0),0)</f>
        <v>0</v>
      </c>
    </row>
    <row r="3072" customFormat="false" ht="21" hidden="false" customHeight="false" outlineLevel="0" collapsed="false">
      <c r="A3072" s="154" t="n">
        <v>37371</v>
      </c>
      <c r="B3072" s="155" t="s">
        <v>1449</v>
      </c>
      <c r="C3072" s="148" t="str">
        <f aca="false">VLOOKUP($A3072,INSUMOS_AUX!$A$3:$H$813,3,0)</f>
        <v>MAT.</v>
      </c>
      <c r="D3072" s="156" t="s">
        <v>1444</v>
      </c>
      <c r="E3072" s="154" t="n">
        <v>0.2986</v>
      </c>
      <c r="F3072" s="149" t="n">
        <f aca="false">IF(C3072="MAT.",VLOOKUP(A3072,INSUMOS_AUX!$A$3:$H$813,6,0),0)</f>
        <v>0.59</v>
      </c>
      <c r="G3072" s="149" t="n">
        <f aca="false">IF(C3072="M.O.",VLOOKUP(A3072,INSUMOS_AUX!A:F,6,0),0)</f>
        <v>0</v>
      </c>
    </row>
    <row r="3073" customFormat="false" ht="15" hidden="false" customHeight="false" outlineLevel="0" collapsed="false">
      <c r="A3073" s="154" t="n">
        <v>3768</v>
      </c>
      <c r="B3073" s="155" t="s">
        <v>1997</v>
      </c>
      <c r="C3073" s="148" t="str">
        <f aca="false">VLOOKUP($A3073,INSUMOS_AUX!$A$3:$H$813,3,0)</f>
        <v>MAT.</v>
      </c>
      <c r="D3073" s="156" t="s">
        <v>31</v>
      </c>
      <c r="E3073" s="154" t="n">
        <v>0.3</v>
      </c>
      <c r="F3073" s="149" t="n">
        <f aca="false">IF(C3073="MAT.",VLOOKUP(A3073,INSUMOS_AUX!$A$3:$H$813,6,0),0)</f>
        <v>2.43</v>
      </c>
      <c r="G3073" s="149" t="n">
        <f aca="false">IF(C3073="M.O.",VLOOKUP(A3073,INSUMOS_AUX!A:F,6,0),0)</f>
        <v>0</v>
      </c>
    </row>
    <row r="3074" customFormat="false" ht="15" hidden="false" customHeight="false" outlineLevel="0" collapsed="false">
      <c r="A3074" s="154" t="n">
        <v>4783</v>
      </c>
      <c r="B3074" s="155" t="s">
        <v>1517</v>
      </c>
      <c r="C3074" s="148" t="str">
        <f aca="false">VLOOKUP($A3074,INSUMOS_AUX!$A$3:$H$813,3,0)</f>
        <v>M.O.</v>
      </c>
      <c r="D3074" s="156" t="s">
        <v>1444</v>
      </c>
      <c r="E3074" s="154" t="n">
        <v>0.303007336</v>
      </c>
      <c r="F3074" s="149" t="n">
        <f aca="false">IF(C3074="MAT.",VLOOKUP(A3074,INSUMOS_AUX!$A$3:$H$813,6,0),0)</f>
        <v>0</v>
      </c>
      <c r="G3074" s="149" t="n">
        <f aca="false">IF(C3074="M.O.",VLOOKUP(A3074,INSUMOS_AUX!A:F,6,0),0)</f>
        <v>20.22</v>
      </c>
    </row>
    <row r="3075" customFormat="false" ht="31.5" hidden="false" customHeight="false" outlineLevel="0" collapsed="false">
      <c r="A3075" s="150" t="n">
        <v>100754</v>
      </c>
      <c r="B3075" s="151" t="s">
        <v>1998</v>
      </c>
      <c r="C3075" s="152" t="s">
        <v>59</v>
      </c>
      <c r="D3075" s="152" t="s">
        <v>1477</v>
      </c>
      <c r="E3075" s="150"/>
      <c r="F3075" s="153" t="n">
        <f aca="false">(SUMPRODUCT($E3076:$E3083,F3076:F3083))*1</f>
        <v>10.189971</v>
      </c>
      <c r="G3075" s="153" t="n">
        <f aca="false">(SUMPRODUCT($E3076:$E3083,G3076:G3083))*1</f>
        <v>18.66563141784</v>
      </c>
    </row>
    <row r="3076" customFormat="false" ht="21" hidden="false" customHeight="false" outlineLevel="0" collapsed="false">
      <c r="A3076" s="154" t="n">
        <v>37370</v>
      </c>
      <c r="B3076" s="155" t="s">
        <v>1443</v>
      </c>
      <c r="C3076" s="148" t="str">
        <f aca="false">VLOOKUP($A3076,INSUMOS_AUX!$A$3:$H$813,3,0)</f>
        <v>MAT.</v>
      </c>
      <c r="D3076" s="156" t="s">
        <v>1444</v>
      </c>
      <c r="E3076" s="154" t="n">
        <v>0.9097</v>
      </c>
      <c r="F3076" s="149" t="n">
        <f aca="false">IF(C3076="MAT.",VLOOKUP(A3076,INSUMOS_AUX!$A$3:$H$813,6,0),0)</f>
        <v>3.32</v>
      </c>
      <c r="G3076" s="149" t="n">
        <f aca="false">IF(C3076="M.O.",VLOOKUP(A3076,INSUMOS_AUX!A:F,6,0),0)</f>
        <v>0</v>
      </c>
    </row>
    <row r="3077" customFormat="false" ht="21" hidden="false" customHeight="false" outlineLevel="0" collapsed="false">
      <c r="A3077" s="154" t="n">
        <v>43490</v>
      </c>
      <c r="B3077" s="155" t="s">
        <v>1508</v>
      </c>
      <c r="C3077" s="148" t="s">
        <v>59</v>
      </c>
      <c r="D3077" s="156" t="s">
        <v>1444</v>
      </c>
      <c r="E3077" s="154" t="n">
        <v>0.9097</v>
      </c>
      <c r="F3077" s="149" t="n">
        <f aca="false">IF(C3077="MAT.",VLOOKUP(A3077,INSUMOS_AUX!$A$3:$H$813,6,0),0)</f>
        <v>0</v>
      </c>
      <c r="G3077" s="149" t="n">
        <f aca="false">IF(C3077="M.O.",VLOOKUP(A3077,INSUMOS_AUX!A:F,6,0),0)</f>
        <v>0</v>
      </c>
    </row>
    <row r="3078" customFormat="false" ht="21" hidden="false" customHeight="false" outlineLevel="0" collapsed="false">
      <c r="A3078" s="154" t="n">
        <v>37372</v>
      </c>
      <c r="B3078" s="155" t="s">
        <v>1446</v>
      </c>
      <c r="C3078" s="148" t="str">
        <f aca="false">VLOOKUP($A3078,INSUMOS_AUX!$A$3:$H$813,3,0)</f>
        <v>MAT.</v>
      </c>
      <c r="D3078" s="156" t="s">
        <v>1444</v>
      </c>
      <c r="E3078" s="154" t="n">
        <v>0.9097</v>
      </c>
      <c r="F3078" s="149" t="n">
        <f aca="false">IF(C3078="MAT.",VLOOKUP(A3078,INSUMOS_AUX!$A$3:$H$813,6,0),0)</f>
        <v>1.43</v>
      </c>
      <c r="G3078" s="149" t="n">
        <f aca="false">IF(C3078="M.O.",VLOOKUP(A3078,INSUMOS_AUX!A:F,6,0),0)</f>
        <v>0</v>
      </c>
    </row>
    <row r="3079" customFormat="false" ht="21" hidden="false" customHeight="false" outlineLevel="0" collapsed="false">
      <c r="A3079" s="154" t="n">
        <v>43466</v>
      </c>
      <c r="B3079" s="155" t="s">
        <v>1509</v>
      </c>
      <c r="C3079" s="148" t="str">
        <f aca="false">VLOOKUP($A3079,INSUMOS_AUX!$A$3:$H$813,3,0)</f>
        <v>MAT.</v>
      </c>
      <c r="D3079" s="156" t="s">
        <v>1444</v>
      </c>
      <c r="E3079" s="154" t="n">
        <v>0.9097</v>
      </c>
      <c r="F3079" s="149" t="n">
        <f aca="false">IF(C3079="MAT.",VLOOKUP(A3079,INSUMOS_AUX!$A$3:$H$813,6,0),0)</f>
        <v>2.05</v>
      </c>
      <c r="G3079" s="149" t="n">
        <f aca="false">IF(C3079="M.O.",VLOOKUP(A3079,INSUMOS_AUX!A:F,6,0),0)</f>
        <v>0</v>
      </c>
    </row>
    <row r="3080" customFormat="false" ht="21" hidden="false" customHeight="false" outlineLevel="0" collapsed="false">
      <c r="A3080" s="154" t="n">
        <v>37373</v>
      </c>
      <c r="B3080" s="155" t="s">
        <v>1448</v>
      </c>
      <c r="C3080" s="148" t="str">
        <f aca="false">VLOOKUP($A3080,INSUMOS_AUX!$A$3:$H$813,3,0)</f>
        <v>MAT.</v>
      </c>
      <c r="D3080" s="156" t="s">
        <v>1444</v>
      </c>
      <c r="E3080" s="154" t="n">
        <v>0.9097</v>
      </c>
      <c r="F3080" s="149" t="n">
        <f aca="false">IF(C3080="MAT.",VLOOKUP(A3080,INSUMOS_AUX!$A$3:$H$813,6,0),0)</f>
        <v>0.08</v>
      </c>
      <c r="G3080" s="149" t="n">
        <f aca="false">IF(C3080="M.O.",VLOOKUP(A3080,INSUMOS_AUX!A:F,6,0),0)</f>
        <v>0</v>
      </c>
    </row>
    <row r="3081" customFormat="false" ht="21" hidden="false" customHeight="false" outlineLevel="0" collapsed="false">
      <c r="A3081" s="154" t="n">
        <v>37371</v>
      </c>
      <c r="B3081" s="155" t="s">
        <v>1449</v>
      </c>
      <c r="C3081" s="148" t="str">
        <f aca="false">VLOOKUP($A3081,INSUMOS_AUX!$A$3:$H$813,3,0)</f>
        <v>MAT.</v>
      </c>
      <c r="D3081" s="156" t="s">
        <v>1444</v>
      </c>
      <c r="E3081" s="154" t="n">
        <v>0.9097</v>
      </c>
      <c r="F3081" s="149" t="n">
        <f aca="false">IF(C3081="MAT.",VLOOKUP(A3081,INSUMOS_AUX!$A$3:$H$813,6,0),0)</f>
        <v>0.59</v>
      </c>
      <c r="G3081" s="149" t="n">
        <f aca="false">IF(C3081="M.O.",VLOOKUP(A3081,INSUMOS_AUX!A:F,6,0),0)</f>
        <v>0</v>
      </c>
    </row>
    <row r="3082" customFormat="false" ht="15" hidden="false" customHeight="false" outlineLevel="0" collapsed="false">
      <c r="A3082" s="154" t="n">
        <v>43649</v>
      </c>
      <c r="B3082" s="155" t="s">
        <v>1999</v>
      </c>
      <c r="C3082" s="148" t="str">
        <f aca="false">VLOOKUP($A3082,INSUMOS_AUX!$A$3:$H$813,3,0)</f>
        <v>MAT.</v>
      </c>
      <c r="D3082" s="156" t="s">
        <v>1452</v>
      </c>
      <c r="E3082" s="154" t="n">
        <v>0.0792</v>
      </c>
      <c r="F3082" s="149" t="n">
        <f aca="false">IF(C3082="MAT.",VLOOKUP(A3082,INSUMOS_AUX!$A$3:$H$813,6,0),0)</f>
        <v>42.86</v>
      </c>
      <c r="G3082" s="149" t="n">
        <f aca="false">IF(C3082="M.O.",VLOOKUP(A3082,INSUMOS_AUX!A:F,6,0),0)</f>
        <v>0</v>
      </c>
    </row>
    <row r="3083" customFormat="false" ht="15" hidden="false" customHeight="false" outlineLevel="0" collapsed="false">
      <c r="A3083" s="154" t="n">
        <v>4783</v>
      </c>
      <c r="B3083" s="155" t="s">
        <v>1517</v>
      </c>
      <c r="C3083" s="148" t="str">
        <f aca="false">VLOOKUP($A3083,INSUMOS_AUX!$A$3:$H$813,3,0)</f>
        <v>M.O.</v>
      </c>
      <c r="D3083" s="156" t="s">
        <v>1444</v>
      </c>
      <c r="E3083" s="154" t="n">
        <v>0.923127172</v>
      </c>
      <c r="F3083" s="149" t="n">
        <f aca="false">IF(C3083="MAT.",VLOOKUP(A3083,INSUMOS_AUX!$A$3:$H$813,6,0),0)</f>
        <v>0</v>
      </c>
      <c r="G3083" s="149" t="n">
        <f aca="false">IF(C3083="M.O.",VLOOKUP(A3083,INSUMOS_AUX!A:F,6,0),0)</f>
        <v>20.22</v>
      </c>
    </row>
    <row r="3084" customFormat="false" ht="21" hidden="false" customHeight="false" outlineLevel="0" collapsed="false">
      <c r="A3084" s="150" t="s">
        <v>599</v>
      </c>
      <c r="B3084" s="151" t="s">
        <v>2000</v>
      </c>
      <c r="C3084" s="152" t="s">
        <v>59</v>
      </c>
      <c r="D3084" s="152" t="s">
        <v>1477</v>
      </c>
      <c r="E3084" s="150"/>
      <c r="F3084" s="153" t="n">
        <f aca="false">(SUMPRODUCT($E3085:$E3096,F3085:F3096))*1</f>
        <v>14.46102</v>
      </c>
      <c r="G3084" s="153" t="n">
        <f aca="false">(SUMPRODUCT($E3085:$E3096,G3085:G3096))*1</f>
        <v>18.49306471968</v>
      </c>
    </row>
    <row r="3085" customFormat="false" ht="21" hidden="false" customHeight="false" outlineLevel="0" collapsed="false">
      <c r="A3085" s="154" t="n">
        <v>37370</v>
      </c>
      <c r="B3085" s="155" t="s">
        <v>1443</v>
      </c>
      <c r="C3085" s="148" t="str">
        <f aca="false">VLOOKUP($A3085,INSUMOS_AUX!$A$3:$H$813,3,0)</f>
        <v>MAT.</v>
      </c>
      <c r="D3085" s="156" t="s">
        <v>1444</v>
      </c>
      <c r="E3085" s="154" t="n">
        <v>0.9892</v>
      </c>
      <c r="F3085" s="149" t="n">
        <f aca="false">IF(C3085="MAT.",VLOOKUP(A3085,INSUMOS_AUX!$A$3:$H$813,6,0),0)</f>
        <v>3.32</v>
      </c>
      <c r="G3085" s="149" t="n">
        <f aca="false">IF(C3085="M.O.",VLOOKUP(A3085,INSUMOS_AUX!A:F,6,0),0)</f>
        <v>0</v>
      </c>
    </row>
    <row r="3086" customFormat="false" ht="21" hidden="false" customHeight="false" outlineLevel="0" collapsed="false">
      <c r="A3086" s="154" t="n">
        <v>43490</v>
      </c>
      <c r="B3086" s="155" t="s">
        <v>1508</v>
      </c>
      <c r="C3086" s="148" t="str">
        <f aca="false">VLOOKUP($A3086,INSUMOS_AUX!$A$3:$H$813,3,0)</f>
        <v>MAT.</v>
      </c>
      <c r="D3086" s="156" t="s">
        <v>1444</v>
      </c>
      <c r="E3086" s="154" t="n">
        <v>0.7419</v>
      </c>
      <c r="F3086" s="149" t="n">
        <f aca="false">IF(C3086="MAT.",VLOOKUP(A3086,INSUMOS_AUX!$A$3:$H$813,6,0),0)</f>
        <v>1.85</v>
      </c>
      <c r="G3086" s="149" t="n">
        <f aca="false">IF(C3086="M.O.",VLOOKUP(A3086,INSUMOS_AUX!A:F,6,0),0)</f>
        <v>0</v>
      </c>
    </row>
    <row r="3087" customFormat="false" ht="21" hidden="false" customHeight="false" outlineLevel="0" collapsed="false">
      <c r="A3087" s="154" t="n">
        <v>43491</v>
      </c>
      <c r="B3087" s="155" t="s">
        <v>1457</v>
      </c>
      <c r="C3087" s="148" t="str">
        <f aca="false">VLOOKUP($A3087,INSUMOS_AUX!$A$3:$H$813,3,0)</f>
        <v>MAT.</v>
      </c>
      <c r="D3087" s="156" t="s">
        <v>1444</v>
      </c>
      <c r="E3087" s="154" t="n">
        <v>0.2473</v>
      </c>
      <c r="F3087" s="149" t="n">
        <f aca="false">IF(C3087="MAT.",VLOOKUP(A3087,INSUMOS_AUX!$A$3:$H$813,6,0),0)</f>
        <v>1.39</v>
      </c>
      <c r="G3087" s="149" t="n">
        <f aca="false">IF(C3087="M.O.",VLOOKUP(A3087,INSUMOS_AUX!A:F,6,0),0)</f>
        <v>0</v>
      </c>
    </row>
    <row r="3088" customFormat="false" ht="21" hidden="false" customHeight="false" outlineLevel="0" collapsed="false">
      <c r="A3088" s="154" t="n">
        <v>37372</v>
      </c>
      <c r="B3088" s="155" t="s">
        <v>1446</v>
      </c>
      <c r="C3088" s="148" t="str">
        <f aca="false">VLOOKUP($A3088,INSUMOS_AUX!$A$3:$H$813,3,0)</f>
        <v>MAT.</v>
      </c>
      <c r="D3088" s="156" t="s">
        <v>1444</v>
      </c>
      <c r="E3088" s="154" t="n">
        <v>0.9892</v>
      </c>
      <c r="F3088" s="149" t="n">
        <f aca="false">IF(C3088="MAT.",VLOOKUP(A3088,INSUMOS_AUX!$A$3:$H$813,6,0),0)</f>
        <v>1.43</v>
      </c>
      <c r="G3088" s="149" t="n">
        <f aca="false">IF(C3088="M.O.",VLOOKUP(A3088,INSUMOS_AUX!A:F,6,0),0)</f>
        <v>0</v>
      </c>
    </row>
    <row r="3089" customFormat="false" ht="21" hidden="false" customHeight="false" outlineLevel="0" collapsed="false">
      <c r="A3089" s="154" t="n">
        <v>43466</v>
      </c>
      <c r="B3089" s="155" t="s">
        <v>1509</v>
      </c>
      <c r="C3089" s="148" t="str">
        <f aca="false">VLOOKUP($A3089,INSUMOS_AUX!$A$3:$H$813,3,0)</f>
        <v>MAT.</v>
      </c>
      <c r="D3089" s="156" t="s">
        <v>1444</v>
      </c>
      <c r="E3089" s="154" t="n">
        <v>0.7419</v>
      </c>
      <c r="F3089" s="149" t="n">
        <f aca="false">IF(C3089="MAT.",VLOOKUP(A3089,INSUMOS_AUX!$A$3:$H$813,6,0),0)</f>
        <v>2.05</v>
      </c>
      <c r="G3089" s="149" t="n">
        <f aca="false">IF(C3089="M.O.",VLOOKUP(A3089,INSUMOS_AUX!A:F,6,0),0)</f>
        <v>0</v>
      </c>
    </row>
    <row r="3090" customFormat="false" ht="21" hidden="false" customHeight="false" outlineLevel="0" collapsed="false">
      <c r="A3090" s="154" t="n">
        <v>43467</v>
      </c>
      <c r="B3090" s="155" t="s">
        <v>1459</v>
      </c>
      <c r="C3090" s="148" t="s">
        <v>59</v>
      </c>
      <c r="D3090" s="156" t="s">
        <v>1444</v>
      </c>
      <c r="E3090" s="154" t="n">
        <v>0.2473</v>
      </c>
      <c r="F3090" s="149" t="n">
        <f aca="false">IF(C3090="MAT.",VLOOKUP(A3090,INSUMOS_AUX!$A$3:$H$813,6,0),0)</f>
        <v>0</v>
      </c>
      <c r="G3090" s="149" t="n">
        <f aca="false">IF(C3090="M.O.",VLOOKUP(A3090,INSUMOS_AUX!A:F,6,0),0)</f>
        <v>0</v>
      </c>
    </row>
    <row r="3091" customFormat="false" ht="21" hidden="false" customHeight="false" outlineLevel="0" collapsed="false">
      <c r="A3091" s="154" t="n">
        <v>37373</v>
      </c>
      <c r="B3091" s="155" t="s">
        <v>1448</v>
      </c>
      <c r="C3091" s="148" t="str">
        <f aca="false">VLOOKUP($A3091,INSUMOS_AUX!$A$3:$H$813,3,0)</f>
        <v>MAT.</v>
      </c>
      <c r="D3091" s="156" t="s">
        <v>1444</v>
      </c>
      <c r="E3091" s="154" t="n">
        <v>0.9892</v>
      </c>
      <c r="F3091" s="149" t="n">
        <f aca="false">IF(C3091="MAT.",VLOOKUP(A3091,INSUMOS_AUX!$A$3:$H$813,6,0),0)</f>
        <v>0.08</v>
      </c>
      <c r="G3091" s="149" t="n">
        <f aca="false">IF(C3091="M.O.",VLOOKUP(A3091,INSUMOS_AUX!A:F,6,0),0)</f>
        <v>0</v>
      </c>
    </row>
    <row r="3092" customFormat="false" ht="21" hidden="false" customHeight="false" outlineLevel="0" collapsed="false">
      <c r="A3092" s="154" t="n">
        <v>37371</v>
      </c>
      <c r="B3092" s="155" t="s">
        <v>1449</v>
      </c>
      <c r="C3092" s="148" t="str">
        <f aca="false">VLOOKUP($A3092,INSUMOS_AUX!$A$3:$H$813,3,0)</f>
        <v>MAT.</v>
      </c>
      <c r="D3092" s="156" t="s">
        <v>1444</v>
      </c>
      <c r="E3092" s="154" t="n">
        <v>0.9892</v>
      </c>
      <c r="F3092" s="149" t="n">
        <f aca="false">IF(C3092="MAT.",VLOOKUP(A3092,INSUMOS_AUX!$A$3:$H$813,6,0),0)</f>
        <v>0.59</v>
      </c>
      <c r="G3092" s="149" t="n">
        <f aca="false">IF(C3092="M.O.",VLOOKUP(A3092,INSUMOS_AUX!A:F,6,0),0)</f>
        <v>0</v>
      </c>
    </row>
    <row r="3093" customFormat="false" ht="21" hidden="false" customHeight="false" outlineLevel="0" collapsed="false">
      <c r="A3093" s="154" t="n">
        <v>3767</v>
      </c>
      <c r="B3093" s="155" t="s">
        <v>1879</v>
      </c>
      <c r="C3093" s="148" t="str">
        <f aca="false">VLOOKUP($A3093,INSUMOS_AUX!$A$3:$H$813,3,0)</f>
        <v>MAT.</v>
      </c>
      <c r="D3093" s="156" t="s">
        <v>31</v>
      </c>
      <c r="E3093" s="154" t="n">
        <v>0.0802</v>
      </c>
      <c r="F3093" s="149" t="n">
        <f aca="false">IF(C3093="MAT.",VLOOKUP(A3093,INSUMOS_AUX!$A$3:$H$813,6,0),0)</f>
        <v>0.81</v>
      </c>
      <c r="G3093" s="149" t="n">
        <f aca="false">IF(C3093="M.O.",VLOOKUP(A3093,INSUMOS_AUX!A:F,6,0),0)</f>
        <v>0</v>
      </c>
    </row>
    <row r="3094" customFormat="false" ht="15" hidden="false" customHeight="false" outlineLevel="0" collapsed="false">
      <c r="A3094" s="154" t="n">
        <v>43651</v>
      </c>
      <c r="B3094" s="155" t="s">
        <v>1966</v>
      </c>
      <c r="C3094" s="148" t="str">
        <f aca="false">VLOOKUP($A3094,INSUMOS_AUX!$A$3:$H$813,3,0)</f>
        <v>MAT.</v>
      </c>
      <c r="D3094" s="156" t="s">
        <v>1513</v>
      </c>
      <c r="E3094" s="154" t="n">
        <v>1.3389</v>
      </c>
      <c r="F3094" s="149" t="n">
        <f aca="false">IF(C3094="MAT.",VLOOKUP(A3094,INSUMOS_AUX!$A$3:$H$813,6,0),0)</f>
        <v>4.33</v>
      </c>
      <c r="G3094" s="149" t="n">
        <f aca="false">IF(C3094="M.O.",VLOOKUP(A3094,INSUMOS_AUX!A:F,6,0),0)</f>
        <v>0</v>
      </c>
    </row>
    <row r="3095" customFormat="false" ht="15" hidden="false" customHeight="false" outlineLevel="0" collapsed="false">
      <c r="A3095" s="154" t="n">
        <v>4783</v>
      </c>
      <c r="B3095" s="155" t="s">
        <v>1517</v>
      </c>
      <c r="C3095" s="148" t="str">
        <f aca="false">VLOOKUP($A3095,INSUMOS_AUX!$A$3:$H$813,3,0)</f>
        <v>M.O.</v>
      </c>
      <c r="D3095" s="156" t="s">
        <v>1444</v>
      </c>
      <c r="E3095" s="154" t="n">
        <v>0.752850444</v>
      </c>
      <c r="F3095" s="149" t="n">
        <f aca="false">IF(C3095="MAT.",VLOOKUP(A3095,INSUMOS_AUX!$A$3:$H$813,6,0),0)</f>
        <v>0</v>
      </c>
      <c r="G3095" s="149" t="n">
        <f aca="false">IF(C3095="M.O.",VLOOKUP(A3095,INSUMOS_AUX!A:F,6,0),0)</f>
        <v>20.22</v>
      </c>
    </row>
    <row r="3096" customFormat="false" ht="15" hidden="false" customHeight="false" outlineLevel="0" collapsed="false">
      <c r="A3096" s="154" t="n">
        <v>6111</v>
      </c>
      <c r="B3096" s="155" t="s">
        <v>1464</v>
      </c>
      <c r="C3096" s="148" t="str">
        <f aca="false">VLOOKUP($A3096,INSUMOS_AUX!$A$3:$H$813,3,0)</f>
        <v>M.O.</v>
      </c>
      <c r="D3096" s="156" t="s">
        <v>1444</v>
      </c>
      <c r="E3096" s="154" t="n">
        <v>0.25254276</v>
      </c>
      <c r="F3096" s="149" t="n">
        <f aca="false">IF(C3096="MAT.",VLOOKUP(A3096,INSUMOS_AUX!$A$3:$H$813,6,0),0)</f>
        <v>0</v>
      </c>
      <c r="G3096" s="149" t="n">
        <f aca="false">IF(C3096="M.O.",VLOOKUP(A3096,INSUMOS_AUX!A:F,6,0),0)</f>
        <v>12.95</v>
      </c>
    </row>
    <row r="3097" customFormat="false" ht="21" hidden="false" customHeight="false" outlineLevel="0" collapsed="false">
      <c r="A3097" s="150" t="n">
        <v>88484</v>
      </c>
      <c r="B3097" s="151" t="s">
        <v>2001</v>
      </c>
      <c r="C3097" s="152" t="s">
        <v>59</v>
      </c>
      <c r="D3097" s="152" t="s">
        <v>1477</v>
      </c>
      <c r="E3097" s="150"/>
      <c r="F3097" s="153" t="n">
        <f aca="false">(SUMPRODUCT($E3098:$E3108,F3098:F3108))*1</f>
        <v>3.015914</v>
      </c>
      <c r="G3097" s="153" t="n">
        <f aca="false">(SUMPRODUCT($E3098:$E3108,G3098:G3108))*1</f>
        <v>2.31069834144</v>
      </c>
    </row>
    <row r="3098" customFormat="false" ht="21" hidden="false" customHeight="false" outlineLevel="0" collapsed="false">
      <c r="A3098" s="154" t="n">
        <v>37370</v>
      </c>
      <c r="B3098" s="155" t="s">
        <v>1443</v>
      </c>
      <c r="C3098" s="148" t="str">
        <f aca="false">VLOOKUP($A3098,INSUMOS_AUX!$A$3:$H$813,3,0)</f>
        <v>MAT.</v>
      </c>
      <c r="D3098" s="156" t="s">
        <v>1444</v>
      </c>
      <c r="E3098" s="154" t="n">
        <v>0.1236</v>
      </c>
      <c r="F3098" s="149" t="n">
        <f aca="false">IF(C3098="MAT.",VLOOKUP(A3098,INSUMOS_AUX!$A$3:$H$813,6,0),0)</f>
        <v>3.32</v>
      </c>
      <c r="G3098" s="149" t="n">
        <f aca="false">IF(C3098="M.O.",VLOOKUP(A3098,INSUMOS_AUX!A:F,6,0),0)</f>
        <v>0</v>
      </c>
    </row>
    <row r="3099" customFormat="false" ht="21" hidden="false" customHeight="false" outlineLevel="0" collapsed="false">
      <c r="A3099" s="154" t="n">
        <v>43490</v>
      </c>
      <c r="B3099" s="155" t="s">
        <v>1508</v>
      </c>
      <c r="C3099" s="148" t="str">
        <f aca="false">VLOOKUP($A3099,INSUMOS_AUX!$A$3:$H$813,3,0)</f>
        <v>MAT.</v>
      </c>
      <c r="D3099" s="156" t="s">
        <v>1444</v>
      </c>
      <c r="E3099" s="154" t="n">
        <v>0.0927</v>
      </c>
      <c r="F3099" s="149" t="n">
        <f aca="false">IF(C3099="MAT.",VLOOKUP(A3099,INSUMOS_AUX!$A$3:$H$813,6,0),0)</f>
        <v>1.85</v>
      </c>
      <c r="G3099" s="149" t="n">
        <f aca="false">IF(C3099="M.O.",VLOOKUP(A3099,INSUMOS_AUX!A:F,6,0),0)</f>
        <v>0</v>
      </c>
    </row>
    <row r="3100" customFormat="false" ht="21" hidden="false" customHeight="false" outlineLevel="0" collapsed="false">
      <c r="A3100" s="154" t="n">
        <v>43491</v>
      </c>
      <c r="B3100" s="155" t="s">
        <v>1457</v>
      </c>
      <c r="C3100" s="148" t="str">
        <f aca="false">VLOOKUP($A3100,INSUMOS_AUX!$A$3:$H$813,3,0)</f>
        <v>MAT.</v>
      </c>
      <c r="D3100" s="156" t="s">
        <v>1444</v>
      </c>
      <c r="E3100" s="154" t="n">
        <v>0.0309</v>
      </c>
      <c r="F3100" s="149" t="n">
        <f aca="false">IF(C3100="MAT.",VLOOKUP(A3100,INSUMOS_AUX!$A$3:$H$813,6,0),0)</f>
        <v>1.39</v>
      </c>
      <c r="G3100" s="149" t="n">
        <f aca="false">IF(C3100="M.O.",VLOOKUP(A3100,INSUMOS_AUX!A:F,6,0),0)</f>
        <v>0</v>
      </c>
    </row>
    <row r="3101" customFormat="false" ht="21" hidden="false" customHeight="false" outlineLevel="0" collapsed="false">
      <c r="A3101" s="154" t="n">
        <v>37372</v>
      </c>
      <c r="B3101" s="155" t="s">
        <v>1446</v>
      </c>
      <c r="C3101" s="148" t="str">
        <f aca="false">VLOOKUP($A3101,INSUMOS_AUX!$A$3:$H$813,3,0)</f>
        <v>MAT.</v>
      </c>
      <c r="D3101" s="156" t="s">
        <v>1444</v>
      </c>
      <c r="E3101" s="154" t="n">
        <v>0.1236</v>
      </c>
      <c r="F3101" s="149" t="n">
        <f aca="false">IF(C3101="MAT.",VLOOKUP(A3101,INSUMOS_AUX!$A$3:$H$813,6,0),0)</f>
        <v>1.43</v>
      </c>
      <c r="G3101" s="149" t="n">
        <f aca="false">IF(C3101="M.O.",VLOOKUP(A3101,INSUMOS_AUX!A:F,6,0),0)</f>
        <v>0</v>
      </c>
    </row>
    <row r="3102" customFormat="false" ht="21" hidden="false" customHeight="false" outlineLevel="0" collapsed="false">
      <c r="A3102" s="154" t="n">
        <v>43466</v>
      </c>
      <c r="B3102" s="155" t="s">
        <v>1509</v>
      </c>
      <c r="C3102" s="148" t="str">
        <f aca="false">VLOOKUP($A3102,INSUMOS_AUX!$A$3:$H$813,3,0)</f>
        <v>MAT.</v>
      </c>
      <c r="D3102" s="156" t="s">
        <v>1444</v>
      </c>
      <c r="E3102" s="154" t="n">
        <v>0.0927</v>
      </c>
      <c r="F3102" s="149" t="n">
        <f aca="false">IF(C3102="MAT.",VLOOKUP(A3102,INSUMOS_AUX!$A$3:$H$813,6,0),0)</f>
        <v>2.05</v>
      </c>
      <c r="G3102" s="149" t="n">
        <f aca="false">IF(C3102="M.O.",VLOOKUP(A3102,INSUMOS_AUX!A:F,6,0),0)</f>
        <v>0</v>
      </c>
    </row>
    <row r="3103" customFormat="false" ht="21" hidden="false" customHeight="false" outlineLevel="0" collapsed="false">
      <c r="A3103" s="154" t="n">
        <v>43467</v>
      </c>
      <c r="B3103" s="155" t="s">
        <v>1459</v>
      </c>
      <c r="C3103" s="148" t="str">
        <f aca="false">VLOOKUP($A3103,INSUMOS_AUX!$A$3:$H$813,3,0)</f>
        <v>MAT.</v>
      </c>
      <c r="D3103" s="156" t="s">
        <v>1444</v>
      </c>
      <c r="E3103" s="154" t="n">
        <v>0.0309</v>
      </c>
      <c r="F3103" s="149" t="n">
        <f aca="false">IF(C3103="MAT.",VLOOKUP(A3103,INSUMOS_AUX!$A$3:$H$813,6,0),0)</f>
        <v>0.61</v>
      </c>
      <c r="G3103" s="149" t="n">
        <f aca="false">IF(C3103="M.O.",VLOOKUP(A3103,INSUMOS_AUX!A:F,6,0),0)</f>
        <v>0</v>
      </c>
    </row>
    <row r="3104" customFormat="false" ht="21" hidden="false" customHeight="false" outlineLevel="0" collapsed="false">
      <c r="A3104" s="154" t="n">
        <v>37373</v>
      </c>
      <c r="B3104" s="155" t="s">
        <v>1448</v>
      </c>
      <c r="C3104" s="148" t="s">
        <v>59</v>
      </c>
      <c r="D3104" s="156" t="s">
        <v>1444</v>
      </c>
      <c r="E3104" s="154" t="n">
        <v>0.1236</v>
      </c>
      <c r="F3104" s="149" t="n">
        <f aca="false">IF(C3104="MAT.",VLOOKUP(A3104,INSUMOS_AUX!$A$3:$H$813,6,0),0)</f>
        <v>0</v>
      </c>
      <c r="G3104" s="149" t="n">
        <f aca="false">IF(C3104="M.O.",VLOOKUP(A3104,INSUMOS_AUX!A:F,6,0),0)</f>
        <v>0</v>
      </c>
    </row>
    <row r="3105" customFormat="false" ht="21" hidden="false" customHeight="false" outlineLevel="0" collapsed="false">
      <c r="A3105" s="154" t="n">
        <v>37371</v>
      </c>
      <c r="B3105" s="155" t="s">
        <v>1449</v>
      </c>
      <c r="C3105" s="148" t="str">
        <f aca="false">VLOOKUP($A3105,INSUMOS_AUX!$A$3:$H$813,3,0)</f>
        <v>MAT.</v>
      </c>
      <c r="D3105" s="156" t="s">
        <v>1444</v>
      </c>
      <c r="E3105" s="154" t="n">
        <v>0.1236</v>
      </c>
      <c r="F3105" s="149" t="n">
        <f aca="false">IF(C3105="MAT.",VLOOKUP(A3105,INSUMOS_AUX!$A$3:$H$813,6,0),0)</f>
        <v>0.59</v>
      </c>
      <c r="G3105" s="149" t="n">
        <f aca="false">IF(C3105="M.O.",VLOOKUP(A3105,INSUMOS_AUX!A:F,6,0),0)</f>
        <v>0</v>
      </c>
    </row>
    <row r="3106" customFormat="false" ht="15" hidden="false" customHeight="false" outlineLevel="0" collapsed="false">
      <c r="A3106" s="154" t="n">
        <v>6085</v>
      </c>
      <c r="B3106" s="155" t="s">
        <v>1972</v>
      </c>
      <c r="C3106" s="148" t="str">
        <f aca="false">VLOOKUP($A3106,INSUMOS_AUX!$A$3:$H$813,3,0)</f>
        <v>MAT.</v>
      </c>
      <c r="D3106" s="156" t="s">
        <v>1452</v>
      </c>
      <c r="E3106" s="154" t="n">
        <v>0.1666</v>
      </c>
      <c r="F3106" s="149" t="n">
        <f aca="false">IF(C3106="MAT.",VLOOKUP(A3106,INSUMOS_AUX!$A$3:$H$813,6,0),0)</f>
        <v>11.6</v>
      </c>
      <c r="G3106" s="149" t="n">
        <f aca="false">IF(C3106="M.O.",VLOOKUP(A3106,INSUMOS_AUX!A:F,6,0),0)</f>
        <v>0</v>
      </c>
    </row>
    <row r="3107" customFormat="false" ht="15" hidden="false" customHeight="false" outlineLevel="0" collapsed="false">
      <c r="A3107" s="154" t="n">
        <v>4783</v>
      </c>
      <c r="B3107" s="155" t="s">
        <v>1517</v>
      </c>
      <c r="C3107" s="148" t="str">
        <f aca="false">VLOOKUP($A3107,INSUMOS_AUX!$A$3:$H$813,3,0)</f>
        <v>M.O.</v>
      </c>
      <c r="D3107" s="156" t="s">
        <v>1444</v>
      </c>
      <c r="E3107" s="154" t="n">
        <v>0.094068252</v>
      </c>
      <c r="F3107" s="149" t="n">
        <f aca="false">IF(C3107="MAT.",VLOOKUP(A3107,INSUMOS_AUX!$A$3:$H$813,6,0),0)</f>
        <v>0</v>
      </c>
      <c r="G3107" s="149" t="n">
        <f aca="false">IF(C3107="M.O.",VLOOKUP(A3107,INSUMOS_AUX!A:F,6,0),0)</f>
        <v>20.22</v>
      </c>
    </row>
    <row r="3108" customFormat="false" ht="15" hidden="false" customHeight="false" outlineLevel="0" collapsed="false">
      <c r="A3108" s="154" t="n">
        <v>6111</v>
      </c>
      <c r="B3108" s="155" t="s">
        <v>1464</v>
      </c>
      <c r="C3108" s="148" t="str">
        <f aca="false">VLOOKUP($A3108,INSUMOS_AUX!$A$3:$H$813,3,0)</f>
        <v>M.O.</v>
      </c>
      <c r="D3108" s="156" t="s">
        <v>1444</v>
      </c>
      <c r="E3108" s="154" t="n">
        <v>0.03155508</v>
      </c>
      <c r="F3108" s="149" t="n">
        <f aca="false">IF(C3108="MAT.",VLOOKUP(A3108,INSUMOS_AUX!$A$3:$H$813,6,0),0)</f>
        <v>0</v>
      </c>
      <c r="G3108" s="149" t="n">
        <f aca="false">IF(C3108="M.O.",VLOOKUP(A3108,INSUMOS_AUX!A:F,6,0),0)</f>
        <v>12.95</v>
      </c>
    </row>
    <row r="3109" customFormat="false" ht="21" hidden="false" customHeight="false" outlineLevel="0" collapsed="false">
      <c r="A3109" s="150" t="s">
        <v>603</v>
      </c>
      <c r="B3109" s="151" t="s">
        <v>2002</v>
      </c>
      <c r="C3109" s="152" t="s">
        <v>59</v>
      </c>
      <c r="D3109" s="152" t="s">
        <v>1477</v>
      </c>
      <c r="E3109" s="150"/>
      <c r="F3109" s="153" t="n">
        <f aca="false">(SUMPRODUCT($E3110:$E3120,F3110:F3120))*1</f>
        <v>2.677334</v>
      </c>
      <c r="G3109" s="153" t="n">
        <f aca="false">(SUMPRODUCT($E3110:$E3120,G3110:G3120))*1</f>
        <v>5.6587851924</v>
      </c>
    </row>
    <row r="3110" customFormat="false" ht="21" hidden="false" customHeight="false" outlineLevel="0" collapsed="false">
      <c r="A3110" s="154" t="n">
        <v>37370</v>
      </c>
      <c r="B3110" s="155" t="s">
        <v>1443</v>
      </c>
      <c r="C3110" s="148" t="str">
        <f aca="false">VLOOKUP($A3110,INSUMOS_AUX!$A$3:$H$813,3,0)</f>
        <v>MAT.</v>
      </c>
      <c r="D3110" s="156" t="s">
        <v>1444</v>
      </c>
      <c r="E3110" s="154" t="n">
        <v>0.3027</v>
      </c>
      <c r="F3110" s="149" t="n">
        <f aca="false">IF(C3110="MAT.",VLOOKUP(A3110,INSUMOS_AUX!$A$3:$H$813,6,0),0)</f>
        <v>3.32</v>
      </c>
      <c r="G3110" s="149" t="n">
        <f aca="false">IF(C3110="M.O.",VLOOKUP(A3110,INSUMOS_AUX!A:F,6,0),0)</f>
        <v>0</v>
      </c>
    </row>
    <row r="3111" customFormat="false" ht="21" hidden="false" customHeight="false" outlineLevel="0" collapsed="false">
      <c r="A3111" s="154" t="n">
        <v>43490</v>
      </c>
      <c r="B3111" s="155" t="s">
        <v>1508</v>
      </c>
      <c r="C3111" s="148" t="str">
        <f aca="false">VLOOKUP($A3111,INSUMOS_AUX!$A$3:$H$813,3,0)</f>
        <v>MAT.</v>
      </c>
      <c r="D3111" s="156" t="s">
        <v>1444</v>
      </c>
      <c r="E3111" s="154" t="n">
        <v>0.227</v>
      </c>
      <c r="F3111" s="149" t="n">
        <f aca="false">IF(C3111="MAT.",VLOOKUP(A3111,INSUMOS_AUX!$A$3:$H$813,6,0),0)</f>
        <v>1.85</v>
      </c>
      <c r="G3111" s="149" t="n">
        <f aca="false">IF(C3111="M.O.",VLOOKUP(A3111,INSUMOS_AUX!A:F,6,0),0)</f>
        <v>0</v>
      </c>
    </row>
    <row r="3112" customFormat="false" ht="21" hidden="false" customHeight="false" outlineLevel="0" collapsed="false">
      <c r="A3112" s="154" t="n">
        <v>43491</v>
      </c>
      <c r="B3112" s="155" t="s">
        <v>1457</v>
      </c>
      <c r="C3112" s="148" t="str">
        <f aca="false">VLOOKUP($A3112,INSUMOS_AUX!$A$3:$H$813,3,0)</f>
        <v>MAT.</v>
      </c>
      <c r="D3112" s="156" t="s">
        <v>1444</v>
      </c>
      <c r="E3112" s="154" t="n">
        <v>0.0757</v>
      </c>
      <c r="F3112" s="149" t="n">
        <f aca="false">IF(C3112="MAT.",VLOOKUP(A3112,INSUMOS_AUX!$A$3:$H$813,6,0),0)</f>
        <v>1.39</v>
      </c>
      <c r="G3112" s="149" t="n">
        <f aca="false">IF(C3112="M.O.",VLOOKUP(A3112,INSUMOS_AUX!A:F,6,0),0)</f>
        <v>0</v>
      </c>
    </row>
    <row r="3113" customFormat="false" ht="21" hidden="false" customHeight="false" outlineLevel="0" collapsed="false">
      <c r="A3113" s="154" t="n">
        <v>37372</v>
      </c>
      <c r="B3113" s="155" t="s">
        <v>1446</v>
      </c>
      <c r="C3113" s="148" t="str">
        <f aca="false">VLOOKUP($A3113,INSUMOS_AUX!$A$3:$H$813,3,0)</f>
        <v>MAT.</v>
      </c>
      <c r="D3113" s="156" t="s">
        <v>1444</v>
      </c>
      <c r="E3113" s="154" t="n">
        <v>0.3027</v>
      </c>
      <c r="F3113" s="149" t="n">
        <f aca="false">IF(C3113="MAT.",VLOOKUP(A3113,INSUMOS_AUX!$A$3:$H$813,6,0),0)</f>
        <v>1.43</v>
      </c>
      <c r="G3113" s="149" t="n">
        <f aca="false">IF(C3113="M.O.",VLOOKUP(A3113,INSUMOS_AUX!A:F,6,0),0)</f>
        <v>0</v>
      </c>
    </row>
    <row r="3114" customFormat="false" ht="21" hidden="false" customHeight="false" outlineLevel="0" collapsed="false">
      <c r="A3114" s="154" t="n">
        <v>43466</v>
      </c>
      <c r="B3114" s="155" t="s">
        <v>1509</v>
      </c>
      <c r="C3114" s="148" t="str">
        <f aca="false">VLOOKUP($A3114,INSUMOS_AUX!$A$3:$H$813,3,0)</f>
        <v>MAT.</v>
      </c>
      <c r="D3114" s="156" t="s">
        <v>1444</v>
      </c>
      <c r="E3114" s="154" t="n">
        <v>0.227</v>
      </c>
      <c r="F3114" s="149" t="n">
        <f aca="false">IF(C3114="MAT.",VLOOKUP(A3114,INSUMOS_AUX!$A$3:$H$813,6,0),0)</f>
        <v>2.05</v>
      </c>
      <c r="G3114" s="149" t="n">
        <f aca="false">IF(C3114="M.O.",VLOOKUP(A3114,INSUMOS_AUX!A:F,6,0),0)</f>
        <v>0</v>
      </c>
    </row>
    <row r="3115" customFormat="false" ht="21" hidden="false" customHeight="false" outlineLevel="0" collapsed="false">
      <c r="A3115" s="154" t="n">
        <v>43467</v>
      </c>
      <c r="B3115" s="155" t="s">
        <v>1459</v>
      </c>
      <c r="C3115" s="148" t="str">
        <f aca="false">VLOOKUP($A3115,INSUMOS_AUX!$A$3:$H$813,3,0)</f>
        <v>MAT.</v>
      </c>
      <c r="D3115" s="156" t="s">
        <v>1444</v>
      </c>
      <c r="E3115" s="154" t="n">
        <v>0.0757</v>
      </c>
      <c r="F3115" s="149" t="n">
        <f aca="false">IF(C3115="MAT.",VLOOKUP(A3115,INSUMOS_AUX!$A$3:$H$813,6,0),0)</f>
        <v>0.61</v>
      </c>
      <c r="G3115" s="149" t="n">
        <f aca="false">IF(C3115="M.O.",VLOOKUP(A3115,INSUMOS_AUX!A:F,6,0),0)</f>
        <v>0</v>
      </c>
    </row>
    <row r="3116" customFormat="false" ht="21" hidden="false" customHeight="false" outlineLevel="0" collapsed="false">
      <c r="A3116" s="154" t="n">
        <v>37373</v>
      </c>
      <c r="B3116" s="155" t="s">
        <v>1448</v>
      </c>
      <c r="C3116" s="148" t="str">
        <f aca="false">VLOOKUP($A3116,INSUMOS_AUX!$A$3:$H$813,3,0)</f>
        <v>MAT.</v>
      </c>
      <c r="D3116" s="156" t="s">
        <v>1444</v>
      </c>
      <c r="E3116" s="154" t="n">
        <v>0.3027</v>
      </c>
      <c r="F3116" s="149" t="n">
        <f aca="false">IF(C3116="MAT.",VLOOKUP(A3116,INSUMOS_AUX!$A$3:$H$813,6,0),0)</f>
        <v>0.08</v>
      </c>
      <c r="G3116" s="149" t="n">
        <f aca="false">IF(C3116="M.O.",VLOOKUP(A3116,INSUMOS_AUX!A:F,6,0),0)</f>
        <v>0</v>
      </c>
    </row>
    <row r="3117" customFormat="false" ht="21" hidden="false" customHeight="false" outlineLevel="0" collapsed="false">
      <c r="A3117" s="154" t="n">
        <v>37371</v>
      </c>
      <c r="B3117" s="155" t="s">
        <v>1449</v>
      </c>
      <c r="C3117" s="148" t="str">
        <f aca="false">VLOOKUP($A3117,INSUMOS_AUX!$A$3:$H$813,3,0)</f>
        <v>MAT.</v>
      </c>
      <c r="D3117" s="156" t="s">
        <v>1444</v>
      </c>
      <c r="E3117" s="154" t="n">
        <v>0.3027</v>
      </c>
      <c r="F3117" s="149" t="n">
        <f aca="false">IF(C3117="MAT.",VLOOKUP(A3117,INSUMOS_AUX!$A$3:$H$813,6,0),0)</f>
        <v>0.59</v>
      </c>
      <c r="G3117" s="149" t="n">
        <f aca="false">IF(C3117="M.O.",VLOOKUP(A3117,INSUMOS_AUX!A:F,6,0),0)</f>
        <v>0</v>
      </c>
    </row>
    <row r="3118" customFormat="false" ht="21" hidden="false" customHeight="false" outlineLevel="0" collapsed="false">
      <c r="A3118" s="154" t="s">
        <v>1974</v>
      </c>
      <c r="B3118" s="155" t="s">
        <v>1975</v>
      </c>
      <c r="C3118" s="148" t="s">
        <v>59</v>
      </c>
      <c r="D3118" s="156" t="s">
        <v>1452</v>
      </c>
      <c r="E3118" s="154" t="n">
        <v>0.2285</v>
      </c>
      <c r="F3118" s="149" t="n">
        <f aca="false">IF(C3118="MAT.",VLOOKUP(A3118,INSUMOS_AUX!$A$3:$H$813,6,0),0)</f>
        <v>0</v>
      </c>
      <c r="G3118" s="149" t="n">
        <f aca="false">IF(C3118="M.O.",VLOOKUP(A3118,INSUMOS_AUX!A:F,6,0),0)</f>
        <v>0</v>
      </c>
    </row>
    <row r="3119" customFormat="false" ht="15" hidden="false" customHeight="false" outlineLevel="0" collapsed="false">
      <c r="A3119" s="154" t="n">
        <v>4783</v>
      </c>
      <c r="B3119" s="155" t="s">
        <v>1517</v>
      </c>
      <c r="C3119" s="148" t="str">
        <f aca="false">VLOOKUP($A3119,INSUMOS_AUX!$A$3:$H$813,3,0)</f>
        <v>M.O.</v>
      </c>
      <c r="D3119" s="156" t="s">
        <v>1444</v>
      </c>
      <c r="E3119" s="154" t="n">
        <v>0.23035052</v>
      </c>
      <c r="F3119" s="149" t="n">
        <f aca="false">IF(C3119="MAT.",VLOOKUP(A3119,INSUMOS_AUX!$A$3:$H$813,6,0),0)</f>
        <v>0</v>
      </c>
      <c r="G3119" s="149" t="n">
        <f aca="false">IF(C3119="M.O.",VLOOKUP(A3119,INSUMOS_AUX!A:F,6,0),0)</f>
        <v>20.22</v>
      </c>
    </row>
    <row r="3120" customFormat="false" ht="15" hidden="false" customHeight="false" outlineLevel="0" collapsed="false">
      <c r="A3120" s="154" t="n">
        <v>6111</v>
      </c>
      <c r="B3120" s="155" t="s">
        <v>1464</v>
      </c>
      <c r="C3120" s="148" t="str">
        <f aca="false">VLOOKUP($A3120,INSUMOS_AUX!$A$3:$H$813,3,0)</f>
        <v>M.O.</v>
      </c>
      <c r="D3120" s="156" t="s">
        <v>1444</v>
      </c>
      <c r="E3120" s="154" t="n">
        <v>0.07730484</v>
      </c>
      <c r="F3120" s="149" t="n">
        <f aca="false">IF(C3120="MAT.",VLOOKUP(A3120,INSUMOS_AUX!$A$3:$H$813,6,0),0)</f>
        <v>0</v>
      </c>
      <c r="G3120" s="149" t="n">
        <f aca="false">IF(C3120="M.O.",VLOOKUP(A3120,INSUMOS_AUX!A:F,6,0),0)</f>
        <v>12.95</v>
      </c>
    </row>
    <row r="3121" customFormat="false" ht="21" hidden="false" customHeight="false" outlineLevel="0" collapsed="false">
      <c r="A3121" s="150" t="n">
        <v>96113</v>
      </c>
      <c r="B3121" s="151" t="s">
        <v>2003</v>
      </c>
      <c r="C3121" s="152" t="s">
        <v>59</v>
      </c>
      <c r="D3121" s="152" t="s">
        <v>1477</v>
      </c>
      <c r="E3121" s="150"/>
      <c r="F3121" s="153" t="n">
        <f aca="false">(SUMPRODUCT($E3122:$E3136,F3122:F3136))*1</f>
        <v>22.998142</v>
      </c>
      <c r="G3121" s="153" t="n">
        <f aca="false">(SUMPRODUCT($E3122:$E3136,G3122:G3136))*1</f>
        <v>20.55084165258</v>
      </c>
    </row>
    <row r="3122" customFormat="false" ht="21" hidden="false" customHeight="false" outlineLevel="0" collapsed="false">
      <c r="A3122" s="154" t="n">
        <v>37370</v>
      </c>
      <c r="B3122" s="155" t="s">
        <v>1443</v>
      </c>
      <c r="C3122" s="148" t="str">
        <f aca="false">VLOOKUP($A3122,INSUMOS_AUX!$A$3:$H$813,3,0)</f>
        <v>MAT.</v>
      </c>
      <c r="D3122" s="156" t="s">
        <v>1444</v>
      </c>
      <c r="E3122" s="154" t="n">
        <v>1.2389</v>
      </c>
      <c r="F3122" s="149" t="n">
        <f aca="false">IF(C3122="MAT.",VLOOKUP(A3122,INSUMOS_AUX!$A$3:$H$813,6,0),0)</f>
        <v>3.32</v>
      </c>
      <c r="G3122" s="149" t="n">
        <f aca="false">IF(C3122="M.O.",VLOOKUP(A3122,INSUMOS_AUX!A:F,6,0),0)</f>
        <v>0</v>
      </c>
    </row>
    <row r="3123" customFormat="false" ht="21" hidden="false" customHeight="false" outlineLevel="0" collapsed="false">
      <c r="A3123" s="154" t="n">
        <v>43489</v>
      </c>
      <c r="B3123" s="155" t="s">
        <v>1456</v>
      </c>
      <c r="C3123" s="148" t="str">
        <f aca="false">VLOOKUP($A3123,INSUMOS_AUX!$A$3:$H$813,3,0)</f>
        <v>MAT.</v>
      </c>
      <c r="D3123" s="156" t="s">
        <v>1444</v>
      </c>
      <c r="E3123" s="154" t="n">
        <v>0.7867</v>
      </c>
      <c r="F3123" s="149" t="n">
        <f aca="false">IF(C3123="MAT.",VLOOKUP(A3123,INSUMOS_AUX!$A$3:$H$813,6,0),0)</f>
        <v>1.31</v>
      </c>
      <c r="G3123" s="149" t="n">
        <f aca="false">IF(C3123="M.O.",VLOOKUP(A3123,INSUMOS_AUX!A:F,6,0),0)</f>
        <v>0</v>
      </c>
    </row>
    <row r="3124" customFormat="false" ht="21" hidden="false" customHeight="false" outlineLevel="0" collapsed="false">
      <c r="A3124" s="154" t="n">
        <v>43491</v>
      </c>
      <c r="B3124" s="155" t="s">
        <v>1457</v>
      </c>
      <c r="C3124" s="148" t="str">
        <f aca="false">VLOOKUP($A3124,INSUMOS_AUX!$A$3:$H$813,3,0)</f>
        <v>MAT.</v>
      </c>
      <c r="D3124" s="156" t="s">
        <v>1444</v>
      </c>
      <c r="E3124" s="154" t="n">
        <v>0.4522</v>
      </c>
      <c r="F3124" s="149" t="n">
        <f aca="false">IF(C3124="MAT.",VLOOKUP(A3124,INSUMOS_AUX!$A$3:$H$813,6,0),0)</f>
        <v>1.39</v>
      </c>
      <c r="G3124" s="149" t="n">
        <f aca="false">IF(C3124="M.O.",VLOOKUP(A3124,INSUMOS_AUX!A:F,6,0),0)</f>
        <v>0</v>
      </c>
    </row>
    <row r="3125" customFormat="false" ht="21" hidden="false" customHeight="false" outlineLevel="0" collapsed="false">
      <c r="A3125" s="154" t="n">
        <v>37372</v>
      </c>
      <c r="B3125" s="155" t="s">
        <v>1446</v>
      </c>
      <c r="C3125" s="148" t="str">
        <f aca="false">VLOOKUP($A3125,INSUMOS_AUX!$A$3:$H$813,3,0)</f>
        <v>MAT.</v>
      </c>
      <c r="D3125" s="156" t="s">
        <v>1444</v>
      </c>
      <c r="E3125" s="154" t="n">
        <v>1.2389</v>
      </c>
      <c r="F3125" s="149" t="n">
        <f aca="false">IF(C3125="MAT.",VLOOKUP(A3125,INSUMOS_AUX!$A$3:$H$813,6,0),0)</f>
        <v>1.43</v>
      </c>
      <c r="G3125" s="149" t="n">
        <f aca="false">IF(C3125="M.O.",VLOOKUP(A3125,INSUMOS_AUX!A:F,6,0),0)</f>
        <v>0</v>
      </c>
    </row>
    <row r="3126" customFormat="false" ht="21" hidden="false" customHeight="false" outlineLevel="0" collapsed="false">
      <c r="A3126" s="154" t="n">
        <v>43465</v>
      </c>
      <c r="B3126" s="155" t="s">
        <v>1458</v>
      </c>
      <c r="C3126" s="148" t="str">
        <f aca="false">VLOOKUP($A3126,INSUMOS_AUX!$A$3:$H$813,3,0)</f>
        <v>MAT.</v>
      </c>
      <c r="D3126" s="156" t="s">
        <v>1444</v>
      </c>
      <c r="E3126" s="154" t="n">
        <v>0.7867</v>
      </c>
      <c r="F3126" s="149" t="n">
        <f aca="false">IF(C3126="MAT.",VLOOKUP(A3126,INSUMOS_AUX!$A$3:$H$813,6,0),0)</f>
        <v>0.78</v>
      </c>
      <c r="G3126" s="149" t="n">
        <f aca="false">IF(C3126="M.O.",VLOOKUP(A3126,INSUMOS_AUX!A:F,6,0),0)</f>
        <v>0</v>
      </c>
    </row>
    <row r="3127" customFormat="false" ht="21" hidden="false" customHeight="false" outlineLevel="0" collapsed="false">
      <c r="A3127" s="154" t="n">
        <v>43467</v>
      </c>
      <c r="B3127" s="155" t="s">
        <v>1459</v>
      </c>
      <c r="C3127" s="148" t="str">
        <f aca="false">VLOOKUP($A3127,INSUMOS_AUX!$A$3:$H$813,3,0)</f>
        <v>MAT.</v>
      </c>
      <c r="D3127" s="156" t="s">
        <v>1444</v>
      </c>
      <c r="E3127" s="154" t="n">
        <v>0.4522</v>
      </c>
      <c r="F3127" s="149" t="n">
        <f aca="false">IF(C3127="MAT.",VLOOKUP(A3127,INSUMOS_AUX!$A$3:$H$813,6,0),0)</f>
        <v>0.61</v>
      </c>
      <c r="G3127" s="149" t="n">
        <f aca="false">IF(C3127="M.O.",VLOOKUP(A3127,INSUMOS_AUX!A:F,6,0),0)</f>
        <v>0</v>
      </c>
    </row>
    <row r="3128" customFormat="false" ht="21" hidden="false" customHeight="false" outlineLevel="0" collapsed="false">
      <c r="A3128" s="154" t="n">
        <v>37373</v>
      </c>
      <c r="B3128" s="155" t="s">
        <v>1448</v>
      </c>
      <c r="C3128" s="148" t="str">
        <f aca="false">VLOOKUP($A3128,INSUMOS_AUX!$A$3:$H$813,3,0)</f>
        <v>MAT.</v>
      </c>
      <c r="D3128" s="156" t="s">
        <v>1444</v>
      </c>
      <c r="E3128" s="154" t="n">
        <v>1.2389</v>
      </c>
      <c r="F3128" s="149" t="n">
        <f aca="false">IF(C3128="MAT.",VLOOKUP(A3128,INSUMOS_AUX!$A$3:$H$813,6,0),0)</f>
        <v>0.08</v>
      </c>
      <c r="G3128" s="149" t="n">
        <f aca="false">IF(C3128="M.O.",VLOOKUP(A3128,INSUMOS_AUX!A:F,6,0),0)</f>
        <v>0</v>
      </c>
    </row>
    <row r="3129" customFormat="false" ht="21" hidden="false" customHeight="false" outlineLevel="0" collapsed="false">
      <c r="A3129" s="154" t="n">
        <v>37371</v>
      </c>
      <c r="B3129" s="155" t="s">
        <v>1449</v>
      </c>
      <c r="C3129" s="148" t="str">
        <f aca="false">VLOOKUP($A3129,INSUMOS_AUX!$A$3:$H$813,3,0)</f>
        <v>MAT.</v>
      </c>
      <c r="D3129" s="156" t="s">
        <v>1444</v>
      </c>
      <c r="E3129" s="154" t="n">
        <v>1.2389</v>
      </c>
      <c r="F3129" s="149" t="n">
        <f aca="false">IF(C3129="MAT.",VLOOKUP(A3129,INSUMOS_AUX!$A$3:$H$813,6,0),0)</f>
        <v>0.59</v>
      </c>
      <c r="G3129" s="149" t="n">
        <f aca="false">IF(C3129="M.O.",VLOOKUP(A3129,INSUMOS_AUX!A:F,6,0),0)</f>
        <v>0</v>
      </c>
    </row>
    <row r="3130" customFormat="false" ht="15" hidden="false" customHeight="false" outlineLevel="0" collapsed="false">
      <c r="A3130" s="154" t="n">
        <v>345</v>
      </c>
      <c r="B3130" s="155" t="s">
        <v>2004</v>
      </c>
      <c r="C3130" s="148" t="s">
        <v>59</v>
      </c>
      <c r="D3130" s="156" t="s">
        <v>1513</v>
      </c>
      <c r="E3130" s="154" t="n">
        <v>0.0217</v>
      </c>
      <c r="F3130" s="149" t="n">
        <f aca="false">IF(C3130="MAT.",VLOOKUP(A3130,INSUMOS_AUX!$A$3:$H$813,6,0),0)</f>
        <v>0</v>
      </c>
      <c r="G3130" s="149" t="n">
        <f aca="false">IF(C3130="M.O.",VLOOKUP(A3130,INSUMOS_AUX!A:F,6,0),0)</f>
        <v>0</v>
      </c>
    </row>
    <row r="3131" customFormat="false" ht="21" hidden="false" customHeight="false" outlineLevel="0" collapsed="false">
      <c r="A3131" s="154" t="n">
        <v>3315</v>
      </c>
      <c r="B3131" s="155" t="s">
        <v>2005</v>
      </c>
      <c r="C3131" s="148" t="str">
        <f aca="false">VLOOKUP($A3131,INSUMOS_AUX!$A$3:$H$813,3,0)</f>
        <v>MAT.</v>
      </c>
      <c r="D3131" s="156" t="s">
        <v>1513</v>
      </c>
      <c r="E3131" s="154" t="n">
        <v>1.8127</v>
      </c>
      <c r="F3131" s="149" t="n">
        <f aca="false">IF(C3131="MAT.",VLOOKUP(A3131,INSUMOS_AUX!$A$3:$H$813,6,0),0)</f>
        <v>0.77</v>
      </c>
      <c r="G3131" s="149" t="n">
        <f aca="false">IF(C3131="M.O.",VLOOKUP(A3131,INSUMOS_AUX!A:F,6,0),0)</f>
        <v>0</v>
      </c>
    </row>
    <row r="3132" customFormat="false" ht="15" hidden="false" customHeight="false" outlineLevel="0" collapsed="false">
      <c r="A3132" s="154" t="n">
        <v>40547</v>
      </c>
      <c r="B3132" s="155" t="s">
        <v>1785</v>
      </c>
      <c r="C3132" s="148" t="str">
        <f aca="false">VLOOKUP($A3132,INSUMOS_AUX!$A$3:$H$813,3,0)</f>
        <v>MAT.</v>
      </c>
      <c r="D3132" s="156" t="s">
        <v>1576</v>
      </c>
      <c r="E3132" s="154" t="n">
        <v>0.0293</v>
      </c>
      <c r="F3132" s="149" t="n">
        <f aca="false">IF(C3132="MAT.",VLOOKUP(A3132,INSUMOS_AUX!$A$3:$H$813,6,0),0)</f>
        <v>30.3</v>
      </c>
      <c r="G3132" s="149" t="n">
        <f aca="false">IF(C3132="M.O.",VLOOKUP(A3132,INSUMOS_AUX!A:F,6,0),0)</f>
        <v>0</v>
      </c>
    </row>
    <row r="3133" customFormat="false" ht="21" hidden="false" customHeight="false" outlineLevel="0" collapsed="false">
      <c r="A3133" s="154" t="n">
        <v>4812</v>
      </c>
      <c r="B3133" s="155" t="s">
        <v>2006</v>
      </c>
      <c r="C3133" s="148" t="str">
        <f aca="false">VLOOKUP($A3133,INSUMOS_AUX!$A$3:$H$813,3,0)</f>
        <v>MAT.</v>
      </c>
      <c r="D3133" s="156" t="s">
        <v>1477</v>
      </c>
      <c r="E3133" s="154" t="n">
        <v>1.0414</v>
      </c>
      <c r="F3133" s="149" t="n">
        <f aca="false">IF(C3133="MAT.",VLOOKUP(A3133,INSUMOS_AUX!$A$3:$H$813,6,0),0)</f>
        <v>10.83</v>
      </c>
      <c r="G3133" s="149" t="n">
        <f aca="false">IF(C3133="M.O.",VLOOKUP(A3133,INSUMOS_AUX!A:F,6,0),0)</f>
        <v>0</v>
      </c>
    </row>
    <row r="3134" customFormat="false" ht="15" hidden="false" customHeight="false" outlineLevel="0" collapsed="false">
      <c r="A3134" s="154" t="n">
        <v>20250</v>
      </c>
      <c r="B3134" s="155" t="s">
        <v>2007</v>
      </c>
      <c r="C3134" s="148" t="str">
        <f aca="false">VLOOKUP($A3134,INSUMOS_AUX!$A$3:$H$813,3,0)</f>
        <v>MAT.</v>
      </c>
      <c r="D3134" s="156" t="s">
        <v>1513</v>
      </c>
      <c r="E3134" s="154" t="n">
        <v>0.0078</v>
      </c>
      <c r="F3134" s="149" t="n">
        <f aca="false">IF(C3134="MAT.",VLOOKUP(A3134,INSUMOS_AUX!$A$3:$H$813,6,0),0)</f>
        <v>22.15</v>
      </c>
      <c r="G3134" s="149" t="n">
        <f aca="false">IF(C3134="M.O.",VLOOKUP(A3134,INSUMOS_AUX!A:F,6,0),0)</f>
        <v>0</v>
      </c>
    </row>
    <row r="3135" customFormat="false" ht="15" hidden="false" customHeight="false" outlineLevel="0" collapsed="false">
      <c r="A3135" s="154" t="n">
        <v>12872</v>
      </c>
      <c r="B3135" s="155" t="s">
        <v>1478</v>
      </c>
      <c r="C3135" s="148" t="str">
        <f aca="false">VLOOKUP($A3135,INSUMOS_AUX!$A$3:$H$813,3,0)</f>
        <v>M.O.</v>
      </c>
      <c r="D3135" s="156" t="s">
        <v>1444</v>
      </c>
      <c r="E3135" s="154" t="n">
        <v>0.795778518</v>
      </c>
      <c r="F3135" s="149" t="n">
        <f aca="false">IF(C3135="MAT.",VLOOKUP(A3135,INSUMOS_AUX!$A$3:$H$813,6,0),0)</f>
        <v>0</v>
      </c>
      <c r="G3135" s="149" t="n">
        <f aca="false">IF(C3135="M.O.",VLOOKUP(A3135,INSUMOS_AUX!A:F,6,0),0)</f>
        <v>18.31</v>
      </c>
    </row>
    <row r="3136" customFormat="false" ht="15" hidden="false" customHeight="false" outlineLevel="0" collapsed="false">
      <c r="A3136" s="154" t="n">
        <v>6111</v>
      </c>
      <c r="B3136" s="155" t="s">
        <v>1464</v>
      </c>
      <c r="C3136" s="148" t="str">
        <f aca="false">VLOOKUP($A3136,INSUMOS_AUX!$A$3:$H$813,3,0)</f>
        <v>M.O.</v>
      </c>
      <c r="D3136" s="156" t="s">
        <v>1444</v>
      </c>
      <c r="E3136" s="154" t="n">
        <v>0.46178664</v>
      </c>
      <c r="F3136" s="149" t="n">
        <f aca="false">IF(C3136="MAT.",VLOOKUP(A3136,INSUMOS_AUX!$A$3:$H$813,6,0),0)</f>
        <v>0</v>
      </c>
      <c r="G3136" s="149" t="n">
        <f aca="false">IF(C3136="M.O.",VLOOKUP(A3136,INSUMOS_AUX!A:F,6,0),0)</f>
        <v>12.95</v>
      </c>
    </row>
    <row r="3137" customFormat="false" ht="21" hidden="false" customHeight="false" outlineLevel="0" collapsed="false">
      <c r="A3137" s="150" t="s">
        <v>609</v>
      </c>
      <c r="B3137" s="151" t="s">
        <v>2008</v>
      </c>
      <c r="C3137" s="152" t="s">
        <v>59</v>
      </c>
      <c r="D3137" s="152" t="s">
        <v>31</v>
      </c>
      <c r="E3137" s="150"/>
      <c r="F3137" s="153" t="n">
        <f aca="false">(SUMPRODUCT($E3138,F3138))*1</f>
        <v>126925.554</v>
      </c>
      <c r="G3137" s="153" t="n">
        <f aca="false">(SUMPRODUCT($E3138,G3138))*1</f>
        <v>54396.666</v>
      </c>
    </row>
    <row r="3138" customFormat="false" ht="21" hidden="false" customHeight="false" outlineLevel="0" collapsed="false">
      <c r="A3138" s="154" t="s">
        <v>2009</v>
      </c>
      <c r="B3138" s="155" t="s">
        <v>2008</v>
      </c>
      <c r="C3138" s="148" t="str">
        <f aca="false">VLOOKUP($A3138,INSUMOS_AUX!$A$3:$H$813,3,0)</f>
        <v>MAT.</v>
      </c>
      <c r="D3138" s="156" t="s">
        <v>31</v>
      </c>
      <c r="E3138" s="154" t="n">
        <v>1</v>
      </c>
      <c r="F3138" s="149" t="n">
        <f aca="false">04_PESQUISAS!H516</f>
        <v>126925.554</v>
      </c>
      <c r="G3138" s="149" t="n">
        <f aca="false">04_PESQUISAS!I516</f>
        <v>54396.666</v>
      </c>
    </row>
    <row r="3139" customFormat="false" ht="31.5" hidden="false" customHeight="false" outlineLevel="0" collapsed="false">
      <c r="A3139" s="150" t="s">
        <v>611</v>
      </c>
      <c r="B3139" s="151" t="s">
        <v>2010</v>
      </c>
      <c r="C3139" s="152" t="s">
        <v>59</v>
      </c>
      <c r="D3139" s="152" t="s">
        <v>31</v>
      </c>
      <c r="E3139" s="150"/>
      <c r="F3139" s="153" t="n">
        <f aca="false">(SUMPRODUCT($E3140,F3140))*1</f>
        <v>128348.521</v>
      </c>
      <c r="G3139" s="153" t="n">
        <f aca="false">(SUMPRODUCT($E3140,G3140))*1</f>
        <v>55006.509</v>
      </c>
    </row>
    <row r="3140" customFormat="false" ht="31.5" hidden="false" customHeight="false" outlineLevel="0" collapsed="false">
      <c r="A3140" s="154" t="s">
        <v>2011</v>
      </c>
      <c r="B3140" s="155" t="s">
        <v>2010</v>
      </c>
      <c r="C3140" s="148" t="str">
        <f aca="false">VLOOKUP($A3140,INSUMOS_AUX!$A$3:$H$813,3,0)</f>
        <v>MAT.</v>
      </c>
      <c r="D3140" s="156" t="s">
        <v>31</v>
      </c>
      <c r="E3140" s="154" t="n">
        <v>1</v>
      </c>
      <c r="F3140" s="149" t="n">
        <f aca="false">04_PESQUISAS!H508</f>
        <v>128348.521</v>
      </c>
      <c r="G3140" s="149" t="n">
        <f aca="false">04_PESQUISAS!I508</f>
        <v>55006.509</v>
      </c>
    </row>
    <row r="3141" customFormat="false" ht="21" hidden="false" customHeight="false" outlineLevel="0" collapsed="false">
      <c r="A3141" s="150" t="s">
        <v>616</v>
      </c>
      <c r="B3141" s="151" t="s">
        <v>2012</v>
      </c>
      <c r="C3141" s="152" t="s">
        <v>59</v>
      </c>
      <c r="D3141" s="152" t="s">
        <v>31</v>
      </c>
      <c r="E3141" s="150"/>
      <c r="F3141" s="153" t="n">
        <f aca="false">(SUMPRODUCT($E3142:$E3157,F3142:F3157))*1</f>
        <v>409.508047</v>
      </c>
      <c r="G3141" s="153" t="n">
        <f aca="false">(SUMPRODUCT($E3142:$E3157,G3142:G3157))*1</f>
        <v>25.6093789452</v>
      </c>
    </row>
    <row r="3142" customFormat="false" ht="21" hidden="false" customHeight="false" outlineLevel="0" collapsed="false">
      <c r="A3142" s="154" t="n">
        <v>37370</v>
      </c>
      <c r="B3142" s="155" t="s">
        <v>1443</v>
      </c>
      <c r="C3142" s="148" t="s">
        <v>59</v>
      </c>
      <c r="D3142" s="156" t="s">
        <v>1444</v>
      </c>
      <c r="E3142" s="154" t="n">
        <v>1.4181</v>
      </c>
      <c r="F3142" s="149" t="n">
        <f aca="false">IF(C3142="MAT.",VLOOKUP(A3142,INSUMOS_AUX!$A$3:$H$813,6,0),0)</f>
        <v>0</v>
      </c>
      <c r="G3142" s="149" t="n">
        <f aca="false">IF(C3142="M.O.",VLOOKUP(A3142,INSUMOS_AUX!A:F,6,0),0)</f>
        <v>0</v>
      </c>
    </row>
    <row r="3143" customFormat="false" ht="21" hidden="false" customHeight="false" outlineLevel="0" collapsed="false">
      <c r="A3143" s="154" t="n">
        <v>43485</v>
      </c>
      <c r="B3143" s="155" t="s">
        <v>1481</v>
      </c>
      <c r="C3143" s="148" t="str">
        <f aca="false">VLOOKUP($A3143,INSUMOS_AUX!$A$3:$H$813,3,0)</f>
        <v>MAT.</v>
      </c>
      <c r="D3143" s="156" t="s">
        <v>1444</v>
      </c>
      <c r="E3143" s="154" t="n">
        <v>0.9316</v>
      </c>
      <c r="F3143" s="149" t="n">
        <f aca="false">IF(C3143="MAT.",VLOOKUP(A3143,INSUMOS_AUX!$A$3:$H$813,6,0),0)</f>
        <v>1.13</v>
      </c>
      <c r="G3143" s="149" t="n">
        <f aca="false">IF(C3143="M.O.",VLOOKUP(A3143,INSUMOS_AUX!A:F,6,0),0)</f>
        <v>0</v>
      </c>
    </row>
    <row r="3144" customFormat="false" ht="21" hidden="false" customHeight="false" outlineLevel="0" collapsed="false">
      <c r="A3144" s="154" t="n">
        <v>43491</v>
      </c>
      <c r="B3144" s="155" t="s">
        <v>1457</v>
      </c>
      <c r="C3144" s="148" t="str">
        <f aca="false">VLOOKUP($A3144,INSUMOS_AUX!$A$3:$H$813,3,0)</f>
        <v>MAT.</v>
      </c>
      <c r="D3144" s="156" t="s">
        <v>1444</v>
      </c>
      <c r="E3144" s="154" t="n">
        <v>0.4865</v>
      </c>
      <c r="F3144" s="149" t="n">
        <f aca="false">IF(C3144="MAT.",VLOOKUP(A3144,INSUMOS_AUX!$A$3:$H$813,6,0),0)</f>
        <v>1.39</v>
      </c>
      <c r="G3144" s="149" t="n">
        <f aca="false">IF(C3144="M.O.",VLOOKUP(A3144,INSUMOS_AUX!A:F,6,0),0)</f>
        <v>0</v>
      </c>
    </row>
    <row r="3145" customFormat="false" ht="21" hidden="false" customHeight="false" outlineLevel="0" collapsed="false">
      <c r="A3145" s="154" t="n">
        <v>37372</v>
      </c>
      <c r="B3145" s="155" t="s">
        <v>1446</v>
      </c>
      <c r="C3145" s="148" t="str">
        <f aca="false">VLOOKUP($A3145,INSUMOS_AUX!$A$3:$H$813,3,0)</f>
        <v>MAT.</v>
      </c>
      <c r="D3145" s="156" t="s">
        <v>1444</v>
      </c>
      <c r="E3145" s="154" t="n">
        <v>1.4181</v>
      </c>
      <c r="F3145" s="149" t="n">
        <f aca="false">IF(C3145="MAT.",VLOOKUP(A3145,INSUMOS_AUX!$A$3:$H$813,6,0),0)</f>
        <v>1.43</v>
      </c>
      <c r="G3145" s="149" t="n">
        <f aca="false">IF(C3145="M.O.",VLOOKUP(A3145,INSUMOS_AUX!A:F,6,0),0)</f>
        <v>0</v>
      </c>
    </row>
    <row r="3146" customFormat="false" ht="21" hidden="false" customHeight="false" outlineLevel="0" collapsed="false">
      <c r="A3146" s="154" t="n">
        <v>43461</v>
      </c>
      <c r="B3146" s="155" t="s">
        <v>1482</v>
      </c>
      <c r="C3146" s="148" t="str">
        <f aca="false">VLOOKUP($A3146,INSUMOS_AUX!$A$3:$H$813,3,0)</f>
        <v>MAT.</v>
      </c>
      <c r="D3146" s="156" t="s">
        <v>1444</v>
      </c>
      <c r="E3146" s="154" t="n">
        <v>0.9316</v>
      </c>
      <c r="F3146" s="149" t="n">
        <f aca="false">IF(C3146="MAT.",VLOOKUP(A3146,INSUMOS_AUX!$A$3:$H$813,6,0),0)</f>
        <v>0.31</v>
      </c>
      <c r="G3146" s="149" t="n">
        <f aca="false">IF(C3146="M.O.",VLOOKUP(A3146,INSUMOS_AUX!A:F,6,0),0)</f>
        <v>0</v>
      </c>
    </row>
    <row r="3147" customFormat="false" ht="21" hidden="false" customHeight="false" outlineLevel="0" collapsed="false">
      <c r="A3147" s="154" t="n">
        <v>43467</v>
      </c>
      <c r="B3147" s="155" t="s">
        <v>1459</v>
      </c>
      <c r="C3147" s="148" t="str">
        <f aca="false">VLOOKUP($A3147,INSUMOS_AUX!$A$3:$H$813,3,0)</f>
        <v>MAT.</v>
      </c>
      <c r="D3147" s="156" t="s">
        <v>1444</v>
      </c>
      <c r="E3147" s="154" t="n">
        <v>0.4865</v>
      </c>
      <c r="F3147" s="149" t="n">
        <f aca="false">IF(C3147="MAT.",VLOOKUP(A3147,INSUMOS_AUX!$A$3:$H$813,6,0),0)</f>
        <v>0.61</v>
      </c>
      <c r="G3147" s="149" t="n">
        <f aca="false">IF(C3147="M.O.",VLOOKUP(A3147,INSUMOS_AUX!A:F,6,0),0)</f>
        <v>0</v>
      </c>
    </row>
    <row r="3148" customFormat="false" ht="21" hidden="false" customHeight="false" outlineLevel="0" collapsed="false">
      <c r="A3148" s="154" t="n">
        <v>37373</v>
      </c>
      <c r="B3148" s="155" t="s">
        <v>1448</v>
      </c>
      <c r="C3148" s="148" t="str">
        <f aca="false">VLOOKUP($A3148,INSUMOS_AUX!$A$3:$H$813,3,0)</f>
        <v>MAT.</v>
      </c>
      <c r="D3148" s="156" t="s">
        <v>1444</v>
      </c>
      <c r="E3148" s="154" t="n">
        <v>1.4181</v>
      </c>
      <c r="F3148" s="149" t="n">
        <f aca="false">IF(C3148="MAT.",VLOOKUP(A3148,INSUMOS_AUX!$A$3:$H$813,6,0),0)</f>
        <v>0.08</v>
      </c>
      <c r="G3148" s="149" t="n">
        <f aca="false">IF(C3148="M.O.",VLOOKUP(A3148,INSUMOS_AUX!A:F,6,0),0)</f>
        <v>0</v>
      </c>
    </row>
    <row r="3149" customFormat="false" ht="21" hidden="false" customHeight="false" outlineLevel="0" collapsed="false">
      <c r="A3149" s="154" t="n">
        <v>37371</v>
      </c>
      <c r="B3149" s="155" t="s">
        <v>1449</v>
      </c>
      <c r="C3149" s="148" t="str">
        <f aca="false">VLOOKUP($A3149,INSUMOS_AUX!$A$3:$H$813,3,0)</f>
        <v>MAT.</v>
      </c>
      <c r="D3149" s="156" t="s">
        <v>1444</v>
      </c>
      <c r="E3149" s="154" t="n">
        <v>1.4181</v>
      </c>
      <c r="F3149" s="149" t="n">
        <f aca="false">IF(C3149="MAT.",VLOOKUP(A3149,INSUMOS_AUX!$A$3:$H$813,6,0),0)</f>
        <v>0.59</v>
      </c>
      <c r="G3149" s="149" t="n">
        <f aca="false">IF(C3149="M.O.",VLOOKUP(A3149,INSUMOS_AUX!A:F,6,0),0)</f>
        <v>0</v>
      </c>
    </row>
    <row r="3150" customFormat="false" ht="21" hidden="false" customHeight="false" outlineLevel="0" collapsed="false">
      <c r="A3150" s="154" t="n">
        <v>6138</v>
      </c>
      <c r="B3150" s="155" t="s">
        <v>2013</v>
      </c>
      <c r="C3150" s="148" t="str">
        <f aca="false">VLOOKUP($A3150,INSUMOS_AUX!$A$3:$H$813,3,0)</f>
        <v>MAT.</v>
      </c>
      <c r="D3150" s="156" t="s">
        <v>31</v>
      </c>
      <c r="E3150" s="154" t="n">
        <v>1</v>
      </c>
      <c r="F3150" s="149" t="n">
        <f aca="false">IF(C3150="MAT.",VLOOKUP(A3150,INSUMOS_AUX!$A$3:$H$813,6,0),0)</f>
        <v>12.26</v>
      </c>
      <c r="G3150" s="149" t="n">
        <f aca="false">IF(C3150="M.O.",VLOOKUP(A3150,INSUMOS_AUX!A:F,6,0),0)</f>
        <v>0</v>
      </c>
    </row>
    <row r="3151" customFormat="false" ht="21" hidden="false" customHeight="false" outlineLevel="0" collapsed="false">
      <c r="A3151" s="154" t="n">
        <v>10422</v>
      </c>
      <c r="B3151" s="155" t="s">
        <v>2014</v>
      </c>
      <c r="C3151" s="148" t="str">
        <f aca="false">VLOOKUP($A3151,INSUMOS_AUX!$A$3:$H$813,3,0)</f>
        <v>MAT.</v>
      </c>
      <c r="D3151" s="156" t="s">
        <v>31</v>
      </c>
      <c r="E3151" s="154" t="n">
        <v>1</v>
      </c>
      <c r="F3151" s="149" t="n">
        <f aca="false">IF(C3151="MAT.",VLOOKUP(A3151,INSUMOS_AUX!$A$3:$H$813,6,0),0)</f>
        <v>378.32</v>
      </c>
      <c r="G3151" s="149" t="n">
        <f aca="false">IF(C3151="M.O.",VLOOKUP(A3151,INSUMOS_AUX!A:F,6,0),0)</f>
        <v>0</v>
      </c>
    </row>
    <row r="3152" customFormat="false" ht="21" hidden="false" customHeight="false" outlineLevel="0" collapsed="false">
      <c r="A3152" s="154" t="n">
        <v>6141</v>
      </c>
      <c r="B3152" s="155" t="s">
        <v>2015</v>
      </c>
      <c r="C3152" s="148" t="str">
        <f aca="false">VLOOKUP($A3152,INSUMOS_AUX!$A$3:$H$813,3,0)</f>
        <v>MAT.</v>
      </c>
      <c r="D3152" s="156" t="s">
        <v>31</v>
      </c>
      <c r="E3152" s="154" t="n">
        <v>1</v>
      </c>
      <c r="F3152" s="149" t="n">
        <f aca="false">IF(C3152="MAT.",VLOOKUP(A3152,INSUMOS_AUX!$A$3:$H$813,6,0),0)</f>
        <v>4.84</v>
      </c>
      <c r="G3152" s="149" t="n">
        <f aca="false">IF(C3152="M.O.",VLOOKUP(A3152,INSUMOS_AUX!A:F,6,0),0)</f>
        <v>0</v>
      </c>
    </row>
    <row r="3153" customFormat="false" ht="15" hidden="false" customHeight="false" outlineLevel="0" collapsed="false">
      <c r="A3153" s="154" t="n">
        <v>3146</v>
      </c>
      <c r="B3153" s="155" t="s">
        <v>2016</v>
      </c>
      <c r="C3153" s="148" t="str">
        <f aca="false">VLOOKUP($A3153,INSUMOS_AUX!$A$3:$H$813,3,0)</f>
        <v>MAT.</v>
      </c>
      <c r="D3153" s="156" t="s">
        <v>31</v>
      </c>
      <c r="E3153" s="154" t="n">
        <v>0.021</v>
      </c>
      <c r="F3153" s="149" t="n">
        <f aca="false">IF(C3153="MAT.",VLOOKUP(A3153,INSUMOS_AUX!$A$3:$H$813,6,0),0)</f>
        <v>3.8</v>
      </c>
      <c r="G3153" s="149" t="n">
        <f aca="false">IF(C3153="M.O.",VLOOKUP(A3153,INSUMOS_AUX!A:F,6,0),0)</f>
        <v>0</v>
      </c>
    </row>
    <row r="3154" customFormat="false" ht="31.5" hidden="false" customHeight="false" outlineLevel="0" collapsed="false">
      <c r="A3154" s="154" t="n">
        <v>4384</v>
      </c>
      <c r="B3154" s="155" t="s">
        <v>2017</v>
      </c>
      <c r="C3154" s="148" t="s">
        <v>59</v>
      </c>
      <c r="D3154" s="156" t="s">
        <v>31</v>
      </c>
      <c r="E3154" s="154" t="n">
        <v>2</v>
      </c>
      <c r="F3154" s="149" t="n">
        <f aca="false">IF(C3154="MAT.",VLOOKUP(A3154,INSUMOS_AUX!$A$3:$H$813,6,0),0)</f>
        <v>0</v>
      </c>
      <c r="G3154" s="149" t="n">
        <f aca="false">IF(C3154="M.O.",VLOOKUP(A3154,INSUMOS_AUX!A:F,6,0),0)</f>
        <v>0</v>
      </c>
    </row>
    <row r="3155" customFormat="false" ht="15" hidden="false" customHeight="false" outlineLevel="0" collapsed="false">
      <c r="A3155" s="154" t="n">
        <v>37329</v>
      </c>
      <c r="B3155" s="155" t="s">
        <v>2018</v>
      </c>
      <c r="C3155" s="148" t="str">
        <f aca="false">VLOOKUP($A3155,INSUMOS_AUX!$A$3:$H$813,3,0)</f>
        <v>MAT.</v>
      </c>
      <c r="D3155" s="156" t="s">
        <v>1513</v>
      </c>
      <c r="E3155" s="154" t="n">
        <v>0.0881</v>
      </c>
      <c r="F3155" s="149" t="n">
        <f aca="false">IF(C3155="MAT.",VLOOKUP(A3155,INSUMOS_AUX!$A$3:$H$813,6,0),0)</f>
        <v>98.93</v>
      </c>
      <c r="G3155" s="149" t="n">
        <f aca="false">IF(C3155="M.O.",VLOOKUP(A3155,INSUMOS_AUX!A:F,6,0),0)</f>
        <v>0</v>
      </c>
    </row>
    <row r="3156" customFormat="false" ht="15" hidden="false" customHeight="false" outlineLevel="0" collapsed="false">
      <c r="A3156" s="154" t="n">
        <v>2696</v>
      </c>
      <c r="B3156" s="155" t="s">
        <v>1483</v>
      </c>
      <c r="C3156" s="148" t="str">
        <f aca="false">VLOOKUP($A3156,INSUMOS_AUX!$A$3:$H$813,3,0)</f>
        <v>M.O.</v>
      </c>
      <c r="D3156" s="156" t="s">
        <v>1444</v>
      </c>
      <c r="E3156" s="154" t="n">
        <v>0.94835016</v>
      </c>
      <c r="F3156" s="149" t="n">
        <f aca="false">IF(C3156="MAT.",VLOOKUP(A3156,INSUMOS_AUX!$A$3:$H$813,6,0),0)</f>
        <v>0</v>
      </c>
      <c r="G3156" s="149" t="n">
        <f aca="false">IF(C3156="M.O.",VLOOKUP(A3156,INSUMOS_AUX!A:F,6,0),0)</f>
        <v>20.22</v>
      </c>
    </row>
    <row r="3157" customFormat="false" ht="15" hidden="false" customHeight="false" outlineLevel="0" collapsed="false">
      <c r="A3157" s="154" t="n">
        <v>6111</v>
      </c>
      <c r="B3157" s="155" t="s">
        <v>1464</v>
      </c>
      <c r="C3157" s="148" t="str">
        <f aca="false">VLOOKUP($A3157,INSUMOS_AUX!$A$3:$H$813,3,0)</f>
        <v>M.O.</v>
      </c>
      <c r="D3157" s="156" t="s">
        <v>1444</v>
      </c>
      <c r="E3157" s="154" t="n">
        <v>0.4968138</v>
      </c>
      <c r="F3157" s="149" t="n">
        <f aca="false">IF(C3157="MAT.",VLOOKUP(A3157,INSUMOS_AUX!$A$3:$H$813,6,0),0)</f>
        <v>0</v>
      </c>
      <c r="G3157" s="149" t="n">
        <f aca="false">IF(C3157="M.O.",VLOOKUP(A3157,INSUMOS_AUX!A:F,6,0),0)</f>
        <v>12.95</v>
      </c>
    </row>
    <row r="3158" customFormat="false" ht="31.5" hidden="false" customHeight="false" outlineLevel="0" collapsed="false">
      <c r="A3158" s="150" t="s">
        <v>618</v>
      </c>
      <c r="B3158" s="151" t="s">
        <v>2019</v>
      </c>
      <c r="C3158" s="152" t="s">
        <v>59</v>
      </c>
      <c r="D3158" s="152" t="s">
        <v>31</v>
      </c>
      <c r="E3158" s="150"/>
      <c r="F3158" s="153" t="n">
        <f aca="false">(SUMPRODUCT($E3159:$E3173,F3159:F3173))*1</f>
        <v>81.177071</v>
      </c>
      <c r="G3158" s="153" t="n">
        <f aca="false">(SUMPRODUCT($E3159:$E3173,G3159:G3173))*1</f>
        <v>14.84788715208</v>
      </c>
    </row>
    <row r="3159" customFormat="false" ht="21" hidden="false" customHeight="false" outlineLevel="0" collapsed="false">
      <c r="A3159" s="154" t="n">
        <v>37370</v>
      </c>
      <c r="B3159" s="155" t="s">
        <v>1443</v>
      </c>
      <c r="C3159" s="148" t="str">
        <f aca="false">VLOOKUP($A3159,INSUMOS_AUX!$A$3:$H$813,3,0)</f>
        <v>MAT.</v>
      </c>
      <c r="D3159" s="156" t="s">
        <v>1444</v>
      </c>
      <c r="E3159" s="154" t="n">
        <v>0.8463</v>
      </c>
      <c r="F3159" s="149" t="n">
        <f aca="false">IF(C3159="MAT.",VLOOKUP(A3159,INSUMOS_AUX!$A$3:$H$813,6,0),0)</f>
        <v>3.32</v>
      </c>
      <c r="G3159" s="149" t="n">
        <f aca="false">IF(C3159="M.O.",VLOOKUP(A3159,INSUMOS_AUX!A:F,6,0),0)</f>
        <v>0</v>
      </c>
    </row>
    <row r="3160" customFormat="false" ht="21" hidden="false" customHeight="false" outlineLevel="0" collapsed="false">
      <c r="A3160" s="154" t="n">
        <v>43485</v>
      </c>
      <c r="B3160" s="155" t="s">
        <v>1481</v>
      </c>
      <c r="C3160" s="148" t="str">
        <f aca="false">VLOOKUP($A3160,INSUMOS_AUX!$A$3:$H$813,3,0)</f>
        <v>MAT.</v>
      </c>
      <c r="D3160" s="156" t="s">
        <v>1444</v>
      </c>
      <c r="E3160" s="154" t="n">
        <v>0.4968</v>
      </c>
      <c r="F3160" s="149" t="n">
        <f aca="false">IF(C3160="MAT.",VLOOKUP(A3160,INSUMOS_AUX!$A$3:$H$813,6,0),0)</f>
        <v>1.13</v>
      </c>
      <c r="G3160" s="149" t="n">
        <f aca="false">IF(C3160="M.O.",VLOOKUP(A3160,INSUMOS_AUX!A:F,6,0),0)</f>
        <v>0</v>
      </c>
    </row>
    <row r="3161" customFormat="false" ht="21" hidden="false" customHeight="false" outlineLevel="0" collapsed="false">
      <c r="A3161" s="154" t="n">
        <v>43491</v>
      </c>
      <c r="B3161" s="155" t="s">
        <v>1457</v>
      </c>
      <c r="C3161" s="148" t="str">
        <f aca="false">VLOOKUP($A3161,INSUMOS_AUX!$A$3:$H$813,3,0)</f>
        <v>MAT.</v>
      </c>
      <c r="D3161" s="156" t="s">
        <v>1444</v>
      </c>
      <c r="E3161" s="154" t="n">
        <v>0.3495</v>
      </c>
      <c r="F3161" s="149" t="n">
        <f aca="false">IF(C3161="MAT.",VLOOKUP(A3161,INSUMOS_AUX!$A$3:$H$813,6,0),0)</f>
        <v>1.39</v>
      </c>
      <c r="G3161" s="149" t="n">
        <f aca="false">IF(C3161="M.O.",VLOOKUP(A3161,INSUMOS_AUX!A:F,6,0),0)</f>
        <v>0</v>
      </c>
    </row>
    <row r="3162" customFormat="false" ht="21" hidden="false" customHeight="false" outlineLevel="0" collapsed="false">
      <c r="A3162" s="154" t="n">
        <v>37372</v>
      </c>
      <c r="B3162" s="155" t="s">
        <v>1446</v>
      </c>
      <c r="C3162" s="148" t="str">
        <f aca="false">VLOOKUP($A3162,INSUMOS_AUX!$A$3:$H$813,3,0)</f>
        <v>MAT.</v>
      </c>
      <c r="D3162" s="156" t="s">
        <v>1444</v>
      </c>
      <c r="E3162" s="154" t="n">
        <v>0.8463</v>
      </c>
      <c r="F3162" s="149" t="n">
        <f aca="false">IF(C3162="MAT.",VLOOKUP(A3162,INSUMOS_AUX!$A$3:$H$813,6,0),0)</f>
        <v>1.43</v>
      </c>
      <c r="G3162" s="149" t="n">
        <f aca="false">IF(C3162="M.O.",VLOOKUP(A3162,INSUMOS_AUX!A:F,6,0),0)</f>
        <v>0</v>
      </c>
    </row>
    <row r="3163" customFormat="false" ht="21" hidden="false" customHeight="false" outlineLevel="0" collapsed="false">
      <c r="A3163" s="154" t="n">
        <v>43461</v>
      </c>
      <c r="B3163" s="155" t="s">
        <v>1482</v>
      </c>
      <c r="C3163" s="148" t="str">
        <f aca="false">VLOOKUP($A3163,INSUMOS_AUX!$A$3:$H$813,3,0)</f>
        <v>MAT.</v>
      </c>
      <c r="D3163" s="156" t="s">
        <v>1444</v>
      </c>
      <c r="E3163" s="154" t="n">
        <v>0.4968</v>
      </c>
      <c r="F3163" s="149" t="n">
        <f aca="false">IF(C3163="MAT.",VLOOKUP(A3163,INSUMOS_AUX!$A$3:$H$813,6,0),0)</f>
        <v>0.31</v>
      </c>
      <c r="G3163" s="149" t="n">
        <f aca="false">IF(C3163="M.O.",VLOOKUP(A3163,INSUMOS_AUX!A:F,6,0),0)</f>
        <v>0</v>
      </c>
    </row>
    <row r="3164" customFormat="false" ht="21" hidden="false" customHeight="false" outlineLevel="0" collapsed="false">
      <c r="A3164" s="154" t="n">
        <v>43467</v>
      </c>
      <c r="B3164" s="155" t="s">
        <v>1459</v>
      </c>
      <c r="C3164" s="148" t="str">
        <f aca="false">VLOOKUP($A3164,INSUMOS_AUX!$A$3:$H$813,3,0)</f>
        <v>MAT.</v>
      </c>
      <c r="D3164" s="156" t="s">
        <v>1444</v>
      </c>
      <c r="E3164" s="154" t="n">
        <v>0.3495</v>
      </c>
      <c r="F3164" s="149" t="n">
        <f aca="false">IF(C3164="MAT.",VLOOKUP(A3164,INSUMOS_AUX!$A$3:$H$813,6,0),0)</f>
        <v>0.61</v>
      </c>
      <c r="G3164" s="149" t="n">
        <f aca="false">IF(C3164="M.O.",VLOOKUP(A3164,INSUMOS_AUX!A:F,6,0),0)</f>
        <v>0</v>
      </c>
    </row>
    <row r="3165" customFormat="false" ht="21" hidden="false" customHeight="false" outlineLevel="0" collapsed="false">
      <c r="A3165" s="154" t="n">
        <v>37373</v>
      </c>
      <c r="B3165" s="155" t="s">
        <v>1448</v>
      </c>
      <c r="C3165" s="148" t="str">
        <f aca="false">VLOOKUP($A3165,INSUMOS_AUX!$A$3:$H$813,3,0)</f>
        <v>MAT.</v>
      </c>
      <c r="D3165" s="156" t="s">
        <v>1444</v>
      </c>
      <c r="E3165" s="154" t="n">
        <v>0.8463</v>
      </c>
      <c r="F3165" s="149" t="n">
        <f aca="false">IF(C3165="MAT.",VLOOKUP(A3165,INSUMOS_AUX!$A$3:$H$813,6,0),0)</f>
        <v>0.08</v>
      </c>
      <c r="G3165" s="149" t="n">
        <f aca="false">IF(C3165="M.O.",VLOOKUP(A3165,INSUMOS_AUX!A:F,6,0),0)</f>
        <v>0</v>
      </c>
    </row>
    <row r="3166" customFormat="false" ht="21" hidden="false" customHeight="false" outlineLevel="0" collapsed="false">
      <c r="A3166" s="154" t="n">
        <v>37371</v>
      </c>
      <c r="B3166" s="155" t="s">
        <v>1449</v>
      </c>
      <c r="C3166" s="148" t="str">
        <f aca="false">VLOOKUP($A3166,INSUMOS_AUX!$A$3:$H$813,3,0)</f>
        <v>MAT.</v>
      </c>
      <c r="D3166" s="156" t="s">
        <v>1444</v>
      </c>
      <c r="E3166" s="154" t="n">
        <v>0.8463</v>
      </c>
      <c r="F3166" s="149" t="n">
        <f aca="false">IF(C3166="MAT.",VLOOKUP(A3166,INSUMOS_AUX!$A$3:$H$813,6,0),0)</f>
        <v>0.59</v>
      </c>
      <c r="G3166" s="149" t="n">
        <f aca="false">IF(C3166="M.O.",VLOOKUP(A3166,INSUMOS_AUX!A:F,6,0),0)</f>
        <v>0</v>
      </c>
    </row>
    <row r="3167" customFormat="false" ht="21" hidden="false" customHeight="false" outlineLevel="0" collapsed="false">
      <c r="A3167" s="154" t="n">
        <v>6138</v>
      </c>
      <c r="B3167" s="155" t="s">
        <v>2013</v>
      </c>
      <c r="C3167" s="148" t="str">
        <f aca="false">VLOOKUP($A3167,INSUMOS_AUX!$A$3:$H$813,3,0)</f>
        <v>MAT.</v>
      </c>
      <c r="D3167" s="156" t="s">
        <v>31</v>
      </c>
      <c r="E3167" s="154" t="n">
        <v>1</v>
      </c>
      <c r="F3167" s="149" t="n">
        <f aca="false">IF(C3167="MAT.",VLOOKUP(A3167,INSUMOS_AUX!$A$3:$H$813,6,0),0)</f>
        <v>12.26</v>
      </c>
      <c r="G3167" s="149" t="n">
        <f aca="false">IF(C3167="M.O.",VLOOKUP(A3167,INSUMOS_AUX!A:F,6,0),0)</f>
        <v>0</v>
      </c>
    </row>
    <row r="3168" customFormat="false" ht="21" hidden="false" customHeight="false" outlineLevel="0" collapsed="false">
      <c r="A3168" s="154" t="n">
        <v>10420</v>
      </c>
      <c r="B3168" s="155" t="s">
        <v>2020</v>
      </c>
      <c r="C3168" s="148" t="s">
        <v>59</v>
      </c>
      <c r="D3168" s="156" t="s">
        <v>31</v>
      </c>
      <c r="E3168" s="154" t="n">
        <v>1</v>
      </c>
      <c r="F3168" s="149" t="n">
        <f aca="false">IF(C3168="MAT.",VLOOKUP(A3168,INSUMOS_AUX!$A$3:$H$813,6,0),0)</f>
        <v>0</v>
      </c>
      <c r="G3168" s="149" t="n">
        <f aca="false">IF(C3168="M.O.",VLOOKUP(A3168,INSUMOS_AUX!A:F,6,0),0)</f>
        <v>0</v>
      </c>
    </row>
    <row r="3169" customFormat="false" ht="21" hidden="false" customHeight="false" outlineLevel="0" collapsed="false">
      <c r="A3169" s="154" t="n">
        <v>6140</v>
      </c>
      <c r="B3169" s="155" t="s">
        <v>2021</v>
      </c>
      <c r="C3169" s="148" t="str">
        <f aca="false">VLOOKUP($A3169,INSUMOS_AUX!$A$3:$H$813,3,0)</f>
        <v>MAT.</v>
      </c>
      <c r="D3169" s="156" t="s">
        <v>31</v>
      </c>
      <c r="E3169" s="154" t="n">
        <v>1</v>
      </c>
      <c r="F3169" s="149" t="n">
        <f aca="false">IF(C3169="MAT.",VLOOKUP(A3169,INSUMOS_AUX!$A$3:$H$813,6,0),0)</f>
        <v>4.34</v>
      </c>
      <c r="G3169" s="149" t="n">
        <f aca="false">IF(C3169="M.O.",VLOOKUP(A3169,INSUMOS_AUX!A:F,6,0),0)</f>
        <v>0</v>
      </c>
    </row>
    <row r="3170" customFormat="false" ht="31.5" hidden="false" customHeight="false" outlineLevel="0" collapsed="false">
      <c r="A3170" s="154" t="n">
        <v>4384</v>
      </c>
      <c r="B3170" s="155" t="s">
        <v>2017</v>
      </c>
      <c r="C3170" s="148" t="str">
        <f aca="false">VLOOKUP($A3170,INSUMOS_AUX!$A$3:$H$813,3,0)</f>
        <v>MAT.</v>
      </c>
      <c r="D3170" s="156" t="s">
        <v>31</v>
      </c>
      <c r="E3170" s="154" t="n">
        <v>2</v>
      </c>
      <c r="F3170" s="149" t="n">
        <f aca="false">IF(C3170="MAT.",VLOOKUP(A3170,INSUMOS_AUX!$A$3:$H$813,6,0),0)</f>
        <v>24.93</v>
      </c>
      <c r="G3170" s="149" t="n">
        <f aca="false">IF(C3170="M.O.",VLOOKUP(A3170,INSUMOS_AUX!A:F,6,0),0)</f>
        <v>0</v>
      </c>
    </row>
    <row r="3171" customFormat="false" ht="15" hidden="false" customHeight="false" outlineLevel="0" collapsed="false">
      <c r="A3171" s="154" t="n">
        <v>37329</v>
      </c>
      <c r="B3171" s="155" t="s">
        <v>2018</v>
      </c>
      <c r="C3171" s="148" t="str">
        <f aca="false">VLOOKUP($A3171,INSUMOS_AUX!$A$3:$H$813,3,0)</f>
        <v>MAT.</v>
      </c>
      <c r="D3171" s="156" t="s">
        <v>1513</v>
      </c>
      <c r="E3171" s="154" t="n">
        <v>0.0881</v>
      </c>
      <c r="F3171" s="149" t="n">
        <f aca="false">IF(C3171="MAT.",VLOOKUP(A3171,INSUMOS_AUX!$A$3:$H$813,6,0),0)</f>
        <v>98.93</v>
      </c>
      <c r="G3171" s="149" t="n">
        <f aca="false">IF(C3171="M.O.",VLOOKUP(A3171,INSUMOS_AUX!A:F,6,0),0)</f>
        <v>0</v>
      </c>
    </row>
    <row r="3172" customFormat="false" ht="15" hidden="false" customHeight="false" outlineLevel="0" collapsed="false">
      <c r="A3172" s="154" t="n">
        <v>2696</v>
      </c>
      <c r="B3172" s="155" t="s">
        <v>1483</v>
      </c>
      <c r="C3172" s="148" t="str">
        <f aca="false">VLOOKUP($A3172,INSUMOS_AUX!$A$3:$H$813,3,0)</f>
        <v>M.O.</v>
      </c>
      <c r="D3172" s="156" t="s">
        <v>1444</v>
      </c>
      <c r="E3172" s="154" t="n">
        <v>0.505732464</v>
      </c>
      <c r="F3172" s="149" t="n">
        <f aca="false">IF(C3172="MAT.",VLOOKUP(A3172,INSUMOS_AUX!$A$3:$H$813,6,0),0)</f>
        <v>0</v>
      </c>
      <c r="G3172" s="149" t="n">
        <f aca="false">IF(C3172="M.O.",VLOOKUP(A3172,INSUMOS_AUX!A:F,6,0),0)</f>
        <v>20.22</v>
      </c>
    </row>
    <row r="3173" customFormat="false" ht="15" hidden="false" customHeight="false" outlineLevel="0" collapsed="false">
      <c r="A3173" s="154" t="n">
        <v>6111</v>
      </c>
      <c r="B3173" s="155" t="s">
        <v>1464</v>
      </c>
      <c r="C3173" s="148" t="str">
        <f aca="false">VLOOKUP($A3173,INSUMOS_AUX!$A$3:$H$813,3,0)</f>
        <v>M.O.</v>
      </c>
      <c r="D3173" s="156" t="s">
        <v>1444</v>
      </c>
      <c r="E3173" s="154" t="n">
        <v>0.3569094</v>
      </c>
      <c r="F3173" s="149" t="n">
        <f aca="false">IF(C3173="MAT.",VLOOKUP(A3173,INSUMOS_AUX!$A$3:$H$813,6,0),0)</f>
        <v>0</v>
      </c>
      <c r="G3173" s="149" t="n">
        <f aca="false">IF(C3173="M.O.",VLOOKUP(A3173,INSUMOS_AUX!A:F,6,0),0)</f>
        <v>12.95</v>
      </c>
    </row>
    <row r="3174" customFormat="false" ht="21" hidden="false" customHeight="false" outlineLevel="0" collapsed="false">
      <c r="A3174" s="150" t="n">
        <v>100849</v>
      </c>
      <c r="B3174" s="151" t="s">
        <v>2022</v>
      </c>
      <c r="C3174" s="152" t="s">
        <v>59</v>
      </c>
      <c r="D3174" s="152" t="s">
        <v>31</v>
      </c>
      <c r="E3174" s="150"/>
      <c r="F3174" s="153" t="n">
        <f aca="false">(SUMPRODUCT($E3175:$E3185,F3175:F3185))*1</f>
        <v>38.943644</v>
      </c>
      <c r="G3174" s="153" t="n">
        <f aca="false">(SUMPRODUCT($E3175:$E3185,G3175:G3185))*1</f>
        <v>3.80170187616</v>
      </c>
    </row>
    <row r="3175" customFormat="false" ht="21" hidden="false" customHeight="false" outlineLevel="0" collapsed="false">
      <c r="A3175" s="154" t="n">
        <v>37370</v>
      </c>
      <c r="B3175" s="155" t="s">
        <v>1443</v>
      </c>
      <c r="C3175" s="148" t="str">
        <f aca="false">VLOOKUP($A3175,INSUMOS_AUX!$A$3:$H$813,3,0)</f>
        <v>MAT.</v>
      </c>
      <c r="D3175" s="156" t="s">
        <v>1444</v>
      </c>
      <c r="E3175" s="154" t="n">
        <v>0.202</v>
      </c>
      <c r="F3175" s="149" t="n">
        <f aca="false">IF(C3175="MAT.",VLOOKUP(A3175,INSUMOS_AUX!$A$3:$H$813,6,0),0)</f>
        <v>3.32</v>
      </c>
      <c r="G3175" s="149" t="n">
        <f aca="false">IF(C3175="M.O.",VLOOKUP(A3175,INSUMOS_AUX!A:F,6,0),0)</f>
        <v>0</v>
      </c>
    </row>
    <row r="3176" customFormat="false" ht="21" hidden="false" customHeight="false" outlineLevel="0" collapsed="false">
      <c r="A3176" s="154" t="n">
        <v>43485</v>
      </c>
      <c r="B3176" s="155" t="s">
        <v>1481</v>
      </c>
      <c r="C3176" s="148" t="str">
        <f aca="false">VLOOKUP($A3176,INSUMOS_AUX!$A$3:$H$813,3,0)</f>
        <v>MAT.</v>
      </c>
      <c r="D3176" s="156" t="s">
        <v>1444</v>
      </c>
      <c r="E3176" s="154" t="n">
        <v>0.1536</v>
      </c>
      <c r="F3176" s="149" t="n">
        <f aca="false">IF(C3176="MAT.",VLOOKUP(A3176,INSUMOS_AUX!$A$3:$H$813,6,0),0)</f>
        <v>1.13</v>
      </c>
      <c r="G3176" s="149" t="n">
        <f aca="false">IF(C3176="M.O.",VLOOKUP(A3176,INSUMOS_AUX!A:F,6,0),0)</f>
        <v>0</v>
      </c>
    </row>
    <row r="3177" customFormat="false" ht="21" hidden="false" customHeight="false" outlineLevel="0" collapsed="false">
      <c r="A3177" s="154" t="n">
        <v>43491</v>
      </c>
      <c r="B3177" s="155" t="s">
        <v>1457</v>
      </c>
      <c r="C3177" s="148" t="str">
        <f aca="false">VLOOKUP($A3177,INSUMOS_AUX!$A$3:$H$813,3,0)</f>
        <v>MAT.</v>
      </c>
      <c r="D3177" s="156" t="s">
        <v>1444</v>
      </c>
      <c r="E3177" s="154" t="n">
        <v>0.0484</v>
      </c>
      <c r="F3177" s="149" t="n">
        <f aca="false">IF(C3177="MAT.",VLOOKUP(A3177,INSUMOS_AUX!$A$3:$H$813,6,0),0)</f>
        <v>1.39</v>
      </c>
      <c r="G3177" s="149" t="n">
        <f aca="false">IF(C3177="M.O.",VLOOKUP(A3177,INSUMOS_AUX!A:F,6,0),0)</f>
        <v>0</v>
      </c>
    </row>
    <row r="3178" customFormat="false" ht="21" hidden="false" customHeight="false" outlineLevel="0" collapsed="false">
      <c r="A3178" s="154" t="n">
        <v>37372</v>
      </c>
      <c r="B3178" s="155" t="s">
        <v>1446</v>
      </c>
      <c r="C3178" s="148" t="str">
        <f aca="false">VLOOKUP($A3178,INSUMOS_AUX!$A$3:$H$813,3,0)</f>
        <v>MAT.</v>
      </c>
      <c r="D3178" s="156" t="s">
        <v>1444</v>
      </c>
      <c r="E3178" s="154" t="n">
        <v>0.202</v>
      </c>
      <c r="F3178" s="149" t="n">
        <f aca="false">IF(C3178="MAT.",VLOOKUP(A3178,INSUMOS_AUX!$A$3:$H$813,6,0),0)</f>
        <v>1.43</v>
      </c>
      <c r="G3178" s="149" t="n">
        <f aca="false">IF(C3178="M.O.",VLOOKUP(A3178,INSUMOS_AUX!A:F,6,0),0)</f>
        <v>0</v>
      </c>
    </row>
    <row r="3179" customFormat="false" ht="21" hidden="false" customHeight="false" outlineLevel="0" collapsed="false">
      <c r="A3179" s="154" t="n">
        <v>43461</v>
      </c>
      <c r="B3179" s="155" t="s">
        <v>1482</v>
      </c>
      <c r="C3179" s="148" t="str">
        <f aca="false">VLOOKUP($A3179,INSUMOS_AUX!$A$3:$H$813,3,0)</f>
        <v>MAT.</v>
      </c>
      <c r="D3179" s="156" t="s">
        <v>1444</v>
      </c>
      <c r="E3179" s="154" t="n">
        <v>0.1536</v>
      </c>
      <c r="F3179" s="149" t="n">
        <f aca="false">IF(C3179="MAT.",VLOOKUP(A3179,INSUMOS_AUX!$A$3:$H$813,6,0),0)</f>
        <v>0.31</v>
      </c>
      <c r="G3179" s="149" t="n">
        <f aca="false">IF(C3179="M.O.",VLOOKUP(A3179,INSUMOS_AUX!A:F,6,0),0)</f>
        <v>0</v>
      </c>
    </row>
    <row r="3180" customFormat="false" ht="21" hidden="false" customHeight="false" outlineLevel="0" collapsed="false">
      <c r="A3180" s="154" t="n">
        <v>43467</v>
      </c>
      <c r="B3180" s="155" t="s">
        <v>1459</v>
      </c>
      <c r="C3180" s="148" t="str">
        <f aca="false">VLOOKUP($A3180,INSUMOS_AUX!$A$3:$H$813,3,0)</f>
        <v>MAT.</v>
      </c>
      <c r="D3180" s="156" t="s">
        <v>1444</v>
      </c>
      <c r="E3180" s="154" t="n">
        <v>0.0484</v>
      </c>
      <c r="F3180" s="149" t="n">
        <f aca="false">IF(C3180="MAT.",VLOOKUP(A3180,INSUMOS_AUX!$A$3:$H$813,6,0),0)</f>
        <v>0.61</v>
      </c>
      <c r="G3180" s="149" t="n">
        <f aca="false">IF(C3180="M.O.",VLOOKUP(A3180,INSUMOS_AUX!A:F,6,0),0)</f>
        <v>0</v>
      </c>
    </row>
    <row r="3181" customFormat="false" ht="21" hidden="false" customHeight="false" outlineLevel="0" collapsed="false">
      <c r="A3181" s="154" t="n">
        <v>37373</v>
      </c>
      <c r="B3181" s="155" t="s">
        <v>1448</v>
      </c>
      <c r="C3181" s="148" t="str">
        <f aca="false">VLOOKUP($A3181,INSUMOS_AUX!$A$3:$H$813,3,0)</f>
        <v>MAT.</v>
      </c>
      <c r="D3181" s="156" t="s">
        <v>1444</v>
      </c>
      <c r="E3181" s="154" t="n">
        <v>0.202</v>
      </c>
      <c r="F3181" s="149" t="n">
        <f aca="false">IF(C3181="MAT.",VLOOKUP(A3181,INSUMOS_AUX!$A$3:$H$813,6,0),0)</f>
        <v>0.08</v>
      </c>
      <c r="G3181" s="149" t="n">
        <f aca="false">IF(C3181="M.O.",VLOOKUP(A3181,INSUMOS_AUX!A:F,6,0),0)</f>
        <v>0</v>
      </c>
    </row>
    <row r="3182" customFormat="false" ht="21" hidden="false" customHeight="false" outlineLevel="0" collapsed="false">
      <c r="A3182" s="154" t="n">
        <v>37371</v>
      </c>
      <c r="B3182" s="155" t="s">
        <v>1449</v>
      </c>
      <c r="C3182" s="148" t="s">
        <v>59</v>
      </c>
      <c r="D3182" s="156" t="s">
        <v>1444</v>
      </c>
      <c r="E3182" s="154" t="n">
        <v>0.202</v>
      </c>
      <c r="F3182" s="149" t="n">
        <f aca="false">IF(C3182="MAT.",VLOOKUP(A3182,INSUMOS_AUX!$A$3:$H$813,6,0),0)</f>
        <v>0</v>
      </c>
      <c r="G3182" s="149" t="n">
        <f aca="false">IF(C3182="M.O.",VLOOKUP(A3182,INSUMOS_AUX!A:F,6,0),0)</f>
        <v>0</v>
      </c>
    </row>
    <row r="3183" customFormat="false" ht="15" hidden="false" customHeight="false" outlineLevel="0" collapsed="false">
      <c r="A3183" s="154" t="n">
        <v>377</v>
      </c>
      <c r="B3183" s="155" t="s">
        <v>2023</v>
      </c>
      <c r="C3183" s="148" t="str">
        <f aca="false">VLOOKUP($A3183,INSUMOS_AUX!$A$3:$H$813,3,0)</f>
        <v>MAT.</v>
      </c>
      <c r="D3183" s="156" t="s">
        <v>31</v>
      </c>
      <c r="E3183" s="154" t="n">
        <v>1</v>
      </c>
      <c r="F3183" s="149" t="n">
        <f aca="false">IF(C3183="MAT.",VLOOKUP(A3183,INSUMOS_AUX!$A$3:$H$813,6,0),0)</f>
        <v>37.65</v>
      </c>
      <c r="G3183" s="149" t="n">
        <f aca="false">IF(C3183="M.O.",VLOOKUP(A3183,INSUMOS_AUX!A:F,6,0),0)</f>
        <v>0</v>
      </c>
    </row>
    <row r="3184" customFormat="false" ht="15" hidden="false" customHeight="false" outlineLevel="0" collapsed="false">
      <c r="A3184" s="154" t="n">
        <v>2696</v>
      </c>
      <c r="B3184" s="155" t="s">
        <v>1483</v>
      </c>
      <c r="C3184" s="148" t="str">
        <f aca="false">VLOOKUP($A3184,INSUMOS_AUX!$A$3:$H$813,3,0)</f>
        <v>M.O.</v>
      </c>
      <c r="D3184" s="156" t="s">
        <v>1444</v>
      </c>
      <c r="E3184" s="154" t="n">
        <v>0.156361728</v>
      </c>
      <c r="F3184" s="149" t="n">
        <f aca="false">IF(C3184="MAT.",VLOOKUP(A3184,INSUMOS_AUX!$A$3:$H$813,6,0),0)</f>
        <v>0</v>
      </c>
      <c r="G3184" s="149" t="n">
        <f aca="false">IF(C3184="M.O.",VLOOKUP(A3184,INSUMOS_AUX!A:F,6,0),0)</f>
        <v>20.22</v>
      </c>
    </row>
    <row r="3185" customFormat="false" ht="15" hidden="false" customHeight="false" outlineLevel="0" collapsed="false">
      <c r="A3185" s="154" t="n">
        <v>6111</v>
      </c>
      <c r="B3185" s="155" t="s">
        <v>1464</v>
      </c>
      <c r="C3185" s="148" t="str">
        <f aca="false">VLOOKUP($A3185,INSUMOS_AUX!$A$3:$H$813,3,0)</f>
        <v>M.O.</v>
      </c>
      <c r="D3185" s="156" t="s">
        <v>1444</v>
      </c>
      <c r="E3185" s="154" t="n">
        <v>0.04942608</v>
      </c>
      <c r="F3185" s="149" t="n">
        <f aca="false">IF(C3185="MAT.",VLOOKUP(A3185,INSUMOS_AUX!$A$3:$H$813,6,0),0)</f>
        <v>0</v>
      </c>
      <c r="G3185" s="149" t="n">
        <f aca="false">IF(C3185="M.O.",VLOOKUP(A3185,INSUMOS_AUX!A:F,6,0),0)</f>
        <v>12.95</v>
      </c>
    </row>
    <row r="3186" customFormat="false" ht="21" hidden="false" customHeight="false" outlineLevel="0" collapsed="false">
      <c r="A3186" s="150" t="n">
        <v>100858</v>
      </c>
      <c r="B3186" s="151" t="s">
        <v>2024</v>
      </c>
      <c r="C3186" s="152" t="s">
        <v>59</v>
      </c>
      <c r="D3186" s="152" t="s">
        <v>31</v>
      </c>
      <c r="E3186" s="150"/>
      <c r="F3186" s="153" t="n">
        <f aca="false">(SUMPRODUCT($E3187:$E3201,F3187:F3201))*1</f>
        <v>631.296468</v>
      </c>
      <c r="G3186" s="153" t="n">
        <f aca="false">(SUMPRODUCT($E3187:$E3201,G3187:G3201))*1</f>
        <v>4.204081266</v>
      </c>
    </row>
    <row r="3187" customFormat="false" ht="21" hidden="false" customHeight="false" outlineLevel="0" collapsed="false">
      <c r="A3187" s="154" t="n">
        <v>37370</v>
      </c>
      <c r="B3187" s="155" t="s">
        <v>1443</v>
      </c>
      <c r="C3187" s="148" t="str">
        <f aca="false">VLOOKUP($A3187,INSUMOS_AUX!$A$3:$H$813,3,0)</f>
        <v>MAT.</v>
      </c>
      <c r="D3187" s="156" t="s">
        <v>1444</v>
      </c>
      <c r="E3187" s="154" t="n">
        <v>1.3269</v>
      </c>
      <c r="F3187" s="149" t="n">
        <f aca="false">IF(C3187="MAT.",VLOOKUP(A3187,INSUMOS_AUX!$A$3:$H$813,6,0),0)</f>
        <v>3.32</v>
      </c>
      <c r="G3187" s="149" t="n">
        <f aca="false">IF(C3187="M.O.",VLOOKUP(A3187,INSUMOS_AUX!A:F,6,0),0)</f>
        <v>0</v>
      </c>
    </row>
    <row r="3188" customFormat="false" ht="21" hidden="false" customHeight="false" outlineLevel="0" collapsed="false">
      <c r="A3188" s="154" t="n">
        <v>43485</v>
      </c>
      <c r="B3188" s="155" t="s">
        <v>1481</v>
      </c>
      <c r="C3188" s="148" t="str">
        <f aca="false">VLOOKUP($A3188,INSUMOS_AUX!$A$3:$H$813,3,0)</f>
        <v>MAT.</v>
      </c>
      <c r="D3188" s="156" t="s">
        <v>1444</v>
      </c>
      <c r="E3188" s="154" t="n">
        <v>1.009</v>
      </c>
      <c r="F3188" s="149" t="n">
        <f aca="false">IF(C3188="MAT.",VLOOKUP(A3188,INSUMOS_AUX!$A$3:$H$813,6,0),0)</f>
        <v>1.13</v>
      </c>
      <c r="G3188" s="149" t="n">
        <f aca="false">IF(C3188="M.O.",VLOOKUP(A3188,INSUMOS_AUX!A:F,6,0),0)</f>
        <v>0</v>
      </c>
    </row>
    <row r="3189" customFormat="false" ht="21" hidden="false" customHeight="false" outlineLevel="0" collapsed="false">
      <c r="A3189" s="154" t="n">
        <v>43491</v>
      </c>
      <c r="B3189" s="155" t="s">
        <v>1457</v>
      </c>
      <c r="C3189" s="148" t="str">
        <f aca="false">VLOOKUP($A3189,INSUMOS_AUX!$A$3:$H$813,3,0)</f>
        <v>MAT.</v>
      </c>
      <c r="D3189" s="156" t="s">
        <v>1444</v>
      </c>
      <c r="E3189" s="154" t="n">
        <v>0.3179</v>
      </c>
      <c r="F3189" s="149" t="n">
        <f aca="false">IF(C3189="MAT.",VLOOKUP(A3189,INSUMOS_AUX!$A$3:$H$813,6,0),0)</f>
        <v>1.39</v>
      </c>
      <c r="G3189" s="149" t="n">
        <f aca="false">IF(C3189="M.O.",VLOOKUP(A3189,INSUMOS_AUX!A:F,6,0),0)</f>
        <v>0</v>
      </c>
    </row>
    <row r="3190" customFormat="false" ht="21" hidden="false" customHeight="false" outlineLevel="0" collapsed="false">
      <c r="A3190" s="154" t="n">
        <v>37372</v>
      </c>
      <c r="B3190" s="155" t="s">
        <v>1446</v>
      </c>
      <c r="C3190" s="148" t="str">
        <f aca="false">VLOOKUP($A3190,INSUMOS_AUX!$A$3:$H$813,3,0)</f>
        <v>MAT.</v>
      </c>
      <c r="D3190" s="156" t="s">
        <v>1444</v>
      </c>
      <c r="E3190" s="154" t="n">
        <v>1.3269</v>
      </c>
      <c r="F3190" s="149" t="n">
        <f aca="false">IF(C3190="MAT.",VLOOKUP(A3190,INSUMOS_AUX!$A$3:$H$813,6,0),0)</f>
        <v>1.43</v>
      </c>
      <c r="G3190" s="149" t="n">
        <f aca="false">IF(C3190="M.O.",VLOOKUP(A3190,INSUMOS_AUX!A:F,6,0),0)</f>
        <v>0</v>
      </c>
    </row>
    <row r="3191" customFormat="false" ht="21" hidden="false" customHeight="false" outlineLevel="0" collapsed="false">
      <c r="A3191" s="154" t="n">
        <v>43461</v>
      </c>
      <c r="B3191" s="155" t="s">
        <v>1482</v>
      </c>
      <c r="C3191" s="148" t="s">
        <v>59</v>
      </c>
      <c r="D3191" s="156" t="s">
        <v>1444</v>
      </c>
      <c r="E3191" s="154" t="n">
        <v>1.009</v>
      </c>
      <c r="F3191" s="149" t="n">
        <f aca="false">IF(C3191="MAT.",VLOOKUP(A3191,INSUMOS_AUX!$A$3:$H$813,6,0),0)</f>
        <v>0</v>
      </c>
      <c r="G3191" s="149" t="n">
        <f aca="false">IF(C3191="M.O.",VLOOKUP(A3191,INSUMOS_AUX!A:F,6,0),0)</f>
        <v>0</v>
      </c>
    </row>
    <row r="3192" customFormat="false" ht="21" hidden="false" customHeight="false" outlineLevel="0" collapsed="false">
      <c r="A3192" s="154" t="n">
        <v>43467</v>
      </c>
      <c r="B3192" s="155" t="s">
        <v>1459</v>
      </c>
      <c r="C3192" s="148" t="str">
        <f aca="false">VLOOKUP($A3192,INSUMOS_AUX!$A$3:$H$813,3,0)</f>
        <v>MAT.</v>
      </c>
      <c r="D3192" s="156" t="s">
        <v>1444</v>
      </c>
      <c r="E3192" s="154" t="n">
        <v>0.3179</v>
      </c>
      <c r="F3192" s="149" t="n">
        <f aca="false">IF(C3192="MAT.",VLOOKUP(A3192,INSUMOS_AUX!$A$3:$H$813,6,0),0)</f>
        <v>0.61</v>
      </c>
      <c r="G3192" s="149" t="n">
        <f aca="false">IF(C3192="M.O.",VLOOKUP(A3192,INSUMOS_AUX!A:F,6,0),0)</f>
        <v>0</v>
      </c>
    </row>
    <row r="3193" customFormat="false" ht="21" hidden="false" customHeight="false" outlineLevel="0" collapsed="false">
      <c r="A3193" s="154" t="n">
        <v>37373</v>
      </c>
      <c r="B3193" s="155" t="s">
        <v>1448</v>
      </c>
      <c r="C3193" s="148" t="str">
        <f aca="false">VLOOKUP($A3193,INSUMOS_AUX!$A$3:$H$813,3,0)</f>
        <v>MAT.</v>
      </c>
      <c r="D3193" s="156" t="s">
        <v>1444</v>
      </c>
      <c r="E3193" s="154" t="n">
        <v>1.3269</v>
      </c>
      <c r="F3193" s="149" t="n">
        <f aca="false">IF(C3193="MAT.",VLOOKUP(A3193,INSUMOS_AUX!$A$3:$H$813,6,0),0)</f>
        <v>0.08</v>
      </c>
      <c r="G3193" s="149" t="n">
        <f aca="false">IF(C3193="M.O.",VLOOKUP(A3193,INSUMOS_AUX!A:F,6,0),0)</f>
        <v>0</v>
      </c>
    </row>
    <row r="3194" customFormat="false" ht="21" hidden="false" customHeight="false" outlineLevel="0" collapsed="false">
      <c r="A3194" s="154" t="n">
        <v>37371</v>
      </c>
      <c r="B3194" s="155" t="s">
        <v>1449</v>
      </c>
      <c r="C3194" s="148" t="str">
        <f aca="false">VLOOKUP($A3194,INSUMOS_AUX!$A$3:$H$813,3,0)</f>
        <v>MAT.</v>
      </c>
      <c r="D3194" s="156" t="s">
        <v>1444</v>
      </c>
      <c r="E3194" s="154" t="n">
        <v>1.3269</v>
      </c>
      <c r="F3194" s="149" t="n">
        <f aca="false">IF(C3194="MAT.",VLOOKUP(A3194,INSUMOS_AUX!$A$3:$H$813,6,0),0)</f>
        <v>0.59</v>
      </c>
      <c r="G3194" s="149" t="n">
        <f aca="false">IF(C3194="M.O.",VLOOKUP(A3194,INSUMOS_AUX!A:F,6,0),0)</f>
        <v>0</v>
      </c>
    </row>
    <row r="3195" customFormat="false" ht="21" hidden="false" customHeight="false" outlineLevel="0" collapsed="false">
      <c r="A3195" s="154" t="n">
        <v>6142</v>
      </c>
      <c r="B3195" s="155" t="s">
        <v>2025</v>
      </c>
      <c r="C3195" s="148" t="str">
        <f aca="false">VLOOKUP($A3195,INSUMOS_AUX!$A$3:$H$813,3,0)</f>
        <v>MAT.</v>
      </c>
      <c r="D3195" s="156" t="s">
        <v>31</v>
      </c>
      <c r="E3195" s="154" t="n">
        <v>1</v>
      </c>
      <c r="F3195" s="149" t="n">
        <f aca="false">IF(C3195="MAT.",VLOOKUP(A3195,INSUMOS_AUX!$A$3:$H$813,6,0),0)</f>
        <v>9.44</v>
      </c>
      <c r="G3195" s="149" t="n">
        <f aca="false">IF(C3195="M.O.",VLOOKUP(A3195,INSUMOS_AUX!A:F,6,0),0)</f>
        <v>0</v>
      </c>
    </row>
    <row r="3196" customFormat="false" ht="15" hidden="false" customHeight="false" outlineLevel="0" collapsed="false">
      <c r="A3196" s="154" t="n">
        <v>3146</v>
      </c>
      <c r="B3196" s="155" t="s">
        <v>2016</v>
      </c>
      <c r="C3196" s="148" t="str">
        <f aca="false">VLOOKUP($A3196,INSUMOS_AUX!$A$3:$H$813,3,0)</f>
        <v>MAT.</v>
      </c>
      <c r="D3196" s="156" t="s">
        <v>31</v>
      </c>
      <c r="E3196" s="154" t="n">
        <v>0.0365</v>
      </c>
      <c r="F3196" s="149" t="n">
        <f aca="false">IF(C3196="MAT.",VLOOKUP(A3196,INSUMOS_AUX!$A$3:$H$813,6,0),0)</f>
        <v>3.8</v>
      </c>
      <c r="G3196" s="149" t="n">
        <f aca="false">IF(C3196="M.O.",VLOOKUP(A3196,INSUMOS_AUX!A:F,6,0),0)</f>
        <v>0</v>
      </c>
    </row>
    <row r="3197" customFormat="false" ht="21" hidden="false" customHeight="false" outlineLevel="0" collapsed="false">
      <c r="A3197" s="154" t="n">
        <v>10432</v>
      </c>
      <c r="B3197" s="155" t="s">
        <v>2026</v>
      </c>
      <c r="C3197" s="148" t="str">
        <f aca="false">VLOOKUP($A3197,INSUMOS_AUX!$A$3:$H$813,3,0)</f>
        <v>MAT.</v>
      </c>
      <c r="D3197" s="156" t="s">
        <v>31</v>
      </c>
      <c r="E3197" s="154" t="n">
        <v>1</v>
      </c>
      <c r="F3197" s="149" t="n">
        <f aca="false">IF(C3197="MAT.",VLOOKUP(A3197,INSUMOS_AUX!$A$3:$H$813,6,0),0)</f>
        <v>352.39</v>
      </c>
      <c r="G3197" s="149" t="n">
        <f aca="false">IF(C3197="M.O.",VLOOKUP(A3197,INSUMOS_AUX!A:F,6,0),0)</f>
        <v>0</v>
      </c>
    </row>
    <row r="3198" customFormat="false" ht="31.5" hidden="false" customHeight="false" outlineLevel="0" collapsed="false">
      <c r="A3198" s="154" t="n">
        <v>4351</v>
      </c>
      <c r="B3198" s="155" t="s">
        <v>1884</v>
      </c>
      <c r="C3198" s="148" t="str">
        <f aca="false">VLOOKUP($A3198,INSUMOS_AUX!$A$3:$H$813,3,0)</f>
        <v>MAT.</v>
      </c>
      <c r="D3198" s="156" t="s">
        <v>31</v>
      </c>
      <c r="E3198" s="154" t="n">
        <v>2</v>
      </c>
      <c r="F3198" s="149" t="n">
        <f aca="false">IF(C3198="MAT.",VLOOKUP(A3198,INSUMOS_AUX!$A$3:$H$813,6,0),0)</f>
        <v>18.49</v>
      </c>
      <c r="G3198" s="149" t="n">
        <f aca="false">IF(C3198="M.O.",VLOOKUP(A3198,INSUMOS_AUX!A:F,6,0),0)</f>
        <v>0</v>
      </c>
    </row>
    <row r="3199" customFormat="false" ht="21" hidden="false" customHeight="false" outlineLevel="0" collapsed="false">
      <c r="A3199" s="154" t="n">
        <v>21112</v>
      </c>
      <c r="B3199" s="155" t="s">
        <v>2027</v>
      </c>
      <c r="C3199" s="148" t="str">
        <f aca="false">VLOOKUP($A3199,INSUMOS_AUX!$A$3:$H$813,3,0)</f>
        <v>MAT.</v>
      </c>
      <c r="D3199" s="156" t="s">
        <v>31</v>
      </c>
      <c r="E3199" s="154" t="n">
        <v>1</v>
      </c>
      <c r="F3199" s="149" t="n">
        <f aca="false">IF(C3199="MAT.",VLOOKUP(A3199,INSUMOS_AUX!$A$3:$H$813,6,0),0)</f>
        <v>223.38</v>
      </c>
      <c r="G3199" s="149" t="n">
        <f aca="false">IF(C3199="M.O.",VLOOKUP(A3199,INSUMOS_AUX!A:F,6,0),0)</f>
        <v>0</v>
      </c>
    </row>
    <row r="3200" customFormat="false" ht="15" hidden="false" customHeight="false" outlineLevel="0" collapsed="false">
      <c r="A3200" s="154" t="n">
        <v>2696</v>
      </c>
      <c r="B3200" s="155" t="s">
        <v>1483</v>
      </c>
      <c r="C3200" s="148" t="s">
        <v>59</v>
      </c>
      <c r="D3200" s="156" t="s">
        <v>1444</v>
      </c>
      <c r="E3200" s="154" t="n">
        <v>1.02714182</v>
      </c>
      <c r="F3200" s="149" t="n">
        <f aca="false">IF(C3200="MAT.",VLOOKUP(A3200,INSUMOS_AUX!$A$3:$H$813,6,0),0)</f>
        <v>0</v>
      </c>
      <c r="G3200" s="149" t="n">
        <f aca="false">IF(C3200="M.O.",VLOOKUP(A3200,INSUMOS_AUX!A:F,6,0),0)</f>
        <v>0</v>
      </c>
    </row>
    <row r="3201" customFormat="false" ht="15" hidden="false" customHeight="false" outlineLevel="0" collapsed="false">
      <c r="A3201" s="154" t="n">
        <v>6111</v>
      </c>
      <c r="B3201" s="155" t="s">
        <v>1464</v>
      </c>
      <c r="C3201" s="148" t="str">
        <f aca="false">VLOOKUP($A3201,INSUMOS_AUX!$A$3:$H$813,3,0)</f>
        <v>M.O.</v>
      </c>
      <c r="D3201" s="156" t="s">
        <v>1444</v>
      </c>
      <c r="E3201" s="154" t="n">
        <v>0.32463948</v>
      </c>
      <c r="F3201" s="149" t="n">
        <f aca="false">IF(C3201="MAT.",VLOOKUP(A3201,INSUMOS_AUX!$A$3:$H$813,6,0),0)</f>
        <v>0</v>
      </c>
      <c r="G3201" s="149" t="n">
        <f aca="false">IF(C3201="M.O.",VLOOKUP(A3201,INSUMOS_AUX!A:F,6,0),0)</f>
        <v>12.95</v>
      </c>
    </row>
    <row r="3202" customFormat="false" ht="21" hidden="false" customHeight="false" outlineLevel="0" collapsed="false">
      <c r="A3202" s="150" t="s">
        <v>622</v>
      </c>
      <c r="B3202" s="151" t="s">
        <v>2028</v>
      </c>
      <c r="C3202" s="152" t="s">
        <v>59</v>
      </c>
      <c r="D3202" s="152" t="s">
        <v>31</v>
      </c>
      <c r="E3202" s="150"/>
      <c r="F3202" s="153" t="n">
        <f aca="false">(SUMPRODUCT($E3203:$E3221,F3203:F3221))*1</f>
        <v>564.588090596</v>
      </c>
      <c r="G3202" s="153" t="n">
        <f aca="false">(SUMPRODUCT($E3203:$E3221,G3203:G3221))*1</f>
        <v>92.7620810706</v>
      </c>
    </row>
    <row r="3203" customFormat="false" ht="21" hidden="false" customHeight="false" outlineLevel="0" collapsed="false">
      <c r="A3203" s="154" t="n">
        <v>37370</v>
      </c>
      <c r="B3203" s="155" t="s">
        <v>1443</v>
      </c>
      <c r="C3203" s="148" t="str">
        <f aca="false">VLOOKUP($A3203,INSUMOS_AUX!$A$3:$H$813,3,0)</f>
        <v>MAT.</v>
      </c>
      <c r="D3203" s="156" t="s">
        <v>1444</v>
      </c>
      <c r="E3203" s="154" t="n">
        <v>5.134171</v>
      </c>
      <c r="F3203" s="149" t="n">
        <f aca="false">IF(C3203="MAT.",VLOOKUP(A3203,INSUMOS_AUX!$A$3:$H$813,6,0),0)</f>
        <v>3.32</v>
      </c>
      <c r="G3203" s="149" t="n">
        <f aca="false">IF(C3203="M.O.",VLOOKUP(A3203,INSUMOS_AUX!A:F,6,0),0)</f>
        <v>0</v>
      </c>
    </row>
    <row r="3204" customFormat="false" ht="21" hidden="false" customHeight="false" outlineLevel="0" collapsed="false">
      <c r="A3204" s="154" t="n">
        <v>43489</v>
      </c>
      <c r="B3204" s="155" t="s">
        <v>1456</v>
      </c>
      <c r="C3204" s="148" t="str">
        <f aca="false">VLOOKUP($A3204,INSUMOS_AUX!$A$3:$H$813,3,0)</f>
        <v>MAT.</v>
      </c>
      <c r="D3204" s="156" t="s">
        <v>1444</v>
      </c>
      <c r="E3204" s="154" t="n">
        <v>3.409014</v>
      </c>
      <c r="F3204" s="149" t="n">
        <f aca="false">IF(C3204="MAT.",VLOOKUP(A3204,INSUMOS_AUX!$A$3:$H$813,6,0),0)</f>
        <v>1.31</v>
      </c>
      <c r="G3204" s="149" t="n">
        <f aca="false">IF(C3204="M.O.",VLOOKUP(A3204,INSUMOS_AUX!A:F,6,0),0)</f>
        <v>0</v>
      </c>
    </row>
    <row r="3205" customFormat="false" ht="21" hidden="false" customHeight="false" outlineLevel="0" collapsed="false">
      <c r="A3205" s="154" t="n">
        <v>43491</v>
      </c>
      <c r="B3205" s="155" t="s">
        <v>1457</v>
      </c>
      <c r="C3205" s="148" t="str">
        <f aca="false">VLOOKUP($A3205,INSUMOS_AUX!$A$3:$H$813,3,0)</f>
        <v>MAT.</v>
      </c>
      <c r="D3205" s="156" t="s">
        <v>1444</v>
      </c>
      <c r="E3205" s="154" t="n">
        <v>1.725157</v>
      </c>
      <c r="F3205" s="149" t="n">
        <f aca="false">IF(C3205="MAT.",VLOOKUP(A3205,INSUMOS_AUX!$A$3:$H$813,6,0),0)</f>
        <v>1.39</v>
      </c>
      <c r="G3205" s="149" t="n">
        <f aca="false">IF(C3205="M.O.",VLOOKUP(A3205,INSUMOS_AUX!A:F,6,0),0)</f>
        <v>0</v>
      </c>
    </row>
    <row r="3206" customFormat="false" ht="21" hidden="false" customHeight="false" outlineLevel="0" collapsed="false">
      <c r="A3206" s="154" t="n">
        <v>37372</v>
      </c>
      <c r="B3206" s="155" t="s">
        <v>1446</v>
      </c>
      <c r="C3206" s="148" t="str">
        <f aca="false">VLOOKUP($A3206,INSUMOS_AUX!$A$3:$H$813,3,0)</f>
        <v>MAT.</v>
      </c>
      <c r="D3206" s="156" t="s">
        <v>1444</v>
      </c>
      <c r="E3206" s="154" t="n">
        <v>5.134171</v>
      </c>
      <c r="F3206" s="149" t="n">
        <f aca="false">IF(C3206="MAT.",VLOOKUP(A3206,INSUMOS_AUX!$A$3:$H$813,6,0),0)</f>
        <v>1.43</v>
      </c>
      <c r="G3206" s="149" t="n">
        <f aca="false">IF(C3206="M.O.",VLOOKUP(A3206,INSUMOS_AUX!A:F,6,0),0)</f>
        <v>0</v>
      </c>
    </row>
    <row r="3207" customFormat="false" ht="21" hidden="false" customHeight="false" outlineLevel="0" collapsed="false">
      <c r="A3207" s="154" t="n">
        <v>43465</v>
      </c>
      <c r="B3207" s="155" t="s">
        <v>1458</v>
      </c>
      <c r="C3207" s="148" t="str">
        <f aca="false">VLOOKUP($A3207,INSUMOS_AUX!$A$3:$H$813,3,0)</f>
        <v>MAT.</v>
      </c>
      <c r="D3207" s="156" t="s">
        <v>1444</v>
      </c>
      <c r="E3207" s="154" t="n">
        <v>3.409014</v>
      </c>
      <c r="F3207" s="149" t="n">
        <f aca="false">IF(C3207="MAT.",VLOOKUP(A3207,INSUMOS_AUX!$A$3:$H$813,6,0),0)</f>
        <v>0.78</v>
      </c>
      <c r="G3207" s="149" t="n">
        <f aca="false">IF(C3207="M.O.",VLOOKUP(A3207,INSUMOS_AUX!A:F,6,0),0)</f>
        <v>0</v>
      </c>
    </row>
    <row r="3208" customFormat="false" ht="21" hidden="false" customHeight="false" outlineLevel="0" collapsed="false">
      <c r="A3208" s="154" t="n">
        <v>43467</v>
      </c>
      <c r="B3208" s="155" t="s">
        <v>1459</v>
      </c>
      <c r="C3208" s="148" t="str">
        <f aca="false">VLOOKUP($A3208,INSUMOS_AUX!$A$3:$H$813,3,0)</f>
        <v>MAT.</v>
      </c>
      <c r="D3208" s="156" t="s">
        <v>1444</v>
      </c>
      <c r="E3208" s="154" t="n">
        <v>1.725157</v>
      </c>
      <c r="F3208" s="149" t="n">
        <f aca="false">IF(C3208="MAT.",VLOOKUP(A3208,INSUMOS_AUX!$A$3:$H$813,6,0),0)</f>
        <v>0.61</v>
      </c>
      <c r="G3208" s="149" t="n">
        <f aca="false">IF(C3208="M.O.",VLOOKUP(A3208,INSUMOS_AUX!A:F,6,0),0)</f>
        <v>0</v>
      </c>
    </row>
    <row r="3209" customFormat="false" ht="21" hidden="false" customHeight="false" outlineLevel="0" collapsed="false">
      <c r="A3209" s="154" t="n">
        <v>37373</v>
      </c>
      <c r="B3209" s="155" t="s">
        <v>1448</v>
      </c>
      <c r="C3209" s="148" t="s">
        <v>59</v>
      </c>
      <c r="D3209" s="156" t="s">
        <v>1444</v>
      </c>
      <c r="E3209" s="154" t="n">
        <v>5.134171</v>
      </c>
      <c r="F3209" s="149" t="n">
        <f aca="false">IF(C3209="MAT.",VLOOKUP(A3209,INSUMOS_AUX!$A$3:$H$813,6,0),0)</f>
        <v>0</v>
      </c>
      <c r="G3209" s="149" t="n">
        <f aca="false">IF(C3209="M.O.",VLOOKUP(A3209,INSUMOS_AUX!A:F,6,0),0)</f>
        <v>0</v>
      </c>
    </row>
    <row r="3210" customFormat="false" ht="21" hidden="false" customHeight="false" outlineLevel="0" collapsed="false">
      <c r="A3210" s="154" t="n">
        <v>37371</v>
      </c>
      <c r="B3210" s="155" t="s">
        <v>1449</v>
      </c>
      <c r="C3210" s="148" t="str">
        <f aca="false">VLOOKUP($A3210,INSUMOS_AUX!$A$3:$H$813,3,0)</f>
        <v>MAT.</v>
      </c>
      <c r="D3210" s="156" t="s">
        <v>1444</v>
      </c>
      <c r="E3210" s="154" t="n">
        <v>5.134171</v>
      </c>
      <c r="F3210" s="149" t="n">
        <f aca="false">IF(C3210="MAT.",VLOOKUP(A3210,INSUMOS_AUX!$A$3:$H$813,6,0),0)</f>
        <v>0.59</v>
      </c>
      <c r="G3210" s="149" t="n">
        <f aca="false">IF(C3210="M.O.",VLOOKUP(A3210,INSUMOS_AUX!A:F,6,0),0)</f>
        <v>0</v>
      </c>
    </row>
    <row r="3211" customFormat="false" ht="15" hidden="false" customHeight="false" outlineLevel="0" collapsed="false">
      <c r="A3211" s="154" t="n">
        <v>37595</v>
      </c>
      <c r="B3211" s="155" t="s">
        <v>1822</v>
      </c>
      <c r="C3211" s="148" t="str">
        <f aca="false">VLOOKUP($A3211,INSUMOS_AUX!$A$3:$H$813,3,0)</f>
        <v>MAT.</v>
      </c>
      <c r="D3211" s="156" t="s">
        <v>1513</v>
      </c>
      <c r="E3211" s="154" t="n">
        <v>3.7843126</v>
      </c>
      <c r="F3211" s="149" t="n">
        <f aca="false">IF(C3211="MAT.",VLOOKUP(A3211,INSUMOS_AUX!$A$3:$H$813,6,0),0)</f>
        <v>2.46</v>
      </c>
      <c r="G3211" s="149" t="n">
        <f aca="false">IF(C3211="M.O.",VLOOKUP(A3211,INSUMOS_AUX!A:F,6,0),0)</f>
        <v>0</v>
      </c>
    </row>
    <row r="3212" customFormat="false" ht="31.5" hidden="false" customHeight="false" outlineLevel="0" collapsed="false">
      <c r="A3212" s="154" t="n">
        <v>7568</v>
      </c>
      <c r="B3212" s="155" t="s">
        <v>1815</v>
      </c>
      <c r="C3212" s="148" t="str">
        <f aca="false">VLOOKUP($A3212,INSUMOS_AUX!$A$3:$H$813,3,0)</f>
        <v>MAT.</v>
      </c>
      <c r="D3212" s="156" t="s">
        <v>31</v>
      </c>
      <c r="E3212" s="154" t="n">
        <v>9</v>
      </c>
      <c r="F3212" s="149" t="n">
        <f aca="false">IF(C3212="MAT.",VLOOKUP(A3212,INSUMOS_AUX!$A$3:$H$813,6,0),0)</f>
        <v>0.79</v>
      </c>
      <c r="G3212" s="149" t="n">
        <f aca="false">IF(C3212="M.O.",VLOOKUP(A3212,INSUMOS_AUX!A:F,6,0),0)</f>
        <v>0</v>
      </c>
    </row>
    <row r="3213" customFormat="false" ht="31.5" hidden="false" customHeight="false" outlineLevel="0" collapsed="false">
      <c r="A3213" s="154" t="n">
        <v>11795</v>
      </c>
      <c r="B3213" s="155" t="s">
        <v>2029</v>
      </c>
      <c r="C3213" s="148" t="str">
        <f aca="false">VLOOKUP($A3213,INSUMOS_AUX!$A$3:$H$813,3,0)</f>
        <v>MAT.</v>
      </c>
      <c r="D3213" s="156" t="s">
        <v>1477</v>
      </c>
      <c r="E3213" s="154" t="n">
        <v>0.5655</v>
      </c>
      <c r="F3213" s="149" t="n">
        <f aca="false">IF(C3213="MAT.",VLOOKUP(A3213,INSUMOS_AUX!$A$3:$H$813,6,0),0)</f>
        <v>588.67</v>
      </c>
      <c r="G3213" s="149" t="n">
        <f aca="false">IF(C3213="M.O.",VLOOKUP(A3213,INSUMOS_AUX!A:F,6,0),0)</f>
        <v>0</v>
      </c>
    </row>
    <row r="3214" customFormat="false" ht="15" hidden="false" customHeight="false" outlineLevel="0" collapsed="false">
      <c r="A3214" s="154" t="n">
        <v>4823</v>
      </c>
      <c r="B3214" s="155" t="s">
        <v>2030</v>
      </c>
      <c r="C3214" s="148" t="str">
        <f aca="false">VLOOKUP($A3214,INSUMOS_AUX!$A$3:$H$813,3,0)</f>
        <v>MAT.</v>
      </c>
      <c r="D3214" s="156" t="s">
        <v>1513</v>
      </c>
      <c r="E3214" s="154" t="n">
        <v>0.5766</v>
      </c>
      <c r="F3214" s="149" t="n">
        <f aca="false">IF(C3214="MAT.",VLOOKUP(A3214,INSUMOS_AUX!$A$3:$H$813,6,0),0)</f>
        <v>29.89</v>
      </c>
      <c r="G3214" s="149" t="n">
        <f aca="false">IF(C3214="M.O.",VLOOKUP(A3214,INSUMOS_AUX!A:F,6,0),0)</f>
        <v>0</v>
      </c>
    </row>
    <row r="3215" customFormat="false" ht="15" hidden="false" customHeight="false" outlineLevel="0" collapsed="false">
      <c r="A3215" s="154" t="n">
        <v>34357</v>
      </c>
      <c r="B3215" s="155" t="s">
        <v>1938</v>
      </c>
      <c r="C3215" s="148" t="str">
        <f aca="false">VLOOKUP($A3215,INSUMOS_AUX!$A$3:$H$813,3,0)</f>
        <v>MAT.</v>
      </c>
      <c r="D3215" s="156" t="s">
        <v>1513</v>
      </c>
      <c r="E3215" s="154" t="n">
        <v>0.21108</v>
      </c>
      <c r="F3215" s="149" t="n">
        <f aca="false">IF(C3215="MAT.",VLOOKUP(A3215,INSUMOS_AUX!$A$3:$H$813,6,0),0)</f>
        <v>4.69</v>
      </c>
      <c r="G3215" s="149" t="n">
        <f aca="false">IF(C3215="M.O.",VLOOKUP(A3215,INSUMOS_AUX!A:F,6,0),0)</f>
        <v>0</v>
      </c>
    </row>
    <row r="3216" customFormat="false" ht="15" hidden="false" customHeight="false" outlineLevel="0" collapsed="false">
      <c r="A3216" s="154" t="n">
        <v>37329</v>
      </c>
      <c r="B3216" s="155" t="s">
        <v>2018</v>
      </c>
      <c r="C3216" s="148" t="str">
        <f aca="false">VLOOKUP($A3216,INSUMOS_AUX!$A$3:$H$813,3,0)</f>
        <v>MAT.</v>
      </c>
      <c r="D3216" s="156" t="s">
        <v>1513</v>
      </c>
      <c r="E3216" s="154" t="n">
        <v>0.0231</v>
      </c>
      <c r="F3216" s="149" t="n">
        <f aca="false">IF(C3216="MAT.",VLOOKUP(A3216,INSUMOS_AUX!$A$3:$H$813,6,0),0)</f>
        <v>98.93</v>
      </c>
      <c r="G3216" s="149" t="n">
        <f aca="false">IF(C3216="M.O.",VLOOKUP(A3216,INSUMOS_AUX!A:F,6,0),0)</f>
        <v>0</v>
      </c>
    </row>
    <row r="3217" customFormat="false" ht="31.5" hidden="false" customHeight="false" outlineLevel="0" collapsed="false">
      <c r="A3217" s="154" t="n">
        <v>20231</v>
      </c>
      <c r="B3217" s="155" t="s">
        <v>2031</v>
      </c>
      <c r="C3217" s="148" t="str">
        <f aca="false">VLOOKUP($A3217,INSUMOS_AUX!$A$3:$H$813,3,0)</f>
        <v>MAT.</v>
      </c>
      <c r="D3217" s="156" t="s">
        <v>1455</v>
      </c>
      <c r="E3217" s="154" t="n">
        <v>1.82936</v>
      </c>
      <c r="F3217" s="149" t="n">
        <f aca="false">IF(C3217="MAT.",VLOOKUP(A3217,INSUMOS_AUX!$A$3:$H$813,6,0),0)</f>
        <v>58.05</v>
      </c>
      <c r="G3217" s="149" t="n">
        <f aca="false">IF(C3217="M.O.",VLOOKUP(A3217,INSUMOS_AUX!A:F,6,0),0)</f>
        <v>0</v>
      </c>
    </row>
    <row r="3218" customFormat="false" ht="31.5" hidden="false" customHeight="false" outlineLevel="0" collapsed="false">
      <c r="A3218" s="154" t="n">
        <v>20232</v>
      </c>
      <c r="B3218" s="155" t="s">
        <v>1823</v>
      </c>
      <c r="C3218" s="148" t="s">
        <v>59</v>
      </c>
      <c r="D3218" s="156" t="s">
        <v>1455</v>
      </c>
      <c r="E3218" s="154" t="n">
        <v>1.759</v>
      </c>
      <c r="F3218" s="149" t="n">
        <f aca="false">IF(C3218="MAT.",VLOOKUP(A3218,INSUMOS_AUX!$A$3:$H$813,6,0),0)</f>
        <v>0</v>
      </c>
      <c r="G3218" s="149" t="n">
        <f aca="false">IF(C3218="M.O.",VLOOKUP(A3218,INSUMOS_AUX!A:F,6,0),0)</f>
        <v>0</v>
      </c>
    </row>
    <row r="3219" customFormat="false" ht="21" hidden="false" customHeight="false" outlineLevel="0" collapsed="false">
      <c r="A3219" s="154" t="n">
        <v>37590</v>
      </c>
      <c r="B3219" s="155" t="s">
        <v>2032</v>
      </c>
      <c r="C3219" s="148" t="str">
        <f aca="false">VLOOKUP($A3219,INSUMOS_AUX!$A$3:$H$813,3,0)</f>
        <v>MAT.</v>
      </c>
      <c r="D3219" s="156" t="s">
        <v>31</v>
      </c>
      <c r="E3219" s="154" t="n">
        <v>3</v>
      </c>
      <c r="F3219" s="149" t="n">
        <f aca="false">IF(C3219="MAT.",VLOOKUP(A3219,INSUMOS_AUX!$A$3:$H$813,6,0),0)</f>
        <v>16.86</v>
      </c>
      <c r="G3219" s="149" t="n">
        <f aca="false">IF(C3219="M.O.",VLOOKUP(A3219,INSUMOS_AUX!A:F,6,0),0)</f>
        <v>0</v>
      </c>
    </row>
    <row r="3220" customFormat="false" ht="15" hidden="false" customHeight="false" outlineLevel="0" collapsed="false">
      <c r="A3220" s="154" t="n">
        <v>4755</v>
      </c>
      <c r="B3220" s="155" t="s">
        <v>1783</v>
      </c>
      <c r="C3220" s="148" t="str">
        <f aca="false">VLOOKUP($A3220,INSUMOS_AUX!$A$3:$H$813,3,0)</f>
        <v>M.O.</v>
      </c>
      <c r="D3220" s="156" t="s">
        <v>1444</v>
      </c>
      <c r="E3220" s="154" t="n">
        <v>3.45933103</v>
      </c>
      <c r="F3220" s="149" t="n">
        <f aca="false">IF(C3220="MAT.",VLOOKUP(A3220,INSUMOS_AUX!$A$3:$H$813,6,0),0)</f>
        <v>0</v>
      </c>
      <c r="G3220" s="149" t="n">
        <f aca="false">IF(C3220="M.O.",VLOOKUP(A3220,INSUMOS_AUX!A:F,6,0),0)</f>
        <v>20.22</v>
      </c>
    </row>
    <row r="3221" customFormat="false" ht="15" hidden="false" customHeight="false" outlineLevel="0" collapsed="false">
      <c r="A3221" s="154" t="n">
        <v>6111</v>
      </c>
      <c r="B3221" s="155" t="s">
        <v>1464</v>
      </c>
      <c r="C3221" s="148" t="str">
        <f aca="false">VLOOKUP($A3221,INSUMOS_AUX!$A$3:$H$813,3,0)</f>
        <v>M.O.</v>
      </c>
      <c r="D3221" s="156" t="s">
        <v>1444</v>
      </c>
      <c r="E3221" s="154" t="n">
        <v>1.76173032</v>
      </c>
      <c r="F3221" s="149" t="n">
        <f aca="false">IF(C3221="MAT.",VLOOKUP(A3221,INSUMOS_AUX!$A$3:$H$813,6,0),0)</f>
        <v>0</v>
      </c>
      <c r="G3221" s="149" t="n">
        <f aca="false">IF(C3221="M.O.",VLOOKUP(A3221,INSUMOS_AUX!A:F,6,0),0)</f>
        <v>12.95</v>
      </c>
    </row>
    <row r="3222" customFormat="false" ht="21" hidden="false" customHeight="false" outlineLevel="0" collapsed="false">
      <c r="A3222" s="150" t="s">
        <v>624</v>
      </c>
      <c r="B3222" s="151" t="s">
        <v>2033</v>
      </c>
      <c r="C3222" s="152" t="s">
        <v>59</v>
      </c>
      <c r="D3222" s="152" t="s">
        <v>31</v>
      </c>
      <c r="E3222" s="150"/>
      <c r="F3222" s="153" t="n">
        <f aca="false">(SUMPRODUCT($E3223:$E3241,F3223:F3241))*1</f>
        <v>1623.4749440702</v>
      </c>
      <c r="G3222" s="153" t="n">
        <f aca="false">(SUMPRODUCT($E3223:$E3241,G3223:G3241))*1</f>
        <v>126.7144598501</v>
      </c>
    </row>
    <row r="3223" customFormat="false" ht="21" hidden="false" customHeight="false" outlineLevel="0" collapsed="false">
      <c r="A3223" s="154" t="n">
        <v>37370</v>
      </c>
      <c r="B3223" s="155" t="s">
        <v>1443</v>
      </c>
      <c r="C3223" s="148" t="str">
        <f aca="false">VLOOKUP($A3223,INSUMOS_AUX!$A$3:$H$813,3,0)</f>
        <v>MAT.</v>
      </c>
      <c r="D3223" s="156" t="s">
        <v>1444</v>
      </c>
      <c r="E3223" s="154" t="n">
        <v>7.0114107</v>
      </c>
      <c r="F3223" s="149" t="n">
        <f aca="false">IF(C3223="MAT.",VLOOKUP(A3223,INSUMOS_AUX!$A$3:$H$813,6,0),0)</f>
        <v>3.32</v>
      </c>
      <c r="G3223" s="149" t="n">
        <f aca="false">IF(C3223="M.O.",VLOOKUP(A3223,INSUMOS_AUX!A:F,6,0),0)</f>
        <v>0</v>
      </c>
    </row>
    <row r="3224" customFormat="false" ht="21" hidden="false" customHeight="false" outlineLevel="0" collapsed="false">
      <c r="A3224" s="154" t="n">
        <v>43489</v>
      </c>
      <c r="B3224" s="155" t="s">
        <v>1456</v>
      </c>
      <c r="C3224" s="148" t="str">
        <f aca="false">VLOOKUP($A3224,INSUMOS_AUX!$A$3:$H$813,3,0)</f>
        <v>MAT.</v>
      </c>
      <c r="D3224" s="156" t="s">
        <v>1444</v>
      </c>
      <c r="E3224" s="154" t="n">
        <v>4.6602977</v>
      </c>
      <c r="F3224" s="149" t="n">
        <f aca="false">IF(C3224="MAT.",VLOOKUP(A3224,INSUMOS_AUX!$A$3:$H$813,6,0),0)</f>
        <v>1.31</v>
      </c>
      <c r="G3224" s="149" t="n">
        <f aca="false">IF(C3224="M.O.",VLOOKUP(A3224,INSUMOS_AUX!A:F,6,0),0)</f>
        <v>0</v>
      </c>
    </row>
    <row r="3225" customFormat="false" ht="21" hidden="false" customHeight="false" outlineLevel="0" collapsed="false">
      <c r="A3225" s="154" t="n">
        <v>43491</v>
      </c>
      <c r="B3225" s="155" t="s">
        <v>1457</v>
      </c>
      <c r="C3225" s="148" t="str">
        <f aca="false">VLOOKUP($A3225,INSUMOS_AUX!$A$3:$H$813,3,0)</f>
        <v>MAT.</v>
      </c>
      <c r="D3225" s="156" t="s">
        <v>1444</v>
      </c>
      <c r="E3225" s="154" t="n">
        <v>2.351113</v>
      </c>
      <c r="F3225" s="149" t="n">
        <f aca="false">IF(C3225="MAT.",VLOOKUP(A3225,INSUMOS_AUX!$A$3:$H$813,6,0),0)</f>
        <v>1.39</v>
      </c>
      <c r="G3225" s="149" t="n">
        <f aca="false">IF(C3225="M.O.",VLOOKUP(A3225,INSUMOS_AUX!A:F,6,0),0)</f>
        <v>0</v>
      </c>
    </row>
    <row r="3226" customFormat="false" ht="21" hidden="false" customHeight="false" outlineLevel="0" collapsed="false">
      <c r="A3226" s="154" t="n">
        <v>37372</v>
      </c>
      <c r="B3226" s="155" t="s">
        <v>1446</v>
      </c>
      <c r="C3226" s="148" t="str">
        <f aca="false">VLOOKUP($A3226,INSUMOS_AUX!$A$3:$H$813,3,0)</f>
        <v>MAT.</v>
      </c>
      <c r="D3226" s="156" t="s">
        <v>1444</v>
      </c>
      <c r="E3226" s="154" t="n">
        <v>7.0114107</v>
      </c>
      <c r="F3226" s="149" t="n">
        <f aca="false">IF(C3226="MAT.",VLOOKUP(A3226,INSUMOS_AUX!$A$3:$H$813,6,0),0)</f>
        <v>1.43</v>
      </c>
      <c r="G3226" s="149" t="n">
        <f aca="false">IF(C3226="M.O.",VLOOKUP(A3226,INSUMOS_AUX!A:F,6,0),0)</f>
        <v>0</v>
      </c>
    </row>
    <row r="3227" customFormat="false" ht="21" hidden="false" customHeight="false" outlineLevel="0" collapsed="false">
      <c r="A3227" s="154" t="n">
        <v>43465</v>
      </c>
      <c r="B3227" s="155" t="s">
        <v>1458</v>
      </c>
      <c r="C3227" s="148" t="s">
        <v>59</v>
      </c>
      <c r="D3227" s="156" t="s">
        <v>1444</v>
      </c>
      <c r="E3227" s="154" t="n">
        <v>4.6602977</v>
      </c>
      <c r="F3227" s="149" t="n">
        <f aca="false">IF(C3227="MAT.",VLOOKUP(A3227,INSUMOS_AUX!$A$3:$H$813,6,0),0)</f>
        <v>0</v>
      </c>
      <c r="G3227" s="149" t="n">
        <f aca="false">IF(C3227="M.O.",VLOOKUP(A3227,INSUMOS_AUX!A:F,6,0),0)</f>
        <v>0</v>
      </c>
    </row>
    <row r="3228" customFormat="false" ht="21" hidden="false" customHeight="false" outlineLevel="0" collapsed="false">
      <c r="A3228" s="154" t="n">
        <v>43467</v>
      </c>
      <c r="B3228" s="155" t="s">
        <v>1459</v>
      </c>
      <c r="C3228" s="148" t="str">
        <f aca="false">VLOOKUP($A3228,INSUMOS_AUX!$A$3:$H$813,3,0)</f>
        <v>MAT.</v>
      </c>
      <c r="D3228" s="156" t="s">
        <v>1444</v>
      </c>
      <c r="E3228" s="154" t="n">
        <v>2.351113</v>
      </c>
      <c r="F3228" s="149" t="n">
        <f aca="false">IF(C3228="MAT.",VLOOKUP(A3228,INSUMOS_AUX!$A$3:$H$813,6,0),0)</f>
        <v>0.61</v>
      </c>
      <c r="G3228" s="149" t="n">
        <f aca="false">IF(C3228="M.O.",VLOOKUP(A3228,INSUMOS_AUX!A:F,6,0),0)</f>
        <v>0</v>
      </c>
    </row>
    <row r="3229" customFormat="false" ht="21" hidden="false" customHeight="false" outlineLevel="0" collapsed="false">
      <c r="A3229" s="154" t="n">
        <v>37373</v>
      </c>
      <c r="B3229" s="155" t="s">
        <v>1448</v>
      </c>
      <c r="C3229" s="148" t="str">
        <f aca="false">VLOOKUP($A3229,INSUMOS_AUX!$A$3:$H$813,3,0)</f>
        <v>MAT.</v>
      </c>
      <c r="D3229" s="156" t="s">
        <v>1444</v>
      </c>
      <c r="E3229" s="154" t="n">
        <v>7.0114107</v>
      </c>
      <c r="F3229" s="149" t="n">
        <f aca="false">IF(C3229="MAT.",VLOOKUP(A3229,INSUMOS_AUX!$A$3:$H$813,6,0),0)</f>
        <v>0.08</v>
      </c>
      <c r="G3229" s="149" t="n">
        <f aca="false">IF(C3229="M.O.",VLOOKUP(A3229,INSUMOS_AUX!A:F,6,0),0)</f>
        <v>0</v>
      </c>
    </row>
    <row r="3230" customFormat="false" ht="21" hidden="false" customHeight="false" outlineLevel="0" collapsed="false">
      <c r="A3230" s="154" t="n">
        <v>37371</v>
      </c>
      <c r="B3230" s="155" t="s">
        <v>1449</v>
      </c>
      <c r="C3230" s="148" t="str">
        <f aca="false">VLOOKUP($A3230,INSUMOS_AUX!$A$3:$H$813,3,0)</f>
        <v>MAT.</v>
      </c>
      <c r="D3230" s="156" t="s">
        <v>1444</v>
      </c>
      <c r="E3230" s="154" t="n">
        <v>7.0114107</v>
      </c>
      <c r="F3230" s="149" t="n">
        <f aca="false">IF(C3230="MAT.",VLOOKUP(A3230,INSUMOS_AUX!$A$3:$H$813,6,0),0)</f>
        <v>0.59</v>
      </c>
      <c r="G3230" s="149" t="n">
        <f aca="false">IF(C3230="M.O.",VLOOKUP(A3230,INSUMOS_AUX!A:F,6,0),0)</f>
        <v>0</v>
      </c>
    </row>
    <row r="3231" customFormat="false" ht="15" hidden="false" customHeight="false" outlineLevel="0" collapsed="false">
      <c r="A3231" s="154" t="n">
        <v>37595</v>
      </c>
      <c r="B3231" s="155" t="s">
        <v>1822</v>
      </c>
      <c r="C3231" s="148" t="str">
        <f aca="false">VLOOKUP($A3231,INSUMOS_AUX!$A$3:$H$813,3,0)</f>
        <v>MAT.</v>
      </c>
      <c r="D3231" s="156" t="s">
        <v>1513</v>
      </c>
      <c r="E3231" s="154" t="n">
        <v>7.02984002</v>
      </c>
      <c r="F3231" s="149" t="n">
        <f aca="false">IF(C3231="MAT.",VLOOKUP(A3231,INSUMOS_AUX!$A$3:$H$813,6,0),0)</f>
        <v>2.46</v>
      </c>
      <c r="G3231" s="149" t="n">
        <f aca="false">IF(C3231="M.O.",VLOOKUP(A3231,INSUMOS_AUX!A:F,6,0),0)</f>
        <v>0</v>
      </c>
    </row>
    <row r="3232" customFormat="false" ht="31.5" hidden="false" customHeight="false" outlineLevel="0" collapsed="false">
      <c r="A3232" s="154" t="n">
        <v>7568</v>
      </c>
      <c r="B3232" s="155" t="s">
        <v>1815</v>
      </c>
      <c r="C3232" s="148" t="str">
        <f aca="false">VLOOKUP($A3232,INSUMOS_AUX!$A$3:$H$813,3,0)</f>
        <v>MAT.</v>
      </c>
      <c r="D3232" s="156" t="s">
        <v>31</v>
      </c>
      <c r="E3232" s="154" t="n">
        <v>24</v>
      </c>
      <c r="F3232" s="149" t="n">
        <f aca="false">IF(C3232="MAT.",VLOOKUP(A3232,INSUMOS_AUX!$A$3:$H$813,6,0),0)</f>
        <v>0.79</v>
      </c>
      <c r="G3232" s="149" t="n">
        <f aca="false">IF(C3232="M.O.",VLOOKUP(A3232,INSUMOS_AUX!A:F,6,0),0)</f>
        <v>0</v>
      </c>
    </row>
    <row r="3233" customFormat="false" ht="31.5" hidden="false" customHeight="false" outlineLevel="0" collapsed="false">
      <c r="A3233" s="154" t="n">
        <v>11795</v>
      </c>
      <c r="B3233" s="155" t="s">
        <v>2029</v>
      </c>
      <c r="C3233" s="148" t="str">
        <f aca="false">VLOOKUP($A3233,INSUMOS_AUX!$A$3:$H$813,3,0)</f>
        <v>MAT.</v>
      </c>
      <c r="D3233" s="156" t="s">
        <v>1477</v>
      </c>
      <c r="E3233" s="154" t="n">
        <v>1.508</v>
      </c>
      <c r="F3233" s="149" t="n">
        <f aca="false">IF(C3233="MAT.",VLOOKUP(A3233,INSUMOS_AUX!$A$3:$H$813,6,0),0)</f>
        <v>588.67</v>
      </c>
      <c r="G3233" s="149" t="n">
        <f aca="false">IF(C3233="M.O.",VLOOKUP(A3233,INSUMOS_AUX!A:F,6,0),0)</f>
        <v>0</v>
      </c>
    </row>
    <row r="3234" customFormat="false" ht="15" hidden="false" customHeight="false" outlineLevel="0" collapsed="false">
      <c r="A3234" s="154" t="n">
        <v>4823</v>
      </c>
      <c r="B3234" s="155" t="s">
        <v>2030</v>
      </c>
      <c r="C3234" s="148" t="str">
        <f aca="false">VLOOKUP($A3234,INSUMOS_AUX!$A$3:$H$813,3,0)</f>
        <v>MAT.</v>
      </c>
      <c r="D3234" s="156" t="s">
        <v>1513</v>
      </c>
      <c r="E3234" s="154" t="n">
        <v>1.5376</v>
      </c>
      <c r="F3234" s="149" t="n">
        <f aca="false">IF(C3234="MAT.",VLOOKUP(A3234,INSUMOS_AUX!$A$3:$H$813,6,0),0)</f>
        <v>29.89</v>
      </c>
      <c r="G3234" s="149" t="n">
        <f aca="false">IF(C3234="M.O.",VLOOKUP(A3234,INSUMOS_AUX!A:F,6,0),0)</f>
        <v>0</v>
      </c>
    </row>
    <row r="3235" customFormat="false" ht="15" hidden="false" customHeight="false" outlineLevel="0" collapsed="false">
      <c r="A3235" s="154" t="n">
        <v>34357</v>
      </c>
      <c r="B3235" s="155" t="s">
        <v>1938</v>
      </c>
      <c r="C3235" s="148" t="str">
        <f aca="false">VLOOKUP($A3235,INSUMOS_AUX!$A$3:$H$813,3,0)</f>
        <v>MAT.</v>
      </c>
      <c r="D3235" s="156" t="s">
        <v>1513</v>
      </c>
      <c r="E3235" s="154" t="n">
        <v>0.437316</v>
      </c>
      <c r="F3235" s="149" t="n">
        <f aca="false">IF(C3235="MAT.",VLOOKUP(A3235,INSUMOS_AUX!$A$3:$H$813,6,0),0)</f>
        <v>4.69</v>
      </c>
      <c r="G3235" s="149" t="n">
        <f aca="false">IF(C3235="M.O.",VLOOKUP(A3235,INSUMOS_AUX!A:F,6,0),0)</f>
        <v>0</v>
      </c>
    </row>
    <row r="3236" customFormat="false" ht="15" hidden="false" customHeight="false" outlineLevel="0" collapsed="false">
      <c r="A3236" s="154" t="n">
        <v>37329</v>
      </c>
      <c r="B3236" s="155" t="s">
        <v>2018</v>
      </c>
      <c r="C3236" s="148" t="s">
        <v>59</v>
      </c>
      <c r="D3236" s="156" t="s">
        <v>1513</v>
      </c>
      <c r="E3236" s="154" t="n">
        <v>0.0616</v>
      </c>
      <c r="F3236" s="149" t="n">
        <f aca="false">IF(C3236="MAT.",VLOOKUP(A3236,INSUMOS_AUX!$A$3:$H$813,6,0),0)</f>
        <v>0</v>
      </c>
      <c r="G3236" s="149" t="n">
        <f aca="false">IF(C3236="M.O.",VLOOKUP(A3236,INSUMOS_AUX!A:F,6,0),0)</f>
        <v>0</v>
      </c>
    </row>
    <row r="3237" customFormat="false" ht="31.5" hidden="false" customHeight="false" outlineLevel="0" collapsed="false">
      <c r="A3237" s="154" t="n">
        <v>20231</v>
      </c>
      <c r="B3237" s="155" t="s">
        <v>2031</v>
      </c>
      <c r="C3237" s="148" t="str">
        <f aca="false">VLOOKUP($A3237,INSUMOS_AUX!$A$3:$H$813,3,0)</f>
        <v>MAT.</v>
      </c>
      <c r="D3237" s="156" t="s">
        <v>1455</v>
      </c>
      <c r="E3237" s="154" t="n">
        <v>3.790072</v>
      </c>
      <c r="F3237" s="149" t="n">
        <f aca="false">IF(C3237="MAT.",VLOOKUP(A3237,INSUMOS_AUX!$A$3:$H$813,6,0),0)</f>
        <v>58.05</v>
      </c>
      <c r="G3237" s="149" t="n">
        <f aca="false">IF(C3237="M.O.",VLOOKUP(A3237,INSUMOS_AUX!A:F,6,0),0)</f>
        <v>0</v>
      </c>
    </row>
    <row r="3238" customFormat="false" ht="31.5" hidden="false" customHeight="false" outlineLevel="0" collapsed="false">
      <c r="A3238" s="154" t="n">
        <v>20232</v>
      </c>
      <c r="B3238" s="155" t="s">
        <v>1823</v>
      </c>
      <c r="C3238" s="148" t="str">
        <f aca="false">VLOOKUP($A3238,INSUMOS_AUX!$A$3:$H$813,3,0)</f>
        <v>MAT.</v>
      </c>
      <c r="D3238" s="156" t="s">
        <v>1455</v>
      </c>
      <c r="E3238" s="154" t="n">
        <v>3.016</v>
      </c>
      <c r="F3238" s="149" t="n">
        <f aca="false">IF(C3238="MAT.",VLOOKUP(A3238,INSUMOS_AUX!$A$3:$H$813,6,0),0)</f>
        <v>82.16</v>
      </c>
      <c r="G3238" s="149" t="n">
        <f aca="false">IF(C3238="M.O.",VLOOKUP(A3238,INSUMOS_AUX!A:F,6,0),0)</f>
        <v>0</v>
      </c>
    </row>
    <row r="3239" customFormat="false" ht="21" hidden="false" customHeight="false" outlineLevel="0" collapsed="false">
      <c r="A3239" s="154" t="n">
        <v>37590</v>
      </c>
      <c r="B3239" s="155" t="s">
        <v>2032</v>
      </c>
      <c r="C3239" s="148" t="str">
        <f aca="false">VLOOKUP($A3239,INSUMOS_AUX!$A$3:$H$813,3,0)</f>
        <v>MAT.</v>
      </c>
      <c r="D3239" s="156" t="s">
        <v>31</v>
      </c>
      <c r="E3239" s="154" t="n">
        <v>8</v>
      </c>
      <c r="F3239" s="149" t="n">
        <f aca="false">IF(C3239="MAT.",VLOOKUP(A3239,INSUMOS_AUX!$A$3:$H$813,6,0),0)</f>
        <v>16.86</v>
      </c>
      <c r="G3239" s="149" t="n">
        <f aca="false">IF(C3239="M.O.",VLOOKUP(A3239,INSUMOS_AUX!A:F,6,0),0)</f>
        <v>0</v>
      </c>
    </row>
    <row r="3240" customFormat="false" ht="15" hidden="false" customHeight="false" outlineLevel="0" collapsed="false">
      <c r="A3240" s="154" t="n">
        <v>4755</v>
      </c>
      <c r="B3240" s="155" t="s">
        <v>1783</v>
      </c>
      <c r="C3240" s="148" t="str">
        <f aca="false">VLOOKUP($A3240,INSUMOS_AUX!$A$3:$H$813,3,0)</f>
        <v>M.O.</v>
      </c>
      <c r="D3240" s="156" t="s">
        <v>1444</v>
      </c>
      <c r="E3240" s="154" t="n">
        <v>4.72908368</v>
      </c>
      <c r="F3240" s="149" t="n">
        <f aca="false">IF(C3240="MAT.",VLOOKUP(A3240,INSUMOS_AUX!$A$3:$H$813,6,0),0)</f>
        <v>0</v>
      </c>
      <c r="G3240" s="149" t="n">
        <f aca="false">IF(C3240="M.O.",VLOOKUP(A3240,INSUMOS_AUX!A:F,6,0),0)</f>
        <v>20.22</v>
      </c>
    </row>
    <row r="3241" customFormat="false" ht="15" hidden="false" customHeight="false" outlineLevel="0" collapsed="false">
      <c r="A3241" s="154" t="n">
        <v>6111</v>
      </c>
      <c r="B3241" s="155" t="s">
        <v>1464</v>
      </c>
      <c r="C3241" s="148" t="str">
        <f aca="false">VLOOKUP($A3241,INSUMOS_AUX!$A$3:$H$813,3,0)</f>
        <v>M.O.</v>
      </c>
      <c r="D3241" s="156" t="s">
        <v>1444</v>
      </c>
      <c r="E3241" s="154" t="n">
        <v>2.40095659</v>
      </c>
      <c r="F3241" s="149" t="n">
        <f aca="false">IF(C3241="MAT.",VLOOKUP(A3241,INSUMOS_AUX!$A$3:$H$813,6,0),0)</f>
        <v>0</v>
      </c>
      <c r="G3241" s="149" t="n">
        <f aca="false">IF(C3241="M.O.",VLOOKUP(A3241,INSUMOS_AUX!A:F,6,0),0)</f>
        <v>12.95</v>
      </c>
    </row>
    <row r="3242" customFormat="false" ht="31.5" hidden="false" customHeight="false" outlineLevel="0" collapsed="false">
      <c r="A3242" s="150" t="n">
        <v>86938</v>
      </c>
      <c r="B3242" s="151" t="s">
        <v>2034</v>
      </c>
      <c r="C3242" s="152" t="s">
        <v>59</v>
      </c>
      <c r="D3242" s="152" t="s">
        <v>31</v>
      </c>
      <c r="E3242" s="150"/>
      <c r="F3242" s="153" t="n">
        <f aca="false">(SUMPRODUCT($E3243:$E3260,F3243:F3260))*1</f>
        <v>301.218351</v>
      </c>
      <c r="G3242" s="153" t="n">
        <f aca="false">(SUMPRODUCT($E3243:$E3260,G3243:G3260))*1</f>
        <v>31.9525854672</v>
      </c>
    </row>
    <row r="3243" customFormat="false" ht="21" hidden="false" customHeight="false" outlineLevel="0" collapsed="false">
      <c r="A3243" s="154" t="n">
        <v>37370</v>
      </c>
      <c r="B3243" s="155" t="s">
        <v>1443</v>
      </c>
      <c r="C3243" s="148" t="str">
        <f aca="false">VLOOKUP($A3243,INSUMOS_AUX!$A$3:$H$813,3,0)</f>
        <v>MAT.</v>
      </c>
      <c r="D3243" s="156" t="s">
        <v>1444</v>
      </c>
      <c r="E3243" s="154" t="n">
        <v>1.7007</v>
      </c>
      <c r="F3243" s="149" t="n">
        <f aca="false">IF(C3243="MAT.",VLOOKUP(A3243,INSUMOS_AUX!$A$3:$H$813,6,0),0)</f>
        <v>3.32</v>
      </c>
      <c r="G3243" s="149" t="n">
        <f aca="false">IF(C3243="M.O.",VLOOKUP(A3243,INSUMOS_AUX!A:F,6,0),0)</f>
        <v>0</v>
      </c>
    </row>
    <row r="3244" customFormat="false" ht="21" hidden="false" customHeight="false" outlineLevel="0" collapsed="false">
      <c r="A3244" s="154" t="n">
        <v>43485</v>
      </c>
      <c r="B3244" s="155" t="s">
        <v>1481</v>
      </c>
      <c r="C3244" s="148" t="str">
        <f aca="false">VLOOKUP($A3244,INSUMOS_AUX!$A$3:$H$813,3,0)</f>
        <v>MAT.</v>
      </c>
      <c r="D3244" s="156" t="s">
        <v>1444</v>
      </c>
      <c r="E3244" s="154" t="n">
        <v>0.4474</v>
      </c>
      <c r="F3244" s="149" t="n">
        <f aca="false">IF(C3244="MAT.",VLOOKUP(A3244,INSUMOS_AUX!$A$3:$H$813,6,0),0)</f>
        <v>1.13</v>
      </c>
      <c r="G3244" s="149" t="n">
        <f aca="false">IF(C3244="M.O.",VLOOKUP(A3244,INSUMOS_AUX!A:F,6,0),0)</f>
        <v>0</v>
      </c>
    </row>
    <row r="3245" customFormat="false" ht="21" hidden="false" customHeight="false" outlineLevel="0" collapsed="false">
      <c r="A3245" s="154" t="n">
        <v>43489</v>
      </c>
      <c r="B3245" s="155" t="s">
        <v>1456</v>
      </c>
      <c r="C3245" s="148" t="str">
        <f aca="false">VLOOKUP($A3245,INSUMOS_AUX!$A$3:$H$813,3,0)</f>
        <v>MAT.</v>
      </c>
      <c r="D3245" s="156" t="s">
        <v>1444</v>
      </c>
      <c r="E3245" s="154" t="n">
        <v>0.8458</v>
      </c>
      <c r="F3245" s="149" t="n">
        <f aca="false">IF(C3245="MAT.",VLOOKUP(A3245,INSUMOS_AUX!$A$3:$H$813,6,0),0)</f>
        <v>1.31</v>
      </c>
      <c r="G3245" s="149" t="n">
        <f aca="false">IF(C3245="M.O.",VLOOKUP(A3245,INSUMOS_AUX!A:F,6,0),0)</f>
        <v>0</v>
      </c>
    </row>
    <row r="3246" customFormat="false" ht="21" hidden="false" customHeight="false" outlineLevel="0" collapsed="false">
      <c r="A3246" s="154" t="n">
        <v>43491</v>
      </c>
      <c r="B3246" s="155" t="s">
        <v>1457</v>
      </c>
      <c r="C3246" s="148" t="str">
        <f aca="false">VLOOKUP($A3246,INSUMOS_AUX!$A$3:$H$813,3,0)</f>
        <v>MAT.</v>
      </c>
      <c r="D3246" s="156" t="s">
        <v>1444</v>
      </c>
      <c r="E3246" s="154" t="n">
        <v>0.4075</v>
      </c>
      <c r="F3246" s="149" t="n">
        <f aca="false">IF(C3246="MAT.",VLOOKUP(A3246,INSUMOS_AUX!$A$3:$H$813,6,0),0)</f>
        <v>1.39</v>
      </c>
      <c r="G3246" s="149" t="n">
        <f aca="false">IF(C3246="M.O.",VLOOKUP(A3246,INSUMOS_AUX!A:F,6,0),0)</f>
        <v>0</v>
      </c>
    </row>
    <row r="3247" customFormat="false" ht="21" hidden="false" customHeight="false" outlineLevel="0" collapsed="false">
      <c r="A3247" s="154" t="n">
        <v>37372</v>
      </c>
      <c r="B3247" s="155" t="s">
        <v>1446</v>
      </c>
      <c r="C3247" s="148" t="str">
        <f aca="false">VLOOKUP($A3247,INSUMOS_AUX!$A$3:$H$813,3,0)</f>
        <v>MAT.</v>
      </c>
      <c r="D3247" s="156" t="s">
        <v>1444</v>
      </c>
      <c r="E3247" s="154" t="n">
        <v>1.7007</v>
      </c>
      <c r="F3247" s="149" t="n">
        <f aca="false">IF(C3247="MAT.",VLOOKUP(A3247,INSUMOS_AUX!$A$3:$H$813,6,0),0)</f>
        <v>1.43</v>
      </c>
      <c r="G3247" s="149" t="n">
        <f aca="false">IF(C3247="M.O.",VLOOKUP(A3247,INSUMOS_AUX!A:F,6,0),0)</f>
        <v>0</v>
      </c>
    </row>
    <row r="3248" customFormat="false" ht="21" hidden="false" customHeight="false" outlineLevel="0" collapsed="false">
      <c r="A3248" s="154" t="n">
        <v>43461</v>
      </c>
      <c r="B3248" s="155" t="s">
        <v>1482</v>
      </c>
      <c r="C3248" s="148" t="str">
        <f aca="false">VLOOKUP($A3248,INSUMOS_AUX!$A$3:$H$813,3,0)</f>
        <v>MAT.</v>
      </c>
      <c r="D3248" s="156" t="s">
        <v>1444</v>
      </c>
      <c r="E3248" s="154" t="n">
        <v>0.4474</v>
      </c>
      <c r="F3248" s="149" t="n">
        <f aca="false">IF(C3248="MAT.",VLOOKUP(A3248,INSUMOS_AUX!$A$3:$H$813,6,0),0)</f>
        <v>0.31</v>
      </c>
      <c r="G3248" s="149" t="n">
        <f aca="false">IF(C3248="M.O.",VLOOKUP(A3248,INSUMOS_AUX!A:F,6,0),0)</f>
        <v>0</v>
      </c>
    </row>
    <row r="3249" customFormat="false" ht="21" hidden="false" customHeight="false" outlineLevel="0" collapsed="false">
      <c r="A3249" s="154" t="n">
        <v>43465</v>
      </c>
      <c r="B3249" s="155" t="s">
        <v>1458</v>
      </c>
      <c r="C3249" s="148" t="str">
        <f aca="false">VLOOKUP($A3249,INSUMOS_AUX!$A$3:$H$813,3,0)</f>
        <v>MAT.</v>
      </c>
      <c r="D3249" s="156" t="s">
        <v>1444</v>
      </c>
      <c r="E3249" s="154" t="n">
        <v>0.8458</v>
      </c>
      <c r="F3249" s="149" t="n">
        <f aca="false">IF(C3249="MAT.",VLOOKUP(A3249,INSUMOS_AUX!$A$3:$H$813,6,0),0)</f>
        <v>0.78</v>
      </c>
      <c r="G3249" s="149" t="n">
        <f aca="false">IF(C3249="M.O.",VLOOKUP(A3249,INSUMOS_AUX!A:F,6,0),0)</f>
        <v>0</v>
      </c>
    </row>
    <row r="3250" customFormat="false" ht="21" hidden="false" customHeight="false" outlineLevel="0" collapsed="false">
      <c r="A3250" s="154" t="n">
        <v>43467</v>
      </c>
      <c r="B3250" s="155" t="s">
        <v>1459</v>
      </c>
      <c r="C3250" s="148" t="str">
        <f aca="false">VLOOKUP($A3250,INSUMOS_AUX!$A$3:$H$813,3,0)</f>
        <v>MAT.</v>
      </c>
      <c r="D3250" s="156" t="s">
        <v>1444</v>
      </c>
      <c r="E3250" s="154" t="n">
        <v>0.4075</v>
      </c>
      <c r="F3250" s="149" t="n">
        <f aca="false">IF(C3250="MAT.",VLOOKUP(A3250,INSUMOS_AUX!$A$3:$H$813,6,0),0)</f>
        <v>0.61</v>
      </c>
      <c r="G3250" s="149" t="n">
        <f aca="false">IF(C3250="M.O.",VLOOKUP(A3250,INSUMOS_AUX!A:F,6,0),0)</f>
        <v>0</v>
      </c>
    </row>
    <row r="3251" customFormat="false" ht="21" hidden="false" customHeight="false" outlineLevel="0" collapsed="false">
      <c r="A3251" s="154" t="n">
        <v>37373</v>
      </c>
      <c r="B3251" s="155" t="s">
        <v>1448</v>
      </c>
      <c r="C3251" s="148" t="str">
        <f aca="false">VLOOKUP($A3251,INSUMOS_AUX!$A$3:$H$813,3,0)</f>
        <v>MAT.</v>
      </c>
      <c r="D3251" s="156" t="s">
        <v>1444</v>
      </c>
      <c r="E3251" s="154" t="n">
        <v>1.7007</v>
      </c>
      <c r="F3251" s="149" t="n">
        <f aca="false">IF(C3251="MAT.",VLOOKUP(A3251,INSUMOS_AUX!$A$3:$H$813,6,0),0)</f>
        <v>0.08</v>
      </c>
      <c r="G3251" s="149" t="n">
        <f aca="false">IF(C3251="M.O.",VLOOKUP(A3251,INSUMOS_AUX!A:F,6,0),0)</f>
        <v>0</v>
      </c>
    </row>
    <row r="3252" customFormat="false" ht="21" hidden="false" customHeight="false" outlineLevel="0" collapsed="false">
      <c r="A3252" s="154" t="n">
        <v>37371</v>
      </c>
      <c r="B3252" s="155" t="s">
        <v>1449</v>
      </c>
      <c r="C3252" s="148" t="str">
        <f aca="false">VLOOKUP($A3252,INSUMOS_AUX!$A$3:$H$813,3,0)</f>
        <v>MAT.</v>
      </c>
      <c r="D3252" s="156" t="s">
        <v>1444</v>
      </c>
      <c r="E3252" s="154" t="n">
        <v>1.7007</v>
      </c>
      <c r="F3252" s="149" t="n">
        <f aca="false">IF(C3252="MAT.",VLOOKUP(A3252,INSUMOS_AUX!$A$3:$H$813,6,0),0)</f>
        <v>0.59</v>
      </c>
      <c r="G3252" s="149" t="n">
        <f aca="false">IF(C3252="M.O.",VLOOKUP(A3252,INSUMOS_AUX!A:F,6,0),0)</f>
        <v>0</v>
      </c>
    </row>
    <row r="3253" customFormat="false" ht="15" hidden="false" customHeight="false" outlineLevel="0" collapsed="false">
      <c r="A3253" s="154" t="n">
        <v>3146</v>
      </c>
      <c r="B3253" s="155" t="s">
        <v>2016</v>
      </c>
      <c r="C3253" s="148" t="str">
        <f aca="false">VLOOKUP($A3253,INSUMOS_AUX!$A$3:$H$813,3,0)</f>
        <v>MAT.</v>
      </c>
      <c r="D3253" s="156" t="s">
        <v>31</v>
      </c>
      <c r="E3253" s="154" t="n">
        <v>0.0812</v>
      </c>
      <c r="F3253" s="149" t="n">
        <f aca="false">IF(C3253="MAT.",VLOOKUP(A3253,INSUMOS_AUX!$A$3:$H$813,6,0),0)</f>
        <v>3.8</v>
      </c>
      <c r="G3253" s="149" t="n">
        <f aca="false">IF(C3253="M.O.",VLOOKUP(A3253,INSUMOS_AUX!A:F,6,0),0)</f>
        <v>0</v>
      </c>
    </row>
    <row r="3254" customFormat="false" ht="21" hidden="false" customHeight="false" outlineLevel="0" collapsed="false">
      <c r="A3254" s="154" t="n">
        <v>20269</v>
      </c>
      <c r="B3254" s="155" t="s">
        <v>2035</v>
      </c>
      <c r="C3254" s="148" t="s">
        <v>59</v>
      </c>
      <c r="D3254" s="156" t="s">
        <v>31</v>
      </c>
      <c r="E3254" s="154" t="n">
        <v>1</v>
      </c>
      <c r="F3254" s="149" t="n">
        <f aca="false">IF(C3254="MAT.",VLOOKUP(A3254,INSUMOS_AUX!$A$3:$H$813,6,0),0)</f>
        <v>0</v>
      </c>
      <c r="G3254" s="149" t="n">
        <f aca="false">IF(C3254="M.O.",VLOOKUP(A3254,INSUMOS_AUX!A:F,6,0),0)</f>
        <v>0</v>
      </c>
    </row>
    <row r="3255" customFormat="false" ht="15" hidden="false" customHeight="false" outlineLevel="0" collapsed="false">
      <c r="A3255" s="154" t="n">
        <v>4823</v>
      </c>
      <c r="B3255" s="155" t="s">
        <v>2030</v>
      </c>
      <c r="C3255" s="148" t="str">
        <f aca="false">VLOOKUP($A3255,INSUMOS_AUX!$A$3:$H$813,3,0)</f>
        <v>MAT.</v>
      </c>
      <c r="D3255" s="156" t="s">
        <v>1513</v>
      </c>
      <c r="E3255" s="154" t="n">
        <v>0.5271</v>
      </c>
      <c r="F3255" s="149" t="n">
        <f aca="false">IF(C3255="MAT.",VLOOKUP(A3255,INSUMOS_AUX!$A$3:$H$813,6,0),0)</f>
        <v>29.89</v>
      </c>
      <c r="G3255" s="149" t="n">
        <f aca="false">IF(C3255="M.O.",VLOOKUP(A3255,INSUMOS_AUX!A:F,6,0),0)</f>
        <v>0</v>
      </c>
    </row>
    <row r="3256" customFormat="false" ht="15" hidden="false" customHeight="false" outlineLevel="0" collapsed="false">
      <c r="A3256" s="154" t="n">
        <v>6136</v>
      </c>
      <c r="B3256" s="155" t="s">
        <v>2036</v>
      </c>
      <c r="C3256" s="148" t="str">
        <f aca="false">VLOOKUP($A3256,INSUMOS_AUX!$A$3:$H$813,3,0)</f>
        <v>MAT.</v>
      </c>
      <c r="D3256" s="156" t="s">
        <v>31</v>
      </c>
      <c r="E3256" s="154" t="n">
        <v>1</v>
      </c>
      <c r="F3256" s="149" t="n">
        <f aca="false">IF(C3256="MAT.",VLOOKUP(A3256,INSUMOS_AUX!$A$3:$H$813,6,0),0)</f>
        <v>207.45</v>
      </c>
      <c r="G3256" s="149" t="n">
        <f aca="false">IF(C3256="M.O.",VLOOKUP(A3256,INSUMOS_AUX!A:F,6,0),0)</f>
        <v>0</v>
      </c>
    </row>
    <row r="3257" customFormat="false" ht="21" hidden="false" customHeight="false" outlineLevel="0" collapsed="false">
      <c r="A3257" s="154" t="n">
        <v>37588</v>
      </c>
      <c r="B3257" s="155" t="s">
        <v>2037</v>
      </c>
      <c r="C3257" s="148" t="str">
        <f aca="false">VLOOKUP($A3257,INSUMOS_AUX!$A$3:$H$813,3,0)</f>
        <v>MAT.</v>
      </c>
      <c r="D3257" s="156" t="s">
        <v>31</v>
      </c>
      <c r="E3257" s="154" t="n">
        <v>1</v>
      </c>
      <c r="F3257" s="149" t="n">
        <f aca="false">IF(C3257="MAT.",VLOOKUP(A3257,INSUMOS_AUX!$A$3:$H$813,6,0),0)</f>
        <v>65.26</v>
      </c>
      <c r="G3257" s="149" t="n">
        <f aca="false">IF(C3257="M.O.",VLOOKUP(A3257,INSUMOS_AUX!A:F,6,0),0)</f>
        <v>0</v>
      </c>
    </row>
    <row r="3258" customFormat="false" ht="15" hidden="false" customHeight="false" outlineLevel="0" collapsed="false">
      <c r="A3258" s="154" t="n">
        <v>2696</v>
      </c>
      <c r="B3258" s="155" t="s">
        <v>1483</v>
      </c>
      <c r="C3258" s="148" t="str">
        <f aca="false">VLOOKUP($A3258,INSUMOS_AUX!$A$3:$H$813,3,0)</f>
        <v>M.O.</v>
      </c>
      <c r="D3258" s="156" t="s">
        <v>1444</v>
      </c>
      <c r="E3258" s="154" t="n">
        <v>0.455444252</v>
      </c>
      <c r="F3258" s="149" t="n">
        <f aca="false">IF(C3258="MAT.",VLOOKUP(A3258,INSUMOS_AUX!$A$3:$H$813,6,0),0)</f>
        <v>0</v>
      </c>
      <c r="G3258" s="149" t="n">
        <f aca="false">IF(C3258="M.O.",VLOOKUP(A3258,INSUMOS_AUX!A:F,6,0),0)</f>
        <v>20.22</v>
      </c>
    </row>
    <row r="3259" customFormat="false" ht="15" hidden="false" customHeight="false" outlineLevel="0" collapsed="false">
      <c r="A3259" s="154" t="n">
        <v>4755</v>
      </c>
      <c r="B3259" s="155" t="s">
        <v>1783</v>
      </c>
      <c r="C3259" s="148" t="str">
        <f aca="false">VLOOKUP($A3259,INSUMOS_AUX!$A$3:$H$813,3,0)</f>
        <v>M.O.</v>
      </c>
      <c r="D3259" s="156" t="s">
        <v>1444</v>
      </c>
      <c r="E3259" s="154" t="n">
        <v>0.858284008</v>
      </c>
      <c r="F3259" s="149" t="n">
        <f aca="false">IF(C3259="MAT.",VLOOKUP(A3259,INSUMOS_AUX!$A$3:$H$813,6,0),0)</f>
        <v>0</v>
      </c>
      <c r="G3259" s="149" t="n">
        <f aca="false">IF(C3259="M.O.",VLOOKUP(A3259,INSUMOS_AUX!A:F,6,0),0)</f>
        <v>20.22</v>
      </c>
    </row>
    <row r="3260" customFormat="false" ht="15" hidden="false" customHeight="false" outlineLevel="0" collapsed="false">
      <c r="A3260" s="154" t="n">
        <v>6111</v>
      </c>
      <c r="B3260" s="155" t="s">
        <v>1464</v>
      </c>
      <c r="C3260" s="148" t="str">
        <f aca="false">VLOOKUP($A3260,INSUMOS_AUX!$A$3:$H$813,3,0)</f>
        <v>M.O.</v>
      </c>
      <c r="D3260" s="156" t="s">
        <v>1444</v>
      </c>
      <c r="E3260" s="154" t="n">
        <v>0.416139</v>
      </c>
      <c r="F3260" s="149" t="n">
        <f aca="false">IF(C3260="MAT.",VLOOKUP(A3260,INSUMOS_AUX!$A$3:$H$813,6,0),0)</f>
        <v>0</v>
      </c>
      <c r="G3260" s="149" t="n">
        <f aca="false">IF(C3260="M.O.",VLOOKUP(A3260,INSUMOS_AUX!A:F,6,0),0)</f>
        <v>12.95</v>
      </c>
    </row>
    <row r="3261" customFormat="false" ht="31.5" hidden="false" customHeight="false" outlineLevel="0" collapsed="false">
      <c r="A3261" s="150" t="s">
        <v>627</v>
      </c>
      <c r="B3261" s="151" t="s">
        <v>2038</v>
      </c>
      <c r="C3261" s="152" t="s">
        <v>59</v>
      </c>
      <c r="D3261" s="152" t="s">
        <v>31</v>
      </c>
      <c r="E3261" s="150"/>
      <c r="F3261" s="153" t="n">
        <f aca="false">(SUMPRODUCT($E3262:$E3273,F3262:F3273))*1</f>
        <v>171.223186</v>
      </c>
      <c r="G3261" s="153" t="n">
        <f aca="false">(SUMPRODUCT($E3262:$E3273,G3262:G3273))*1</f>
        <v>1.9760213376</v>
      </c>
    </row>
    <row r="3262" customFormat="false" ht="21" hidden="false" customHeight="false" outlineLevel="0" collapsed="false">
      <c r="A3262" s="154" t="n">
        <v>37370</v>
      </c>
      <c r="B3262" s="155" t="s">
        <v>1443</v>
      </c>
      <c r="C3262" s="148" t="str">
        <f aca="false">VLOOKUP($A3262,INSUMOS_AUX!$A$3:$H$813,3,0)</f>
        <v>MAT.</v>
      </c>
      <c r="D3262" s="156" t="s">
        <v>1444</v>
      </c>
      <c r="E3262" s="154" t="n">
        <v>0.1263</v>
      </c>
      <c r="F3262" s="149" t="n">
        <f aca="false">IF(C3262="MAT.",VLOOKUP(A3262,INSUMOS_AUX!$A$3:$H$813,6,0),0)</f>
        <v>3.32</v>
      </c>
      <c r="G3262" s="149" t="n">
        <f aca="false">IF(C3262="M.O.",VLOOKUP(A3262,INSUMOS_AUX!A:F,6,0),0)</f>
        <v>0</v>
      </c>
    </row>
    <row r="3263" customFormat="false" ht="21" hidden="false" customHeight="false" outlineLevel="0" collapsed="false">
      <c r="A3263" s="154" t="n">
        <v>43485</v>
      </c>
      <c r="B3263" s="155" t="s">
        <v>1481</v>
      </c>
      <c r="C3263" s="148" t="str">
        <f aca="false">VLOOKUP($A3263,INSUMOS_AUX!$A$3:$H$813,3,0)</f>
        <v>MAT.</v>
      </c>
      <c r="D3263" s="156" t="s">
        <v>1444</v>
      </c>
      <c r="E3263" s="154" t="n">
        <v>0.096</v>
      </c>
      <c r="F3263" s="149" t="n">
        <f aca="false">IF(C3263="MAT.",VLOOKUP(A3263,INSUMOS_AUX!$A$3:$H$813,6,0),0)</f>
        <v>1.13</v>
      </c>
      <c r="G3263" s="149" t="n">
        <f aca="false">IF(C3263="M.O.",VLOOKUP(A3263,INSUMOS_AUX!A:F,6,0),0)</f>
        <v>0</v>
      </c>
    </row>
    <row r="3264" customFormat="false" ht="21" hidden="false" customHeight="false" outlineLevel="0" collapsed="false">
      <c r="A3264" s="154" t="n">
        <v>43491</v>
      </c>
      <c r="B3264" s="155" t="s">
        <v>1457</v>
      </c>
      <c r="C3264" s="148" t="str">
        <f aca="false">VLOOKUP($A3264,INSUMOS_AUX!$A$3:$H$813,3,0)</f>
        <v>MAT.</v>
      </c>
      <c r="D3264" s="156" t="s">
        <v>1444</v>
      </c>
      <c r="E3264" s="154" t="n">
        <v>0.0303</v>
      </c>
      <c r="F3264" s="149" t="n">
        <f aca="false">IF(C3264="MAT.",VLOOKUP(A3264,INSUMOS_AUX!$A$3:$H$813,6,0),0)</f>
        <v>1.39</v>
      </c>
      <c r="G3264" s="149" t="n">
        <f aca="false">IF(C3264="M.O.",VLOOKUP(A3264,INSUMOS_AUX!A:F,6,0),0)</f>
        <v>0</v>
      </c>
    </row>
    <row r="3265" customFormat="false" ht="21" hidden="false" customHeight="false" outlineLevel="0" collapsed="false">
      <c r="A3265" s="154" t="n">
        <v>37372</v>
      </c>
      <c r="B3265" s="155" t="s">
        <v>1446</v>
      </c>
      <c r="C3265" s="148" t="str">
        <f aca="false">VLOOKUP($A3265,INSUMOS_AUX!$A$3:$H$813,3,0)</f>
        <v>MAT.</v>
      </c>
      <c r="D3265" s="156" t="s">
        <v>1444</v>
      </c>
      <c r="E3265" s="154" t="n">
        <v>0.1263</v>
      </c>
      <c r="F3265" s="149" t="n">
        <f aca="false">IF(C3265="MAT.",VLOOKUP(A3265,INSUMOS_AUX!$A$3:$H$813,6,0),0)</f>
        <v>1.43</v>
      </c>
      <c r="G3265" s="149" t="n">
        <f aca="false">IF(C3265="M.O.",VLOOKUP(A3265,INSUMOS_AUX!A:F,6,0),0)</f>
        <v>0</v>
      </c>
    </row>
    <row r="3266" customFormat="false" ht="21" hidden="false" customHeight="false" outlineLevel="0" collapsed="false">
      <c r="A3266" s="154" t="n">
        <v>43461</v>
      </c>
      <c r="B3266" s="155" t="s">
        <v>1482</v>
      </c>
      <c r="C3266" s="148" t="str">
        <f aca="false">VLOOKUP($A3266,INSUMOS_AUX!$A$3:$H$813,3,0)</f>
        <v>MAT.</v>
      </c>
      <c r="D3266" s="156" t="s">
        <v>1444</v>
      </c>
      <c r="E3266" s="154" t="n">
        <v>0.096</v>
      </c>
      <c r="F3266" s="149" t="n">
        <f aca="false">IF(C3266="MAT.",VLOOKUP(A3266,INSUMOS_AUX!$A$3:$H$813,6,0),0)</f>
        <v>0.31</v>
      </c>
      <c r="G3266" s="149" t="n">
        <f aca="false">IF(C3266="M.O.",VLOOKUP(A3266,INSUMOS_AUX!A:F,6,0),0)</f>
        <v>0</v>
      </c>
    </row>
    <row r="3267" customFormat="false" ht="21" hidden="false" customHeight="false" outlineLevel="0" collapsed="false">
      <c r="A3267" s="154" t="n">
        <v>43467</v>
      </c>
      <c r="B3267" s="155" t="s">
        <v>1459</v>
      </c>
      <c r="C3267" s="148" t="str">
        <f aca="false">VLOOKUP($A3267,INSUMOS_AUX!$A$3:$H$813,3,0)</f>
        <v>MAT.</v>
      </c>
      <c r="D3267" s="156" t="s">
        <v>1444</v>
      </c>
      <c r="E3267" s="154" t="n">
        <v>0.0303</v>
      </c>
      <c r="F3267" s="149" t="n">
        <f aca="false">IF(C3267="MAT.",VLOOKUP(A3267,INSUMOS_AUX!$A$3:$H$813,6,0),0)</f>
        <v>0.61</v>
      </c>
      <c r="G3267" s="149" t="n">
        <f aca="false">IF(C3267="M.O.",VLOOKUP(A3267,INSUMOS_AUX!A:F,6,0),0)</f>
        <v>0</v>
      </c>
    </row>
    <row r="3268" customFormat="false" ht="21" hidden="false" customHeight="false" outlineLevel="0" collapsed="false">
      <c r="A3268" s="154" t="n">
        <v>37373</v>
      </c>
      <c r="B3268" s="155" t="s">
        <v>1448</v>
      </c>
      <c r="C3268" s="148" t="str">
        <f aca="false">VLOOKUP($A3268,INSUMOS_AUX!$A$3:$H$813,3,0)</f>
        <v>MAT.</v>
      </c>
      <c r="D3268" s="156" t="s">
        <v>1444</v>
      </c>
      <c r="E3268" s="154" t="n">
        <v>0.1263</v>
      </c>
      <c r="F3268" s="149" t="n">
        <f aca="false">IF(C3268="MAT.",VLOOKUP(A3268,INSUMOS_AUX!$A$3:$H$813,6,0),0)</f>
        <v>0.08</v>
      </c>
      <c r="G3268" s="149" t="n">
        <f aca="false">IF(C3268="M.O.",VLOOKUP(A3268,INSUMOS_AUX!A:F,6,0),0)</f>
        <v>0</v>
      </c>
    </row>
    <row r="3269" customFormat="false" ht="21" hidden="false" customHeight="false" outlineLevel="0" collapsed="false">
      <c r="A3269" s="154" t="n">
        <v>37371</v>
      </c>
      <c r="B3269" s="155" t="s">
        <v>1449</v>
      </c>
      <c r="C3269" s="148" t="str">
        <f aca="false">VLOOKUP($A3269,INSUMOS_AUX!$A$3:$H$813,3,0)</f>
        <v>MAT.</v>
      </c>
      <c r="D3269" s="156" t="s">
        <v>1444</v>
      </c>
      <c r="E3269" s="154" t="n">
        <v>0.1263</v>
      </c>
      <c r="F3269" s="149" t="n">
        <f aca="false">IF(C3269="MAT.",VLOOKUP(A3269,INSUMOS_AUX!$A$3:$H$813,6,0),0)</f>
        <v>0.59</v>
      </c>
      <c r="G3269" s="149" t="n">
        <f aca="false">IF(C3269="M.O.",VLOOKUP(A3269,INSUMOS_AUX!A:F,6,0),0)</f>
        <v>0</v>
      </c>
    </row>
    <row r="3270" customFormat="false" ht="15" hidden="false" customHeight="false" outlineLevel="0" collapsed="false">
      <c r="A3270" s="154" t="n">
        <v>3146</v>
      </c>
      <c r="B3270" s="155" t="s">
        <v>2016</v>
      </c>
      <c r="C3270" s="148" t="str">
        <f aca="false">VLOOKUP($A3270,INSUMOS_AUX!$A$3:$H$813,3,0)</f>
        <v>MAT.</v>
      </c>
      <c r="D3270" s="156" t="s">
        <v>31</v>
      </c>
      <c r="E3270" s="154" t="n">
        <v>0.021</v>
      </c>
      <c r="F3270" s="149" t="n">
        <f aca="false">IF(C3270="MAT.",VLOOKUP(A3270,INSUMOS_AUX!$A$3:$H$813,6,0),0)</f>
        <v>3.8</v>
      </c>
      <c r="G3270" s="149" t="n">
        <f aca="false">IF(C3270="M.O.",VLOOKUP(A3270,INSUMOS_AUX!A:F,6,0),0)</f>
        <v>0</v>
      </c>
    </row>
    <row r="3271" customFormat="false" ht="21" hidden="false" customHeight="false" outlineLevel="0" collapsed="false">
      <c r="A3271" s="154" t="n">
        <v>36796</v>
      </c>
      <c r="B3271" s="155" t="s">
        <v>2039</v>
      </c>
      <c r="C3271" s="148" t="str">
        <f aca="false">VLOOKUP($A3271,INSUMOS_AUX!$A$3:$H$813,3,0)</f>
        <v>MAT.</v>
      </c>
      <c r="D3271" s="156" t="s">
        <v>31</v>
      </c>
      <c r="E3271" s="154" t="n">
        <v>1</v>
      </c>
      <c r="F3271" s="149" t="n">
        <f aca="false">IF(C3271="MAT.",VLOOKUP(A3271,INSUMOS_AUX!$A$3:$H$813,6,0),0)</f>
        <v>170.26</v>
      </c>
      <c r="G3271" s="149" t="n">
        <f aca="false">IF(C3271="M.O.",VLOOKUP(A3271,INSUMOS_AUX!A:F,6,0),0)</f>
        <v>0</v>
      </c>
    </row>
    <row r="3272" customFormat="false" ht="15" hidden="false" customHeight="false" outlineLevel="0" collapsed="false">
      <c r="A3272" s="154" t="n">
        <v>2696</v>
      </c>
      <c r="B3272" s="155" t="s">
        <v>1483</v>
      </c>
      <c r="C3272" s="148" t="str">
        <f aca="false">VLOOKUP($A3272,INSUMOS_AUX!$A$3:$H$813,3,0)</f>
        <v>M.O.</v>
      </c>
      <c r="D3272" s="156" t="s">
        <v>1444</v>
      </c>
      <c r="E3272" s="154" t="n">
        <v>0.09772608</v>
      </c>
      <c r="F3272" s="149" t="n">
        <f aca="false">IF(C3272="MAT.",VLOOKUP(A3272,INSUMOS_AUX!$A$3:$H$813,6,0),0)</f>
        <v>0</v>
      </c>
      <c r="G3272" s="149" t="n">
        <f aca="false">IF(C3272="M.O.",VLOOKUP(A3272,INSUMOS_AUX!A:F,6,0),0)</f>
        <v>20.22</v>
      </c>
    </row>
    <row r="3273" customFormat="false" ht="15" hidden="false" customHeight="false" outlineLevel="0" collapsed="false">
      <c r="A3273" s="154" t="n">
        <v>6111</v>
      </c>
      <c r="B3273" s="155" t="s">
        <v>1464</v>
      </c>
      <c r="C3273" s="148" t="s">
        <v>59</v>
      </c>
      <c r="D3273" s="156" t="s">
        <v>1444</v>
      </c>
      <c r="E3273" s="154" t="n">
        <v>0.03094236</v>
      </c>
      <c r="F3273" s="149" t="n">
        <f aca="false">IF(C3273="MAT.",VLOOKUP(A3273,INSUMOS_AUX!$A$3:$H$813,6,0),0)</f>
        <v>0</v>
      </c>
      <c r="G3273" s="149" t="n">
        <f aca="false">IF(C3273="M.O.",VLOOKUP(A3273,INSUMOS_AUX!A:F,6,0),0)</f>
        <v>0</v>
      </c>
    </row>
    <row r="3274" customFormat="false" ht="21" hidden="false" customHeight="false" outlineLevel="0" collapsed="false">
      <c r="A3274" s="150" t="s">
        <v>629</v>
      </c>
      <c r="B3274" s="151" t="s">
        <v>2040</v>
      </c>
      <c r="C3274" s="152" t="s">
        <v>59</v>
      </c>
      <c r="D3274" s="152" t="s">
        <v>1477</v>
      </c>
      <c r="E3274" s="150"/>
      <c r="F3274" s="153" t="n">
        <f aca="false">(SUMPRODUCT($E3275:$E3287,F3275:F3287))*1</f>
        <v>580.59199</v>
      </c>
      <c r="G3274" s="153" t="n">
        <f aca="false">(SUMPRODUCT($E3275:$E3287,G3275:G3287))*1</f>
        <v>13.4522877112</v>
      </c>
    </row>
    <row r="3275" customFormat="false" ht="21" hidden="false" customHeight="false" outlineLevel="0" collapsed="false">
      <c r="A3275" s="154" t="n">
        <v>37370</v>
      </c>
      <c r="B3275" s="155" t="s">
        <v>1443</v>
      </c>
      <c r="C3275" s="148" t="str">
        <f aca="false">VLOOKUP($A3275,INSUMOS_AUX!$A$3:$H$813,3,0)</f>
        <v>MAT.</v>
      </c>
      <c r="D3275" s="156" t="s">
        <v>1444</v>
      </c>
      <c r="E3275" s="154" t="n">
        <v>1.501</v>
      </c>
      <c r="F3275" s="149" t="n">
        <f aca="false">IF(C3275="MAT.",VLOOKUP(A3275,INSUMOS_AUX!$A$3:$H$813,6,0),0)</f>
        <v>3.32</v>
      </c>
      <c r="G3275" s="149" t="n">
        <f aca="false">IF(C3275="M.O.",VLOOKUP(A3275,INSUMOS_AUX!A:F,6,0),0)</f>
        <v>0</v>
      </c>
    </row>
    <row r="3276" customFormat="false" ht="21" hidden="false" customHeight="false" outlineLevel="0" collapsed="false">
      <c r="A3276" s="154" t="n">
        <v>43489</v>
      </c>
      <c r="B3276" s="155" t="s">
        <v>1456</v>
      </c>
      <c r="C3276" s="148" t="str">
        <f aca="false">VLOOKUP($A3276,INSUMOS_AUX!$A$3:$H$813,3,0)</f>
        <v>MAT.</v>
      </c>
      <c r="D3276" s="156" t="s">
        <v>1444</v>
      </c>
      <c r="E3276" s="154" t="n">
        <v>0.761</v>
      </c>
      <c r="F3276" s="149" t="n">
        <f aca="false">IF(C3276="MAT.",VLOOKUP(A3276,INSUMOS_AUX!$A$3:$H$813,6,0),0)</f>
        <v>1.31</v>
      </c>
      <c r="G3276" s="149" t="n">
        <f aca="false">IF(C3276="M.O.",VLOOKUP(A3276,INSUMOS_AUX!A:F,6,0),0)</f>
        <v>0</v>
      </c>
    </row>
    <row r="3277" customFormat="false" ht="21" hidden="false" customHeight="false" outlineLevel="0" collapsed="false">
      <c r="A3277" s="154" t="n">
        <v>43491</v>
      </c>
      <c r="B3277" s="155" t="s">
        <v>1457</v>
      </c>
      <c r="C3277" s="148" t="str">
        <f aca="false">VLOOKUP($A3277,INSUMOS_AUX!$A$3:$H$813,3,0)</f>
        <v>MAT.</v>
      </c>
      <c r="D3277" s="156" t="s">
        <v>1444</v>
      </c>
      <c r="E3277" s="154" t="n">
        <v>0.74</v>
      </c>
      <c r="F3277" s="149" t="n">
        <f aca="false">IF(C3277="MAT.",VLOOKUP(A3277,INSUMOS_AUX!$A$3:$H$813,6,0),0)</f>
        <v>1.39</v>
      </c>
      <c r="G3277" s="149" t="n">
        <f aca="false">IF(C3277="M.O.",VLOOKUP(A3277,INSUMOS_AUX!A:F,6,0),0)</f>
        <v>0</v>
      </c>
    </row>
    <row r="3278" customFormat="false" ht="21" hidden="false" customHeight="false" outlineLevel="0" collapsed="false">
      <c r="A3278" s="154" t="n">
        <v>37372</v>
      </c>
      <c r="B3278" s="155" t="s">
        <v>1446</v>
      </c>
      <c r="C3278" s="148" t="str">
        <f aca="false">VLOOKUP($A3278,INSUMOS_AUX!$A$3:$H$813,3,0)</f>
        <v>MAT.</v>
      </c>
      <c r="D3278" s="156" t="s">
        <v>1444</v>
      </c>
      <c r="E3278" s="154" t="n">
        <v>1.501</v>
      </c>
      <c r="F3278" s="149" t="n">
        <f aca="false">IF(C3278="MAT.",VLOOKUP(A3278,INSUMOS_AUX!$A$3:$H$813,6,0),0)</f>
        <v>1.43</v>
      </c>
      <c r="G3278" s="149" t="n">
        <f aca="false">IF(C3278="M.O.",VLOOKUP(A3278,INSUMOS_AUX!A:F,6,0),0)</f>
        <v>0</v>
      </c>
    </row>
    <row r="3279" customFormat="false" ht="21" hidden="false" customHeight="false" outlineLevel="0" collapsed="false">
      <c r="A3279" s="154" t="n">
        <v>43465</v>
      </c>
      <c r="B3279" s="155" t="s">
        <v>1458</v>
      </c>
      <c r="C3279" s="148" t="str">
        <f aca="false">VLOOKUP($A3279,INSUMOS_AUX!$A$3:$H$813,3,0)</f>
        <v>MAT.</v>
      </c>
      <c r="D3279" s="156" t="s">
        <v>1444</v>
      </c>
      <c r="E3279" s="154" t="n">
        <v>0.761</v>
      </c>
      <c r="F3279" s="149" t="n">
        <f aca="false">IF(C3279="MAT.",VLOOKUP(A3279,INSUMOS_AUX!$A$3:$H$813,6,0),0)</f>
        <v>0.78</v>
      </c>
      <c r="G3279" s="149" t="n">
        <f aca="false">IF(C3279="M.O.",VLOOKUP(A3279,INSUMOS_AUX!A:F,6,0),0)</f>
        <v>0</v>
      </c>
    </row>
    <row r="3280" customFormat="false" ht="21" hidden="false" customHeight="false" outlineLevel="0" collapsed="false">
      <c r="A3280" s="154" t="n">
        <v>43467</v>
      </c>
      <c r="B3280" s="155" t="s">
        <v>1459</v>
      </c>
      <c r="C3280" s="148" t="str">
        <f aca="false">VLOOKUP($A3280,INSUMOS_AUX!$A$3:$H$813,3,0)</f>
        <v>MAT.</v>
      </c>
      <c r="D3280" s="156" t="s">
        <v>1444</v>
      </c>
      <c r="E3280" s="154" t="n">
        <v>0.74</v>
      </c>
      <c r="F3280" s="149" t="n">
        <f aca="false">IF(C3280="MAT.",VLOOKUP(A3280,INSUMOS_AUX!$A$3:$H$813,6,0),0)</f>
        <v>0.61</v>
      </c>
      <c r="G3280" s="149" t="n">
        <f aca="false">IF(C3280="M.O.",VLOOKUP(A3280,INSUMOS_AUX!A:F,6,0),0)</f>
        <v>0</v>
      </c>
    </row>
    <row r="3281" customFormat="false" ht="21" hidden="false" customHeight="false" outlineLevel="0" collapsed="false">
      <c r="A3281" s="154" t="n">
        <v>37373</v>
      </c>
      <c r="B3281" s="155" t="s">
        <v>1448</v>
      </c>
      <c r="C3281" s="148" t="str">
        <f aca="false">VLOOKUP($A3281,INSUMOS_AUX!$A$3:$H$813,3,0)</f>
        <v>MAT.</v>
      </c>
      <c r="D3281" s="156" t="s">
        <v>1444</v>
      </c>
      <c r="E3281" s="154" t="n">
        <v>1.501</v>
      </c>
      <c r="F3281" s="149" t="n">
        <f aca="false">IF(C3281="MAT.",VLOOKUP(A3281,INSUMOS_AUX!$A$3:$H$813,6,0),0)</f>
        <v>0.08</v>
      </c>
      <c r="G3281" s="149" t="n">
        <f aca="false">IF(C3281="M.O.",VLOOKUP(A3281,INSUMOS_AUX!A:F,6,0),0)</f>
        <v>0</v>
      </c>
    </row>
    <row r="3282" customFormat="false" ht="21" hidden="false" customHeight="false" outlineLevel="0" collapsed="false">
      <c r="A3282" s="154" t="n">
        <v>37371</v>
      </c>
      <c r="B3282" s="155" t="s">
        <v>1449</v>
      </c>
      <c r="C3282" s="148" t="str">
        <f aca="false">VLOOKUP($A3282,INSUMOS_AUX!$A$3:$H$813,3,0)</f>
        <v>MAT.</v>
      </c>
      <c r="D3282" s="156" t="s">
        <v>1444</v>
      </c>
      <c r="E3282" s="154" t="n">
        <v>1.501</v>
      </c>
      <c r="F3282" s="149" t="n">
        <f aca="false">IF(C3282="MAT.",VLOOKUP(A3282,INSUMOS_AUX!$A$3:$H$813,6,0),0)</f>
        <v>0.59</v>
      </c>
      <c r="G3282" s="149" t="n">
        <f aca="false">IF(C3282="M.O.",VLOOKUP(A3282,INSUMOS_AUX!A:F,6,0),0)</f>
        <v>0</v>
      </c>
    </row>
    <row r="3283" customFormat="false" ht="15" hidden="false" customHeight="false" outlineLevel="0" collapsed="false">
      <c r="A3283" s="154" t="s">
        <v>2041</v>
      </c>
      <c r="B3283" s="155" t="s">
        <v>2042</v>
      </c>
      <c r="C3283" s="148" t="str">
        <f aca="false">VLOOKUP($A3283,INSUMOS_AUX!$A$3:$H$813,3,0)</f>
        <v>MAT.</v>
      </c>
      <c r="D3283" s="156" t="s">
        <v>31</v>
      </c>
      <c r="E3283" s="154" t="n">
        <v>9.696</v>
      </c>
      <c r="F3283" s="149" t="n">
        <f aca="false">IF(C3283="MAT.",VLOOKUP(A3283,INSUMOS_AUX!$A$3:$H$813,6,0),0)</f>
        <v>21.9333333333333</v>
      </c>
      <c r="G3283" s="149" t="n">
        <f aca="false">IF(C3283="M.O.",VLOOKUP(A3283,INSUMOS_AUX!A:F,6,0),0)</f>
        <v>0</v>
      </c>
    </row>
    <row r="3284" customFormat="false" ht="15" hidden="false" customHeight="false" outlineLevel="0" collapsed="false">
      <c r="A3284" s="154" t="n">
        <v>4375</v>
      </c>
      <c r="B3284" s="155" t="s">
        <v>2043</v>
      </c>
      <c r="C3284" s="148" t="str">
        <f aca="false">VLOOKUP($A3284,INSUMOS_AUX!$A$3:$H$813,3,0)</f>
        <v>MAT.</v>
      </c>
      <c r="D3284" s="156" t="s">
        <v>31</v>
      </c>
      <c r="E3284" s="154" t="n">
        <v>9.696</v>
      </c>
      <c r="F3284" s="149" t="n">
        <f aca="false">IF(C3284="MAT.",VLOOKUP(A3284,INSUMOS_AUX!$A$3:$H$813,6,0),0)</f>
        <v>0.13</v>
      </c>
      <c r="G3284" s="149" t="n">
        <f aca="false">IF(C3284="M.O.",VLOOKUP(A3284,INSUMOS_AUX!A:F,6,0),0)</f>
        <v>0</v>
      </c>
    </row>
    <row r="3285" customFormat="false" ht="15" hidden="false" customHeight="false" outlineLevel="0" collapsed="false">
      <c r="A3285" s="154" t="n">
        <v>11186</v>
      </c>
      <c r="B3285" s="155" t="s">
        <v>2044</v>
      </c>
      <c r="C3285" s="148" t="str">
        <f aca="false">VLOOKUP($A3285,INSUMOS_AUX!$A$3:$H$813,3,0)</f>
        <v>MAT.</v>
      </c>
      <c r="D3285" s="156" t="s">
        <v>1477</v>
      </c>
      <c r="E3285" s="154" t="n">
        <v>1</v>
      </c>
      <c r="F3285" s="149" t="n">
        <f aca="false">IF(C3285="MAT.",VLOOKUP(A3285,INSUMOS_AUX!$A$3:$H$813,6,0),0)</f>
        <v>355.46</v>
      </c>
      <c r="G3285" s="149" t="n">
        <f aca="false">IF(C3285="M.O.",VLOOKUP(A3285,INSUMOS_AUX!A:F,6,0),0)</f>
        <v>0</v>
      </c>
    </row>
    <row r="3286" customFormat="false" ht="15" hidden="false" customHeight="false" outlineLevel="0" collapsed="false">
      <c r="A3286" s="154" t="n">
        <v>6111</v>
      </c>
      <c r="B3286" s="155" t="s">
        <v>1464</v>
      </c>
      <c r="C3286" s="148" t="s">
        <v>59</v>
      </c>
      <c r="D3286" s="156" t="s">
        <v>1444</v>
      </c>
      <c r="E3286" s="154" t="n">
        <v>0.755688</v>
      </c>
      <c r="F3286" s="149" t="n">
        <f aca="false">IF(C3286="MAT.",VLOOKUP(A3286,INSUMOS_AUX!$A$3:$H$813,6,0),0)</f>
        <v>0</v>
      </c>
      <c r="G3286" s="149" t="n">
        <f aca="false">IF(C3286="M.O.",VLOOKUP(A3286,INSUMOS_AUX!A:F,6,0),0)</f>
        <v>0</v>
      </c>
    </row>
    <row r="3287" customFormat="false" ht="15" hidden="false" customHeight="false" outlineLevel="0" collapsed="false">
      <c r="A3287" s="154" t="n">
        <v>10489</v>
      </c>
      <c r="B3287" s="155" t="s">
        <v>1779</v>
      </c>
      <c r="C3287" s="148" t="str">
        <f aca="false">VLOOKUP($A3287,INSUMOS_AUX!$A$3:$H$813,3,0)</f>
        <v>M.O.</v>
      </c>
      <c r="D3287" s="156" t="s">
        <v>1444</v>
      </c>
      <c r="E3287" s="154" t="n">
        <v>0.77223236</v>
      </c>
      <c r="F3287" s="149" t="n">
        <f aca="false">IF(C3287="MAT.",VLOOKUP(A3287,INSUMOS_AUX!$A$3:$H$813,6,0),0)</f>
        <v>0</v>
      </c>
      <c r="G3287" s="149" t="n">
        <f aca="false">IF(C3287="M.O.",VLOOKUP(A3287,INSUMOS_AUX!A:F,6,0),0)</f>
        <v>17.42</v>
      </c>
    </row>
    <row r="3288" customFormat="false" ht="21" hidden="false" customHeight="false" outlineLevel="0" collapsed="false">
      <c r="A3288" s="150" t="n">
        <v>95547</v>
      </c>
      <c r="B3288" s="151" t="s">
        <v>2045</v>
      </c>
      <c r="C3288" s="152" t="s">
        <v>59</v>
      </c>
      <c r="D3288" s="152" t="s">
        <v>31</v>
      </c>
      <c r="E3288" s="150"/>
      <c r="F3288" s="153" t="n">
        <f aca="false">(SUMPRODUCT($E3289:$E3299,F3289:F3299))*1</f>
        <v>99.308164</v>
      </c>
      <c r="G3288" s="153" t="n">
        <f aca="false">(SUMPRODUCT($E3289:$E3299,G3289:G3299))*1</f>
        <v>1.317164184</v>
      </c>
    </row>
    <row r="3289" customFormat="false" ht="21" hidden="false" customHeight="false" outlineLevel="0" collapsed="false">
      <c r="A3289" s="154" t="n">
        <v>37370</v>
      </c>
      <c r="B3289" s="155" t="s">
        <v>1443</v>
      </c>
      <c r="C3289" s="148" t="str">
        <f aca="false">VLOOKUP($A3289,INSUMOS_AUX!$A$3:$H$813,3,0)</f>
        <v>MAT.</v>
      </c>
      <c r="D3289" s="156" t="s">
        <v>1444</v>
      </c>
      <c r="E3289" s="154" t="n">
        <v>0.4158</v>
      </c>
      <c r="F3289" s="149" t="n">
        <f aca="false">IF(C3289="MAT.",VLOOKUP(A3289,INSUMOS_AUX!$A$3:$H$813,6,0),0)</f>
        <v>3.32</v>
      </c>
      <c r="G3289" s="149" t="n">
        <f aca="false">IF(C3289="M.O.",VLOOKUP(A3289,INSUMOS_AUX!A:F,6,0),0)</f>
        <v>0</v>
      </c>
    </row>
    <row r="3290" customFormat="false" ht="21" hidden="false" customHeight="false" outlineLevel="0" collapsed="false">
      <c r="A3290" s="154" t="n">
        <v>43485</v>
      </c>
      <c r="B3290" s="155" t="s">
        <v>1481</v>
      </c>
      <c r="C3290" s="148" t="str">
        <f aca="false">VLOOKUP($A3290,INSUMOS_AUX!$A$3:$H$813,3,0)</f>
        <v>MAT.</v>
      </c>
      <c r="D3290" s="156" t="s">
        <v>1444</v>
      </c>
      <c r="E3290" s="154" t="n">
        <v>0.3162</v>
      </c>
      <c r="F3290" s="149" t="n">
        <f aca="false">IF(C3290="MAT.",VLOOKUP(A3290,INSUMOS_AUX!$A$3:$H$813,6,0),0)</f>
        <v>1.13</v>
      </c>
      <c r="G3290" s="149" t="n">
        <f aca="false">IF(C3290="M.O.",VLOOKUP(A3290,INSUMOS_AUX!A:F,6,0),0)</f>
        <v>0</v>
      </c>
    </row>
    <row r="3291" customFormat="false" ht="21" hidden="false" customHeight="false" outlineLevel="0" collapsed="false">
      <c r="A3291" s="154" t="n">
        <v>43491</v>
      </c>
      <c r="B3291" s="155" t="s">
        <v>1457</v>
      </c>
      <c r="C3291" s="148" t="str">
        <f aca="false">VLOOKUP($A3291,INSUMOS_AUX!$A$3:$H$813,3,0)</f>
        <v>MAT.</v>
      </c>
      <c r="D3291" s="156" t="s">
        <v>1444</v>
      </c>
      <c r="E3291" s="154" t="n">
        <v>0.0996</v>
      </c>
      <c r="F3291" s="149" t="n">
        <f aca="false">IF(C3291="MAT.",VLOOKUP(A3291,INSUMOS_AUX!$A$3:$H$813,6,0),0)</f>
        <v>1.39</v>
      </c>
      <c r="G3291" s="149" t="n">
        <f aca="false">IF(C3291="M.O.",VLOOKUP(A3291,INSUMOS_AUX!A:F,6,0),0)</f>
        <v>0</v>
      </c>
    </row>
    <row r="3292" customFormat="false" ht="21" hidden="false" customHeight="false" outlineLevel="0" collapsed="false">
      <c r="A3292" s="154" t="n">
        <v>37372</v>
      </c>
      <c r="B3292" s="155" t="s">
        <v>1446</v>
      </c>
      <c r="C3292" s="148" t="str">
        <f aca="false">VLOOKUP($A3292,INSUMOS_AUX!$A$3:$H$813,3,0)</f>
        <v>MAT.</v>
      </c>
      <c r="D3292" s="156" t="s">
        <v>1444</v>
      </c>
      <c r="E3292" s="154" t="n">
        <v>0.4158</v>
      </c>
      <c r="F3292" s="149" t="n">
        <f aca="false">IF(C3292="MAT.",VLOOKUP(A3292,INSUMOS_AUX!$A$3:$H$813,6,0),0)</f>
        <v>1.43</v>
      </c>
      <c r="G3292" s="149" t="n">
        <f aca="false">IF(C3292="M.O.",VLOOKUP(A3292,INSUMOS_AUX!A:F,6,0),0)</f>
        <v>0</v>
      </c>
    </row>
    <row r="3293" customFormat="false" ht="21" hidden="false" customHeight="false" outlineLevel="0" collapsed="false">
      <c r="A3293" s="154" t="n">
        <v>43461</v>
      </c>
      <c r="B3293" s="155" t="s">
        <v>1482</v>
      </c>
      <c r="C3293" s="148" t="str">
        <f aca="false">VLOOKUP($A3293,INSUMOS_AUX!$A$3:$H$813,3,0)</f>
        <v>MAT.</v>
      </c>
      <c r="D3293" s="156" t="s">
        <v>1444</v>
      </c>
      <c r="E3293" s="154" t="n">
        <v>0.3162</v>
      </c>
      <c r="F3293" s="149" t="n">
        <f aca="false">IF(C3293="MAT.",VLOOKUP(A3293,INSUMOS_AUX!$A$3:$H$813,6,0),0)</f>
        <v>0.31</v>
      </c>
      <c r="G3293" s="149" t="n">
        <f aca="false">IF(C3293="M.O.",VLOOKUP(A3293,INSUMOS_AUX!A:F,6,0),0)</f>
        <v>0</v>
      </c>
    </row>
    <row r="3294" customFormat="false" ht="21" hidden="false" customHeight="false" outlineLevel="0" collapsed="false">
      <c r="A3294" s="154" t="n">
        <v>43467</v>
      </c>
      <c r="B3294" s="155" t="s">
        <v>1459</v>
      </c>
      <c r="C3294" s="148" t="str">
        <f aca="false">VLOOKUP($A3294,INSUMOS_AUX!$A$3:$H$813,3,0)</f>
        <v>MAT.</v>
      </c>
      <c r="D3294" s="156" t="s">
        <v>1444</v>
      </c>
      <c r="E3294" s="154" t="n">
        <v>0.0996</v>
      </c>
      <c r="F3294" s="149" t="n">
        <f aca="false">IF(C3294="MAT.",VLOOKUP(A3294,INSUMOS_AUX!$A$3:$H$813,6,0),0)</f>
        <v>0.61</v>
      </c>
      <c r="G3294" s="149" t="n">
        <f aca="false">IF(C3294="M.O.",VLOOKUP(A3294,INSUMOS_AUX!A:F,6,0),0)</f>
        <v>0</v>
      </c>
    </row>
    <row r="3295" customFormat="false" ht="21" hidden="false" customHeight="false" outlineLevel="0" collapsed="false">
      <c r="A3295" s="154" t="n">
        <v>37373</v>
      </c>
      <c r="B3295" s="155" t="s">
        <v>1448</v>
      </c>
      <c r="C3295" s="148" t="str">
        <f aca="false">VLOOKUP($A3295,INSUMOS_AUX!$A$3:$H$813,3,0)</f>
        <v>MAT.</v>
      </c>
      <c r="D3295" s="156" t="s">
        <v>1444</v>
      </c>
      <c r="E3295" s="154" t="n">
        <v>0.4158</v>
      </c>
      <c r="F3295" s="149" t="n">
        <f aca="false">IF(C3295="MAT.",VLOOKUP(A3295,INSUMOS_AUX!$A$3:$H$813,6,0),0)</f>
        <v>0.08</v>
      </c>
      <c r="G3295" s="149" t="n">
        <f aca="false">IF(C3295="M.O.",VLOOKUP(A3295,INSUMOS_AUX!A:F,6,0),0)</f>
        <v>0</v>
      </c>
    </row>
    <row r="3296" customFormat="false" ht="21" hidden="false" customHeight="false" outlineLevel="0" collapsed="false">
      <c r="A3296" s="154" t="n">
        <v>37371</v>
      </c>
      <c r="B3296" s="155" t="s">
        <v>1449</v>
      </c>
      <c r="C3296" s="148" t="str">
        <f aca="false">VLOOKUP($A3296,INSUMOS_AUX!$A$3:$H$813,3,0)</f>
        <v>MAT.</v>
      </c>
      <c r="D3296" s="156" t="s">
        <v>1444</v>
      </c>
      <c r="E3296" s="154" t="n">
        <v>0.4158</v>
      </c>
      <c r="F3296" s="149" t="n">
        <f aca="false">IF(C3296="MAT.",VLOOKUP(A3296,INSUMOS_AUX!$A$3:$H$813,6,0),0)</f>
        <v>0.59</v>
      </c>
      <c r="G3296" s="149" t="n">
        <f aca="false">IF(C3296="M.O.",VLOOKUP(A3296,INSUMOS_AUX!A:F,6,0),0)</f>
        <v>0</v>
      </c>
    </row>
    <row r="3297" customFormat="false" ht="21" hidden="false" customHeight="false" outlineLevel="0" collapsed="false">
      <c r="A3297" s="154" t="n">
        <v>11758</v>
      </c>
      <c r="B3297" s="155" t="s">
        <v>2046</v>
      </c>
      <c r="C3297" s="148" t="str">
        <f aca="false">VLOOKUP($A3297,INSUMOS_AUX!$A$3:$H$813,3,0)</f>
        <v>MAT.</v>
      </c>
      <c r="D3297" s="156" t="s">
        <v>31</v>
      </c>
      <c r="E3297" s="154" t="n">
        <v>1</v>
      </c>
      <c r="F3297" s="149" t="n">
        <f aca="false">IF(C3297="MAT.",VLOOKUP(A3297,INSUMOS_AUX!$A$3:$H$813,6,0),0)</f>
        <v>96.4</v>
      </c>
      <c r="G3297" s="149" t="n">
        <f aca="false">IF(C3297="M.O.",VLOOKUP(A3297,INSUMOS_AUX!A:F,6,0),0)</f>
        <v>0</v>
      </c>
    </row>
    <row r="3298" customFormat="false" ht="15" hidden="false" customHeight="false" outlineLevel="0" collapsed="false">
      <c r="A3298" s="154" t="n">
        <v>2696</v>
      </c>
      <c r="B3298" s="155" t="s">
        <v>1483</v>
      </c>
      <c r="C3298" s="148" t="s">
        <v>59</v>
      </c>
      <c r="D3298" s="156" t="s">
        <v>1444</v>
      </c>
      <c r="E3298" s="154" t="n">
        <v>0.321885276</v>
      </c>
      <c r="F3298" s="149" t="n">
        <f aca="false">IF(C3298="MAT.",VLOOKUP(A3298,INSUMOS_AUX!$A$3:$H$813,6,0),0)</f>
        <v>0</v>
      </c>
      <c r="G3298" s="149" t="n">
        <f aca="false">IF(C3298="M.O.",VLOOKUP(A3298,INSUMOS_AUX!A:F,6,0),0)</f>
        <v>0</v>
      </c>
    </row>
    <row r="3299" customFormat="false" ht="15" hidden="false" customHeight="false" outlineLevel="0" collapsed="false">
      <c r="A3299" s="154" t="n">
        <v>6111</v>
      </c>
      <c r="B3299" s="155" t="s">
        <v>1464</v>
      </c>
      <c r="C3299" s="148" t="str">
        <f aca="false">VLOOKUP($A3299,INSUMOS_AUX!$A$3:$H$813,3,0)</f>
        <v>M.O.</v>
      </c>
      <c r="D3299" s="156" t="s">
        <v>1444</v>
      </c>
      <c r="E3299" s="154" t="n">
        <v>0.10171152</v>
      </c>
      <c r="F3299" s="149" t="n">
        <f aca="false">IF(C3299="MAT.",VLOOKUP(A3299,INSUMOS_AUX!$A$3:$H$813,6,0),0)</f>
        <v>0</v>
      </c>
      <c r="G3299" s="149" t="n">
        <f aca="false">IF(C3299="M.O.",VLOOKUP(A3299,INSUMOS_AUX!A:F,6,0),0)</f>
        <v>12.95</v>
      </c>
    </row>
    <row r="3300" customFormat="false" ht="21" hidden="false" customHeight="false" outlineLevel="0" collapsed="false">
      <c r="A3300" s="150" t="s">
        <v>632</v>
      </c>
      <c r="B3300" s="151" t="s">
        <v>2047</v>
      </c>
      <c r="C3300" s="152" t="s">
        <v>59</v>
      </c>
      <c r="D3300" s="152" t="s">
        <v>31</v>
      </c>
      <c r="E3300" s="150"/>
      <c r="F3300" s="153" t="n">
        <f aca="false">(SUMPRODUCT($E3301:$E3308,F3301:F3308))*1</f>
        <v>103.445236</v>
      </c>
      <c r="G3300" s="153" t="n">
        <f aca="false">(SUMPRODUCT($E3301:$E3308,G3301:G3308))*1</f>
        <v>5.498763732</v>
      </c>
    </row>
    <row r="3301" customFormat="false" ht="21" hidden="false" customHeight="false" outlineLevel="0" collapsed="false">
      <c r="A3301" s="154" t="n">
        <v>37370</v>
      </c>
      <c r="B3301" s="155" t="s">
        <v>1443</v>
      </c>
      <c r="C3301" s="148" t="str">
        <f aca="false">VLOOKUP($A3301,INSUMOS_AUX!$A$3:$H$813,3,0)</f>
        <v>MAT.</v>
      </c>
      <c r="D3301" s="156" t="s">
        <v>1444</v>
      </c>
      <c r="E3301" s="154" t="n">
        <v>0.4158</v>
      </c>
      <c r="F3301" s="149" t="n">
        <f aca="false">IF(C3301="MAT.",VLOOKUP(A3301,INSUMOS_AUX!$A$3:$H$813,6,0),0)</f>
        <v>3.32</v>
      </c>
      <c r="G3301" s="149" t="n">
        <f aca="false">IF(C3301="M.O.",VLOOKUP(A3301,INSUMOS_AUX!A:F,6,0),0)</f>
        <v>0</v>
      </c>
    </row>
    <row r="3302" customFormat="false" ht="21" hidden="false" customHeight="false" outlineLevel="0" collapsed="false">
      <c r="A3302" s="154" t="n">
        <v>43491</v>
      </c>
      <c r="B3302" s="155" t="s">
        <v>1457</v>
      </c>
      <c r="C3302" s="148" t="str">
        <f aca="false">VLOOKUP($A3302,INSUMOS_AUX!$A$3:$H$813,3,0)</f>
        <v>MAT.</v>
      </c>
      <c r="D3302" s="156" t="s">
        <v>1444</v>
      </c>
      <c r="E3302" s="154" t="n">
        <v>0.4158</v>
      </c>
      <c r="F3302" s="149" t="n">
        <f aca="false">IF(C3302="MAT.",VLOOKUP(A3302,INSUMOS_AUX!$A$3:$H$813,6,0),0)</f>
        <v>1.39</v>
      </c>
      <c r="G3302" s="149" t="n">
        <f aca="false">IF(C3302="M.O.",VLOOKUP(A3302,INSUMOS_AUX!A:F,6,0),0)</f>
        <v>0</v>
      </c>
    </row>
    <row r="3303" customFormat="false" ht="21" hidden="false" customHeight="false" outlineLevel="0" collapsed="false">
      <c r="A3303" s="154" t="n">
        <v>37372</v>
      </c>
      <c r="B3303" s="155" t="s">
        <v>1446</v>
      </c>
      <c r="C3303" s="148" t="str">
        <f aca="false">VLOOKUP($A3303,INSUMOS_AUX!$A$3:$H$813,3,0)</f>
        <v>MAT.</v>
      </c>
      <c r="D3303" s="156" t="s">
        <v>1444</v>
      </c>
      <c r="E3303" s="154" t="n">
        <v>0.4158</v>
      </c>
      <c r="F3303" s="149" t="n">
        <f aca="false">IF(C3303="MAT.",VLOOKUP(A3303,INSUMOS_AUX!$A$3:$H$813,6,0),0)</f>
        <v>1.43</v>
      </c>
      <c r="G3303" s="149" t="n">
        <f aca="false">IF(C3303="M.O.",VLOOKUP(A3303,INSUMOS_AUX!A:F,6,0),0)</f>
        <v>0</v>
      </c>
    </row>
    <row r="3304" customFormat="false" ht="21" hidden="false" customHeight="false" outlineLevel="0" collapsed="false">
      <c r="A3304" s="154" t="n">
        <v>43467</v>
      </c>
      <c r="B3304" s="155" t="s">
        <v>1459</v>
      </c>
      <c r="C3304" s="148" t="str">
        <f aca="false">VLOOKUP($A3304,INSUMOS_AUX!$A$3:$H$813,3,0)</f>
        <v>MAT.</v>
      </c>
      <c r="D3304" s="156" t="s">
        <v>1444</v>
      </c>
      <c r="E3304" s="154" t="n">
        <v>0.4158</v>
      </c>
      <c r="F3304" s="149" t="n">
        <f aca="false">IF(C3304="MAT.",VLOOKUP(A3304,INSUMOS_AUX!$A$3:$H$813,6,0),0)</f>
        <v>0.61</v>
      </c>
      <c r="G3304" s="149" t="n">
        <f aca="false">IF(C3304="M.O.",VLOOKUP(A3304,INSUMOS_AUX!A:F,6,0),0)</f>
        <v>0</v>
      </c>
    </row>
    <row r="3305" customFormat="false" ht="21" hidden="false" customHeight="false" outlineLevel="0" collapsed="false">
      <c r="A3305" s="154" t="n">
        <v>37373</v>
      </c>
      <c r="B3305" s="155" t="s">
        <v>1448</v>
      </c>
      <c r="C3305" s="148" t="str">
        <f aca="false">VLOOKUP($A3305,INSUMOS_AUX!$A$3:$H$813,3,0)</f>
        <v>MAT.</v>
      </c>
      <c r="D3305" s="156" t="s">
        <v>1444</v>
      </c>
      <c r="E3305" s="154" t="n">
        <v>0.4158</v>
      </c>
      <c r="F3305" s="149" t="n">
        <f aca="false">IF(C3305="MAT.",VLOOKUP(A3305,INSUMOS_AUX!$A$3:$H$813,6,0),0)</f>
        <v>0.08</v>
      </c>
      <c r="G3305" s="149" t="n">
        <f aca="false">IF(C3305="M.O.",VLOOKUP(A3305,INSUMOS_AUX!A:F,6,0),0)</f>
        <v>0</v>
      </c>
    </row>
    <row r="3306" customFormat="false" ht="21" hidden="false" customHeight="false" outlineLevel="0" collapsed="false">
      <c r="A3306" s="154" t="n">
        <v>37371</v>
      </c>
      <c r="B3306" s="155" t="s">
        <v>1449</v>
      </c>
      <c r="C3306" s="148" t="str">
        <f aca="false">VLOOKUP($A3306,INSUMOS_AUX!$A$3:$H$813,3,0)</f>
        <v>MAT.</v>
      </c>
      <c r="D3306" s="156" t="s">
        <v>1444</v>
      </c>
      <c r="E3306" s="154" t="n">
        <v>0.4158</v>
      </c>
      <c r="F3306" s="149" t="n">
        <f aca="false">IF(C3306="MAT.",VLOOKUP(A3306,INSUMOS_AUX!$A$3:$H$813,6,0),0)</f>
        <v>0.59</v>
      </c>
      <c r="G3306" s="149" t="n">
        <f aca="false">IF(C3306="M.O.",VLOOKUP(A3306,INSUMOS_AUX!A:F,6,0),0)</f>
        <v>0</v>
      </c>
    </row>
    <row r="3307" customFormat="false" ht="15" hidden="false" customHeight="false" outlineLevel="0" collapsed="false">
      <c r="A3307" s="154" t="n">
        <v>37400</v>
      </c>
      <c r="B3307" s="155" t="s">
        <v>2048</v>
      </c>
      <c r="C3307" s="148" t="str">
        <f aca="false">VLOOKUP($A3307,INSUMOS_AUX!$A$3:$H$813,3,0)</f>
        <v>MAT.</v>
      </c>
      <c r="D3307" s="156" t="s">
        <v>31</v>
      </c>
      <c r="E3307" s="154" t="n">
        <v>1</v>
      </c>
      <c r="F3307" s="149" t="n">
        <f aca="false">IF(C3307="MAT.",VLOOKUP(A3307,INSUMOS_AUX!$A$3:$H$813,6,0),0)</f>
        <v>100.36</v>
      </c>
      <c r="G3307" s="149" t="n">
        <f aca="false">IF(C3307="M.O.",VLOOKUP(A3307,INSUMOS_AUX!A:F,6,0),0)</f>
        <v>0</v>
      </c>
    </row>
    <row r="3308" customFormat="false" ht="15" hidden="false" customHeight="false" outlineLevel="0" collapsed="false">
      <c r="A3308" s="154" t="n">
        <v>6111</v>
      </c>
      <c r="B3308" s="155" t="s">
        <v>1464</v>
      </c>
      <c r="C3308" s="148" t="str">
        <f aca="false">VLOOKUP($A3308,INSUMOS_AUX!$A$3:$H$813,3,0)</f>
        <v>M.O.</v>
      </c>
      <c r="D3308" s="156" t="s">
        <v>1444</v>
      </c>
      <c r="E3308" s="154" t="n">
        <v>0.42461496</v>
      </c>
      <c r="F3308" s="149" t="n">
        <f aca="false">IF(C3308="MAT.",VLOOKUP(A3308,INSUMOS_AUX!$A$3:$H$813,6,0),0)</f>
        <v>0</v>
      </c>
      <c r="G3308" s="149" t="n">
        <f aca="false">IF(C3308="M.O.",VLOOKUP(A3308,INSUMOS_AUX!A:F,6,0),0)</f>
        <v>12.95</v>
      </c>
    </row>
    <row r="3309" customFormat="false" ht="21" hidden="false" customHeight="false" outlineLevel="0" collapsed="false">
      <c r="A3309" s="150" t="s">
        <v>634</v>
      </c>
      <c r="B3309" s="151" t="s">
        <v>2049</v>
      </c>
      <c r="C3309" s="152" t="s">
        <v>59</v>
      </c>
      <c r="D3309" s="152" t="s">
        <v>31</v>
      </c>
      <c r="E3309" s="150"/>
      <c r="F3309" s="153" t="n">
        <f aca="false">(SUMPRODUCT($E3310:$E3317,F3310:F3317))*1</f>
        <v>102.06478</v>
      </c>
      <c r="G3309" s="153" t="n">
        <f aca="false">(SUMPRODUCT($E3310:$E3317,G3310:G3317))*1</f>
        <v>5.498763732</v>
      </c>
    </row>
    <row r="3310" customFormat="false" ht="21" hidden="false" customHeight="false" outlineLevel="0" collapsed="false">
      <c r="A3310" s="154" t="n">
        <v>37370</v>
      </c>
      <c r="B3310" s="155" t="s">
        <v>1443</v>
      </c>
      <c r="C3310" s="148" t="s">
        <v>59</v>
      </c>
      <c r="D3310" s="156" t="s">
        <v>1444</v>
      </c>
      <c r="E3310" s="154" t="n">
        <v>0.4158</v>
      </c>
      <c r="F3310" s="149" t="n">
        <f aca="false">IF(C3310="MAT.",VLOOKUP(A3310,INSUMOS_AUX!$A$3:$H$813,6,0),0)</f>
        <v>0</v>
      </c>
      <c r="G3310" s="149" t="n">
        <f aca="false">IF(C3310="M.O.",VLOOKUP(A3310,INSUMOS_AUX!A:F,6,0),0)</f>
        <v>0</v>
      </c>
    </row>
    <row r="3311" customFormat="false" ht="21" hidden="false" customHeight="false" outlineLevel="0" collapsed="false">
      <c r="A3311" s="154" t="n">
        <v>43491</v>
      </c>
      <c r="B3311" s="155" t="s">
        <v>1457</v>
      </c>
      <c r="C3311" s="148" t="str">
        <f aca="false">VLOOKUP($A3311,INSUMOS_AUX!$A$3:$H$813,3,0)</f>
        <v>MAT.</v>
      </c>
      <c r="D3311" s="156" t="s">
        <v>1444</v>
      </c>
      <c r="E3311" s="154" t="n">
        <v>0.4158</v>
      </c>
      <c r="F3311" s="149" t="n">
        <f aca="false">IF(C3311="MAT.",VLOOKUP(A3311,INSUMOS_AUX!$A$3:$H$813,6,0),0)</f>
        <v>1.39</v>
      </c>
      <c r="G3311" s="149" t="n">
        <f aca="false">IF(C3311="M.O.",VLOOKUP(A3311,INSUMOS_AUX!A:F,6,0),0)</f>
        <v>0</v>
      </c>
    </row>
    <row r="3312" customFormat="false" ht="21" hidden="false" customHeight="false" outlineLevel="0" collapsed="false">
      <c r="A3312" s="154" t="n">
        <v>37372</v>
      </c>
      <c r="B3312" s="155" t="s">
        <v>1446</v>
      </c>
      <c r="C3312" s="148" t="str">
        <f aca="false">VLOOKUP($A3312,INSUMOS_AUX!$A$3:$H$813,3,0)</f>
        <v>MAT.</v>
      </c>
      <c r="D3312" s="156" t="s">
        <v>1444</v>
      </c>
      <c r="E3312" s="154" t="n">
        <v>0.4158</v>
      </c>
      <c r="F3312" s="149" t="n">
        <f aca="false">IF(C3312="MAT.",VLOOKUP(A3312,INSUMOS_AUX!$A$3:$H$813,6,0),0)</f>
        <v>1.43</v>
      </c>
      <c r="G3312" s="149" t="n">
        <f aca="false">IF(C3312="M.O.",VLOOKUP(A3312,INSUMOS_AUX!A:F,6,0),0)</f>
        <v>0</v>
      </c>
    </row>
    <row r="3313" customFormat="false" ht="21" hidden="false" customHeight="false" outlineLevel="0" collapsed="false">
      <c r="A3313" s="154" t="n">
        <v>43467</v>
      </c>
      <c r="B3313" s="155" t="s">
        <v>1459</v>
      </c>
      <c r="C3313" s="148" t="str">
        <f aca="false">VLOOKUP($A3313,INSUMOS_AUX!$A$3:$H$813,3,0)</f>
        <v>MAT.</v>
      </c>
      <c r="D3313" s="156" t="s">
        <v>1444</v>
      </c>
      <c r="E3313" s="154" t="n">
        <v>0.4158</v>
      </c>
      <c r="F3313" s="149" t="n">
        <f aca="false">IF(C3313="MAT.",VLOOKUP(A3313,INSUMOS_AUX!$A$3:$H$813,6,0),0)</f>
        <v>0.61</v>
      </c>
      <c r="G3313" s="149" t="n">
        <f aca="false">IF(C3313="M.O.",VLOOKUP(A3313,INSUMOS_AUX!A:F,6,0),0)</f>
        <v>0</v>
      </c>
    </row>
    <row r="3314" customFormat="false" ht="21" hidden="false" customHeight="false" outlineLevel="0" collapsed="false">
      <c r="A3314" s="154" t="n">
        <v>37373</v>
      </c>
      <c r="B3314" s="155" t="s">
        <v>1448</v>
      </c>
      <c r="C3314" s="148" t="str">
        <f aca="false">VLOOKUP($A3314,INSUMOS_AUX!$A$3:$H$813,3,0)</f>
        <v>MAT.</v>
      </c>
      <c r="D3314" s="156" t="s">
        <v>1444</v>
      </c>
      <c r="E3314" s="154" t="n">
        <v>0.4158</v>
      </c>
      <c r="F3314" s="149" t="n">
        <f aca="false">IF(C3314="MAT.",VLOOKUP(A3314,INSUMOS_AUX!$A$3:$H$813,6,0),0)</f>
        <v>0.08</v>
      </c>
      <c r="G3314" s="149" t="n">
        <f aca="false">IF(C3314="M.O.",VLOOKUP(A3314,INSUMOS_AUX!A:F,6,0),0)</f>
        <v>0</v>
      </c>
    </row>
    <row r="3315" customFormat="false" ht="21" hidden="false" customHeight="false" outlineLevel="0" collapsed="false">
      <c r="A3315" s="154" t="n">
        <v>37371</v>
      </c>
      <c r="B3315" s="155" t="s">
        <v>1449</v>
      </c>
      <c r="C3315" s="148" t="str">
        <f aca="false">VLOOKUP($A3315,INSUMOS_AUX!$A$3:$H$813,3,0)</f>
        <v>MAT.</v>
      </c>
      <c r="D3315" s="156" t="s">
        <v>1444</v>
      </c>
      <c r="E3315" s="154" t="n">
        <v>0.4158</v>
      </c>
      <c r="F3315" s="149" t="n">
        <f aca="false">IF(C3315="MAT.",VLOOKUP(A3315,INSUMOS_AUX!$A$3:$H$813,6,0),0)</f>
        <v>0.59</v>
      </c>
      <c r="G3315" s="149" t="n">
        <f aca="false">IF(C3315="M.O.",VLOOKUP(A3315,INSUMOS_AUX!A:F,6,0),0)</f>
        <v>0</v>
      </c>
    </row>
    <row r="3316" customFormat="false" ht="21" hidden="false" customHeight="false" outlineLevel="0" collapsed="false">
      <c r="A3316" s="154" t="n">
        <v>37401</v>
      </c>
      <c r="B3316" s="155" t="s">
        <v>2050</v>
      </c>
      <c r="C3316" s="148" t="str">
        <f aca="false">VLOOKUP($A3316,INSUMOS_AUX!$A$3:$H$813,3,0)</f>
        <v>MAT.</v>
      </c>
      <c r="D3316" s="156" t="s">
        <v>31</v>
      </c>
      <c r="E3316" s="154" t="n">
        <v>1</v>
      </c>
      <c r="F3316" s="149" t="n">
        <f aca="false">IF(C3316="MAT.",VLOOKUP(A3316,INSUMOS_AUX!$A$3:$H$813,6,0),0)</f>
        <v>100.36</v>
      </c>
      <c r="G3316" s="149" t="n">
        <f aca="false">IF(C3316="M.O.",VLOOKUP(A3316,INSUMOS_AUX!A:F,6,0),0)</f>
        <v>0</v>
      </c>
    </row>
    <row r="3317" customFormat="false" ht="15" hidden="false" customHeight="false" outlineLevel="0" collapsed="false">
      <c r="A3317" s="154" t="n">
        <v>6111</v>
      </c>
      <c r="B3317" s="155" t="s">
        <v>1464</v>
      </c>
      <c r="C3317" s="148" t="str">
        <f aca="false">VLOOKUP($A3317,INSUMOS_AUX!$A$3:$H$813,3,0)</f>
        <v>M.O.</v>
      </c>
      <c r="D3317" s="156" t="s">
        <v>1444</v>
      </c>
      <c r="E3317" s="154" t="n">
        <v>0.42461496</v>
      </c>
      <c r="F3317" s="149" t="n">
        <f aca="false">IF(C3317="MAT.",VLOOKUP(A3317,INSUMOS_AUX!$A$3:$H$813,6,0),0)</f>
        <v>0</v>
      </c>
      <c r="G3317" s="149" t="n">
        <f aca="false">IF(C3317="M.O.",VLOOKUP(A3317,INSUMOS_AUX!A:F,6,0),0)</f>
        <v>12.95</v>
      </c>
    </row>
    <row r="3318" customFormat="false" ht="15" hidden="false" customHeight="false" outlineLevel="0" collapsed="false">
      <c r="A3318" s="150" t="s">
        <v>639</v>
      </c>
      <c r="B3318" s="151" t="s">
        <v>2051</v>
      </c>
      <c r="C3318" s="152" t="s">
        <v>59</v>
      </c>
      <c r="D3318" s="152" t="s">
        <v>31</v>
      </c>
      <c r="E3318" s="150"/>
      <c r="F3318" s="153" t="n">
        <f aca="false">(SUMPRODUCT($E3319:$E3329,F3319:F3329))*1</f>
        <v>84.0872973333333</v>
      </c>
      <c r="G3318" s="153" t="n">
        <f aca="false">(SUMPRODUCT($E3319:$E3329,G3319:G3329))*1</f>
        <v>3.80170187616</v>
      </c>
    </row>
    <row r="3319" customFormat="false" ht="21" hidden="false" customHeight="false" outlineLevel="0" collapsed="false">
      <c r="A3319" s="154" t="n">
        <v>37370</v>
      </c>
      <c r="B3319" s="155" t="s">
        <v>1443</v>
      </c>
      <c r="C3319" s="148" t="str">
        <f aca="false">VLOOKUP($A3319,INSUMOS_AUX!$A$3:$H$813,3,0)</f>
        <v>MAT.</v>
      </c>
      <c r="D3319" s="156" t="s">
        <v>1444</v>
      </c>
      <c r="E3319" s="154" t="n">
        <v>0.202</v>
      </c>
      <c r="F3319" s="149" t="n">
        <f aca="false">IF(C3319="MAT.",VLOOKUP(A3319,INSUMOS_AUX!$A$3:$H$813,6,0),0)</f>
        <v>3.32</v>
      </c>
      <c r="G3319" s="149" t="n">
        <f aca="false">IF(C3319="M.O.",VLOOKUP(A3319,INSUMOS_AUX!A:F,6,0),0)</f>
        <v>0</v>
      </c>
    </row>
    <row r="3320" customFormat="false" ht="21" hidden="false" customHeight="false" outlineLevel="0" collapsed="false">
      <c r="A3320" s="154" t="n">
        <v>43485</v>
      </c>
      <c r="B3320" s="155" t="s">
        <v>1481</v>
      </c>
      <c r="C3320" s="148" t="str">
        <f aca="false">VLOOKUP($A3320,INSUMOS_AUX!$A$3:$H$813,3,0)</f>
        <v>MAT.</v>
      </c>
      <c r="D3320" s="156" t="s">
        <v>1444</v>
      </c>
      <c r="E3320" s="154" t="n">
        <v>0.1536</v>
      </c>
      <c r="F3320" s="149" t="n">
        <f aca="false">IF(C3320="MAT.",VLOOKUP(A3320,INSUMOS_AUX!$A$3:$H$813,6,0),0)</f>
        <v>1.13</v>
      </c>
      <c r="G3320" s="149" t="n">
        <f aca="false">IF(C3320="M.O.",VLOOKUP(A3320,INSUMOS_AUX!A:F,6,0),0)</f>
        <v>0</v>
      </c>
    </row>
    <row r="3321" customFormat="false" ht="21" hidden="false" customHeight="false" outlineLevel="0" collapsed="false">
      <c r="A3321" s="154" t="n">
        <v>43491</v>
      </c>
      <c r="B3321" s="155" t="s">
        <v>1457</v>
      </c>
      <c r="C3321" s="148" t="str">
        <f aca="false">VLOOKUP($A3321,INSUMOS_AUX!$A$3:$H$813,3,0)</f>
        <v>MAT.</v>
      </c>
      <c r="D3321" s="156" t="s">
        <v>1444</v>
      </c>
      <c r="E3321" s="154" t="n">
        <v>0.0484</v>
      </c>
      <c r="F3321" s="149" t="n">
        <f aca="false">IF(C3321="MAT.",VLOOKUP(A3321,INSUMOS_AUX!$A$3:$H$813,6,0),0)</f>
        <v>1.39</v>
      </c>
      <c r="G3321" s="149" t="n">
        <f aca="false">IF(C3321="M.O.",VLOOKUP(A3321,INSUMOS_AUX!A:F,6,0),0)</f>
        <v>0</v>
      </c>
    </row>
    <row r="3322" customFormat="false" ht="21" hidden="false" customHeight="false" outlineLevel="0" collapsed="false">
      <c r="A3322" s="154" t="n">
        <v>37372</v>
      </c>
      <c r="B3322" s="155" t="s">
        <v>1446</v>
      </c>
      <c r="C3322" s="148" t="s">
        <v>59</v>
      </c>
      <c r="D3322" s="156" t="s">
        <v>1444</v>
      </c>
      <c r="E3322" s="154" t="n">
        <v>0.202</v>
      </c>
      <c r="F3322" s="149" t="n">
        <f aca="false">IF(C3322="MAT.",VLOOKUP(A3322,INSUMOS_AUX!$A$3:$H$813,6,0),0)</f>
        <v>0</v>
      </c>
      <c r="G3322" s="149" t="n">
        <f aca="false">IF(C3322="M.O.",VLOOKUP(A3322,INSUMOS_AUX!A:F,6,0),0)</f>
        <v>0</v>
      </c>
    </row>
    <row r="3323" customFormat="false" ht="21" hidden="false" customHeight="false" outlineLevel="0" collapsed="false">
      <c r="A3323" s="154" t="n">
        <v>43461</v>
      </c>
      <c r="B3323" s="155" t="s">
        <v>1482</v>
      </c>
      <c r="C3323" s="148" t="str">
        <f aca="false">VLOOKUP($A3323,INSUMOS_AUX!$A$3:$H$813,3,0)</f>
        <v>MAT.</v>
      </c>
      <c r="D3323" s="156" t="s">
        <v>1444</v>
      </c>
      <c r="E3323" s="154" t="n">
        <v>0.1536</v>
      </c>
      <c r="F3323" s="149" t="n">
        <f aca="false">IF(C3323="MAT.",VLOOKUP(A3323,INSUMOS_AUX!$A$3:$H$813,6,0),0)</f>
        <v>0.31</v>
      </c>
      <c r="G3323" s="149" t="n">
        <f aca="false">IF(C3323="M.O.",VLOOKUP(A3323,INSUMOS_AUX!A:F,6,0),0)</f>
        <v>0</v>
      </c>
    </row>
    <row r="3324" customFormat="false" ht="21" hidden="false" customHeight="false" outlineLevel="0" collapsed="false">
      <c r="A3324" s="154" t="n">
        <v>43467</v>
      </c>
      <c r="B3324" s="155" t="s">
        <v>1459</v>
      </c>
      <c r="C3324" s="148" t="str">
        <f aca="false">VLOOKUP($A3324,INSUMOS_AUX!$A$3:$H$813,3,0)</f>
        <v>MAT.</v>
      </c>
      <c r="D3324" s="156" t="s">
        <v>1444</v>
      </c>
      <c r="E3324" s="154" t="n">
        <v>0.0484</v>
      </c>
      <c r="F3324" s="149" t="n">
        <f aca="false">IF(C3324="MAT.",VLOOKUP(A3324,INSUMOS_AUX!$A$3:$H$813,6,0),0)</f>
        <v>0.61</v>
      </c>
      <c r="G3324" s="149" t="n">
        <f aca="false">IF(C3324="M.O.",VLOOKUP(A3324,INSUMOS_AUX!A:F,6,0),0)</f>
        <v>0</v>
      </c>
    </row>
    <row r="3325" customFormat="false" ht="21" hidden="false" customHeight="false" outlineLevel="0" collapsed="false">
      <c r="A3325" s="154" t="n">
        <v>37373</v>
      </c>
      <c r="B3325" s="155" t="s">
        <v>1448</v>
      </c>
      <c r="C3325" s="148" t="str">
        <f aca="false">VLOOKUP($A3325,INSUMOS_AUX!$A$3:$H$813,3,0)</f>
        <v>MAT.</v>
      </c>
      <c r="D3325" s="156" t="s">
        <v>1444</v>
      </c>
      <c r="E3325" s="154" t="n">
        <v>0.202</v>
      </c>
      <c r="F3325" s="149" t="n">
        <f aca="false">IF(C3325="MAT.",VLOOKUP(A3325,INSUMOS_AUX!$A$3:$H$813,6,0),0)</f>
        <v>0.08</v>
      </c>
      <c r="G3325" s="149" t="n">
        <f aca="false">IF(C3325="M.O.",VLOOKUP(A3325,INSUMOS_AUX!A:F,6,0),0)</f>
        <v>0</v>
      </c>
    </row>
    <row r="3326" customFormat="false" ht="21" hidden="false" customHeight="false" outlineLevel="0" collapsed="false">
      <c r="A3326" s="154" t="n">
        <v>37371</v>
      </c>
      <c r="B3326" s="155" t="s">
        <v>1449</v>
      </c>
      <c r="C3326" s="148" t="str">
        <f aca="false">VLOOKUP($A3326,INSUMOS_AUX!$A$3:$H$813,3,0)</f>
        <v>MAT.</v>
      </c>
      <c r="D3326" s="156" t="s">
        <v>1444</v>
      </c>
      <c r="E3326" s="154" t="n">
        <v>0.202</v>
      </c>
      <c r="F3326" s="149" t="n">
        <f aca="false">IF(C3326="MAT.",VLOOKUP(A3326,INSUMOS_AUX!$A$3:$H$813,6,0),0)</f>
        <v>0.59</v>
      </c>
      <c r="G3326" s="149" t="n">
        <f aca="false">IF(C3326="M.O.",VLOOKUP(A3326,INSUMOS_AUX!A:F,6,0),0)</f>
        <v>0</v>
      </c>
    </row>
    <row r="3327" customFormat="false" ht="21" hidden="false" customHeight="false" outlineLevel="0" collapsed="false">
      <c r="A3327" s="154" t="s">
        <v>2052</v>
      </c>
      <c r="B3327" s="155" t="s">
        <v>2053</v>
      </c>
      <c r="C3327" s="148" t="str">
        <f aca="false">VLOOKUP($A3327,INSUMOS_AUX!$A$3:$H$813,3,0)</f>
        <v>MAT.</v>
      </c>
      <c r="D3327" s="156" t="s">
        <v>31</v>
      </c>
      <c r="E3327" s="154" t="n">
        <v>1</v>
      </c>
      <c r="F3327" s="149" t="n">
        <f aca="false">IF(C3327="MAT.",VLOOKUP(A3327,INSUMOS_AUX!$A$3:$H$813,6,0),0)</f>
        <v>82.9633333333333</v>
      </c>
      <c r="G3327" s="149" t="n">
        <f aca="false">IF(C3327="M.O.",VLOOKUP(A3327,INSUMOS_AUX!A:F,6,0),0)</f>
        <v>0</v>
      </c>
    </row>
    <row r="3328" customFormat="false" ht="15" hidden="false" customHeight="false" outlineLevel="0" collapsed="false">
      <c r="A3328" s="154" t="n">
        <v>2696</v>
      </c>
      <c r="B3328" s="155" t="s">
        <v>1483</v>
      </c>
      <c r="C3328" s="148" t="str">
        <f aca="false">VLOOKUP($A3328,INSUMOS_AUX!$A$3:$H$813,3,0)</f>
        <v>M.O.</v>
      </c>
      <c r="D3328" s="156" t="s">
        <v>1444</v>
      </c>
      <c r="E3328" s="154" t="n">
        <v>0.156361728</v>
      </c>
      <c r="F3328" s="149" t="n">
        <f aca="false">IF(C3328="MAT.",VLOOKUP(A3328,INSUMOS_AUX!$A$3:$H$813,6,0),0)</f>
        <v>0</v>
      </c>
      <c r="G3328" s="149" t="n">
        <f aca="false">IF(C3328="M.O.",VLOOKUP(A3328,INSUMOS_AUX!A:F,6,0),0)</f>
        <v>20.22</v>
      </c>
    </row>
    <row r="3329" customFormat="false" ht="15" hidden="false" customHeight="false" outlineLevel="0" collapsed="false">
      <c r="A3329" s="154" t="n">
        <v>6111</v>
      </c>
      <c r="B3329" s="155" t="s">
        <v>1464</v>
      </c>
      <c r="C3329" s="148" t="str">
        <f aca="false">VLOOKUP($A3329,INSUMOS_AUX!$A$3:$H$813,3,0)</f>
        <v>M.O.</v>
      </c>
      <c r="D3329" s="156" t="s">
        <v>1444</v>
      </c>
      <c r="E3329" s="154" t="n">
        <v>0.04942608</v>
      </c>
      <c r="F3329" s="149" t="n">
        <f aca="false">IF(C3329="MAT.",VLOOKUP(A3329,INSUMOS_AUX!$A$3:$H$813,6,0),0)</f>
        <v>0</v>
      </c>
      <c r="G3329" s="149" t="n">
        <f aca="false">IF(C3329="M.O.",VLOOKUP(A3329,INSUMOS_AUX!A:F,6,0),0)</f>
        <v>12.95</v>
      </c>
    </row>
    <row r="3330" customFormat="false" ht="52.5" hidden="false" customHeight="false" outlineLevel="0" collapsed="false">
      <c r="A3330" s="150" t="s">
        <v>641</v>
      </c>
      <c r="B3330" s="151" t="s">
        <v>2054</v>
      </c>
      <c r="C3330" s="152" t="s">
        <v>59</v>
      </c>
      <c r="D3330" s="152" t="s">
        <v>31</v>
      </c>
      <c r="E3330" s="150"/>
      <c r="F3330" s="153" t="n">
        <f aca="false">(SUMPRODUCT($E3331:$E3349,F3331:F3349))*1</f>
        <v>247.593881333333</v>
      </c>
      <c r="G3330" s="153" t="n">
        <f aca="false">(SUMPRODUCT($E3331:$E3349,G3331:G3349))*1</f>
        <v>23.01662596308</v>
      </c>
    </row>
    <row r="3331" customFormat="false" ht="21" hidden="false" customHeight="false" outlineLevel="0" collapsed="false">
      <c r="A3331" s="154" t="n">
        <v>37370</v>
      </c>
      <c r="B3331" s="155" t="s">
        <v>1443</v>
      </c>
      <c r="C3331" s="148" t="str">
        <f aca="false">VLOOKUP($A3331,INSUMOS_AUX!$A$3:$H$813,3,0)</f>
        <v>MAT.</v>
      </c>
      <c r="D3331" s="156" t="s">
        <v>1444</v>
      </c>
      <c r="E3331" s="154" t="n">
        <v>1.2428</v>
      </c>
      <c r="F3331" s="149" t="n">
        <f aca="false">IF(C3331="MAT.",VLOOKUP(A3331,INSUMOS_AUX!$A$3:$H$813,6,0),0)</f>
        <v>3.32</v>
      </c>
      <c r="G3331" s="149" t="n">
        <f aca="false">IF(C3331="M.O.",VLOOKUP(A3331,INSUMOS_AUX!A:F,6,0),0)</f>
        <v>0</v>
      </c>
    </row>
    <row r="3332" customFormat="false" ht="21" hidden="false" customHeight="false" outlineLevel="0" collapsed="false">
      <c r="A3332" s="154" t="n">
        <v>43485</v>
      </c>
      <c r="B3332" s="155" t="s">
        <v>1481</v>
      </c>
      <c r="C3332" s="148" t="str">
        <f aca="false">VLOOKUP($A3332,INSUMOS_AUX!$A$3:$H$813,3,0)</f>
        <v>MAT.</v>
      </c>
      <c r="D3332" s="156" t="s">
        <v>1444</v>
      </c>
      <c r="E3332" s="154" t="n">
        <v>0.8943</v>
      </c>
      <c r="F3332" s="149" t="n">
        <f aca="false">IF(C3332="MAT.",VLOOKUP(A3332,INSUMOS_AUX!$A$3:$H$813,6,0),0)</f>
        <v>1.13</v>
      </c>
      <c r="G3332" s="149" t="n">
        <f aca="false">IF(C3332="M.O.",VLOOKUP(A3332,INSUMOS_AUX!A:F,6,0),0)</f>
        <v>0</v>
      </c>
    </row>
    <row r="3333" customFormat="false" ht="21" hidden="false" customHeight="false" outlineLevel="0" collapsed="false">
      <c r="A3333" s="154" t="n">
        <v>43491</v>
      </c>
      <c r="B3333" s="155" t="s">
        <v>1457</v>
      </c>
      <c r="C3333" s="148" t="str">
        <f aca="false">VLOOKUP($A3333,INSUMOS_AUX!$A$3:$H$813,3,0)</f>
        <v>MAT.</v>
      </c>
      <c r="D3333" s="156" t="s">
        <v>1444</v>
      </c>
      <c r="E3333" s="154" t="n">
        <v>0.3485</v>
      </c>
      <c r="F3333" s="149" t="n">
        <f aca="false">IF(C3333="MAT.",VLOOKUP(A3333,INSUMOS_AUX!$A$3:$H$813,6,0),0)</f>
        <v>1.39</v>
      </c>
      <c r="G3333" s="149" t="n">
        <f aca="false">IF(C3333="M.O.",VLOOKUP(A3333,INSUMOS_AUX!A:F,6,0),0)</f>
        <v>0</v>
      </c>
    </row>
    <row r="3334" customFormat="false" ht="21" hidden="false" customHeight="false" outlineLevel="0" collapsed="false">
      <c r="A3334" s="154" t="n">
        <v>37372</v>
      </c>
      <c r="B3334" s="155" t="s">
        <v>1446</v>
      </c>
      <c r="C3334" s="148" t="str">
        <f aca="false">VLOOKUP($A3334,INSUMOS_AUX!$A$3:$H$813,3,0)</f>
        <v>MAT.</v>
      </c>
      <c r="D3334" s="156" t="s">
        <v>1444</v>
      </c>
      <c r="E3334" s="154" t="n">
        <v>1.2428</v>
      </c>
      <c r="F3334" s="149" t="n">
        <f aca="false">IF(C3334="MAT.",VLOOKUP(A3334,INSUMOS_AUX!$A$3:$H$813,6,0),0)</f>
        <v>1.43</v>
      </c>
      <c r="G3334" s="149" t="n">
        <f aca="false">IF(C3334="M.O.",VLOOKUP(A3334,INSUMOS_AUX!A:F,6,0),0)</f>
        <v>0</v>
      </c>
    </row>
    <row r="3335" customFormat="false" ht="21" hidden="false" customHeight="false" outlineLevel="0" collapsed="false">
      <c r="A3335" s="154" t="n">
        <v>43461</v>
      </c>
      <c r="B3335" s="155" t="s">
        <v>1482</v>
      </c>
      <c r="C3335" s="148" t="str">
        <f aca="false">VLOOKUP($A3335,INSUMOS_AUX!$A$3:$H$813,3,0)</f>
        <v>MAT.</v>
      </c>
      <c r="D3335" s="156" t="s">
        <v>1444</v>
      </c>
      <c r="E3335" s="154" t="n">
        <v>0.8943</v>
      </c>
      <c r="F3335" s="149" t="n">
        <f aca="false">IF(C3335="MAT.",VLOOKUP(A3335,INSUMOS_AUX!$A$3:$H$813,6,0),0)</f>
        <v>0.31</v>
      </c>
      <c r="G3335" s="149" t="n">
        <f aca="false">IF(C3335="M.O.",VLOOKUP(A3335,INSUMOS_AUX!A:F,6,0),0)</f>
        <v>0</v>
      </c>
    </row>
    <row r="3336" customFormat="false" ht="21" hidden="false" customHeight="false" outlineLevel="0" collapsed="false">
      <c r="A3336" s="154" t="n">
        <v>43467</v>
      </c>
      <c r="B3336" s="155" t="s">
        <v>1459</v>
      </c>
      <c r="C3336" s="148" t="str">
        <f aca="false">VLOOKUP($A3336,INSUMOS_AUX!$A$3:$H$813,3,0)</f>
        <v>MAT.</v>
      </c>
      <c r="D3336" s="156" t="s">
        <v>1444</v>
      </c>
      <c r="E3336" s="154" t="n">
        <v>0.3485</v>
      </c>
      <c r="F3336" s="149" t="n">
        <f aca="false">IF(C3336="MAT.",VLOOKUP(A3336,INSUMOS_AUX!$A$3:$H$813,6,0),0)</f>
        <v>0.61</v>
      </c>
      <c r="G3336" s="149" t="n">
        <f aca="false">IF(C3336="M.O.",VLOOKUP(A3336,INSUMOS_AUX!A:F,6,0),0)</f>
        <v>0</v>
      </c>
    </row>
    <row r="3337" customFormat="false" ht="21" hidden="false" customHeight="false" outlineLevel="0" collapsed="false">
      <c r="A3337" s="154" t="n">
        <v>37373</v>
      </c>
      <c r="B3337" s="155" t="s">
        <v>1448</v>
      </c>
      <c r="C3337" s="148" t="str">
        <f aca="false">VLOOKUP($A3337,INSUMOS_AUX!$A$3:$H$813,3,0)</f>
        <v>MAT.</v>
      </c>
      <c r="D3337" s="156" t="s">
        <v>1444</v>
      </c>
      <c r="E3337" s="154" t="n">
        <v>1.2428</v>
      </c>
      <c r="F3337" s="149" t="n">
        <f aca="false">IF(C3337="MAT.",VLOOKUP(A3337,INSUMOS_AUX!$A$3:$H$813,6,0),0)</f>
        <v>0.08</v>
      </c>
      <c r="G3337" s="149" t="n">
        <f aca="false">IF(C3337="M.O.",VLOOKUP(A3337,INSUMOS_AUX!A:F,6,0),0)</f>
        <v>0</v>
      </c>
    </row>
    <row r="3338" customFormat="false" ht="21" hidden="false" customHeight="false" outlineLevel="0" collapsed="false">
      <c r="A3338" s="154" t="n">
        <v>37371</v>
      </c>
      <c r="B3338" s="155" t="s">
        <v>1449</v>
      </c>
      <c r="C3338" s="148" t="s">
        <v>59</v>
      </c>
      <c r="D3338" s="156" t="s">
        <v>1444</v>
      </c>
      <c r="E3338" s="154" t="n">
        <v>1.2428</v>
      </c>
      <c r="F3338" s="149" t="n">
        <f aca="false">IF(C3338="MAT.",VLOOKUP(A3338,INSUMOS_AUX!$A$3:$H$813,6,0),0)</f>
        <v>0</v>
      </c>
      <c r="G3338" s="149" t="n">
        <f aca="false">IF(C3338="M.O.",VLOOKUP(A3338,INSUMOS_AUX!A:F,6,0),0)</f>
        <v>0</v>
      </c>
    </row>
    <row r="3339" customFormat="false" ht="21" hidden="false" customHeight="false" outlineLevel="0" collapsed="false">
      <c r="A3339" s="154" t="n">
        <v>6141</v>
      </c>
      <c r="B3339" s="155" t="s">
        <v>2015</v>
      </c>
      <c r="C3339" s="148" t="str">
        <f aca="false">VLOOKUP($A3339,INSUMOS_AUX!$A$3:$H$813,3,0)</f>
        <v>MAT.</v>
      </c>
      <c r="D3339" s="156" t="s">
        <v>31</v>
      </c>
      <c r="E3339" s="154" t="n">
        <v>1</v>
      </c>
      <c r="F3339" s="149" t="n">
        <f aca="false">IF(C3339="MAT.",VLOOKUP(A3339,INSUMOS_AUX!$A$3:$H$813,6,0),0)</f>
        <v>4.84</v>
      </c>
      <c r="G3339" s="149" t="n">
        <f aca="false">IF(C3339="M.O.",VLOOKUP(A3339,INSUMOS_AUX!A:F,6,0),0)</f>
        <v>0</v>
      </c>
    </row>
    <row r="3340" customFormat="false" ht="15" hidden="false" customHeight="false" outlineLevel="0" collapsed="false">
      <c r="A3340" s="154" t="n">
        <v>3146</v>
      </c>
      <c r="B3340" s="155" t="s">
        <v>2016</v>
      </c>
      <c r="C3340" s="148" t="s">
        <v>59</v>
      </c>
      <c r="D3340" s="156" t="s">
        <v>31</v>
      </c>
      <c r="E3340" s="154" t="n">
        <v>0.021</v>
      </c>
      <c r="F3340" s="149" t="n">
        <f aca="false">IF(C3340="MAT.",VLOOKUP(A3340,INSUMOS_AUX!$A$3:$H$813,6,0),0)</f>
        <v>0</v>
      </c>
      <c r="G3340" s="149" t="n">
        <f aca="false">IF(C3340="M.O.",VLOOKUP(A3340,INSUMOS_AUX!A:F,6,0),0)</f>
        <v>0</v>
      </c>
    </row>
    <row r="3341" customFormat="false" ht="15" hidden="false" customHeight="false" outlineLevel="0" collapsed="false">
      <c r="A3341" s="154" t="n">
        <v>3146</v>
      </c>
      <c r="B3341" s="155" t="s">
        <v>2016</v>
      </c>
      <c r="C3341" s="148" t="str">
        <f aca="false">VLOOKUP($A3341,INSUMOS_AUX!$A$3:$H$813,3,0)</f>
        <v>MAT.</v>
      </c>
      <c r="D3341" s="156" t="s">
        <v>31</v>
      </c>
      <c r="E3341" s="154" t="n">
        <v>0.0962</v>
      </c>
      <c r="F3341" s="149" t="n">
        <f aca="false">IF(C3341="MAT.",VLOOKUP(A3341,INSUMOS_AUX!$A$3:$H$813,6,0),0)</f>
        <v>3.8</v>
      </c>
      <c r="G3341" s="149" t="n">
        <f aca="false">IF(C3341="M.O.",VLOOKUP(A3341,INSUMOS_AUX!A:F,6,0),0)</f>
        <v>0</v>
      </c>
    </row>
    <row r="3342" customFormat="false" ht="21" hidden="false" customHeight="false" outlineLevel="0" collapsed="false">
      <c r="A3342" s="154" t="n">
        <v>10425</v>
      </c>
      <c r="B3342" s="155" t="s">
        <v>2055</v>
      </c>
      <c r="C3342" s="148" t="s">
        <v>59</v>
      </c>
      <c r="D3342" s="156" t="s">
        <v>31</v>
      </c>
      <c r="E3342" s="154" t="n">
        <v>1</v>
      </c>
      <c r="F3342" s="149" t="n">
        <f aca="false">IF(C3342="MAT.",VLOOKUP(A3342,INSUMOS_AUX!$A$3:$H$813,6,0),0)</f>
        <v>0</v>
      </c>
      <c r="G3342" s="149" t="n">
        <f aca="false">IF(C3342="M.O.",VLOOKUP(A3342,INSUMOS_AUX!A:F,6,0),0)</f>
        <v>0</v>
      </c>
    </row>
    <row r="3343" customFormat="false" ht="31.5" hidden="false" customHeight="false" outlineLevel="0" collapsed="false">
      <c r="A3343" s="154" t="n">
        <v>4351</v>
      </c>
      <c r="B3343" s="155" t="s">
        <v>1884</v>
      </c>
      <c r="C3343" s="148" t="str">
        <f aca="false">VLOOKUP($A3343,INSUMOS_AUX!$A$3:$H$813,3,0)</f>
        <v>MAT.</v>
      </c>
      <c r="D3343" s="156" t="s">
        <v>31</v>
      </c>
      <c r="E3343" s="154" t="n">
        <v>2</v>
      </c>
      <c r="F3343" s="149" t="n">
        <f aca="false">IF(C3343="MAT.",VLOOKUP(A3343,INSUMOS_AUX!$A$3:$H$813,6,0),0)</f>
        <v>18.49</v>
      </c>
      <c r="G3343" s="149" t="n">
        <f aca="false">IF(C3343="M.O.",VLOOKUP(A3343,INSUMOS_AUX!A:F,6,0),0)</f>
        <v>0</v>
      </c>
    </row>
    <row r="3344" customFormat="false" ht="15" hidden="false" customHeight="false" outlineLevel="0" collapsed="false">
      <c r="A3344" s="154" t="n">
        <v>37329</v>
      </c>
      <c r="B3344" s="155" t="s">
        <v>2018</v>
      </c>
      <c r="C3344" s="148" t="str">
        <f aca="false">VLOOKUP($A3344,INSUMOS_AUX!$A$3:$H$813,3,0)</f>
        <v>MAT.</v>
      </c>
      <c r="D3344" s="156" t="s">
        <v>1513</v>
      </c>
      <c r="E3344" s="154" t="n">
        <v>0.0304</v>
      </c>
      <c r="F3344" s="149" t="n">
        <f aca="false">IF(C3344="MAT.",VLOOKUP(A3344,INSUMOS_AUX!$A$3:$H$813,6,0),0)</f>
        <v>98.93</v>
      </c>
      <c r="G3344" s="149" t="n">
        <f aca="false">IF(C3344="M.O.",VLOOKUP(A3344,INSUMOS_AUX!A:F,6,0),0)</f>
        <v>0</v>
      </c>
    </row>
    <row r="3345" customFormat="false" ht="15" hidden="false" customHeight="false" outlineLevel="0" collapsed="false">
      <c r="A3345" s="154" t="n">
        <v>6146</v>
      </c>
      <c r="B3345" s="155" t="s">
        <v>2056</v>
      </c>
      <c r="C3345" s="148" t="str">
        <f aca="false">VLOOKUP($A3345,INSUMOS_AUX!$A$3:$H$813,3,0)</f>
        <v>MAT.</v>
      </c>
      <c r="D3345" s="156" t="s">
        <v>31</v>
      </c>
      <c r="E3345" s="154" t="n">
        <v>1</v>
      </c>
      <c r="F3345" s="149" t="n">
        <f aca="false">IF(C3345="MAT.",VLOOKUP(A3345,INSUMOS_AUX!$A$3:$H$813,6,0),0)</f>
        <v>15.38</v>
      </c>
      <c r="G3345" s="149" t="n">
        <f aca="false">IF(C3345="M.O.",VLOOKUP(A3345,INSUMOS_AUX!A:F,6,0),0)</f>
        <v>0</v>
      </c>
    </row>
    <row r="3346" customFormat="false" ht="21" hidden="false" customHeight="false" outlineLevel="0" collapsed="false">
      <c r="A3346" s="154" t="s">
        <v>2057</v>
      </c>
      <c r="B3346" s="155" t="s">
        <v>2058</v>
      </c>
      <c r="C3346" s="148" t="str">
        <f aca="false">VLOOKUP($A3346,INSUMOS_AUX!$A$3:$H$813,3,0)</f>
        <v>MAT.</v>
      </c>
      <c r="D3346" s="156" t="s">
        <v>31</v>
      </c>
      <c r="E3346" s="154" t="n">
        <v>1</v>
      </c>
      <c r="F3346" s="149" t="n">
        <f aca="false">IF(C3346="MAT.",VLOOKUP(A3346,INSUMOS_AUX!$A$3:$H$813,6,0),0)</f>
        <v>174.333333333333</v>
      </c>
      <c r="G3346" s="149" t="n">
        <f aca="false">IF(C3346="M.O.",VLOOKUP(A3346,INSUMOS_AUX!A:F,6,0),0)</f>
        <v>0</v>
      </c>
    </row>
    <row r="3347" customFormat="false" ht="21" hidden="false" customHeight="false" outlineLevel="0" collapsed="false">
      <c r="A3347" s="154" t="n">
        <v>6153</v>
      </c>
      <c r="B3347" s="155" t="s">
        <v>2059</v>
      </c>
      <c r="C3347" s="148" t="str">
        <f aca="false">VLOOKUP($A3347,INSUMOS_AUX!$A$3:$H$813,3,0)</f>
        <v>MAT.</v>
      </c>
      <c r="D3347" s="156" t="s">
        <v>31</v>
      </c>
      <c r="E3347" s="154" t="n">
        <v>1</v>
      </c>
      <c r="F3347" s="149" t="n">
        <f aca="false">IF(C3347="MAT.",VLOOKUP(A3347,INSUMOS_AUX!$A$3:$H$813,6,0),0)</f>
        <v>4.7</v>
      </c>
      <c r="G3347" s="149" t="n">
        <f aca="false">IF(C3347="M.O.",VLOOKUP(A3347,INSUMOS_AUX!A:F,6,0),0)</f>
        <v>0</v>
      </c>
    </row>
    <row r="3348" customFormat="false" ht="15" hidden="false" customHeight="false" outlineLevel="0" collapsed="false">
      <c r="A3348" s="154" t="n">
        <v>2696</v>
      </c>
      <c r="B3348" s="155" t="s">
        <v>1483</v>
      </c>
      <c r="C3348" s="148" t="str">
        <f aca="false">VLOOKUP($A3348,INSUMOS_AUX!$A$3:$H$813,3,0)</f>
        <v>M.O.</v>
      </c>
      <c r="D3348" s="156" t="s">
        <v>1444</v>
      </c>
      <c r="E3348" s="154" t="n">
        <v>0.910379514</v>
      </c>
      <c r="F3348" s="149" t="n">
        <f aca="false">IF(C3348="MAT.",VLOOKUP(A3348,INSUMOS_AUX!$A$3:$H$813,6,0),0)</f>
        <v>0</v>
      </c>
      <c r="G3348" s="149" t="n">
        <f aca="false">IF(C3348="M.O.",VLOOKUP(A3348,INSUMOS_AUX!A:F,6,0),0)</f>
        <v>20.22</v>
      </c>
    </row>
    <row r="3349" customFormat="false" ht="15" hidden="false" customHeight="false" outlineLevel="0" collapsed="false">
      <c r="A3349" s="154" t="n">
        <v>6111</v>
      </c>
      <c r="B3349" s="155" t="s">
        <v>1464</v>
      </c>
      <c r="C3349" s="148" t="str">
        <f aca="false">VLOOKUP($A3349,INSUMOS_AUX!$A$3:$H$813,3,0)</f>
        <v>M.O.</v>
      </c>
      <c r="D3349" s="156" t="s">
        <v>1444</v>
      </c>
      <c r="E3349" s="154" t="n">
        <v>0.3558882</v>
      </c>
      <c r="F3349" s="149" t="n">
        <f aca="false">IF(C3349="MAT.",VLOOKUP(A3349,INSUMOS_AUX!$A$3:$H$813,6,0),0)</f>
        <v>0</v>
      </c>
      <c r="G3349" s="149" t="n">
        <f aca="false">IF(C3349="M.O.",VLOOKUP(A3349,INSUMOS_AUX!A:F,6,0),0)</f>
        <v>12.95</v>
      </c>
    </row>
    <row r="3350" customFormat="false" ht="21" hidden="false" customHeight="false" outlineLevel="0" collapsed="false">
      <c r="A3350" s="150" t="n">
        <v>100868</v>
      </c>
      <c r="B3350" s="151" t="s">
        <v>2060</v>
      </c>
      <c r="C3350" s="152" t="s">
        <v>59</v>
      </c>
      <c r="D3350" s="152" t="s">
        <v>31</v>
      </c>
      <c r="E3350" s="150"/>
      <c r="F3350" s="153" t="n">
        <f aca="false">(SUMPRODUCT($E3351:$E3362,F3351:F3362))*1</f>
        <v>119.663806</v>
      </c>
      <c r="G3350" s="153" t="n">
        <f aca="false">(SUMPRODUCT($E3351:$E3362,G3351:G3362))*1</f>
        <v>23.4749950386</v>
      </c>
    </row>
    <row r="3351" customFormat="false" ht="21" hidden="false" customHeight="false" outlineLevel="0" collapsed="false">
      <c r="A3351" s="154" t="n">
        <v>37370</v>
      </c>
      <c r="B3351" s="155" t="s">
        <v>1443</v>
      </c>
      <c r="C3351" s="148" t="str">
        <f aca="false">VLOOKUP($A3351,INSUMOS_AUX!$A$3:$H$813,3,0)</f>
        <v>MAT.</v>
      </c>
      <c r="D3351" s="156" t="s">
        <v>1444</v>
      </c>
      <c r="E3351" s="154" t="n">
        <v>1.2473</v>
      </c>
      <c r="F3351" s="149" t="n">
        <f aca="false">IF(C3351="MAT.",VLOOKUP(A3351,INSUMOS_AUX!$A$3:$H$813,6,0),0)</f>
        <v>3.32</v>
      </c>
      <c r="G3351" s="149" t="n">
        <f aca="false">IF(C3351="M.O.",VLOOKUP(A3351,INSUMOS_AUX!A:F,6,0),0)</f>
        <v>0</v>
      </c>
    </row>
    <row r="3352" customFormat="false" ht="21" hidden="false" customHeight="false" outlineLevel="0" collapsed="false">
      <c r="A3352" s="154" t="n">
        <v>43485</v>
      </c>
      <c r="B3352" s="155" t="s">
        <v>1481</v>
      </c>
      <c r="C3352" s="148" t="str">
        <f aca="false">VLOOKUP($A3352,INSUMOS_AUX!$A$3:$H$813,3,0)</f>
        <v>MAT.</v>
      </c>
      <c r="D3352" s="156" t="s">
        <v>1444</v>
      </c>
      <c r="E3352" s="154" t="n">
        <v>0.9485</v>
      </c>
      <c r="F3352" s="149" t="n">
        <f aca="false">IF(C3352="MAT.",VLOOKUP(A3352,INSUMOS_AUX!$A$3:$H$813,6,0),0)</f>
        <v>1.13</v>
      </c>
      <c r="G3352" s="149" t="n">
        <f aca="false">IF(C3352="M.O.",VLOOKUP(A3352,INSUMOS_AUX!A:F,6,0),0)</f>
        <v>0</v>
      </c>
    </row>
    <row r="3353" customFormat="false" ht="21" hidden="false" customHeight="false" outlineLevel="0" collapsed="false">
      <c r="A3353" s="154" t="n">
        <v>43491</v>
      </c>
      <c r="B3353" s="155" t="s">
        <v>1457</v>
      </c>
      <c r="C3353" s="148" t="str">
        <f aca="false">VLOOKUP($A3353,INSUMOS_AUX!$A$3:$H$813,3,0)</f>
        <v>MAT.</v>
      </c>
      <c r="D3353" s="156" t="s">
        <v>1444</v>
      </c>
      <c r="E3353" s="154" t="n">
        <v>0.2988</v>
      </c>
      <c r="F3353" s="149" t="n">
        <f aca="false">IF(C3353="MAT.",VLOOKUP(A3353,INSUMOS_AUX!$A$3:$H$813,6,0),0)</f>
        <v>1.39</v>
      </c>
      <c r="G3353" s="149" t="n">
        <f aca="false">IF(C3353="M.O.",VLOOKUP(A3353,INSUMOS_AUX!A:F,6,0),0)</f>
        <v>0</v>
      </c>
    </row>
    <row r="3354" customFormat="false" ht="21" hidden="false" customHeight="false" outlineLevel="0" collapsed="false">
      <c r="A3354" s="154" t="n">
        <v>37372</v>
      </c>
      <c r="B3354" s="155" t="s">
        <v>1446</v>
      </c>
      <c r="C3354" s="148" t="str">
        <f aca="false">VLOOKUP($A3354,INSUMOS_AUX!$A$3:$H$813,3,0)</f>
        <v>MAT.</v>
      </c>
      <c r="D3354" s="156" t="s">
        <v>1444</v>
      </c>
      <c r="E3354" s="154" t="n">
        <v>1.2473</v>
      </c>
      <c r="F3354" s="149" t="n">
        <f aca="false">IF(C3354="MAT.",VLOOKUP(A3354,INSUMOS_AUX!$A$3:$H$813,6,0),0)</f>
        <v>1.43</v>
      </c>
      <c r="G3354" s="149" t="n">
        <f aca="false">IF(C3354="M.O.",VLOOKUP(A3354,INSUMOS_AUX!A:F,6,0),0)</f>
        <v>0</v>
      </c>
    </row>
    <row r="3355" customFormat="false" ht="21" hidden="false" customHeight="false" outlineLevel="0" collapsed="false">
      <c r="A3355" s="154" t="n">
        <v>43461</v>
      </c>
      <c r="B3355" s="155" t="s">
        <v>1482</v>
      </c>
      <c r="C3355" s="148" t="str">
        <f aca="false">VLOOKUP($A3355,INSUMOS_AUX!$A$3:$H$813,3,0)</f>
        <v>MAT.</v>
      </c>
      <c r="D3355" s="156" t="s">
        <v>1444</v>
      </c>
      <c r="E3355" s="154" t="n">
        <v>0.9485</v>
      </c>
      <c r="F3355" s="149" t="n">
        <f aca="false">IF(C3355="MAT.",VLOOKUP(A3355,INSUMOS_AUX!$A$3:$H$813,6,0),0)</f>
        <v>0.31</v>
      </c>
      <c r="G3355" s="149" t="n">
        <f aca="false">IF(C3355="M.O.",VLOOKUP(A3355,INSUMOS_AUX!A:F,6,0),0)</f>
        <v>0</v>
      </c>
    </row>
    <row r="3356" customFormat="false" ht="21" hidden="false" customHeight="false" outlineLevel="0" collapsed="false">
      <c r="A3356" s="154" t="n">
        <v>43467</v>
      </c>
      <c r="B3356" s="155" t="s">
        <v>1459</v>
      </c>
      <c r="C3356" s="148" t="str">
        <f aca="false">VLOOKUP($A3356,INSUMOS_AUX!$A$3:$H$813,3,0)</f>
        <v>MAT.</v>
      </c>
      <c r="D3356" s="156" t="s">
        <v>1444</v>
      </c>
      <c r="E3356" s="154" t="n">
        <v>0.2988</v>
      </c>
      <c r="F3356" s="149" t="n">
        <f aca="false">IF(C3356="MAT.",VLOOKUP(A3356,INSUMOS_AUX!$A$3:$H$813,6,0),0)</f>
        <v>0.61</v>
      </c>
      <c r="G3356" s="149" t="n">
        <f aca="false">IF(C3356="M.O.",VLOOKUP(A3356,INSUMOS_AUX!A:F,6,0),0)</f>
        <v>0</v>
      </c>
    </row>
    <row r="3357" customFormat="false" ht="21" hidden="false" customHeight="false" outlineLevel="0" collapsed="false">
      <c r="A3357" s="154" t="n">
        <v>37373</v>
      </c>
      <c r="B3357" s="155" t="s">
        <v>1448</v>
      </c>
      <c r="C3357" s="148" t="str">
        <f aca="false">VLOOKUP($A3357,INSUMOS_AUX!$A$3:$H$813,3,0)</f>
        <v>MAT.</v>
      </c>
      <c r="D3357" s="156" t="s">
        <v>1444</v>
      </c>
      <c r="E3357" s="154" t="n">
        <v>1.2473</v>
      </c>
      <c r="F3357" s="149" t="n">
        <f aca="false">IF(C3357="MAT.",VLOOKUP(A3357,INSUMOS_AUX!$A$3:$H$813,6,0),0)</f>
        <v>0.08</v>
      </c>
      <c r="G3357" s="149" t="n">
        <f aca="false">IF(C3357="M.O.",VLOOKUP(A3357,INSUMOS_AUX!A:F,6,0),0)</f>
        <v>0</v>
      </c>
    </row>
    <row r="3358" customFormat="false" ht="21" hidden="false" customHeight="false" outlineLevel="0" collapsed="false">
      <c r="A3358" s="154" t="n">
        <v>37371</v>
      </c>
      <c r="B3358" s="155" t="s">
        <v>1449</v>
      </c>
      <c r="C3358" s="148" t="str">
        <f aca="false">VLOOKUP($A3358,INSUMOS_AUX!$A$3:$H$813,3,0)</f>
        <v>MAT.</v>
      </c>
      <c r="D3358" s="156" t="s">
        <v>1444</v>
      </c>
      <c r="E3358" s="154" t="n">
        <v>1.2473</v>
      </c>
      <c r="F3358" s="149" t="n">
        <f aca="false">IF(C3358="MAT.",VLOOKUP(A3358,INSUMOS_AUX!$A$3:$H$813,6,0),0)</f>
        <v>0.59</v>
      </c>
      <c r="G3358" s="149" t="n">
        <f aca="false">IF(C3358="M.O.",VLOOKUP(A3358,INSUMOS_AUX!A:F,6,0),0)</f>
        <v>0</v>
      </c>
    </row>
    <row r="3359" customFormat="false" ht="21" hidden="false" customHeight="false" outlineLevel="0" collapsed="false">
      <c r="A3359" s="154" t="n">
        <v>36081</v>
      </c>
      <c r="B3359" s="155" t="s">
        <v>2061</v>
      </c>
      <c r="C3359" s="148" t="s">
        <v>59</v>
      </c>
      <c r="D3359" s="156" t="s">
        <v>31</v>
      </c>
      <c r="E3359" s="154" t="n">
        <v>1</v>
      </c>
      <c r="F3359" s="149" t="n">
        <f aca="false">IF(C3359="MAT.",VLOOKUP(A3359,INSUMOS_AUX!$A$3:$H$813,6,0),0)</f>
        <v>0</v>
      </c>
      <c r="G3359" s="149" t="n">
        <f aca="false">IF(C3359="M.O.",VLOOKUP(A3359,INSUMOS_AUX!A:F,6,0),0)</f>
        <v>0</v>
      </c>
    </row>
    <row r="3360" customFormat="false" ht="31.5" hidden="false" customHeight="false" outlineLevel="0" collapsed="false">
      <c r="A3360" s="154" t="n">
        <v>4351</v>
      </c>
      <c r="B3360" s="155" t="s">
        <v>1884</v>
      </c>
      <c r="C3360" s="148" t="str">
        <f aca="false">VLOOKUP($A3360,INSUMOS_AUX!$A$3:$H$813,3,0)</f>
        <v>MAT.</v>
      </c>
      <c r="D3360" s="156" t="s">
        <v>31</v>
      </c>
      <c r="E3360" s="154" t="n">
        <v>6</v>
      </c>
      <c r="F3360" s="149" t="n">
        <f aca="false">IF(C3360="MAT.",VLOOKUP(A3360,INSUMOS_AUX!$A$3:$H$813,6,0),0)</f>
        <v>18.49</v>
      </c>
      <c r="G3360" s="149" t="n">
        <f aca="false">IF(C3360="M.O.",VLOOKUP(A3360,INSUMOS_AUX!A:F,6,0),0)</f>
        <v>0</v>
      </c>
    </row>
    <row r="3361" customFormat="false" ht="15" hidden="false" customHeight="false" outlineLevel="0" collapsed="false">
      <c r="A3361" s="154" t="n">
        <v>2696</v>
      </c>
      <c r="B3361" s="155" t="s">
        <v>1483</v>
      </c>
      <c r="C3361" s="148" t="str">
        <f aca="false">VLOOKUP($A3361,INSUMOS_AUX!$A$3:$H$813,3,0)</f>
        <v>M.O.</v>
      </c>
      <c r="D3361" s="156" t="s">
        <v>1444</v>
      </c>
      <c r="E3361" s="154" t="n">
        <v>0.96555403</v>
      </c>
      <c r="F3361" s="149" t="n">
        <f aca="false">IF(C3361="MAT.",VLOOKUP(A3361,INSUMOS_AUX!$A$3:$H$813,6,0),0)</f>
        <v>0</v>
      </c>
      <c r="G3361" s="149" t="n">
        <f aca="false">IF(C3361="M.O.",VLOOKUP(A3361,INSUMOS_AUX!A:F,6,0),0)</f>
        <v>20.22</v>
      </c>
    </row>
    <row r="3362" customFormat="false" ht="15" hidden="false" customHeight="false" outlineLevel="0" collapsed="false">
      <c r="A3362" s="154" t="n">
        <v>6111</v>
      </c>
      <c r="B3362" s="155" t="s">
        <v>1464</v>
      </c>
      <c r="C3362" s="148" t="str">
        <f aca="false">VLOOKUP($A3362,INSUMOS_AUX!$A$3:$H$813,3,0)</f>
        <v>M.O.</v>
      </c>
      <c r="D3362" s="156" t="s">
        <v>1444</v>
      </c>
      <c r="E3362" s="154" t="n">
        <v>0.30513456</v>
      </c>
      <c r="F3362" s="149" t="n">
        <f aca="false">IF(C3362="MAT.",VLOOKUP(A3362,INSUMOS_AUX!$A$3:$H$813,6,0),0)</f>
        <v>0</v>
      </c>
      <c r="G3362" s="149" t="n">
        <f aca="false">IF(C3362="M.O.",VLOOKUP(A3362,INSUMOS_AUX!A:F,6,0),0)</f>
        <v>12.95</v>
      </c>
    </row>
    <row r="3363" customFormat="false" ht="21" hidden="false" customHeight="false" outlineLevel="0" collapsed="false">
      <c r="A3363" s="150" t="n">
        <v>100867</v>
      </c>
      <c r="B3363" s="151" t="s">
        <v>2062</v>
      </c>
      <c r="C3363" s="152" t="s">
        <v>59</v>
      </c>
      <c r="D3363" s="152" t="s">
        <v>31</v>
      </c>
      <c r="E3363" s="150"/>
      <c r="F3363" s="153" t="n">
        <f aca="false">(SUMPRODUCT($E3364:$E3375,F3364:F3375))*1</f>
        <v>331.183806</v>
      </c>
      <c r="G3363" s="153" t="n">
        <f aca="false">(SUMPRODUCT($E3364:$E3375,G3364:G3375))*1</f>
        <v>19.5235024866</v>
      </c>
    </row>
    <row r="3364" customFormat="false" ht="21" hidden="false" customHeight="false" outlineLevel="0" collapsed="false">
      <c r="A3364" s="154" t="n">
        <v>37370</v>
      </c>
      <c r="B3364" s="155" t="s">
        <v>1443</v>
      </c>
      <c r="C3364" s="148" t="str">
        <f aca="false">VLOOKUP($A3364,INSUMOS_AUX!$A$3:$H$813,3,0)</f>
        <v>MAT.</v>
      </c>
      <c r="D3364" s="156" t="s">
        <v>1444</v>
      </c>
      <c r="E3364" s="154" t="n">
        <v>1.2473</v>
      </c>
      <c r="F3364" s="149" t="n">
        <f aca="false">IF(C3364="MAT.",VLOOKUP(A3364,INSUMOS_AUX!$A$3:$H$813,6,0),0)</f>
        <v>3.32</v>
      </c>
      <c r="G3364" s="149" t="n">
        <f aca="false">IF(C3364="M.O.",VLOOKUP(A3364,INSUMOS_AUX!A:F,6,0),0)</f>
        <v>0</v>
      </c>
    </row>
    <row r="3365" customFormat="false" ht="21" hidden="false" customHeight="false" outlineLevel="0" collapsed="false">
      <c r="A3365" s="154" t="n">
        <v>43485</v>
      </c>
      <c r="B3365" s="155" t="s">
        <v>1481</v>
      </c>
      <c r="C3365" s="148" t="str">
        <f aca="false">VLOOKUP($A3365,INSUMOS_AUX!$A$3:$H$813,3,0)</f>
        <v>MAT.</v>
      </c>
      <c r="D3365" s="156" t="s">
        <v>1444</v>
      </c>
      <c r="E3365" s="154" t="n">
        <v>0.9485</v>
      </c>
      <c r="F3365" s="149" t="n">
        <f aca="false">IF(C3365="MAT.",VLOOKUP(A3365,INSUMOS_AUX!$A$3:$H$813,6,0),0)</f>
        <v>1.13</v>
      </c>
      <c r="G3365" s="149" t="n">
        <f aca="false">IF(C3365="M.O.",VLOOKUP(A3365,INSUMOS_AUX!A:F,6,0),0)</f>
        <v>0</v>
      </c>
    </row>
    <row r="3366" customFormat="false" ht="21" hidden="false" customHeight="false" outlineLevel="0" collapsed="false">
      <c r="A3366" s="154" t="n">
        <v>43491</v>
      </c>
      <c r="B3366" s="155" t="s">
        <v>1457</v>
      </c>
      <c r="C3366" s="148" t="str">
        <f aca="false">VLOOKUP($A3366,INSUMOS_AUX!$A$3:$H$813,3,0)</f>
        <v>MAT.</v>
      </c>
      <c r="D3366" s="156" t="s">
        <v>1444</v>
      </c>
      <c r="E3366" s="154" t="n">
        <v>0.2988</v>
      </c>
      <c r="F3366" s="149" t="n">
        <f aca="false">IF(C3366="MAT.",VLOOKUP(A3366,INSUMOS_AUX!$A$3:$H$813,6,0),0)</f>
        <v>1.39</v>
      </c>
      <c r="G3366" s="149" t="n">
        <f aca="false">IF(C3366="M.O.",VLOOKUP(A3366,INSUMOS_AUX!A:F,6,0),0)</f>
        <v>0</v>
      </c>
    </row>
    <row r="3367" customFormat="false" ht="21" hidden="false" customHeight="false" outlineLevel="0" collapsed="false">
      <c r="A3367" s="154" t="n">
        <v>37372</v>
      </c>
      <c r="B3367" s="155" t="s">
        <v>1446</v>
      </c>
      <c r="C3367" s="148" t="str">
        <f aca="false">VLOOKUP($A3367,INSUMOS_AUX!$A$3:$H$813,3,0)</f>
        <v>MAT.</v>
      </c>
      <c r="D3367" s="156" t="s">
        <v>1444</v>
      </c>
      <c r="E3367" s="154" t="n">
        <v>1.2473</v>
      </c>
      <c r="F3367" s="149" t="n">
        <f aca="false">IF(C3367="MAT.",VLOOKUP(A3367,INSUMOS_AUX!$A$3:$H$813,6,0),0)</f>
        <v>1.43</v>
      </c>
      <c r="G3367" s="149" t="n">
        <f aca="false">IF(C3367="M.O.",VLOOKUP(A3367,INSUMOS_AUX!A:F,6,0),0)</f>
        <v>0</v>
      </c>
    </row>
    <row r="3368" customFormat="false" ht="21" hidden="false" customHeight="false" outlineLevel="0" collapsed="false">
      <c r="A3368" s="154" t="n">
        <v>43461</v>
      </c>
      <c r="B3368" s="155" t="s">
        <v>1482</v>
      </c>
      <c r="C3368" s="148" t="str">
        <f aca="false">VLOOKUP($A3368,INSUMOS_AUX!$A$3:$H$813,3,0)</f>
        <v>MAT.</v>
      </c>
      <c r="D3368" s="156" t="s">
        <v>1444</v>
      </c>
      <c r="E3368" s="154" t="n">
        <v>0.9485</v>
      </c>
      <c r="F3368" s="149" t="n">
        <f aca="false">IF(C3368="MAT.",VLOOKUP(A3368,INSUMOS_AUX!$A$3:$H$813,6,0),0)</f>
        <v>0.31</v>
      </c>
      <c r="G3368" s="149" t="n">
        <f aca="false">IF(C3368="M.O.",VLOOKUP(A3368,INSUMOS_AUX!A:F,6,0),0)</f>
        <v>0</v>
      </c>
    </row>
    <row r="3369" customFormat="false" ht="21" hidden="false" customHeight="false" outlineLevel="0" collapsed="false">
      <c r="A3369" s="154" t="n">
        <v>43467</v>
      </c>
      <c r="B3369" s="155" t="s">
        <v>1459</v>
      </c>
      <c r="C3369" s="148" t="str">
        <f aca="false">VLOOKUP($A3369,INSUMOS_AUX!$A$3:$H$813,3,0)</f>
        <v>MAT.</v>
      </c>
      <c r="D3369" s="156" t="s">
        <v>1444</v>
      </c>
      <c r="E3369" s="154" t="n">
        <v>0.2988</v>
      </c>
      <c r="F3369" s="149" t="n">
        <f aca="false">IF(C3369="MAT.",VLOOKUP(A3369,INSUMOS_AUX!$A$3:$H$813,6,0),0)</f>
        <v>0.61</v>
      </c>
      <c r="G3369" s="149" t="n">
        <f aca="false">IF(C3369="M.O.",VLOOKUP(A3369,INSUMOS_AUX!A:F,6,0),0)</f>
        <v>0</v>
      </c>
    </row>
    <row r="3370" customFormat="false" ht="21" hidden="false" customHeight="false" outlineLevel="0" collapsed="false">
      <c r="A3370" s="154" t="n">
        <v>37373</v>
      </c>
      <c r="B3370" s="155" t="s">
        <v>1448</v>
      </c>
      <c r="C3370" s="148" t="str">
        <f aca="false">VLOOKUP($A3370,INSUMOS_AUX!$A$3:$H$813,3,0)</f>
        <v>MAT.</v>
      </c>
      <c r="D3370" s="156" t="s">
        <v>1444</v>
      </c>
      <c r="E3370" s="154" t="n">
        <v>1.2473</v>
      </c>
      <c r="F3370" s="149" t="n">
        <f aca="false">IF(C3370="MAT.",VLOOKUP(A3370,INSUMOS_AUX!$A$3:$H$813,6,0),0)</f>
        <v>0.08</v>
      </c>
      <c r="G3370" s="149" t="n">
        <f aca="false">IF(C3370="M.O.",VLOOKUP(A3370,INSUMOS_AUX!A:F,6,0),0)</f>
        <v>0</v>
      </c>
    </row>
    <row r="3371" customFormat="false" ht="21" hidden="false" customHeight="false" outlineLevel="0" collapsed="false">
      <c r="A3371" s="154" t="n">
        <v>37371</v>
      </c>
      <c r="B3371" s="155" t="s">
        <v>1449</v>
      </c>
      <c r="C3371" s="148" t="str">
        <f aca="false">VLOOKUP($A3371,INSUMOS_AUX!$A$3:$H$813,3,0)</f>
        <v>MAT.</v>
      </c>
      <c r="D3371" s="156" t="s">
        <v>1444</v>
      </c>
      <c r="E3371" s="154" t="n">
        <v>1.2473</v>
      </c>
      <c r="F3371" s="149" t="n">
        <f aca="false">IF(C3371="MAT.",VLOOKUP(A3371,INSUMOS_AUX!$A$3:$H$813,6,0),0)</f>
        <v>0.59</v>
      </c>
      <c r="G3371" s="149" t="n">
        <f aca="false">IF(C3371="M.O.",VLOOKUP(A3371,INSUMOS_AUX!A:F,6,0),0)</f>
        <v>0</v>
      </c>
    </row>
    <row r="3372" customFormat="false" ht="21" hidden="false" customHeight="false" outlineLevel="0" collapsed="false">
      <c r="A3372" s="154" t="n">
        <v>36205</v>
      </c>
      <c r="B3372" s="155" t="s">
        <v>2063</v>
      </c>
      <c r="C3372" s="148" t="str">
        <f aca="false">VLOOKUP($A3372,INSUMOS_AUX!$A$3:$H$813,3,0)</f>
        <v>MAT.</v>
      </c>
      <c r="D3372" s="156" t="s">
        <v>31</v>
      </c>
      <c r="E3372" s="154" t="n">
        <v>1</v>
      </c>
      <c r="F3372" s="149" t="n">
        <f aca="false">IF(C3372="MAT.",VLOOKUP(A3372,INSUMOS_AUX!$A$3:$H$813,6,0),0)</f>
        <v>211.52</v>
      </c>
      <c r="G3372" s="149" t="n">
        <f aca="false">IF(C3372="M.O.",VLOOKUP(A3372,INSUMOS_AUX!A:F,6,0),0)</f>
        <v>0</v>
      </c>
    </row>
    <row r="3373" customFormat="false" ht="31.5" hidden="false" customHeight="false" outlineLevel="0" collapsed="false">
      <c r="A3373" s="154" t="n">
        <v>4351</v>
      </c>
      <c r="B3373" s="155" t="s">
        <v>1884</v>
      </c>
      <c r="C3373" s="148" t="str">
        <f aca="false">VLOOKUP($A3373,INSUMOS_AUX!$A$3:$H$813,3,0)</f>
        <v>MAT.</v>
      </c>
      <c r="D3373" s="156" t="s">
        <v>31</v>
      </c>
      <c r="E3373" s="154" t="n">
        <v>6</v>
      </c>
      <c r="F3373" s="149" t="n">
        <f aca="false">IF(C3373="MAT.",VLOOKUP(A3373,INSUMOS_AUX!$A$3:$H$813,6,0),0)</f>
        <v>18.49</v>
      </c>
      <c r="G3373" s="149" t="n">
        <f aca="false">IF(C3373="M.O.",VLOOKUP(A3373,INSUMOS_AUX!A:F,6,0),0)</f>
        <v>0</v>
      </c>
    </row>
    <row r="3374" customFormat="false" ht="15" hidden="false" customHeight="false" outlineLevel="0" collapsed="false">
      <c r="A3374" s="154" t="n">
        <v>2696</v>
      </c>
      <c r="B3374" s="155" t="s">
        <v>1483</v>
      </c>
      <c r="C3374" s="148" t="str">
        <f aca="false">VLOOKUP($A3374,INSUMOS_AUX!$A$3:$H$813,3,0)</f>
        <v>M.O.</v>
      </c>
      <c r="D3374" s="156" t="s">
        <v>1444</v>
      </c>
      <c r="E3374" s="154" t="n">
        <v>0.96555403</v>
      </c>
      <c r="F3374" s="149" t="n">
        <f aca="false">IF(C3374="MAT.",VLOOKUP(A3374,INSUMOS_AUX!$A$3:$H$813,6,0),0)</f>
        <v>0</v>
      </c>
      <c r="G3374" s="149" t="n">
        <f aca="false">IF(C3374="M.O.",VLOOKUP(A3374,INSUMOS_AUX!A:F,6,0),0)</f>
        <v>20.22</v>
      </c>
    </row>
    <row r="3375" customFormat="false" ht="15" hidden="false" customHeight="false" outlineLevel="0" collapsed="false">
      <c r="A3375" s="154" t="n">
        <v>6111</v>
      </c>
      <c r="B3375" s="155" t="s">
        <v>1464</v>
      </c>
      <c r="C3375" s="148" t="s">
        <v>59</v>
      </c>
      <c r="D3375" s="156" t="s">
        <v>1444</v>
      </c>
      <c r="E3375" s="154" t="n">
        <v>0.30513456</v>
      </c>
      <c r="F3375" s="149" t="n">
        <f aca="false">IF(C3375="MAT.",VLOOKUP(A3375,INSUMOS_AUX!$A$3:$H$813,6,0),0)</f>
        <v>0</v>
      </c>
      <c r="G3375" s="149" t="n">
        <f aca="false">IF(C3375="M.O.",VLOOKUP(A3375,INSUMOS_AUX!A:F,6,0),0)</f>
        <v>0</v>
      </c>
    </row>
    <row r="3376" customFormat="false" ht="21" hidden="false" customHeight="false" outlineLevel="0" collapsed="false">
      <c r="A3376" s="150" t="s">
        <v>645</v>
      </c>
      <c r="B3376" s="151" t="s">
        <v>2064</v>
      </c>
      <c r="C3376" s="152" t="s">
        <v>59</v>
      </c>
      <c r="D3376" s="152" t="s">
        <v>31</v>
      </c>
      <c r="E3376" s="150"/>
      <c r="F3376" s="153" t="n">
        <f aca="false">(SUMPRODUCT($E3377:$E3388,F3377:F3388))*1</f>
        <v>241.400472666667</v>
      </c>
      <c r="G3376" s="153" t="n">
        <f aca="false">(SUMPRODUCT($E3377:$E3388,G3377:G3388))*1</f>
        <v>3.951492552</v>
      </c>
    </row>
    <row r="3377" customFormat="false" ht="21" hidden="false" customHeight="false" outlineLevel="0" collapsed="false">
      <c r="A3377" s="154" t="n">
        <v>37370</v>
      </c>
      <c r="B3377" s="155" t="s">
        <v>1443</v>
      </c>
      <c r="C3377" s="148" t="str">
        <f aca="false">VLOOKUP($A3377,INSUMOS_AUX!$A$3:$H$813,3,0)</f>
        <v>MAT.</v>
      </c>
      <c r="D3377" s="156" t="s">
        <v>1444</v>
      </c>
      <c r="E3377" s="154" t="n">
        <v>1.2473</v>
      </c>
      <c r="F3377" s="149" t="n">
        <f aca="false">IF(C3377="MAT.",VLOOKUP(A3377,INSUMOS_AUX!$A$3:$H$813,6,0),0)</f>
        <v>3.32</v>
      </c>
      <c r="G3377" s="149" t="n">
        <f aca="false">IF(C3377="M.O.",VLOOKUP(A3377,INSUMOS_AUX!A:F,6,0),0)</f>
        <v>0</v>
      </c>
    </row>
    <row r="3378" customFormat="false" ht="21" hidden="false" customHeight="false" outlineLevel="0" collapsed="false">
      <c r="A3378" s="154" t="n">
        <v>43485</v>
      </c>
      <c r="B3378" s="155" t="s">
        <v>1481</v>
      </c>
      <c r="C3378" s="148" t="str">
        <f aca="false">VLOOKUP($A3378,INSUMOS_AUX!$A$3:$H$813,3,0)</f>
        <v>MAT.</v>
      </c>
      <c r="D3378" s="156" t="s">
        <v>1444</v>
      </c>
      <c r="E3378" s="154" t="n">
        <v>0.9485</v>
      </c>
      <c r="F3378" s="149" t="n">
        <f aca="false">IF(C3378="MAT.",VLOOKUP(A3378,INSUMOS_AUX!$A$3:$H$813,6,0),0)</f>
        <v>1.13</v>
      </c>
      <c r="G3378" s="149" t="n">
        <f aca="false">IF(C3378="M.O.",VLOOKUP(A3378,INSUMOS_AUX!A:F,6,0),0)</f>
        <v>0</v>
      </c>
    </row>
    <row r="3379" customFormat="false" ht="21" hidden="false" customHeight="false" outlineLevel="0" collapsed="false">
      <c r="A3379" s="154" t="n">
        <v>43491</v>
      </c>
      <c r="B3379" s="155" t="s">
        <v>1457</v>
      </c>
      <c r="C3379" s="148" t="str">
        <f aca="false">VLOOKUP($A3379,INSUMOS_AUX!$A$3:$H$813,3,0)</f>
        <v>MAT.</v>
      </c>
      <c r="D3379" s="156" t="s">
        <v>1444</v>
      </c>
      <c r="E3379" s="154" t="n">
        <v>0.2988</v>
      </c>
      <c r="F3379" s="149" t="n">
        <f aca="false">IF(C3379="MAT.",VLOOKUP(A3379,INSUMOS_AUX!$A$3:$H$813,6,0),0)</f>
        <v>1.39</v>
      </c>
      <c r="G3379" s="149" t="n">
        <f aca="false">IF(C3379="M.O.",VLOOKUP(A3379,INSUMOS_AUX!A:F,6,0),0)</f>
        <v>0</v>
      </c>
    </row>
    <row r="3380" customFormat="false" ht="21" hidden="false" customHeight="false" outlineLevel="0" collapsed="false">
      <c r="A3380" s="154" t="n">
        <v>37372</v>
      </c>
      <c r="B3380" s="155" t="s">
        <v>1446</v>
      </c>
      <c r="C3380" s="148" t="str">
        <f aca="false">VLOOKUP($A3380,INSUMOS_AUX!$A$3:$H$813,3,0)</f>
        <v>MAT.</v>
      </c>
      <c r="D3380" s="156" t="s">
        <v>1444</v>
      </c>
      <c r="E3380" s="154" t="n">
        <v>1.2473</v>
      </c>
      <c r="F3380" s="149" t="n">
        <f aca="false">IF(C3380="MAT.",VLOOKUP(A3380,INSUMOS_AUX!$A$3:$H$813,6,0),0)</f>
        <v>1.43</v>
      </c>
      <c r="G3380" s="149" t="n">
        <f aca="false">IF(C3380="M.O.",VLOOKUP(A3380,INSUMOS_AUX!A:F,6,0),0)</f>
        <v>0</v>
      </c>
    </row>
    <row r="3381" customFormat="false" ht="21" hidden="false" customHeight="false" outlineLevel="0" collapsed="false">
      <c r="A3381" s="154" t="n">
        <v>43461</v>
      </c>
      <c r="B3381" s="155" t="s">
        <v>1482</v>
      </c>
      <c r="C3381" s="148" t="str">
        <f aca="false">VLOOKUP($A3381,INSUMOS_AUX!$A$3:$H$813,3,0)</f>
        <v>MAT.</v>
      </c>
      <c r="D3381" s="156" t="s">
        <v>1444</v>
      </c>
      <c r="E3381" s="154" t="n">
        <v>0.9485</v>
      </c>
      <c r="F3381" s="149" t="n">
        <f aca="false">IF(C3381="MAT.",VLOOKUP(A3381,INSUMOS_AUX!$A$3:$H$813,6,0),0)</f>
        <v>0.31</v>
      </c>
      <c r="G3381" s="149" t="n">
        <f aca="false">IF(C3381="M.O.",VLOOKUP(A3381,INSUMOS_AUX!A:F,6,0),0)</f>
        <v>0</v>
      </c>
    </row>
    <row r="3382" customFormat="false" ht="21" hidden="false" customHeight="false" outlineLevel="0" collapsed="false">
      <c r="A3382" s="154" t="n">
        <v>43467</v>
      </c>
      <c r="B3382" s="155" t="s">
        <v>1459</v>
      </c>
      <c r="C3382" s="148" t="str">
        <f aca="false">VLOOKUP($A3382,INSUMOS_AUX!$A$3:$H$813,3,0)</f>
        <v>MAT.</v>
      </c>
      <c r="D3382" s="156" t="s">
        <v>1444</v>
      </c>
      <c r="E3382" s="154" t="n">
        <v>0.2988</v>
      </c>
      <c r="F3382" s="149" t="n">
        <f aca="false">IF(C3382="MAT.",VLOOKUP(A3382,INSUMOS_AUX!$A$3:$H$813,6,0),0)</f>
        <v>0.61</v>
      </c>
      <c r="G3382" s="149" t="n">
        <f aca="false">IF(C3382="M.O.",VLOOKUP(A3382,INSUMOS_AUX!A:F,6,0),0)</f>
        <v>0</v>
      </c>
    </row>
    <row r="3383" customFormat="false" ht="21" hidden="false" customHeight="false" outlineLevel="0" collapsed="false">
      <c r="A3383" s="154" t="n">
        <v>37373</v>
      </c>
      <c r="B3383" s="155" t="s">
        <v>1448</v>
      </c>
      <c r="C3383" s="148" t="str">
        <f aca="false">VLOOKUP($A3383,INSUMOS_AUX!$A$3:$H$813,3,0)</f>
        <v>MAT.</v>
      </c>
      <c r="D3383" s="156" t="s">
        <v>1444</v>
      </c>
      <c r="E3383" s="154" t="n">
        <v>1.2473</v>
      </c>
      <c r="F3383" s="149" t="n">
        <f aca="false">IF(C3383="MAT.",VLOOKUP(A3383,INSUMOS_AUX!$A$3:$H$813,6,0),0)</f>
        <v>0.08</v>
      </c>
      <c r="G3383" s="149" t="n">
        <f aca="false">IF(C3383="M.O.",VLOOKUP(A3383,INSUMOS_AUX!A:F,6,0),0)</f>
        <v>0</v>
      </c>
    </row>
    <row r="3384" customFormat="false" ht="21" hidden="false" customHeight="false" outlineLevel="0" collapsed="false">
      <c r="A3384" s="154" t="n">
        <v>37371</v>
      </c>
      <c r="B3384" s="155" t="s">
        <v>1449</v>
      </c>
      <c r="C3384" s="148" t="str">
        <f aca="false">VLOOKUP($A3384,INSUMOS_AUX!$A$3:$H$813,3,0)</f>
        <v>MAT.</v>
      </c>
      <c r="D3384" s="156" t="s">
        <v>1444</v>
      </c>
      <c r="E3384" s="154" t="n">
        <v>1.2473</v>
      </c>
      <c r="F3384" s="149" t="n">
        <f aca="false">IF(C3384="MAT.",VLOOKUP(A3384,INSUMOS_AUX!$A$3:$H$813,6,0),0)</f>
        <v>0.59</v>
      </c>
      <c r="G3384" s="149" t="n">
        <f aca="false">IF(C3384="M.O.",VLOOKUP(A3384,INSUMOS_AUX!A:F,6,0),0)</f>
        <v>0</v>
      </c>
    </row>
    <row r="3385" customFormat="false" ht="15" hidden="false" customHeight="false" outlineLevel="0" collapsed="false">
      <c r="A3385" s="154" t="s">
        <v>2065</v>
      </c>
      <c r="B3385" s="155" t="s">
        <v>2066</v>
      </c>
      <c r="C3385" s="148" t="str">
        <f aca="false">VLOOKUP($A3385,INSUMOS_AUX!$A$3:$H$813,3,0)</f>
        <v>MAT.</v>
      </c>
      <c r="D3385" s="156" t="s">
        <v>31</v>
      </c>
      <c r="E3385" s="154" t="n">
        <v>1</v>
      </c>
      <c r="F3385" s="149" t="n">
        <f aca="false">IF(C3385="MAT.",VLOOKUP(A3385,INSUMOS_AUX!$A$3:$H$813,6,0),0)</f>
        <v>121.736666666667</v>
      </c>
      <c r="G3385" s="149" t="n">
        <f aca="false">IF(C3385="M.O.",VLOOKUP(A3385,INSUMOS_AUX!A:F,6,0),0)</f>
        <v>0</v>
      </c>
    </row>
    <row r="3386" customFormat="false" ht="31.5" hidden="false" customHeight="false" outlineLevel="0" collapsed="false">
      <c r="A3386" s="154" t="n">
        <v>4351</v>
      </c>
      <c r="B3386" s="155" t="s">
        <v>1884</v>
      </c>
      <c r="C3386" s="148" t="str">
        <f aca="false">VLOOKUP($A3386,INSUMOS_AUX!$A$3:$H$813,3,0)</f>
        <v>MAT.</v>
      </c>
      <c r="D3386" s="156" t="s">
        <v>31</v>
      </c>
      <c r="E3386" s="154" t="n">
        <v>6</v>
      </c>
      <c r="F3386" s="149" t="n">
        <f aca="false">IF(C3386="MAT.",VLOOKUP(A3386,INSUMOS_AUX!$A$3:$H$813,6,0),0)</f>
        <v>18.49</v>
      </c>
      <c r="G3386" s="149" t="n">
        <f aca="false">IF(C3386="M.O.",VLOOKUP(A3386,INSUMOS_AUX!A:F,6,0),0)</f>
        <v>0</v>
      </c>
    </row>
    <row r="3387" customFormat="false" ht="15" hidden="false" customHeight="false" outlineLevel="0" collapsed="false">
      <c r="A3387" s="154" t="n">
        <v>2696</v>
      </c>
      <c r="B3387" s="155" t="s">
        <v>1483</v>
      </c>
      <c r="C3387" s="148" t="s">
        <v>59</v>
      </c>
      <c r="D3387" s="156" t="s">
        <v>1444</v>
      </c>
      <c r="E3387" s="154" t="n">
        <v>0.96555403</v>
      </c>
      <c r="F3387" s="149" t="n">
        <f aca="false">IF(C3387="MAT.",VLOOKUP(A3387,INSUMOS_AUX!$A$3:$H$813,6,0),0)</f>
        <v>0</v>
      </c>
      <c r="G3387" s="149" t="n">
        <f aca="false">IF(C3387="M.O.",VLOOKUP(A3387,INSUMOS_AUX!A:F,6,0),0)</f>
        <v>0</v>
      </c>
    </row>
    <row r="3388" customFormat="false" ht="15" hidden="false" customHeight="false" outlineLevel="0" collapsed="false">
      <c r="A3388" s="154" t="n">
        <v>6111</v>
      </c>
      <c r="B3388" s="155" t="s">
        <v>1464</v>
      </c>
      <c r="C3388" s="148" t="str">
        <f aca="false">VLOOKUP($A3388,INSUMOS_AUX!$A$3:$H$813,3,0)</f>
        <v>M.O.</v>
      </c>
      <c r="D3388" s="156" t="s">
        <v>1444</v>
      </c>
      <c r="E3388" s="154" t="n">
        <v>0.30513456</v>
      </c>
      <c r="F3388" s="149" t="n">
        <f aca="false">IF(C3388="MAT.",VLOOKUP(A3388,INSUMOS_AUX!$A$3:$H$813,6,0),0)</f>
        <v>0</v>
      </c>
      <c r="G3388" s="149" t="n">
        <f aca="false">IF(C3388="M.O.",VLOOKUP(A3388,INSUMOS_AUX!A:F,6,0),0)</f>
        <v>12.95</v>
      </c>
    </row>
    <row r="3389" customFormat="false" ht="31.5" hidden="false" customHeight="false" outlineLevel="0" collapsed="false">
      <c r="A3389" s="150" t="s">
        <v>647</v>
      </c>
      <c r="B3389" s="151" t="s">
        <v>2067</v>
      </c>
      <c r="C3389" s="152" t="s">
        <v>59</v>
      </c>
      <c r="D3389" s="152" t="s">
        <v>31</v>
      </c>
      <c r="E3389" s="150"/>
      <c r="F3389" s="153" t="n">
        <f aca="false">(SUMPRODUCT($E3390:$E3401,F3390:F3401))*1</f>
        <v>189.007139333333</v>
      </c>
      <c r="G3389" s="153" t="n">
        <f aca="false">(SUMPRODUCT($E3390:$E3401,G3390:G3401))*1</f>
        <v>23.4749950386</v>
      </c>
    </row>
    <row r="3390" customFormat="false" ht="21" hidden="false" customHeight="false" outlineLevel="0" collapsed="false">
      <c r="A3390" s="154" t="n">
        <v>37370</v>
      </c>
      <c r="B3390" s="155" t="s">
        <v>1443</v>
      </c>
      <c r="C3390" s="148" t="str">
        <f aca="false">VLOOKUP($A3390,INSUMOS_AUX!$A$3:$H$813,3,0)</f>
        <v>MAT.</v>
      </c>
      <c r="D3390" s="156" t="s">
        <v>1444</v>
      </c>
      <c r="E3390" s="154" t="n">
        <v>1.2473</v>
      </c>
      <c r="F3390" s="149" t="n">
        <f aca="false">IF(C3390="MAT.",VLOOKUP(A3390,INSUMOS_AUX!$A$3:$H$813,6,0),0)</f>
        <v>3.32</v>
      </c>
      <c r="G3390" s="149" t="n">
        <f aca="false">IF(C3390="M.O.",VLOOKUP(A3390,INSUMOS_AUX!A:F,6,0),0)</f>
        <v>0</v>
      </c>
    </row>
    <row r="3391" customFormat="false" ht="21" hidden="false" customHeight="false" outlineLevel="0" collapsed="false">
      <c r="A3391" s="154" t="n">
        <v>43485</v>
      </c>
      <c r="B3391" s="155" t="s">
        <v>1481</v>
      </c>
      <c r="C3391" s="148" t="str">
        <f aca="false">VLOOKUP($A3391,INSUMOS_AUX!$A$3:$H$813,3,0)</f>
        <v>MAT.</v>
      </c>
      <c r="D3391" s="156" t="s">
        <v>1444</v>
      </c>
      <c r="E3391" s="154" t="n">
        <v>0.9485</v>
      </c>
      <c r="F3391" s="149" t="n">
        <f aca="false">IF(C3391="MAT.",VLOOKUP(A3391,INSUMOS_AUX!$A$3:$H$813,6,0),0)</f>
        <v>1.13</v>
      </c>
      <c r="G3391" s="149" t="n">
        <f aca="false">IF(C3391="M.O.",VLOOKUP(A3391,INSUMOS_AUX!A:F,6,0),0)</f>
        <v>0</v>
      </c>
    </row>
    <row r="3392" customFormat="false" ht="21" hidden="false" customHeight="false" outlineLevel="0" collapsed="false">
      <c r="A3392" s="154" t="n">
        <v>43491</v>
      </c>
      <c r="B3392" s="155" t="s">
        <v>1457</v>
      </c>
      <c r="C3392" s="148" t="str">
        <f aca="false">VLOOKUP($A3392,INSUMOS_AUX!$A$3:$H$813,3,0)</f>
        <v>MAT.</v>
      </c>
      <c r="D3392" s="156" t="s">
        <v>1444</v>
      </c>
      <c r="E3392" s="154" t="n">
        <v>0.2988</v>
      </c>
      <c r="F3392" s="149" t="n">
        <f aca="false">IF(C3392="MAT.",VLOOKUP(A3392,INSUMOS_AUX!$A$3:$H$813,6,0),0)</f>
        <v>1.39</v>
      </c>
      <c r="G3392" s="149" t="n">
        <f aca="false">IF(C3392="M.O.",VLOOKUP(A3392,INSUMOS_AUX!A:F,6,0),0)</f>
        <v>0</v>
      </c>
    </row>
    <row r="3393" customFormat="false" ht="21" hidden="false" customHeight="false" outlineLevel="0" collapsed="false">
      <c r="A3393" s="154" t="n">
        <v>37372</v>
      </c>
      <c r="B3393" s="155" t="s">
        <v>1446</v>
      </c>
      <c r="C3393" s="148" t="str">
        <f aca="false">VLOOKUP($A3393,INSUMOS_AUX!$A$3:$H$813,3,0)</f>
        <v>MAT.</v>
      </c>
      <c r="D3393" s="156" t="s">
        <v>1444</v>
      </c>
      <c r="E3393" s="154" t="n">
        <v>1.2473</v>
      </c>
      <c r="F3393" s="149" t="n">
        <f aca="false">IF(C3393="MAT.",VLOOKUP(A3393,INSUMOS_AUX!$A$3:$H$813,6,0),0)</f>
        <v>1.43</v>
      </c>
      <c r="G3393" s="149" t="n">
        <f aca="false">IF(C3393="M.O.",VLOOKUP(A3393,INSUMOS_AUX!A:F,6,0),0)</f>
        <v>0</v>
      </c>
    </row>
    <row r="3394" customFormat="false" ht="21" hidden="false" customHeight="false" outlineLevel="0" collapsed="false">
      <c r="A3394" s="154" t="n">
        <v>43461</v>
      </c>
      <c r="B3394" s="155" t="s">
        <v>1482</v>
      </c>
      <c r="C3394" s="148" t="str">
        <f aca="false">VLOOKUP($A3394,INSUMOS_AUX!$A$3:$H$813,3,0)</f>
        <v>MAT.</v>
      </c>
      <c r="D3394" s="156" t="s">
        <v>1444</v>
      </c>
      <c r="E3394" s="154" t="n">
        <v>0.9485</v>
      </c>
      <c r="F3394" s="149" t="n">
        <f aca="false">IF(C3394="MAT.",VLOOKUP(A3394,INSUMOS_AUX!$A$3:$H$813,6,0),0)</f>
        <v>0.31</v>
      </c>
      <c r="G3394" s="149" t="n">
        <f aca="false">IF(C3394="M.O.",VLOOKUP(A3394,INSUMOS_AUX!A:F,6,0),0)</f>
        <v>0</v>
      </c>
    </row>
    <row r="3395" customFormat="false" ht="21" hidden="false" customHeight="false" outlineLevel="0" collapsed="false">
      <c r="A3395" s="154" t="n">
        <v>43467</v>
      </c>
      <c r="B3395" s="155" t="s">
        <v>1459</v>
      </c>
      <c r="C3395" s="148" t="str">
        <f aca="false">VLOOKUP($A3395,INSUMOS_AUX!$A$3:$H$813,3,0)</f>
        <v>MAT.</v>
      </c>
      <c r="D3395" s="156" t="s">
        <v>1444</v>
      </c>
      <c r="E3395" s="154" t="n">
        <v>0.2988</v>
      </c>
      <c r="F3395" s="149" t="n">
        <f aca="false">IF(C3395="MAT.",VLOOKUP(A3395,INSUMOS_AUX!$A$3:$H$813,6,0),0)</f>
        <v>0.61</v>
      </c>
      <c r="G3395" s="149" t="n">
        <f aca="false">IF(C3395="M.O.",VLOOKUP(A3395,INSUMOS_AUX!A:F,6,0),0)</f>
        <v>0</v>
      </c>
    </row>
    <row r="3396" customFormat="false" ht="21" hidden="false" customHeight="false" outlineLevel="0" collapsed="false">
      <c r="A3396" s="154" t="n">
        <v>37373</v>
      </c>
      <c r="B3396" s="155" t="s">
        <v>1448</v>
      </c>
      <c r="C3396" s="148" t="str">
        <f aca="false">VLOOKUP($A3396,INSUMOS_AUX!$A$3:$H$813,3,0)</f>
        <v>MAT.</v>
      </c>
      <c r="D3396" s="156" t="s">
        <v>1444</v>
      </c>
      <c r="E3396" s="154" t="n">
        <v>1.2473</v>
      </c>
      <c r="F3396" s="149" t="n">
        <f aca="false">IF(C3396="MAT.",VLOOKUP(A3396,INSUMOS_AUX!$A$3:$H$813,6,0),0)</f>
        <v>0.08</v>
      </c>
      <c r="G3396" s="149" t="n">
        <f aca="false">IF(C3396="M.O.",VLOOKUP(A3396,INSUMOS_AUX!A:F,6,0),0)</f>
        <v>0</v>
      </c>
    </row>
    <row r="3397" customFormat="false" ht="21" hidden="false" customHeight="false" outlineLevel="0" collapsed="false">
      <c r="A3397" s="154" t="n">
        <v>37371</v>
      </c>
      <c r="B3397" s="155" t="s">
        <v>1449</v>
      </c>
      <c r="C3397" s="148" t="str">
        <f aca="false">VLOOKUP($A3397,INSUMOS_AUX!$A$3:$H$813,3,0)</f>
        <v>MAT.</v>
      </c>
      <c r="D3397" s="156" t="s">
        <v>1444</v>
      </c>
      <c r="E3397" s="154" t="n">
        <v>1.2473</v>
      </c>
      <c r="F3397" s="149" t="n">
        <f aca="false">IF(C3397="MAT.",VLOOKUP(A3397,INSUMOS_AUX!$A$3:$H$813,6,0),0)</f>
        <v>0.59</v>
      </c>
      <c r="G3397" s="149" t="n">
        <f aca="false">IF(C3397="M.O.",VLOOKUP(A3397,INSUMOS_AUX!A:F,6,0),0)</f>
        <v>0</v>
      </c>
    </row>
    <row r="3398" customFormat="false" ht="15" hidden="false" customHeight="false" outlineLevel="0" collapsed="false">
      <c r="A3398" s="154" t="s">
        <v>2068</v>
      </c>
      <c r="B3398" s="155" t="s">
        <v>2069</v>
      </c>
      <c r="C3398" s="148" t="str">
        <f aca="false">VLOOKUP($A3398,INSUMOS_AUX!$A$3:$H$813,3,0)</f>
        <v>MAT.</v>
      </c>
      <c r="D3398" s="156" t="s">
        <v>31</v>
      </c>
      <c r="E3398" s="154" t="n">
        <v>1</v>
      </c>
      <c r="F3398" s="149" t="n">
        <f aca="false">IF(C3398="MAT.",VLOOKUP(A3398,INSUMOS_AUX!$A$3:$H$813,6,0),0)</f>
        <v>69.3433333333333</v>
      </c>
      <c r="G3398" s="149" t="n">
        <f aca="false">IF(C3398="M.O.",VLOOKUP(A3398,INSUMOS_AUX!A:F,6,0),0)</f>
        <v>0</v>
      </c>
    </row>
    <row r="3399" customFormat="false" ht="31.5" hidden="false" customHeight="false" outlineLevel="0" collapsed="false">
      <c r="A3399" s="154" t="n">
        <v>4351</v>
      </c>
      <c r="B3399" s="155" t="s">
        <v>1884</v>
      </c>
      <c r="C3399" s="148" t="str">
        <f aca="false">VLOOKUP($A3399,INSUMOS_AUX!$A$3:$H$813,3,0)</f>
        <v>MAT.</v>
      </c>
      <c r="D3399" s="156" t="s">
        <v>31</v>
      </c>
      <c r="E3399" s="154" t="n">
        <v>6</v>
      </c>
      <c r="F3399" s="149" t="n">
        <f aca="false">IF(C3399="MAT.",VLOOKUP(A3399,INSUMOS_AUX!$A$3:$H$813,6,0),0)</f>
        <v>18.49</v>
      </c>
      <c r="G3399" s="149" t="n">
        <f aca="false">IF(C3399="M.O.",VLOOKUP(A3399,INSUMOS_AUX!A:F,6,0),0)</f>
        <v>0</v>
      </c>
    </row>
    <row r="3400" customFormat="false" ht="15" hidden="false" customHeight="false" outlineLevel="0" collapsed="false">
      <c r="A3400" s="154" t="n">
        <v>2696</v>
      </c>
      <c r="B3400" s="155" t="s">
        <v>1483</v>
      </c>
      <c r="C3400" s="148" t="str">
        <f aca="false">VLOOKUP($A3400,INSUMOS_AUX!$A$3:$H$813,3,0)</f>
        <v>M.O.</v>
      </c>
      <c r="D3400" s="156" t="s">
        <v>1444</v>
      </c>
      <c r="E3400" s="154" t="n">
        <v>0.96555403</v>
      </c>
      <c r="F3400" s="149" t="n">
        <f aca="false">IF(C3400="MAT.",VLOOKUP(A3400,INSUMOS_AUX!$A$3:$H$813,6,0),0)</f>
        <v>0</v>
      </c>
      <c r="G3400" s="149" t="n">
        <f aca="false">IF(C3400="M.O.",VLOOKUP(A3400,INSUMOS_AUX!A:F,6,0),0)</f>
        <v>20.22</v>
      </c>
    </row>
    <row r="3401" customFormat="false" ht="15" hidden="false" customHeight="false" outlineLevel="0" collapsed="false">
      <c r="A3401" s="154" t="n">
        <v>6111</v>
      </c>
      <c r="B3401" s="155" t="s">
        <v>1464</v>
      </c>
      <c r="C3401" s="148" t="str">
        <f aca="false">VLOOKUP($A3401,INSUMOS_AUX!$A$3:$H$813,3,0)</f>
        <v>M.O.</v>
      </c>
      <c r="D3401" s="156" t="s">
        <v>1444</v>
      </c>
      <c r="E3401" s="154" t="n">
        <v>0.30513456</v>
      </c>
      <c r="F3401" s="149" t="n">
        <f aca="false">IF(C3401="MAT.",VLOOKUP(A3401,INSUMOS_AUX!$A$3:$H$813,6,0),0)</f>
        <v>0</v>
      </c>
      <c r="G3401" s="149" t="n">
        <f aca="false">IF(C3401="M.O.",VLOOKUP(A3401,INSUMOS_AUX!A:F,6,0),0)</f>
        <v>12.95</v>
      </c>
    </row>
    <row r="3402" customFormat="false" ht="21" hidden="false" customHeight="false" outlineLevel="0" collapsed="false">
      <c r="A3402" s="150" t="s">
        <v>654</v>
      </c>
      <c r="B3402" s="151" t="s">
        <v>2070</v>
      </c>
      <c r="C3402" s="152" t="s">
        <v>59</v>
      </c>
      <c r="D3402" s="152" t="s">
        <v>31</v>
      </c>
      <c r="E3402" s="150"/>
      <c r="F3402" s="153" t="n">
        <f aca="false">(SUMPRODUCT($E3403:$E3421,F3403:F3421))*1</f>
        <v>1256.127604375</v>
      </c>
      <c r="G3402" s="153" t="n">
        <f aca="false">(SUMPRODUCT($E3403:$E3421,G3403:G3421))*1</f>
        <v>95.311100241</v>
      </c>
    </row>
    <row r="3403" customFormat="false" ht="21" hidden="false" customHeight="false" outlineLevel="0" collapsed="false">
      <c r="A3403" s="154" t="n">
        <v>37370</v>
      </c>
      <c r="B3403" s="155" t="s">
        <v>1443</v>
      </c>
      <c r="C3403" s="148" t="s">
        <v>59</v>
      </c>
      <c r="D3403" s="156" t="s">
        <v>1444</v>
      </c>
      <c r="E3403" s="154" t="n">
        <v>5.33305</v>
      </c>
      <c r="F3403" s="149" t="n">
        <f aca="false">IF(C3403="MAT.",VLOOKUP(A3403,INSUMOS_AUX!$A$3:$H$813,6,0),0)</f>
        <v>0</v>
      </c>
      <c r="G3403" s="149" t="n">
        <f aca="false">IF(C3403="M.O.",VLOOKUP(A3403,INSUMOS_AUX!A:F,6,0),0)</f>
        <v>0</v>
      </c>
    </row>
    <row r="3404" customFormat="false" ht="21" hidden="false" customHeight="false" outlineLevel="0" collapsed="false">
      <c r="A3404" s="154" t="n">
        <v>43489</v>
      </c>
      <c r="B3404" s="155" t="s">
        <v>1456</v>
      </c>
      <c r="C3404" s="148" t="str">
        <f aca="false">VLOOKUP($A3404,INSUMOS_AUX!$A$3:$H$813,3,0)</f>
        <v>MAT.</v>
      </c>
      <c r="D3404" s="156" t="s">
        <v>1444</v>
      </c>
      <c r="E3404" s="154" t="n">
        <v>3.3979</v>
      </c>
      <c r="F3404" s="149" t="n">
        <f aca="false">IF(C3404="MAT.",VLOOKUP(A3404,INSUMOS_AUX!$A$3:$H$813,6,0),0)</f>
        <v>1.31</v>
      </c>
      <c r="G3404" s="149" t="n">
        <f aca="false">IF(C3404="M.O.",VLOOKUP(A3404,INSUMOS_AUX!A:F,6,0),0)</f>
        <v>0</v>
      </c>
    </row>
    <row r="3405" customFormat="false" ht="21" hidden="false" customHeight="false" outlineLevel="0" collapsed="false">
      <c r="A3405" s="154" t="n">
        <v>43491</v>
      </c>
      <c r="B3405" s="155" t="s">
        <v>1457</v>
      </c>
      <c r="C3405" s="148" t="str">
        <f aca="false">VLOOKUP($A3405,INSUMOS_AUX!$A$3:$H$813,3,0)</f>
        <v>MAT.</v>
      </c>
      <c r="D3405" s="156" t="s">
        <v>1444</v>
      </c>
      <c r="E3405" s="154" t="n">
        <v>1.93515</v>
      </c>
      <c r="F3405" s="149" t="n">
        <f aca="false">IF(C3405="MAT.",VLOOKUP(A3405,INSUMOS_AUX!$A$3:$H$813,6,0),0)</f>
        <v>1.39</v>
      </c>
      <c r="G3405" s="149" t="n">
        <f aca="false">IF(C3405="M.O.",VLOOKUP(A3405,INSUMOS_AUX!A:F,6,0),0)</f>
        <v>0</v>
      </c>
    </row>
    <row r="3406" customFormat="false" ht="21" hidden="false" customHeight="false" outlineLevel="0" collapsed="false">
      <c r="A3406" s="154" t="n">
        <v>37372</v>
      </c>
      <c r="B3406" s="155" t="s">
        <v>1446</v>
      </c>
      <c r="C3406" s="148" t="str">
        <f aca="false">VLOOKUP($A3406,INSUMOS_AUX!$A$3:$H$813,3,0)</f>
        <v>MAT.</v>
      </c>
      <c r="D3406" s="156" t="s">
        <v>1444</v>
      </c>
      <c r="E3406" s="154" t="n">
        <v>5.33305</v>
      </c>
      <c r="F3406" s="149" t="n">
        <f aca="false">IF(C3406="MAT.",VLOOKUP(A3406,INSUMOS_AUX!$A$3:$H$813,6,0),0)</f>
        <v>1.43</v>
      </c>
      <c r="G3406" s="149" t="n">
        <f aca="false">IF(C3406="M.O.",VLOOKUP(A3406,INSUMOS_AUX!A:F,6,0),0)</f>
        <v>0</v>
      </c>
    </row>
    <row r="3407" customFormat="false" ht="21" hidden="false" customHeight="false" outlineLevel="0" collapsed="false">
      <c r="A3407" s="154" t="n">
        <v>43465</v>
      </c>
      <c r="B3407" s="155" t="s">
        <v>1458</v>
      </c>
      <c r="C3407" s="148" t="str">
        <f aca="false">VLOOKUP($A3407,INSUMOS_AUX!$A$3:$H$813,3,0)</f>
        <v>MAT.</v>
      </c>
      <c r="D3407" s="156" t="s">
        <v>1444</v>
      </c>
      <c r="E3407" s="154" t="n">
        <v>3.3979</v>
      </c>
      <c r="F3407" s="149" t="n">
        <f aca="false">IF(C3407="MAT.",VLOOKUP(A3407,INSUMOS_AUX!$A$3:$H$813,6,0),0)</f>
        <v>0.78</v>
      </c>
      <c r="G3407" s="149" t="n">
        <f aca="false">IF(C3407="M.O.",VLOOKUP(A3407,INSUMOS_AUX!A:F,6,0),0)</f>
        <v>0</v>
      </c>
    </row>
    <row r="3408" customFormat="false" ht="21" hidden="false" customHeight="false" outlineLevel="0" collapsed="false">
      <c r="A3408" s="154" t="n">
        <v>43467</v>
      </c>
      <c r="B3408" s="155" t="s">
        <v>1459</v>
      </c>
      <c r="C3408" s="148" t="str">
        <f aca="false">VLOOKUP($A3408,INSUMOS_AUX!$A$3:$H$813,3,0)</f>
        <v>MAT.</v>
      </c>
      <c r="D3408" s="156" t="s">
        <v>1444</v>
      </c>
      <c r="E3408" s="154" t="n">
        <v>1.93515</v>
      </c>
      <c r="F3408" s="149" t="n">
        <f aca="false">IF(C3408="MAT.",VLOOKUP(A3408,INSUMOS_AUX!$A$3:$H$813,6,0),0)</f>
        <v>0.61</v>
      </c>
      <c r="G3408" s="149" t="n">
        <f aca="false">IF(C3408="M.O.",VLOOKUP(A3408,INSUMOS_AUX!A:F,6,0),0)</f>
        <v>0</v>
      </c>
    </row>
    <row r="3409" customFormat="false" ht="21" hidden="false" customHeight="false" outlineLevel="0" collapsed="false">
      <c r="A3409" s="154" t="n">
        <v>37373</v>
      </c>
      <c r="B3409" s="155" t="s">
        <v>1448</v>
      </c>
      <c r="C3409" s="148" t="str">
        <f aca="false">VLOOKUP($A3409,INSUMOS_AUX!$A$3:$H$813,3,0)</f>
        <v>MAT.</v>
      </c>
      <c r="D3409" s="156" t="s">
        <v>1444</v>
      </c>
      <c r="E3409" s="154" t="n">
        <v>5.33305</v>
      </c>
      <c r="F3409" s="149" t="n">
        <f aca="false">IF(C3409="MAT.",VLOOKUP(A3409,INSUMOS_AUX!$A$3:$H$813,6,0),0)</f>
        <v>0.08</v>
      </c>
      <c r="G3409" s="149" t="n">
        <f aca="false">IF(C3409="M.O.",VLOOKUP(A3409,INSUMOS_AUX!A:F,6,0),0)</f>
        <v>0</v>
      </c>
    </row>
    <row r="3410" customFormat="false" ht="21" hidden="false" customHeight="false" outlineLevel="0" collapsed="false">
      <c r="A3410" s="154" t="n">
        <v>37371</v>
      </c>
      <c r="B3410" s="155" t="s">
        <v>1449</v>
      </c>
      <c r="C3410" s="148" t="str">
        <f aca="false">VLOOKUP($A3410,INSUMOS_AUX!$A$3:$H$813,3,0)</f>
        <v>MAT.</v>
      </c>
      <c r="D3410" s="156" t="s">
        <v>1444</v>
      </c>
      <c r="E3410" s="154" t="n">
        <v>5.33305</v>
      </c>
      <c r="F3410" s="149" t="n">
        <f aca="false">IF(C3410="MAT.",VLOOKUP(A3410,INSUMOS_AUX!$A$3:$H$813,6,0),0)</f>
        <v>0.59</v>
      </c>
      <c r="G3410" s="149" t="n">
        <f aca="false">IF(C3410="M.O.",VLOOKUP(A3410,INSUMOS_AUX!A:F,6,0),0)</f>
        <v>0</v>
      </c>
    </row>
    <row r="3411" customFormat="false" ht="15" hidden="false" customHeight="false" outlineLevel="0" collapsed="false">
      <c r="A3411" s="154" t="n">
        <v>37595</v>
      </c>
      <c r="B3411" s="155" t="s">
        <v>1822</v>
      </c>
      <c r="C3411" s="148" t="str">
        <f aca="false">VLOOKUP($A3411,INSUMOS_AUX!$A$3:$H$813,3,0)</f>
        <v>MAT.</v>
      </c>
      <c r="D3411" s="156" t="s">
        <v>1513</v>
      </c>
      <c r="E3411" s="154" t="n">
        <v>4.84065</v>
      </c>
      <c r="F3411" s="149" t="n">
        <f aca="false">IF(C3411="MAT.",VLOOKUP(A3411,INSUMOS_AUX!$A$3:$H$813,6,0),0)</f>
        <v>2.46</v>
      </c>
      <c r="G3411" s="149" t="n">
        <f aca="false">IF(C3411="M.O.",VLOOKUP(A3411,INSUMOS_AUX!A:F,6,0),0)</f>
        <v>0</v>
      </c>
    </row>
    <row r="3412" customFormat="false" ht="31.5" hidden="false" customHeight="false" outlineLevel="0" collapsed="false">
      <c r="A3412" s="154" t="n">
        <v>7568</v>
      </c>
      <c r="B3412" s="155" t="s">
        <v>1815</v>
      </c>
      <c r="C3412" s="148" t="str">
        <f aca="false">VLOOKUP($A3412,INSUMOS_AUX!$A$3:$H$813,3,0)</f>
        <v>MAT.</v>
      </c>
      <c r="D3412" s="156" t="s">
        <v>31</v>
      </c>
      <c r="E3412" s="154" t="n">
        <v>8.25</v>
      </c>
      <c r="F3412" s="149" t="n">
        <f aca="false">IF(C3412="MAT.",VLOOKUP(A3412,INSUMOS_AUX!$A$3:$H$813,6,0),0)</f>
        <v>0.79</v>
      </c>
      <c r="G3412" s="149" t="n">
        <f aca="false">IF(C3412="M.O.",VLOOKUP(A3412,INSUMOS_AUX!A:F,6,0),0)</f>
        <v>0</v>
      </c>
    </row>
    <row r="3413" customFormat="false" ht="31.5" hidden="false" customHeight="false" outlineLevel="0" collapsed="false">
      <c r="A3413" s="154" t="n">
        <v>11795</v>
      </c>
      <c r="B3413" s="155" t="s">
        <v>2029</v>
      </c>
      <c r="C3413" s="148" t="str">
        <f aca="false">VLOOKUP($A3413,INSUMOS_AUX!$A$3:$H$813,3,0)</f>
        <v>MAT.</v>
      </c>
      <c r="D3413" s="156" t="s">
        <v>1477</v>
      </c>
      <c r="E3413" s="154" t="n">
        <v>1.381875</v>
      </c>
      <c r="F3413" s="149" t="n">
        <f aca="false">IF(C3413="MAT.",VLOOKUP(A3413,INSUMOS_AUX!$A$3:$H$813,6,0),0)</f>
        <v>588.67</v>
      </c>
      <c r="G3413" s="149" t="n">
        <f aca="false">IF(C3413="M.O.",VLOOKUP(A3413,INSUMOS_AUX!A:F,6,0),0)</f>
        <v>0</v>
      </c>
    </row>
    <row r="3414" customFormat="false" ht="15" hidden="false" customHeight="false" outlineLevel="0" collapsed="false">
      <c r="A3414" s="154" t="n">
        <v>4823</v>
      </c>
      <c r="B3414" s="155" t="s">
        <v>2030</v>
      </c>
      <c r="C3414" s="148" t="str">
        <f aca="false">VLOOKUP($A3414,INSUMOS_AUX!$A$3:$H$813,3,0)</f>
        <v>MAT.</v>
      </c>
      <c r="D3414" s="156" t="s">
        <v>1513</v>
      </c>
      <c r="E3414" s="154" t="n">
        <v>0.71885</v>
      </c>
      <c r="F3414" s="149" t="n">
        <f aca="false">IF(C3414="MAT.",VLOOKUP(A3414,INSUMOS_AUX!$A$3:$H$813,6,0),0)</f>
        <v>29.89</v>
      </c>
      <c r="G3414" s="149" t="n">
        <f aca="false">IF(C3414="M.O.",VLOOKUP(A3414,INSUMOS_AUX!A:F,6,0),0)</f>
        <v>0</v>
      </c>
    </row>
    <row r="3415" customFormat="false" ht="15" hidden="false" customHeight="false" outlineLevel="0" collapsed="false">
      <c r="A3415" s="154" t="n">
        <v>34357</v>
      </c>
      <c r="B3415" s="155" t="s">
        <v>1938</v>
      </c>
      <c r="C3415" s="148" t="str">
        <f aca="false">VLOOKUP($A3415,INSUMOS_AUX!$A$3:$H$813,3,0)</f>
        <v>MAT.</v>
      </c>
      <c r="D3415" s="156" t="s">
        <v>1513</v>
      </c>
      <c r="E3415" s="154" t="n">
        <v>0.27</v>
      </c>
      <c r="F3415" s="149" t="n">
        <f aca="false">IF(C3415="MAT.",VLOOKUP(A3415,INSUMOS_AUX!$A$3:$H$813,6,0),0)</f>
        <v>4.69</v>
      </c>
      <c r="G3415" s="149" t="n">
        <f aca="false">IF(C3415="M.O.",VLOOKUP(A3415,INSUMOS_AUX!A:F,6,0),0)</f>
        <v>0</v>
      </c>
    </row>
    <row r="3416" customFormat="false" ht="15" hidden="false" customHeight="false" outlineLevel="0" collapsed="false">
      <c r="A3416" s="154" t="n">
        <v>37329</v>
      </c>
      <c r="B3416" s="155" t="s">
        <v>2018</v>
      </c>
      <c r="C3416" s="148" t="str">
        <f aca="false">VLOOKUP($A3416,INSUMOS_AUX!$A$3:$H$813,3,0)</f>
        <v>MAT.</v>
      </c>
      <c r="D3416" s="156" t="s">
        <v>1513</v>
      </c>
      <c r="E3416" s="154" t="n">
        <v>0.0290125</v>
      </c>
      <c r="F3416" s="149" t="n">
        <f aca="false">IF(C3416="MAT.",VLOOKUP(A3416,INSUMOS_AUX!$A$3:$H$813,6,0),0)</f>
        <v>98.93</v>
      </c>
      <c r="G3416" s="149" t="n">
        <f aca="false">IF(C3416="M.O.",VLOOKUP(A3416,INSUMOS_AUX!A:F,6,0),0)</f>
        <v>0</v>
      </c>
    </row>
    <row r="3417" customFormat="false" ht="31.5" hidden="false" customHeight="false" outlineLevel="0" collapsed="false">
      <c r="A3417" s="154" t="n">
        <v>20231</v>
      </c>
      <c r="B3417" s="155" t="s">
        <v>2031</v>
      </c>
      <c r="C3417" s="148" t="str">
        <f aca="false">VLOOKUP($A3417,INSUMOS_AUX!$A$3:$H$813,3,0)</f>
        <v>MAT.</v>
      </c>
      <c r="D3417" s="156" t="s">
        <v>1455</v>
      </c>
      <c r="E3417" s="154" t="n">
        <v>2.34</v>
      </c>
      <c r="F3417" s="149" t="n">
        <f aca="false">IF(C3417="MAT.",VLOOKUP(A3417,INSUMOS_AUX!$A$3:$H$813,6,0),0)</f>
        <v>58.05</v>
      </c>
      <c r="G3417" s="149" t="n">
        <f aca="false">IF(C3417="M.O.",VLOOKUP(A3417,INSUMOS_AUX!A:F,6,0),0)</f>
        <v>0</v>
      </c>
    </row>
    <row r="3418" customFormat="false" ht="31.5" hidden="false" customHeight="false" outlineLevel="0" collapsed="false">
      <c r="A3418" s="154" t="n">
        <v>20232</v>
      </c>
      <c r="B3418" s="155" t="s">
        <v>1823</v>
      </c>
      <c r="C3418" s="148" t="str">
        <f aca="false">VLOOKUP($A3418,INSUMOS_AUX!$A$3:$H$813,3,0)</f>
        <v>MAT.</v>
      </c>
      <c r="D3418" s="156" t="s">
        <v>1455</v>
      </c>
      <c r="E3418" s="154" t="n">
        <v>2.25</v>
      </c>
      <c r="F3418" s="149" t="n">
        <f aca="false">IF(C3418="MAT.",VLOOKUP(A3418,INSUMOS_AUX!$A$3:$H$813,6,0),0)</f>
        <v>82.16</v>
      </c>
      <c r="G3418" s="149" t="n">
        <f aca="false">IF(C3418="M.O.",VLOOKUP(A3418,INSUMOS_AUX!A:F,6,0),0)</f>
        <v>0</v>
      </c>
    </row>
    <row r="3419" customFormat="false" ht="21" hidden="false" customHeight="false" outlineLevel="0" collapsed="false">
      <c r="A3419" s="154" t="n">
        <v>37591</v>
      </c>
      <c r="B3419" s="155" t="s">
        <v>2071</v>
      </c>
      <c r="C3419" s="148" t="str">
        <f aca="false">VLOOKUP($A3419,INSUMOS_AUX!$A$3:$H$813,3,0)</f>
        <v>MAT.</v>
      </c>
      <c r="D3419" s="156" t="s">
        <v>31</v>
      </c>
      <c r="E3419" s="154" t="n">
        <v>2.75</v>
      </c>
      <c r="F3419" s="149" t="n">
        <f aca="false">IF(C3419="MAT.",VLOOKUP(A3419,INSUMOS_AUX!$A$3:$H$813,6,0),0)</f>
        <v>20.27</v>
      </c>
      <c r="G3419" s="149" t="n">
        <f aca="false">IF(C3419="M.O.",VLOOKUP(A3419,INSUMOS_AUX!A:F,6,0),0)</f>
        <v>0</v>
      </c>
    </row>
    <row r="3420" customFormat="false" ht="15" hidden="false" customHeight="false" outlineLevel="0" collapsed="false">
      <c r="A3420" s="154" t="n">
        <v>4755</v>
      </c>
      <c r="B3420" s="155" t="s">
        <v>1783</v>
      </c>
      <c r="C3420" s="148" t="str">
        <f aca="false">VLOOKUP($A3420,INSUMOS_AUX!$A$3:$H$813,3,0)</f>
        <v>M.O.</v>
      </c>
      <c r="D3420" s="156" t="s">
        <v>1444</v>
      </c>
      <c r="E3420" s="154" t="n">
        <v>3.448053</v>
      </c>
      <c r="F3420" s="149" t="n">
        <f aca="false">IF(C3420="MAT.",VLOOKUP(A3420,INSUMOS_AUX!$A$3:$H$813,6,0),0)</f>
        <v>0</v>
      </c>
      <c r="G3420" s="149" t="n">
        <f aca="false">IF(C3420="M.O.",VLOOKUP(A3420,INSUMOS_AUX!A:F,6,0),0)</f>
        <v>20.22</v>
      </c>
    </row>
    <row r="3421" customFormat="false" ht="15" hidden="false" customHeight="false" outlineLevel="0" collapsed="false">
      <c r="A3421" s="154" t="n">
        <v>6111</v>
      </c>
      <c r="B3421" s="155" t="s">
        <v>1464</v>
      </c>
      <c r="C3421" s="148" t="str">
        <f aca="false">VLOOKUP($A3421,INSUMOS_AUX!$A$3:$H$813,3,0)</f>
        <v>M.O.</v>
      </c>
      <c r="D3421" s="156" t="s">
        <v>1444</v>
      </c>
      <c r="E3421" s="154" t="n">
        <v>1.97617518</v>
      </c>
      <c r="F3421" s="149" t="n">
        <f aca="false">IF(C3421="MAT.",VLOOKUP(A3421,INSUMOS_AUX!$A$3:$H$813,6,0),0)</f>
        <v>0</v>
      </c>
      <c r="G3421" s="149" t="n">
        <f aca="false">IF(C3421="M.O.",VLOOKUP(A3421,INSUMOS_AUX!A:F,6,0),0)</f>
        <v>12.95</v>
      </c>
    </row>
    <row r="3422" customFormat="false" ht="21" hidden="false" customHeight="false" outlineLevel="0" collapsed="false">
      <c r="A3422" s="150" t="s">
        <v>656</v>
      </c>
      <c r="B3422" s="151" t="s">
        <v>2072</v>
      </c>
      <c r="C3422" s="152" t="s">
        <v>59</v>
      </c>
      <c r="D3422" s="152" t="s">
        <v>31</v>
      </c>
      <c r="E3422" s="150"/>
      <c r="F3422" s="153" t="n">
        <f aca="false">(SUMPRODUCT($E3423:$E3441,F3423:F3441))*1</f>
        <v>863.3002910028</v>
      </c>
      <c r="G3422" s="153" t="n">
        <f aca="false">(SUMPRODUCT($E3423:$E3441,G3423:G3441))*1</f>
        <v>73.5061426656</v>
      </c>
    </row>
    <row r="3423" customFormat="false" ht="21" hidden="false" customHeight="false" outlineLevel="0" collapsed="false">
      <c r="A3423" s="154" t="n">
        <v>37370</v>
      </c>
      <c r="B3423" s="155" t="s">
        <v>1443</v>
      </c>
      <c r="C3423" s="148" t="str">
        <f aca="false">VLOOKUP($A3423,INSUMOS_AUX!$A$3:$H$813,3,0)</f>
        <v>MAT.</v>
      </c>
      <c r="D3423" s="156" t="s">
        <v>1444</v>
      </c>
      <c r="E3423" s="154" t="n">
        <v>4.1275</v>
      </c>
      <c r="F3423" s="149" t="n">
        <f aca="false">IF(C3423="MAT.",VLOOKUP(A3423,INSUMOS_AUX!$A$3:$H$813,6,0),0)</f>
        <v>3.32</v>
      </c>
      <c r="G3423" s="149" t="n">
        <f aca="false">IF(C3423="M.O.",VLOOKUP(A3423,INSUMOS_AUX!A:F,6,0),0)</f>
        <v>0</v>
      </c>
    </row>
    <row r="3424" customFormat="false" ht="21" hidden="false" customHeight="false" outlineLevel="0" collapsed="false">
      <c r="A3424" s="154" t="n">
        <v>43489</v>
      </c>
      <c r="B3424" s="155" t="s">
        <v>1456</v>
      </c>
      <c r="C3424" s="148" t="str">
        <f aca="false">VLOOKUP($A3424,INSUMOS_AUX!$A$3:$H$813,3,0)</f>
        <v>MAT.</v>
      </c>
      <c r="D3424" s="156" t="s">
        <v>1444</v>
      </c>
      <c r="E3424" s="154" t="n">
        <v>2.5942</v>
      </c>
      <c r="F3424" s="149" t="n">
        <f aca="false">IF(C3424="MAT.",VLOOKUP(A3424,INSUMOS_AUX!$A$3:$H$813,6,0),0)</f>
        <v>1.31</v>
      </c>
      <c r="G3424" s="149" t="n">
        <f aca="false">IF(C3424="M.O.",VLOOKUP(A3424,INSUMOS_AUX!A:F,6,0),0)</f>
        <v>0</v>
      </c>
    </row>
    <row r="3425" customFormat="false" ht="21" hidden="false" customHeight="false" outlineLevel="0" collapsed="false">
      <c r="A3425" s="154" t="n">
        <v>43491</v>
      </c>
      <c r="B3425" s="155" t="s">
        <v>1457</v>
      </c>
      <c r="C3425" s="148" t="s">
        <v>59</v>
      </c>
      <c r="D3425" s="156" t="s">
        <v>1444</v>
      </c>
      <c r="E3425" s="154" t="n">
        <v>1.5333</v>
      </c>
      <c r="F3425" s="149" t="n">
        <f aca="false">IF(C3425="MAT.",VLOOKUP(A3425,INSUMOS_AUX!$A$3:$H$813,6,0),0)</f>
        <v>0</v>
      </c>
      <c r="G3425" s="149" t="n">
        <f aca="false">IF(C3425="M.O.",VLOOKUP(A3425,INSUMOS_AUX!A:F,6,0),0)</f>
        <v>0</v>
      </c>
    </row>
    <row r="3426" customFormat="false" ht="21" hidden="false" customHeight="false" outlineLevel="0" collapsed="false">
      <c r="A3426" s="154" t="n">
        <v>37372</v>
      </c>
      <c r="B3426" s="155" t="s">
        <v>1446</v>
      </c>
      <c r="C3426" s="148" t="str">
        <f aca="false">VLOOKUP($A3426,INSUMOS_AUX!$A$3:$H$813,3,0)</f>
        <v>MAT.</v>
      </c>
      <c r="D3426" s="156" t="s">
        <v>1444</v>
      </c>
      <c r="E3426" s="154" t="n">
        <v>4.1275</v>
      </c>
      <c r="F3426" s="149" t="n">
        <f aca="false">IF(C3426="MAT.",VLOOKUP(A3426,INSUMOS_AUX!$A$3:$H$813,6,0),0)</f>
        <v>1.43</v>
      </c>
      <c r="G3426" s="149" t="n">
        <f aca="false">IF(C3426="M.O.",VLOOKUP(A3426,INSUMOS_AUX!A:F,6,0),0)</f>
        <v>0</v>
      </c>
    </row>
    <row r="3427" customFormat="false" ht="21" hidden="false" customHeight="false" outlineLevel="0" collapsed="false">
      <c r="A3427" s="154" t="n">
        <v>43465</v>
      </c>
      <c r="B3427" s="155" t="s">
        <v>1458</v>
      </c>
      <c r="C3427" s="148" t="str">
        <f aca="false">VLOOKUP($A3427,INSUMOS_AUX!$A$3:$H$813,3,0)</f>
        <v>MAT.</v>
      </c>
      <c r="D3427" s="156" t="s">
        <v>1444</v>
      </c>
      <c r="E3427" s="154" t="n">
        <v>2.5942</v>
      </c>
      <c r="F3427" s="149" t="n">
        <f aca="false">IF(C3427="MAT.",VLOOKUP(A3427,INSUMOS_AUX!$A$3:$H$813,6,0),0)</f>
        <v>0.78</v>
      </c>
      <c r="G3427" s="149" t="n">
        <f aca="false">IF(C3427="M.O.",VLOOKUP(A3427,INSUMOS_AUX!A:F,6,0),0)</f>
        <v>0</v>
      </c>
    </row>
    <row r="3428" customFormat="false" ht="21" hidden="false" customHeight="false" outlineLevel="0" collapsed="false">
      <c r="A3428" s="154" t="n">
        <v>43467</v>
      </c>
      <c r="B3428" s="155" t="s">
        <v>1459</v>
      </c>
      <c r="C3428" s="148" t="str">
        <f aca="false">VLOOKUP($A3428,INSUMOS_AUX!$A$3:$H$813,3,0)</f>
        <v>MAT.</v>
      </c>
      <c r="D3428" s="156" t="s">
        <v>1444</v>
      </c>
      <c r="E3428" s="154" t="n">
        <v>1.5333</v>
      </c>
      <c r="F3428" s="149" t="n">
        <f aca="false">IF(C3428="MAT.",VLOOKUP(A3428,INSUMOS_AUX!$A$3:$H$813,6,0),0)</f>
        <v>0.61</v>
      </c>
      <c r="G3428" s="149" t="n">
        <f aca="false">IF(C3428="M.O.",VLOOKUP(A3428,INSUMOS_AUX!A:F,6,0),0)</f>
        <v>0</v>
      </c>
    </row>
    <row r="3429" customFormat="false" ht="21" hidden="false" customHeight="false" outlineLevel="0" collapsed="false">
      <c r="A3429" s="154" t="n">
        <v>37373</v>
      </c>
      <c r="B3429" s="155" t="s">
        <v>1448</v>
      </c>
      <c r="C3429" s="148" t="str">
        <f aca="false">VLOOKUP($A3429,INSUMOS_AUX!$A$3:$H$813,3,0)</f>
        <v>MAT.</v>
      </c>
      <c r="D3429" s="156" t="s">
        <v>1444</v>
      </c>
      <c r="E3429" s="154" t="n">
        <v>4.1275</v>
      </c>
      <c r="F3429" s="149" t="n">
        <f aca="false">IF(C3429="MAT.",VLOOKUP(A3429,INSUMOS_AUX!$A$3:$H$813,6,0),0)</f>
        <v>0.08</v>
      </c>
      <c r="G3429" s="149" t="n">
        <f aca="false">IF(C3429="M.O.",VLOOKUP(A3429,INSUMOS_AUX!A:F,6,0),0)</f>
        <v>0</v>
      </c>
    </row>
    <row r="3430" customFormat="false" ht="21" hidden="false" customHeight="false" outlineLevel="0" collapsed="false">
      <c r="A3430" s="154" t="n">
        <v>37371</v>
      </c>
      <c r="B3430" s="155" t="s">
        <v>1449</v>
      </c>
      <c r="C3430" s="148" t="str">
        <f aca="false">VLOOKUP($A3430,INSUMOS_AUX!$A$3:$H$813,3,0)</f>
        <v>MAT.</v>
      </c>
      <c r="D3430" s="156" t="s">
        <v>1444</v>
      </c>
      <c r="E3430" s="154" t="n">
        <v>4.1275</v>
      </c>
      <c r="F3430" s="149" t="n">
        <f aca="false">IF(C3430="MAT.",VLOOKUP(A3430,INSUMOS_AUX!$A$3:$H$813,6,0),0)</f>
        <v>0.59</v>
      </c>
      <c r="G3430" s="149" t="n">
        <f aca="false">IF(C3430="M.O.",VLOOKUP(A3430,INSUMOS_AUX!A:F,6,0),0)</f>
        <v>0</v>
      </c>
    </row>
    <row r="3431" customFormat="false" ht="15" hidden="false" customHeight="false" outlineLevel="0" collapsed="false">
      <c r="A3431" s="154" t="n">
        <v>37595</v>
      </c>
      <c r="B3431" s="155" t="s">
        <v>1822</v>
      </c>
      <c r="C3431" s="148" t="str">
        <f aca="false">VLOOKUP($A3431,INSUMOS_AUX!$A$3:$H$813,3,0)</f>
        <v>MAT.</v>
      </c>
      <c r="D3431" s="156" t="s">
        <v>1513</v>
      </c>
      <c r="E3431" s="154" t="n">
        <v>2.79682</v>
      </c>
      <c r="F3431" s="149" t="n">
        <f aca="false">IF(C3431="MAT.",VLOOKUP(A3431,INSUMOS_AUX!$A$3:$H$813,6,0),0)</f>
        <v>2.46</v>
      </c>
      <c r="G3431" s="149" t="n">
        <f aca="false">IF(C3431="M.O.",VLOOKUP(A3431,INSUMOS_AUX!A:F,6,0),0)</f>
        <v>0</v>
      </c>
    </row>
    <row r="3432" customFormat="false" ht="31.5" hidden="false" customHeight="false" outlineLevel="0" collapsed="false">
      <c r="A3432" s="154" t="n">
        <v>7568</v>
      </c>
      <c r="B3432" s="155" t="s">
        <v>1815</v>
      </c>
      <c r="C3432" s="148" t="str">
        <f aca="false">VLOOKUP($A3432,INSUMOS_AUX!$A$3:$H$813,3,0)</f>
        <v>MAT.</v>
      </c>
      <c r="D3432" s="156" t="s">
        <v>31</v>
      </c>
      <c r="E3432" s="154" t="n">
        <v>4.767</v>
      </c>
      <c r="F3432" s="149" t="n">
        <f aca="false">IF(C3432="MAT.",VLOOKUP(A3432,INSUMOS_AUX!$A$3:$H$813,6,0),0)</f>
        <v>0.79</v>
      </c>
      <c r="G3432" s="149" t="n">
        <f aca="false">IF(C3432="M.O.",VLOOKUP(A3432,INSUMOS_AUX!A:F,6,0),0)</f>
        <v>0</v>
      </c>
    </row>
    <row r="3433" customFormat="false" ht="31.5" hidden="false" customHeight="false" outlineLevel="0" collapsed="false">
      <c r="A3433" s="154" t="n">
        <v>11795</v>
      </c>
      <c r="B3433" s="155" t="s">
        <v>2029</v>
      </c>
      <c r="C3433" s="148" t="str">
        <f aca="false">VLOOKUP($A3433,INSUMOS_AUX!$A$3:$H$813,3,0)</f>
        <v>MAT.</v>
      </c>
      <c r="D3433" s="156" t="s">
        <v>1477</v>
      </c>
      <c r="E3433" s="154" t="n">
        <v>1.0050167</v>
      </c>
      <c r="F3433" s="149" t="n">
        <f aca="false">IF(C3433="MAT.",VLOOKUP(A3433,INSUMOS_AUX!$A$3:$H$813,6,0),0)</f>
        <v>588.67</v>
      </c>
      <c r="G3433" s="149" t="n">
        <f aca="false">IF(C3433="M.O.",VLOOKUP(A3433,INSUMOS_AUX!A:F,6,0),0)</f>
        <v>0</v>
      </c>
    </row>
    <row r="3434" customFormat="false" ht="15" hidden="false" customHeight="false" outlineLevel="0" collapsed="false">
      <c r="A3434" s="154" t="n">
        <v>4823</v>
      </c>
      <c r="B3434" s="155" t="s">
        <v>2030</v>
      </c>
      <c r="C3434" s="148" t="str">
        <f aca="false">VLOOKUP($A3434,INSUMOS_AUX!$A$3:$H$813,3,0)</f>
        <v>MAT.</v>
      </c>
      <c r="D3434" s="156" t="s">
        <v>1513</v>
      </c>
      <c r="E3434" s="154" t="n">
        <v>0.41533556</v>
      </c>
      <c r="F3434" s="149" t="n">
        <f aca="false">IF(C3434="MAT.",VLOOKUP(A3434,INSUMOS_AUX!$A$3:$H$813,6,0),0)</f>
        <v>29.89</v>
      </c>
      <c r="G3434" s="149" t="n">
        <f aca="false">IF(C3434="M.O.",VLOOKUP(A3434,INSUMOS_AUX!A:F,6,0),0)</f>
        <v>0</v>
      </c>
    </row>
    <row r="3435" customFormat="false" ht="15" hidden="false" customHeight="false" outlineLevel="0" collapsed="false">
      <c r="A3435" s="154" t="n">
        <v>34357</v>
      </c>
      <c r="B3435" s="155" t="s">
        <v>1938</v>
      </c>
      <c r="C3435" s="148" t="str">
        <f aca="false">VLOOKUP($A3435,INSUMOS_AUX!$A$3:$H$813,3,0)</f>
        <v>MAT.</v>
      </c>
      <c r="D3435" s="156" t="s">
        <v>1513</v>
      </c>
      <c r="E3435" s="154" t="n">
        <v>0.156</v>
      </c>
      <c r="F3435" s="149" t="n">
        <f aca="false">IF(C3435="MAT.",VLOOKUP(A3435,INSUMOS_AUX!$A$3:$H$813,6,0),0)</f>
        <v>4.69</v>
      </c>
      <c r="G3435" s="149" t="n">
        <f aca="false">IF(C3435="M.O.",VLOOKUP(A3435,INSUMOS_AUX!A:F,6,0),0)</f>
        <v>0</v>
      </c>
    </row>
    <row r="3436" customFormat="false" ht="15" hidden="false" customHeight="false" outlineLevel="0" collapsed="false">
      <c r="A3436" s="154" t="n">
        <v>37329</v>
      </c>
      <c r="B3436" s="155" t="s">
        <v>2018</v>
      </c>
      <c r="C3436" s="148" t="str">
        <f aca="false">VLOOKUP($A3436,INSUMOS_AUX!$A$3:$H$813,3,0)</f>
        <v>MAT.</v>
      </c>
      <c r="D3436" s="156" t="s">
        <v>1513</v>
      </c>
      <c r="E3436" s="154" t="n">
        <v>0.01676278</v>
      </c>
      <c r="F3436" s="149" t="n">
        <f aca="false">IF(C3436="MAT.",VLOOKUP(A3436,INSUMOS_AUX!$A$3:$H$813,6,0),0)</f>
        <v>98.93</v>
      </c>
      <c r="G3436" s="149" t="n">
        <f aca="false">IF(C3436="M.O.",VLOOKUP(A3436,INSUMOS_AUX!A:F,6,0),0)</f>
        <v>0</v>
      </c>
    </row>
    <row r="3437" customFormat="false" ht="31.5" hidden="false" customHeight="false" outlineLevel="0" collapsed="false">
      <c r="A3437" s="154" t="n">
        <v>20231</v>
      </c>
      <c r="B3437" s="155" t="s">
        <v>2031</v>
      </c>
      <c r="C3437" s="148" t="str">
        <f aca="false">VLOOKUP($A3437,INSUMOS_AUX!$A$3:$H$813,3,0)</f>
        <v>MAT.</v>
      </c>
      <c r="D3437" s="156" t="s">
        <v>1455</v>
      </c>
      <c r="E3437" s="154" t="n">
        <v>1.352</v>
      </c>
      <c r="F3437" s="149" t="n">
        <f aca="false">IF(C3437="MAT.",VLOOKUP(A3437,INSUMOS_AUX!$A$3:$H$813,6,0),0)</f>
        <v>58.05</v>
      </c>
      <c r="G3437" s="149" t="n">
        <f aca="false">IF(C3437="M.O.",VLOOKUP(A3437,INSUMOS_AUX!A:F,6,0),0)</f>
        <v>0</v>
      </c>
    </row>
    <row r="3438" customFormat="false" ht="31.5" hidden="false" customHeight="false" outlineLevel="0" collapsed="false">
      <c r="A3438" s="154" t="n">
        <v>20232</v>
      </c>
      <c r="B3438" s="155" t="s">
        <v>1823</v>
      </c>
      <c r="C3438" s="148" t="str">
        <f aca="false">VLOOKUP($A3438,INSUMOS_AUX!$A$3:$H$813,3,0)</f>
        <v>MAT.</v>
      </c>
      <c r="D3438" s="156" t="s">
        <v>1455</v>
      </c>
      <c r="E3438" s="154" t="n">
        <v>1.3</v>
      </c>
      <c r="F3438" s="149" t="n">
        <f aca="false">IF(C3438="MAT.",VLOOKUP(A3438,INSUMOS_AUX!$A$3:$H$813,6,0),0)</f>
        <v>82.16</v>
      </c>
      <c r="G3438" s="149" t="n">
        <f aca="false">IF(C3438="M.O.",VLOOKUP(A3438,INSUMOS_AUX!A:F,6,0),0)</f>
        <v>0</v>
      </c>
    </row>
    <row r="3439" customFormat="false" ht="21" hidden="false" customHeight="false" outlineLevel="0" collapsed="false">
      <c r="A3439" s="154" t="n">
        <v>37591</v>
      </c>
      <c r="B3439" s="155" t="s">
        <v>2071</v>
      </c>
      <c r="C3439" s="148" t="str">
        <f aca="false">VLOOKUP($A3439,INSUMOS_AUX!$A$3:$H$813,3,0)</f>
        <v>MAT.</v>
      </c>
      <c r="D3439" s="156" t="s">
        <v>31</v>
      </c>
      <c r="E3439" s="154" t="n">
        <v>1.58889</v>
      </c>
      <c r="F3439" s="149" t="n">
        <f aca="false">IF(C3439="MAT.",VLOOKUP(A3439,INSUMOS_AUX!$A$3:$H$813,6,0),0)</f>
        <v>20.27</v>
      </c>
      <c r="G3439" s="149" t="n">
        <f aca="false">IF(C3439="M.O.",VLOOKUP(A3439,INSUMOS_AUX!A:F,6,0),0)</f>
        <v>0</v>
      </c>
    </row>
    <row r="3440" customFormat="false" ht="15" hidden="false" customHeight="false" outlineLevel="0" collapsed="false">
      <c r="A3440" s="154" t="n">
        <v>4755</v>
      </c>
      <c r="B3440" s="155" t="s">
        <v>1783</v>
      </c>
      <c r="C3440" s="148" t="str">
        <f aca="false">VLOOKUP($A3440,INSUMOS_AUX!$A$3:$H$813,3,0)</f>
        <v>M.O.</v>
      </c>
      <c r="D3440" s="156" t="s">
        <v>1444</v>
      </c>
      <c r="E3440" s="154" t="n">
        <v>2.63249038</v>
      </c>
      <c r="F3440" s="149" t="n">
        <f aca="false">IF(C3440="MAT.",VLOOKUP(A3440,INSUMOS_AUX!$A$3:$H$813,6,0),0)</f>
        <v>0</v>
      </c>
      <c r="G3440" s="149" t="n">
        <f aca="false">IF(C3440="M.O.",VLOOKUP(A3440,INSUMOS_AUX!A:F,6,0),0)</f>
        <v>20.22</v>
      </c>
    </row>
    <row r="3441" customFormat="false" ht="15" hidden="false" customHeight="false" outlineLevel="0" collapsed="false">
      <c r="A3441" s="154" t="n">
        <v>6111</v>
      </c>
      <c r="B3441" s="155" t="s">
        <v>1464</v>
      </c>
      <c r="C3441" s="148" t="str">
        <f aca="false">VLOOKUP($A3441,INSUMOS_AUX!$A$3:$H$813,3,0)</f>
        <v>M.O.</v>
      </c>
      <c r="D3441" s="156" t="s">
        <v>1444</v>
      </c>
      <c r="E3441" s="154" t="n">
        <v>1.56580596</v>
      </c>
      <c r="F3441" s="149" t="n">
        <f aca="false">IF(C3441="MAT.",VLOOKUP(A3441,INSUMOS_AUX!$A$3:$H$813,6,0),0)</f>
        <v>0</v>
      </c>
      <c r="G3441" s="149" t="n">
        <f aca="false">IF(C3441="M.O.",VLOOKUP(A3441,INSUMOS_AUX!A:F,6,0),0)</f>
        <v>12.95</v>
      </c>
    </row>
    <row r="3442" customFormat="false" ht="31.5" hidden="false" customHeight="false" outlineLevel="0" collapsed="false">
      <c r="A3442" s="150" t="n">
        <v>86935</v>
      </c>
      <c r="B3442" s="151" t="s">
        <v>2073</v>
      </c>
      <c r="C3442" s="152" t="s">
        <v>59</v>
      </c>
      <c r="D3442" s="152" t="s">
        <v>31</v>
      </c>
      <c r="E3442" s="150"/>
      <c r="F3442" s="153" t="n">
        <f aca="false">(SUMPRODUCT($E3443:$E3460,F3443:F3460))*1</f>
        <v>268.592575</v>
      </c>
      <c r="G3442" s="153" t="n">
        <f aca="false">(SUMPRODUCT($E3443:$E3460,G3443:G3460))*1</f>
        <v>18.18180418788</v>
      </c>
    </row>
    <row r="3443" customFormat="false" ht="21" hidden="false" customHeight="false" outlineLevel="0" collapsed="false">
      <c r="A3443" s="154" t="n">
        <v>37370</v>
      </c>
      <c r="B3443" s="155" t="s">
        <v>1443</v>
      </c>
      <c r="C3443" s="148" t="str">
        <f aca="false">VLOOKUP($A3443,INSUMOS_AUX!$A$3:$H$813,3,0)</f>
        <v>MAT.</v>
      </c>
      <c r="D3443" s="156" t="s">
        <v>1444</v>
      </c>
      <c r="E3443" s="154" t="n">
        <v>0.9677</v>
      </c>
      <c r="F3443" s="149" t="n">
        <f aca="false">IF(C3443="MAT.",VLOOKUP(A3443,INSUMOS_AUX!$A$3:$H$813,6,0),0)</f>
        <v>3.32</v>
      </c>
      <c r="G3443" s="149" t="n">
        <f aca="false">IF(C3443="M.O.",VLOOKUP(A3443,INSUMOS_AUX!A:F,6,0),0)</f>
        <v>0</v>
      </c>
    </row>
    <row r="3444" customFormat="false" ht="21" hidden="false" customHeight="false" outlineLevel="0" collapsed="false">
      <c r="A3444" s="154" t="n">
        <v>43485</v>
      </c>
      <c r="B3444" s="155" t="s">
        <v>1481</v>
      </c>
      <c r="C3444" s="148" t="str">
        <f aca="false">VLOOKUP($A3444,INSUMOS_AUX!$A$3:$H$813,3,0)</f>
        <v>MAT.</v>
      </c>
      <c r="D3444" s="156" t="s">
        <v>1444</v>
      </c>
      <c r="E3444" s="154" t="n">
        <v>0.2585</v>
      </c>
      <c r="F3444" s="149" t="n">
        <f aca="false">IF(C3444="MAT.",VLOOKUP(A3444,INSUMOS_AUX!$A$3:$H$813,6,0),0)</f>
        <v>1.13</v>
      </c>
      <c r="G3444" s="149" t="n">
        <f aca="false">IF(C3444="M.O.",VLOOKUP(A3444,INSUMOS_AUX!A:F,6,0),0)</f>
        <v>0</v>
      </c>
    </row>
    <row r="3445" customFormat="false" ht="21" hidden="false" customHeight="false" outlineLevel="0" collapsed="false">
      <c r="A3445" s="154" t="n">
        <v>43489</v>
      </c>
      <c r="B3445" s="155" t="s">
        <v>1456</v>
      </c>
      <c r="C3445" s="148" t="str">
        <f aca="false">VLOOKUP($A3445,INSUMOS_AUX!$A$3:$H$813,3,0)</f>
        <v>MAT.</v>
      </c>
      <c r="D3445" s="156" t="s">
        <v>1444</v>
      </c>
      <c r="E3445" s="154" t="n">
        <v>0.4774</v>
      </c>
      <c r="F3445" s="149" t="n">
        <f aca="false">IF(C3445="MAT.",VLOOKUP(A3445,INSUMOS_AUX!$A$3:$H$813,6,0),0)</f>
        <v>1.31</v>
      </c>
      <c r="G3445" s="149" t="n">
        <f aca="false">IF(C3445="M.O.",VLOOKUP(A3445,INSUMOS_AUX!A:F,6,0),0)</f>
        <v>0</v>
      </c>
    </row>
    <row r="3446" customFormat="false" ht="21" hidden="false" customHeight="false" outlineLevel="0" collapsed="false">
      <c r="A3446" s="154" t="n">
        <v>43491</v>
      </c>
      <c r="B3446" s="155" t="s">
        <v>1457</v>
      </c>
      <c r="C3446" s="148" t="str">
        <f aca="false">VLOOKUP($A3446,INSUMOS_AUX!$A$3:$H$813,3,0)</f>
        <v>MAT.</v>
      </c>
      <c r="D3446" s="156" t="s">
        <v>1444</v>
      </c>
      <c r="E3446" s="154" t="n">
        <v>0.2318</v>
      </c>
      <c r="F3446" s="149" t="n">
        <f aca="false">IF(C3446="MAT.",VLOOKUP(A3446,INSUMOS_AUX!$A$3:$H$813,6,0),0)</f>
        <v>1.39</v>
      </c>
      <c r="G3446" s="149" t="n">
        <f aca="false">IF(C3446="M.O.",VLOOKUP(A3446,INSUMOS_AUX!A:F,6,0),0)</f>
        <v>0</v>
      </c>
    </row>
    <row r="3447" customFormat="false" ht="21" hidden="false" customHeight="false" outlineLevel="0" collapsed="false">
      <c r="A3447" s="154" t="n">
        <v>37372</v>
      </c>
      <c r="B3447" s="155" t="s">
        <v>1446</v>
      </c>
      <c r="C3447" s="148" t="s">
        <v>59</v>
      </c>
      <c r="D3447" s="156" t="s">
        <v>1444</v>
      </c>
      <c r="E3447" s="154" t="n">
        <v>0.9677</v>
      </c>
      <c r="F3447" s="149" t="n">
        <f aca="false">IF(C3447="MAT.",VLOOKUP(A3447,INSUMOS_AUX!$A$3:$H$813,6,0),0)</f>
        <v>0</v>
      </c>
      <c r="G3447" s="149" t="n">
        <f aca="false">IF(C3447="M.O.",VLOOKUP(A3447,INSUMOS_AUX!A:F,6,0),0)</f>
        <v>0</v>
      </c>
    </row>
    <row r="3448" customFormat="false" ht="21" hidden="false" customHeight="false" outlineLevel="0" collapsed="false">
      <c r="A3448" s="154" t="n">
        <v>43461</v>
      </c>
      <c r="B3448" s="155" t="s">
        <v>1482</v>
      </c>
      <c r="C3448" s="148" t="str">
        <f aca="false">VLOOKUP($A3448,INSUMOS_AUX!$A$3:$H$813,3,0)</f>
        <v>MAT.</v>
      </c>
      <c r="D3448" s="156" t="s">
        <v>1444</v>
      </c>
      <c r="E3448" s="154" t="n">
        <v>0.2585</v>
      </c>
      <c r="F3448" s="149" t="n">
        <f aca="false">IF(C3448="MAT.",VLOOKUP(A3448,INSUMOS_AUX!$A$3:$H$813,6,0),0)</f>
        <v>0.31</v>
      </c>
      <c r="G3448" s="149" t="n">
        <f aca="false">IF(C3448="M.O.",VLOOKUP(A3448,INSUMOS_AUX!A:F,6,0),0)</f>
        <v>0</v>
      </c>
    </row>
    <row r="3449" customFormat="false" ht="21" hidden="false" customHeight="false" outlineLevel="0" collapsed="false">
      <c r="A3449" s="154" t="n">
        <v>43465</v>
      </c>
      <c r="B3449" s="155" t="s">
        <v>1458</v>
      </c>
      <c r="C3449" s="148" t="str">
        <f aca="false">VLOOKUP($A3449,INSUMOS_AUX!$A$3:$H$813,3,0)</f>
        <v>MAT.</v>
      </c>
      <c r="D3449" s="156" t="s">
        <v>1444</v>
      </c>
      <c r="E3449" s="154" t="n">
        <v>0.4774</v>
      </c>
      <c r="F3449" s="149" t="n">
        <f aca="false">IF(C3449="MAT.",VLOOKUP(A3449,INSUMOS_AUX!$A$3:$H$813,6,0),0)</f>
        <v>0.78</v>
      </c>
      <c r="G3449" s="149" t="n">
        <f aca="false">IF(C3449="M.O.",VLOOKUP(A3449,INSUMOS_AUX!A:F,6,0),0)</f>
        <v>0</v>
      </c>
    </row>
    <row r="3450" customFormat="false" ht="21" hidden="false" customHeight="false" outlineLevel="0" collapsed="false">
      <c r="A3450" s="154" t="n">
        <v>43467</v>
      </c>
      <c r="B3450" s="155" t="s">
        <v>1459</v>
      </c>
      <c r="C3450" s="148" t="str">
        <f aca="false">VLOOKUP($A3450,INSUMOS_AUX!$A$3:$H$813,3,0)</f>
        <v>MAT.</v>
      </c>
      <c r="D3450" s="156" t="s">
        <v>1444</v>
      </c>
      <c r="E3450" s="154" t="n">
        <v>0.2318</v>
      </c>
      <c r="F3450" s="149" t="n">
        <f aca="false">IF(C3450="MAT.",VLOOKUP(A3450,INSUMOS_AUX!$A$3:$H$813,6,0),0)</f>
        <v>0.61</v>
      </c>
      <c r="G3450" s="149" t="n">
        <f aca="false">IF(C3450="M.O.",VLOOKUP(A3450,INSUMOS_AUX!A:F,6,0),0)</f>
        <v>0</v>
      </c>
    </row>
    <row r="3451" customFormat="false" ht="21" hidden="false" customHeight="false" outlineLevel="0" collapsed="false">
      <c r="A3451" s="154" t="n">
        <v>37373</v>
      </c>
      <c r="B3451" s="155" t="s">
        <v>1448</v>
      </c>
      <c r="C3451" s="148" t="str">
        <f aca="false">VLOOKUP($A3451,INSUMOS_AUX!$A$3:$H$813,3,0)</f>
        <v>MAT.</v>
      </c>
      <c r="D3451" s="156" t="s">
        <v>1444</v>
      </c>
      <c r="E3451" s="154" t="n">
        <v>0.9677</v>
      </c>
      <c r="F3451" s="149" t="n">
        <f aca="false">IF(C3451="MAT.",VLOOKUP(A3451,INSUMOS_AUX!$A$3:$H$813,6,0),0)</f>
        <v>0.08</v>
      </c>
      <c r="G3451" s="149" t="n">
        <f aca="false">IF(C3451="M.O.",VLOOKUP(A3451,INSUMOS_AUX!A:F,6,0),0)</f>
        <v>0</v>
      </c>
    </row>
    <row r="3452" customFormat="false" ht="21" hidden="false" customHeight="false" outlineLevel="0" collapsed="false">
      <c r="A3452" s="154" t="n">
        <v>37371</v>
      </c>
      <c r="B3452" s="155" t="s">
        <v>1449</v>
      </c>
      <c r="C3452" s="148" t="str">
        <f aca="false">VLOOKUP($A3452,INSUMOS_AUX!$A$3:$H$813,3,0)</f>
        <v>MAT.</v>
      </c>
      <c r="D3452" s="156" t="s">
        <v>1444</v>
      </c>
      <c r="E3452" s="154" t="n">
        <v>0.9677</v>
      </c>
      <c r="F3452" s="149" t="n">
        <f aca="false">IF(C3452="MAT.",VLOOKUP(A3452,INSUMOS_AUX!$A$3:$H$813,6,0),0)</f>
        <v>0.59</v>
      </c>
      <c r="G3452" s="149" t="n">
        <f aca="false">IF(C3452="M.O.",VLOOKUP(A3452,INSUMOS_AUX!A:F,6,0),0)</f>
        <v>0</v>
      </c>
    </row>
    <row r="3453" customFormat="false" ht="21" hidden="false" customHeight="false" outlineLevel="0" collapsed="false">
      <c r="A3453" s="154" t="n">
        <v>1743</v>
      </c>
      <c r="B3453" s="155" t="s">
        <v>2074</v>
      </c>
      <c r="C3453" s="148" t="str">
        <f aca="false">VLOOKUP($A3453,INSUMOS_AUX!$A$3:$H$813,3,0)</f>
        <v>MAT.</v>
      </c>
      <c r="D3453" s="156" t="s">
        <v>31</v>
      </c>
      <c r="E3453" s="154" t="n">
        <v>1</v>
      </c>
      <c r="F3453" s="149" t="n">
        <f aca="false">IF(C3453="MAT.",VLOOKUP(A3453,INSUMOS_AUX!$A$3:$H$813,6,0),0)</f>
        <v>174.85</v>
      </c>
      <c r="G3453" s="149" t="n">
        <f aca="false">IF(C3453="M.O.",VLOOKUP(A3453,INSUMOS_AUX!A:F,6,0),0)</f>
        <v>0</v>
      </c>
    </row>
    <row r="3454" customFormat="false" ht="15" hidden="false" customHeight="false" outlineLevel="0" collapsed="false">
      <c r="A3454" s="154" t="n">
        <v>3146</v>
      </c>
      <c r="B3454" s="155" t="s">
        <v>2016</v>
      </c>
      <c r="C3454" s="148" t="str">
        <f aca="false">VLOOKUP($A3454,INSUMOS_AUX!$A$3:$H$813,3,0)</f>
        <v>MAT.</v>
      </c>
      <c r="D3454" s="156" t="s">
        <v>31</v>
      </c>
      <c r="E3454" s="154" t="n">
        <v>0.0812</v>
      </c>
      <c r="F3454" s="149" t="n">
        <f aca="false">IF(C3454="MAT.",VLOOKUP(A3454,INSUMOS_AUX!$A$3:$H$813,6,0),0)</f>
        <v>3.8</v>
      </c>
      <c r="G3454" s="149" t="n">
        <f aca="false">IF(C3454="M.O.",VLOOKUP(A3454,INSUMOS_AUX!A:F,6,0),0)</f>
        <v>0</v>
      </c>
    </row>
    <row r="3455" customFormat="false" ht="15" hidden="false" customHeight="false" outlineLevel="0" collapsed="false">
      <c r="A3455" s="154" t="n">
        <v>4823</v>
      </c>
      <c r="B3455" s="155" t="s">
        <v>2030</v>
      </c>
      <c r="C3455" s="148" t="str">
        <f aca="false">VLOOKUP($A3455,INSUMOS_AUX!$A$3:$H$813,3,0)</f>
        <v>MAT.</v>
      </c>
      <c r="D3455" s="156" t="s">
        <v>1513</v>
      </c>
      <c r="E3455" s="154" t="n">
        <v>0.2974</v>
      </c>
      <c r="F3455" s="149" t="n">
        <f aca="false">IF(C3455="MAT.",VLOOKUP(A3455,INSUMOS_AUX!$A$3:$H$813,6,0),0)</f>
        <v>29.89</v>
      </c>
      <c r="G3455" s="149" t="n">
        <f aca="false">IF(C3455="M.O.",VLOOKUP(A3455,INSUMOS_AUX!A:F,6,0),0)</f>
        <v>0</v>
      </c>
    </row>
    <row r="3456" customFormat="false" ht="21" hidden="false" customHeight="false" outlineLevel="0" collapsed="false">
      <c r="A3456" s="154" t="n">
        <v>44945</v>
      </c>
      <c r="B3456" s="155" t="s">
        <v>2075</v>
      </c>
      <c r="C3456" s="148" t="str">
        <f aca="false">VLOOKUP($A3456,INSUMOS_AUX!$A$3:$H$813,3,0)</f>
        <v>MAT.</v>
      </c>
      <c r="D3456" s="156" t="s">
        <v>31</v>
      </c>
      <c r="E3456" s="154" t="n">
        <v>1</v>
      </c>
      <c r="F3456" s="149" t="n">
        <f aca="false">IF(C3456="MAT.",VLOOKUP(A3456,INSUMOS_AUX!$A$3:$H$813,6,0),0)</f>
        <v>8</v>
      </c>
      <c r="G3456" s="149" t="n">
        <f aca="false">IF(C3456="M.O.",VLOOKUP(A3456,INSUMOS_AUX!A:F,6,0),0)</f>
        <v>0</v>
      </c>
    </row>
    <row r="3457" customFormat="false" ht="15" hidden="false" customHeight="false" outlineLevel="0" collapsed="false">
      <c r="A3457" s="154" t="n">
        <v>6157</v>
      </c>
      <c r="B3457" s="155" t="s">
        <v>2076</v>
      </c>
      <c r="C3457" s="148" t="str">
        <f aca="false">VLOOKUP($A3457,INSUMOS_AUX!$A$3:$H$813,3,0)</f>
        <v>MAT.</v>
      </c>
      <c r="D3457" s="156" t="s">
        <v>31</v>
      </c>
      <c r="E3457" s="154" t="n">
        <v>1</v>
      </c>
      <c r="F3457" s="149" t="n">
        <f aca="false">IF(C3457="MAT.",VLOOKUP(A3457,INSUMOS_AUX!$A$3:$H$813,6,0),0)</f>
        <v>70.85</v>
      </c>
      <c r="G3457" s="149" t="n">
        <f aca="false">IF(C3457="M.O.",VLOOKUP(A3457,INSUMOS_AUX!A:F,6,0),0)</f>
        <v>0</v>
      </c>
    </row>
    <row r="3458" customFormat="false" ht="15" hidden="false" customHeight="false" outlineLevel="0" collapsed="false">
      <c r="A3458" s="154" t="n">
        <v>2696</v>
      </c>
      <c r="B3458" s="155" t="s">
        <v>1483</v>
      </c>
      <c r="C3458" s="148" t="str">
        <f aca="false">VLOOKUP($A3458,INSUMOS_AUX!$A$3:$H$813,3,0)</f>
        <v>M.O.</v>
      </c>
      <c r="D3458" s="156" t="s">
        <v>1444</v>
      </c>
      <c r="E3458" s="154" t="n">
        <v>0.26314783</v>
      </c>
      <c r="F3458" s="149" t="n">
        <f aca="false">IF(C3458="MAT.",VLOOKUP(A3458,INSUMOS_AUX!$A$3:$H$813,6,0),0)</f>
        <v>0</v>
      </c>
      <c r="G3458" s="149" t="n">
        <f aca="false">IF(C3458="M.O.",VLOOKUP(A3458,INSUMOS_AUX!A:F,6,0),0)</f>
        <v>20.22</v>
      </c>
    </row>
    <row r="3459" customFormat="false" ht="15" hidden="false" customHeight="false" outlineLevel="0" collapsed="false">
      <c r="A3459" s="154" t="n">
        <v>4755</v>
      </c>
      <c r="B3459" s="155" t="s">
        <v>1783</v>
      </c>
      <c r="C3459" s="148" t="str">
        <f aca="false">VLOOKUP($A3459,INSUMOS_AUX!$A$3:$H$813,3,0)</f>
        <v>M.O.</v>
      </c>
      <c r="D3459" s="156" t="s">
        <v>1444</v>
      </c>
      <c r="E3459" s="154" t="n">
        <v>0.484446424</v>
      </c>
      <c r="F3459" s="149" t="n">
        <f aca="false">IF(C3459="MAT.",VLOOKUP(A3459,INSUMOS_AUX!$A$3:$H$813,6,0),0)</f>
        <v>0</v>
      </c>
      <c r="G3459" s="149" t="n">
        <f aca="false">IF(C3459="M.O.",VLOOKUP(A3459,INSUMOS_AUX!A:F,6,0),0)</f>
        <v>20.22</v>
      </c>
    </row>
    <row r="3460" customFormat="false" ht="15" hidden="false" customHeight="false" outlineLevel="0" collapsed="false">
      <c r="A3460" s="154" t="n">
        <v>6111</v>
      </c>
      <c r="B3460" s="155" t="s">
        <v>1464</v>
      </c>
      <c r="C3460" s="148" t="str">
        <f aca="false">VLOOKUP($A3460,INSUMOS_AUX!$A$3:$H$813,3,0)</f>
        <v>M.O.</v>
      </c>
      <c r="D3460" s="156" t="s">
        <v>1444</v>
      </c>
      <c r="E3460" s="154" t="n">
        <v>0.23671416</v>
      </c>
      <c r="F3460" s="149" t="n">
        <f aca="false">IF(C3460="MAT.",VLOOKUP(A3460,INSUMOS_AUX!$A$3:$H$813,6,0),0)</f>
        <v>0</v>
      </c>
      <c r="G3460" s="149" t="n">
        <f aca="false">IF(C3460="M.O.",VLOOKUP(A3460,INSUMOS_AUX!A:F,6,0),0)</f>
        <v>12.95</v>
      </c>
    </row>
    <row r="3461" customFormat="false" ht="31.5" hidden="false" customHeight="false" outlineLevel="0" collapsed="false">
      <c r="A3461" s="150" t="n">
        <v>86909</v>
      </c>
      <c r="B3461" s="151" t="s">
        <v>2077</v>
      </c>
      <c r="C3461" s="152" t="s">
        <v>59</v>
      </c>
      <c r="D3461" s="152" t="s">
        <v>31</v>
      </c>
      <c r="E3461" s="150"/>
      <c r="F3461" s="153" t="n">
        <f aca="false">(SUMPRODUCT($E3462:$E3473,F3462:F3473))*1</f>
        <v>145.581235</v>
      </c>
      <c r="G3461" s="153" t="n">
        <f aca="false">(SUMPRODUCT($E3462:$E3473,G3462:G3473))*1</f>
        <v>4.12556706852</v>
      </c>
    </row>
    <row r="3462" customFormat="false" ht="21" hidden="false" customHeight="false" outlineLevel="0" collapsed="false">
      <c r="A3462" s="154" t="n">
        <v>37370</v>
      </c>
      <c r="B3462" s="155" t="s">
        <v>1443</v>
      </c>
      <c r="C3462" s="148" t="str">
        <f aca="false">VLOOKUP($A3462,INSUMOS_AUX!$A$3:$H$813,3,0)</f>
        <v>MAT.</v>
      </c>
      <c r="D3462" s="156" t="s">
        <v>1444</v>
      </c>
      <c r="E3462" s="154" t="n">
        <v>0.2192</v>
      </c>
      <c r="F3462" s="149" t="n">
        <f aca="false">IF(C3462="MAT.",VLOOKUP(A3462,INSUMOS_AUX!$A$3:$H$813,6,0),0)</f>
        <v>3.32</v>
      </c>
      <c r="G3462" s="149" t="n">
        <f aca="false">IF(C3462="M.O.",VLOOKUP(A3462,INSUMOS_AUX!A:F,6,0),0)</f>
        <v>0</v>
      </c>
    </row>
    <row r="3463" customFormat="false" ht="21" hidden="false" customHeight="false" outlineLevel="0" collapsed="false">
      <c r="A3463" s="154" t="n">
        <v>43485</v>
      </c>
      <c r="B3463" s="155" t="s">
        <v>1481</v>
      </c>
      <c r="C3463" s="148" t="str">
        <f aca="false">VLOOKUP($A3463,INSUMOS_AUX!$A$3:$H$813,3,0)</f>
        <v>MAT.</v>
      </c>
      <c r="D3463" s="156" t="s">
        <v>1444</v>
      </c>
      <c r="E3463" s="154" t="n">
        <v>0.1667</v>
      </c>
      <c r="F3463" s="149" t="n">
        <f aca="false">IF(C3463="MAT.",VLOOKUP(A3463,INSUMOS_AUX!$A$3:$H$813,6,0),0)</f>
        <v>1.13</v>
      </c>
      <c r="G3463" s="149" t="n">
        <f aca="false">IF(C3463="M.O.",VLOOKUP(A3463,INSUMOS_AUX!A:F,6,0),0)</f>
        <v>0</v>
      </c>
    </row>
    <row r="3464" customFormat="false" ht="21" hidden="false" customHeight="false" outlineLevel="0" collapsed="false">
      <c r="A3464" s="154" t="n">
        <v>43491</v>
      </c>
      <c r="B3464" s="155" t="s">
        <v>1457</v>
      </c>
      <c r="C3464" s="148" t="str">
        <f aca="false">VLOOKUP($A3464,INSUMOS_AUX!$A$3:$H$813,3,0)</f>
        <v>MAT.</v>
      </c>
      <c r="D3464" s="156" t="s">
        <v>1444</v>
      </c>
      <c r="E3464" s="154" t="n">
        <v>0.0525</v>
      </c>
      <c r="F3464" s="149" t="n">
        <f aca="false">IF(C3464="MAT.",VLOOKUP(A3464,INSUMOS_AUX!$A$3:$H$813,6,0),0)</f>
        <v>1.39</v>
      </c>
      <c r="G3464" s="149" t="n">
        <f aca="false">IF(C3464="M.O.",VLOOKUP(A3464,INSUMOS_AUX!A:F,6,0),0)</f>
        <v>0</v>
      </c>
    </row>
    <row r="3465" customFormat="false" ht="21" hidden="false" customHeight="false" outlineLevel="0" collapsed="false">
      <c r="A3465" s="154" t="n">
        <v>37372</v>
      </c>
      <c r="B3465" s="155" t="s">
        <v>1446</v>
      </c>
      <c r="C3465" s="148" t="str">
        <f aca="false">VLOOKUP($A3465,INSUMOS_AUX!$A$3:$H$813,3,0)</f>
        <v>MAT.</v>
      </c>
      <c r="D3465" s="156" t="s">
        <v>1444</v>
      </c>
      <c r="E3465" s="154" t="n">
        <v>0.2192</v>
      </c>
      <c r="F3465" s="149" t="n">
        <f aca="false">IF(C3465="MAT.",VLOOKUP(A3465,INSUMOS_AUX!$A$3:$H$813,6,0),0)</f>
        <v>1.43</v>
      </c>
      <c r="G3465" s="149" t="n">
        <f aca="false">IF(C3465="M.O.",VLOOKUP(A3465,INSUMOS_AUX!A:F,6,0),0)</f>
        <v>0</v>
      </c>
    </row>
    <row r="3466" customFormat="false" ht="21" hidden="false" customHeight="false" outlineLevel="0" collapsed="false">
      <c r="A3466" s="154" t="n">
        <v>43461</v>
      </c>
      <c r="B3466" s="155" t="s">
        <v>1482</v>
      </c>
      <c r="C3466" s="148" t="s">
        <v>59</v>
      </c>
      <c r="D3466" s="156" t="s">
        <v>1444</v>
      </c>
      <c r="E3466" s="154" t="n">
        <v>0.1667</v>
      </c>
      <c r="F3466" s="149" t="n">
        <f aca="false">IF(C3466="MAT.",VLOOKUP(A3466,INSUMOS_AUX!$A$3:$H$813,6,0),0)</f>
        <v>0</v>
      </c>
      <c r="G3466" s="149" t="n">
        <f aca="false">IF(C3466="M.O.",VLOOKUP(A3466,INSUMOS_AUX!A:F,6,0),0)</f>
        <v>0</v>
      </c>
    </row>
    <row r="3467" customFormat="false" ht="21" hidden="false" customHeight="false" outlineLevel="0" collapsed="false">
      <c r="A3467" s="154" t="n">
        <v>43467</v>
      </c>
      <c r="B3467" s="155" t="s">
        <v>1459</v>
      </c>
      <c r="C3467" s="148" t="str">
        <f aca="false">VLOOKUP($A3467,INSUMOS_AUX!$A$3:$H$813,3,0)</f>
        <v>MAT.</v>
      </c>
      <c r="D3467" s="156" t="s">
        <v>1444</v>
      </c>
      <c r="E3467" s="154" t="n">
        <v>0.0525</v>
      </c>
      <c r="F3467" s="149" t="n">
        <f aca="false">IF(C3467="MAT.",VLOOKUP(A3467,INSUMOS_AUX!$A$3:$H$813,6,0),0)</f>
        <v>0.61</v>
      </c>
      <c r="G3467" s="149" t="n">
        <f aca="false">IF(C3467="M.O.",VLOOKUP(A3467,INSUMOS_AUX!A:F,6,0),0)</f>
        <v>0</v>
      </c>
    </row>
    <row r="3468" customFormat="false" ht="21" hidden="false" customHeight="false" outlineLevel="0" collapsed="false">
      <c r="A3468" s="154" t="n">
        <v>37373</v>
      </c>
      <c r="B3468" s="155" t="s">
        <v>1448</v>
      </c>
      <c r="C3468" s="148" t="str">
        <f aca="false">VLOOKUP($A3468,INSUMOS_AUX!$A$3:$H$813,3,0)</f>
        <v>MAT.</v>
      </c>
      <c r="D3468" s="156" t="s">
        <v>1444</v>
      </c>
      <c r="E3468" s="154" t="n">
        <v>0.2192</v>
      </c>
      <c r="F3468" s="149" t="n">
        <f aca="false">IF(C3468="MAT.",VLOOKUP(A3468,INSUMOS_AUX!$A$3:$H$813,6,0),0)</f>
        <v>0.08</v>
      </c>
      <c r="G3468" s="149" t="n">
        <f aca="false">IF(C3468="M.O.",VLOOKUP(A3468,INSUMOS_AUX!A:F,6,0),0)</f>
        <v>0</v>
      </c>
    </row>
    <row r="3469" customFormat="false" ht="21" hidden="false" customHeight="false" outlineLevel="0" collapsed="false">
      <c r="A3469" s="154" t="n">
        <v>37371</v>
      </c>
      <c r="B3469" s="155" t="s">
        <v>1449</v>
      </c>
      <c r="C3469" s="148" t="str">
        <f aca="false">VLOOKUP($A3469,INSUMOS_AUX!$A$3:$H$813,3,0)</f>
        <v>MAT.</v>
      </c>
      <c r="D3469" s="156" t="s">
        <v>1444</v>
      </c>
      <c r="E3469" s="154" t="n">
        <v>0.2192</v>
      </c>
      <c r="F3469" s="149" t="n">
        <f aca="false">IF(C3469="MAT.",VLOOKUP(A3469,INSUMOS_AUX!$A$3:$H$813,6,0),0)</f>
        <v>0.59</v>
      </c>
      <c r="G3469" s="149" t="n">
        <f aca="false">IF(C3469="M.O.",VLOOKUP(A3469,INSUMOS_AUX!A:F,6,0),0)</f>
        <v>0</v>
      </c>
    </row>
    <row r="3470" customFormat="false" ht="15" hidden="false" customHeight="false" outlineLevel="0" collapsed="false">
      <c r="A3470" s="154" t="n">
        <v>3146</v>
      </c>
      <c r="B3470" s="155" t="s">
        <v>2016</v>
      </c>
      <c r="C3470" s="148" t="str">
        <f aca="false">VLOOKUP($A3470,INSUMOS_AUX!$A$3:$H$813,3,0)</f>
        <v>MAT.</v>
      </c>
      <c r="D3470" s="156" t="s">
        <v>31</v>
      </c>
      <c r="E3470" s="154" t="n">
        <v>0.021</v>
      </c>
      <c r="F3470" s="149" t="n">
        <f aca="false">IF(C3470="MAT.",VLOOKUP(A3470,INSUMOS_AUX!$A$3:$H$813,6,0),0)</f>
        <v>3.8</v>
      </c>
      <c r="G3470" s="149" t="n">
        <f aca="false">IF(C3470="M.O.",VLOOKUP(A3470,INSUMOS_AUX!A:F,6,0),0)</f>
        <v>0</v>
      </c>
    </row>
    <row r="3471" customFormat="false" ht="21" hidden="false" customHeight="false" outlineLevel="0" collapsed="false">
      <c r="A3471" s="154" t="n">
        <v>11772</v>
      </c>
      <c r="B3471" s="155" t="s">
        <v>2078</v>
      </c>
      <c r="C3471" s="148" t="str">
        <f aca="false">VLOOKUP($A3471,INSUMOS_AUX!$A$3:$H$813,3,0)</f>
        <v>MAT.</v>
      </c>
      <c r="D3471" s="156" t="s">
        <v>31</v>
      </c>
      <c r="E3471" s="154" t="n">
        <v>1</v>
      </c>
      <c r="F3471" s="149" t="n">
        <f aca="false">IF(C3471="MAT.",VLOOKUP(A3471,INSUMOS_AUX!$A$3:$H$813,6,0),0)</f>
        <v>144.02</v>
      </c>
      <c r="G3471" s="149" t="n">
        <f aca="false">IF(C3471="M.O.",VLOOKUP(A3471,INSUMOS_AUX!A:F,6,0),0)</f>
        <v>0</v>
      </c>
    </row>
    <row r="3472" customFormat="false" ht="15" hidden="false" customHeight="false" outlineLevel="0" collapsed="false">
      <c r="A3472" s="154" t="n">
        <v>2696</v>
      </c>
      <c r="B3472" s="155" t="s">
        <v>1483</v>
      </c>
      <c r="C3472" s="148" t="str">
        <f aca="false">VLOOKUP($A3472,INSUMOS_AUX!$A$3:$H$813,3,0)</f>
        <v>M.O.</v>
      </c>
      <c r="D3472" s="156" t="s">
        <v>1444</v>
      </c>
      <c r="E3472" s="154" t="n">
        <v>0.169697266</v>
      </c>
      <c r="F3472" s="149" t="n">
        <f aca="false">IF(C3472="MAT.",VLOOKUP(A3472,INSUMOS_AUX!$A$3:$H$813,6,0),0)</f>
        <v>0</v>
      </c>
      <c r="G3472" s="149" t="n">
        <f aca="false">IF(C3472="M.O.",VLOOKUP(A3472,INSUMOS_AUX!A:F,6,0),0)</f>
        <v>20.22</v>
      </c>
    </row>
    <row r="3473" customFormat="false" ht="15" hidden="false" customHeight="false" outlineLevel="0" collapsed="false">
      <c r="A3473" s="154" t="n">
        <v>6111</v>
      </c>
      <c r="B3473" s="155" t="s">
        <v>1464</v>
      </c>
      <c r="C3473" s="148" t="str">
        <f aca="false">VLOOKUP($A3473,INSUMOS_AUX!$A$3:$H$813,3,0)</f>
        <v>M.O.</v>
      </c>
      <c r="D3473" s="156" t="s">
        <v>1444</v>
      </c>
      <c r="E3473" s="154" t="n">
        <v>0.053613</v>
      </c>
      <c r="F3473" s="149" t="n">
        <f aca="false">IF(C3473="MAT.",VLOOKUP(A3473,INSUMOS_AUX!$A$3:$H$813,6,0),0)</f>
        <v>0</v>
      </c>
      <c r="G3473" s="149" t="n">
        <f aca="false">IF(C3473="M.O.",VLOOKUP(A3473,INSUMOS_AUX!A:F,6,0),0)</f>
        <v>12.95</v>
      </c>
    </row>
    <row r="3474" customFormat="false" ht="42" hidden="false" customHeight="false" outlineLevel="0" collapsed="false">
      <c r="A3474" s="150" t="n">
        <v>86927</v>
      </c>
      <c r="B3474" s="151" t="s">
        <v>2079</v>
      </c>
      <c r="C3474" s="152" t="s">
        <v>59</v>
      </c>
      <c r="D3474" s="152" t="s">
        <v>31</v>
      </c>
      <c r="E3474" s="150"/>
      <c r="F3474" s="153" t="n">
        <f aca="false">(SUMPRODUCT($E3475:$E3491,F3475:F3491))*1</f>
        <v>353.237068</v>
      </c>
      <c r="G3474" s="153" t="n">
        <f aca="false">(SUMPRODUCT($E3475:$E3491,G3475:G3491))*1</f>
        <v>28.9985261136</v>
      </c>
    </row>
    <row r="3475" customFormat="false" ht="21" hidden="false" customHeight="false" outlineLevel="0" collapsed="false">
      <c r="A3475" s="154" t="n">
        <v>37370</v>
      </c>
      <c r="B3475" s="155" t="s">
        <v>1443</v>
      </c>
      <c r="C3475" s="148" t="str">
        <f aca="false">VLOOKUP($A3475,INSUMOS_AUX!$A$3:$H$813,3,0)</f>
        <v>MAT.</v>
      </c>
      <c r="D3475" s="156" t="s">
        <v>1444</v>
      </c>
      <c r="E3475" s="154" t="n">
        <v>1.5662</v>
      </c>
      <c r="F3475" s="149" t="n">
        <f aca="false">IF(C3475="MAT.",VLOOKUP(A3475,INSUMOS_AUX!$A$3:$H$813,6,0),0)</f>
        <v>3.32</v>
      </c>
      <c r="G3475" s="149" t="n">
        <f aca="false">IF(C3475="M.O.",VLOOKUP(A3475,INSUMOS_AUX!A:F,6,0),0)</f>
        <v>0</v>
      </c>
    </row>
    <row r="3476" customFormat="false" ht="21" hidden="false" customHeight="false" outlineLevel="0" collapsed="false">
      <c r="A3476" s="154" t="n">
        <v>43485</v>
      </c>
      <c r="B3476" s="155" t="s">
        <v>1481</v>
      </c>
      <c r="C3476" s="148" t="str">
        <f aca="false">VLOOKUP($A3476,INSUMOS_AUX!$A$3:$H$813,3,0)</f>
        <v>MAT.</v>
      </c>
      <c r="D3476" s="156" t="s">
        <v>1444</v>
      </c>
      <c r="E3476" s="154" t="n">
        <v>1.126</v>
      </c>
      <c r="F3476" s="149" t="n">
        <f aca="false">IF(C3476="MAT.",VLOOKUP(A3476,INSUMOS_AUX!$A$3:$H$813,6,0),0)</f>
        <v>1.13</v>
      </c>
      <c r="G3476" s="149" t="n">
        <f aca="false">IF(C3476="M.O.",VLOOKUP(A3476,INSUMOS_AUX!A:F,6,0),0)</f>
        <v>0</v>
      </c>
    </row>
    <row r="3477" customFormat="false" ht="21" hidden="false" customHeight="false" outlineLevel="0" collapsed="false">
      <c r="A3477" s="154" t="n">
        <v>43491</v>
      </c>
      <c r="B3477" s="155" t="s">
        <v>1457</v>
      </c>
      <c r="C3477" s="148" t="str">
        <f aca="false">VLOOKUP($A3477,INSUMOS_AUX!$A$3:$H$813,3,0)</f>
        <v>MAT.</v>
      </c>
      <c r="D3477" s="156" t="s">
        <v>1444</v>
      </c>
      <c r="E3477" s="154" t="n">
        <v>0.4402</v>
      </c>
      <c r="F3477" s="149" t="n">
        <f aca="false">IF(C3477="MAT.",VLOOKUP(A3477,INSUMOS_AUX!$A$3:$H$813,6,0),0)</f>
        <v>1.39</v>
      </c>
      <c r="G3477" s="149" t="n">
        <f aca="false">IF(C3477="M.O.",VLOOKUP(A3477,INSUMOS_AUX!A:F,6,0),0)</f>
        <v>0</v>
      </c>
    </row>
    <row r="3478" customFormat="false" ht="21" hidden="false" customHeight="false" outlineLevel="0" collapsed="false">
      <c r="A3478" s="154" t="n">
        <v>37372</v>
      </c>
      <c r="B3478" s="155" t="s">
        <v>1446</v>
      </c>
      <c r="C3478" s="148" t="str">
        <f aca="false">VLOOKUP($A3478,INSUMOS_AUX!$A$3:$H$813,3,0)</f>
        <v>MAT.</v>
      </c>
      <c r="D3478" s="156" t="s">
        <v>1444</v>
      </c>
      <c r="E3478" s="154" t="n">
        <v>1.5662</v>
      </c>
      <c r="F3478" s="149" t="n">
        <f aca="false">IF(C3478="MAT.",VLOOKUP(A3478,INSUMOS_AUX!$A$3:$H$813,6,0),0)</f>
        <v>1.43</v>
      </c>
      <c r="G3478" s="149" t="n">
        <f aca="false">IF(C3478="M.O.",VLOOKUP(A3478,INSUMOS_AUX!A:F,6,0),0)</f>
        <v>0</v>
      </c>
    </row>
    <row r="3479" customFormat="false" ht="21" hidden="false" customHeight="false" outlineLevel="0" collapsed="false">
      <c r="A3479" s="154" t="n">
        <v>43461</v>
      </c>
      <c r="B3479" s="155" t="s">
        <v>1482</v>
      </c>
      <c r="C3479" s="148" t="s">
        <v>59</v>
      </c>
      <c r="D3479" s="156" t="s">
        <v>1444</v>
      </c>
      <c r="E3479" s="154" t="n">
        <v>1.126</v>
      </c>
      <c r="F3479" s="149" t="n">
        <f aca="false">IF(C3479="MAT.",VLOOKUP(A3479,INSUMOS_AUX!$A$3:$H$813,6,0),0)</f>
        <v>0</v>
      </c>
      <c r="G3479" s="149" t="n">
        <f aca="false">IF(C3479="M.O.",VLOOKUP(A3479,INSUMOS_AUX!A:F,6,0),0)</f>
        <v>0</v>
      </c>
    </row>
    <row r="3480" customFormat="false" ht="21" hidden="false" customHeight="false" outlineLevel="0" collapsed="false">
      <c r="A3480" s="154" t="n">
        <v>43467</v>
      </c>
      <c r="B3480" s="155" t="s">
        <v>1459</v>
      </c>
      <c r="C3480" s="148" t="str">
        <f aca="false">VLOOKUP($A3480,INSUMOS_AUX!$A$3:$H$813,3,0)</f>
        <v>MAT.</v>
      </c>
      <c r="D3480" s="156" t="s">
        <v>1444</v>
      </c>
      <c r="E3480" s="154" t="n">
        <v>0.4402</v>
      </c>
      <c r="F3480" s="149" t="n">
        <f aca="false">IF(C3480="MAT.",VLOOKUP(A3480,INSUMOS_AUX!$A$3:$H$813,6,0),0)</f>
        <v>0.61</v>
      </c>
      <c r="G3480" s="149" t="n">
        <f aca="false">IF(C3480="M.O.",VLOOKUP(A3480,INSUMOS_AUX!A:F,6,0),0)</f>
        <v>0</v>
      </c>
    </row>
    <row r="3481" customFormat="false" ht="21" hidden="false" customHeight="false" outlineLevel="0" collapsed="false">
      <c r="A3481" s="154" t="n">
        <v>37373</v>
      </c>
      <c r="B3481" s="155" t="s">
        <v>1448</v>
      </c>
      <c r="C3481" s="148" t="str">
        <f aca="false">VLOOKUP($A3481,INSUMOS_AUX!$A$3:$H$813,3,0)</f>
        <v>MAT.</v>
      </c>
      <c r="D3481" s="156" t="s">
        <v>1444</v>
      </c>
      <c r="E3481" s="154" t="n">
        <v>1.5662</v>
      </c>
      <c r="F3481" s="149" t="n">
        <f aca="false">IF(C3481="MAT.",VLOOKUP(A3481,INSUMOS_AUX!$A$3:$H$813,6,0),0)</f>
        <v>0.08</v>
      </c>
      <c r="G3481" s="149" t="n">
        <f aca="false">IF(C3481="M.O.",VLOOKUP(A3481,INSUMOS_AUX!A:F,6,0),0)</f>
        <v>0</v>
      </c>
    </row>
    <row r="3482" customFormat="false" ht="21" hidden="false" customHeight="false" outlineLevel="0" collapsed="false">
      <c r="A3482" s="154" t="n">
        <v>37371</v>
      </c>
      <c r="B3482" s="155" t="s">
        <v>1449</v>
      </c>
      <c r="C3482" s="148" t="str">
        <f aca="false">VLOOKUP($A3482,INSUMOS_AUX!$A$3:$H$813,3,0)</f>
        <v>MAT.</v>
      </c>
      <c r="D3482" s="156" t="s">
        <v>1444</v>
      </c>
      <c r="E3482" s="154" t="n">
        <v>1.5662</v>
      </c>
      <c r="F3482" s="149" t="n">
        <f aca="false">IF(C3482="MAT.",VLOOKUP(A3482,INSUMOS_AUX!$A$3:$H$813,6,0),0)</f>
        <v>0.59</v>
      </c>
      <c r="G3482" s="149" t="n">
        <f aca="false">IF(C3482="M.O.",VLOOKUP(A3482,INSUMOS_AUX!A:F,6,0),0)</f>
        <v>0</v>
      </c>
    </row>
    <row r="3483" customFormat="false" ht="15" hidden="false" customHeight="false" outlineLevel="0" collapsed="false">
      <c r="A3483" s="154" t="n">
        <v>3146</v>
      </c>
      <c r="B3483" s="155" t="s">
        <v>2016</v>
      </c>
      <c r="C3483" s="148" t="str">
        <f aca="false">VLOOKUP($A3483,INSUMOS_AUX!$A$3:$H$813,3,0)</f>
        <v>MAT.</v>
      </c>
      <c r="D3483" s="156" t="s">
        <v>31</v>
      </c>
      <c r="E3483" s="154" t="n">
        <v>0.0962</v>
      </c>
      <c r="F3483" s="149" t="n">
        <f aca="false">IF(C3483="MAT.",VLOOKUP(A3483,INSUMOS_AUX!$A$3:$H$813,6,0),0)</f>
        <v>3.8</v>
      </c>
      <c r="G3483" s="149" t="n">
        <f aca="false">IF(C3483="M.O.",VLOOKUP(A3483,INSUMOS_AUX!A:F,6,0),0)</f>
        <v>0</v>
      </c>
    </row>
    <row r="3484" customFormat="false" ht="31.5" hidden="false" customHeight="false" outlineLevel="0" collapsed="false">
      <c r="A3484" s="154" t="n">
        <v>4351</v>
      </c>
      <c r="B3484" s="155" t="s">
        <v>1884</v>
      </c>
      <c r="C3484" s="148" t="str">
        <f aca="false">VLOOKUP($A3484,INSUMOS_AUX!$A$3:$H$813,3,0)</f>
        <v>MAT.</v>
      </c>
      <c r="D3484" s="156" t="s">
        <v>31</v>
      </c>
      <c r="E3484" s="154" t="n">
        <v>4</v>
      </c>
      <c r="F3484" s="149" t="n">
        <f aca="false">IF(C3484="MAT.",VLOOKUP(A3484,INSUMOS_AUX!$A$3:$H$813,6,0),0)</f>
        <v>18.49</v>
      </c>
      <c r="G3484" s="149" t="n">
        <f aca="false">IF(C3484="M.O.",VLOOKUP(A3484,INSUMOS_AUX!A:F,6,0),0)</f>
        <v>0</v>
      </c>
    </row>
    <row r="3485" customFormat="false" ht="15" hidden="false" customHeight="false" outlineLevel="0" collapsed="false">
      <c r="A3485" s="154" t="n">
        <v>37329</v>
      </c>
      <c r="B3485" s="155" t="s">
        <v>2018</v>
      </c>
      <c r="C3485" s="148" t="str">
        <f aca="false">VLOOKUP($A3485,INSUMOS_AUX!$A$3:$H$813,3,0)</f>
        <v>MAT.</v>
      </c>
      <c r="D3485" s="156" t="s">
        <v>1513</v>
      </c>
      <c r="E3485" s="154" t="n">
        <v>0.0468</v>
      </c>
      <c r="F3485" s="149" t="n">
        <f aca="false">IF(C3485="MAT.",VLOOKUP(A3485,INSUMOS_AUX!$A$3:$H$813,6,0),0)</f>
        <v>98.93</v>
      </c>
      <c r="G3485" s="149" t="n">
        <f aca="false">IF(C3485="M.O.",VLOOKUP(A3485,INSUMOS_AUX!A:F,6,0),0)</f>
        <v>0</v>
      </c>
    </row>
    <row r="3486" customFormat="false" ht="15" hidden="false" customHeight="false" outlineLevel="0" collapsed="false">
      <c r="A3486" s="154" t="n">
        <v>6146</v>
      </c>
      <c r="B3486" s="155" t="s">
        <v>2056</v>
      </c>
      <c r="C3486" s="148" t="str">
        <f aca="false">VLOOKUP($A3486,INSUMOS_AUX!$A$3:$H$813,3,0)</f>
        <v>MAT.</v>
      </c>
      <c r="D3486" s="156" t="s">
        <v>31</v>
      </c>
      <c r="E3486" s="154" t="n">
        <v>1</v>
      </c>
      <c r="F3486" s="149" t="n">
        <f aca="false">IF(C3486="MAT.",VLOOKUP(A3486,INSUMOS_AUX!$A$3:$H$813,6,0),0)</f>
        <v>15.38</v>
      </c>
      <c r="G3486" s="149" t="n">
        <f aca="false">IF(C3486="M.O.",VLOOKUP(A3486,INSUMOS_AUX!A:F,6,0),0)</f>
        <v>0</v>
      </c>
    </row>
    <row r="3487" customFormat="false" ht="21" hidden="false" customHeight="false" outlineLevel="0" collapsed="false">
      <c r="A3487" s="154" t="n">
        <v>11690</v>
      </c>
      <c r="B3487" s="155" t="s">
        <v>2080</v>
      </c>
      <c r="C3487" s="148" t="str">
        <f aca="false">VLOOKUP($A3487,INSUMOS_AUX!$A$3:$H$813,3,0)</f>
        <v>MAT.</v>
      </c>
      <c r="D3487" s="156" t="s">
        <v>31</v>
      </c>
      <c r="E3487" s="154" t="n">
        <v>1</v>
      </c>
      <c r="F3487" s="149" t="n">
        <f aca="false">IF(C3487="MAT.",VLOOKUP(A3487,INSUMOS_AUX!$A$3:$H$813,6,0),0)</f>
        <v>185.9</v>
      </c>
      <c r="G3487" s="149" t="n">
        <f aca="false">IF(C3487="M.O.",VLOOKUP(A3487,INSUMOS_AUX!A:F,6,0),0)</f>
        <v>0</v>
      </c>
    </row>
    <row r="3488" customFormat="false" ht="31.5" hidden="false" customHeight="false" outlineLevel="0" collapsed="false">
      <c r="A3488" s="154" t="n">
        <v>7604</v>
      </c>
      <c r="B3488" s="155" t="s">
        <v>2081</v>
      </c>
      <c r="C3488" s="148" t="str">
        <f aca="false">VLOOKUP($A3488,INSUMOS_AUX!$A$3:$H$813,3,0)</f>
        <v>MAT.</v>
      </c>
      <c r="D3488" s="156" t="s">
        <v>31</v>
      </c>
      <c r="E3488" s="154" t="n">
        <v>1</v>
      </c>
      <c r="F3488" s="149" t="n">
        <f aca="false">IF(C3488="MAT.",VLOOKUP(A3488,INSUMOS_AUX!$A$3:$H$813,6,0),0)</f>
        <v>57.66</v>
      </c>
      <c r="G3488" s="149" t="n">
        <f aca="false">IF(C3488="M.O.",VLOOKUP(A3488,INSUMOS_AUX!A:F,6,0),0)</f>
        <v>0</v>
      </c>
    </row>
    <row r="3489" customFormat="false" ht="21" hidden="false" customHeight="false" outlineLevel="0" collapsed="false">
      <c r="A3489" s="154" t="n">
        <v>6153</v>
      </c>
      <c r="B3489" s="155" t="s">
        <v>2059</v>
      </c>
      <c r="C3489" s="148" t="str">
        <f aca="false">VLOOKUP($A3489,INSUMOS_AUX!$A$3:$H$813,3,0)</f>
        <v>MAT.</v>
      </c>
      <c r="D3489" s="156" t="s">
        <v>31</v>
      </c>
      <c r="E3489" s="154" t="n">
        <v>1</v>
      </c>
      <c r="F3489" s="149" t="n">
        <f aca="false">IF(C3489="MAT.",VLOOKUP(A3489,INSUMOS_AUX!$A$3:$H$813,6,0),0)</f>
        <v>4.7</v>
      </c>
      <c r="G3489" s="149" t="n">
        <f aca="false">IF(C3489="M.O.",VLOOKUP(A3489,INSUMOS_AUX!A:F,6,0),0)</f>
        <v>0</v>
      </c>
    </row>
    <row r="3490" customFormat="false" ht="15" hidden="false" customHeight="false" outlineLevel="0" collapsed="false">
      <c r="A3490" s="154" t="n">
        <v>2696</v>
      </c>
      <c r="B3490" s="155" t="s">
        <v>1483</v>
      </c>
      <c r="C3490" s="148" t="str">
        <f aca="false">VLOOKUP($A3490,INSUMOS_AUX!$A$3:$H$813,3,0)</f>
        <v>M.O.</v>
      </c>
      <c r="D3490" s="156" t="s">
        <v>1444</v>
      </c>
      <c r="E3490" s="154" t="n">
        <v>1.14624548</v>
      </c>
      <c r="F3490" s="149" t="n">
        <f aca="false">IF(C3490="MAT.",VLOOKUP(A3490,INSUMOS_AUX!$A$3:$H$813,6,0),0)</f>
        <v>0</v>
      </c>
      <c r="G3490" s="149" t="n">
        <f aca="false">IF(C3490="M.O.",VLOOKUP(A3490,INSUMOS_AUX!A:F,6,0),0)</f>
        <v>20.22</v>
      </c>
    </row>
    <row r="3491" customFormat="false" ht="15" hidden="false" customHeight="false" outlineLevel="0" collapsed="false">
      <c r="A3491" s="154" t="n">
        <v>6111</v>
      </c>
      <c r="B3491" s="155" t="s">
        <v>1464</v>
      </c>
      <c r="C3491" s="148" t="str">
        <f aca="false">VLOOKUP($A3491,INSUMOS_AUX!$A$3:$H$813,3,0)</f>
        <v>M.O.</v>
      </c>
      <c r="D3491" s="156" t="s">
        <v>1444</v>
      </c>
      <c r="E3491" s="154" t="n">
        <v>0.44953224</v>
      </c>
      <c r="F3491" s="149" t="n">
        <f aca="false">IF(C3491="MAT.",VLOOKUP(A3491,INSUMOS_AUX!$A$3:$H$813,6,0),0)</f>
        <v>0</v>
      </c>
      <c r="G3491" s="149" t="n">
        <f aca="false">IF(C3491="M.O.",VLOOKUP(A3491,INSUMOS_AUX!A:F,6,0),0)</f>
        <v>12.95</v>
      </c>
    </row>
    <row r="3492" customFormat="false" ht="21" hidden="false" customHeight="false" outlineLevel="0" collapsed="false">
      <c r="A3492" s="150" t="n">
        <v>86914</v>
      </c>
      <c r="B3492" s="151" t="s">
        <v>2082</v>
      </c>
      <c r="C3492" s="152" t="s">
        <v>59</v>
      </c>
      <c r="D3492" s="152" t="s">
        <v>31</v>
      </c>
      <c r="E3492" s="150"/>
      <c r="F3492" s="153" t="n">
        <f aca="false">(SUMPRODUCT($E3493:$E3504,F3493:F3504))*1</f>
        <v>108.78686</v>
      </c>
      <c r="G3492" s="153" t="n">
        <f aca="false">(SUMPRODUCT($E3493:$E3504,G3493:G3504))*1</f>
        <v>3.775092603</v>
      </c>
    </row>
    <row r="3493" customFormat="false" ht="21" hidden="false" customHeight="false" outlineLevel="0" collapsed="false">
      <c r="A3493" s="154" t="n">
        <v>37370</v>
      </c>
      <c r="B3493" s="155" t="s">
        <v>1443</v>
      </c>
      <c r="C3493" s="148" t="s">
        <v>59</v>
      </c>
      <c r="D3493" s="156" t="s">
        <v>1444</v>
      </c>
      <c r="E3493" s="154" t="n">
        <v>0.2006</v>
      </c>
      <c r="F3493" s="149" t="n">
        <f aca="false">IF(C3493="MAT.",VLOOKUP(A3493,INSUMOS_AUX!$A$3:$H$813,6,0),0)</f>
        <v>0</v>
      </c>
      <c r="G3493" s="149" t="n">
        <f aca="false">IF(C3493="M.O.",VLOOKUP(A3493,INSUMOS_AUX!A:F,6,0),0)</f>
        <v>0</v>
      </c>
    </row>
    <row r="3494" customFormat="false" ht="21" hidden="false" customHeight="false" outlineLevel="0" collapsed="false">
      <c r="A3494" s="154" t="n">
        <v>43485</v>
      </c>
      <c r="B3494" s="155" t="s">
        <v>1481</v>
      </c>
      <c r="C3494" s="148" t="str">
        <f aca="false">VLOOKUP($A3494,INSUMOS_AUX!$A$3:$H$813,3,0)</f>
        <v>MAT.</v>
      </c>
      <c r="D3494" s="156" t="s">
        <v>1444</v>
      </c>
      <c r="E3494" s="154" t="n">
        <v>0.1525</v>
      </c>
      <c r="F3494" s="149" t="n">
        <f aca="false">IF(C3494="MAT.",VLOOKUP(A3494,INSUMOS_AUX!$A$3:$H$813,6,0),0)</f>
        <v>1.13</v>
      </c>
      <c r="G3494" s="149" t="n">
        <f aca="false">IF(C3494="M.O.",VLOOKUP(A3494,INSUMOS_AUX!A:F,6,0),0)</f>
        <v>0</v>
      </c>
    </row>
    <row r="3495" customFormat="false" ht="21" hidden="false" customHeight="false" outlineLevel="0" collapsed="false">
      <c r="A3495" s="154" t="n">
        <v>43491</v>
      </c>
      <c r="B3495" s="155" t="s">
        <v>1457</v>
      </c>
      <c r="C3495" s="148" t="str">
        <f aca="false">VLOOKUP($A3495,INSUMOS_AUX!$A$3:$H$813,3,0)</f>
        <v>MAT.</v>
      </c>
      <c r="D3495" s="156" t="s">
        <v>1444</v>
      </c>
      <c r="E3495" s="154" t="n">
        <v>0.0481</v>
      </c>
      <c r="F3495" s="149" t="n">
        <f aca="false">IF(C3495="MAT.",VLOOKUP(A3495,INSUMOS_AUX!$A$3:$H$813,6,0),0)</f>
        <v>1.39</v>
      </c>
      <c r="G3495" s="149" t="n">
        <f aca="false">IF(C3495="M.O.",VLOOKUP(A3495,INSUMOS_AUX!A:F,6,0),0)</f>
        <v>0</v>
      </c>
    </row>
    <row r="3496" customFormat="false" ht="21" hidden="false" customHeight="false" outlineLevel="0" collapsed="false">
      <c r="A3496" s="154" t="n">
        <v>37372</v>
      </c>
      <c r="B3496" s="155" t="s">
        <v>1446</v>
      </c>
      <c r="C3496" s="148" t="str">
        <f aca="false">VLOOKUP($A3496,INSUMOS_AUX!$A$3:$H$813,3,0)</f>
        <v>MAT.</v>
      </c>
      <c r="D3496" s="156" t="s">
        <v>1444</v>
      </c>
      <c r="E3496" s="154" t="n">
        <v>0.2006</v>
      </c>
      <c r="F3496" s="149" t="n">
        <f aca="false">IF(C3496="MAT.",VLOOKUP(A3496,INSUMOS_AUX!$A$3:$H$813,6,0),0)</f>
        <v>1.43</v>
      </c>
      <c r="G3496" s="149" t="n">
        <f aca="false">IF(C3496="M.O.",VLOOKUP(A3496,INSUMOS_AUX!A:F,6,0),0)</f>
        <v>0</v>
      </c>
    </row>
    <row r="3497" customFormat="false" ht="21" hidden="false" customHeight="false" outlineLevel="0" collapsed="false">
      <c r="A3497" s="154" t="n">
        <v>43461</v>
      </c>
      <c r="B3497" s="155" t="s">
        <v>1482</v>
      </c>
      <c r="C3497" s="148" t="str">
        <f aca="false">VLOOKUP($A3497,INSUMOS_AUX!$A$3:$H$813,3,0)</f>
        <v>MAT.</v>
      </c>
      <c r="D3497" s="156" t="s">
        <v>1444</v>
      </c>
      <c r="E3497" s="154" t="n">
        <v>0.1525</v>
      </c>
      <c r="F3497" s="149" t="n">
        <f aca="false">IF(C3497="MAT.",VLOOKUP(A3497,INSUMOS_AUX!$A$3:$H$813,6,0),0)</f>
        <v>0.31</v>
      </c>
      <c r="G3497" s="149" t="n">
        <f aca="false">IF(C3497="M.O.",VLOOKUP(A3497,INSUMOS_AUX!A:F,6,0),0)</f>
        <v>0</v>
      </c>
    </row>
    <row r="3498" customFormat="false" ht="21" hidden="false" customHeight="false" outlineLevel="0" collapsed="false">
      <c r="A3498" s="154" t="n">
        <v>43467</v>
      </c>
      <c r="B3498" s="155" t="s">
        <v>1459</v>
      </c>
      <c r="C3498" s="148" t="str">
        <f aca="false">VLOOKUP($A3498,INSUMOS_AUX!$A$3:$H$813,3,0)</f>
        <v>MAT.</v>
      </c>
      <c r="D3498" s="156" t="s">
        <v>1444</v>
      </c>
      <c r="E3498" s="154" t="n">
        <v>0.0481</v>
      </c>
      <c r="F3498" s="149" t="n">
        <f aca="false">IF(C3498="MAT.",VLOOKUP(A3498,INSUMOS_AUX!$A$3:$H$813,6,0),0)</f>
        <v>0.61</v>
      </c>
      <c r="G3498" s="149" t="n">
        <f aca="false">IF(C3498="M.O.",VLOOKUP(A3498,INSUMOS_AUX!A:F,6,0),0)</f>
        <v>0</v>
      </c>
    </row>
    <row r="3499" customFormat="false" ht="21" hidden="false" customHeight="false" outlineLevel="0" collapsed="false">
      <c r="A3499" s="154" t="n">
        <v>37373</v>
      </c>
      <c r="B3499" s="155" t="s">
        <v>1448</v>
      </c>
      <c r="C3499" s="148" t="str">
        <f aca="false">VLOOKUP($A3499,INSUMOS_AUX!$A$3:$H$813,3,0)</f>
        <v>MAT.</v>
      </c>
      <c r="D3499" s="156" t="s">
        <v>1444</v>
      </c>
      <c r="E3499" s="154" t="n">
        <v>0.2006</v>
      </c>
      <c r="F3499" s="149" t="n">
        <f aca="false">IF(C3499="MAT.",VLOOKUP(A3499,INSUMOS_AUX!$A$3:$H$813,6,0),0)</f>
        <v>0.08</v>
      </c>
      <c r="G3499" s="149" t="n">
        <f aca="false">IF(C3499="M.O.",VLOOKUP(A3499,INSUMOS_AUX!A:F,6,0),0)</f>
        <v>0</v>
      </c>
    </row>
    <row r="3500" customFormat="false" ht="21" hidden="false" customHeight="false" outlineLevel="0" collapsed="false">
      <c r="A3500" s="154" t="n">
        <v>37371</v>
      </c>
      <c r="B3500" s="155" t="s">
        <v>1449</v>
      </c>
      <c r="C3500" s="148" t="str">
        <f aca="false">VLOOKUP($A3500,INSUMOS_AUX!$A$3:$H$813,3,0)</f>
        <v>MAT.</v>
      </c>
      <c r="D3500" s="156" t="s">
        <v>1444</v>
      </c>
      <c r="E3500" s="154" t="n">
        <v>0.2006</v>
      </c>
      <c r="F3500" s="149" t="n">
        <f aca="false">IF(C3500="MAT.",VLOOKUP(A3500,INSUMOS_AUX!$A$3:$H$813,6,0),0)</f>
        <v>0.59</v>
      </c>
      <c r="G3500" s="149" t="n">
        <f aca="false">IF(C3500="M.O.",VLOOKUP(A3500,INSUMOS_AUX!A:F,6,0),0)</f>
        <v>0</v>
      </c>
    </row>
    <row r="3501" customFormat="false" ht="15" hidden="false" customHeight="false" outlineLevel="0" collapsed="false">
      <c r="A3501" s="154" t="n">
        <v>3146</v>
      </c>
      <c r="B3501" s="155" t="s">
        <v>2016</v>
      </c>
      <c r="C3501" s="148" t="str">
        <f aca="false">VLOOKUP($A3501,INSUMOS_AUX!$A$3:$H$813,3,0)</f>
        <v>MAT.</v>
      </c>
      <c r="D3501" s="156" t="s">
        <v>31</v>
      </c>
      <c r="E3501" s="154" t="n">
        <v>0.021</v>
      </c>
      <c r="F3501" s="149" t="n">
        <f aca="false">IF(C3501="MAT.",VLOOKUP(A3501,INSUMOS_AUX!$A$3:$H$813,6,0),0)</f>
        <v>3.8</v>
      </c>
      <c r="G3501" s="149" t="n">
        <f aca="false">IF(C3501="M.O.",VLOOKUP(A3501,INSUMOS_AUX!A:F,6,0),0)</f>
        <v>0</v>
      </c>
    </row>
    <row r="3502" customFormat="false" ht="21" hidden="false" customHeight="false" outlineLevel="0" collapsed="false">
      <c r="A3502" s="154" t="n">
        <v>13417</v>
      </c>
      <c r="B3502" s="155" t="s">
        <v>2083</v>
      </c>
      <c r="C3502" s="148" t="str">
        <f aca="false">VLOOKUP($A3502,INSUMOS_AUX!$A$3:$H$813,3,0)</f>
        <v>MAT.</v>
      </c>
      <c r="D3502" s="156" t="s">
        <v>31</v>
      </c>
      <c r="E3502" s="154" t="n">
        <v>1</v>
      </c>
      <c r="F3502" s="149" t="n">
        <f aca="false">IF(C3502="MAT.",VLOOKUP(A3502,INSUMOS_AUX!$A$3:$H$813,6,0),0)</f>
        <v>107.97</v>
      </c>
      <c r="G3502" s="149" t="n">
        <f aca="false">IF(C3502="M.O.",VLOOKUP(A3502,INSUMOS_AUX!A:F,6,0),0)</f>
        <v>0</v>
      </c>
    </row>
    <row r="3503" customFormat="false" ht="15" hidden="false" customHeight="false" outlineLevel="0" collapsed="false">
      <c r="A3503" s="154" t="n">
        <v>2696</v>
      </c>
      <c r="B3503" s="155" t="s">
        <v>1483</v>
      </c>
      <c r="C3503" s="148" t="str">
        <f aca="false">VLOOKUP($A3503,INSUMOS_AUX!$A$3:$H$813,3,0)</f>
        <v>M.O.</v>
      </c>
      <c r="D3503" s="156" t="s">
        <v>1444</v>
      </c>
      <c r="E3503" s="154" t="n">
        <v>0.15524195</v>
      </c>
      <c r="F3503" s="149" t="n">
        <f aca="false">IF(C3503="MAT.",VLOOKUP(A3503,INSUMOS_AUX!$A$3:$H$813,6,0),0)</f>
        <v>0</v>
      </c>
      <c r="G3503" s="149" t="n">
        <f aca="false">IF(C3503="M.O.",VLOOKUP(A3503,INSUMOS_AUX!A:F,6,0),0)</f>
        <v>20.22</v>
      </c>
    </row>
    <row r="3504" customFormat="false" ht="15" hidden="false" customHeight="false" outlineLevel="0" collapsed="false">
      <c r="A3504" s="154" t="n">
        <v>6111</v>
      </c>
      <c r="B3504" s="155" t="s">
        <v>1464</v>
      </c>
      <c r="C3504" s="148" t="str">
        <f aca="false">VLOOKUP($A3504,INSUMOS_AUX!$A$3:$H$813,3,0)</f>
        <v>M.O.</v>
      </c>
      <c r="D3504" s="156" t="s">
        <v>1444</v>
      </c>
      <c r="E3504" s="154" t="n">
        <v>0.04911972</v>
      </c>
      <c r="F3504" s="149" t="n">
        <f aca="false">IF(C3504="MAT.",VLOOKUP(A3504,INSUMOS_AUX!$A$3:$H$813,6,0),0)</f>
        <v>0</v>
      </c>
      <c r="G3504" s="149" t="n">
        <f aca="false">IF(C3504="M.O.",VLOOKUP(A3504,INSUMOS_AUX!A:F,6,0),0)</f>
        <v>12.95</v>
      </c>
    </row>
    <row r="3505" customFormat="false" ht="21" hidden="false" customHeight="false" outlineLevel="0" collapsed="false">
      <c r="A3505" s="150" t="n">
        <v>103046</v>
      </c>
      <c r="B3505" s="151" t="s">
        <v>2084</v>
      </c>
      <c r="C3505" s="152" t="s">
        <v>59</v>
      </c>
      <c r="D3505" s="152" t="s">
        <v>31</v>
      </c>
      <c r="E3505" s="150"/>
      <c r="F3505" s="153" t="n">
        <f aca="false">(SUMPRODUCT($E3506:$E3515,F3506:F3515))*1</f>
        <v>12.85045</v>
      </c>
      <c r="G3505" s="153" t="n">
        <f aca="false">(SUMPRODUCT($E3506:$E3515,G3506:G3515))*1</f>
        <v>2.26830782712</v>
      </c>
    </row>
    <row r="3506" customFormat="false" ht="21" hidden="false" customHeight="false" outlineLevel="0" collapsed="false">
      <c r="A3506" s="154" t="n">
        <v>37370</v>
      </c>
      <c r="B3506" s="155" t="s">
        <v>1443</v>
      </c>
      <c r="C3506" s="148" t="str">
        <f aca="false">VLOOKUP($A3506,INSUMOS_AUX!$A$3:$H$813,3,0)</f>
        <v>MAT.</v>
      </c>
      <c r="D3506" s="156" t="s">
        <v>1444</v>
      </c>
      <c r="E3506" s="154" t="n">
        <v>0.2204</v>
      </c>
      <c r="F3506" s="149" t="n">
        <f aca="false">IF(C3506="MAT.",VLOOKUP(A3506,INSUMOS_AUX!$A$3:$H$813,6,0),0)</f>
        <v>3.32</v>
      </c>
      <c r="G3506" s="149" t="n">
        <f aca="false">IF(C3506="M.O.",VLOOKUP(A3506,INSUMOS_AUX!A:F,6,0),0)</f>
        <v>0</v>
      </c>
    </row>
    <row r="3507" customFormat="false" ht="21" hidden="false" customHeight="false" outlineLevel="0" collapsed="false">
      <c r="A3507" s="154" t="n">
        <v>43485</v>
      </c>
      <c r="B3507" s="155" t="s">
        <v>1481</v>
      </c>
      <c r="C3507" s="148" t="str">
        <f aca="false">VLOOKUP($A3507,INSUMOS_AUX!$A$3:$H$813,3,0)</f>
        <v>MAT.</v>
      </c>
      <c r="D3507" s="156" t="s">
        <v>1444</v>
      </c>
      <c r="E3507" s="154" t="n">
        <v>0.2204</v>
      </c>
      <c r="F3507" s="149" t="n">
        <f aca="false">IF(C3507="MAT.",VLOOKUP(A3507,INSUMOS_AUX!$A$3:$H$813,6,0),0)</f>
        <v>1.13</v>
      </c>
      <c r="G3507" s="149" t="n">
        <f aca="false">IF(C3507="M.O.",VLOOKUP(A3507,INSUMOS_AUX!A:F,6,0),0)</f>
        <v>0</v>
      </c>
    </row>
    <row r="3508" customFormat="false" ht="21" hidden="false" customHeight="false" outlineLevel="0" collapsed="false">
      <c r="A3508" s="154" t="n">
        <v>37372</v>
      </c>
      <c r="B3508" s="155" t="s">
        <v>1446</v>
      </c>
      <c r="C3508" s="148" t="str">
        <f aca="false">VLOOKUP($A3508,INSUMOS_AUX!$A$3:$H$813,3,0)</f>
        <v>MAT.</v>
      </c>
      <c r="D3508" s="156" t="s">
        <v>1444</v>
      </c>
      <c r="E3508" s="154" t="n">
        <v>0.2204</v>
      </c>
      <c r="F3508" s="149" t="n">
        <f aca="false">IF(C3508="MAT.",VLOOKUP(A3508,INSUMOS_AUX!$A$3:$H$813,6,0),0)</f>
        <v>1.43</v>
      </c>
      <c r="G3508" s="149" t="n">
        <f aca="false">IF(C3508="M.O.",VLOOKUP(A3508,INSUMOS_AUX!A:F,6,0),0)</f>
        <v>0</v>
      </c>
    </row>
    <row r="3509" customFormat="false" ht="21" hidden="false" customHeight="false" outlineLevel="0" collapsed="false">
      <c r="A3509" s="154" t="n">
        <v>43461</v>
      </c>
      <c r="B3509" s="155" t="s">
        <v>1482</v>
      </c>
      <c r="C3509" s="148" t="str">
        <f aca="false">VLOOKUP($A3509,INSUMOS_AUX!$A$3:$H$813,3,0)</f>
        <v>MAT.</v>
      </c>
      <c r="D3509" s="156" t="s">
        <v>1444</v>
      </c>
      <c r="E3509" s="154" t="n">
        <v>0.2204</v>
      </c>
      <c r="F3509" s="149" t="n">
        <f aca="false">IF(C3509="MAT.",VLOOKUP(A3509,INSUMOS_AUX!$A$3:$H$813,6,0),0)</f>
        <v>0.31</v>
      </c>
      <c r="G3509" s="149" t="n">
        <f aca="false">IF(C3509="M.O.",VLOOKUP(A3509,INSUMOS_AUX!A:F,6,0),0)</f>
        <v>0</v>
      </c>
    </row>
    <row r="3510" customFormat="false" ht="21" hidden="false" customHeight="false" outlineLevel="0" collapsed="false">
      <c r="A3510" s="154" t="n">
        <v>37373</v>
      </c>
      <c r="B3510" s="155" t="s">
        <v>1448</v>
      </c>
      <c r="C3510" s="148" t="str">
        <f aca="false">VLOOKUP($A3510,INSUMOS_AUX!$A$3:$H$813,3,0)</f>
        <v>MAT.</v>
      </c>
      <c r="D3510" s="156" t="s">
        <v>1444</v>
      </c>
      <c r="E3510" s="154" t="n">
        <v>0.2204</v>
      </c>
      <c r="F3510" s="149" t="n">
        <f aca="false">IF(C3510="MAT.",VLOOKUP(A3510,INSUMOS_AUX!$A$3:$H$813,6,0),0)</f>
        <v>0.08</v>
      </c>
      <c r="G3510" s="149" t="n">
        <f aca="false">IF(C3510="M.O.",VLOOKUP(A3510,INSUMOS_AUX!A:F,6,0),0)</f>
        <v>0</v>
      </c>
    </row>
    <row r="3511" customFormat="false" ht="21" hidden="false" customHeight="false" outlineLevel="0" collapsed="false">
      <c r="A3511" s="154" t="n">
        <v>37371</v>
      </c>
      <c r="B3511" s="155" t="s">
        <v>1449</v>
      </c>
      <c r="C3511" s="148" t="str">
        <f aca="false">VLOOKUP($A3511,INSUMOS_AUX!$A$3:$H$813,3,0)</f>
        <v>MAT.</v>
      </c>
      <c r="D3511" s="156" t="s">
        <v>1444</v>
      </c>
      <c r="E3511" s="154" t="n">
        <v>0.2204</v>
      </c>
      <c r="F3511" s="149" t="n">
        <f aca="false">IF(C3511="MAT.",VLOOKUP(A3511,INSUMOS_AUX!$A$3:$H$813,6,0),0)</f>
        <v>0.59</v>
      </c>
      <c r="G3511" s="149" t="n">
        <f aca="false">IF(C3511="M.O.",VLOOKUP(A3511,INSUMOS_AUX!A:F,6,0),0)</f>
        <v>0</v>
      </c>
    </row>
    <row r="3512" customFormat="false" ht="15" hidden="false" customHeight="false" outlineLevel="0" collapsed="false">
      <c r="A3512" s="154" t="n">
        <v>3148</v>
      </c>
      <c r="B3512" s="155" t="s">
        <v>2085</v>
      </c>
      <c r="C3512" s="148" t="str">
        <f aca="false">VLOOKUP($A3512,INSUMOS_AUX!$A$3:$H$813,3,0)</f>
        <v>MAT.</v>
      </c>
      <c r="D3512" s="156" t="s">
        <v>31</v>
      </c>
      <c r="E3512" s="154" t="n">
        <v>0.0106</v>
      </c>
      <c r="F3512" s="149" t="n">
        <f aca="false">IF(C3512="MAT.",VLOOKUP(A3512,INSUMOS_AUX!$A$3:$H$813,6,0),0)</f>
        <v>14.01</v>
      </c>
      <c r="G3512" s="149" t="n">
        <f aca="false">IF(C3512="M.O.",VLOOKUP(A3512,INSUMOS_AUX!A:F,6,0),0)</f>
        <v>0</v>
      </c>
    </row>
    <row r="3513" customFormat="false" ht="15" hidden="false" customHeight="false" outlineLevel="0" collapsed="false">
      <c r="A3513" s="154" t="n">
        <v>11718</v>
      </c>
      <c r="B3513" s="155" t="s">
        <v>2086</v>
      </c>
      <c r="C3513" s="148" t="str">
        <f aca="false">VLOOKUP($A3513,INSUMOS_AUX!$A$3:$H$813,3,0)</f>
        <v>MAT.</v>
      </c>
      <c r="D3513" s="156" t="s">
        <v>31</v>
      </c>
      <c r="E3513" s="154" t="n">
        <v>1</v>
      </c>
      <c r="F3513" s="149" t="n">
        <f aca="false">IF(C3513="MAT.",VLOOKUP(A3513,INSUMOS_AUX!$A$3:$H$813,6,0),0)</f>
        <v>11.19</v>
      </c>
      <c r="G3513" s="149" t="n">
        <f aca="false">IF(C3513="M.O.",VLOOKUP(A3513,INSUMOS_AUX!A:F,6,0),0)</f>
        <v>0</v>
      </c>
    </row>
    <row r="3514" customFormat="false" ht="15" hidden="false" customHeight="false" outlineLevel="0" collapsed="false">
      <c r="A3514" s="154" t="n">
        <v>246</v>
      </c>
      <c r="B3514" s="155" t="s">
        <v>1752</v>
      </c>
      <c r="C3514" s="148" t="s">
        <v>59</v>
      </c>
      <c r="D3514" s="156" t="s">
        <v>1444</v>
      </c>
      <c r="E3514" s="154" t="n">
        <v>0.112181396</v>
      </c>
      <c r="F3514" s="149" t="n">
        <f aca="false">IF(C3514="MAT.",VLOOKUP(A3514,INSUMOS_AUX!$A$3:$H$813,6,0),0)</f>
        <v>0</v>
      </c>
      <c r="G3514" s="149" t="n">
        <f aca="false">IF(C3514="M.O.",VLOOKUP(A3514,INSUMOS_AUX!A:F,6,0),0)</f>
        <v>0</v>
      </c>
    </row>
    <row r="3515" customFormat="false" ht="15" hidden="false" customHeight="false" outlineLevel="0" collapsed="false">
      <c r="A3515" s="154" t="n">
        <v>2696</v>
      </c>
      <c r="B3515" s="155" t="s">
        <v>1483</v>
      </c>
      <c r="C3515" s="148" t="str">
        <f aca="false">VLOOKUP($A3515,INSUMOS_AUX!$A$3:$H$813,3,0)</f>
        <v>M.O.</v>
      </c>
      <c r="D3515" s="156" t="s">
        <v>1444</v>
      </c>
      <c r="E3515" s="154" t="n">
        <v>0.112181396</v>
      </c>
      <c r="F3515" s="149" t="n">
        <f aca="false">IF(C3515="MAT.",VLOOKUP(A3515,INSUMOS_AUX!$A$3:$H$813,6,0),0)</f>
        <v>0</v>
      </c>
      <c r="G3515" s="149" t="n">
        <f aca="false">IF(C3515="M.O.",VLOOKUP(A3515,INSUMOS_AUX!A:F,6,0),0)</f>
        <v>20.22</v>
      </c>
    </row>
    <row r="3516" customFormat="false" ht="21" hidden="false" customHeight="false" outlineLevel="0" collapsed="false">
      <c r="A3516" s="150" t="n">
        <v>103042</v>
      </c>
      <c r="B3516" s="151" t="s">
        <v>2087</v>
      </c>
      <c r="C3516" s="152" t="s">
        <v>59</v>
      </c>
      <c r="D3516" s="152" t="s">
        <v>31</v>
      </c>
      <c r="E3516" s="150"/>
      <c r="F3516" s="153" t="n">
        <f aca="false">(SUMPRODUCT($E3517:$E3526,F3517:F3526))*1</f>
        <v>13.511944</v>
      </c>
      <c r="G3516" s="153" t="n">
        <f aca="false">(SUMPRODUCT($E3517:$E3526,G3517:G3526))*1</f>
        <v>3.75583313808</v>
      </c>
    </row>
    <row r="3517" customFormat="false" ht="21" hidden="false" customHeight="false" outlineLevel="0" collapsed="false">
      <c r="A3517" s="154" t="n">
        <v>37370</v>
      </c>
      <c r="B3517" s="155" t="s">
        <v>1443</v>
      </c>
      <c r="C3517" s="148" t="str">
        <f aca="false">VLOOKUP($A3517,INSUMOS_AUX!$A$3:$H$813,3,0)</f>
        <v>MAT.</v>
      </c>
      <c r="D3517" s="156" t="s">
        <v>1444</v>
      </c>
      <c r="E3517" s="154" t="n">
        <v>0.2204</v>
      </c>
      <c r="F3517" s="149" t="n">
        <f aca="false">IF(C3517="MAT.",VLOOKUP(A3517,INSUMOS_AUX!$A$3:$H$813,6,0),0)</f>
        <v>3.32</v>
      </c>
      <c r="G3517" s="149" t="n">
        <f aca="false">IF(C3517="M.O.",VLOOKUP(A3517,INSUMOS_AUX!A:F,6,0),0)</f>
        <v>0</v>
      </c>
    </row>
    <row r="3518" customFormat="false" ht="21" hidden="false" customHeight="false" outlineLevel="0" collapsed="false">
      <c r="A3518" s="154" t="n">
        <v>43485</v>
      </c>
      <c r="B3518" s="155" t="s">
        <v>1481</v>
      </c>
      <c r="C3518" s="148" t="str">
        <f aca="false">VLOOKUP($A3518,INSUMOS_AUX!$A$3:$H$813,3,0)</f>
        <v>MAT.</v>
      </c>
      <c r="D3518" s="156" t="s">
        <v>1444</v>
      </c>
      <c r="E3518" s="154" t="n">
        <v>0.2204</v>
      </c>
      <c r="F3518" s="149" t="n">
        <f aca="false">IF(C3518="MAT.",VLOOKUP(A3518,INSUMOS_AUX!$A$3:$H$813,6,0),0)</f>
        <v>1.13</v>
      </c>
      <c r="G3518" s="149" t="n">
        <f aca="false">IF(C3518="M.O.",VLOOKUP(A3518,INSUMOS_AUX!A:F,6,0),0)</f>
        <v>0</v>
      </c>
    </row>
    <row r="3519" customFormat="false" ht="21" hidden="false" customHeight="false" outlineLevel="0" collapsed="false">
      <c r="A3519" s="154" t="n">
        <v>37372</v>
      </c>
      <c r="B3519" s="155" t="s">
        <v>1446</v>
      </c>
      <c r="C3519" s="148" t="str">
        <f aca="false">VLOOKUP($A3519,INSUMOS_AUX!$A$3:$H$813,3,0)</f>
        <v>MAT.</v>
      </c>
      <c r="D3519" s="156" t="s">
        <v>1444</v>
      </c>
      <c r="E3519" s="154" t="n">
        <v>0.2204</v>
      </c>
      <c r="F3519" s="149" t="n">
        <f aca="false">IF(C3519="MAT.",VLOOKUP(A3519,INSUMOS_AUX!$A$3:$H$813,6,0),0)</f>
        <v>1.43</v>
      </c>
      <c r="G3519" s="149" t="n">
        <f aca="false">IF(C3519="M.O.",VLOOKUP(A3519,INSUMOS_AUX!A:F,6,0),0)</f>
        <v>0</v>
      </c>
    </row>
    <row r="3520" customFormat="false" ht="21" hidden="false" customHeight="false" outlineLevel="0" collapsed="false">
      <c r="A3520" s="154" t="n">
        <v>43461</v>
      </c>
      <c r="B3520" s="155" t="s">
        <v>1482</v>
      </c>
      <c r="C3520" s="148" t="str">
        <f aca="false">VLOOKUP($A3520,INSUMOS_AUX!$A$3:$H$813,3,0)</f>
        <v>MAT.</v>
      </c>
      <c r="D3520" s="156" t="s">
        <v>1444</v>
      </c>
      <c r="E3520" s="154" t="n">
        <v>0.2204</v>
      </c>
      <c r="F3520" s="149" t="n">
        <f aca="false">IF(C3520="MAT.",VLOOKUP(A3520,INSUMOS_AUX!$A$3:$H$813,6,0),0)</f>
        <v>0.31</v>
      </c>
      <c r="G3520" s="149" t="n">
        <f aca="false">IF(C3520="M.O.",VLOOKUP(A3520,INSUMOS_AUX!A:F,6,0),0)</f>
        <v>0</v>
      </c>
    </row>
    <row r="3521" customFormat="false" ht="21" hidden="false" customHeight="false" outlineLevel="0" collapsed="false">
      <c r="A3521" s="154" t="n">
        <v>37373</v>
      </c>
      <c r="B3521" s="155" t="s">
        <v>1448</v>
      </c>
      <c r="C3521" s="148" t="str">
        <f aca="false">VLOOKUP($A3521,INSUMOS_AUX!$A$3:$H$813,3,0)</f>
        <v>MAT.</v>
      </c>
      <c r="D3521" s="156" t="s">
        <v>1444</v>
      </c>
      <c r="E3521" s="154" t="n">
        <v>0.2204</v>
      </c>
      <c r="F3521" s="149" t="n">
        <f aca="false">IF(C3521="MAT.",VLOOKUP(A3521,INSUMOS_AUX!$A$3:$H$813,6,0),0)</f>
        <v>0.08</v>
      </c>
      <c r="G3521" s="149" t="n">
        <f aca="false">IF(C3521="M.O.",VLOOKUP(A3521,INSUMOS_AUX!A:F,6,0),0)</f>
        <v>0</v>
      </c>
    </row>
    <row r="3522" customFormat="false" ht="21" hidden="false" customHeight="false" outlineLevel="0" collapsed="false">
      <c r="A3522" s="154" t="n">
        <v>37371</v>
      </c>
      <c r="B3522" s="155" t="s">
        <v>1449</v>
      </c>
      <c r="C3522" s="148" t="str">
        <f aca="false">VLOOKUP($A3522,INSUMOS_AUX!$A$3:$H$813,3,0)</f>
        <v>MAT.</v>
      </c>
      <c r="D3522" s="156" t="s">
        <v>1444</v>
      </c>
      <c r="E3522" s="154" t="n">
        <v>0.2204</v>
      </c>
      <c r="F3522" s="149" t="n">
        <f aca="false">IF(C3522="MAT.",VLOOKUP(A3522,INSUMOS_AUX!$A$3:$H$813,6,0),0)</f>
        <v>0.59</v>
      </c>
      <c r="G3522" s="149" t="n">
        <f aca="false">IF(C3522="M.O.",VLOOKUP(A3522,INSUMOS_AUX!A:F,6,0),0)</f>
        <v>0</v>
      </c>
    </row>
    <row r="3523" customFormat="false" ht="15" hidden="false" customHeight="false" outlineLevel="0" collapsed="false">
      <c r="A3523" s="154" t="n">
        <v>3148</v>
      </c>
      <c r="B3523" s="155" t="s">
        <v>2085</v>
      </c>
      <c r="C3523" s="148" t="s">
        <v>59</v>
      </c>
      <c r="D3523" s="156" t="s">
        <v>31</v>
      </c>
      <c r="E3523" s="154" t="n">
        <v>0.0106</v>
      </c>
      <c r="F3523" s="149" t="n">
        <f aca="false">IF(C3523="MAT.",VLOOKUP(A3523,INSUMOS_AUX!$A$3:$H$813,6,0),0)</f>
        <v>0</v>
      </c>
      <c r="G3523" s="149" t="n">
        <f aca="false">IF(C3523="M.O.",VLOOKUP(A3523,INSUMOS_AUX!A:F,6,0),0)</f>
        <v>0</v>
      </c>
    </row>
    <row r="3524" customFormat="false" ht="21" hidden="false" customHeight="false" outlineLevel="0" collapsed="false">
      <c r="A3524" s="154" t="n">
        <v>6031</v>
      </c>
      <c r="B3524" s="155" t="s">
        <v>2088</v>
      </c>
      <c r="C3524" s="148" t="str">
        <f aca="false">VLOOKUP($A3524,INSUMOS_AUX!$A$3:$H$813,3,0)</f>
        <v>MAT.</v>
      </c>
      <c r="D3524" s="156" t="s">
        <v>31</v>
      </c>
      <c r="E3524" s="154" t="n">
        <v>1</v>
      </c>
      <c r="F3524" s="149" t="n">
        <f aca="false">IF(C3524="MAT.",VLOOKUP(A3524,INSUMOS_AUX!$A$3:$H$813,6,0),0)</f>
        <v>12</v>
      </c>
      <c r="G3524" s="149" t="n">
        <f aca="false">IF(C3524="M.O.",VLOOKUP(A3524,INSUMOS_AUX!A:F,6,0),0)</f>
        <v>0</v>
      </c>
    </row>
    <row r="3525" customFormat="false" ht="15" hidden="false" customHeight="false" outlineLevel="0" collapsed="false">
      <c r="A3525" s="154" t="n">
        <v>246</v>
      </c>
      <c r="B3525" s="155" t="s">
        <v>1752</v>
      </c>
      <c r="C3525" s="148" t="str">
        <f aca="false">VLOOKUP($A3525,INSUMOS_AUX!$A$3:$H$813,3,0)</f>
        <v>M.O.</v>
      </c>
      <c r="D3525" s="156" t="s">
        <v>1444</v>
      </c>
      <c r="E3525" s="154" t="n">
        <v>0.112181396</v>
      </c>
      <c r="F3525" s="149" t="n">
        <f aca="false">IF(C3525="MAT.",VLOOKUP(A3525,INSUMOS_AUX!$A$3:$H$813,6,0),0)</f>
        <v>0</v>
      </c>
      <c r="G3525" s="149" t="n">
        <f aca="false">IF(C3525="M.O.",VLOOKUP(A3525,INSUMOS_AUX!A:F,6,0),0)</f>
        <v>13.26</v>
      </c>
    </row>
    <row r="3526" customFormat="false" ht="15" hidden="false" customHeight="false" outlineLevel="0" collapsed="false">
      <c r="A3526" s="154" t="n">
        <v>2696</v>
      </c>
      <c r="B3526" s="155" t="s">
        <v>1483</v>
      </c>
      <c r="C3526" s="148" t="str">
        <f aca="false">VLOOKUP($A3526,INSUMOS_AUX!$A$3:$H$813,3,0)</f>
        <v>M.O.</v>
      </c>
      <c r="D3526" s="156" t="s">
        <v>1444</v>
      </c>
      <c r="E3526" s="154" t="n">
        <v>0.112181396</v>
      </c>
      <c r="F3526" s="149" t="n">
        <f aca="false">IF(C3526="MAT.",VLOOKUP(A3526,INSUMOS_AUX!$A$3:$H$813,6,0),0)</f>
        <v>0</v>
      </c>
      <c r="G3526" s="149" t="n">
        <f aca="false">IF(C3526="M.O.",VLOOKUP(A3526,INSUMOS_AUX!A:F,6,0),0)</f>
        <v>20.22</v>
      </c>
    </row>
    <row r="3527" customFormat="false" ht="31.5" hidden="false" customHeight="false" outlineLevel="0" collapsed="false">
      <c r="A3527" s="150" t="n">
        <v>89987</v>
      </c>
      <c r="B3527" s="151" t="s">
        <v>2089</v>
      </c>
      <c r="C3527" s="152" t="s">
        <v>59</v>
      </c>
      <c r="D3527" s="152" t="s">
        <v>31</v>
      </c>
      <c r="E3527" s="150"/>
      <c r="F3527" s="153" t="n">
        <f aca="false">(SUMPRODUCT($E3528:$E3537,F3528:F3537))*1</f>
        <v>3.18337</v>
      </c>
      <c r="G3527" s="153" t="n">
        <f aca="false">(SUMPRODUCT($E3528:$E3537,G3528:G3537))*1</f>
        <v>7.53893185248</v>
      </c>
    </row>
    <row r="3528" customFormat="false" ht="21" hidden="false" customHeight="false" outlineLevel="0" collapsed="false">
      <c r="A3528" s="154" t="n">
        <v>37370</v>
      </c>
      <c r="B3528" s="155" t="s">
        <v>1443</v>
      </c>
      <c r="C3528" s="148" t="str">
        <f aca="false">VLOOKUP($A3528,INSUMOS_AUX!$A$3:$H$813,3,0)</f>
        <v>MAT.</v>
      </c>
      <c r="D3528" s="156" t="s">
        <v>1444</v>
      </c>
      <c r="E3528" s="154" t="n">
        <v>0.4424</v>
      </c>
      <c r="F3528" s="149" t="n">
        <f aca="false">IF(C3528="MAT.",VLOOKUP(A3528,INSUMOS_AUX!$A$3:$H$813,6,0),0)</f>
        <v>3.32</v>
      </c>
      <c r="G3528" s="149" t="n">
        <f aca="false">IF(C3528="M.O.",VLOOKUP(A3528,INSUMOS_AUX!A:F,6,0),0)</f>
        <v>0</v>
      </c>
    </row>
    <row r="3529" customFormat="false" ht="21" hidden="false" customHeight="false" outlineLevel="0" collapsed="false">
      <c r="A3529" s="154" t="n">
        <v>43485</v>
      </c>
      <c r="B3529" s="155" t="s">
        <v>1481</v>
      </c>
      <c r="C3529" s="148" t="str">
        <f aca="false">VLOOKUP($A3529,INSUMOS_AUX!$A$3:$H$813,3,0)</f>
        <v>MAT.</v>
      </c>
      <c r="D3529" s="156" t="s">
        <v>1444</v>
      </c>
      <c r="E3529" s="154" t="n">
        <v>0.4424</v>
      </c>
      <c r="F3529" s="149" t="n">
        <f aca="false">IF(C3529="MAT.",VLOOKUP(A3529,INSUMOS_AUX!$A$3:$H$813,6,0),0)</f>
        <v>1.13</v>
      </c>
      <c r="G3529" s="149" t="n">
        <f aca="false">IF(C3529="M.O.",VLOOKUP(A3529,INSUMOS_AUX!A:F,6,0),0)</f>
        <v>0</v>
      </c>
    </row>
    <row r="3530" customFormat="false" ht="21" hidden="false" customHeight="false" outlineLevel="0" collapsed="false">
      <c r="A3530" s="154" t="n">
        <v>37372</v>
      </c>
      <c r="B3530" s="155" t="s">
        <v>1446</v>
      </c>
      <c r="C3530" s="148" t="str">
        <f aca="false">VLOOKUP($A3530,INSUMOS_AUX!$A$3:$H$813,3,0)</f>
        <v>MAT.</v>
      </c>
      <c r="D3530" s="156" t="s">
        <v>1444</v>
      </c>
      <c r="E3530" s="154" t="n">
        <v>0.4424</v>
      </c>
      <c r="F3530" s="149" t="n">
        <f aca="false">IF(C3530="MAT.",VLOOKUP(A3530,INSUMOS_AUX!$A$3:$H$813,6,0),0)</f>
        <v>1.43</v>
      </c>
      <c r="G3530" s="149" t="n">
        <f aca="false">IF(C3530="M.O.",VLOOKUP(A3530,INSUMOS_AUX!A:F,6,0),0)</f>
        <v>0</v>
      </c>
    </row>
    <row r="3531" customFormat="false" ht="21" hidden="false" customHeight="false" outlineLevel="0" collapsed="false">
      <c r="A3531" s="154" t="n">
        <v>43461</v>
      </c>
      <c r="B3531" s="155" t="s">
        <v>1482</v>
      </c>
      <c r="C3531" s="148" t="str">
        <f aca="false">VLOOKUP($A3531,INSUMOS_AUX!$A$3:$H$813,3,0)</f>
        <v>MAT.</v>
      </c>
      <c r="D3531" s="156" t="s">
        <v>1444</v>
      </c>
      <c r="E3531" s="154" t="n">
        <v>0.4424</v>
      </c>
      <c r="F3531" s="149" t="n">
        <f aca="false">IF(C3531="MAT.",VLOOKUP(A3531,INSUMOS_AUX!$A$3:$H$813,6,0),0)</f>
        <v>0.31</v>
      </c>
      <c r="G3531" s="149" t="n">
        <f aca="false">IF(C3531="M.O.",VLOOKUP(A3531,INSUMOS_AUX!A:F,6,0),0)</f>
        <v>0</v>
      </c>
    </row>
    <row r="3532" customFormat="false" ht="21" hidden="false" customHeight="false" outlineLevel="0" collapsed="false">
      <c r="A3532" s="154" t="n">
        <v>37373</v>
      </c>
      <c r="B3532" s="155" t="s">
        <v>1448</v>
      </c>
      <c r="C3532" s="148" t="str">
        <f aca="false">VLOOKUP($A3532,INSUMOS_AUX!$A$3:$H$813,3,0)</f>
        <v>MAT.</v>
      </c>
      <c r="D3532" s="156" t="s">
        <v>1444</v>
      </c>
      <c r="E3532" s="154" t="n">
        <v>0.4424</v>
      </c>
      <c r="F3532" s="149" t="n">
        <f aca="false">IF(C3532="MAT.",VLOOKUP(A3532,INSUMOS_AUX!$A$3:$H$813,6,0),0)</f>
        <v>0.08</v>
      </c>
      <c r="G3532" s="149" t="n">
        <f aca="false">IF(C3532="M.O.",VLOOKUP(A3532,INSUMOS_AUX!A:F,6,0),0)</f>
        <v>0</v>
      </c>
    </row>
    <row r="3533" customFormat="false" ht="21" hidden="false" customHeight="false" outlineLevel="0" collapsed="false">
      <c r="A3533" s="154" t="n">
        <v>37371</v>
      </c>
      <c r="B3533" s="155" t="s">
        <v>1449</v>
      </c>
      <c r="C3533" s="148" t="str">
        <f aca="false">VLOOKUP($A3533,INSUMOS_AUX!$A$3:$H$813,3,0)</f>
        <v>MAT.</v>
      </c>
      <c r="D3533" s="156" t="s">
        <v>1444</v>
      </c>
      <c r="E3533" s="154" t="n">
        <v>0.4424</v>
      </c>
      <c r="F3533" s="149" t="n">
        <f aca="false">IF(C3533="MAT.",VLOOKUP(A3533,INSUMOS_AUX!$A$3:$H$813,6,0),0)</f>
        <v>0.59</v>
      </c>
      <c r="G3533" s="149" t="n">
        <f aca="false">IF(C3533="M.O.",VLOOKUP(A3533,INSUMOS_AUX!A:F,6,0),0)</f>
        <v>0</v>
      </c>
    </row>
    <row r="3534" customFormat="false" ht="15" hidden="false" customHeight="false" outlineLevel="0" collapsed="false">
      <c r="A3534" s="154" t="n">
        <v>3148</v>
      </c>
      <c r="B3534" s="155" t="s">
        <v>2085</v>
      </c>
      <c r="C3534" s="148" t="str">
        <f aca="false">VLOOKUP($A3534,INSUMOS_AUX!$A$3:$H$813,3,0)</f>
        <v>MAT.</v>
      </c>
      <c r="D3534" s="156" t="s">
        <v>31</v>
      </c>
      <c r="E3534" s="154" t="n">
        <v>0.0106</v>
      </c>
      <c r="F3534" s="149" t="n">
        <f aca="false">IF(C3534="MAT.",VLOOKUP(A3534,INSUMOS_AUX!$A$3:$H$813,6,0),0)</f>
        <v>14.01</v>
      </c>
      <c r="G3534" s="149" t="n">
        <f aca="false">IF(C3534="M.O.",VLOOKUP(A3534,INSUMOS_AUX!A:F,6,0),0)</f>
        <v>0</v>
      </c>
    </row>
    <row r="3535" customFormat="false" ht="21" hidden="false" customHeight="false" outlineLevel="0" collapsed="false">
      <c r="A3535" s="154" t="n">
        <v>6005</v>
      </c>
      <c r="B3535" s="155" t="s">
        <v>2090</v>
      </c>
      <c r="C3535" s="148" t="s">
        <v>59</v>
      </c>
      <c r="D3535" s="156" t="s">
        <v>31</v>
      </c>
      <c r="E3535" s="154" t="n">
        <v>1</v>
      </c>
      <c r="F3535" s="149" t="n">
        <f aca="false">IF(C3535="MAT.",VLOOKUP(A3535,INSUMOS_AUX!$A$3:$H$813,6,0),0)</f>
        <v>0</v>
      </c>
      <c r="G3535" s="149" t="n">
        <f aca="false">IF(C3535="M.O.",VLOOKUP(A3535,INSUMOS_AUX!A:F,6,0),0)</f>
        <v>0</v>
      </c>
    </row>
    <row r="3536" customFormat="false" ht="15" hidden="false" customHeight="false" outlineLevel="0" collapsed="false">
      <c r="A3536" s="154" t="n">
        <v>246</v>
      </c>
      <c r="B3536" s="155" t="s">
        <v>1752</v>
      </c>
      <c r="C3536" s="148" t="str">
        <f aca="false">VLOOKUP($A3536,INSUMOS_AUX!$A$3:$H$813,3,0)</f>
        <v>M.O.</v>
      </c>
      <c r="D3536" s="156" t="s">
        <v>1444</v>
      </c>
      <c r="E3536" s="154" t="n">
        <v>0.225177176</v>
      </c>
      <c r="F3536" s="149" t="n">
        <f aca="false">IF(C3536="MAT.",VLOOKUP(A3536,INSUMOS_AUX!$A$3:$H$813,6,0),0)</f>
        <v>0</v>
      </c>
      <c r="G3536" s="149" t="n">
        <f aca="false">IF(C3536="M.O.",VLOOKUP(A3536,INSUMOS_AUX!A:F,6,0),0)</f>
        <v>13.26</v>
      </c>
    </row>
    <row r="3537" customFormat="false" ht="15" hidden="false" customHeight="false" outlineLevel="0" collapsed="false">
      <c r="A3537" s="154" t="n">
        <v>2696</v>
      </c>
      <c r="B3537" s="155" t="s">
        <v>1483</v>
      </c>
      <c r="C3537" s="148" t="str">
        <f aca="false">VLOOKUP($A3537,INSUMOS_AUX!$A$3:$H$813,3,0)</f>
        <v>M.O.</v>
      </c>
      <c r="D3537" s="156" t="s">
        <v>1444</v>
      </c>
      <c r="E3537" s="154" t="n">
        <v>0.225177176</v>
      </c>
      <c r="F3537" s="149" t="n">
        <f aca="false">IF(C3537="MAT.",VLOOKUP(A3537,INSUMOS_AUX!$A$3:$H$813,6,0),0)</f>
        <v>0</v>
      </c>
      <c r="G3537" s="149" t="n">
        <f aca="false">IF(C3537="M.O.",VLOOKUP(A3537,INSUMOS_AUX!A:F,6,0),0)</f>
        <v>20.22</v>
      </c>
    </row>
    <row r="3538" customFormat="false" ht="21" hidden="false" customHeight="false" outlineLevel="0" collapsed="false">
      <c r="A3538" s="150" t="n">
        <v>94489</v>
      </c>
      <c r="B3538" s="151" t="s">
        <v>2091</v>
      </c>
      <c r="C3538" s="152" t="s">
        <v>59</v>
      </c>
      <c r="D3538" s="152" t="s">
        <v>31</v>
      </c>
      <c r="E3538" s="150"/>
      <c r="F3538" s="153" t="n">
        <f aca="false">(SUMPRODUCT($E3539:$E3550,F3539:F3550))*1</f>
        <v>18.02252</v>
      </c>
      <c r="G3538" s="153" t="n">
        <f aca="false">(SUMPRODUCT($E3539:$E3550,G3539:G3550))*1</f>
        <v>2.7095166468</v>
      </c>
    </row>
    <row r="3539" customFormat="false" ht="21" hidden="false" customHeight="false" outlineLevel="0" collapsed="false">
      <c r="A3539" s="154" t="n">
        <v>37370</v>
      </c>
      <c r="B3539" s="155" t="s">
        <v>1443</v>
      </c>
      <c r="C3539" s="148" t="str">
        <f aca="false">VLOOKUP($A3539,INSUMOS_AUX!$A$3:$H$813,3,0)</f>
        <v>MAT.</v>
      </c>
      <c r="D3539" s="156" t="s">
        <v>1444</v>
      </c>
      <c r="E3539" s="154" t="n">
        <v>0.159</v>
      </c>
      <c r="F3539" s="149" t="n">
        <f aca="false">IF(C3539="MAT.",VLOOKUP(A3539,INSUMOS_AUX!$A$3:$H$813,6,0),0)</f>
        <v>3.32</v>
      </c>
      <c r="G3539" s="149" t="n">
        <f aca="false">IF(C3539="M.O.",VLOOKUP(A3539,INSUMOS_AUX!A:F,6,0),0)</f>
        <v>0</v>
      </c>
    </row>
    <row r="3540" customFormat="false" ht="21" hidden="false" customHeight="false" outlineLevel="0" collapsed="false">
      <c r="A3540" s="154" t="n">
        <v>43485</v>
      </c>
      <c r="B3540" s="155" t="s">
        <v>1481</v>
      </c>
      <c r="C3540" s="148" t="str">
        <f aca="false">VLOOKUP($A3540,INSUMOS_AUX!$A$3:$H$813,3,0)</f>
        <v>MAT.</v>
      </c>
      <c r="D3540" s="156" t="s">
        <v>1444</v>
      </c>
      <c r="E3540" s="154" t="n">
        <v>0.159</v>
      </c>
      <c r="F3540" s="149" t="n">
        <f aca="false">IF(C3540="MAT.",VLOOKUP(A3540,INSUMOS_AUX!$A$3:$H$813,6,0),0)</f>
        <v>1.13</v>
      </c>
      <c r="G3540" s="149" t="n">
        <f aca="false">IF(C3540="M.O.",VLOOKUP(A3540,INSUMOS_AUX!A:F,6,0),0)</f>
        <v>0</v>
      </c>
    </row>
    <row r="3541" customFormat="false" ht="21" hidden="false" customHeight="false" outlineLevel="0" collapsed="false">
      <c r="A3541" s="154" t="n">
        <v>37372</v>
      </c>
      <c r="B3541" s="155" t="s">
        <v>1446</v>
      </c>
      <c r="C3541" s="148" t="str">
        <f aca="false">VLOOKUP($A3541,INSUMOS_AUX!$A$3:$H$813,3,0)</f>
        <v>MAT.</v>
      </c>
      <c r="D3541" s="156" t="s">
        <v>1444</v>
      </c>
      <c r="E3541" s="154" t="n">
        <v>0.159</v>
      </c>
      <c r="F3541" s="149" t="n">
        <f aca="false">IF(C3541="MAT.",VLOOKUP(A3541,INSUMOS_AUX!$A$3:$H$813,6,0),0)</f>
        <v>1.43</v>
      </c>
      <c r="G3541" s="149" t="n">
        <f aca="false">IF(C3541="M.O.",VLOOKUP(A3541,INSUMOS_AUX!A:F,6,0),0)</f>
        <v>0</v>
      </c>
    </row>
    <row r="3542" customFormat="false" ht="21" hidden="false" customHeight="false" outlineLevel="0" collapsed="false">
      <c r="A3542" s="154" t="n">
        <v>43461</v>
      </c>
      <c r="B3542" s="155" t="s">
        <v>1482</v>
      </c>
      <c r="C3542" s="148" t="str">
        <f aca="false">VLOOKUP($A3542,INSUMOS_AUX!$A$3:$H$813,3,0)</f>
        <v>MAT.</v>
      </c>
      <c r="D3542" s="156" t="s">
        <v>1444</v>
      </c>
      <c r="E3542" s="154" t="n">
        <v>0.159</v>
      </c>
      <c r="F3542" s="149" t="n">
        <f aca="false">IF(C3542="MAT.",VLOOKUP(A3542,INSUMOS_AUX!$A$3:$H$813,6,0),0)</f>
        <v>0.31</v>
      </c>
      <c r="G3542" s="149" t="n">
        <f aca="false">IF(C3542="M.O.",VLOOKUP(A3542,INSUMOS_AUX!A:F,6,0),0)</f>
        <v>0</v>
      </c>
    </row>
    <row r="3543" customFormat="false" ht="21" hidden="false" customHeight="false" outlineLevel="0" collapsed="false">
      <c r="A3543" s="154" t="n">
        <v>37373</v>
      </c>
      <c r="B3543" s="155" t="s">
        <v>1448</v>
      </c>
      <c r="C3543" s="148" t="str">
        <f aca="false">VLOOKUP($A3543,INSUMOS_AUX!$A$3:$H$813,3,0)</f>
        <v>MAT.</v>
      </c>
      <c r="D3543" s="156" t="s">
        <v>1444</v>
      </c>
      <c r="E3543" s="154" t="n">
        <v>0.159</v>
      </c>
      <c r="F3543" s="149" t="n">
        <f aca="false">IF(C3543="MAT.",VLOOKUP(A3543,INSUMOS_AUX!$A$3:$H$813,6,0),0)</f>
        <v>0.08</v>
      </c>
      <c r="G3543" s="149" t="n">
        <f aca="false">IF(C3543="M.O.",VLOOKUP(A3543,INSUMOS_AUX!A:F,6,0),0)</f>
        <v>0</v>
      </c>
    </row>
    <row r="3544" customFormat="false" ht="21" hidden="false" customHeight="false" outlineLevel="0" collapsed="false">
      <c r="A3544" s="154" t="n">
        <v>37371</v>
      </c>
      <c r="B3544" s="155" t="s">
        <v>1449</v>
      </c>
      <c r="C3544" s="148" t="str">
        <f aca="false">VLOOKUP($A3544,INSUMOS_AUX!$A$3:$H$813,3,0)</f>
        <v>MAT.</v>
      </c>
      <c r="D3544" s="156" t="s">
        <v>1444</v>
      </c>
      <c r="E3544" s="154" t="n">
        <v>0.159</v>
      </c>
      <c r="F3544" s="149" t="n">
        <f aca="false">IF(C3544="MAT.",VLOOKUP(A3544,INSUMOS_AUX!$A$3:$H$813,6,0),0)</f>
        <v>0.59</v>
      </c>
      <c r="G3544" s="149" t="n">
        <f aca="false">IF(C3544="M.O.",VLOOKUP(A3544,INSUMOS_AUX!A:F,6,0),0)</f>
        <v>0</v>
      </c>
    </row>
    <row r="3545" customFormat="false" ht="15" hidden="false" customHeight="false" outlineLevel="0" collapsed="false">
      <c r="A3545" s="154" t="n">
        <v>20080</v>
      </c>
      <c r="B3545" s="155" t="s">
        <v>2092</v>
      </c>
      <c r="C3545" s="148" t="str">
        <f aca="false">VLOOKUP($A3545,INSUMOS_AUX!$A$3:$H$813,3,0)</f>
        <v>MAT.</v>
      </c>
      <c r="D3545" s="156" t="s">
        <v>31</v>
      </c>
      <c r="E3545" s="154" t="n">
        <v>0.04</v>
      </c>
      <c r="F3545" s="149" t="n">
        <f aca="false">IF(C3545="MAT.",VLOOKUP(A3545,INSUMOS_AUX!$A$3:$H$813,6,0),0)</f>
        <v>20.59</v>
      </c>
      <c r="G3545" s="149" t="n">
        <f aca="false">IF(C3545="M.O.",VLOOKUP(A3545,INSUMOS_AUX!A:F,6,0),0)</f>
        <v>0</v>
      </c>
    </row>
    <row r="3546" customFormat="false" ht="15" hidden="false" customHeight="false" outlineLevel="0" collapsed="false">
      <c r="A3546" s="154" t="n">
        <v>38383</v>
      </c>
      <c r="B3546" s="155" t="s">
        <v>2093</v>
      </c>
      <c r="C3546" s="148" t="str">
        <f aca="false">VLOOKUP($A3546,INSUMOS_AUX!$A$3:$H$813,3,0)</f>
        <v>MAT.</v>
      </c>
      <c r="D3546" s="156" t="s">
        <v>31</v>
      </c>
      <c r="E3546" s="154" t="n">
        <v>0.008</v>
      </c>
      <c r="F3546" s="149" t="n">
        <f aca="false">IF(C3546="MAT.",VLOOKUP(A3546,INSUMOS_AUX!$A$3:$H$813,6,0),0)</f>
        <v>2.39</v>
      </c>
      <c r="G3546" s="149" t="n">
        <f aca="false">IF(C3546="M.O.",VLOOKUP(A3546,INSUMOS_AUX!A:F,6,0),0)</f>
        <v>0</v>
      </c>
    </row>
    <row r="3547" customFormat="false" ht="21" hidden="false" customHeight="false" outlineLevel="0" collapsed="false">
      <c r="A3547" s="154" t="n">
        <v>11674</v>
      </c>
      <c r="B3547" s="155" t="s">
        <v>2094</v>
      </c>
      <c r="C3547" s="148" t="str">
        <f aca="false">VLOOKUP($A3547,INSUMOS_AUX!$A$3:$H$813,3,0)</f>
        <v>MAT.</v>
      </c>
      <c r="D3547" s="156" t="s">
        <v>31</v>
      </c>
      <c r="E3547" s="154" t="n">
        <v>1</v>
      </c>
      <c r="F3547" s="149" t="n">
        <f aca="false">IF(C3547="MAT.",VLOOKUP(A3547,INSUMOS_AUX!$A$3:$H$813,6,0),0)</f>
        <v>15.41</v>
      </c>
      <c r="G3547" s="149" t="n">
        <f aca="false">IF(C3547="M.O.",VLOOKUP(A3547,INSUMOS_AUX!A:F,6,0),0)</f>
        <v>0</v>
      </c>
    </row>
    <row r="3548" customFormat="false" ht="21" hidden="false" customHeight="false" outlineLevel="0" collapsed="false">
      <c r="A3548" s="154" t="n">
        <v>20083</v>
      </c>
      <c r="B3548" s="155" t="s">
        <v>2095</v>
      </c>
      <c r="C3548" s="148" t="str">
        <f aca="false">VLOOKUP($A3548,INSUMOS_AUX!$A$3:$H$813,3,0)</f>
        <v>MAT.</v>
      </c>
      <c r="D3548" s="156" t="s">
        <v>31</v>
      </c>
      <c r="E3548" s="154" t="n">
        <v>0.0095</v>
      </c>
      <c r="F3548" s="149" t="n">
        <f aca="false">IF(C3548="MAT.",VLOOKUP(A3548,INSUMOS_AUX!$A$3:$H$813,6,0),0)</f>
        <v>71.48</v>
      </c>
      <c r="G3548" s="149" t="n">
        <f aca="false">IF(C3548="M.O.",VLOOKUP(A3548,INSUMOS_AUX!A:F,6,0),0)</f>
        <v>0</v>
      </c>
    </row>
    <row r="3549" customFormat="false" ht="15" hidden="false" customHeight="false" outlineLevel="0" collapsed="false">
      <c r="A3549" s="154" t="n">
        <v>246</v>
      </c>
      <c r="B3549" s="155" t="s">
        <v>1752</v>
      </c>
      <c r="C3549" s="148" t="str">
        <f aca="false">VLOOKUP($A3549,INSUMOS_AUX!$A$3:$H$813,3,0)</f>
        <v>M.O.</v>
      </c>
      <c r="D3549" s="156" t="s">
        <v>1444</v>
      </c>
      <c r="E3549" s="154" t="n">
        <v>0.08092941</v>
      </c>
      <c r="F3549" s="149" t="n">
        <f aca="false">IF(C3549="MAT.",VLOOKUP(A3549,INSUMOS_AUX!$A$3:$H$813,6,0),0)</f>
        <v>0</v>
      </c>
      <c r="G3549" s="149" t="n">
        <f aca="false">IF(C3549="M.O.",VLOOKUP(A3549,INSUMOS_AUX!A:F,6,0),0)</f>
        <v>13.26</v>
      </c>
    </row>
    <row r="3550" customFormat="false" ht="15" hidden="false" customHeight="false" outlineLevel="0" collapsed="false">
      <c r="A3550" s="154" t="n">
        <v>2696</v>
      </c>
      <c r="B3550" s="155" t="s">
        <v>1483</v>
      </c>
      <c r="C3550" s="148" t="str">
        <f aca="false">VLOOKUP($A3550,INSUMOS_AUX!$A$3:$H$813,3,0)</f>
        <v>M.O.</v>
      </c>
      <c r="D3550" s="156" t="s">
        <v>1444</v>
      </c>
      <c r="E3550" s="154" t="n">
        <v>0.08092941</v>
      </c>
      <c r="F3550" s="149" t="n">
        <f aca="false">IF(C3550="MAT.",VLOOKUP(A3550,INSUMOS_AUX!$A$3:$H$813,6,0),0)</f>
        <v>0</v>
      </c>
      <c r="G3550" s="149" t="n">
        <f aca="false">IF(C3550="M.O.",VLOOKUP(A3550,INSUMOS_AUX!A:F,6,0),0)</f>
        <v>20.22</v>
      </c>
    </row>
    <row r="3551" customFormat="false" ht="31.5" hidden="false" customHeight="false" outlineLevel="0" collapsed="false">
      <c r="A3551" s="150" t="n">
        <v>89412</v>
      </c>
      <c r="B3551" s="151" t="s">
        <v>2096</v>
      </c>
      <c r="C3551" s="152" t="s">
        <v>59</v>
      </c>
      <c r="D3551" s="152" t="s">
        <v>31</v>
      </c>
      <c r="E3551" s="150"/>
      <c r="F3551" s="153" t="n">
        <f aca="false">(SUMPRODUCT($E3552:$E3563,F3552:F3563))*1</f>
        <v>5.03821</v>
      </c>
      <c r="G3551" s="153" t="n">
        <f aca="false">(SUMPRODUCT($E3552:$E3563,G3552:G3563))*1</f>
        <v>4.31477745264</v>
      </c>
    </row>
    <row r="3552" customFormat="false" ht="21" hidden="false" customHeight="false" outlineLevel="0" collapsed="false">
      <c r="A3552" s="154" t="n">
        <v>37370</v>
      </c>
      <c r="B3552" s="155" t="s">
        <v>1443</v>
      </c>
      <c r="C3552" s="148" t="str">
        <f aca="false">VLOOKUP($A3552,INSUMOS_AUX!$A$3:$H$813,3,0)</f>
        <v>MAT.</v>
      </c>
      <c r="D3552" s="156" t="s">
        <v>1444</v>
      </c>
      <c r="E3552" s="154" t="n">
        <v>0.2532</v>
      </c>
      <c r="F3552" s="149" t="n">
        <f aca="false">IF(C3552="MAT.",VLOOKUP(A3552,INSUMOS_AUX!$A$3:$H$813,6,0),0)</f>
        <v>3.32</v>
      </c>
      <c r="G3552" s="149" t="n">
        <f aca="false">IF(C3552="M.O.",VLOOKUP(A3552,INSUMOS_AUX!A:F,6,0),0)</f>
        <v>0</v>
      </c>
    </row>
    <row r="3553" customFormat="false" ht="21" hidden="false" customHeight="false" outlineLevel="0" collapsed="false">
      <c r="A3553" s="154" t="n">
        <v>43485</v>
      </c>
      <c r="B3553" s="155" t="s">
        <v>1481</v>
      </c>
      <c r="C3553" s="148" t="str">
        <f aca="false">VLOOKUP($A3553,INSUMOS_AUX!$A$3:$H$813,3,0)</f>
        <v>MAT.</v>
      </c>
      <c r="D3553" s="156" t="s">
        <v>1444</v>
      </c>
      <c r="E3553" s="154" t="n">
        <v>0.2532</v>
      </c>
      <c r="F3553" s="149" t="n">
        <f aca="false">IF(C3553="MAT.",VLOOKUP(A3553,INSUMOS_AUX!$A$3:$H$813,6,0),0)</f>
        <v>1.13</v>
      </c>
      <c r="G3553" s="149" t="n">
        <f aca="false">IF(C3553="M.O.",VLOOKUP(A3553,INSUMOS_AUX!A:F,6,0),0)</f>
        <v>0</v>
      </c>
    </row>
    <row r="3554" customFormat="false" ht="21" hidden="false" customHeight="false" outlineLevel="0" collapsed="false">
      <c r="A3554" s="154" t="n">
        <v>37372</v>
      </c>
      <c r="B3554" s="155" t="s">
        <v>1446</v>
      </c>
      <c r="C3554" s="148" t="str">
        <f aca="false">VLOOKUP($A3554,INSUMOS_AUX!$A$3:$H$813,3,0)</f>
        <v>MAT.</v>
      </c>
      <c r="D3554" s="156" t="s">
        <v>1444</v>
      </c>
      <c r="E3554" s="154" t="n">
        <v>0.2532</v>
      </c>
      <c r="F3554" s="149" t="n">
        <f aca="false">IF(C3554="MAT.",VLOOKUP(A3554,INSUMOS_AUX!$A$3:$H$813,6,0),0)</f>
        <v>1.43</v>
      </c>
      <c r="G3554" s="149" t="n">
        <f aca="false">IF(C3554="M.O.",VLOOKUP(A3554,INSUMOS_AUX!A:F,6,0),0)</f>
        <v>0</v>
      </c>
    </row>
    <row r="3555" customFormat="false" ht="21" hidden="false" customHeight="false" outlineLevel="0" collapsed="false">
      <c r="A3555" s="154" t="n">
        <v>43461</v>
      </c>
      <c r="B3555" s="155" t="s">
        <v>1482</v>
      </c>
      <c r="C3555" s="148" t="s">
        <v>59</v>
      </c>
      <c r="D3555" s="156" t="s">
        <v>1444</v>
      </c>
      <c r="E3555" s="154" t="n">
        <v>0.2532</v>
      </c>
      <c r="F3555" s="149" t="n">
        <f aca="false">IF(C3555="MAT.",VLOOKUP(A3555,INSUMOS_AUX!$A$3:$H$813,6,0),0)</f>
        <v>0</v>
      </c>
      <c r="G3555" s="149" t="n">
        <f aca="false">IF(C3555="M.O.",VLOOKUP(A3555,INSUMOS_AUX!A:F,6,0),0)</f>
        <v>0</v>
      </c>
    </row>
    <row r="3556" customFormat="false" ht="21" hidden="false" customHeight="false" outlineLevel="0" collapsed="false">
      <c r="A3556" s="154" t="n">
        <v>37373</v>
      </c>
      <c r="B3556" s="155" t="s">
        <v>1448</v>
      </c>
      <c r="C3556" s="148" t="str">
        <f aca="false">VLOOKUP($A3556,INSUMOS_AUX!$A$3:$H$813,3,0)</f>
        <v>MAT.</v>
      </c>
      <c r="D3556" s="156" t="s">
        <v>1444</v>
      </c>
      <c r="E3556" s="154" t="n">
        <v>0.2532</v>
      </c>
      <c r="F3556" s="149" t="n">
        <f aca="false">IF(C3556="MAT.",VLOOKUP(A3556,INSUMOS_AUX!$A$3:$H$813,6,0),0)</f>
        <v>0.08</v>
      </c>
      <c r="G3556" s="149" t="n">
        <f aca="false">IF(C3556="M.O.",VLOOKUP(A3556,INSUMOS_AUX!A:F,6,0),0)</f>
        <v>0</v>
      </c>
    </row>
    <row r="3557" customFormat="false" ht="21" hidden="false" customHeight="false" outlineLevel="0" collapsed="false">
      <c r="A3557" s="154" t="n">
        <v>37371</v>
      </c>
      <c r="B3557" s="155" t="s">
        <v>1449</v>
      </c>
      <c r="C3557" s="148" t="str">
        <f aca="false">VLOOKUP($A3557,INSUMOS_AUX!$A$3:$H$813,3,0)</f>
        <v>MAT.</v>
      </c>
      <c r="D3557" s="156" t="s">
        <v>1444</v>
      </c>
      <c r="E3557" s="154" t="n">
        <v>0.2532</v>
      </c>
      <c r="F3557" s="149" t="n">
        <f aca="false">IF(C3557="MAT.",VLOOKUP(A3557,INSUMOS_AUX!$A$3:$H$813,6,0),0)</f>
        <v>0.59</v>
      </c>
      <c r="G3557" s="149" t="n">
        <f aca="false">IF(C3557="M.O.",VLOOKUP(A3557,INSUMOS_AUX!A:F,6,0),0)</f>
        <v>0</v>
      </c>
    </row>
    <row r="3558" customFormat="false" ht="15" hidden="false" customHeight="false" outlineLevel="0" collapsed="false">
      <c r="A3558" s="154" t="n">
        <v>122</v>
      </c>
      <c r="B3558" s="155" t="s">
        <v>2097</v>
      </c>
      <c r="C3558" s="148" t="str">
        <f aca="false">VLOOKUP($A3558,INSUMOS_AUX!$A$3:$H$813,3,0)</f>
        <v>MAT.</v>
      </c>
      <c r="D3558" s="156" t="s">
        <v>31</v>
      </c>
      <c r="E3558" s="154" t="n">
        <v>0.0059</v>
      </c>
      <c r="F3558" s="149" t="n">
        <f aca="false">IF(C3558="MAT.",VLOOKUP(A3558,INSUMOS_AUX!$A$3:$H$813,6,0),0)</f>
        <v>63.09</v>
      </c>
      <c r="G3558" s="149" t="n">
        <f aca="false">IF(C3558="M.O.",VLOOKUP(A3558,INSUMOS_AUX!A:F,6,0),0)</f>
        <v>0</v>
      </c>
    </row>
    <row r="3559" customFormat="false" ht="21" hidden="false" customHeight="false" outlineLevel="0" collapsed="false">
      <c r="A3559" s="154" t="n">
        <v>3522</v>
      </c>
      <c r="B3559" s="155" t="s">
        <v>2098</v>
      </c>
      <c r="C3559" s="148" t="str">
        <f aca="false">VLOOKUP($A3559,INSUMOS_AUX!$A$3:$H$813,3,0)</f>
        <v>MAT.</v>
      </c>
      <c r="D3559" s="156" t="s">
        <v>31</v>
      </c>
      <c r="E3559" s="154" t="n">
        <v>1</v>
      </c>
      <c r="F3559" s="149" t="n">
        <f aca="false">IF(C3559="MAT.",VLOOKUP(A3559,INSUMOS_AUX!$A$3:$H$813,6,0),0)</f>
        <v>2.44</v>
      </c>
      <c r="G3559" s="149" t="n">
        <f aca="false">IF(C3559="M.O.",VLOOKUP(A3559,INSUMOS_AUX!A:F,6,0),0)</f>
        <v>0</v>
      </c>
    </row>
    <row r="3560" customFormat="false" ht="15" hidden="false" customHeight="false" outlineLevel="0" collapsed="false">
      <c r="A3560" s="154" t="n">
        <v>38383</v>
      </c>
      <c r="B3560" s="155" t="s">
        <v>2093</v>
      </c>
      <c r="C3560" s="148" t="str">
        <f aca="false">VLOOKUP($A3560,INSUMOS_AUX!$A$3:$H$813,3,0)</f>
        <v>MAT.</v>
      </c>
      <c r="D3560" s="156" t="s">
        <v>31</v>
      </c>
      <c r="E3560" s="154" t="n">
        <v>0.0281</v>
      </c>
      <c r="F3560" s="149" t="n">
        <f aca="false">IF(C3560="MAT.",VLOOKUP(A3560,INSUMOS_AUX!$A$3:$H$813,6,0),0)</f>
        <v>2.39</v>
      </c>
      <c r="G3560" s="149" t="n">
        <f aca="false">IF(C3560="M.O.",VLOOKUP(A3560,INSUMOS_AUX!A:F,6,0),0)</f>
        <v>0</v>
      </c>
    </row>
    <row r="3561" customFormat="false" ht="21" hidden="false" customHeight="false" outlineLevel="0" collapsed="false">
      <c r="A3561" s="154" t="n">
        <v>20083</v>
      </c>
      <c r="B3561" s="155" t="s">
        <v>2095</v>
      </c>
      <c r="C3561" s="148" t="str">
        <f aca="false">VLOOKUP($A3561,INSUMOS_AUX!$A$3:$H$813,3,0)</f>
        <v>MAT.</v>
      </c>
      <c r="D3561" s="156" t="s">
        <v>31</v>
      </c>
      <c r="E3561" s="154" t="n">
        <v>0.007</v>
      </c>
      <c r="F3561" s="149" t="n">
        <f aca="false">IF(C3561="MAT.",VLOOKUP(A3561,INSUMOS_AUX!$A$3:$H$813,6,0),0)</f>
        <v>71.48</v>
      </c>
      <c r="G3561" s="149" t="n">
        <f aca="false">IF(C3561="M.O.",VLOOKUP(A3561,INSUMOS_AUX!A:F,6,0),0)</f>
        <v>0</v>
      </c>
    </row>
    <row r="3562" customFormat="false" ht="15" hidden="false" customHeight="false" outlineLevel="0" collapsed="false">
      <c r="A3562" s="154" t="n">
        <v>246</v>
      </c>
      <c r="B3562" s="155" t="s">
        <v>1752</v>
      </c>
      <c r="C3562" s="148" t="str">
        <f aca="false">VLOOKUP($A3562,INSUMOS_AUX!$A$3:$H$813,3,0)</f>
        <v>M.O.</v>
      </c>
      <c r="D3562" s="156" t="s">
        <v>1444</v>
      </c>
      <c r="E3562" s="154" t="n">
        <v>0.128876268</v>
      </c>
      <c r="F3562" s="149" t="n">
        <f aca="false">IF(C3562="MAT.",VLOOKUP(A3562,INSUMOS_AUX!$A$3:$H$813,6,0),0)</f>
        <v>0</v>
      </c>
      <c r="G3562" s="149" t="n">
        <f aca="false">IF(C3562="M.O.",VLOOKUP(A3562,INSUMOS_AUX!A:F,6,0),0)</f>
        <v>13.26</v>
      </c>
    </row>
    <row r="3563" customFormat="false" ht="15" hidden="false" customHeight="false" outlineLevel="0" collapsed="false">
      <c r="A3563" s="154" t="n">
        <v>2696</v>
      </c>
      <c r="B3563" s="155" t="s">
        <v>1483</v>
      </c>
      <c r="C3563" s="148" t="str">
        <f aca="false">VLOOKUP($A3563,INSUMOS_AUX!$A$3:$H$813,3,0)</f>
        <v>M.O.</v>
      </c>
      <c r="D3563" s="156" t="s">
        <v>1444</v>
      </c>
      <c r="E3563" s="154" t="n">
        <v>0.128876268</v>
      </c>
      <c r="F3563" s="149" t="n">
        <f aca="false">IF(C3563="MAT.",VLOOKUP(A3563,INSUMOS_AUX!$A$3:$H$813,6,0),0)</f>
        <v>0</v>
      </c>
      <c r="G3563" s="149" t="n">
        <f aca="false">IF(C3563="M.O.",VLOOKUP(A3563,INSUMOS_AUX!A:F,6,0),0)</f>
        <v>20.22</v>
      </c>
    </row>
    <row r="3564" customFormat="false" ht="31.5" hidden="false" customHeight="false" outlineLevel="0" collapsed="false">
      <c r="A3564" s="150" t="n">
        <v>94703</v>
      </c>
      <c r="B3564" s="151" t="s">
        <v>2099</v>
      </c>
      <c r="C3564" s="152" t="s">
        <v>59</v>
      </c>
      <c r="D3564" s="152" t="s">
        <v>31</v>
      </c>
      <c r="E3564" s="150"/>
      <c r="F3564" s="153" t="n">
        <f aca="false">(SUMPRODUCT($E3565:$E3575,F3565:F3575))*1</f>
        <v>14.629515</v>
      </c>
      <c r="G3564" s="153" t="n">
        <f aca="false">(SUMPRODUCT($E3565:$E3575,G3565:G3575))*1</f>
        <v>4.56016763952</v>
      </c>
    </row>
    <row r="3565" customFormat="false" ht="21" hidden="false" customHeight="false" outlineLevel="0" collapsed="false">
      <c r="A3565" s="154" t="n">
        <v>37370</v>
      </c>
      <c r="B3565" s="155" t="s">
        <v>1443</v>
      </c>
      <c r="C3565" s="148" t="str">
        <f aca="false">VLOOKUP($A3565,INSUMOS_AUX!$A$3:$H$813,3,0)</f>
        <v>MAT.</v>
      </c>
      <c r="D3565" s="156" t="s">
        <v>1444</v>
      </c>
      <c r="E3565" s="154" t="n">
        <v>0.2676</v>
      </c>
      <c r="F3565" s="149" t="n">
        <f aca="false">IF(C3565="MAT.",VLOOKUP(A3565,INSUMOS_AUX!$A$3:$H$813,6,0),0)</f>
        <v>3.32</v>
      </c>
      <c r="G3565" s="149" t="n">
        <f aca="false">IF(C3565="M.O.",VLOOKUP(A3565,INSUMOS_AUX!A:F,6,0),0)</f>
        <v>0</v>
      </c>
    </row>
    <row r="3566" customFormat="false" ht="21" hidden="false" customHeight="false" outlineLevel="0" collapsed="false">
      <c r="A3566" s="154" t="n">
        <v>43485</v>
      </c>
      <c r="B3566" s="155" t="s">
        <v>1481</v>
      </c>
      <c r="C3566" s="148" t="str">
        <f aca="false">VLOOKUP($A3566,INSUMOS_AUX!$A$3:$H$813,3,0)</f>
        <v>MAT.</v>
      </c>
      <c r="D3566" s="156" t="s">
        <v>1444</v>
      </c>
      <c r="E3566" s="154" t="n">
        <v>0.2676</v>
      </c>
      <c r="F3566" s="149" t="n">
        <f aca="false">IF(C3566="MAT.",VLOOKUP(A3566,INSUMOS_AUX!$A$3:$H$813,6,0),0)</f>
        <v>1.13</v>
      </c>
      <c r="G3566" s="149" t="n">
        <f aca="false">IF(C3566="M.O.",VLOOKUP(A3566,INSUMOS_AUX!A:F,6,0),0)</f>
        <v>0</v>
      </c>
    </row>
    <row r="3567" customFormat="false" ht="21" hidden="false" customHeight="false" outlineLevel="0" collapsed="false">
      <c r="A3567" s="154" t="n">
        <v>37372</v>
      </c>
      <c r="B3567" s="155" t="s">
        <v>1446</v>
      </c>
      <c r="C3567" s="148" t="str">
        <f aca="false">VLOOKUP($A3567,INSUMOS_AUX!$A$3:$H$813,3,0)</f>
        <v>MAT.</v>
      </c>
      <c r="D3567" s="156" t="s">
        <v>1444</v>
      </c>
      <c r="E3567" s="154" t="n">
        <v>0.2676</v>
      </c>
      <c r="F3567" s="149" t="n">
        <f aca="false">IF(C3567="MAT.",VLOOKUP(A3567,INSUMOS_AUX!$A$3:$H$813,6,0),0)</f>
        <v>1.43</v>
      </c>
      <c r="G3567" s="149" t="n">
        <f aca="false">IF(C3567="M.O.",VLOOKUP(A3567,INSUMOS_AUX!A:F,6,0),0)</f>
        <v>0</v>
      </c>
    </row>
    <row r="3568" customFormat="false" ht="21" hidden="false" customHeight="false" outlineLevel="0" collapsed="false">
      <c r="A3568" s="154" t="n">
        <v>43461</v>
      </c>
      <c r="B3568" s="155" t="s">
        <v>1482</v>
      </c>
      <c r="C3568" s="148" t="s">
        <v>59</v>
      </c>
      <c r="D3568" s="156" t="s">
        <v>1444</v>
      </c>
      <c r="E3568" s="154" t="n">
        <v>0.2676</v>
      </c>
      <c r="F3568" s="149" t="n">
        <f aca="false">IF(C3568="MAT.",VLOOKUP(A3568,INSUMOS_AUX!$A$3:$H$813,6,0),0)</f>
        <v>0</v>
      </c>
      <c r="G3568" s="149" t="n">
        <f aca="false">IF(C3568="M.O.",VLOOKUP(A3568,INSUMOS_AUX!A:F,6,0),0)</f>
        <v>0</v>
      </c>
    </row>
    <row r="3569" customFormat="false" ht="21" hidden="false" customHeight="false" outlineLevel="0" collapsed="false">
      <c r="A3569" s="154" t="n">
        <v>37373</v>
      </c>
      <c r="B3569" s="155" t="s">
        <v>1448</v>
      </c>
      <c r="C3569" s="148" t="str">
        <f aca="false">VLOOKUP($A3569,INSUMOS_AUX!$A$3:$H$813,3,0)</f>
        <v>MAT.</v>
      </c>
      <c r="D3569" s="156" t="s">
        <v>1444</v>
      </c>
      <c r="E3569" s="154" t="n">
        <v>0.2676</v>
      </c>
      <c r="F3569" s="149" t="n">
        <f aca="false">IF(C3569="MAT.",VLOOKUP(A3569,INSUMOS_AUX!$A$3:$H$813,6,0),0)</f>
        <v>0.08</v>
      </c>
      <c r="G3569" s="149" t="n">
        <f aca="false">IF(C3569="M.O.",VLOOKUP(A3569,INSUMOS_AUX!A:F,6,0),0)</f>
        <v>0</v>
      </c>
    </row>
    <row r="3570" customFormat="false" ht="21" hidden="false" customHeight="false" outlineLevel="0" collapsed="false">
      <c r="A3570" s="154" t="n">
        <v>37371</v>
      </c>
      <c r="B3570" s="155" t="s">
        <v>1449</v>
      </c>
      <c r="C3570" s="148" t="str">
        <f aca="false">VLOOKUP($A3570,INSUMOS_AUX!$A$3:$H$813,3,0)</f>
        <v>MAT.</v>
      </c>
      <c r="D3570" s="156" t="s">
        <v>1444</v>
      </c>
      <c r="E3570" s="154" t="n">
        <v>0.2676</v>
      </c>
      <c r="F3570" s="149" t="n">
        <f aca="false">IF(C3570="MAT.",VLOOKUP(A3570,INSUMOS_AUX!$A$3:$H$813,6,0),0)</f>
        <v>0.59</v>
      </c>
      <c r="G3570" s="149" t="n">
        <f aca="false">IF(C3570="M.O.",VLOOKUP(A3570,INSUMOS_AUX!A:F,6,0),0)</f>
        <v>0</v>
      </c>
    </row>
    <row r="3571" customFormat="false" ht="21" hidden="false" customHeight="false" outlineLevel="0" collapsed="false">
      <c r="A3571" s="154" t="n">
        <v>96</v>
      </c>
      <c r="B3571" s="155" t="s">
        <v>2100</v>
      </c>
      <c r="C3571" s="148" t="str">
        <f aca="false">VLOOKUP($A3571,INSUMOS_AUX!$A$3:$H$813,3,0)</f>
        <v>MAT.</v>
      </c>
      <c r="D3571" s="156" t="s">
        <v>31</v>
      </c>
      <c r="E3571" s="154" t="n">
        <v>1</v>
      </c>
      <c r="F3571" s="149" t="n">
        <f aca="false">IF(C3571="MAT.",VLOOKUP(A3571,INSUMOS_AUX!$A$3:$H$813,6,0),0)</f>
        <v>12.37</v>
      </c>
      <c r="G3571" s="149" t="n">
        <f aca="false">IF(C3571="M.O.",VLOOKUP(A3571,INSUMOS_AUX!A:F,6,0),0)</f>
        <v>0</v>
      </c>
    </row>
    <row r="3572" customFormat="false" ht="15" hidden="false" customHeight="false" outlineLevel="0" collapsed="false">
      <c r="A3572" s="154" t="n">
        <v>122</v>
      </c>
      <c r="B3572" s="155" t="s">
        <v>2097</v>
      </c>
      <c r="C3572" s="148" t="str">
        <f aca="false">VLOOKUP($A3572,INSUMOS_AUX!$A$3:$H$813,3,0)</f>
        <v>MAT.</v>
      </c>
      <c r="D3572" s="156" t="s">
        <v>31</v>
      </c>
      <c r="E3572" s="154" t="n">
        <v>0.0035</v>
      </c>
      <c r="F3572" s="149" t="n">
        <f aca="false">IF(C3572="MAT.",VLOOKUP(A3572,INSUMOS_AUX!$A$3:$H$813,6,0),0)</f>
        <v>63.09</v>
      </c>
      <c r="G3572" s="149" t="n">
        <f aca="false">IF(C3572="M.O.",VLOOKUP(A3572,INSUMOS_AUX!A:F,6,0),0)</f>
        <v>0</v>
      </c>
    </row>
    <row r="3573" customFormat="false" ht="21" hidden="false" customHeight="false" outlineLevel="0" collapsed="false">
      <c r="A3573" s="154" t="n">
        <v>20083</v>
      </c>
      <c r="B3573" s="155" t="s">
        <v>2095</v>
      </c>
      <c r="C3573" s="148" t="str">
        <f aca="false">VLOOKUP($A3573,INSUMOS_AUX!$A$3:$H$813,3,0)</f>
        <v>MAT.</v>
      </c>
      <c r="D3573" s="156" t="s">
        <v>31</v>
      </c>
      <c r="E3573" s="154" t="n">
        <v>0.004</v>
      </c>
      <c r="F3573" s="149" t="n">
        <f aca="false">IF(C3573="MAT.",VLOOKUP(A3573,INSUMOS_AUX!$A$3:$H$813,6,0),0)</f>
        <v>71.48</v>
      </c>
      <c r="G3573" s="149" t="n">
        <f aca="false">IF(C3573="M.O.",VLOOKUP(A3573,INSUMOS_AUX!A:F,6,0),0)</f>
        <v>0</v>
      </c>
    </row>
    <row r="3574" customFormat="false" ht="15" hidden="false" customHeight="false" outlineLevel="0" collapsed="false">
      <c r="A3574" s="154" t="n">
        <v>246</v>
      </c>
      <c r="B3574" s="155" t="s">
        <v>1752</v>
      </c>
      <c r="C3574" s="148" t="str">
        <f aca="false">VLOOKUP($A3574,INSUMOS_AUX!$A$3:$H$813,3,0)</f>
        <v>M.O.</v>
      </c>
      <c r="D3574" s="156" t="s">
        <v>1444</v>
      </c>
      <c r="E3574" s="154" t="n">
        <v>0.136205724</v>
      </c>
      <c r="F3574" s="149" t="n">
        <f aca="false">IF(C3574="MAT.",VLOOKUP(A3574,INSUMOS_AUX!$A$3:$H$813,6,0),0)</f>
        <v>0</v>
      </c>
      <c r="G3574" s="149" t="n">
        <f aca="false">IF(C3574="M.O.",VLOOKUP(A3574,INSUMOS_AUX!A:F,6,0),0)</f>
        <v>13.26</v>
      </c>
    </row>
    <row r="3575" customFormat="false" ht="15" hidden="false" customHeight="false" outlineLevel="0" collapsed="false">
      <c r="A3575" s="154" t="n">
        <v>2696</v>
      </c>
      <c r="B3575" s="155" t="s">
        <v>1483</v>
      </c>
      <c r="C3575" s="148" t="str">
        <f aca="false">VLOOKUP($A3575,INSUMOS_AUX!$A$3:$H$813,3,0)</f>
        <v>M.O.</v>
      </c>
      <c r="D3575" s="156" t="s">
        <v>1444</v>
      </c>
      <c r="E3575" s="154" t="n">
        <v>0.136205724</v>
      </c>
      <c r="F3575" s="149" t="n">
        <f aca="false">IF(C3575="MAT.",VLOOKUP(A3575,INSUMOS_AUX!$A$3:$H$813,6,0),0)</f>
        <v>0</v>
      </c>
      <c r="G3575" s="149" t="n">
        <f aca="false">IF(C3575="M.O.",VLOOKUP(A3575,INSUMOS_AUX!A:F,6,0),0)</f>
        <v>20.22</v>
      </c>
    </row>
    <row r="3576" customFormat="false" ht="31.5" hidden="false" customHeight="false" outlineLevel="0" collapsed="false">
      <c r="A3576" s="150" t="n">
        <v>89383</v>
      </c>
      <c r="B3576" s="151" t="s">
        <v>2101</v>
      </c>
      <c r="C3576" s="152" t="s">
        <v>59</v>
      </c>
      <c r="D3576" s="152" t="s">
        <v>31</v>
      </c>
      <c r="E3576" s="150"/>
      <c r="F3576" s="153" t="n">
        <f aca="false">(SUMPRODUCT($E3577:$E3588,F3577:F3588))*1</f>
        <v>3.11794</v>
      </c>
      <c r="G3576" s="153" t="n">
        <f aca="false">(SUMPRODUCT($E3577:$E3588,G3577:G3588))*1</f>
        <v>3.21733800576</v>
      </c>
    </row>
    <row r="3577" customFormat="false" ht="21" hidden="false" customHeight="false" outlineLevel="0" collapsed="false">
      <c r="A3577" s="154" t="n">
        <v>37370</v>
      </c>
      <c r="B3577" s="155" t="s">
        <v>1443</v>
      </c>
      <c r="C3577" s="148" t="str">
        <f aca="false">VLOOKUP($A3577,INSUMOS_AUX!$A$3:$H$813,3,0)</f>
        <v>MAT.</v>
      </c>
      <c r="D3577" s="156" t="s">
        <v>1444</v>
      </c>
      <c r="E3577" s="154" t="n">
        <v>0.1888</v>
      </c>
      <c r="F3577" s="149" t="n">
        <f aca="false">IF(C3577="MAT.",VLOOKUP(A3577,INSUMOS_AUX!$A$3:$H$813,6,0),0)</f>
        <v>3.32</v>
      </c>
      <c r="G3577" s="149" t="n">
        <f aca="false">IF(C3577="M.O.",VLOOKUP(A3577,INSUMOS_AUX!A:F,6,0),0)</f>
        <v>0</v>
      </c>
    </row>
    <row r="3578" customFormat="false" ht="21" hidden="false" customHeight="false" outlineLevel="0" collapsed="false">
      <c r="A3578" s="154" t="n">
        <v>43485</v>
      </c>
      <c r="B3578" s="155" t="s">
        <v>1481</v>
      </c>
      <c r="C3578" s="148" t="str">
        <f aca="false">VLOOKUP($A3578,INSUMOS_AUX!$A$3:$H$813,3,0)</f>
        <v>MAT.</v>
      </c>
      <c r="D3578" s="156" t="s">
        <v>1444</v>
      </c>
      <c r="E3578" s="154" t="n">
        <v>0.1888</v>
      </c>
      <c r="F3578" s="149" t="n">
        <f aca="false">IF(C3578="MAT.",VLOOKUP(A3578,INSUMOS_AUX!$A$3:$H$813,6,0),0)</f>
        <v>1.13</v>
      </c>
      <c r="G3578" s="149" t="n">
        <f aca="false">IF(C3578="M.O.",VLOOKUP(A3578,INSUMOS_AUX!A:F,6,0),0)</f>
        <v>0</v>
      </c>
    </row>
    <row r="3579" customFormat="false" ht="21" hidden="false" customHeight="false" outlineLevel="0" collapsed="false">
      <c r="A3579" s="154" t="n">
        <v>37372</v>
      </c>
      <c r="B3579" s="155" t="s">
        <v>1446</v>
      </c>
      <c r="C3579" s="148" t="str">
        <f aca="false">VLOOKUP($A3579,INSUMOS_AUX!$A$3:$H$813,3,0)</f>
        <v>MAT.</v>
      </c>
      <c r="D3579" s="156" t="s">
        <v>1444</v>
      </c>
      <c r="E3579" s="154" t="n">
        <v>0.1888</v>
      </c>
      <c r="F3579" s="149" t="n">
        <f aca="false">IF(C3579="MAT.",VLOOKUP(A3579,INSUMOS_AUX!$A$3:$H$813,6,0),0)</f>
        <v>1.43</v>
      </c>
      <c r="G3579" s="149" t="n">
        <f aca="false">IF(C3579="M.O.",VLOOKUP(A3579,INSUMOS_AUX!A:F,6,0),0)</f>
        <v>0</v>
      </c>
    </row>
    <row r="3580" customFormat="false" ht="21" hidden="false" customHeight="false" outlineLevel="0" collapsed="false">
      <c r="A3580" s="154" t="n">
        <v>43461</v>
      </c>
      <c r="B3580" s="155" t="s">
        <v>1482</v>
      </c>
      <c r="C3580" s="148" t="str">
        <f aca="false">VLOOKUP($A3580,INSUMOS_AUX!$A$3:$H$813,3,0)</f>
        <v>MAT.</v>
      </c>
      <c r="D3580" s="156" t="s">
        <v>1444</v>
      </c>
      <c r="E3580" s="154" t="n">
        <v>0.1888</v>
      </c>
      <c r="F3580" s="149" t="n">
        <f aca="false">IF(C3580="MAT.",VLOOKUP(A3580,INSUMOS_AUX!$A$3:$H$813,6,0),0)</f>
        <v>0.31</v>
      </c>
      <c r="G3580" s="149" t="n">
        <f aca="false">IF(C3580="M.O.",VLOOKUP(A3580,INSUMOS_AUX!A:F,6,0),0)</f>
        <v>0</v>
      </c>
    </row>
    <row r="3581" customFormat="false" ht="21" hidden="false" customHeight="false" outlineLevel="0" collapsed="false">
      <c r="A3581" s="154" t="n">
        <v>37373</v>
      </c>
      <c r="B3581" s="155" t="s">
        <v>1448</v>
      </c>
      <c r="C3581" s="148" t="s">
        <v>59</v>
      </c>
      <c r="D3581" s="156" t="s">
        <v>1444</v>
      </c>
      <c r="E3581" s="154" t="n">
        <v>0.1888</v>
      </c>
      <c r="F3581" s="149" t="n">
        <f aca="false">IF(C3581="MAT.",VLOOKUP(A3581,INSUMOS_AUX!$A$3:$H$813,6,0),0)</f>
        <v>0</v>
      </c>
      <c r="G3581" s="149" t="n">
        <f aca="false">IF(C3581="M.O.",VLOOKUP(A3581,INSUMOS_AUX!A:F,6,0),0)</f>
        <v>0</v>
      </c>
    </row>
    <row r="3582" customFormat="false" ht="21" hidden="false" customHeight="false" outlineLevel="0" collapsed="false">
      <c r="A3582" s="154" t="n">
        <v>37371</v>
      </c>
      <c r="B3582" s="155" t="s">
        <v>1449</v>
      </c>
      <c r="C3582" s="148" t="str">
        <f aca="false">VLOOKUP($A3582,INSUMOS_AUX!$A$3:$H$813,3,0)</f>
        <v>MAT.</v>
      </c>
      <c r="D3582" s="156" t="s">
        <v>1444</v>
      </c>
      <c r="E3582" s="154" t="n">
        <v>0.1888</v>
      </c>
      <c r="F3582" s="149" t="n">
        <f aca="false">IF(C3582="MAT.",VLOOKUP(A3582,INSUMOS_AUX!$A$3:$H$813,6,0),0)</f>
        <v>0.59</v>
      </c>
      <c r="G3582" s="149" t="n">
        <f aca="false">IF(C3582="M.O.",VLOOKUP(A3582,INSUMOS_AUX!A:F,6,0),0)</f>
        <v>0</v>
      </c>
    </row>
    <row r="3583" customFormat="false" ht="21" hidden="false" customHeight="false" outlineLevel="0" collapsed="false">
      <c r="A3583" s="154" t="n">
        <v>65</v>
      </c>
      <c r="B3583" s="155" t="s">
        <v>2102</v>
      </c>
      <c r="C3583" s="148" t="str">
        <f aca="false">VLOOKUP($A3583,INSUMOS_AUX!$A$3:$H$813,3,0)</f>
        <v>MAT.</v>
      </c>
      <c r="D3583" s="156" t="s">
        <v>31</v>
      </c>
      <c r="E3583" s="154" t="n">
        <v>1</v>
      </c>
      <c r="F3583" s="149" t="n">
        <f aca="false">IF(C3583="MAT.",VLOOKUP(A3583,INSUMOS_AUX!$A$3:$H$813,6,0),0)</f>
        <v>0.89</v>
      </c>
      <c r="G3583" s="149" t="n">
        <f aca="false">IF(C3583="M.O.",VLOOKUP(A3583,INSUMOS_AUX!A:F,6,0),0)</f>
        <v>0</v>
      </c>
    </row>
    <row r="3584" customFormat="false" ht="15" hidden="false" customHeight="false" outlineLevel="0" collapsed="false">
      <c r="A3584" s="154" t="n">
        <v>122</v>
      </c>
      <c r="B3584" s="155" t="s">
        <v>2097</v>
      </c>
      <c r="C3584" s="148" t="str">
        <f aca="false">VLOOKUP($A3584,INSUMOS_AUX!$A$3:$H$813,3,0)</f>
        <v>MAT.</v>
      </c>
      <c r="D3584" s="156" t="s">
        <v>31</v>
      </c>
      <c r="E3584" s="154" t="n">
        <v>0.0059</v>
      </c>
      <c r="F3584" s="149" t="n">
        <f aca="false">IF(C3584="MAT.",VLOOKUP(A3584,INSUMOS_AUX!$A$3:$H$813,6,0),0)</f>
        <v>63.09</v>
      </c>
      <c r="G3584" s="149" t="n">
        <f aca="false">IF(C3584="M.O.",VLOOKUP(A3584,INSUMOS_AUX!A:F,6,0),0)</f>
        <v>0</v>
      </c>
    </row>
    <row r="3585" customFormat="false" ht="15" hidden="false" customHeight="false" outlineLevel="0" collapsed="false">
      <c r="A3585" s="154" t="n">
        <v>38383</v>
      </c>
      <c r="B3585" s="155" t="s">
        <v>2093</v>
      </c>
      <c r="C3585" s="148" t="str">
        <f aca="false">VLOOKUP($A3585,INSUMOS_AUX!$A$3:$H$813,3,0)</f>
        <v>MAT.</v>
      </c>
      <c r="D3585" s="156" t="s">
        <v>31</v>
      </c>
      <c r="E3585" s="154" t="n">
        <v>0.0315</v>
      </c>
      <c r="F3585" s="149" t="n">
        <f aca="false">IF(C3585="MAT.",VLOOKUP(A3585,INSUMOS_AUX!$A$3:$H$813,6,0),0)</f>
        <v>2.39</v>
      </c>
      <c r="G3585" s="149" t="n">
        <f aca="false">IF(C3585="M.O.",VLOOKUP(A3585,INSUMOS_AUX!A:F,6,0),0)</f>
        <v>0</v>
      </c>
    </row>
    <row r="3586" customFormat="false" ht="21" hidden="false" customHeight="false" outlineLevel="0" collapsed="false">
      <c r="A3586" s="154" t="n">
        <v>20083</v>
      </c>
      <c r="B3586" s="155" t="s">
        <v>2095</v>
      </c>
      <c r="C3586" s="148" t="str">
        <f aca="false">VLOOKUP($A3586,INSUMOS_AUX!$A$3:$H$813,3,0)</f>
        <v>MAT.</v>
      </c>
      <c r="D3586" s="156" t="s">
        <v>31</v>
      </c>
      <c r="E3586" s="154" t="n">
        <v>0.007</v>
      </c>
      <c r="F3586" s="149" t="n">
        <f aca="false">IF(C3586="MAT.",VLOOKUP(A3586,INSUMOS_AUX!$A$3:$H$813,6,0),0)</f>
        <v>71.48</v>
      </c>
      <c r="G3586" s="149" t="n">
        <f aca="false">IF(C3586="M.O.",VLOOKUP(A3586,INSUMOS_AUX!A:F,6,0),0)</f>
        <v>0</v>
      </c>
    </row>
    <row r="3587" customFormat="false" ht="15" hidden="false" customHeight="false" outlineLevel="0" collapsed="false">
      <c r="A3587" s="154" t="n">
        <v>246</v>
      </c>
      <c r="B3587" s="155" t="s">
        <v>1752</v>
      </c>
      <c r="C3587" s="148" t="str">
        <f aca="false">VLOOKUP($A3587,INSUMOS_AUX!$A$3:$H$813,3,0)</f>
        <v>M.O.</v>
      </c>
      <c r="D3587" s="156" t="s">
        <v>1444</v>
      </c>
      <c r="E3587" s="154" t="n">
        <v>0.096097312</v>
      </c>
      <c r="F3587" s="149" t="n">
        <f aca="false">IF(C3587="MAT.",VLOOKUP(A3587,INSUMOS_AUX!$A$3:$H$813,6,0),0)</f>
        <v>0</v>
      </c>
      <c r="G3587" s="149" t="n">
        <f aca="false">IF(C3587="M.O.",VLOOKUP(A3587,INSUMOS_AUX!A:F,6,0),0)</f>
        <v>13.26</v>
      </c>
    </row>
    <row r="3588" customFormat="false" ht="15" hidden="false" customHeight="false" outlineLevel="0" collapsed="false">
      <c r="A3588" s="154" t="n">
        <v>2696</v>
      </c>
      <c r="B3588" s="155" t="s">
        <v>1483</v>
      </c>
      <c r="C3588" s="148" t="str">
        <f aca="false">VLOOKUP($A3588,INSUMOS_AUX!$A$3:$H$813,3,0)</f>
        <v>M.O.</v>
      </c>
      <c r="D3588" s="156" t="s">
        <v>1444</v>
      </c>
      <c r="E3588" s="154" t="n">
        <v>0.096097312</v>
      </c>
      <c r="F3588" s="149" t="n">
        <f aca="false">IF(C3588="MAT.",VLOOKUP(A3588,INSUMOS_AUX!$A$3:$H$813,6,0),0)</f>
        <v>0</v>
      </c>
      <c r="G3588" s="149" t="n">
        <f aca="false">IF(C3588="M.O.",VLOOKUP(A3588,INSUMOS_AUX!A:F,6,0),0)</f>
        <v>20.22</v>
      </c>
    </row>
    <row r="3589" customFormat="false" ht="21" hidden="false" customHeight="false" outlineLevel="0" collapsed="false">
      <c r="A3589" s="150" t="n">
        <v>89485</v>
      </c>
      <c r="B3589" s="151" t="s">
        <v>2103</v>
      </c>
      <c r="C3589" s="152" t="s">
        <v>59</v>
      </c>
      <c r="D3589" s="152" t="s">
        <v>31</v>
      </c>
      <c r="E3589" s="150"/>
      <c r="F3589" s="153" t="n">
        <f aca="false">(SUMPRODUCT($E3590:$E3601,F3590:F3601))*1</f>
        <v>3.512927</v>
      </c>
      <c r="G3589" s="153" t="n">
        <f aca="false">(SUMPRODUCT($E3590:$E3601,G3590:G3601))*1</f>
        <v>2.40618711024</v>
      </c>
    </row>
    <row r="3590" customFormat="false" ht="21" hidden="false" customHeight="false" outlineLevel="0" collapsed="false">
      <c r="A3590" s="154" t="n">
        <v>37370</v>
      </c>
      <c r="B3590" s="155" t="s">
        <v>1443</v>
      </c>
      <c r="C3590" s="148" t="str">
        <f aca="false">VLOOKUP($A3590,INSUMOS_AUX!$A$3:$H$813,3,0)</f>
        <v>MAT.</v>
      </c>
      <c r="D3590" s="156" t="s">
        <v>1444</v>
      </c>
      <c r="E3590" s="154" t="n">
        <v>0.1412</v>
      </c>
      <c r="F3590" s="149" t="n">
        <f aca="false">IF(C3590="MAT.",VLOOKUP(A3590,INSUMOS_AUX!$A$3:$H$813,6,0),0)</f>
        <v>3.32</v>
      </c>
      <c r="G3590" s="149" t="n">
        <f aca="false">IF(C3590="M.O.",VLOOKUP(A3590,INSUMOS_AUX!A:F,6,0),0)</f>
        <v>0</v>
      </c>
    </row>
    <row r="3591" customFormat="false" ht="21" hidden="false" customHeight="false" outlineLevel="0" collapsed="false">
      <c r="A3591" s="154" t="n">
        <v>43485</v>
      </c>
      <c r="B3591" s="155" t="s">
        <v>1481</v>
      </c>
      <c r="C3591" s="148" t="str">
        <f aca="false">VLOOKUP($A3591,INSUMOS_AUX!$A$3:$H$813,3,0)</f>
        <v>MAT.</v>
      </c>
      <c r="D3591" s="156" t="s">
        <v>1444</v>
      </c>
      <c r="E3591" s="154" t="n">
        <v>0.1412</v>
      </c>
      <c r="F3591" s="149" t="n">
        <f aca="false">IF(C3591="MAT.",VLOOKUP(A3591,INSUMOS_AUX!$A$3:$H$813,6,0),0)</f>
        <v>1.13</v>
      </c>
      <c r="G3591" s="149" t="n">
        <f aca="false">IF(C3591="M.O.",VLOOKUP(A3591,INSUMOS_AUX!A:F,6,0),0)</f>
        <v>0</v>
      </c>
    </row>
    <row r="3592" customFormat="false" ht="21" hidden="false" customHeight="false" outlineLevel="0" collapsed="false">
      <c r="A3592" s="154" t="n">
        <v>37372</v>
      </c>
      <c r="B3592" s="155" t="s">
        <v>1446</v>
      </c>
      <c r="C3592" s="148" t="str">
        <f aca="false">VLOOKUP($A3592,INSUMOS_AUX!$A$3:$H$813,3,0)</f>
        <v>MAT.</v>
      </c>
      <c r="D3592" s="156" t="s">
        <v>1444</v>
      </c>
      <c r="E3592" s="154" t="n">
        <v>0.1412</v>
      </c>
      <c r="F3592" s="149" t="n">
        <f aca="false">IF(C3592="MAT.",VLOOKUP(A3592,INSUMOS_AUX!$A$3:$H$813,6,0),0)</f>
        <v>1.43</v>
      </c>
      <c r="G3592" s="149" t="n">
        <f aca="false">IF(C3592="M.O.",VLOOKUP(A3592,INSUMOS_AUX!A:F,6,0),0)</f>
        <v>0</v>
      </c>
    </row>
    <row r="3593" customFormat="false" ht="21" hidden="false" customHeight="false" outlineLevel="0" collapsed="false">
      <c r="A3593" s="154" t="n">
        <v>43461</v>
      </c>
      <c r="B3593" s="155" t="s">
        <v>1482</v>
      </c>
      <c r="C3593" s="148" t="str">
        <f aca="false">VLOOKUP($A3593,INSUMOS_AUX!$A$3:$H$813,3,0)</f>
        <v>MAT.</v>
      </c>
      <c r="D3593" s="156" t="s">
        <v>1444</v>
      </c>
      <c r="E3593" s="154" t="n">
        <v>0.1412</v>
      </c>
      <c r="F3593" s="149" t="n">
        <f aca="false">IF(C3593="MAT.",VLOOKUP(A3593,INSUMOS_AUX!$A$3:$H$813,6,0),0)</f>
        <v>0.31</v>
      </c>
      <c r="G3593" s="149" t="n">
        <f aca="false">IF(C3593="M.O.",VLOOKUP(A3593,INSUMOS_AUX!A:F,6,0),0)</f>
        <v>0</v>
      </c>
    </row>
    <row r="3594" customFormat="false" ht="21" hidden="false" customHeight="false" outlineLevel="0" collapsed="false">
      <c r="A3594" s="154" t="n">
        <v>37373</v>
      </c>
      <c r="B3594" s="155" t="s">
        <v>1448</v>
      </c>
      <c r="C3594" s="148" t="s">
        <v>59</v>
      </c>
      <c r="D3594" s="156" t="s">
        <v>1444</v>
      </c>
      <c r="E3594" s="154" t="n">
        <v>0.1412</v>
      </c>
      <c r="F3594" s="149" t="n">
        <f aca="false">IF(C3594="MAT.",VLOOKUP(A3594,INSUMOS_AUX!$A$3:$H$813,6,0),0)</f>
        <v>0</v>
      </c>
      <c r="G3594" s="149" t="n">
        <f aca="false">IF(C3594="M.O.",VLOOKUP(A3594,INSUMOS_AUX!A:F,6,0),0)</f>
        <v>0</v>
      </c>
    </row>
    <row r="3595" customFormat="false" ht="21" hidden="false" customHeight="false" outlineLevel="0" collapsed="false">
      <c r="A3595" s="154" t="n">
        <v>37371</v>
      </c>
      <c r="B3595" s="155" t="s">
        <v>1449</v>
      </c>
      <c r="C3595" s="148" t="str">
        <f aca="false">VLOOKUP($A3595,INSUMOS_AUX!$A$3:$H$813,3,0)</f>
        <v>MAT.</v>
      </c>
      <c r="D3595" s="156" t="s">
        <v>1444</v>
      </c>
      <c r="E3595" s="154" t="n">
        <v>0.1412</v>
      </c>
      <c r="F3595" s="149" t="n">
        <f aca="false">IF(C3595="MAT.",VLOOKUP(A3595,INSUMOS_AUX!$A$3:$H$813,6,0),0)</f>
        <v>0.59</v>
      </c>
      <c r="G3595" s="149" t="n">
        <f aca="false">IF(C3595="M.O.",VLOOKUP(A3595,INSUMOS_AUX!A:F,6,0),0)</f>
        <v>0</v>
      </c>
    </row>
    <row r="3596" customFormat="false" ht="15" hidden="false" customHeight="false" outlineLevel="0" collapsed="false">
      <c r="A3596" s="154" t="n">
        <v>122</v>
      </c>
      <c r="B3596" s="155" t="s">
        <v>2097</v>
      </c>
      <c r="C3596" s="148" t="str">
        <f aca="false">VLOOKUP($A3596,INSUMOS_AUX!$A$3:$H$813,3,0)</f>
        <v>MAT.</v>
      </c>
      <c r="D3596" s="156" t="s">
        <v>31</v>
      </c>
      <c r="E3596" s="154" t="n">
        <v>0.0071</v>
      </c>
      <c r="F3596" s="149" t="n">
        <f aca="false">IF(C3596="MAT.",VLOOKUP(A3596,INSUMOS_AUX!$A$3:$H$813,6,0),0)</f>
        <v>63.09</v>
      </c>
      <c r="G3596" s="149" t="n">
        <f aca="false">IF(C3596="M.O.",VLOOKUP(A3596,INSUMOS_AUX!A:F,6,0),0)</f>
        <v>0</v>
      </c>
    </row>
    <row r="3597" customFormat="false" ht="21" hidden="false" customHeight="false" outlineLevel="0" collapsed="false">
      <c r="A3597" s="154" t="n">
        <v>3500</v>
      </c>
      <c r="B3597" s="155" t="s">
        <v>2104</v>
      </c>
      <c r="C3597" s="148" t="str">
        <f aca="false">VLOOKUP($A3597,INSUMOS_AUX!$A$3:$H$813,3,0)</f>
        <v>MAT.</v>
      </c>
      <c r="D3597" s="156" t="s">
        <v>31</v>
      </c>
      <c r="E3597" s="154" t="n">
        <v>1</v>
      </c>
      <c r="F3597" s="149" t="n">
        <f aca="false">IF(C3597="MAT.",VLOOKUP(A3597,INSUMOS_AUX!$A$3:$H$813,6,0),0)</f>
        <v>1.51</v>
      </c>
      <c r="G3597" s="149" t="n">
        <f aca="false">IF(C3597="M.O.",VLOOKUP(A3597,INSUMOS_AUX!A:F,6,0),0)</f>
        <v>0</v>
      </c>
    </row>
    <row r="3598" customFormat="false" ht="15" hidden="false" customHeight="false" outlineLevel="0" collapsed="false">
      <c r="A3598" s="154" t="n">
        <v>38383</v>
      </c>
      <c r="B3598" s="155" t="s">
        <v>2093</v>
      </c>
      <c r="C3598" s="148" t="str">
        <f aca="false">VLOOKUP($A3598,INSUMOS_AUX!$A$3:$H$813,3,0)</f>
        <v>MAT.</v>
      </c>
      <c r="D3598" s="156" t="s">
        <v>31</v>
      </c>
      <c r="E3598" s="154" t="n">
        <v>0.0108</v>
      </c>
      <c r="F3598" s="149" t="n">
        <f aca="false">IF(C3598="MAT.",VLOOKUP(A3598,INSUMOS_AUX!$A$3:$H$813,6,0),0)</f>
        <v>2.39</v>
      </c>
      <c r="G3598" s="149" t="n">
        <f aca="false">IF(C3598="M.O.",VLOOKUP(A3598,INSUMOS_AUX!A:F,6,0),0)</f>
        <v>0</v>
      </c>
    </row>
    <row r="3599" customFormat="false" ht="21" hidden="false" customHeight="false" outlineLevel="0" collapsed="false">
      <c r="A3599" s="154" t="n">
        <v>20083</v>
      </c>
      <c r="B3599" s="155" t="s">
        <v>2095</v>
      </c>
      <c r="C3599" s="148" t="str">
        <f aca="false">VLOOKUP($A3599,INSUMOS_AUX!$A$3:$H$813,3,0)</f>
        <v>MAT.</v>
      </c>
      <c r="D3599" s="156" t="s">
        <v>31</v>
      </c>
      <c r="E3599" s="154" t="n">
        <v>0.008</v>
      </c>
      <c r="F3599" s="149" t="n">
        <f aca="false">IF(C3599="MAT.",VLOOKUP(A3599,INSUMOS_AUX!$A$3:$H$813,6,0),0)</f>
        <v>71.48</v>
      </c>
      <c r="G3599" s="149" t="n">
        <f aca="false">IF(C3599="M.O.",VLOOKUP(A3599,INSUMOS_AUX!A:F,6,0),0)</f>
        <v>0</v>
      </c>
    </row>
    <row r="3600" customFormat="false" ht="15" hidden="false" customHeight="false" outlineLevel="0" collapsed="false">
      <c r="A3600" s="154" t="n">
        <v>246</v>
      </c>
      <c r="B3600" s="155" t="s">
        <v>1752</v>
      </c>
      <c r="C3600" s="148" t="str">
        <f aca="false">VLOOKUP($A3600,INSUMOS_AUX!$A$3:$H$813,3,0)</f>
        <v>M.O.</v>
      </c>
      <c r="D3600" s="156" t="s">
        <v>1444</v>
      </c>
      <c r="E3600" s="154" t="n">
        <v>0.071869388</v>
      </c>
      <c r="F3600" s="149" t="n">
        <f aca="false">IF(C3600="MAT.",VLOOKUP(A3600,INSUMOS_AUX!$A$3:$H$813,6,0),0)</f>
        <v>0</v>
      </c>
      <c r="G3600" s="149" t="n">
        <f aca="false">IF(C3600="M.O.",VLOOKUP(A3600,INSUMOS_AUX!A:F,6,0),0)</f>
        <v>13.26</v>
      </c>
    </row>
    <row r="3601" customFormat="false" ht="15" hidden="false" customHeight="false" outlineLevel="0" collapsed="false">
      <c r="A3601" s="154" t="n">
        <v>2696</v>
      </c>
      <c r="B3601" s="155" t="s">
        <v>1483</v>
      </c>
      <c r="C3601" s="148" t="str">
        <f aca="false">VLOOKUP($A3601,INSUMOS_AUX!$A$3:$H$813,3,0)</f>
        <v>M.O.</v>
      </c>
      <c r="D3601" s="156" t="s">
        <v>1444</v>
      </c>
      <c r="E3601" s="154" t="n">
        <v>0.071869388</v>
      </c>
      <c r="F3601" s="149" t="n">
        <f aca="false">IF(C3601="MAT.",VLOOKUP(A3601,INSUMOS_AUX!$A$3:$H$813,6,0),0)</f>
        <v>0</v>
      </c>
      <c r="G3601" s="149" t="n">
        <f aca="false">IF(C3601="M.O.",VLOOKUP(A3601,INSUMOS_AUX!A:F,6,0),0)</f>
        <v>20.22</v>
      </c>
    </row>
    <row r="3602" customFormat="false" ht="21" hidden="false" customHeight="false" outlineLevel="0" collapsed="false">
      <c r="A3602" s="150" t="n">
        <v>89481</v>
      </c>
      <c r="B3602" s="151" t="s">
        <v>2105</v>
      </c>
      <c r="C3602" s="152" t="s">
        <v>59</v>
      </c>
      <c r="D3602" s="152" t="s">
        <v>31</v>
      </c>
      <c r="E3602" s="150"/>
      <c r="F3602" s="153" t="n">
        <f aca="false">(SUMPRODUCT($E3603:$E3614,F3603:F3614))*1</f>
        <v>2.732927</v>
      </c>
      <c r="G3602" s="153" t="n">
        <f aca="false">(SUMPRODUCT($E3603:$E3614,G3603:G3614))*1</f>
        <v>2.40618711024</v>
      </c>
    </row>
    <row r="3603" customFormat="false" ht="21" hidden="false" customHeight="false" outlineLevel="0" collapsed="false">
      <c r="A3603" s="154" t="n">
        <v>37370</v>
      </c>
      <c r="B3603" s="155" t="s">
        <v>1443</v>
      </c>
      <c r="C3603" s="148" t="str">
        <f aca="false">VLOOKUP($A3603,INSUMOS_AUX!$A$3:$H$813,3,0)</f>
        <v>MAT.</v>
      </c>
      <c r="D3603" s="156" t="s">
        <v>1444</v>
      </c>
      <c r="E3603" s="154" t="n">
        <v>0.1412</v>
      </c>
      <c r="F3603" s="149" t="n">
        <f aca="false">IF(C3603="MAT.",VLOOKUP(A3603,INSUMOS_AUX!$A$3:$H$813,6,0),0)</f>
        <v>3.32</v>
      </c>
      <c r="G3603" s="149" t="n">
        <f aca="false">IF(C3603="M.O.",VLOOKUP(A3603,INSUMOS_AUX!A:F,6,0),0)</f>
        <v>0</v>
      </c>
    </row>
    <row r="3604" customFormat="false" ht="21" hidden="false" customHeight="false" outlineLevel="0" collapsed="false">
      <c r="A3604" s="154" t="n">
        <v>43485</v>
      </c>
      <c r="B3604" s="155" t="s">
        <v>1481</v>
      </c>
      <c r="C3604" s="148" t="str">
        <f aca="false">VLOOKUP($A3604,INSUMOS_AUX!$A$3:$H$813,3,0)</f>
        <v>MAT.</v>
      </c>
      <c r="D3604" s="156" t="s">
        <v>1444</v>
      </c>
      <c r="E3604" s="154" t="n">
        <v>0.1412</v>
      </c>
      <c r="F3604" s="149" t="n">
        <f aca="false">IF(C3604="MAT.",VLOOKUP(A3604,INSUMOS_AUX!$A$3:$H$813,6,0),0)</f>
        <v>1.13</v>
      </c>
      <c r="G3604" s="149" t="n">
        <f aca="false">IF(C3604="M.O.",VLOOKUP(A3604,INSUMOS_AUX!A:F,6,0),0)</f>
        <v>0</v>
      </c>
    </row>
    <row r="3605" customFormat="false" ht="21" hidden="false" customHeight="false" outlineLevel="0" collapsed="false">
      <c r="A3605" s="154" t="n">
        <v>37372</v>
      </c>
      <c r="B3605" s="155" t="s">
        <v>1446</v>
      </c>
      <c r="C3605" s="148" t="str">
        <f aca="false">VLOOKUP($A3605,INSUMOS_AUX!$A$3:$H$813,3,0)</f>
        <v>MAT.</v>
      </c>
      <c r="D3605" s="156" t="s">
        <v>1444</v>
      </c>
      <c r="E3605" s="154" t="n">
        <v>0.1412</v>
      </c>
      <c r="F3605" s="149" t="n">
        <f aca="false">IF(C3605="MAT.",VLOOKUP(A3605,INSUMOS_AUX!$A$3:$H$813,6,0),0)</f>
        <v>1.43</v>
      </c>
      <c r="G3605" s="149" t="n">
        <f aca="false">IF(C3605="M.O.",VLOOKUP(A3605,INSUMOS_AUX!A:F,6,0),0)</f>
        <v>0</v>
      </c>
    </row>
    <row r="3606" customFormat="false" ht="21" hidden="false" customHeight="false" outlineLevel="0" collapsed="false">
      <c r="A3606" s="154" t="n">
        <v>43461</v>
      </c>
      <c r="B3606" s="155" t="s">
        <v>1482</v>
      </c>
      <c r="C3606" s="148" t="str">
        <f aca="false">VLOOKUP($A3606,INSUMOS_AUX!$A$3:$H$813,3,0)</f>
        <v>MAT.</v>
      </c>
      <c r="D3606" s="156" t="s">
        <v>1444</v>
      </c>
      <c r="E3606" s="154" t="n">
        <v>0.1412</v>
      </c>
      <c r="F3606" s="149" t="n">
        <f aca="false">IF(C3606="MAT.",VLOOKUP(A3606,INSUMOS_AUX!$A$3:$H$813,6,0),0)</f>
        <v>0.31</v>
      </c>
      <c r="G3606" s="149" t="n">
        <f aca="false">IF(C3606="M.O.",VLOOKUP(A3606,INSUMOS_AUX!A:F,6,0),0)</f>
        <v>0</v>
      </c>
    </row>
    <row r="3607" customFormat="false" ht="21" hidden="false" customHeight="false" outlineLevel="0" collapsed="false">
      <c r="A3607" s="154" t="n">
        <v>37373</v>
      </c>
      <c r="B3607" s="155" t="s">
        <v>1448</v>
      </c>
      <c r="C3607" s="148" t="s">
        <v>59</v>
      </c>
      <c r="D3607" s="156" t="s">
        <v>1444</v>
      </c>
      <c r="E3607" s="154" t="n">
        <v>0.1412</v>
      </c>
      <c r="F3607" s="149" t="n">
        <f aca="false">IF(C3607="MAT.",VLOOKUP(A3607,INSUMOS_AUX!$A$3:$H$813,6,0),0)</f>
        <v>0</v>
      </c>
      <c r="G3607" s="149" t="n">
        <f aca="false">IF(C3607="M.O.",VLOOKUP(A3607,INSUMOS_AUX!A:F,6,0),0)</f>
        <v>0</v>
      </c>
    </row>
    <row r="3608" customFormat="false" ht="21" hidden="false" customHeight="false" outlineLevel="0" collapsed="false">
      <c r="A3608" s="154" t="n">
        <v>37371</v>
      </c>
      <c r="B3608" s="155" t="s">
        <v>1449</v>
      </c>
      <c r="C3608" s="148" t="str">
        <f aca="false">VLOOKUP($A3608,INSUMOS_AUX!$A$3:$H$813,3,0)</f>
        <v>MAT.</v>
      </c>
      <c r="D3608" s="156" t="s">
        <v>1444</v>
      </c>
      <c r="E3608" s="154" t="n">
        <v>0.1412</v>
      </c>
      <c r="F3608" s="149" t="n">
        <f aca="false">IF(C3608="MAT.",VLOOKUP(A3608,INSUMOS_AUX!$A$3:$H$813,6,0),0)</f>
        <v>0.59</v>
      </c>
      <c r="G3608" s="149" t="n">
        <f aca="false">IF(C3608="M.O.",VLOOKUP(A3608,INSUMOS_AUX!A:F,6,0),0)</f>
        <v>0</v>
      </c>
    </row>
    <row r="3609" customFormat="false" ht="15" hidden="false" customHeight="false" outlineLevel="0" collapsed="false">
      <c r="A3609" s="154" t="n">
        <v>122</v>
      </c>
      <c r="B3609" s="155" t="s">
        <v>2097</v>
      </c>
      <c r="C3609" s="148" t="str">
        <f aca="false">VLOOKUP($A3609,INSUMOS_AUX!$A$3:$H$813,3,0)</f>
        <v>MAT.</v>
      </c>
      <c r="D3609" s="156" t="s">
        <v>31</v>
      </c>
      <c r="E3609" s="154" t="n">
        <v>0.0071</v>
      </c>
      <c r="F3609" s="149" t="n">
        <f aca="false">IF(C3609="MAT.",VLOOKUP(A3609,INSUMOS_AUX!$A$3:$H$813,6,0),0)</f>
        <v>63.09</v>
      </c>
      <c r="G3609" s="149" t="n">
        <f aca="false">IF(C3609="M.O.",VLOOKUP(A3609,INSUMOS_AUX!A:F,6,0),0)</f>
        <v>0</v>
      </c>
    </row>
    <row r="3610" customFormat="false" ht="21" hidden="false" customHeight="false" outlineLevel="0" collapsed="false">
      <c r="A3610" s="154" t="n">
        <v>3529</v>
      </c>
      <c r="B3610" s="155" t="s">
        <v>2106</v>
      </c>
      <c r="C3610" s="148" t="str">
        <f aca="false">VLOOKUP($A3610,INSUMOS_AUX!$A$3:$H$813,3,0)</f>
        <v>MAT.</v>
      </c>
      <c r="D3610" s="156" t="s">
        <v>31</v>
      </c>
      <c r="E3610" s="154" t="n">
        <v>1</v>
      </c>
      <c r="F3610" s="149" t="n">
        <f aca="false">IF(C3610="MAT.",VLOOKUP(A3610,INSUMOS_AUX!$A$3:$H$813,6,0),0)</f>
        <v>0.73</v>
      </c>
      <c r="G3610" s="149" t="n">
        <f aca="false">IF(C3610="M.O.",VLOOKUP(A3610,INSUMOS_AUX!A:F,6,0),0)</f>
        <v>0</v>
      </c>
    </row>
    <row r="3611" customFormat="false" ht="15" hidden="false" customHeight="false" outlineLevel="0" collapsed="false">
      <c r="A3611" s="154" t="n">
        <v>38383</v>
      </c>
      <c r="B3611" s="155" t="s">
        <v>2093</v>
      </c>
      <c r="C3611" s="148" t="str">
        <f aca="false">VLOOKUP($A3611,INSUMOS_AUX!$A$3:$H$813,3,0)</f>
        <v>MAT.</v>
      </c>
      <c r="D3611" s="156" t="s">
        <v>31</v>
      </c>
      <c r="E3611" s="154" t="n">
        <v>0.0108</v>
      </c>
      <c r="F3611" s="149" t="n">
        <f aca="false">IF(C3611="MAT.",VLOOKUP(A3611,INSUMOS_AUX!$A$3:$H$813,6,0),0)</f>
        <v>2.39</v>
      </c>
      <c r="G3611" s="149" t="n">
        <f aca="false">IF(C3611="M.O.",VLOOKUP(A3611,INSUMOS_AUX!A:F,6,0),0)</f>
        <v>0</v>
      </c>
    </row>
    <row r="3612" customFormat="false" ht="21" hidden="false" customHeight="false" outlineLevel="0" collapsed="false">
      <c r="A3612" s="154" t="n">
        <v>20083</v>
      </c>
      <c r="B3612" s="155" t="s">
        <v>2095</v>
      </c>
      <c r="C3612" s="148" t="str">
        <f aca="false">VLOOKUP($A3612,INSUMOS_AUX!$A$3:$H$813,3,0)</f>
        <v>MAT.</v>
      </c>
      <c r="D3612" s="156" t="s">
        <v>31</v>
      </c>
      <c r="E3612" s="154" t="n">
        <v>0.008</v>
      </c>
      <c r="F3612" s="149" t="n">
        <f aca="false">IF(C3612="MAT.",VLOOKUP(A3612,INSUMOS_AUX!$A$3:$H$813,6,0),0)</f>
        <v>71.48</v>
      </c>
      <c r="G3612" s="149" t="n">
        <f aca="false">IF(C3612="M.O.",VLOOKUP(A3612,INSUMOS_AUX!A:F,6,0),0)</f>
        <v>0</v>
      </c>
    </row>
    <row r="3613" customFormat="false" ht="15" hidden="false" customHeight="false" outlineLevel="0" collapsed="false">
      <c r="A3613" s="154" t="n">
        <v>246</v>
      </c>
      <c r="B3613" s="155" t="s">
        <v>1752</v>
      </c>
      <c r="C3613" s="148" t="str">
        <f aca="false">VLOOKUP($A3613,INSUMOS_AUX!$A$3:$H$813,3,0)</f>
        <v>M.O.</v>
      </c>
      <c r="D3613" s="156" t="s">
        <v>1444</v>
      </c>
      <c r="E3613" s="154" t="n">
        <v>0.071869388</v>
      </c>
      <c r="F3613" s="149" t="n">
        <f aca="false">IF(C3613="MAT.",VLOOKUP(A3613,INSUMOS_AUX!$A$3:$H$813,6,0),0)</f>
        <v>0</v>
      </c>
      <c r="G3613" s="149" t="n">
        <f aca="false">IF(C3613="M.O.",VLOOKUP(A3613,INSUMOS_AUX!A:F,6,0),0)</f>
        <v>13.26</v>
      </c>
    </row>
    <row r="3614" customFormat="false" ht="15" hidden="false" customHeight="false" outlineLevel="0" collapsed="false">
      <c r="A3614" s="154" t="n">
        <v>2696</v>
      </c>
      <c r="B3614" s="155" t="s">
        <v>1483</v>
      </c>
      <c r="C3614" s="148" t="str">
        <f aca="false">VLOOKUP($A3614,INSUMOS_AUX!$A$3:$H$813,3,0)</f>
        <v>M.O.</v>
      </c>
      <c r="D3614" s="156" t="s">
        <v>1444</v>
      </c>
      <c r="E3614" s="154" t="n">
        <v>0.071869388</v>
      </c>
      <c r="F3614" s="149" t="n">
        <f aca="false">IF(C3614="MAT.",VLOOKUP(A3614,INSUMOS_AUX!$A$3:$H$813,6,0),0)</f>
        <v>0</v>
      </c>
      <c r="G3614" s="149" t="n">
        <f aca="false">IF(C3614="M.O.",VLOOKUP(A3614,INSUMOS_AUX!A:F,6,0),0)</f>
        <v>20.22</v>
      </c>
    </row>
    <row r="3615" customFormat="false" ht="21" hidden="false" customHeight="false" outlineLevel="0" collapsed="false">
      <c r="A3615" s="150" t="n">
        <v>89446</v>
      </c>
      <c r="B3615" s="151" t="s">
        <v>2107</v>
      </c>
      <c r="C3615" s="152" t="s">
        <v>59</v>
      </c>
      <c r="D3615" s="152" t="s">
        <v>1455</v>
      </c>
      <c r="E3615" s="150"/>
      <c r="F3615" s="153" t="n">
        <f aca="false">(SUMPRODUCT($E3616:$E3625,F3616:F3625))*1</f>
        <v>4.653876</v>
      </c>
      <c r="G3615" s="153" t="n">
        <f aca="false">(SUMPRODUCT($E3616:$E3625,G3616:G3625))*1</f>
        <v>0.6645984228</v>
      </c>
    </row>
    <row r="3616" customFormat="false" ht="21" hidden="false" customHeight="false" outlineLevel="0" collapsed="false">
      <c r="A3616" s="154" t="n">
        <v>37370</v>
      </c>
      <c r="B3616" s="155" t="s">
        <v>1443</v>
      </c>
      <c r="C3616" s="148" t="str">
        <f aca="false">VLOOKUP($A3616,INSUMOS_AUX!$A$3:$H$813,3,0)</f>
        <v>MAT.</v>
      </c>
      <c r="D3616" s="156" t="s">
        <v>1444</v>
      </c>
      <c r="E3616" s="154" t="n">
        <v>0.039</v>
      </c>
      <c r="F3616" s="149" t="n">
        <f aca="false">IF(C3616="MAT.",VLOOKUP(A3616,INSUMOS_AUX!$A$3:$H$813,6,0),0)</f>
        <v>3.32</v>
      </c>
      <c r="G3616" s="149" t="n">
        <f aca="false">IF(C3616="M.O.",VLOOKUP(A3616,INSUMOS_AUX!A:F,6,0),0)</f>
        <v>0</v>
      </c>
    </row>
    <row r="3617" customFormat="false" ht="21" hidden="false" customHeight="false" outlineLevel="0" collapsed="false">
      <c r="A3617" s="154" t="n">
        <v>43485</v>
      </c>
      <c r="B3617" s="155" t="s">
        <v>1481</v>
      </c>
      <c r="C3617" s="148" t="str">
        <f aca="false">VLOOKUP($A3617,INSUMOS_AUX!$A$3:$H$813,3,0)</f>
        <v>MAT.</v>
      </c>
      <c r="D3617" s="156" t="s">
        <v>1444</v>
      </c>
      <c r="E3617" s="154" t="n">
        <v>0.039</v>
      </c>
      <c r="F3617" s="149" t="n">
        <f aca="false">IF(C3617="MAT.",VLOOKUP(A3617,INSUMOS_AUX!$A$3:$H$813,6,0),0)</f>
        <v>1.13</v>
      </c>
      <c r="G3617" s="149" t="n">
        <f aca="false">IF(C3617="M.O.",VLOOKUP(A3617,INSUMOS_AUX!A:F,6,0),0)</f>
        <v>0</v>
      </c>
    </row>
    <row r="3618" customFormat="false" ht="21" hidden="false" customHeight="false" outlineLevel="0" collapsed="false">
      <c r="A3618" s="154" t="n">
        <v>37372</v>
      </c>
      <c r="B3618" s="155" t="s">
        <v>1446</v>
      </c>
      <c r="C3618" s="148" t="str">
        <f aca="false">VLOOKUP($A3618,INSUMOS_AUX!$A$3:$H$813,3,0)</f>
        <v>MAT.</v>
      </c>
      <c r="D3618" s="156" t="s">
        <v>1444</v>
      </c>
      <c r="E3618" s="154" t="n">
        <v>0.039</v>
      </c>
      <c r="F3618" s="149" t="n">
        <f aca="false">IF(C3618="MAT.",VLOOKUP(A3618,INSUMOS_AUX!$A$3:$H$813,6,0),0)</f>
        <v>1.43</v>
      </c>
      <c r="G3618" s="149" t="n">
        <f aca="false">IF(C3618="M.O.",VLOOKUP(A3618,INSUMOS_AUX!A:F,6,0),0)</f>
        <v>0</v>
      </c>
    </row>
    <row r="3619" customFormat="false" ht="21" hidden="false" customHeight="false" outlineLevel="0" collapsed="false">
      <c r="A3619" s="154" t="n">
        <v>43461</v>
      </c>
      <c r="B3619" s="155" t="s">
        <v>1482</v>
      </c>
      <c r="C3619" s="148" t="str">
        <f aca="false">VLOOKUP($A3619,INSUMOS_AUX!$A$3:$H$813,3,0)</f>
        <v>MAT.</v>
      </c>
      <c r="D3619" s="156" t="s">
        <v>1444</v>
      </c>
      <c r="E3619" s="154" t="n">
        <v>0.039</v>
      </c>
      <c r="F3619" s="149" t="n">
        <f aca="false">IF(C3619="MAT.",VLOOKUP(A3619,INSUMOS_AUX!$A$3:$H$813,6,0),0)</f>
        <v>0.31</v>
      </c>
      <c r="G3619" s="149" t="n">
        <f aca="false">IF(C3619="M.O.",VLOOKUP(A3619,INSUMOS_AUX!A:F,6,0),0)</f>
        <v>0</v>
      </c>
    </row>
    <row r="3620" customFormat="false" ht="21" hidden="false" customHeight="false" outlineLevel="0" collapsed="false">
      <c r="A3620" s="154" t="n">
        <v>37373</v>
      </c>
      <c r="B3620" s="155" t="s">
        <v>1448</v>
      </c>
      <c r="C3620" s="148" t="str">
        <f aca="false">VLOOKUP($A3620,INSUMOS_AUX!$A$3:$H$813,3,0)</f>
        <v>MAT.</v>
      </c>
      <c r="D3620" s="156" t="s">
        <v>1444</v>
      </c>
      <c r="E3620" s="154" t="n">
        <v>0.039</v>
      </c>
      <c r="F3620" s="149" t="n">
        <f aca="false">IF(C3620="MAT.",VLOOKUP(A3620,INSUMOS_AUX!$A$3:$H$813,6,0),0)</f>
        <v>0.08</v>
      </c>
      <c r="G3620" s="149" t="n">
        <f aca="false">IF(C3620="M.O.",VLOOKUP(A3620,INSUMOS_AUX!A:F,6,0),0)</f>
        <v>0</v>
      </c>
    </row>
    <row r="3621" customFormat="false" ht="21" hidden="false" customHeight="false" outlineLevel="0" collapsed="false">
      <c r="A3621" s="154" t="n">
        <v>37371</v>
      </c>
      <c r="B3621" s="155" t="s">
        <v>1449</v>
      </c>
      <c r="C3621" s="148" t="str">
        <f aca="false">VLOOKUP($A3621,INSUMOS_AUX!$A$3:$H$813,3,0)</f>
        <v>MAT.</v>
      </c>
      <c r="D3621" s="156" t="s">
        <v>1444</v>
      </c>
      <c r="E3621" s="154" t="n">
        <v>0.039</v>
      </c>
      <c r="F3621" s="149" t="n">
        <f aca="false">IF(C3621="MAT.",VLOOKUP(A3621,INSUMOS_AUX!$A$3:$H$813,6,0),0)</f>
        <v>0.59</v>
      </c>
      <c r="G3621" s="149" t="n">
        <f aca="false">IF(C3621="M.O.",VLOOKUP(A3621,INSUMOS_AUX!A:F,6,0),0)</f>
        <v>0</v>
      </c>
    </row>
    <row r="3622" customFormat="false" ht="15" hidden="false" customHeight="false" outlineLevel="0" collapsed="false">
      <c r="A3622" s="154" t="n">
        <v>38383</v>
      </c>
      <c r="B3622" s="155" t="s">
        <v>2093</v>
      </c>
      <c r="C3622" s="148" t="str">
        <f aca="false">VLOOKUP($A3622,INSUMOS_AUX!$A$3:$H$813,3,0)</f>
        <v>MAT.</v>
      </c>
      <c r="D3622" s="156" t="s">
        <v>31</v>
      </c>
      <c r="E3622" s="154" t="n">
        <v>0.0045</v>
      </c>
      <c r="F3622" s="149" t="n">
        <f aca="false">IF(C3622="MAT.",VLOOKUP(A3622,INSUMOS_AUX!$A$3:$H$813,6,0),0)</f>
        <v>2.39</v>
      </c>
      <c r="G3622" s="149" t="n">
        <f aca="false">IF(C3622="M.O.",VLOOKUP(A3622,INSUMOS_AUX!A:F,6,0),0)</f>
        <v>0</v>
      </c>
    </row>
    <row r="3623" customFormat="false" ht="15" hidden="false" customHeight="false" outlineLevel="0" collapsed="false">
      <c r="A3623" s="154" t="n">
        <v>9868</v>
      </c>
      <c r="B3623" s="155" t="s">
        <v>2108</v>
      </c>
      <c r="C3623" s="148" t="str">
        <f aca="false">VLOOKUP($A3623,INSUMOS_AUX!$A$3:$H$813,3,0)</f>
        <v>MAT.</v>
      </c>
      <c r="D3623" s="156" t="s">
        <v>1455</v>
      </c>
      <c r="E3623" s="154" t="n">
        <v>1.0493</v>
      </c>
      <c r="F3623" s="149" t="n">
        <f aca="false">IF(C3623="MAT.",VLOOKUP(A3623,INSUMOS_AUX!$A$3:$H$813,6,0),0)</f>
        <v>4.17</v>
      </c>
      <c r="G3623" s="149" t="n">
        <f aca="false">IF(C3623="M.O.",VLOOKUP(A3623,INSUMOS_AUX!A:F,6,0),0)</f>
        <v>0</v>
      </c>
    </row>
    <row r="3624" customFormat="false" ht="15" hidden="false" customHeight="false" outlineLevel="0" collapsed="false">
      <c r="A3624" s="154" t="n">
        <v>246</v>
      </c>
      <c r="B3624" s="155" t="s">
        <v>1752</v>
      </c>
      <c r="C3624" s="148" t="str">
        <f aca="false">VLOOKUP($A3624,INSUMOS_AUX!$A$3:$H$813,3,0)</f>
        <v>M.O.</v>
      </c>
      <c r="D3624" s="156" t="s">
        <v>1444</v>
      </c>
      <c r="E3624" s="154" t="n">
        <v>0.01985061</v>
      </c>
      <c r="F3624" s="149" t="n">
        <f aca="false">IF(C3624="MAT.",VLOOKUP(A3624,INSUMOS_AUX!$A$3:$H$813,6,0),0)</f>
        <v>0</v>
      </c>
      <c r="G3624" s="149" t="n">
        <f aca="false">IF(C3624="M.O.",VLOOKUP(A3624,INSUMOS_AUX!A:F,6,0),0)</f>
        <v>13.26</v>
      </c>
    </row>
    <row r="3625" customFormat="false" ht="15" hidden="false" customHeight="false" outlineLevel="0" collapsed="false">
      <c r="A3625" s="154" t="n">
        <v>2696</v>
      </c>
      <c r="B3625" s="155" t="s">
        <v>1483</v>
      </c>
      <c r="C3625" s="148" t="str">
        <f aca="false">VLOOKUP($A3625,INSUMOS_AUX!$A$3:$H$813,3,0)</f>
        <v>M.O.</v>
      </c>
      <c r="D3625" s="156" t="s">
        <v>1444</v>
      </c>
      <c r="E3625" s="154" t="n">
        <v>0.01985061</v>
      </c>
      <c r="F3625" s="149" t="n">
        <f aca="false">IF(C3625="MAT.",VLOOKUP(A3625,INSUMOS_AUX!$A$3:$H$813,6,0),0)</f>
        <v>0</v>
      </c>
      <c r="G3625" s="149" t="n">
        <f aca="false">IF(C3625="M.O.",VLOOKUP(A3625,INSUMOS_AUX!A:F,6,0),0)</f>
        <v>20.22</v>
      </c>
    </row>
    <row r="3626" customFormat="false" ht="21" hidden="false" customHeight="false" outlineLevel="0" collapsed="false">
      <c r="A3626" s="150" t="n">
        <v>89617</v>
      </c>
      <c r="B3626" s="151" t="s">
        <v>2109</v>
      </c>
      <c r="C3626" s="152" t="s">
        <v>59</v>
      </c>
      <c r="D3626" s="152" t="s">
        <v>31</v>
      </c>
      <c r="E3626" s="150"/>
      <c r="F3626" s="153" t="n">
        <f aca="false">(SUMPRODUCT($E3627:$E3638,F3627:F3638))*1</f>
        <v>3.797158</v>
      </c>
      <c r="G3626" s="153" t="n">
        <f aca="false">(SUMPRODUCT($E3627:$E3638,G3627:G3638))*1</f>
        <v>3.20711341464</v>
      </c>
    </row>
    <row r="3627" customFormat="false" ht="21" hidden="false" customHeight="false" outlineLevel="0" collapsed="false">
      <c r="A3627" s="154" t="n">
        <v>37370</v>
      </c>
      <c r="B3627" s="155" t="s">
        <v>1443</v>
      </c>
      <c r="C3627" s="148" t="str">
        <f aca="false">VLOOKUP($A3627,INSUMOS_AUX!$A$3:$H$813,3,0)</f>
        <v>MAT.</v>
      </c>
      <c r="D3627" s="156" t="s">
        <v>1444</v>
      </c>
      <c r="E3627" s="154" t="n">
        <v>0.1882</v>
      </c>
      <c r="F3627" s="149" t="n">
        <f aca="false">IF(C3627="MAT.",VLOOKUP(A3627,INSUMOS_AUX!$A$3:$H$813,6,0),0)</f>
        <v>3.32</v>
      </c>
      <c r="G3627" s="149" t="n">
        <f aca="false">IF(C3627="M.O.",VLOOKUP(A3627,INSUMOS_AUX!A:F,6,0),0)</f>
        <v>0</v>
      </c>
    </row>
    <row r="3628" customFormat="false" ht="21" hidden="false" customHeight="false" outlineLevel="0" collapsed="false">
      <c r="A3628" s="154" t="n">
        <v>43485</v>
      </c>
      <c r="B3628" s="155" t="s">
        <v>1481</v>
      </c>
      <c r="C3628" s="148" t="str">
        <f aca="false">VLOOKUP($A3628,INSUMOS_AUX!$A$3:$H$813,3,0)</f>
        <v>MAT.</v>
      </c>
      <c r="D3628" s="156" t="s">
        <v>1444</v>
      </c>
      <c r="E3628" s="154" t="n">
        <v>0.1882</v>
      </c>
      <c r="F3628" s="149" t="n">
        <f aca="false">IF(C3628="MAT.",VLOOKUP(A3628,INSUMOS_AUX!$A$3:$H$813,6,0),0)</f>
        <v>1.13</v>
      </c>
      <c r="G3628" s="149" t="n">
        <f aca="false">IF(C3628="M.O.",VLOOKUP(A3628,INSUMOS_AUX!A:F,6,0),0)</f>
        <v>0</v>
      </c>
    </row>
    <row r="3629" customFormat="false" ht="21" hidden="false" customHeight="false" outlineLevel="0" collapsed="false">
      <c r="A3629" s="154" t="n">
        <v>37372</v>
      </c>
      <c r="B3629" s="155" t="s">
        <v>1446</v>
      </c>
      <c r="C3629" s="148" t="s">
        <v>59</v>
      </c>
      <c r="D3629" s="156" t="s">
        <v>1444</v>
      </c>
      <c r="E3629" s="154" t="n">
        <v>0.1882</v>
      </c>
      <c r="F3629" s="149" t="n">
        <f aca="false">IF(C3629="MAT.",VLOOKUP(A3629,INSUMOS_AUX!$A$3:$H$813,6,0),0)</f>
        <v>0</v>
      </c>
      <c r="G3629" s="149" t="n">
        <f aca="false">IF(C3629="M.O.",VLOOKUP(A3629,INSUMOS_AUX!A:F,6,0),0)</f>
        <v>0</v>
      </c>
    </row>
    <row r="3630" customFormat="false" ht="21" hidden="false" customHeight="false" outlineLevel="0" collapsed="false">
      <c r="A3630" s="154" t="n">
        <v>43461</v>
      </c>
      <c r="B3630" s="155" t="s">
        <v>1482</v>
      </c>
      <c r="C3630" s="148" t="str">
        <f aca="false">VLOOKUP($A3630,INSUMOS_AUX!$A$3:$H$813,3,0)</f>
        <v>MAT.</v>
      </c>
      <c r="D3630" s="156" t="s">
        <v>1444</v>
      </c>
      <c r="E3630" s="154" t="n">
        <v>0.1882</v>
      </c>
      <c r="F3630" s="149" t="n">
        <f aca="false">IF(C3630="MAT.",VLOOKUP(A3630,INSUMOS_AUX!$A$3:$H$813,6,0),0)</f>
        <v>0.31</v>
      </c>
      <c r="G3630" s="149" t="n">
        <f aca="false">IF(C3630="M.O.",VLOOKUP(A3630,INSUMOS_AUX!A:F,6,0),0)</f>
        <v>0</v>
      </c>
    </row>
    <row r="3631" customFormat="false" ht="21" hidden="false" customHeight="false" outlineLevel="0" collapsed="false">
      <c r="A3631" s="154" t="n">
        <v>37373</v>
      </c>
      <c r="B3631" s="155" t="s">
        <v>1448</v>
      </c>
      <c r="C3631" s="148" t="str">
        <f aca="false">VLOOKUP($A3631,INSUMOS_AUX!$A$3:$H$813,3,0)</f>
        <v>MAT.</v>
      </c>
      <c r="D3631" s="156" t="s">
        <v>1444</v>
      </c>
      <c r="E3631" s="154" t="n">
        <v>0.1882</v>
      </c>
      <c r="F3631" s="149" t="n">
        <f aca="false">IF(C3631="MAT.",VLOOKUP(A3631,INSUMOS_AUX!$A$3:$H$813,6,0),0)</f>
        <v>0.08</v>
      </c>
      <c r="G3631" s="149" t="n">
        <f aca="false">IF(C3631="M.O.",VLOOKUP(A3631,INSUMOS_AUX!A:F,6,0),0)</f>
        <v>0</v>
      </c>
    </row>
    <row r="3632" customFormat="false" ht="21" hidden="false" customHeight="false" outlineLevel="0" collapsed="false">
      <c r="A3632" s="154" t="n">
        <v>37371</v>
      </c>
      <c r="B3632" s="155" t="s">
        <v>1449</v>
      </c>
      <c r="C3632" s="148" t="str">
        <f aca="false">VLOOKUP($A3632,INSUMOS_AUX!$A$3:$H$813,3,0)</f>
        <v>MAT.</v>
      </c>
      <c r="D3632" s="156" t="s">
        <v>1444</v>
      </c>
      <c r="E3632" s="154" t="n">
        <v>0.1882</v>
      </c>
      <c r="F3632" s="149" t="n">
        <f aca="false">IF(C3632="MAT.",VLOOKUP(A3632,INSUMOS_AUX!$A$3:$H$813,6,0),0)</f>
        <v>0.59</v>
      </c>
      <c r="G3632" s="149" t="n">
        <f aca="false">IF(C3632="M.O.",VLOOKUP(A3632,INSUMOS_AUX!A:F,6,0),0)</f>
        <v>0</v>
      </c>
    </row>
    <row r="3633" customFormat="false" ht="15" hidden="false" customHeight="false" outlineLevel="0" collapsed="false">
      <c r="A3633" s="154" t="n">
        <v>122</v>
      </c>
      <c r="B3633" s="155" t="s">
        <v>2097</v>
      </c>
      <c r="C3633" s="148" t="str">
        <f aca="false">VLOOKUP($A3633,INSUMOS_AUX!$A$3:$H$813,3,0)</f>
        <v>MAT.</v>
      </c>
      <c r="D3633" s="156" t="s">
        <v>31</v>
      </c>
      <c r="E3633" s="154" t="n">
        <v>0.0106</v>
      </c>
      <c r="F3633" s="149" t="n">
        <f aca="false">IF(C3633="MAT.",VLOOKUP(A3633,INSUMOS_AUX!$A$3:$H$813,6,0),0)</f>
        <v>63.09</v>
      </c>
      <c r="G3633" s="149" t="n">
        <f aca="false">IF(C3633="M.O.",VLOOKUP(A3633,INSUMOS_AUX!A:F,6,0),0)</f>
        <v>0</v>
      </c>
    </row>
    <row r="3634" customFormat="false" ht="15" hidden="false" customHeight="false" outlineLevel="0" collapsed="false">
      <c r="A3634" s="154" t="n">
        <v>38383</v>
      </c>
      <c r="B3634" s="155" t="s">
        <v>2093</v>
      </c>
      <c r="C3634" s="148" t="str">
        <f aca="false">VLOOKUP($A3634,INSUMOS_AUX!$A$3:$H$813,3,0)</f>
        <v>MAT.</v>
      </c>
      <c r="D3634" s="156" t="s">
        <v>31</v>
      </c>
      <c r="E3634" s="154" t="n">
        <v>0.0162</v>
      </c>
      <c r="F3634" s="149" t="n">
        <f aca="false">IF(C3634="MAT.",VLOOKUP(A3634,INSUMOS_AUX!$A$3:$H$813,6,0),0)</f>
        <v>2.39</v>
      </c>
      <c r="G3634" s="149" t="n">
        <f aca="false">IF(C3634="M.O.",VLOOKUP(A3634,INSUMOS_AUX!A:F,6,0),0)</f>
        <v>0</v>
      </c>
    </row>
    <row r="3635" customFormat="false" ht="21" hidden="false" customHeight="false" outlineLevel="0" collapsed="false">
      <c r="A3635" s="154" t="n">
        <v>20083</v>
      </c>
      <c r="B3635" s="155" t="s">
        <v>2095</v>
      </c>
      <c r="C3635" s="148" t="str">
        <f aca="false">VLOOKUP($A3635,INSUMOS_AUX!$A$3:$H$813,3,0)</f>
        <v>MAT.</v>
      </c>
      <c r="D3635" s="156" t="s">
        <v>31</v>
      </c>
      <c r="E3635" s="154" t="n">
        <v>0.012</v>
      </c>
      <c r="F3635" s="149" t="n">
        <f aca="false">IF(C3635="MAT.",VLOOKUP(A3635,INSUMOS_AUX!$A$3:$H$813,6,0),0)</f>
        <v>71.48</v>
      </c>
      <c r="G3635" s="149" t="n">
        <f aca="false">IF(C3635="M.O.",VLOOKUP(A3635,INSUMOS_AUX!A:F,6,0),0)</f>
        <v>0</v>
      </c>
    </row>
    <row r="3636" customFormat="false" ht="21" hidden="false" customHeight="false" outlineLevel="0" collapsed="false">
      <c r="A3636" s="154" t="n">
        <v>7139</v>
      </c>
      <c r="B3636" s="155" t="s">
        <v>2110</v>
      </c>
      <c r="C3636" s="148" t="str">
        <f aca="false">VLOOKUP($A3636,INSUMOS_AUX!$A$3:$H$813,3,0)</f>
        <v>MAT.</v>
      </c>
      <c r="D3636" s="156" t="s">
        <v>31</v>
      </c>
      <c r="E3636" s="154" t="n">
        <v>1</v>
      </c>
      <c r="F3636" s="149" t="n">
        <f aca="false">IF(C3636="MAT.",VLOOKUP(A3636,INSUMOS_AUX!$A$3:$H$813,6,0),0)</f>
        <v>1.21</v>
      </c>
      <c r="G3636" s="149" t="n">
        <f aca="false">IF(C3636="M.O.",VLOOKUP(A3636,INSUMOS_AUX!A:F,6,0),0)</f>
        <v>0</v>
      </c>
    </row>
    <row r="3637" customFormat="false" ht="15" hidden="false" customHeight="false" outlineLevel="0" collapsed="false">
      <c r="A3637" s="154" t="n">
        <v>246</v>
      </c>
      <c r="B3637" s="155" t="s">
        <v>1752</v>
      </c>
      <c r="C3637" s="148" t="str">
        <f aca="false">VLOOKUP($A3637,INSUMOS_AUX!$A$3:$H$813,3,0)</f>
        <v>M.O.</v>
      </c>
      <c r="D3637" s="156" t="s">
        <v>1444</v>
      </c>
      <c r="E3637" s="154" t="n">
        <v>0.095791918</v>
      </c>
      <c r="F3637" s="149" t="n">
        <f aca="false">IF(C3637="MAT.",VLOOKUP(A3637,INSUMOS_AUX!$A$3:$H$813,6,0),0)</f>
        <v>0</v>
      </c>
      <c r="G3637" s="149" t="n">
        <f aca="false">IF(C3637="M.O.",VLOOKUP(A3637,INSUMOS_AUX!A:F,6,0),0)</f>
        <v>13.26</v>
      </c>
    </row>
    <row r="3638" customFormat="false" ht="15" hidden="false" customHeight="false" outlineLevel="0" collapsed="false">
      <c r="A3638" s="154" t="n">
        <v>2696</v>
      </c>
      <c r="B3638" s="155" t="s">
        <v>1483</v>
      </c>
      <c r="C3638" s="148" t="str">
        <f aca="false">VLOOKUP($A3638,INSUMOS_AUX!$A$3:$H$813,3,0)</f>
        <v>M.O.</v>
      </c>
      <c r="D3638" s="156" t="s">
        <v>1444</v>
      </c>
      <c r="E3638" s="154" t="n">
        <v>0.095791918</v>
      </c>
      <c r="F3638" s="149" t="n">
        <f aca="false">IF(C3638="MAT.",VLOOKUP(A3638,INSUMOS_AUX!$A$3:$H$813,6,0),0)</f>
        <v>0</v>
      </c>
      <c r="G3638" s="149" t="n">
        <f aca="false">IF(C3638="M.O.",VLOOKUP(A3638,INSUMOS_AUX!A:F,6,0),0)</f>
        <v>20.22</v>
      </c>
    </row>
    <row r="3639" customFormat="false" ht="21" hidden="false" customHeight="false" outlineLevel="0" collapsed="false">
      <c r="A3639" s="150" t="s">
        <v>690</v>
      </c>
      <c r="B3639" s="151" t="s">
        <v>2111</v>
      </c>
      <c r="C3639" s="152" t="s">
        <v>59</v>
      </c>
      <c r="D3639" s="152" t="s">
        <v>31</v>
      </c>
      <c r="E3639" s="150"/>
      <c r="F3639" s="153" t="n">
        <f aca="false">(SUMPRODUCT($E3640:$E3683,F3640:F3683))*1</f>
        <v>864.943609227013</v>
      </c>
      <c r="G3639" s="153" t="n">
        <f aca="false">(SUMPRODUCT($E3640:$E3683,G3640:G3683))*1</f>
        <v>110.513880480403</v>
      </c>
    </row>
    <row r="3640" customFormat="false" ht="21" hidden="false" customHeight="false" outlineLevel="0" collapsed="false">
      <c r="A3640" s="154" t="n">
        <v>37370</v>
      </c>
      <c r="B3640" s="155" t="s">
        <v>1443</v>
      </c>
      <c r="C3640" s="148" t="str">
        <f aca="false">VLOOKUP($A3640,INSUMOS_AUX!$A$3:$H$813,3,0)</f>
        <v>MAT.</v>
      </c>
      <c r="D3640" s="156" t="s">
        <v>1444</v>
      </c>
      <c r="E3640" s="154" t="n">
        <v>8.361767505856</v>
      </c>
      <c r="F3640" s="149" t="n">
        <f aca="false">IF(C3640="MAT.",VLOOKUP(A3640,INSUMOS_AUX!$A$3:$H$813,6,0),0)</f>
        <v>3.32</v>
      </c>
      <c r="G3640" s="149" t="n">
        <f aca="false">IF(C3640="M.O.",VLOOKUP(A3640,INSUMOS_AUX!A:F,6,0),0)</f>
        <v>0</v>
      </c>
    </row>
    <row r="3641" customFormat="false" ht="21" hidden="false" customHeight="false" outlineLevel="0" collapsed="false">
      <c r="A3641" s="154" t="n">
        <v>43483</v>
      </c>
      <c r="B3641" s="155" t="s">
        <v>1486</v>
      </c>
      <c r="C3641" s="148" t="str">
        <f aca="false">VLOOKUP($A3641,INSUMOS_AUX!$A$3:$H$813,3,0)</f>
        <v>MAT.</v>
      </c>
      <c r="D3641" s="156" t="s">
        <v>1444</v>
      </c>
      <c r="E3641" s="154" t="n">
        <v>0.42017472</v>
      </c>
      <c r="F3641" s="149" t="n">
        <f aca="false">IF(C3641="MAT.",VLOOKUP(A3641,INSUMOS_AUX!$A$3:$H$813,6,0),0)</f>
        <v>1.43</v>
      </c>
      <c r="G3641" s="149" t="n">
        <f aca="false">IF(C3641="M.O.",VLOOKUP(A3641,INSUMOS_AUX!A:F,6,0),0)</f>
        <v>0</v>
      </c>
    </row>
    <row r="3642" customFormat="false" ht="21" hidden="false" customHeight="false" outlineLevel="0" collapsed="false">
      <c r="A3642" s="154" t="n">
        <v>43488</v>
      </c>
      <c r="B3642" s="155" t="s">
        <v>1445</v>
      </c>
      <c r="C3642" s="148" t="str">
        <f aca="false">VLOOKUP($A3642,INSUMOS_AUX!$A$3:$H$813,3,0)</f>
        <v>MAT.</v>
      </c>
      <c r="D3642" s="156" t="s">
        <v>1444</v>
      </c>
      <c r="E3642" s="154" t="n">
        <v>0.44425992</v>
      </c>
      <c r="F3642" s="149" t="n">
        <f aca="false">IF(C3642="MAT.",VLOOKUP(A3642,INSUMOS_AUX!$A$3:$H$813,6,0),0)</f>
        <v>0.89</v>
      </c>
      <c r="G3642" s="149" t="n">
        <f aca="false">IF(C3642="M.O.",VLOOKUP(A3642,INSUMOS_AUX!A:F,6,0),0)</f>
        <v>0</v>
      </c>
    </row>
    <row r="3643" customFormat="false" ht="21" hidden="false" customHeight="false" outlineLevel="0" collapsed="false">
      <c r="A3643" s="154" t="n">
        <v>43489</v>
      </c>
      <c r="B3643" s="155" t="s">
        <v>1456</v>
      </c>
      <c r="C3643" s="148" t="str">
        <f aca="false">VLOOKUP($A3643,INSUMOS_AUX!$A$3:$H$813,3,0)</f>
        <v>MAT.</v>
      </c>
      <c r="D3643" s="156" t="s">
        <v>1444</v>
      </c>
      <c r="E3643" s="154" t="n">
        <v>4.45824853</v>
      </c>
      <c r="F3643" s="149" t="n">
        <f aca="false">IF(C3643="MAT.",VLOOKUP(A3643,INSUMOS_AUX!$A$3:$H$813,6,0),0)</f>
        <v>1.31</v>
      </c>
      <c r="G3643" s="149" t="n">
        <f aca="false">IF(C3643="M.O.",VLOOKUP(A3643,INSUMOS_AUX!A:F,6,0),0)</f>
        <v>0</v>
      </c>
    </row>
    <row r="3644" customFormat="false" ht="21" hidden="false" customHeight="false" outlineLevel="0" collapsed="false">
      <c r="A3644" s="154" t="n">
        <v>43491</v>
      </c>
      <c r="B3644" s="155" t="s">
        <v>1457</v>
      </c>
      <c r="C3644" s="148" t="str">
        <f aca="false">VLOOKUP($A3644,INSUMOS_AUX!$A$3:$H$813,3,0)</f>
        <v>MAT.</v>
      </c>
      <c r="D3644" s="156" t="s">
        <v>1444</v>
      </c>
      <c r="E3644" s="154" t="n">
        <v>3.03908432</v>
      </c>
      <c r="F3644" s="149" t="n">
        <f aca="false">IF(C3644="MAT.",VLOOKUP(A3644,INSUMOS_AUX!$A$3:$H$813,6,0),0)</f>
        <v>1.39</v>
      </c>
      <c r="G3644" s="149" t="n">
        <f aca="false">IF(C3644="M.O.",VLOOKUP(A3644,INSUMOS_AUX!A:F,6,0),0)</f>
        <v>0</v>
      </c>
    </row>
    <row r="3645" customFormat="false" ht="21" hidden="false" customHeight="false" outlineLevel="0" collapsed="false">
      <c r="A3645" s="154" t="n">
        <v>37372</v>
      </c>
      <c r="B3645" s="155" t="s">
        <v>1446</v>
      </c>
      <c r="C3645" s="148" t="str">
        <f aca="false">VLOOKUP($A3645,INSUMOS_AUX!$A$3:$H$813,3,0)</f>
        <v>MAT.</v>
      </c>
      <c r="D3645" s="156" t="s">
        <v>1444</v>
      </c>
      <c r="E3645" s="154" t="n">
        <v>8.361767505856</v>
      </c>
      <c r="F3645" s="149" t="n">
        <f aca="false">IF(C3645="MAT.",VLOOKUP(A3645,INSUMOS_AUX!$A$3:$H$813,6,0),0)</f>
        <v>1.43</v>
      </c>
      <c r="G3645" s="149" t="n">
        <f aca="false">IF(C3645="M.O.",VLOOKUP(A3645,INSUMOS_AUX!A:F,6,0),0)</f>
        <v>0</v>
      </c>
    </row>
    <row r="3646" customFormat="false" ht="21" hidden="false" customHeight="false" outlineLevel="0" collapsed="false">
      <c r="A3646" s="154" t="n">
        <v>43459</v>
      </c>
      <c r="B3646" s="155" t="s">
        <v>1487</v>
      </c>
      <c r="C3646" s="148" t="str">
        <f aca="false">VLOOKUP($A3646,INSUMOS_AUX!$A$3:$H$813,3,0)</f>
        <v>MAT.</v>
      </c>
      <c r="D3646" s="156" t="s">
        <v>1444</v>
      </c>
      <c r="E3646" s="154" t="n">
        <v>0.42017472</v>
      </c>
      <c r="F3646" s="149" t="n">
        <f aca="false">IF(C3646="MAT.",VLOOKUP(A3646,INSUMOS_AUX!$A$3:$H$813,6,0),0)</f>
        <v>0.44</v>
      </c>
      <c r="G3646" s="149" t="n">
        <f aca="false">IF(C3646="M.O.",VLOOKUP(A3646,INSUMOS_AUX!A:F,6,0),0)</f>
        <v>0</v>
      </c>
    </row>
    <row r="3647" customFormat="false" ht="21" hidden="false" customHeight="false" outlineLevel="0" collapsed="false">
      <c r="A3647" s="154" t="n">
        <v>43464</v>
      </c>
      <c r="B3647" s="155" t="s">
        <v>1447</v>
      </c>
      <c r="C3647" s="148" t="str">
        <f aca="false">VLOOKUP($A3647,INSUMOS_AUX!$A$3:$H$813,3,0)</f>
        <v>MAT.</v>
      </c>
      <c r="D3647" s="156" t="s">
        <v>1444</v>
      </c>
      <c r="E3647" s="154" t="n">
        <v>0.44425992</v>
      </c>
      <c r="F3647" s="149" t="n">
        <f aca="false">IF(C3647="MAT.",VLOOKUP(A3647,INSUMOS_AUX!$A$3:$H$813,6,0),0)</f>
        <v>0.01</v>
      </c>
      <c r="G3647" s="149" t="n">
        <f aca="false">IF(C3647="M.O.",VLOOKUP(A3647,INSUMOS_AUX!A:F,6,0),0)</f>
        <v>0</v>
      </c>
    </row>
    <row r="3648" customFormat="false" ht="21" hidden="false" customHeight="false" outlineLevel="0" collapsed="false">
      <c r="A3648" s="154" t="n">
        <v>43465</v>
      </c>
      <c r="B3648" s="155" t="s">
        <v>1458</v>
      </c>
      <c r="C3648" s="148" t="str">
        <f aca="false">VLOOKUP($A3648,INSUMOS_AUX!$A$3:$H$813,3,0)</f>
        <v>MAT.</v>
      </c>
      <c r="D3648" s="156" t="s">
        <v>1444</v>
      </c>
      <c r="E3648" s="154" t="n">
        <v>4.45824853</v>
      </c>
      <c r="F3648" s="149" t="n">
        <f aca="false">IF(C3648="MAT.",VLOOKUP(A3648,INSUMOS_AUX!$A$3:$H$813,6,0),0)</f>
        <v>0.78</v>
      </c>
      <c r="G3648" s="149" t="n">
        <f aca="false">IF(C3648="M.O.",VLOOKUP(A3648,INSUMOS_AUX!A:F,6,0),0)</f>
        <v>0</v>
      </c>
    </row>
    <row r="3649" customFormat="false" ht="21" hidden="false" customHeight="false" outlineLevel="0" collapsed="false">
      <c r="A3649" s="154" t="n">
        <v>43467</v>
      </c>
      <c r="B3649" s="155" t="s">
        <v>1459</v>
      </c>
      <c r="C3649" s="148" t="str">
        <f aca="false">VLOOKUP($A3649,INSUMOS_AUX!$A$3:$H$813,3,0)</f>
        <v>MAT.</v>
      </c>
      <c r="D3649" s="156" t="s">
        <v>1444</v>
      </c>
      <c r="E3649" s="154" t="n">
        <v>3.03908432</v>
      </c>
      <c r="F3649" s="149" t="n">
        <f aca="false">IF(C3649="MAT.",VLOOKUP(A3649,INSUMOS_AUX!$A$3:$H$813,6,0),0)</f>
        <v>0.61</v>
      </c>
      <c r="G3649" s="149" t="n">
        <f aca="false">IF(C3649="M.O.",VLOOKUP(A3649,INSUMOS_AUX!A:F,6,0),0)</f>
        <v>0</v>
      </c>
    </row>
    <row r="3650" customFormat="false" ht="21" hidden="false" customHeight="false" outlineLevel="0" collapsed="false">
      <c r="A3650" s="154" t="n">
        <v>37373</v>
      </c>
      <c r="B3650" s="155" t="s">
        <v>1448</v>
      </c>
      <c r="C3650" s="148" t="str">
        <f aca="false">VLOOKUP($A3650,INSUMOS_AUX!$A$3:$H$813,3,0)</f>
        <v>MAT.</v>
      </c>
      <c r="D3650" s="156" t="s">
        <v>1444</v>
      </c>
      <c r="E3650" s="154" t="n">
        <v>8.361767505856</v>
      </c>
      <c r="F3650" s="149" t="n">
        <f aca="false">IF(C3650="MAT.",VLOOKUP(A3650,INSUMOS_AUX!$A$3:$H$813,6,0),0)</f>
        <v>0.08</v>
      </c>
      <c r="G3650" s="149" t="n">
        <f aca="false">IF(C3650="M.O.",VLOOKUP(A3650,INSUMOS_AUX!A:F,6,0),0)</f>
        <v>0</v>
      </c>
    </row>
    <row r="3651" customFormat="false" ht="21" hidden="false" customHeight="false" outlineLevel="0" collapsed="false">
      <c r="A3651" s="154" t="n">
        <v>37371</v>
      </c>
      <c r="B3651" s="155" t="s">
        <v>1449</v>
      </c>
      <c r="C3651" s="148" t="s">
        <v>59</v>
      </c>
      <c r="D3651" s="156" t="s">
        <v>1444</v>
      </c>
      <c r="E3651" s="154" t="n">
        <v>8.361767505856</v>
      </c>
      <c r="F3651" s="149" t="n">
        <f aca="false">IF(C3651="MAT.",VLOOKUP(A3651,INSUMOS_AUX!$A$3:$H$813,6,0),0)</f>
        <v>0</v>
      </c>
      <c r="G3651" s="149" t="n">
        <f aca="false">IF(C3651="M.O.",VLOOKUP(A3651,INSUMOS_AUX!A:F,6,0),0)</f>
        <v>0</v>
      </c>
    </row>
    <row r="3652" customFormat="false" ht="31.5" hidden="false" customHeight="false" outlineLevel="0" collapsed="false">
      <c r="A3652" s="154" t="n">
        <v>36397</v>
      </c>
      <c r="B3652" s="155" t="s">
        <v>1888</v>
      </c>
      <c r="C3652" s="148" t="str">
        <f aca="false">VLOOKUP($A3652,INSUMOS_AUX!$A$3:$H$813,3,0)</f>
        <v>MAT.</v>
      </c>
      <c r="D3652" s="156" t="s">
        <v>31</v>
      </c>
      <c r="E3652" s="154" t="n">
        <v>1.626617664E-005</v>
      </c>
      <c r="F3652" s="149" t="n">
        <f aca="false">IF(C3652="MAT.",VLOOKUP(A3652,INSUMOS_AUX!$A$3:$H$813,6,0),0)</f>
        <v>19114.57</v>
      </c>
      <c r="G3652" s="149" t="n">
        <f aca="false">IF(C3652="M.O.",VLOOKUP(A3652,INSUMOS_AUX!A:F,6,0),0)</f>
        <v>0</v>
      </c>
    </row>
    <row r="3653" customFormat="false" ht="21" hidden="false" customHeight="false" outlineLevel="0" collapsed="false">
      <c r="A3653" s="154" t="n">
        <v>13458</v>
      </c>
      <c r="B3653" s="155" t="s">
        <v>1723</v>
      </c>
      <c r="C3653" s="148" t="str">
        <f aca="false">VLOOKUP($A3653,INSUMOS_AUX!$A$3:$H$813,3,0)</f>
        <v>MAT.</v>
      </c>
      <c r="D3653" s="156" t="s">
        <v>31</v>
      </c>
      <c r="E3653" s="154" t="n">
        <v>8.5576645E-007</v>
      </c>
      <c r="F3653" s="149" t="n">
        <f aca="false">IF(C3653="MAT.",VLOOKUP(A3653,INSUMOS_AUX!$A$3:$H$813,6,0),0)</f>
        <v>15839.74</v>
      </c>
      <c r="G3653" s="149" t="n">
        <f aca="false">IF(C3653="M.O.",VLOOKUP(A3653,INSUMOS_AUX!A:F,6,0),0)</f>
        <v>0</v>
      </c>
    </row>
    <row r="3654" customFormat="false" ht="52.5" hidden="false" customHeight="false" outlineLevel="0" collapsed="false">
      <c r="A3654" s="154" t="n">
        <v>36531</v>
      </c>
      <c r="B3654" s="155" t="s">
        <v>1493</v>
      </c>
      <c r="C3654" s="148" t="str">
        <f aca="false">VLOOKUP($A3654,INSUMOS_AUX!$A$3:$H$813,3,0)</f>
        <v>MAT.</v>
      </c>
      <c r="D3654" s="156" t="s">
        <v>31</v>
      </c>
      <c r="E3654" s="154" t="n">
        <v>2.103936E-005</v>
      </c>
      <c r="F3654" s="149" t="n">
        <f aca="false">IF(C3654="MAT.",VLOOKUP(A3654,INSUMOS_AUX!$A$3:$H$813,6,0),0)</f>
        <v>466463.38</v>
      </c>
      <c r="G3654" s="149" t="n">
        <f aca="false">IF(C3654="M.O.",VLOOKUP(A3654,INSUMOS_AUX!A:F,6,0),0)</f>
        <v>0</v>
      </c>
    </row>
    <row r="3655" customFormat="false" ht="21" hidden="false" customHeight="false" outlineLevel="0" collapsed="false">
      <c r="A3655" s="154" t="n">
        <v>14618</v>
      </c>
      <c r="B3655" s="155" t="s">
        <v>1592</v>
      </c>
      <c r="C3655" s="148" t="str">
        <f aca="false">VLOOKUP($A3655,INSUMOS_AUX!$A$3:$H$813,3,0)</f>
        <v>MAT.</v>
      </c>
      <c r="D3655" s="156" t="s">
        <v>31</v>
      </c>
      <c r="E3655" s="154" t="n">
        <v>7.568407616E-006</v>
      </c>
      <c r="F3655" s="149" t="n">
        <f aca="false">IF(C3655="MAT.",VLOOKUP(A3655,INSUMOS_AUX!$A$3:$H$813,6,0),0)</f>
        <v>1283.38</v>
      </c>
      <c r="G3655" s="149" t="n">
        <f aca="false">IF(C3655="M.O.",VLOOKUP(A3655,INSUMOS_AUX!A:F,6,0),0)</f>
        <v>0</v>
      </c>
    </row>
    <row r="3656" customFormat="false" ht="21" hidden="false" customHeight="false" outlineLevel="0" collapsed="false">
      <c r="A3656" s="154" t="n">
        <v>13896</v>
      </c>
      <c r="B3656" s="155" t="s">
        <v>1564</v>
      </c>
      <c r="C3656" s="148" t="str">
        <f aca="false">VLOOKUP($A3656,INSUMOS_AUX!$A$3:$H$813,3,0)</f>
        <v>MAT.</v>
      </c>
      <c r="D3656" s="156" t="s">
        <v>31</v>
      </c>
      <c r="E3656" s="154" t="n">
        <v>0.000306656457856</v>
      </c>
      <c r="F3656" s="149" t="n">
        <f aca="false">IF(C3656="MAT.",VLOOKUP(A3656,INSUMOS_AUX!$A$3:$H$813,6,0),0)</f>
        <v>3390.99</v>
      </c>
      <c r="G3656" s="149" t="n">
        <f aca="false">IF(C3656="M.O.",VLOOKUP(A3656,INSUMOS_AUX!A:F,6,0),0)</f>
        <v>0</v>
      </c>
    </row>
    <row r="3657" customFormat="false" ht="15" hidden="false" customHeight="false" outlineLevel="0" collapsed="false">
      <c r="A3657" s="154" t="n">
        <v>2705</v>
      </c>
      <c r="B3657" s="155" t="s">
        <v>1467</v>
      </c>
      <c r="C3657" s="148" t="str">
        <f aca="false">VLOOKUP($A3657,INSUMOS_AUX!$A$3:$H$813,3,0)</f>
        <v>MAT.</v>
      </c>
      <c r="D3657" s="156" t="s">
        <v>1468</v>
      </c>
      <c r="E3657" s="154" t="n">
        <v>0.454795152</v>
      </c>
      <c r="F3657" s="149" t="n">
        <f aca="false">IF(C3657="MAT.",VLOOKUP(A3657,INSUMOS_AUX!$A$3:$H$813,6,0),0)</f>
        <v>0.92</v>
      </c>
      <c r="G3657" s="149" t="n">
        <f aca="false">IF(C3657="M.O.",VLOOKUP(A3657,INSUMOS_AUX!A:F,6,0),0)</f>
        <v>0</v>
      </c>
    </row>
    <row r="3658" customFormat="false" ht="15" hidden="false" customHeight="false" outlineLevel="0" collapsed="false">
      <c r="A3658" s="154" t="n">
        <v>43059</v>
      </c>
      <c r="B3658" s="155" t="s">
        <v>1630</v>
      </c>
      <c r="C3658" s="148" t="str">
        <f aca="false">VLOOKUP($A3658,INSUMOS_AUX!$A$3:$H$813,3,0)</f>
        <v>MAT.</v>
      </c>
      <c r="D3658" s="156" t="s">
        <v>1513</v>
      </c>
      <c r="E3658" s="154" t="n">
        <v>2.9476283816</v>
      </c>
      <c r="F3658" s="149" t="n">
        <f aca="false">IF(C3658="MAT.",VLOOKUP(A3658,INSUMOS_AUX!$A$3:$H$813,6,0),0)</f>
        <v>7.26</v>
      </c>
      <c r="G3658" s="149" t="n">
        <f aca="false">IF(C3658="M.O.",VLOOKUP(A3658,INSUMOS_AUX!A:F,6,0),0)</f>
        <v>0</v>
      </c>
    </row>
    <row r="3659" customFormat="false" ht="21" hidden="false" customHeight="false" outlineLevel="0" collapsed="false">
      <c r="A3659" s="154" t="n">
        <v>43132</v>
      </c>
      <c r="B3659" s="155" t="s">
        <v>1565</v>
      </c>
      <c r="C3659" s="148" t="str">
        <f aca="false">VLOOKUP($A3659,INSUMOS_AUX!$A$3:$H$813,3,0)</f>
        <v>MAT.</v>
      </c>
      <c r="D3659" s="156" t="s">
        <v>1513</v>
      </c>
      <c r="E3659" s="154" t="n">
        <v>0.068869822</v>
      </c>
      <c r="F3659" s="149" t="n">
        <f aca="false">IF(C3659="MAT.",VLOOKUP(A3659,INSUMOS_AUX!$A$3:$H$813,6,0),0)</f>
        <v>28</v>
      </c>
      <c r="G3659" s="149" t="n">
        <f aca="false">IF(C3659="M.O.",VLOOKUP(A3659,INSUMOS_AUX!A:F,6,0),0)</f>
        <v>0</v>
      </c>
    </row>
    <row r="3660" customFormat="false" ht="21" hidden="false" customHeight="false" outlineLevel="0" collapsed="false">
      <c r="A3660" s="154" t="n">
        <v>370</v>
      </c>
      <c r="B3660" s="155" t="s">
        <v>1527</v>
      </c>
      <c r="C3660" s="148" t="str">
        <f aca="false">VLOOKUP($A3660,INSUMOS_AUX!$A$3:$H$813,3,0)</f>
        <v>MAT.</v>
      </c>
      <c r="D3660" s="156" t="s">
        <v>1442</v>
      </c>
      <c r="E3660" s="154" t="n">
        <v>0.147877456</v>
      </c>
      <c r="F3660" s="149" t="n">
        <f aca="false">IF(C3660="MAT.",VLOOKUP(A3660,INSUMOS_AUX!$A$3:$H$813,6,0),0)</f>
        <v>150</v>
      </c>
      <c r="G3660" s="149" t="n">
        <f aca="false">IF(C3660="M.O.",VLOOKUP(A3660,INSUMOS_AUX!A:F,6,0),0)</f>
        <v>0</v>
      </c>
    </row>
    <row r="3661" customFormat="false" ht="21" hidden="false" customHeight="false" outlineLevel="0" collapsed="false">
      <c r="A3661" s="154" t="n">
        <v>135</v>
      </c>
      <c r="B3661" s="155" t="s">
        <v>1763</v>
      </c>
      <c r="C3661" s="148" t="str">
        <f aca="false">VLOOKUP($A3661,INSUMOS_AUX!$A$3:$H$813,3,0)</f>
        <v>MAT.</v>
      </c>
      <c r="D3661" s="156" t="s">
        <v>1513</v>
      </c>
      <c r="E3661" s="154" t="n">
        <v>7.511455</v>
      </c>
      <c r="F3661" s="149" t="n">
        <f aca="false">IF(C3661="MAT.",VLOOKUP(A3661,INSUMOS_AUX!$A$3:$H$813,6,0),0)</f>
        <v>3.11</v>
      </c>
      <c r="G3661" s="149" t="n">
        <f aca="false">IF(C3661="M.O.",VLOOKUP(A3661,INSUMOS_AUX!A:F,6,0),0)</f>
        <v>0</v>
      </c>
    </row>
    <row r="3662" customFormat="false" ht="31.5" hidden="false" customHeight="false" outlineLevel="0" collapsed="false">
      <c r="A3662" s="154" t="n">
        <v>1358</v>
      </c>
      <c r="B3662" s="155" t="s">
        <v>1641</v>
      </c>
      <c r="C3662" s="148" t="str">
        <f aca="false">VLOOKUP($A3662,INSUMOS_AUX!$A$3:$H$813,3,0)</f>
        <v>MAT.</v>
      </c>
      <c r="D3662" s="156" t="s">
        <v>1477</v>
      </c>
      <c r="E3662" s="154" t="n">
        <v>0.12482624</v>
      </c>
      <c r="F3662" s="149" t="n">
        <f aca="false">IF(C3662="MAT.",VLOOKUP(A3662,INSUMOS_AUX!$A$3:$H$813,6,0),0)</f>
        <v>57.71</v>
      </c>
      <c r="G3662" s="149" t="n">
        <f aca="false">IF(C3662="M.O.",VLOOKUP(A3662,INSUMOS_AUX!A:F,6,0),0)</f>
        <v>0</v>
      </c>
    </row>
    <row r="3663" customFormat="false" ht="15" hidden="false" customHeight="false" outlineLevel="0" collapsed="false">
      <c r="A3663" s="154" t="n">
        <v>1379</v>
      </c>
      <c r="B3663" s="155" t="s">
        <v>1535</v>
      </c>
      <c r="C3663" s="148" t="str">
        <f aca="false">VLOOKUP($A3663,INSUMOS_AUX!$A$3:$H$813,3,0)</f>
        <v>MAT.</v>
      </c>
      <c r="D3663" s="156" t="s">
        <v>1513</v>
      </c>
      <c r="E3663" s="154" t="n">
        <v>44.686838112</v>
      </c>
      <c r="F3663" s="149" t="n">
        <f aca="false">IF(C3663="MAT.",VLOOKUP(A3663,INSUMOS_AUX!$A$3:$H$813,6,0),0)</f>
        <v>0.72</v>
      </c>
      <c r="G3663" s="149" t="n">
        <f aca="false">IF(C3663="M.O.",VLOOKUP(A3663,INSUMOS_AUX!A:F,6,0),0)</f>
        <v>0</v>
      </c>
    </row>
    <row r="3664" customFormat="false" ht="21" hidden="false" customHeight="false" outlineLevel="0" collapsed="false">
      <c r="A3664" s="154" t="n">
        <v>2692</v>
      </c>
      <c r="B3664" s="155" t="s">
        <v>1570</v>
      </c>
      <c r="C3664" s="148" t="str">
        <f aca="false">VLOOKUP($A3664,INSUMOS_AUX!$A$3:$H$813,3,0)</f>
        <v>MAT.</v>
      </c>
      <c r="D3664" s="156" t="s">
        <v>1452</v>
      </c>
      <c r="E3664" s="154" t="n">
        <v>0.00539784</v>
      </c>
      <c r="F3664" s="149" t="n">
        <f aca="false">IF(C3664="MAT.",VLOOKUP(A3664,INSUMOS_AUX!$A$3:$H$813,6,0),0)</f>
        <v>6.52</v>
      </c>
      <c r="G3664" s="149" t="n">
        <f aca="false">IF(C3664="M.O.",VLOOKUP(A3664,INSUMOS_AUX!A:F,6,0),0)</f>
        <v>0</v>
      </c>
    </row>
    <row r="3665" customFormat="false" ht="21" hidden="false" customHeight="false" outlineLevel="0" collapsed="false">
      <c r="A3665" s="154" t="n">
        <v>39017</v>
      </c>
      <c r="B3665" s="155" t="s">
        <v>1621</v>
      </c>
      <c r="C3665" s="148" t="str">
        <f aca="false">VLOOKUP($A3665,INSUMOS_AUX!$A$3:$H$813,3,0)</f>
        <v>MAT.</v>
      </c>
      <c r="D3665" s="156" t="s">
        <v>31</v>
      </c>
      <c r="E3665" s="154" t="n">
        <v>7.75749675008</v>
      </c>
      <c r="F3665" s="149" t="n">
        <f aca="false">IF(C3665="MAT.",VLOOKUP(A3665,INSUMOS_AUX!$A$3:$H$813,6,0),0)</f>
        <v>0.22</v>
      </c>
      <c r="G3665" s="149" t="n">
        <f aca="false">IF(C3665="M.O.",VLOOKUP(A3665,INSUMOS_AUX!A:F,6,0),0)</f>
        <v>0</v>
      </c>
    </row>
    <row r="3666" customFormat="false" ht="15" hidden="false" customHeight="false" outlineLevel="0" collapsed="false">
      <c r="A3666" s="154" t="n">
        <v>4222</v>
      </c>
      <c r="B3666" s="155" t="s">
        <v>1572</v>
      </c>
      <c r="C3666" s="148" t="str">
        <f aca="false">VLOOKUP($A3666,INSUMOS_AUX!$A$3:$H$813,3,0)</f>
        <v>MAT.</v>
      </c>
      <c r="D3666" s="156" t="s">
        <v>1452</v>
      </c>
      <c r="E3666" s="154" t="n">
        <v>0.004474217</v>
      </c>
      <c r="F3666" s="149" t="n">
        <f aca="false">IF(C3666="MAT.",VLOOKUP(A3666,INSUMOS_AUX!$A$3:$H$813,6,0),0)</f>
        <v>6.4</v>
      </c>
      <c r="G3666" s="149" t="n">
        <f aca="false">IF(C3666="M.O.",VLOOKUP(A3666,INSUMOS_AUX!A:F,6,0),0)</f>
        <v>0</v>
      </c>
    </row>
    <row r="3667" customFormat="false" ht="15" hidden="false" customHeight="false" outlineLevel="0" collapsed="false">
      <c r="A3667" s="154" t="n">
        <v>4221</v>
      </c>
      <c r="B3667" s="155" t="s">
        <v>1451</v>
      </c>
      <c r="C3667" s="148" t="str">
        <f aca="false">VLOOKUP($A3667,INSUMOS_AUX!$A$3:$H$813,3,0)</f>
        <v>MAT.</v>
      </c>
      <c r="D3667" s="156" t="s">
        <v>1452</v>
      </c>
      <c r="E3667" s="154" t="n">
        <v>0.629514</v>
      </c>
      <c r="F3667" s="149" t="n">
        <f aca="false">IF(C3667="MAT.",VLOOKUP(A3667,INSUMOS_AUX!$A$3:$H$813,6,0),0)</f>
        <v>6.28</v>
      </c>
      <c r="G3667" s="149" t="n">
        <f aca="false">IF(C3667="M.O.",VLOOKUP(A3667,INSUMOS_AUX!A:F,6,0),0)</f>
        <v>0</v>
      </c>
    </row>
    <row r="3668" customFormat="false" ht="21" hidden="false" customHeight="false" outlineLevel="0" collapsed="false">
      <c r="A3668" s="154" t="n">
        <v>4721</v>
      </c>
      <c r="B3668" s="155" t="s">
        <v>1593</v>
      </c>
      <c r="C3668" s="148" t="str">
        <f aca="false">VLOOKUP($A3668,INSUMOS_AUX!$A$3:$H$813,3,0)</f>
        <v>MAT.</v>
      </c>
      <c r="D3668" s="156" t="s">
        <v>1442</v>
      </c>
      <c r="E3668" s="154" t="n">
        <v>0.067710048</v>
      </c>
      <c r="F3668" s="149" t="n">
        <f aca="false">IF(C3668="MAT.",VLOOKUP(A3668,INSUMOS_AUX!$A$3:$H$813,6,0),0)</f>
        <v>115.7</v>
      </c>
      <c r="G3668" s="149" t="n">
        <f aca="false">IF(C3668="M.O.",VLOOKUP(A3668,INSUMOS_AUX!A:F,6,0),0)</f>
        <v>0</v>
      </c>
    </row>
    <row r="3669" customFormat="false" ht="15" hidden="false" customHeight="false" outlineLevel="0" collapsed="false">
      <c r="A3669" s="154" t="n">
        <v>20247</v>
      </c>
      <c r="B3669" s="155" t="s">
        <v>1695</v>
      </c>
      <c r="C3669" s="148" t="str">
        <f aca="false">VLOOKUP($A3669,INSUMOS_AUX!$A$3:$H$813,3,0)</f>
        <v>MAT.</v>
      </c>
      <c r="D3669" s="156" t="s">
        <v>1513</v>
      </c>
      <c r="E3669" s="154" t="n">
        <v>0.02493288</v>
      </c>
      <c r="F3669" s="149" t="n">
        <f aca="false">IF(C3669="MAT.",VLOOKUP(A3669,INSUMOS_AUX!$A$3:$H$813,6,0),0)</f>
        <v>22.53</v>
      </c>
      <c r="G3669" s="149" t="n">
        <f aca="false">IF(C3669="M.O.",VLOOKUP(A3669,INSUMOS_AUX!A:F,6,0),0)</f>
        <v>0</v>
      </c>
    </row>
    <row r="3670" customFormat="false" ht="21" hidden="false" customHeight="false" outlineLevel="0" collapsed="false">
      <c r="A3670" s="154" t="n">
        <v>4517</v>
      </c>
      <c r="B3670" s="155" t="s">
        <v>1582</v>
      </c>
      <c r="C3670" s="148" t="s">
        <v>59</v>
      </c>
      <c r="D3670" s="156" t="s">
        <v>1455</v>
      </c>
      <c r="E3670" s="154" t="n">
        <v>0.4262104</v>
      </c>
      <c r="F3670" s="149" t="n">
        <f aca="false">IF(C3670="MAT.",VLOOKUP(A3670,INSUMOS_AUX!$A$3:$H$813,6,0),0)</f>
        <v>0</v>
      </c>
      <c r="G3670" s="149" t="n">
        <f aca="false">IF(C3670="M.O.",VLOOKUP(A3670,INSUMOS_AUX!A:F,6,0),0)</f>
        <v>0</v>
      </c>
    </row>
    <row r="3671" customFormat="false" ht="31.5" hidden="false" customHeight="false" outlineLevel="0" collapsed="false">
      <c r="A3671" s="154" t="n">
        <v>6243</v>
      </c>
      <c r="B3671" s="155" t="s">
        <v>2112</v>
      </c>
      <c r="C3671" s="148" t="str">
        <f aca="false">VLOOKUP($A3671,INSUMOS_AUX!$A$3:$H$813,3,0)</f>
        <v>MAT.</v>
      </c>
      <c r="D3671" s="156" t="s">
        <v>31</v>
      </c>
      <c r="E3671" s="154" t="n">
        <v>1</v>
      </c>
      <c r="F3671" s="149" t="n">
        <f aca="false">IF(C3671="MAT.",VLOOKUP(A3671,INSUMOS_AUX!$A$3:$H$813,6,0),0)</f>
        <v>430</v>
      </c>
      <c r="G3671" s="149" t="n">
        <f aca="false">IF(C3671="M.O.",VLOOKUP(A3671,INSUMOS_AUX!A:F,6,0),0)</f>
        <v>0</v>
      </c>
    </row>
    <row r="3672" customFormat="false" ht="21" hidden="false" customHeight="false" outlineLevel="0" collapsed="false">
      <c r="A3672" s="154" t="n">
        <v>7725</v>
      </c>
      <c r="B3672" s="155" t="s">
        <v>2113</v>
      </c>
      <c r="C3672" s="148" t="str">
        <f aca="false">VLOOKUP($A3672,INSUMOS_AUX!$A$3:$H$813,3,0)</f>
        <v>MAT.</v>
      </c>
      <c r="D3672" s="156" t="s">
        <v>1455</v>
      </c>
      <c r="E3672" s="154" t="n">
        <v>1</v>
      </c>
      <c r="F3672" s="149" t="n">
        <f aca="false">IF(C3672="MAT.",VLOOKUP(A3672,INSUMOS_AUX!$A$3:$H$813,6,0),0)</f>
        <v>244</v>
      </c>
      <c r="G3672" s="149" t="n">
        <f aca="false">IF(C3672="M.O.",VLOOKUP(A3672,INSUMOS_AUX!A:F,6,0),0)</f>
        <v>0</v>
      </c>
    </row>
    <row r="3673" customFormat="false" ht="15" hidden="false" customHeight="false" outlineLevel="0" collapsed="false">
      <c r="A3673" s="154" t="n">
        <v>6114</v>
      </c>
      <c r="B3673" s="155" t="s">
        <v>1588</v>
      </c>
      <c r="C3673" s="148" t="str">
        <f aca="false">VLOOKUP($A3673,INSUMOS_AUX!$A$3:$H$813,3,0)</f>
        <v>M.O.</v>
      </c>
      <c r="D3673" s="156" t="s">
        <v>1444</v>
      </c>
      <c r="E3673" s="154" t="n">
        <v>0.0902852953506605</v>
      </c>
      <c r="F3673" s="149" t="n">
        <f aca="false">IF(C3673="MAT.",VLOOKUP(A3673,INSUMOS_AUX!$A$3:$H$813,6,0),0)</f>
        <v>0</v>
      </c>
      <c r="G3673" s="149" t="n">
        <f aca="false">IF(C3673="M.O.",VLOOKUP(A3673,INSUMOS_AUX!A:F,6,0),0)</f>
        <v>13.26</v>
      </c>
    </row>
    <row r="3674" customFormat="false" ht="15" hidden="false" customHeight="false" outlineLevel="0" collapsed="false">
      <c r="A3674" s="154" t="n">
        <v>242</v>
      </c>
      <c r="B3674" s="155" t="s">
        <v>1660</v>
      </c>
      <c r="C3674" s="148" t="str">
        <f aca="false">VLOOKUP($A3674,INSUMOS_AUX!$A$3:$H$813,3,0)</f>
        <v>M.O.</v>
      </c>
      <c r="D3674" s="156" t="s">
        <v>1444</v>
      </c>
      <c r="E3674" s="154" t="n">
        <v>0.29896469316</v>
      </c>
      <c r="F3674" s="149" t="n">
        <f aca="false">IF(C3674="MAT.",VLOOKUP(A3674,INSUMOS_AUX!$A$3:$H$813,6,0),0)</f>
        <v>0</v>
      </c>
      <c r="G3674" s="149" t="n">
        <f aca="false">IF(C3674="M.O.",VLOOKUP(A3674,INSUMOS_AUX!A:F,6,0),0)</f>
        <v>13.61</v>
      </c>
    </row>
    <row r="3675" customFormat="false" ht="15" hidden="false" customHeight="false" outlineLevel="0" collapsed="false">
      <c r="A3675" s="154" t="n">
        <v>378</v>
      </c>
      <c r="B3675" s="155" t="s">
        <v>1589</v>
      </c>
      <c r="C3675" s="148" t="str">
        <f aca="false">VLOOKUP($A3675,INSUMOS_AUX!$A$3:$H$813,3,0)</f>
        <v>M.O.</v>
      </c>
      <c r="D3675" s="156" t="s">
        <v>1444</v>
      </c>
      <c r="E3675" s="154" t="n">
        <v>0.553972738139238</v>
      </c>
      <c r="F3675" s="149" t="n">
        <f aca="false">IF(C3675="MAT.",VLOOKUP(A3675,INSUMOS_AUX!$A$3:$H$813,6,0),0)</f>
        <v>0</v>
      </c>
      <c r="G3675" s="149" t="n">
        <f aca="false">IF(C3675="M.O.",VLOOKUP(A3675,INSUMOS_AUX!A:F,6,0),0)</f>
        <v>20.22</v>
      </c>
    </row>
    <row r="3676" customFormat="false" ht="15" hidden="false" customHeight="false" outlineLevel="0" collapsed="false">
      <c r="A3676" s="154" t="n">
        <v>6117</v>
      </c>
      <c r="B3676" s="155" t="s">
        <v>1555</v>
      </c>
      <c r="C3676" s="148" t="str">
        <f aca="false">VLOOKUP($A3676,INSUMOS_AUX!$A$3:$H$813,3,0)</f>
        <v>M.O.</v>
      </c>
      <c r="D3676" s="156" t="s">
        <v>1444</v>
      </c>
      <c r="E3676" s="154" t="n">
        <v>0.0710627498112</v>
      </c>
      <c r="F3676" s="149" t="n">
        <f aca="false">IF(C3676="MAT.",VLOOKUP(A3676,INSUMOS_AUX!$A$3:$H$813,6,0),0)</f>
        <v>0</v>
      </c>
      <c r="G3676" s="149" t="n">
        <f aca="false">IF(C3676="M.O.",VLOOKUP(A3676,INSUMOS_AUX!A:F,6,0),0)</f>
        <v>13.26</v>
      </c>
    </row>
    <row r="3677" customFormat="false" ht="15" hidden="false" customHeight="false" outlineLevel="0" collapsed="false">
      <c r="A3677" s="154" t="n">
        <v>1214</v>
      </c>
      <c r="B3677" s="155" t="s">
        <v>1556</v>
      </c>
      <c r="C3677" s="148" t="str">
        <f aca="false">VLOOKUP($A3677,INSUMOS_AUX!$A$3:$H$813,3,0)</f>
        <v>M.O.</v>
      </c>
      <c r="D3677" s="156" t="s">
        <v>1444</v>
      </c>
      <c r="E3677" s="154" t="n">
        <v>0.355313749056</v>
      </c>
      <c r="F3677" s="149" t="n">
        <f aca="false">IF(C3677="MAT.",VLOOKUP(A3677,INSUMOS_AUX!$A$3:$H$813,6,0),0)</f>
        <v>0</v>
      </c>
      <c r="G3677" s="149" t="n">
        <f aca="false">IF(C3677="M.O.",VLOOKUP(A3677,INSUMOS_AUX!A:F,6,0),0)</f>
        <v>19.04</v>
      </c>
    </row>
    <row r="3678" customFormat="false" ht="15" hidden="false" customHeight="false" outlineLevel="0" collapsed="false">
      <c r="A3678" s="154" t="n">
        <v>12873</v>
      </c>
      <c r="B3678" s="155" t="s">
        <v>1661</v>
      </c>
      <c r="C3678" s="148" t="str">
        <f aca="false">VLOOKUP($A3678,INSUMOS_AUX!$A$3:$H$813,3,0)</f>
        <v>M.O.</v>
      </c>
      <c r="D3678" s="156" t="s">
        <v>1444</v>
      </c>
      <c r="E3678" s="154" t="n">
        <v>1.3382448156</v>
      </c>
      <c r="F3678" s="149" t="n">
        <f aca="false">IF(C3678="MAT.",VLOOKUP(A3678,INSUMOS_AUX!$A$3:$H$813,6,0),0)</f>
        <v>0</v>
      </c>
      <c r="G3678" s="149" t="n">
        <f aca="false">IF(C3678="M.O.",VLOOKUP(A3678,INSUMOS_AUX!A:F,6,0),0)</f>
        <v>20.22</v>
      </c>
    </row>
    <row r="3679" customFormat="false" ht="15" hidden="false" customHeight="false" outlineLevel="0" collapsed="false">
      <c r="A3679" s="154" t="n">
        <v>37666</v>
      </c>
      <c r="B3679" s="155" t="s">
        <v>1558</v>
      </c>
      <c r="C3679" s="148" t="str">
        <f aca="false">VLOOKUP($A3679,INSUMOS_AUX!$A$3:$H$813,3,0)</f>
        <v>M.O.</v>
      </c>
      <c r="D3679" s="156" t="s">
        <v>1444</v>
      </c>
      <c r="E3679" s="154" t="n">
        <v>0.142834774656</v>
      </c>
      <c r="F3679" s="149" t="n">
        <f aca="false">IF(C3679="MAT.",VLOOKUP(A3679,INSUMOS_AUX!$A$3:$H$813,6,0),0)</f>
        <v>0</v>
      </c>
      <c r="G3679" s="149" t="n">
        <f aca="false">IF(C3679="M.O.",VLOOKUP(A3679,INSUMOS_AUX!A:F,6,0),0)</f>
        <v>11.87</v>
      </c>
    </row>
    <row r="3680" customFormat="false" ht="15" hidden="false" customHeight="false" outlineLevel="0" collapsed="false">
      <c r="A3680" s="154" t="n">
        <v>4234</v>
      </c>
      <c r="B3680" s="155" t="s">
        <v>1475</v>
      </c>
      <c r="C3680" s="148" t="str">
        <f aca="false">VLOOKUP($A3680,INSUMOS_AUX!$A$3:$H$813,3,0)</f>
        <v>M.O.</v>
      </c>
      <c r="D3680" s="156" t="s">
        <v>1444</v>
      </c>
      <c r="E3680" s="154" t="n">
        <v>0.226787268</v>
      </c>
      <c r="F3680" s="149" t="n">
        <f aca="false">IF(C3680="MAT.",VLOOKUP(A3680,INSUMOS_AUX!$A$3:$H$813,6,0),0)</f>
        <v>0</v>
      </c>
      <c r="G3680" s="149" t="n">
        <f aca="false">IF(C3680="M.O.",VLOOKUP(A3680,INSUMOS_AUX!A:F,6,0),0)</f>
        <v>20.22</v>
      </c>
    </row>
    <row r="3681" customFormat="false" ht="21" hidden="false" customHeight="false" outlineLevel="0" collapsed="false">
      <c r="A3681" s="154" t="n">
        <v>4230</v>
      </c>
      <c r="B3681" s="155" t="s">
        <v>1597</v>
      </c>
      <c r="C3681" s="148" t="str">
        <f aca="false">VLOOKUP($A3681,INSUMOS_AUX!$A$3:$H$813,3,0)</f>
        <v>M.O.</v>
      </c>
      <c r="D3681" s="156" t="s">
        <v>1444</v>
      </c>
      <c r="E3681" s="154" t="n">
        <v>0.0793070827728</v>
      </c>
      <c r="F3681" s="149" t="n">
        <f aca="false">IF(C3681="MAT.",VLOOKUP(A3681,INSUMOS_AUX!$A$3:$H$813,6,0),0)</f>
        <v>0</v>
      </c>
      <c r="G3681" s="149" t="n">
        <f aca="false">IF(C3681="M.O.",VLOOKUP(A3681,INSUMOS_AUX!A:F,6,0),0)</f>
        <v>14.53</v>
      </c>
    </row>
    <row r="3682" customFormat="false" ht="15" hidden="false" customHeight="false" outlineLevel="0" collapsed="false">
      <c r="A3682" s="154" t="n">
        <v>4750</v>
      </c>
      <c r="B3682" s="155" t="s">
        <v>1463</v>
      </c>
      <c r="C3682" s="148" t="str">
        <f aca="false">VLOOKUP($A3682,INSUMOS_AUX!$A$3:$H$813,3,0)</f>
        <v>M.O.</v>
      </c>
      <c r="D3682" s="156" t="s">
        <v>1444</v>
      </c>
      <c r="E3682" s="154" t="n">
        <v>2.56410801</v>
      </c>
      <c r="F3682" s="149" t="n">
        <f aca="false">IF(C3682="MAT.",VLOOKUP(A3682,INSUMOS_AUX!$A$3:$H$813,6,0),0)</f>
        <v>0</v>
      </c>
      <c r="G3682" s="149" t="n">
        <f aca="false">IF(C3682="M.O.",VLOOKUP(A3682,INSUMOS_AUX!A:F,6,0),0)</f>
        <v>20.22</v>
      </c>
    </row>
    <row r="3683" customFormat="false" ht="15" hidden="false" customHeight="false" outlineLevel="0" collapsed="false">
      <c r="A3683" s="154" t="n">
        <v>6111</v>
      </c>
      <c r="B3683" s="155" t="s">
        <v>1464</v>
      </c>
      <c r="C3683" s="148" t="s">
        <v>59</v>
      </c>
      <c r="D3683" s="156" t="s">
        <v>1444</v>
      </c>
      <c r="E3683" s="154" t="n">
        <v>2.80169315</v>
      </c>
      <c r="F3683" s="149" t="n">
        <f aca="false">IF(C3683="MAT.",VLOOKUP(A3683,INSUMOS_AUX!$A$3:$H$813,6,0),0)</f>
        <v>0</v>
      </c>
      <c r="G3683" s="149" t="n">
        <f aca="false">IF(C3683="M.O.",VLOOKUP(A3683,INSUMOS_AUX!A:F,6,0),0)</f>
        <v>0</v>
      </c>
    </row>
    <row r="3684" customFormat="false" ht="52.5" hidden="false" customHeight="false" outlineLevel="0" collapsed="false">
      <c r="A3684" s="150" t="n">
        <v>90091</v>
      </c>
      <c r="B3684" s="151" t="s">
        <v>2114</v>
      </c>
      <c r="C3684" s="152" t="s">
        <v>59</v>
      </c>
      <c r="D3684" s="152" t="s">
        <v>1442</v>
      </c>
      <c r="E3684" s="150"/>
      <c r="F3684" s="153" t="n">
        <f aca="false">(SUMPRODUCT($E3685:$E3696,F3685:F3696))*1</f>
        <v>4.825260172</v>
      </c>
      <c r="G3684" s="153" t="n">
        <f aca="false">(SUMPRODUCT($E3685:$E3696,G3685:G3696))*1</f>
        <v>1.12043945316084</v>
      </c>
    </row>
    <row r="3685" customFormat="false" ht="21" hidden="false" customHeight="false" outlineLevel="0" collapsed="false">
      <c r="A3685" s="154" t="n">
        <v>37370</v>
      </c>
      <c r="B3685" s="155" t="s">
        <v>1443</v>
      </c>
      <c r="C3685" s="148" t="str">
        <f aca="false">VLOOKUP($A3685,INSUMOS_AUX!$A$3:$H$813,3,0)</f>
        <v>MAT.</v>
      </c>
      <c r="D3685" s="156" t="s">
        <v>1444</v>
      </c>
      <c r="E3685" s="154" t="n">
        <v>0.0665386</v>
      </c>
      <c r="F3685" s="149" t="n">
        <f aca="false">IF(C3685="MAT.",VLOOKUP(A3685,INSUMOS_AUX!$A$3:$H$813,6,0),0)</f>
        <v>3.32</v>
      </c>
      <c r="G3685" s="149" t="n">
        <f aca="false">IF(C3685="M.O.",VLOOKUP(A3685,INSUMOS_AUX!A:F,6,0),0)</f>
        <v>0</v>
      </c>
    </row>
    <row r="3686" customFormat="false" ht="21" hidden="false" customHeight="false" outlineLevel="0" collapsed="false">
      <c r="A3686" s="154" t="n">
        <v>43488</v>
      </c>
      <c r="B3686" s="155" t="s">
        <v>1445</v>
      </c>
      <c r="C3686" s="148" t="str">
        <f aca="false">VLOOKUP($A3686,INSUMOS_AUX!$A$3:$H$813,3,0)</f>
        <v>MAT.</v>
      </c>
      <c r="D3686" s="156" t="s">
        <v>1444</v>
      </c>
      <c r="E3686" s="154" t="n">
        <v>0.0332693</v>
      </c>
      <c r="F3686" s="149" t="n">
        <f aca="false">IF(C3686="MAT.",VLOOKUP(A3686,INSUMOS_AUX!$A$3:$H$813,6,0),0)</f>
        <v>0.89</v>
      </c>
      <c r="G3686" s="149" t="n">
        <f aca="false">IF(C3686="M.O.",VLOOKUP(A3686,INSUMOS_AUX!A:F,6,0),0)</f>
        <v>0</v>
      </c>
    </row>
    <row r="3687" customFormat="false" ht="21" hidden="false" customHeight="false" outlineLevel="0" collapsed="false">
      <c r="A3687" s="154" t="n">
        <v>43491</v>
      </c>
      <c r="B3687" s="155" t="s">
        <v>1457</v>
      </c>
      <c r="C3687" s="148" t="str">
        <f aca="false">VLOOKUP($A3687,INSUMOS_AUX!$A$3:$H$813,3,0)</f>
        <v>MAT.</v>
      </c>
      <c r="D3687" s="156" t="s">
        <v>1444</v>
      </c>
      <c r="E3687" s="154" t="n">
        <v>0.0332693</v>
      </c>
      <c r="F3687" s="149" t="n">
        <f aca="false">IF(C3687="MAT.",VLOOKUP(A3687,INSUMOS_AUX!$A$3:$H$813,6,0),0)</f>
        <v>1.39</v>
      </c>
      <c r="G3687" s="149" t="n">
        <f aca="false">IF(C3687="M.O.",VLOOKUP(A3687,INSUMOS_AUX!A:F,6,0),0)</f>
        <v>0</v>
      </c>
    </row>
    <row r="3688" customFormat="false" ht="21" hidden="false" customHeight="false" outlineLevel="0" collapsed="false">
      <c r="A3688" s="154" t="n">
        <v>37372</v>
      </c>
      <c r="B3688" s="155" t="s">
        <v>1446</v>
      </c>
      <c r="C3688" s="148" t="str">
        <f aca="false">VLOOKUP($A3688,INSUMOS_AUX!$A$3:$H$813,3,0)</f>
        <v>MAT.</v>
      </c>
      <c r="D3688" s="156" t="s">
        <v>1444</v>
      </c>
      <c r="E3688" s="154" t="n">
        <v>0.0665386</v>
      </c>
      <c r="F3688" s="149" t="n">
        <f aca="false">IF(C3688="MAT.",VLOOKUP(A3688,INSUMOS_AUX!$A$3:$H$813,6,0),0)</f>
        <v>1.43</v>
      </c>
      <c r="G3688" s="149" t="n">
        <f aca="false">IF(C3688="M.O.",VLOOKUP(A3688,INSUMOS_AUX!A:F,6,0),0)</f>
        <v>0</v>
      </c>
    </row>
    <row r="3689" customFormat="false" ht="21" hidden="false" customHeight="false" outlineLevel="0" collapsed="false">
      <c r="A3689" s="154" t="n">
        <v>43464</v>
      </c>
      <c r="B3689" s="155" t="s">
        <v>1447</v>
      </c>
      <c r="C3689" s="148" t="str">
        <f aca="false">VLOOKUP($A3689,INSUMOS_AUX!$A$3:$H$813,3,0)</f>
        <v>MAT.</v>
      </c>
      <c r="D3689" s="156" t="s">
        <v>1444</v>
      </c>
      <c r="E3689" s="154" t="n">
        <v>0.0332693</v>
      </c>
      <c r="F3689" s="149" t="n">
        <f aca="false">IF(C3689="MAT.",VLOOKUP(A3689,INSUMOS_AUX!$A$3:$H$813,6,0),0)</f>
        <v>0.01</v>
      </c>
      <c r="G3689" s="149" t="n">
        <f aca="false">IF(C3689="M.O.",VLOOKUP(A3689,INSUMOS_AUX!A:F,6,0),0)</f>
        <v>0</v>
      </c>
    </row>
    <row r="3690" customFormat="false" ht="21" hidden="false" customHeight="false" outlineLevel="0" collapsed="false">
      <c r="A3690" s="154" t="n">
        <v>43467</v>
      </c>
      <c r="B3690" s="155" t="s">
        <v>1459</v>
      </c>
      <c r="C3690" s="148" t="str">
        <f aca="false">VLOOKUP($A3690,INSUMOS_AUX!$A$3:$H$813,3,0)</f>
        <v>MAT.</v>
      </c>
      <c r="D3690" s="156" t="s">
        <v>1444</v>
      </c>
      <c r="E3690" s="154" t="n">
        <v>0.0332693</v>
      </c>
      <c r="F3690" s="149" t="n">
        <f aca="false">IF(C3690="MAT.",VLOOKUP(A3690,INSUMOS_AUX!$A$3:$H$813,6,0),0)</f>
        <v>0.61</v>
      </c>
      <c r="G3690" s="149" t="n">
        <f aca="false">IF(C3690="M.O.",VLOOKUP(A3690,INSUMOS_AUX!A:F,6,0),0)</f>
        <v>0</v>
      </c>
    </row>
    <row r="3691" customFormat="false" ht="21" hidden="false" customHeight="false" outlineLevel="0" collapsed="false">
      <c r="A3691" s="154" t="n">
        <v>37373</v>
      </c>
      <c r="B3691" s="155" t="s">
        <v>1448</v>
      </c>
      <c r="C3691" s="148" t="str">
        <f aca="false">VLOOKUP($A3691,INSUMOS_AUX!$A$3:$H$813,3,0)</f>
        <v>MAT.</v>
      </c>
      <c r="D3691" s="156" t="s">
        <v>1444</v>
      </c>
      <c r="E3691" s="154" t="n">
        <v>0.0665386</v>
      </c>
      <c r="F3691" s="149" t="n">
        <f aca="false">IF(C3691="MAT.",VLOOKUP(A3691,INSUMOS_AUX!$A$3:$H$813,6,0),0)</f>
        <v>0.08</v>
      </c>
      <c r="G3691" s="149" t="n">
        <f aca="false">IF(C3691="M.O.",VLOOKUP(A3691,INSUMOS_AUX!A:F,6,0),0)</f>
        <v>0</v>
      </c>
    </row>
    <row r="3692" customFormat="false" ht="21" hidden="false" customHeight="false" outlineLevel="0" collapsed="false">
      <c r="A3692" s="154" t="n">
        <v>37371</v>
      </c>
      <c r="B3692" s="155" t="s">
        <v>1449</v>
      </c>
      <c r="C3692" s="148" t="str">
        <f aca="false">VLOOKUP($A3692,INSUMOS_AUX!$A$3:$H$813,3,0)</f>
        <v>MAT.</v>
      </c>
      <c r="D3692" s="156" t="s">
        <v>1444</v>
      </c>
      <c r="E3692" s="154" t="n">
        <v>0.0665386</v>
      </c>
      <c r="F3692" s="149" t="n">
        <f aca="false">IF(C3692="MAT.",VLOOKUP(A3692,INSUMOS_AUX!$A$3:$H$813,6,0),0)</f>
        <v>0.59</v>
      </c>
      <c r="G3692" s="149" t="n">
        <f aca="false">IF(C3692="M.O.",VLOOKUP(A3692,INSUMOS_AUX!A:F,6,0),0)</f>
        <v>0</v>
      </c>
    </row>
    <row r="3693" customFormat="false" ht="21" hidden="false" customHeight="false" outlineLevel="0" collapsed="false">
      <c r="A3693" s="154" t="n">
        <v>10685</v>
      </c>
      <c r="B3693" s="155" t="s">
        <v>1473</v>
      </c>
      <c r="C3693" s="148" t="str">
        <f aca="false">VLOOKUP($A3693,INSUMOS_AUX!$A$3:$H$813,3,0)</f>
        <v>MAT.</v>
      </c>
      <c r="D3693" s="156" t="s">
        <v>31</v>
      </c>
      <c r="E3693" s="154" t="n">
        <v>3.65816644E-006</v>
      </c>
      <c r="F3693" s="149" t="n">
        <f aca="false">IF(C3693="MAT.",VLOOKUP(A3693,INSUMOS_AUX!$A$3:$H$813,6,0),0)</f>
        <v>850000</v>
      </c>
      <c r="G3693" s="149" t="n">
        <f aca="false">IF(C3693="M.O.",VLOOKUP(A3693,INSUMOS_AUX!A:F,6,0),0)</f>
        <v>0</v>
      </c>
    </row>
    <row r="3694" customFormat="false" ht="15" hidden="false" customHeight="false" outlineLevel="0" collapsed="false">
      <c r="A3694" s="154" t="n">
        <v>4221</v>
      </c>
      <c r="B3694" s="155" t="s">
        <v>1451</v>
      </c>
      <c r="C3694" s="148" t="str">
        <f aca="false">VLOOKUP($A3694,INSUMOS_AUX!$A$3:$H$813,3,0)</f>
        <v>MAT.</v>
      </c>
      <c r="D3694" s="156" t="s">
        <v>1452</v>
      </c>
      <c r="E3694" s="154" t="n">
        <v>0.2004297</v>
      </c>
      <c r="F3694" s="149" t="n">
        <f aca="false">IF(C3694="MAT.",VLOOKUP(A3694,INSUMOS_AUX!$A$3:$H$813,6,0),0)</f>
        <v>6.28</v>
      </c>
      <c r="G3694" s="149" t="n">
        <f aca="false">IF(C3694="M.O.",VLOOKUP(A3694,INSUMOS_AUX!A:F,6,0),0)</f>
        <v>0</v>
      </c>
    </row>
    <row r="3695" customFormat="false" ht="15" hidden="false" customHeight="false" outlineLevel="0" collapsed="false">
      <c r="A3695" s="154" t="n">
        <v>4234</v>
      </c>
      <c r="B3695" s="155" t="s">
        <v>1475</v>
      </c>
      <c r="C3695" s="148" t="str">
        <f aca="false">VLOOKUP($A3695,INSUMOS_AUX!$A$3:$H$813,3,0)</f>
        <v>M.O.</v>
      </c>
      <c r="D3695" s="156" t="s">
        <v>1444</v>
      </c>
      <c r="E3695" s="154" t="n">
        <v>0.033653227722</v>
      </c>
      <c r="F3695" s="149" t="n">
        <f aca="false">IF(C3695="MAT.",VLOOKUP(A3695,INSUMOS_AUX!$A$3:$H$813,6,0),0)</f>
        <v>0</v>
      </c>
      <c r="G3695" s="149" t="n">
        <f aca="false">IF(C3695="M.O.",VLOOKUP(A3695,INSUMOS_AUX!A:F,6,0),0)</f>
        <v>20.22</v>
      </c>
    </row>
    <row r="3696" customFormat="false" ht="15" hidden="false" customHeight="false" outlineLevel="0" collapsed="false">
      <c r="A3696" s="154" t="n">
        <v>6111</v>
      </c>
      <c r="B3696" s="155" t="s">
        <v>1464</v>
      </c>
      <c r="C3696" s="148" t="str">
        <f aca="false">VLOOKUP($A3696,INSUMOS_AUX!$A$3:$H$813,3,0)</f>
        <v>M.O.</v>
      </c>
      <c r="D3696" s="156" t="s">
        <v>1444</v>
      </c>
      <c r="E3696" s="154" t="n">
        <v>0.03397460916</v>
      </c>
      <c r="F3696" s="149" t="n">
        <f aca="false">IF(C3696="MAT.",VLOOKUP(A3696,INSUMOS_AUX!$A$3:$H$813,6,0),0)</f>
        <v>0</v>
      </c>
      <c r="G3696" s="149" t="n">
        <f aca="false">IF(C3696="M.O.",VLOOKUP(A3696,INSUMOS_AUX!A:F,6,0),0)</f>
        <v>12.95</v>
      </c>
    </row>
    <row r="3697" customFormat="false" ht="21" hidden="false" customHeight="false" outlineLevel="0" collapsed="false">
      <c r="A3697" s="150" t="n">
        <v>93382</v>
      </c>
      <c r="B3697" s="151" t="s">
        <v>2115</v>
      </c>
      <c r="C3697" s="152" t="s">
        <v>59</v>
      </c>
      <c r="D3697" s="152" t="s">
        <v>1442</v>
      </c>
      <c r="E3697" s="150"/>
      <c r="F3697" s="153" t="n">
        <f aca="false">(SUMPRODUCT($E3698:$E3713,F3698:F3713))*1</f>
        <v>9.0620403358104</v>
      </c>
      <c r="G3697" s="153" t="n">
        <f aca="false">(SUMPRODUCT($E3698:$E3713,G3698:G3713))*1</f>
        <v>13.42649820564</v>
      </c>
    </row>
    <row r="3698" customFormat="false" ht="21" hidden="false" customHeight="false" outlineLevel="0" collapsed="false">
      <c r="A3698" s="154" t="n">
        <v>37370</v>
      </c>
      <c r="B3698" s="155" t="s">
        <v>1443</v>
      </c>
      <c r="C3698" s="148" t="str">
        <f aca="false">VLOOKUP($A3698,INSUMOS_AUX!$A$3:$H$813,3,0)</f>
        <v>MAT.</v>
      </c>
      <c r="D3698" s="156" t="s">
        <v>1444</v>
      </c>
      <c r="E3698" s="154" t="n">
        <v>0.9888</v>
      </c>
      <c r="F3698" s="149" t="n">
        <f aca="false">IF(C3698="MAT.",VLOOKUP(A3698,INSUMOS_AUX!$A$3:$H$813,6,0),0)</f>
        <v>3.32</v>
      </c>
      <c r="G3698" s="149" t="n">
        <f aca="false">IF(C3698="M.O.",VLOOKUP(A3698,INSUMOS_AUX!A:F,6,0),0)</f>
        <v>0</v>
      </c>
    </row>
    <row r="3699" customFormat="false" ht="21" hidden="false" customHeight="false" outlineLevel="0" collapsed="false">
      <c r="A3699" s="154" t="n">
        <v>43488</v>
      </c>
      <c r="B3699" s="155" t="s">
        <v>1445</v>
      </c>
      <c r="C3699" s="148" t="str">
        <f aca="false">VLOOKUP($A3699,INSUMOS_AUX!$A$3:$H$813,3,0)</f>
        <v>MAT.</v>
      </c>
      <c r="D3699" s="156" t="s">
        <v>1444</v>
      </c>
      <c r="E3699" s="154" t="n">
        <v>0.2022</v>
      </c>
      <c r="F3699" s="149" t="n">
        <f aca="false">IF(C3699="MAT.",VLOOKUP(A3699,INSUMOS_AUX!$A$3:$H$813,6,0),0)</f>
        <v>0.89</v>
      </c>
      <c r="G3699" s="149" t="n">
        <f aca="false">IF(C3699="M.O.",VLOOKUP(A3699,INSUMOS_AUX!A:F,6,0),0)</f>
        <v>0</v>
      </c>
    </row>
    <row r="3700" customFormat="false" ht="21" hidden="false" customHeight="false" outlineLevel="0" collapsed="false">
      <c r="A3700" s="154" t="n">
        <v>43491</v>
      </c>
      <c r="B3700" s="155" t="s">
        <v>1457</v>
      </c>
      <c r="C3700" s="148" t="str">
        <f aca="false">VLOOKUP($A3700,INSUMOS_AUX!$A$3:$H$813,3,0)</f>
        <v>MAT.</v>
      </c>
      <c r="D3700" s="156" t="s">
        <v>1444</v>
      </c>
      <c r="E3700" s="154" t="n">
        <v>0.7866</v>
      </c>
      <c r="F3700" s="149" t="n">
        <f aca="false">IF(C3700="MAT.",VLOOKUP(A3700,INSUMOS_AUX!$A$3:$H$813,6,0),0)</f>
        <v>1.39</v>
      </c>
      <c r="G3700" s="149" t="n">
        <f aca="false">IF(C3700="M.O.",VLOOKUP(A3700,INSUMOS_AUX!A:F,6,0),0)</f>
        <v>0</v>
      </c>
    </row>
    <row r="3701" customFormat="false" ht="21" hidden="false" customHeight="false" outlineLevel="0" collapsed="false">
      <c r="A3701" s="154" t="n">
        <v>37372</v>
      </c>
      <c r="B3701" s="155" t="s">
        <v>1446</v>
      </c>
      <c r="C3701" s="148" t="s">
        <v>59</v>
      </c>
      <c r="D3701" s="156" t="s">
        <v>1444</v>
      </c>
      <c r="E3701" s="154" t="n">
        <v>0.9888</v>
      </c>
      <c r="F3701" s="149" t="n">
        <f aca="false">IF(C3701="MAT.",VLOOKUP(A3701,INSUMOS_AUX!$A$3:$H$813,6,0),0)</f>
        <v>0</v>
      </c>
      <c r="G3701" s="149" t="n">
        <f aca="false">IF(C3701="M.O.",VLOOKUP(A3701,INSUMOS_AUX!A:F,6,0),0)</f>
        <v>0</v>
      </c>
    </row>
    <row r="3702" customFormat="false" ht="21" hidden="false" customHeight="false" outlineLevel="0" collapsed="false">
      <c r="A3702" s="154" t="n">
        <v>43464</v>
      </c>
      <c r="B3702" s="155" t="s">
        <v>1447</v>
      </c>
      <c r="C3702" s="148" t="str">
        <f aca="false">VLOOKUP($A3702,INSUMOS_AUX!$A$3:$H$813,3,0)</f>
        <v>MAT.</v>
      </c>
      <c r="D3702" s="156" t="s">
        <v>1444</v>
      </c>
      <c r="E3702" s="154" t="n">
        <v>0.2022</v>
      </c>
      <c r="F3702" s="149" t="n">
        <f aca="false">IF(C3702="MAT.",VLOOKUP(A3702,INSUMOS_AUX!$A$3:$H$813,6,0),0)</f>
        <v>0.01</v>
      </c>
      <c r="G3702" s="149" t="n">
        <f aca="false">IF(C3702="M.O.",VLOOKUP(A3702,INSUMOS_AUX!A:F,6,0),0)</f>
        <v>0</v>
      </c>
    </row>
    <row r="3703" customFormat="false" ht="21" hidden="false" customHeight="false" outlineLevel="0" collapsed="false">
      <c r="A3703" s="154" t="n">
        <v>43467</v>
      </c>
      <c r="B3703" s="155" t="s">
        <v>1459</v>
      </c>
      <c r="C3703" s="148" t="str">
        <f aca="false">VLOOKUP($A3703,INSUMOS_AUX!$A$3:$H$813,3,0)</f>
        <v>MAT.</v>
      </c>
      <c r="D3703" s="156" t="s">
        <v>1444</v>
      </c>
      <c r="E3703" s="154" t="n">
        <v>0.7866</v>
      </c>
      <c r="F3703" s="149" t="n">
        <f aca="false">IF(C3703="MAT.",VLOOKUP(A3703,INSUMOS_AUX!$A$3:$H$813,6,0),0)</f>
        <v>0.61</v>
      </c>
      <c r="G3703" s="149" t="n">
        <f aca="false">IF(C3703="M.O.",VLOOKUP(A3703,INSUMOS_AUX!A:F,6,0),0)</f>
        <v>0</v>
      </c>
    </row>
    <row r="3704" customFormat="false" ht="21" hidden="false" customHeight="false" outlineLevel="0" collapsed="false">
      <c r="A3704" s="154" t="n">
        <v>37373</v>
      </c>
      <c r="B3704" s="155" t="s">
        <v>1448</v>
      </c>
      <c r="C3704" s="148" t="str">
        <f aca="false">VLOOKUP($A3704,INSUMOS_AUX!$A$3:$H$813,3,0)</f>
        <v>MAT.</v>
      </c>
      <c r="D3704" s="156" t="s">
        <v>1444</v>
      </c>
      <c r="E3704" s="154" t="n">
        <v>0.9888</v>
      </c>
      <c r="F3704" s="149" t="n">
        <f aca="false">IF(C3704="MAT.",VLOOKUP(A3704,INSUMOS_AUX!$A$3:$H$813,6,0),0)</f>
        <v>0.08</v>
      </c>
      <c r="G3704" s="149" t="n">
        <f aca="false">IF(C3704="M.O.",VLOOKUP(A3704,INSUMOS_AUX!A:F,6,0),0)</f>
        <v>0</v>
      </c>
    </row>
    <row r="3705" customFormat="false" ht="21" hidden="false" customHeight="false" outlineLevel="0" collapsed="false">
      <c r="A3705" s="154" t="n">
        <v>37371</v>
      </c>
      <c r="B3705" s="155" t="s">
        <v>1449</v>
      </c>
      <c r="C3705" s="148" t="str">
        <f aca="false">VLOOKUP($A3705,INSUMOS_AUX!$A$3:$H$813,3,0)</f>
        <v>MAT.</v>
      </c>
      <c r="D3705" s="156" t="s">
        <v>1444</v>
      </c>
      <c r="E3705" s="154" t="n">
        <v>0.9888</v>
      </c>
      <c r="F3705" s="149" t="n">
        <f aca="false">IF(C3705="MAT.",VLOOKUP(A3705,INSUMOS_AUX!$A$3:$H$813,6,0),0)</f>
        <v>0.59</v>
      </c>
      <c r="G3705" s="149" t="n">
        <f aca="false">IF(C3705="M.O.",VLOOKUP(A3705,INSUMOS_AUX!A:F,6,0),0)</f>
        <v>0</v>
      </c>
    </row>
    <row r="3706" customFormat="false" ht="31.5" hidden="false" customHeight="false" outlineLevel="0" collapsed="false">
      <c r="A3706" s="154" t="n">
        <v>37758</v>
      </c>
      <c r="B3706" s="155" t="s">
        <v>1472</v>
      </c>
      <c r="C3706" s="148" t="str">
        <f aca="false">VLOOKUP($A3706,INSUMOS_AUX!$A$3:$H$813,3,0)</f>
        <v>MAT.</v>
      </c>
      <c r="D3706" s="156" t="s">
        <v>31</v>
      </c>
      <c r="E3706" s="154" t="n">
        <v>6.7182E-007</v>
      </c>
      <c r="F3706" s="149" t="n">
        <f aca="false">IF(C3706="MAT.",VLOOKUP(A3706,INSUMOS_AUX!$A$3:$H$813,6,0),0)</f>
        <v>728477.1</v>
      </c>
      <c r="G3706" s="149" t="n">
        <f aca="false">IF(C3706="M.O.",VLOOKUP(A3706,INSUMOS_AUX!A:F,6,0),0)</f>
        <v>0</v>
      </c>
    </row>
    <row r="3707" customFormat="false" ht="21" hidden="false" customHeight="false" outlineLevel="0" collapsed="false">
      <c r="A3707" s="154" t="n">
        <v>13458</v>
      </c>
      <c r="B3707" s="155" t="s">
        <v>1723</v>
      </c>
      <c r="C3707" s="148" t="str">
        <f aca="false">VLOOKUP($A3707,INSUMOS_AUX!$A$3:$H$813,3,0)</f>
        <v>MAT.</v>
      </c>
      <c r="D3707" s="156" t="s">
        <v>31</v>
      </c>
      <c r="E3707" s="154" t="n">
        <v>2.634966E-005</v>
      </c>
      <c r="F3707" s="149" t="n">
        <f aca="false">IF(C3707="MAT.",VLOOKUP(A3707,INSUMOS_AUX!$A$3:$H$813,6,0),0)</f>
        <v>15839.74</v>
      </c>
      <c r="G3707" s="149" t="n">
        <f aca="false">IF(C3707="M.O.",VLOOKUP(A3707,INSUMOS_AUX!A:F,6,0),0)</f>
        <v>0</v>
      </c>
    </row>
    <row r="3708" customFormat="false" ht="42" hidden="false" customHeight="false" outlineLevel="0" collapsed="false">
      <c r="A3708" s="154" t="n">
        <v>37736</v>
      </c>
      <c r="B3708" s="155" t="s">
        <v>1501</v>
      </c>
      <c r="C3708" s="148" t="str">
        <f aca="false">VLOOKUP($A3708,INSUMOS_AUX!$A$3:$H$813,3,0)</f>
        <v>MAT.</v>
      </c>
      <c r="D3708" s="156" t="s">
        <v>31</v>
      </c>
      <c r="E3708" s="154" t="n">
        <v>8.2386E-007</v>
      </c>
      <c r="F3708" s="149" t="n">
        <f aca="false">IF(C3708="MAT.",VLOOKUP(A3708,INSUMOS_AUX!$A$3:$H$813,6,0),0)</f>
        <v>85950</v>
      </c>
      <c r="G3708" s="149" t="n">
        <f aca="false">IF(C3708="M.O.",VLOOKUP(A3708,INSUMOS_AUX!A:F,6,0),0)</f>
        <v>0</v>
      </c>
    </row>
    <row r="3709" customFormat="false" ht="15" hidden="false" customHeight="false" outlineLevel="0" collapsed="false">
      <c r="A3709" s="154" t="n">
        <v>4222</v>
      </c>
      <c r="B3709" s="155" t="s">
        <v>1572</v>
      </c>
      <c r="C3709" s="148" t="str">
        <f aca="false">VLOOKUP($A3709,INSUMOS_AUX!$A$3:$H$813,3,0)</f>
        <v>MAT.</v>
      </c>
      <c r="D3709" s="156" t="s">
        <v>1452</v>
      </c>
      <c r="E3709" s="154" t="n">
        <v>0.202086</v>
      </c>
      <c r="F3709" s="149" t="n">
        <f aca="false">IF(C3709="MAT.",VLOOKUP(A3709,INSUMOS_AUX!$A$3:$H$813,6,0),0)</f>
        <v>6.4</v>
      </c>
      <c r="G3709" s="149" t="n">
        <f aca="false">IF(C3709="M.O.",VLOOKUP(A3709,INSUMOS_AUX!A:F,6,0),0)</f>
        <v>0</v>
      </c>
    </row>
    <row r="3710" customFormat="false" ht="15" hidden="false" customHeight="false" outlineLevel="0" collapsed="false">
      <c r="A3710" s="154" t="n">
        <v>4221</v>
      </c>
      <c r="B3710" s="155" t="s">
        <v>1451</v>
      </c>
      <c r="C3710" s="148" t="str">
        <f aca="false">VLOOKUP($A3710,INSUMOS_AUX!$A$3:$H$813,3,0)</f>
        <v>MAT.</v>
      </c>
      <c r="D3710" s="156" t="s">
        <v>1452</v>
      </c>
      <c r="E3710" s="154" t="n">
        <v>0.173664</v>
      </c>
      <c r="F3710" s="149" t="n">
        <f aca="false">IF(C3710="MAT.",VLOOKUP(A3710,INSUMOS_AUX!$A$3:$H$813,6,0),0)</f>
        <v>6.28</v>
      </c>
      <c r="G3710" s="149" t="n">
        <f aca="false">IF(C3710="M.O.",VLOOKUP(A3710,INSUMOS_AUX!A:F,6,0),0)</f>
        <v>0</v>
      </c>
    </row>
    <row r="3711" customFormat="false" ht="15" hidden="false" customHeight="false" outlineLevel="0" collapsed="false">
      <c r="A3711" s="154" t="n">
        <v>4093</v>
      </c>
      <c r="B3711" s="155" t="s">
        <v>1502</v>
      </c>
      <c r="C3711" s="148" t="str">
        <f aca="false">VLOOKUP($A3711,INSUMOS_AUX!$A$3:$H$813,3,0)</f>
        <v>M.O.</v>
      </c>
      <c r="D3711" s="156" t="s">
        <v>1444</v>
      </c>
      <c r="E3711" s="154" t="n">
        <v>0.00603054</v>
      </c>
      <c r="F3711" s="149" t="n">
        <f aca="false">IF(C3711="MAT.",VLOOKUP(A3711,INSUMOS_AUX!$A$3:$H$813,6,0),0)</f>
        <v>0</v>
      </c>
      <c r="G3711" s="149" t="n">
        <f aca="false">IF(C3711="M.O.",VLOOKUP(A3711,INSUMOS_AUX!A:F,6,0),0)</f>
        <v>23.28</v>
      </c>
    </row>
    <row r="3712" customFormat="false" ht="21" hidden="false" customHeight="false" outlineLevel="0" collapsed="false">
      <c r="A3712" s="154" t="n">
        <v>4230</v>
      </c>
      <c r="B3712" s="155" t="s">
        <v>1597</v>
      </c>
      <c r="C3712" s="148" t="str">
        <f aca="false">VLOOKUP($A3712,INSUMOS_AUX!$A$3:$H$813,3,0)</f>
        <v>M.O.</v>
      </c>
      <c r="D3712" s="156" t="s">
        <v>1444</v>
      </c>
      <c r="E3712" s="154" t="n">
        <v>0.198464148</v>
      </c>
      <c r="F3712" s="149" t="n">
        <f aca="false">IF(C3712="MAT.",VLOOKUP(A3712,INSUMOS_AUX!$A$3:$H$813,6,0),0)</f>
        <v>0</v>
      </c>
      <c r="G3712" s="149" t="n">
        <f aca="false">IF(C3712="M.O.",VLOOKUP(A3712,INSUMOS_AUX!A:F,6,0),0)</f>
        <v>14.53</v>
      </c>
    </row>
    <row r="3713" customFormat="false" ht="15" hidden="false" customHeight="false" outlineLevel="0" collapsed="false">
      <c r="A3713" s="154" t="n">
        <v>6111</v>
      </c>
      <c r="B3713" s="155" t="s">
        <v>1464</v>
      </c>
      <c r="C3713" s="148" t="str">
        <f aca="false">VLOOKUP($A3713,INSUMOS_AUX!$A$3:$H$813,3,0)</f>
        <v>M.O.</v>
      </c>
      <c r="D3713" s="156" t="s">
        <v>1444</v>
      </c>
      <c r="E3713" s="154" t="n">
        <v>0.80327592</v>
      </c>
      <c r="F3713" s="149" t="n">
        <f aca="false">IF(C3713="MAT.",VLOOKUP(A3713,INSUMOS_AUX!$A$3:$H$813,6,0),0)</f>
        <v>0</v>
      </c>
      <c r="G3713" s="149" t="n">
        <f aca="false">IF(C3713="M.O.",VLOOKUP(A3713,INSUMOS_AUX!A:F,6,0),0)</f>
        <v>12.95</v>
      </c>
    </row>
    <row r="3714" customFormat="false" ht="31.5" hidden="false" customHeight="false" outlineLevel="0" collapsed="false">
      <c r="A3714" s="150" t="n">
        <v>104329</v>
      </c>
      <c r="B3714" s="151" t="s">
        <v>2116</v>
      </c>
      <c r="C3714" s="152" t="s">
        <v>59</v>
      </c>
      <c r="D3714" s="152" t="s">
        <v>31</v>
      </c>
      <c r="E3714" s="150"/>
      <c r="F3714" s="153" t="n">
        <f aca="false">(SUMPRODUCT($E3715:$E3726,F3715:F3726))*1</f>
        <v>68.289086</v>
      </c>
      <c r="G3714" s="153" t="n">
        <f aca="false">(SUMPRODUCT($E3715:$E3726,G3715:G3726))*1</f>
        <v>8.70890237436</v>
      </c>
    </row>
    <row r="3715" customFormat="false" ht="21" hidden="false" customHeight="false" outlineLevel="0" collapsed="false">
      <c r="A3715" s="154" t="n">
        <v>37370</v>
      </c>
      <c r="B3715" s="155" t="s">
        <v>1443</v>
      </c>
      <c r="C3715" s="148" t="str">
        <f aca="false">VLOOKUP($A3715,INSUMOS_AUX!$A$3:$H$813,3,0)</f>
        <v>MAT.</v>
      </c>
      <c r="D3715" s="156" t="s">
        <v>1444</v>
      </c>
      <c r="E3715" s="154" t="n">
        <v>0.8462</v>
      </c>
      <c r="F3715" s="149" t="n">
        <f aca="false">IF(C3715="MAT.",VLOOKUP(A3715,INSUMOS_AUX!$A$3:$H$813,6,0),0)</f>
        <v>3.32</v>
      </c>
      <c r="G3715" s="149" t="n">
        <f aca="false">IF(C3715="M.O.",VLOOKUP(A3715,INSUMOS_AUX!A:F,6,0),0)</f>
        <v>0</v>
      </c>
    </row>
    <row r="3716" customFormat="false" ht="21" hidden="false" customHeight="false" outlineLevel="0" collapsed="false">
      <c r="A3716" s="154" t="n">
        <v>43485</v>
      </c>
      <c r="B3716" s="155" t="s">
        <v>1481</v>
      </c>
      <c r="C3716" s="148" t="str">
        <f aca="false">VLOOKUP($A3716,INSUMOS_AUX!$A$3:$H$813,3,0)</f>
        <v>MAT.</v>
      </c>
      <c r="D3716" s="156" t="s">
        <v>1444</v>
      </c>
      <c r="E3716" s="154" t="n">
        <v>0.8462</v>
      </c>
      <c r="F3716" s="149" t="n">
        <f aca="false">IF(C3716="MAT.",VLOOKUP(A3716,INSUMOS_AUX!$A$3:$H$813,6,0),0)</f>
        <v>1.13</v>
      </c>
      <c r="G3716" s="149" t="n">
        <f aca="false">IF(C3716="M.O.",VLOOKUP(A3716,INSUMOS_AUX!A:F,6,0),0)</f>
        <v>0</v>
      </c>
    </row>
    <row r="3717" customFormat="false" ht="21" hidden="false" customHeight="false" outlineLevel="0" collapsed="false">
      <c r="A3717" s="154" t="n">
        <v>37372</v>
      </c>
      <c r="B3717" s="155" t="s">
        <v>1446</v>
      </c>
      <c r="C3717" s="148" t="str">
        <f aca="false">VLOOKUP($A3717,INSUMOS_AUX!$A$3:$H$813,3,0)</f>
        <v>MAT.</v>
      </c>
      <c r="D3717" s="156" t="s">
        <v>1444</v>
      </c>
      <c r="E3717" s="154" t="n">
        <v>0.8462</v>
      </c>
      <c r="F3717" s="149" t="n">
        <f aca="false">IF(C3717="MAT.",VLOOKUP(A3717,INSUMOS_AUX!$A$3:$H$813,6,0),0)</f>
        <v>1.43</v>
      </c>
      <c r="G3717" s="149" t="n">
        <f aca="false">IF(C3717="M.O.",VLOOKUP(A3717,INSUMOS_AUX!A:F,6,0),0)</f>
        <v>0</v>
      </c>
    </row>
    <row r="3718" customFormat="false" ht="21" hidden="false" customHeight="false" outlineLevel="0" collapsed="false">
      <c r="A3718" s="154" t="n">
        <v>43461</v>
      </c>
      <c r="B3718" s="155" t="s">
        <v>1482</v>
      </c>
      <c r="C3718" s="148" t="str">
        <f aca="false">VLOOKUP($A3718,INSUMOS_AUX!$A$3:$H$813,3,0)</f>
        <v>MAT.</v>
      </c>
      <c r="D3718" s="156" t="s">
        <v>1444</v>
      </c>
      <c r="E3718" s="154" t="n">
        <v>0.8462</v>
      </c>
      <c r="F3718" s="149" t="n">
        <f aca="false">IF(C3718="MAT.",VLOOKUP(A3718,INSUMOS_AUX!$A$3:$H$813,6,0),0)</f>
        <v>0.31</v>
      </c>
      <c r="G3718" s="149" t="n">
        <f aca="false">IF(C3718="M.O.",VLOOKUP(A3718,INSUMOS_AUX!A:F,6,0),0)</f>
        <v>0</v>
      </c>
    </row>
    <row r="3719" customFormat="false" ht="21" hidden="false" customHeight="false" outlineLevel="0" collapsed="false">
      <c r="A3719" s="154" t="n">
        <v>37373</v>
      </c>
      <c r="B3719" s="155" t="s">
        <v>1448</v>
      </c>
      <c r="C3719" s="148" t="str">
        <f aca="false">VLOOKUP($A3719,INSUMOS_AUX!$A$3:$H$813,3,0)</f>
        <v>MAT.</v>
      </c>
      <c r="D3719" s="156" t="s">
        <v>1444</v>
      </c>
      <c r="E3719" s="154" t="n">
        <v>0.8462</v>
      </c>
      <c r="F3719" s="149" t="n">
        <f aca="false">IF(C3719="MAT.",VLOOKUP(A3719,INSUMOS_AUX!$A$3:$H$813,6,0),0)</f>
        <v>0.08</v>
      </c>
      <c r="G3719" s="149" t="n">
        <f aca="false">IF(C3719="M.O.",VLOOKUP(A3719,INSUMOS_AUX!A:F,6,0),0)</f>
        <v>0</v>
      </c>
    </row>
    <row r="3720" customFormat="false" ht="21" hidden="false" customHeight="false" outlineLevel="0" collapsed="false">
      <c r="A3720" s="154" t="n">
        <v>37371</v>
      </c>
      <c r="B3720" s="155" t="s">
        <v>1449</v>
      </c>
      <c r="C3720" s="148" t="str">
        <f aca="false">VLOOKUP($A3720,INSUMOS_AUX!$A$3:$H$813,3,0)</f>
        <v>MAT.</v>
      </c>
      <c r="D3720" s="156" t="s">
        <v>1444</v>
      </c>
      <c r="E3720" s="154" t="n">
        <v>0.8462</v>
      </c>
      <c r="F3720" s="149" t="n">
        <f aca="false">IF(C3720="MAT.",VLOOKUP(A3720,INSUMOS_AUX!$A$3:$H$813,6,0),0)</f>
        <v>0.59</v>
      </c>
      <c r="G3720" s="149" t="n">
        <f aca="false">IF(C3720="M.O.",VLOOKUP(A3720,INSUMOS_AUX!A:F,6,0),0)</f>
        <v>0</v>
      </c>
    </row>
    <row r="3721" customFormat="false" ht="15" hidden="false" customHeight="false" outlineLevel="0" collapsed="false">
      <c r="A3721" s="154" t="n">
        <v>122</v>
      </c>
      <c r="B3721" s="155" t="s">
        <v>2097</v>
      </c>
      <c r="C3721" s="148" t="str">
        <f aca="false">VLOOKUP($A3721,INSUMOS_AUX!$A$3:$H$813,3,0)</f>
        <v>MAT.</v>
      </c>
      <c r="D3721" s="156" t="s">
        <v>31</v>
      </c>
      <c r="E3721" s="154" t="n">
        <v>0.0292</v>
      </c>
      <c r="F3721" s="149" t="n">
        <f aca="false">IF(C3721="MAT.",VLOOKUP(A3721,INSUMOS_AUX!$A$3:$H$813,6,0),0)</f>
        <v>63.09</v>
      </c>
      <c r="G3721" s="149" t="n">
        <f aca="false">IF(C3721="M.O.",VLOOKUP(A3721,INSUMOS_AUX!A:F,6,0),0)</f>
        <v>0</v>
      </c>
    </row>
    <row r="3722" customFormat="false" ht="21" hidden="false" customHeight="false" outlineLevel="0" collapsed="false">
      <c r="A3722" s="154" t="n">
        <v>11717</v>
      </c>
      <c r="B3722" s="155" t="s">
        <v>2117</v>
      </c>
      <c r="C3722" s="148" t="str">
        <f aca="false">VLOOKUP($A3722,INSUMOS_AUX!$A$3:$H$813,3,0)</f>
        <v>MAT.</v>
      </c>
      <c r="D3722" s="156" t="s">
        <v>31</v>
      </c>
      <c r="E3722" s="154" t="n">
        <v>1</v>
      </c>
      <c r="F3722" s="149" t="n">
        <f aca="false">IF(C3722="MAT.",VLOOKUP(A3722,INSUMOS_AUX!$A$3:$H$813,6,0),0)</f>
        <v>57.46</v>
      </c>
      <c r="G3722" s="149" t="n">
        <f aca="false">IF(C3722="M.O.",VLOOKUP(A3722,INSUMOS_AUX!A:F,6,0),0)</f>
        <v>0</v>
      </c>
    </row>
    <row r="3723" customFormat="false" ht="15" hidden="false" customHeight="false" outlineLevel="0" collapsed="false">
      <c r="A3723" s="154" t="n">
        <v>38383</v>
      </c>
      <c r="B3723" s="155" t="s">
        <v>2093</v>
      </c>
      <c r="C3723" s="148" t="str">
        <f aca="false">VLOOKUP($A3723,INSUMOS_AUX!$A$3:$H$813,3,0)</f>
        <v>MAT.</v>
      </c>
      <c r="D3723" s="156" t="s">
        <v>31</v>
      </c>
      <c r="E3723" s="154" t="n">
        <v>0.0154</v>
      </c>
      <c r="F3723" s="149" t="n">
        <f aca="false">IF(C3723="MAT.",VLOOKUP(A3723,INSUMOS_AUX!$A$3:$H$813,6,0),0)</f>
        <v>2.39</v>
      </c>
      <c r="G3723" s="149" t="n">
        <f aca="false">IF(C3723="M.O.",VLOOKUP(A3723,INSUMOS_AUX!A:F,6,0),0)</f>
        <v>0</v>
      </c>
    </row>
    <row r="3724" customFormat="false" ht="21" hidden="false" customHeight="false" outlineLevel="0" collapsed="false">
      <c r="A3724" s="154" t="n">
        <v>20083</v>
      </c>
      <c r="B3724" s="155" t="s">
        <v>2095</v>
      </c>
      <c r="C3724" s="148" t="str">
        <f aca="false">VLOOKUP($A3724,INSUMOS_AUX!$A$3:$H$813,3,0)</f>
        <v>MAT.</v>
      </c>
      <c r="D3724" s="156" t="s">
        <v>31</v>
      </c>
      <c r="E3724" s="154" t="n">
        <v>0.044</v>
      </c>
      <c r="F3724" s="149" t="n">
        <f aca="false">IF(C3724="MAT.",VLOOKUP(A3724,INSUMOS_AUX!$A$3:$H$813,6,0),0)</f>
        <v>71.48</v>
      </c>
      <c r="G3724" s="149" t="n">
        <f aca="false">IF(C3724="M.O.",VLOOKUP(A3724,INSUMOS_AUX!A:F,6,0),0)</f>
        <v>0</v>
      </c>
    </row>
    <row r="3725" customFormat="false" ht="15" hidden="false" customHeight="false" outlineLevel="0" collapsed="false">
      <c r="A3725" s="154" t="n">
        <v>246</v>
      </c>
      <c r="B3725" s="155" t="s">
        <v>1752</v>
      </c>
      <c r="C3725" s="148" t="s">
        <v>59</v>
      </c>
      <c r="D3725" s="156" t="s">
        <v>1444</v>
      </c>
      <c r="E3725" s="154" t="n">
        <v>0.430707338</v>
      </c>
      <c r="F3725" s="149" t="n">
        <f aca="false">IF(C3725="MAT.",VLOOKUP(A3725,INSUMOS_AUX!$A$3:$H$813,6,0),0)</f>
        <v>0</v>
      </c>
      <c r="G3725" s="149" t="n">
        <f aca="false">IF(C3725="M.O.",VLOOKUP(A3725,INSUMOS_AUX!A:F,6,0),0)</f>
        <v>0</v>
      </c>
    </row>
    <row r="3726" customFormat="false" ht="15" hidden="false" customHeight="false" outlineLevel="0" collapsed="false">
      <c r="A3726" s="154" t="n">
        <v>2696</v>
      </c>
      <c r="B3726" s="155" t="s">
        <v>1483</v>
      </c>
      <c r="C3726" s="148" t="str">
        <f aca="false">VLOOKUP($A3726,INSUMOS_AUX!$A$3:$H$813,3,0)</f>
        <v>M.O.</v>
      </c>
      <c r="D3726" s="156" t="s">
        <v>1444</v>
      </c>
      <c r="E3726" s="154" t="n">
        <v>0.430707338</v>
      </c>
      <c r="F3726" s="149" t="n">
        <f aca="false">IF(C3726="MAT.",VLOOKUP(A3726,INSUMOS_AUX!$A$3:$H$813,6,0),0)</f>
        <v>0</v>
      </c>
      <c r="G3726" s="149" t="n">
        <f aca="false">IF(C3726="M.O.",VLOOKUP(A3726,INSUMOS_AUX!A:F,6,0),0)</f>
        <v>20.22</v>
      </c>
    </row>
    <row r="3727" customFormat="false" ht="31.5" hidden="false" customHeight="false" outlineLevel="0" collapsed="false">
      <c r="A3727" s="150" t="n">
        <v>89708</v>
      </c>
      <c r="B3727" s="151" t="s">
        <v>2118</v>
      </c>
      <c r="C3727" s="152" t="s">
        <v>59</v>
      </c>
      <c r="D3727" s="152" t="s">
        <v>31</v>
      </c>
      <c r="E3727" s="150"/>
      <c r="F3727" s="153" t="n">
        <f aca="false">(SUMPRODUCT($E3728:$E3739,F3728:F3739))*1</f>
        <v>91.202376</v>
      </c>
      <c r="G3727" s="153" t="n">
        <f aca="false">(SUMPRODUCT($E3728:$E3739,G3728:G3739))*1</f>
        <v>16.28095726008</v>
      </c>
    </row>
    <row r="3728" customFormat="false" ht="21" hidden="false" customHeight="false" outlineLevel="0" collapsed="false">
      <c r="A3728" s="154" t="n">
        <v>37370</v>
      </c>
      <c r="B3728" s="155" t="s">
        <v>1443</v>
      </c>
      <c r="C3728" s="148" t="str">
        <f aca="false">VLOOKUP($A3728,INSUMOS_AUX!$A$3:$H$813,3,0)</f>
        <v>MAT.</v>
      </c>
      <c r="D3728" s="156" t="s">
        <v>1444</v>
      </c>
      <c r="E3728" s="154" t="n">
        <v>0.9554</v>
      </c>
      <c r="F3728" s="149" t="n">
        <f aca="false">IF(C3728="MAT.",VLOOKUP(A3728,INSUMOS_AUX!$A$3:$H$813,6,0),0)</f>
        <v>3.32</v>
      </c>
      <c r="G3728" s="149" t="n">
        <f aca="false">IF(C3728="M.O.",VLOOKUP(A3728,INSUMOS_AUX!A:F,6,0),0)</f>
        <v>0</v>
      </c>
    </row>
    <row r="3729" customFormat="false" ht="21" hidden="false" customHeight="false" outlineLevel="0" collapsed="false">
      <c r="A3729" s="154" t="n">
        <v>43485</v>
      </c>
      <c r="B3729" s="155" t="s">
        <v>1481</v>
      </c>
      <c r="C3729" s="148" t="str">
        <f aca="false">VLOOKUP($A3729,INSUMOS_AUX!$A$3:$H$813,3,0)</f>
        <v>MAT.</v>
      </c>
      <c r="D3729" s="156" t="s">
        <v>1444</v>
      </c>
      <c r="E3729" s="154" t="n">
        <v>0.9554</v>
      </c>
      <c r="F3729" s="149" t="n">
        <f aca="false">IF(C3729="MAT.",VLOOKUP(A3729,INSUMOS_AUX!$A$3:$H$813,6,0),0)</f>
        <v>1.13</v>
      </c>
      <c r="G3729" s="149" t="n">
        <f aca="false">IF(C3729="M.O.",VLOOKUP(A3729,INSUMOS_AUX!A:F,6,0),0)</f>
        <v>0</v>
      </c>
    </row>
    <row r="3730" customFormat="false" ht="21" hidden="false" customHeight="false" outlineLevel="0" collapsed="false">
      <c r="A3730" s="154" t="n">
        <v>37372</v>
      </c>
      <c r="B3730" s="155" t="s">
        <v>1446</v>
      </c>
      <c r="C3730" s="148" t="str">
        <f aca="false">VLOOKUP($A3730,INSUMOS_AUX!$A$3:$H$813,3,0)</f>
        <v>MAT.</v>
      </c>
      <c r="D3730" s="156" t="s">
        <v>1444</v>
      </c>
      <c r="E3730" s="154" t="n">
        <v>0.9554</v>
      </c>
      <c r="F3730" s="149" t="n">
        <f aca="false">IF(C3730="MAT.",VLOOKUP(A3730,INSUMOS_AUX!$A$3:$H$813,6,0),0)</f>
        <v>1.43</v>
      </c>
      <c r="G3730" s="149" t="n">
        <f aca="false">IF(C3730="M.O.",VLOOKUP(A3730,INSUMOS_AUX!A:F,6,0),0)</f>
        <v>0</v>
      </c>
    </row>
    <row r="3731" customFormat="false" ht="21" hidden="false" customHeight="false" outlineLevel="0" collapsed="false">
      <c r="A3731" s="154" t="n">
        <v>43461</v>
      </c>
      <c r="B3731" s="155" t="s">
        <v>1482</v>
      </c>
      <c r="C3731" s="148" t="str">
        <f aca="false">VLOOKUP($A3731,INSUMOS_AUX!$A$3:$H$813,3,0)</f>
        <v>MAT.</v>
      </c>
      <c r="D3731" s="156" t="s">
        <v>1444</v>
      </c>
      <c r="E3731" s="154" t="n">
        <v>0.9554</v>
      </c>
      <c r="F3731" s="149" t="n">
        <f aca="false">IF(C3731="MAT.",VLOOKUP(A3731,INSUMOS_AUX!$A$3:$H$813,6,0),0)</f>
        <v>0.31</v>
      </c>
      <c r="G3731" s="149" t="n">
        <f aca="false">IF(C3731="M.O.",VLOOKUP(A3731,INSUMOS_AUX!A:F,6,0),0)</f>
        <v>0</v>
      </c>
    </row>
    <row r="3732" customFormat="false" ht="21" hidden="false" customHeight="false" outlineLevel="0" collapsed="false">
      <c r="A3732" s="154" t="n">
        <v>37373</v>
      </c>
      <c r="B3732" s="155" t="s">
        <v>1448</v>
      </c>
      <c r="C3732" s="148" t="str">
        <f aca="false">VLOOKUP($A3732,INSUMOS_AUX!$A$3:$H$813,3,0)</f>
        <v>MAT.</v>
      </c>
      <c r="D3732" s="156" t="s">
        <v>1444</v>
      </c>
      <c r="E3732" s="154" t="n">
        <v>0.9554</v>
      </c>
      <c r="F3732" s="149" t="n">
        <f aca="false">IF(C3732="MAT.",VLOOKUP(A3732,INSUMOS_AUX!$A$3:$H$813,6,0),0)</f>
        <v>0.08</v>
      </c>
      <c r="G3732" s="149" t="n">
        <f aca="false">IF(C3732="M.O.",VLOOKUP(A3732,INSUMOS_AUX!A:F,6,0),0)</f>
        <v>0</v>
      </c>
    </row>
    <row r="3733" customFormat="false" ht="21" hidden="false" customHeight="false" outlineLevel="0" collapsed="false">
      <c r="A3733" s="154" t="n">
        <v>37371</v>
      </c>
      <c r="B3733" s="155" t="s">
        <v>1449</v>
      </c>
      <c r="C3733" s="148" t="str">
        <f aca="false">VLOOKUP($A3733,INSUMOS_AUX!$A$3:$H$813,3,0)</f>
        <v>MAT.</v>
      </c>
      <c r="D3733" s="156" t="s">
        <v>1444</v>
      </c>
      <c r="E3733" s="154" t="n">
        <v>0.9554</v>
      </c>
      <c r="F3733" s="149" t="n">
        <f aca="false">IF(C3733="MAT.",VLOOKUP(A3733,INSUMOS_AUX!$A$3:$H$813,6,0),0)</f>
        <v>0.59</v>
      </c>
      <c r="G3733" s="149" t="n">
        <f aca="false">IF(C3733="M.O.",VLOOKUP(A3733,INSUMOS_AUX!A:F,6,0),0)</f>
        <v>0</v>
      </c>
    </row>
    <row r="3734" customFormat="false" ht="15" hidden="false" customHeight="false" outlineLevel="0" collapsed="false">
      <c r="A3734" s="154" t="n">
        <v>122</v>
      </c>
      <c r="B3734" s="155" t="s">
        <v>2097</v>
      </c>
      <c r="C3734" s="148" t="str">
        <f aca="false">VLOOKUP($A3734,INSUMOS_AUX!$A$3:$H$813,3,0)</f>
        <v>MAT.</v>
      </c>
      <c r="D3734" s="156" t="s">
        <v>31</v>
      </c>
      <c r="E3734" s="154" t="n">
        <v>0.0668</v>
      </c>
      <c r="F3734" s="149" t="n">
        <f aca="false">IF(C3734="MAT.",VLOOKUP(A3734,INSUMOS_AUX!$A$3:$H$813,6,0),0)</f>
        <v>63.09</v>
      </c>
      <c r="G3734" s="149" t="n">
        <f aca="false">IF(C3734="M.O.",VLOOKUP(A3734,INSUMOS_AUX!A:F,6,0),0)</f>
        <v>0</v>
      </c>
    </row>
    <row r="3735" customFormat="false" ht="21" hidden="false" customHeight="false" outlineLevel="0" collapsed="false">
      <c r="A3735" s="154" t="n">
        <v>11714</v>
      </c>
      <c r="B3735" s="155" t="s">
        <v>2119</v>
      </c>
      <c r="C3735" s="148" t="str">
        <f aca="false">VLOOKUP($A3735,INSUMOS_AUX!$A$3:$H$813,3,0)</f>
        <v>MAT.</v>
      </c>
      <c r="D3735" s="156" t="s">
        <v>31</v>
      </c>
      <c r="E3735" s="154" t="n">
        <v>1</v>
      </c>
      <c r="F3735" s="149" t="n">
        <f aca="false">IF(C3735="MAT.",VLOOKUP(A3735,INSUMOS_AUX!$A$3:$H$813,6,0),0)</f>
        <v>73</v>
      </c>
      <c r="G3735" s="149" t="n">
        <f aca="false">IF(C3735="M.O.",VLOOKUP(A3735,INSUMOS_AUX!A:F,6,0),0)</f>
        <v>0</v>
      </c>
    </row>
    <row r="3736" customFormat="false" ht="15" hidden="false" customHeight="false" outlineLevel="0" collapsed="false">
      <c r="A3736" s="154" t="n">
        <v>38383</v>
      </c>
      <c r="B3736" s="155" t="s">
        <v>2093</v>
      </c>
      <c r="C3736" s="148" t="s">
        <v>59</v>
      </c>
      <c r="D3736" s="156" t="s">
        <v>31</v>
      </c>
      <c r="E3736" s="154" t="n">
        <v>0.0184</v>
      </c>
      <c r="F3736" s="149" t="n">
        <f aca="false">IF(C3736="MAT.",VLOOKUP(A3736,INSUMOS_AUX!$A$3:$H$813,6,0),0)</f>
        <v>0</v>
      </c>
      <c r="G3736" s="149" t="n">
        <f aca="false">IF(C3736="M.O.",VLOOKUP(A3736,INSUMOS_AUX!A:F,6,0),0)</f>
        <v>0</v>
      </c>
    </row>
    <row r="3737" customFormat="false" ht="21" hidden="false" customHeight="false" outlineLevel="0" collapsed="false">
      <c r="A3737" s="154" t="n">
        <v>20083</v>
      </c>
      <c r="B3737" s="155" t="s">
        <v>2095</v>
      </c>
      <c r="C3737" s="148" t="str">
        <f aca="false">VLOOKUP($A3737,INSUMOS_AUX!$A$3:$H$813,3,0)</f>
        <v>MAT.</v>
      </c>
      <c r="D3737" s="156" t="s">
        <v>31</v>
      </c>
      <c r="E3737" s="154" t="n">
        <v>0.104</v>
      </c>
      <c r="F3737" s="149" t="n">
        <f aca="false">IF(C3737="MAT.",VLOOKUP(A3737,INSUMOS_AUX!$A$3:$H$813,6,0),0)</f>
        <v>71.48</v>
      </c>
      <c r="G3737" s="149" t="n">
        <f aca="false">IF(C3737="M.O.",VLOOKUP(A3737,INSUMOS_AUX!A:F,6,0),0)</f>
        <v>0</v>
      </c>
    </row>
    <row r="3738" customFormat="false" ht="15" hidden="false" customHeight="false" outlineLevel="0" collapsed="false">
      <c r="A3738" s="154" t="n">
        <v>246</v>
      </c>
      <c r="B3738" s="155" t="s">
        <v>1752</v>
      </c>
      <c r="C3738" s="148" t="str">
        <f aca="false">VLOOKUP($A3738,INSUMOS_AUX!$A$3:$H$813,3,0)</f>
        <v>M.O.</v>
      </c>
      <c r="D3738" s="156" t="s">
        <v>1444</v>
      </c>
      <c r="E3738" s="154" t="n">
        <v>0.486289046</v>
      </c>
      <c r="F3738" s="149" t="n">
        <f aca="false">IF(C3738="MAT.",VLOOKUP(A3738,INSUMOS_AUX!$A$3:$H$813,6,0),0)</f>
        <v>0</v>
      </c>
      <c r="G3738" s="149" t="n">
        <f aca="false">IF(C3738="M.O.",VLOOKUP(A3738,INSUMOS_AUX!A:F,6,0),0)</f>
        <v>13.26</v>
      </c>
    </row>
    <row r="3739" customFormat="false" ht="15" hidden="false" customHeight="false" outlineLevel="0" collapsed="false">
      <c r="A3739" s="154" t="n">
        <v>2696</v>
      </c>
      <c r="B3739" s="155" t="s">
        <v>1483</v>
      </c>
      <c r="C3739" s="148" t="str">
        <f aca="false">VLOOKUP($A3739,INSUMOS_AUX!$A$3:$H$813,3,0)</f>
        <v>M.O.</v>
      </c>
      <c r="D3739" s="156" t="s">
        <v>1444</v>
      </c>
      <c r="E3739" s="154" t="n">
        <v>0.486289046</v>
      </c>
      <c r="F3739" s="149" t="n">
        <f aca="false">IF(C3739="MAT.",VLOOKUP(A3739,INSUMOS_AUX!$A$3:$H$813,6,0),0)</f>
        <v>0</v>
      </c>
      <c r="G3739" s="149" t="n">
        <f aca="false">IF(C3739="M.O.",VLOOKUP(A3739,INSUMOS_AUX!A:F,6,0),0)</f>
        <v>20.22</v>
      </c>
    </row>
    <row r="3740" customFormat="false" ht="42" hidden="false" customHeight="false" outlineLevel="0" collapsed="false">
      <c r="A3740" s="150" t="n">
        <v>104341</v>
      </c>
      <c r="B3740" s="151" t="s">
        <v>2120</v>
      </c>
      <c r="C3740" s="152" t="s">
        <v>59</v>
      </c>
      <c r="D3740" s="152" t="s">
        <v>31</v>
      </c>
      <c r="E3740" s="150"/>
      <c r="F3740" s="153" t="n">
        <f aca="false">(SUMPRODUCT($E3741:$E3754,F3741:F3754))*1</f>
        <v>7.385576</v>
      </c>
      <c r="G3740" s="153" t="n">
        <f aca="false">(SUMPRODUCT($E3741:$E3754,G3741:G3754))*1</f>
        <v>3.0077338878</v>
      </c>
    </row>
    <row r="3741" customFormat="false" ht="21" hidden="false" customHeight="false" outlineLevel="0" collapsed="false">
      <c r="A3741" s="154" t="n">
        <v>37370</v>
      </c>
      <c r="B3741" s="155" t="s">
        <v>1443</v>
      </c>
      <c r="C3741" s="148" t="str">
        <f aca="false">VLOOKUP($A3741,INSUMOS_AUX!$A$3:$H$813,3,0)</f>
        <v>MAT.</v>
      </c>
      <c r="D3741" s="156" t="s">
        <v>1444</v>
      </c>
      <c r="E3741" s="154" t="n">
        <v>0.1765</v>
      </c>
      <c r="F3741" s="149" t="n">
        <f aca="false">IF(C3741="MAT.",VLOOKUP(A3741,INSUMOS_AUX!$A$3:$H$813,6,0),0)</f>
        <v>3.32</v>
      </c>
      <c r="G3741" s="149" t="n">
        <f aca="false">IF(C3741="M.O.",VLOOKUP(A3741,INSUMOS_AUX!A:F,6,0),0)</f>
        <v>0</v>
      </c>
    </row>
    <row r="3742" customFormat="false" ht="21" hidden="false" customHeight="false" outlineLevel="0" collapsed="false">
      <c r="A3742" s="154" t="n">
        <v>43485</v>
      </c>
      <c r="B3742" s="155" t="s">
        <v>1481</v>
      </c>
      <c r="C3742" s="148" t="str">
        <f aca="false">VLOOKUP($A3742,INSUMOS_AUX!$A$3:$H$813,3,0)</f>
        <v>MAT.</v>
      </c>
      <c r="D3742" s="156" t="s">
        <v>1444</v>
      </c>
      <c r="E3742" s="154" t="n">
        <v>0.1765</v>
      </c>
      <c r="F3742" s="149" t="n">
        <f aca="false">IF(C3742="MAT.",VLOOKUP(A3742,INSUMOS_AUX!$A$3:$H$813,6,0),0)</f>
        <v>1.13</v>
      </c>
      <c r="G3742" s="149" t="n">
        <f aca="false">IF(C3742="M.O.",VLOOKUP(A3742,INSUMOS_AUX!A:F,6,0),0)</f>
        <v>0</v>
      </c>
    </row>
    <row r="3743" customFormat="false" ht="21" hidden="false" customHeight="false" outlineLevel="0" collapsed="false">
      <c r="A3743" s="154" t="n">
        <v>37372</v>
      </c>
      <c r="B3743" s="155" t="s">
        <v>1446</v>
      </c>
      <c r="C3743" s="148" t="str">
        <f aca="false">VLOOKUP($A3743,INSUMOS_AUX!$A$3:$H$813,3,0)</f>
        <v>MAT.</v>
      </c>
      <c r="D3743" s="156" t="s">
        <v>1444</v>
      </c>
      <c r="E3743" s="154" t="n">
        <v>0.1765</v>
      </c>
      <c r="F3743" s="149" t="n">
        <f aca="false">IF(C3743="MAT.",VLOOKUP(A3743,INSUMOS_AUX!$A$3:$H$813,6,0),0)</f>
        <v>1.43</v>
      </c>
      <c r="G3743" s="149" t="n">
        <f aca="false">IF(C3743="M.O.",VLOOKUP(A3743,INSUMOS_AUX!A:F,6,0),0)</f>
        <v>0</v>
      </c>
    </row>
    <row r="3744" customFormat="false" ht="21" hidden="false" customHeight="false" outlineLevel="0" collapsed="false">
      <c r="A3744" s="154" t="n">
        <v>43461</v>
      </c>
      <c r="B3744" s="155" t="s">
        <v>1482</v>
      </c>
      <c r="C3744" s="148" t="str">
        <f aca="false">VLOOKUP($A3744,INSUMOS_AUX!$A$3:$H$813,3,0)</f>
        <v>MAT.</v>
      </c>
      <c r="D3744" s="156" t="s">
        <v>1444</v>
      </c>
      <c r="E3744" s="154" t="n">
        <v>0.1765</v>
      </c>
      <c r="F3744" s="149" t="n">
        <f aca="false">IF(C3744="MAT.",VLOOKUP(A3744,INSUMOS_AUX!$A$3:$H$813,6,0),0)</f>
        <v>0.31</v>
      </c>
      <c r="G3744" s="149" t="n">
        <f aca="false">IF(C3744="M.O.",VLOOKUP(A3744,INSUMOS_AUX!A:F,6,0),0)</f>
        <v>0</v>
      </c>
    </row>
    <row r="3745" customFormat="false" ht="21" hidden="false" customHeight="false" outlineLevel="0" collapsed="false">
      <c r="A3745" s="154" t="n">
        <v>37373</v>
      </c>
      <c r="B3745" s="155" t="s">
        <v>1448</v>
      </c>
      <c r="C3745" s="148" t="str">
        <f aca="false">VLOOKUP($A3745,INSUMOS_AUX!$A$3:$H$813,3,0)</f>
        <v>MAT.</v>
      </c>
      <c r="D3745" s="156" t="s">
        <v>1444</v>
      </c>
      <c r="E3745" s="154" t="n">
        <v>0.1765</v>
      </c>
      <c r="F3745" s="149" t="n">
        <f aca="false">IF(C3745="MAT.",VLOOKUP(A3745,INSUMOS_AUX!$A$3:$H$813,6,0),0)</f>
        <v>0.08</v>
      </c>
      <c r="G3745" s="149" t="n">
        <f aca="false">IF(C3745="M.O.",VLOOKUP(A3745,INSUMOS_AUX!A:F,6,0),0)</f>
        <v>0</v>
      </c>
    </row>
    <row r="3746" customFormat="false" ht="21" hidden="false" customHeight="false" outlineLevel="0" collapsed="false">
      <c r="A3746" s="154" t="n">
        <v>37371</v>
      </c>
      <c r="B3746" s="155" t="s">
        <v>1449</v>
      </c>
      <c r="C3746" s="148" t="str">
        <f aca="false">VLOOKUP($A3746,INSUMOS_AUX!$A$3:$H$813,3,0)</f>
        <v>MAT.</v>
      </c>
      <c r="D3746" s="156" t="s">
        <v>1444</v>
      </c>
      <c r="E3746" s="154" t="n">
        <v>0.1765</v>
      </c>
      <c r="F3746" s="149" t="n">
        <f aca="false">IF(C3746="MAT.",VLOOKUP(A3746,INSUMOS_AUX!$A$3:$H$813,6,0),0)</f>
        <v>0.59</v>
      </c>
      <c r="G3746" s="149" t="n">
        <f aca="false">IF(C3746="M.O.",VLOOKUP(A3746,INSUMOS_AUX!A:F,6,0),0)</f>
        <v>0</v>
      </c>
    </row>
    <row r="3747" customFormat="false" ht="15" hidden="false" customHeight="false" outlineLevel="0" collapsed="false">
      <c r="A3747" s="154" t="n">
        <v>122</v>
      </c>
      <c r="B3747" s="155" t="s">
        <v>2097</v>
      </c>
      <c r="C3747" s="148" t="s">
        <v>59</v>
      </c>
      <c r="D3747" s="156" t="s">
        <v>31</v>
      </c>
      <c r="E3747" s="154" t="n">
        <v>0.0049</v>
      </c>
      <c r="F3747" s="149" t="n">
        <f aca="false">IF(C3747="MAT.",VLOOKUP(A3747,INSUMOS_AUX!$A$3:$H$813,6,0),0)</f>
        <v>0</v>
      </c>
      <c r="G3747" s="149" t="n">
        <f aca="false">IF(C3747="M.O.",VLOOKUP(A3747,INSUMOS_AUX!A:F,6,0),0)</f>
        <v>0</v>
      </c>
    </row>
    <row r="3748" customFormat="false" ht="15" hidden="false" customHeight="false" outlineLevel="0" collapsed="false">
      <c r="A3748" s="154" t="n">
        <v>296</v>
      </c>
      <c r="B3748" s="155" t="s">
        <v>2121</v>
      </c>
      <c r="C3748" s="148" t="str">
        <f aca="false">VLOOKUP($A3748,INSUMOS_AUX!$A$3:$H$813,3,0)</f>
        <v>MAT.</v>
      </c>
      <c r="D3748" s="156" t="s">
        <v>31</v>
      </c>
      <c r="E3748" s="154" t="n">
        <v>1</v>
      </c>
      <c r="F3748" s="149" t="n">
        <f aca="false">IF(C3748="MAT.",VLOOKUP(A3748,INSUMOS_AUX!$A$3:$H$813,6,0),0)</f>
        <v>1.69</v>
      </c>
      <c r="G3748" s="149" t="n">
        <f aca="false">IF(C3748="M.O.",VLOOKUP(A3748,INSUMOS_AUX!A:F,6,0),0)</f>
        <v>0</v>
      </c>
    </row>
    <row r="3749" customFormat="false" ht="21" hidden="false" customHeight="false" outlineLevel="0" collapsed="false">
      <c r="A3749" s="154" t="n">
        <v>20086</v>
      </c>
      <c r="B3749" s="155" t="s">
        <v>2122</v>
      </c>
      <c r="C3749" s="148" t="str">
        <f aca="false">VLOOKUP($A3749,INSUMOS_AUX!$A$3:$H$813,3,0)</f>
        <v>MAT.</v>
      </c>
      <c r="D3749" s="156" t="s">
        <v>31</v>
      </c>
      <c r="E3749" s="154" t="n">
        <v>1</v>
      </c>
      <c r="F3749" s="149" t="n">
        <f aca="false">IF(C3749="MAT.",VLOOKUP(A3749,INSUMOS_AUX!$A$3:$H$813,6,0),0)</f>
        <v>3.28</v>
      </c>
      <c r="G3749" s="149" t="n">
        <f aca="false">IF(C3749="M.O.",VLOOKUP(A3749,INSUMOS_AUX!A:F,6,0),0)</f>
        <v>0</v>
      </c>
    </row>
    <row r="3750" customFormat="false" ht="15" hidden="false" customHeight="false" outlineLevel="0" collapsed="false">
      <c r="A3750" s="154" t="n">
        <v>38383</v>
      </c>
      <c r="B3750" s="155" t="s">
        <v>2093</v>
      </c>
      <c r="C3750" s="148" t="str">
        <f aca="false">VLOOKUP($A3750,INSUMOS_AUX!$A$3:$H$813,3,0)</f>
        <v>MAT.</v>
      </c>
      <c r="D3750" s="156" t="s">
        <v>31</v>
      </c>
      <c r="E3750" s="154" t="n">
        <v>0.0074</v>
      </c>
      <c r="F3750" s="149" t="n">
        <f aca="false">IF(C3750="MAT.",VLOOKUP(A3750,INSUMOS_AUX!$A$3:$H$813,6,0),0)</f>
        <v>2.39</v>
      </c>
      <c r="G3750" s="149" t="n">
        <f aca="false">IF(C3750="M.O.",VLOOKUP(A3750,INSUMOS_AUX!A:F,6,0),0)</f>
        <v>0</v>
      </c>
    </row>
    <row r="3751" customFormat="false" ht="31.5" hidden="false" customHeight="false" outlineLevel="0" collapsed="false">
      <c r="A3751" s="154" t="n">
        <v>20078</v>
      </c>
      <c r="B3751" s="155" t="s">
        <v>2123</v>
      </c>
      <c r="C3751" s="148" t="str">
        <f aca="false">VLOOKUP($A3751,INSUMOS_AUX!$A$3:$H$813,3,0)</f>
        <v>MAT.</v>
      </c>
      <c r="D3751" s="156" t="s">
        <v>31</v>
      </c>
      <c r="E3751" s="154" t="n">
        <v>0.025</v>
      </c>
      <c r="F3751" s="149" t="n">
        <f aca="false">IF(C3751="MAT.",VLOOKUP(A3751,INSUMOS_AUX!$A$3:$H$813,6,0),0)</f>
        <v>26.04</v>
      </c>
      <c r="G3751" s="149" t="n">
        <f aca="false">IF(C3751="M.O.",VLOOKUP(A3751,INSUMOS_AUX!A:F,6,0),0)</f>
        <v>0</v>
      </c>
    </row>
    <row r="3752" customFormat="false" ht="21" hidden="false" customHeight="false" outlineLevel="0" collapsed="false">
      <c r="A3752" s="154" t="n">
        <v>20083</v>
      </c>
      <c r="B3752" s="155" t="s">
        <v>2095</v>
      </c>
      <c r="C3752" s="148" t="str">
        <f aca="false">VLOOKUP($A3752,INSUMOS_AUX!$A$3:$H$813,3,0)</f>
        <v>MAT.</v>
      </c>
      <c r="D3752" s="156" t="s">
        <v>31</v>
      </c>
      <c r="E3752" s="154" t="n">
        <v>0.0075</v>
      </c>
      <c r="F3752" s="149" t="n">
        <f aca="false">IF(C3752="MAT.",VLOOKUP(A3752,INSUMOS_AUX!$A$3:$H$813,6,0),0)</f>
        <v>71.48</v>
      </c>
      <c r="G3752" s="149" t="n">
        <f aca="false">IF(C3752="M.O.",VLOOKUP(A3752,INSUMOS_AUX!A:F,6,0),0)</f>
        <v>0</v>
      </c>
    </row>
    <row r="3753" customFormat="false" ht="15" hidden="false" customHeight="false" outlineLevel="0" collapsed="false">
      <c r="A3753" s="154" t="n">
        <v>246</v>
      </c>
      <c r="B3753" s="155" t="s">
        <v>1752</v>
      </c>
      <c r="C3753" s="148" t="str">
        <f aca="false">VLOOKUP($A3753,INSUMOS_AUX!$A$3:$H$813,3,0)</f>
        <v>M.O.</v>
      </c>
      <c r="D3753" s="156" t="s">
        <v>1444</v>
      </c>
      <c r="E3753" s="154" t="n">
        <v>0.089836735</v>
      </c>
      <c r="F3753" s="149" t="n">
        <f aca="false">IF(C3753="MAT.",VLOOKUP(A3753,INSUMOS_AUX!$A$3:$H$813,6,0),0)</f>
        <v>0</v>
      </c>
      <c r="G3753" s="149" t="n">
        <f aca="false">IF(C3753="M.O.",VLOOKUP(A3753,INSUMOS_AUX!A:F,6,0),0)</f>
        <v>13.26</v>
      </c>
    </row>
    <row r="3754" customFormat="false" ht="15" hidden="false" customHeight="false" outlineLevel="0" collapsed="false">
      <c r="A3754" s="154" t="n">
        <v>2696</v>
      </c>
      <c r="B3754" s="155" t="s">
        <v>1483</v>
      </c>
      <c r="C3754" s="148" t="str">
        <f aca="false">VLOOKUP($A3754,INSUMOS_AUX!$A$3:$H$813,3,0)</f>
        <v>M.O.</v>
      </c>
      <c r="D3754" s="156" t="s">
        <v>1444</v>
      </c>
      <c r="E3754" s="154" t="n">
        <v>0.089836735</v>
      </c>
      <c r="F3754" s="149" t="n">
        <f aca="false">IF(C3754="MAT.",VLOOKUP(A3754,INSUMOS_AUX!$A$3:$H$813,6,0),0)</f>
        <v>0</v>
      </c>
      <c r="G3754" s="149" t="n">
        <f aca="false">IF(C3754="M.O.",VLOOKUP(A3754,INSUMOS_AUX!A:F,6,0),0)</f>
        <v>20.22</v>
      </c>
    </row>
    <row r="3755" customFormat="false" ht="31.5" hidden="false" customHeight="false" outlineLevel="0" collapsed="false">
      <c r="A3755" s="150" t="n">
        <v>89811</v>
      </c>
      <c r="B3755" s="151" t="s">
        <v>2124</v>
      </c>
      <c r="C3755" s="152" t="s">
        <v>59</v>
      </c>
      <c r="D3755" s="152" t="s">
        <v>31</v>
      </c>
      <c r="E3755" s="150"/>
      <c r="F3755" s="153" t="n">
        <f aca="false">(SUMPRODUCT($E3756:$E3766,F3756:F3766))*1</f>
        <v>36.719832</v>
      </c>
      <c r="G3755" s="153" t="n">
        <f aca="false">(SUMPRODUCT($E3756:$E3766,G3756:G3766))*1</f>
        <v>7.40260397088</v>
      </c>
    </row>
    <row r="3756" customFormat="false" ht="21" hidden="false" customHeight="false" outlineLevel="0" collapsed="false">
      <c r="A3756" s="154" t="n">
        <v>37370</v>
      </c>
      <c r="B3756" s="155" t="s">
        <v>1443</v>
      </c>
      <c r="C3756" s="148" t="str">
        <f aca="false">VLOOKUP($A3756,INSUMOS_AUX!$A$3:$H$813,3,0)</f>
        <v>MAT.</v>
      </c>
      <c r="D3756" s="156" t="s">
        <v>1444</v>
      </c>
      <c r="E3756" s="154" t="n">
        <v>0.4344</v>
      </c>
      <c r="F3756" s="149" t="n">
        <f aca="false">IF(C3756="MAT.",VLOOKUP(A3756,INSUMOS_AUX!$A$3:$H$813,6,0),0)</f>
        <v>3.32</v>
      </c>
      <c r="G3756" s="149" t="n">
        <f aca="false">IF(C3756="M.O.",VLOOKUP(A3756,INSUMOS_AUX!A:F,6,0),0)</f>
        <v>0</v>
      </c>
    </row>
    <row r="3757" customFormat="false" ht="21" hidden="false" customHeight="false" outlineLevel="0" collapsed="false">
      <c r="A3757" s="154" t="n">
        <v>43485</v>
      </c>
      <c r="B3757" s="155" t="s">
        <v>1481</v>
      </c>
      <c r="C3757" s="148" t="str">
        <f aca="false">VLOOKUP($A3757,INSUMOS_AUX!$A$3:$H$813,3,0)</f>
        <v>MAT.</v>
      </c>
      <c r="D3757" s="156" t="s">
        <v>1444</v>
      </c>
      <c r="E3757" s="154" t="n">
        <v>0.4344</v>
      </c>
      <c r="F3757" s="149" t="n">
        <f aca="false">IF(C3757="MAT.",VLOOKUP(A3757,INSUMOS_AUX!$A$3:$H$813,6,0),0)</f>
        <v>1.13</v>
      </c>
      <c r="G3757" s="149" t="n">
        <f aca="false">IF(C3757="M.O.",VLOOKUP(A3757,INSUMOS_AUX!A:F,6,0),0)</f>
        <v>0</v>
      </c>
    </row>
    <row r="3758" customFormat="false" ht="21" hidden="false" customHeight="false" outlineLevel="0" collapsed="false">
      <c r="A3758" s="154" t="n">
        <v>37372</v>
      </c>
      <c r="B3758" s="155" t="s">
        <v>1446</v>
      </c>
      <c r="C3758" s="148" t="str">
        <f aca="false">VLOOKUP($A3758,INSUMOS_AUX!$A$3:$H$813,3,0)</f>
        <v>MAT.</v>
      </c>
      <c r="D3758" s="156" t="s">
        <v>1444</v>
      </c>
      <c r="E3758" s="154" t="n">
        <v>0.4344</v>
      </c>
      <c r="F3758" s="149" t="n">
        <f aca="false">IF(C3758="MAT.",VLOOKUP(A3758,INSUMOS_AUX!$A$3:$H$813,6,0),0)</f>
        <v>1.43</v>
      </c>
      <c r="G3758" s="149" t="n">
        <f aca="false">IF(C3758="M.O.",VLOOKUP(A3758,INSUMOS_AUX!A:F,6,0),0)</f>
        <v>0</v>
      </c>
    </row>
    <row r="3759" customFormat="false" ht="21" hidden="false" customHeight="false" outlineLevel="0" collapsed="false">
      <c r="A3759" s="154" t="n">
        <v>43461</v>
      </c>
      <c r="B3759" s="155" t="s">
        <v>1482</v>
      </c>
      <c r="C3759" s="148" t="str">
        <f aca="false">VLOOKUP($A3759,INSUMOS_AUX!$A$3:$H$813,3,0)</f>
        <v>MAT.</v>
      </c>
      <c r="D3759" s="156" t="s">
        <v>1444</v>
      </c>
      <c r="E3759" s="154" t="n">
        <v>0.4344</v>
      </c>
      <c r="F3759" s="149" t="n">
        <f aca="false">IF(C3759="MAT.",VLOOKUP(A3759,INSUMOS_AUX!$A$3:$H$813,6,0),0)</f>
        <v>0.31</v>
      </c>
      <c r="G3759" s="149" t="n">
        <f aca="false">IF(C3759="M.O.",VLOOKUP(A3759,INSUMOS_AUX!A:F,6,0),0)</f>
        <v>0</v>
      </c>
    </row>
    <row r="3760" customFormat="false" ht="21" hidden="false" customHeight="false" outlineLevel="0" collapsed="false">
      <c r="A3760" s="154" t="n">
        <v>37373</v>
      </c>
      <c r="B3760" s="155" t="s">
        <v>1448</v>
      </c>
      <c r="C3760" s="148" t="s">
        <v>59</v>
      </c>
      <c r="D3760" s="156" t="s">
        <v>1444</v>
      </c>
      <c r="E3760" s="154" t="n">
        <v>0.4344</v>
      </c>
      <c r="F3760" s="149" t="n">
        <f aca="false">IF(C3760="MAT.",VLOOKUP(A3760,INSUMOS_AUX!$A$3:$H$813,6,0),0)</f>
        <v>0</v>
      </c>
      <c r="G3760" s="149" t="n">
        <f aca="false">IF(C3760="M.O.",VLOOKUP(A3760,INSUMOS_AUX!A:F,6,0),0)</f>
        <v>0</v>
      </c>
    </row>
    <row r="3761" customFormat="false" ht="21" hidden="false" customHeight="false" outlineLevel="0" collapsed="false">
      <c r="A3761" s="154" t="n">
        <v>37371</v>
      </c>
      <c r="B3761" s="155" t="s">
        <v>1449</v>
      </c>
      <c r="C3761" s="148" t="str">
        <f aca="false">VLOOKUP($A3761,INSUMOS_AUX!$A$3:$H$813,3,0)</f>
        <v>MAT.</v>
      </c>
      <c r="D3761" s="156" t="s">
        <v>1444</v>
      </c>
      <c r="E3761" s="154" t="n">
        <v>0.4344</v>
      </c>
      <c r="F3761" s="149" t="n">
        <f aca="false">IF(C3761="MAT.",VLOOKUP(A3761,INSUMOS_AUX!$A$3:$H$813,6,0),0)</f>
        <v>0.59</v>
      </c>
      <c r="G3761" s="149" t="n">
        <f aca="false">IF(C3761="M.O.",VLOOKUP(A3761,INSUMOS_AUX!A:F,6,0),0)</f>
        <v>0</v>
      </c>
    </row>
    <row r="3762" customFormat="false" ht="21" hidden="false" customHeight="false" outlineLevel="0" collapsed="false">
      <c r="A3762" s="154" t="n">
        <v>301</v>
      </c>
      <c r="B3762" s="155" t="s">
        <v>2125</v>
      </c>
      <c r="C3762" s="148" t="str">
        <f aca="false">VLOOKUP($A3762,INSUMOS_AUX!$A$3:$H$813,3,0)</f>
        <v>MAT.</v>
      </c>
      <c r="D3762" s="156" t="s">
        <v>31</v>
      </c>
      <c r="E3762" s="154" t="n">
        <v>2</v>
      </c>
      <c r="F3762" s="149" t="n">
        <f aca="false">IF(C3762="MAT.",VLOOKUP(A3762,INSUMOS_AUX!$A$3:$H$813,6,0),0)</f>
        <v>3</v>
      </c>
      <c r="G3762" s="149" t="n">
        <f aca="false">IF(C3762="M.O.",VLOOKUP(A3762,INSUMOS_AUX!A:F,6,0),0)</f>
        <v>0</v>
      </c>
    </row>
    <row r="3763" customFormat="false" ht="15" hidden="false" customHeight="false" outlineLevel="0" collapsed="false">
      <c r="A3763" s="154" t="n">
        <v>1966</v>
      </c>
      <c r="B3763" s="155" t="s">
        <v>2126</v>
      </c>
      <c r="C3763" s="148" t="str">
        <f aca="false">VLOOKUP($A3763,INSUMOS_AUX!$A$3:$H$813,3,0)</f>
        <v>MAT.</v>
      </c>
      <c r="D3763" s="156" t="s">
        <v>31</v>
      </c>
      <c r="E3763" s="154" t="n">
        <v>1</v>
      </c>
      <c r="F3763" s="149" t="n">
        <f aca="false">IF(C3763="MAT.",VLOOKUP(A3763,INSUMOS_AUX!$A$3:$H$813,6,0),0)</f>
        <v>24.78</v>
      </c>
      <c r="G3763" s="149" t="n">
        <f aca="false">IF(C3763="M.O.",VLOOKUP(A3763,INSUMOS_AUX!A:F,6,0),0)</f>
        <v>0</v>
      </c>
    </row>
    <row r="3764" customFormat="false" ht="31.5" hidden="false" customHeight="false" outlineLevel="0" collapsed="false">
      <c r="A3764" s="154" t="n">
        <v>20078</v>
      </c>
      <c r="B3764" s="155" t="s">
        <v>2123</v>
      </c>
      <c r="C3764" s="148" t="str">
        <f aca="false">VLOOKUP($A3764,INSUMOS_AUX!$A$3:$H$813,3,0)</f>
        <v>MAT.</v>
      </c>
      <c r="D3764" s="156" t="s">
        <v>31</v>
      </c>
      <c r="E3764" s="154" t="n">
        <v>0.115</v>
      </c>
      <c r="F3764" s="149" t="n">
        <f aca="false">IF(C3764="MAT.",VLOOKUP(A3764,INSUMOS_AUX!$A$3:$H$813,6,0),0)</f>
        <v>26.04</v>
      </c>
      <c r="G3764" s="149" t="n">
        <f aca="false">IF(C3764="M.O.",VLOOKUP(A3764,INSUMOS_AUX!A:F,6,0),0)</f>
        <v>0</v>
      </c>
    </row>
    <row r="3765" customFormat="false" ht="15" hidden="false" customHeight="false" outlineLevel="0" collapsed="false">
      <c r="A3765" s="154" t="n">
        <v>246</v>
      </c>
      <c r="B3765" s="155" t="s">
        <v>1752</v>
      </c>
      <c r="C3765" s="148" t="str">
        <f aca="false">VLOOKUP($A3765,INSUMOS_AUX!$A$3:$H$813,3,0)</f>
        <v>M.O.</v>
      </c>
      <c r="D3765" s="156" t="s">
        <v>1444</v>
      </c>
      <c r="E3765" s="154" t="n">
        <v>0.221105256</v>
      </c>
      <c r="F3765" s="149" t="n">
        <f aca="false">IF(C3765="MAT.",VLOOKUP(A3765,INSUMOS_AUX!$A$3:$H$813,6,0),0)</f>
        <v>0</v>
      </c>
      <c r="G3765" s="149" t="n">
        <f aca="false">IF(C3765="M.O.",VLOOKUP(A3765,INSUMOS_AUX!A:F,6,0),0)</f>
        <v>13.26</v>
      </c>
    </row>
    <row r="3766" customFormat="false" ht="15" hidden="false" customHeight="false" outlineLevel="0" collapsed="false">
      <c r="A3766" s="154" t="n">
        <v>2696</v>
      </c>
      <c r="B3766" s="155" t="s">
        <v>1483</v>
      </c>
      <c r="C3766" s="148" t="str">
        <f aca="false">VLOOKUP($A3766,INSUMOS_AUX!$A$3:$H$813,3,0)</f>
        <v>M.O.</v>
      </c>
      <c r="D3766" s="156" t="s">
        <v>1444</v>
      </c>
      <c r="E3766" s="154" t="n">
        <v>0.221105256</v>
      </c>
      <c r="F3766" s="149" t="n">
        <f aca="false">IF(C3766="MAT.",VLOOKUP(A3766,INSUMOS_AUX!$A$3:$H$813,6,0),0)</f>
        <v>0</v>
      </c>
      <c r="G3766" s="149" t="n">
        <f aca="false">IF(C3766="M.O.",VLOOKUP(A3766,INSUMOS_AUX!A:F,6,0),0)</f>
        <v>20.22</v>
      </c>
    </row>
    <row r="3767" customFormat="false" ht="31.5" hidden="false" customHeight="false" outlineLevel="0" collapsed="false">
      <c r="A3767" s="150" t="n">
        <v>89728</v>
      </c>
      <c r="B3767" s="151" t="s">
        <v>2127</v>
      </c>
      <c r="C3767" s="152" t="s">
        <v>59</v>
      </c>
      <c r="D3767" s="152" t="s">
        <v>31</v>
      </c>
      <c r="E3767" s="150"/>
      <c r="F3767" s="153" t="n">
        <f aca="false">(SUMPRODUCT($E3768:$E3779,F3768:F3779))*1</f>
        <v>8.64634</v>
      </c>
      <c r="G3767" s="153" t="n">
        <f aca="false">(SUMPRODUCT($E3768:$E3779,G3768:G3779))*1</f>
        <v>4.3284102408</v>
      </c>
    </row>
    <row r="3768" customFormat="false" ht="21" hidden="false" customHeight="false" outlineLevel="0" collapsed="false">
      <c r="A3768" s="154" t="n">
        <v>37370</v>
      </c>
      <c r="B3768" s="155" t="s">
        <v>1443</v>
      </c>
      <c r="C3768" s="148" t="str">
        <f aca="false">VLOOKUP($A3768,INSUMOS_AUX!$A$3:$H$813,3,0)</f>
        <v>MAT.</v>
      </c>
      <c r="D3768" s="156" t="s">
        <v>1444</v>
      </c>
      <c r="E3768" s="154" t="n">
        <v>0.254</v>
      </c>
      <c r="F3768" s="149" t="n">
        <f aca="false">IF(C3768="MAT.",VLOOKUP(A3768,INSUMOS_AUX!$A$3:$H$813,6,0),0)</f>
        <v>3.32</v>
      </c>
      <c r="G3768" s="149" t="n">
        <f aca="false">IF(C3768="M.O.",VLOOKUP(A3768,INSUMOS_AUX!A:F,6,0),0)</f>
        <v>0</v>
      </c>
    </row>
    <row r="3769" customFormat="false" ht="21" hidden="false" customHeight="false" outlineLevel="0" collapsed="false">
      <c r="A3769" s="154" t="n">
        <v>43485</v>
      </c>
      <c r="B3769" s="155" t="s">
        <v>1481</v>
      </c>
      <c r="C3769" s="148" t="str">
        <f aca="false">VLOOKUP($A3769,INSUMOS_AUX!$A$3:$H$813,3,0)</f>
        <v>MAT.</v>
      </c>
      <c r="D3769" s="156" t="s">
        <v>1444</v>
      </c>
      <c r="E3769" s="154" t="n">
        <v>0.254</v>
      </c>
      <c r="F3769" s="149" t="n">
        <f aca="false">IF(C3769="MAT.",VLOOKUP(A3769,INSUMOS_AUX!$A$3:$H$813,6,0),0)</f>
        <v>1.13</v>
      </c>
      <c r="G3769" s="149" t="n">
        <f aca="false">IF(C3769="M.O.",VLOOKUP(A3769,INSUMOS_AUX!A:F,6,0),0)</f>
        <v>0</v>
      </c>
    </row>
    <row r="3770" customFormat="false" ht="21" hidden="false" customHeight="false" outlineLevel="0" collapsed="false">
      <c r="A3770" s="154" t="n">
        <v>37372</v>
      </c>
      <c r="B3770" s="155" t="s">
        <v>1446</v>
      </c>
      <c r="C3770" s="148" t="str">
        <f aca="false">VLOOKUP($A3770,INSUMOS_AUX!$A$3:$H$813,3,0)</f>
        <v>MAT.</v>
      </c>
      <c r="D3770" s="156" t="s">
        <v>1444</v>
      </c>
      <c r="E3770" s="154" t="n">
        <v>0.254</v>
      </c>
      <c r="F3770" s="149" t="n">
        <f aca="false">IF(C3770="MAT.",VLOOKUP(A3770,INSUMOS_AUX!$A$3:$H$813,6,0),0)</f>
        <v>1.43</v>
      </c>
      <c r="G3770" s="149" t="n">
        <f aca="false">IF(C3770="M.O.",VLOOKUP(A3770,INSUMOS_AUX!A:F,6,0),0)</f>
        <v>0</v>
      </c>
    </row>
    <row r="3771" customFormat="false" ht="21" hidden="false" customHeight="false" outlineLevel="0" collapsed="false">
      <c r="A3771" s="154" t="n">
        <v>43461</v>
      </c>
      <c r="B3771" s="155" t="s">
        <v>1482</v>
      </c>
      <c r="C3771" s="148" t="str">
        <f aca="false">VLOOKUP($A3771,INSUMOS_AUX!$A$3:$H$813,3,0)</f>
        <v>MAT.</v>
      </c>
      <c r="D3771" s="156" t="s">
        <v>1444</v>
      </c>
      <c r="E3771" s="154" t="n">
        <v>0.254</v>
      </c>
      <c r="F3771" s="149" t="n">
        <f aca="false">IF(C3771="MAT.",VLOOKUP(A3771,INSUMOS_AUX!$A$3:$H$813,6,0),0)</f>
        <v>0.31</v>
      </c>
      <c r="G3771" s="149" t="n">
        <f aca="false">IF(C3771="M.O.",VLOOKUP(A3771,INSUMOS_AUX!A:F,6,0),0)</f>
        <v>0</v>
      </c>
    </row>
    <row r="3772" customFormat="false" ht="21" hidden="false" customHeight="false" outlineLevel="0" collapsed="false">
      <c r="A3772" s="154" t="n">
        <v>37373</v>
      </c>
      <c r="B3772" s="155" t="s">
        <v>1448</v>
      </c>
      <c r="C3772" s="148" t="str">
        <f aca="false">VLOOKUP($A3772,INSUMOS_AUX!$A$3:$H$813,3,0)</f>
        <v>MAT.</v>
      </c>
      <c r="D3772" s="156" t="s">
        <v>1444</v>
      </c>
      <c r="E3772" s="154" t="n">
        <v>0.254</v>
      </c>
      <c r="F3772" s="149" t="n">
        <f aca="false">IF(C3772="MAT.",VLOOKUP(A3772,INSUMOS_AUX!$A$3:$H$813,6,0),0)</f>
        <v>0.08</v>
      </c>
      <c r="G3772" s="149" t="n">
        <f aca="false">IF(C3772="M.O.",VLOOKUP(A3772,INSUMOS_AUX!A:F,6,0),0)</f>
        <v>0</v>
      </c>
    </row>
    <row r="3773" customFormat="false" ht="21" hidden="false" customHeight="false" outlineLevel="0" collapsed="false">
      <c r="A3773" s="154" t="n">
        <v>37371</v>
      </c>
      <c r="B3773" s="155" t="s">
        <v>1449</v>
      </c>
      <c r="C3773" s="148" t="s">
        <v>59</v>
      </c>
      <c r="D3773" s="156" t="s">
        <v>1444</v>
      </c>
      <c r="E3773" s="154" t="n">
        <v>0.254</v>
      </c>
      <c r="F3773" s="149" t="n">
        <f aca="false">IF(C3773="MAT.",VLOOKUP(A3773,INSUMOS_AUX!$A$3:$H$813,6,0),0)</f>
        <v>0</v>
      </c>
      <c r="G3773" s="149" t="n">
        <f aca="false">IF(C3773="M.O.",VLOOKUP(A3773,INSUMOS_AUX!A:F,6,0),0)</f>
        <v>0</v>
      </c>
    </row>
    <row r="3774" customFormat="false" ht="15" hidden="false" customHeight="false" outlineLevel="0" collapsed="false">
      <c r="A3774" s="154" t="n">
        <v>122</v>
      </c>
      <c r="B3774" s="155" t="s">
        <v>2097</v>
      </c>
      <c r="C3774" s="148" t="str">
        <f aca="false">VLOOKUP($A3774,INSUMOS_AUX!$A$3:$H$813,3,0)</f>
        <v>MAT.</v>
      </c>
      <c r="D3774" s="156" t="s">
        <v>31</v>
      </c>
      <c r="E3774" s="154" t="n">
        <v>0.0099</v>
      </c>
      <c r="F3774" s="149" t="n">
        <f aca="false">IF(C3774="MAT.",VLOOKUP(A3774,INSUMOS_AUX!$A$3:$H$813,6,0),0)</f>
        <v>63.09</v>
      </c>
      <c r="G3774" s="149" t="n">
        <f aca="false">IF(C3774="M.O.",VLOOKUP(A3774,INSUMOS_AUX!A:F,6,0),0)</f>
        <v>0</v>
      </c>
    </row>
    <row r="3775" customFormat="false" ht="15" hidden="false" customHeight="false" outlineLevel="0" collapsed="false">
      <c r="A3775" s="154" t="n">
        <v>1933</v>
      </c>
      <c r="B3775" s="155" t="s">
        <v>2128</v>
      </c>
      <c r="C3775" s="148" t="str">
        <f aca="false">VLOOKUP($A3775,INSUMOS_AUX!$A$3:$H$813,3,0)</f>
        <v>MAT.</v>
      </c>
      <c r="D3775" s="156" t="s">
        <v>31</v>
      </c>
      <c r="E3775" s="154" t="n">
        <v>1</v>
      </c>
      <c r="F3775" s="149" t="n">
        <f aca="false">IF(C3775="MAT.",VLOOKUP(A3775,INSUMOS_AUX!$A$3:$H$813,6,0),0)</f>
        <v>5.34</v>
      </c>
      <c r="G3775" s="149" t="n">
        <f aca="false">IF(C3775="M.O.",VLOOKUP(A3775,INSUMOS_AUX!A:F,6,0),0)</f>
        <v>0</v>
      </c>
    </row>
    <row r="3776" customFormat="false" ht="15" hidden="false" customHeight="false" outlineLevel="0" collapsed="false">
      <c r="A3776" s="154" t="n">
        <v>38383</v>
      </c>
      <c r="B3776" s="155" t="s">
        <v>2093</v>
      </c>
      <c r="C3776" s="148" t="str">
        <f aca="false">VLOOKUP($A3776,INSUMOS_AUX!$A$3:$H$813,3,0)</f>
        <v>MAT.</v>
      </c>
      <c r="D3776" s="156" t="s">
        <v>31</v>
      </c>
      <c r="E3776" s="154" t="n">
        <v>0.0071</v>
      </c>
      <c r="F3776" s="149" t="n">
        <f aca="false">IF(C3776="MAT.",VLOOKUP(A3776,INSUMOS_AUX!$A$3:$H$813,6,0),0)</f>
        <v>2.39</v>
      </c>
      <c r="G3776" s="149" t="n">
        <f aca="false">IF(C3776="M.O.",VLOOKUP(A3776,INSUMOS_AUX!A:F,6,0),0)</f>
        <v>0</v>
      </c>
    </row>
    <row r="3777" customFormat="false" ht="21" hidden="false" customHeight="false" outlineLevel="0" collapsed="false">
      <c r="A3777" s="154" t="n">
        <v>20083</v>
      </c>
      <c r="B3777" s="155" t="s">
        <v>2095</v>
      </c>
      <c r="C3777" s="148" t="str">
        <f aca="false">VLOOKUP($A3777,INSUMOS_AUX!$A$3:$H$813,3,0)</f>
        <v>MAT.</v>
      </c>
      <c r="D3777" s="156" t="s">
        <v>31</v>
      </c>
      <c r="E3777" s="154" t="n">
        <v>0.015</v>
      </c>
      <c r="F3777" s="149" t="n">
        <f aca="false">IF(C3777="MAT.",VLOOKUP(A3777,INSUMOS_AUX!$A$3:$H$813,6,0),0)</f>
        <v>71.48</v>
      </c>
      <c r="G3777" s="149" t="n">
        <f aca="false">IF(C3777="M.O.",VLOOKUP(A3777,INSUMOS_AUX!A:F,6,0),0)</f>
        <v>0</v>
      </c>
    </row>
    <row r="3778" customFormat="false" ht="15" hidden="false" customHeight="false" outlineLevel="0" collapsed="false">
      <c r="A3778" s="154" t="n">
        <v>246</v>
      </c>
      <c r="B3778" s="155" t="s">
        <v>1752</v>
      </c>
      <c r="C3778" s="148" t="str">
        <f aca="false">VLOOKUP($A3778,INSUMOS_AUX!$A$3:$H$813,3,0)</f>
        <v>M.O.</v>
      </c>
      <c r="D3778" s="156" t="s">
        <v>1444</v>
      </c>
      <c r="E3778" s="154" t="n">
        <v>0.12928346</v>
      </c>
      <c r="F3778" s="149" t="n">
        <f aca="false">IF(C3778="MAT.",VLOOKUP(A3778,INSUMOS_AUX!$A$3:$H$813,6,0),0)</f>
        <v>0</v>
      </c>
      <c r="G3778" s="149" t="n">
        <f aca="false">IF(C3778="M.O.",VLOOKUP(A3778,INSUMOS_AUX!A:F,6,0),0)</f>
        <v>13.26</v>
      </c>
    </row>
    <row r="3779" customFormat="false" ht="15" hidden="false" customHeight="false" outlineLevel="0" collapsed="false">
      <c r="A3779" s="154" t="n">
        <v>2696</v>
      </c>
      <c r="B3779" s="155" t="s">
        <v>1483</v>
      </c>
      <c r="C3779" s="148" t="str">
        <f aca="false">VLOOKUP($A3779,INSUMOS_AUX!$A$3:$H$813,3,0)</f>
        <v>M.O.</v>
      </c>
      <c r="D3779" s="156" t="s">
        <v>1444</v>
      </c>
      <c r="E3779" s="154" t="n">
        <v>0.12928346</v>
      </c>
      <c r="F3779" s="149" t="n">
        <f aca="false">IF(C3779="MAT.",VLOOKUP(A3779,INSUMOS_AUX!$A$3:$H$813,6,0),0)</f>
        <v>0</v>
      </c>
      <c r="G3779" s="149" t="n">
        <f aca="false">IF(C3779="M.O.",VLOOKUP(A3779,INSUMOS_AUX!A:F,6,0),0)</f>
        <v>20.22</v>
      </c>
    </row>
    <row r="3780" customFormat="false" ht="31.5" hidden="false" customHeight="false" outlineLevel="0" collapsed="false">
      <c r="A3780" s="150" t="n">
        <v>89742</v>
      </c>
      <c r="B3780" s="151" t="s">
        <v>2129</v>
      </c>
      <c r="C3780" s="152" t="s">
        <v>59</v>
      </c>
      <c r="D3780" s="152" t="s">
        <v>31</v>
      </c>
      <c r="E3780" s="150"/>
      <c r="F3780" s="153" t="n">
        <f aca="false">(SUMPRODUCT($E3781:$E3791,F3781:F3791))*1</f>
        <v>34.673112</v>
      </c>
      <c r="G3780" s="153" t="n">
        <f aca="false">(SUMPRODUCT($E3781:$E3791,G3781:G3791))*1</f>
        <v>5.63034151008</v>
      </c>
    </row>
    <row r="3781" customFormat="false" ht="21" hidden="false" customHeight="false" outlineLevel="0" collapsed="false">
      <c r="A3781" s="154" t="n">
        <v>37370</v>
      </c>
      <c r="B3781" s="155" t="s">
        <v>1443</v>
      </c>
      <c r="C3781" s="148" t="str">
        <f aca="false">VLOOKUP($A3781,INSUMOS_AUX!$A$3:$H$813,3,0)</f>
        <v>MAT.</v>
      </c>
      <c r="D3781" s="156" t="s">
        <v>1444</v>
      </c>
      <c r="E3781" s="154" t="n">
        <v>0.3304</v>
      </c>
      <c r="F3781" s="149" t="n">
        <f aca="false">IF(C3781="MAT.",VLOOKUP(A3781,INSUMOS_AUX!$A$3:$H$813,6,0),0)</f>
        <v>3.32</v>
      </c>
      <c r="G3781" s="149" t="n">
        <f aca="false">IF(C3781="M.O.",VLOOKUP(A3781,INSUMOS_AUX!A:F,6,0),0)</f>
        <v>0</v>
      </c>
    </row>
    <row r="3782" customFormat="false" ht="21" hidden="false" customHeight="false" outlineLevel="0" collapsed="false">
      <c r="A3782" s="154" t="n">
        <v>43485</v>
      </c>
      <c r="B3782" s="155" t="s">
        <v>1481</v>
      </c>
      <c r="C3782" s="148" t="str">
        <f aca="false">VLOOKUP($A3782,INSUMOS_AUX!$A$3:$H$813,3,0)</f>
        <v>MAT.</v>
      </c>
      <c r="D3782" s="156" t="s">
        <v>1444</v>
      </c>
      <c r="E3782" s="154" t="n">
        <v>0.3304</v>
      </c>
      <c r="F3782" s="149" t="n">
        <f aca="false">IF(C3782="MAT.",VLOOKUP(A3782,INSUMOS_AUX!$A$3:$H$813,6,0),0)</f>
        <v>1.13</v>
      </c>
      <c r="G3782" s="149" t="n">
        <f aca="false">IF(C3782="M.O.",VLOOKUP(A3782,INSUMOS_AUX!A:F,6,0),0)</f>
        <v>0</v>
      </c>
    </row>
    <row r="3783" customFormat="false" ht="21" hidden="false" customHeight="false" outlineLevel="0" collapsed="false">
      <c r="A3783" s="154" t="n">
        <v>37372</v>
      </c>
      <c r="B3783" s="155" t="s">
        <v>1446</v>
      </c>
      <c r="C3783" s="148" t="str">
        <f aca="false">VLOOKUP($A3783,INSUMOS_AUX!$A$3:$H$813,3,0)</f>
        <v>MAT.</v>
      </c>
      <c r="D3783" s="156" t="s">
        <v>1444</v>
      </c>
      <c r="E3783" s="154" t="n">
        <v>0.3304</v>
      </c>
      <c r="F3783" s="149" t="n">
        <f aca="false">IF(C3783="MAT.",VLOOKUP(A3783,INSUMOS_AUX!$A$3:$H$813,6,0),0)</f>
        <v>1.43</v>
      </c>
      <c r="G3783" s="149" t="n">
        <f aca="false">IF(C3783="M.O.",VLOOKUP(A3783,INSUMOS_AUX!A:F,6,0),0)</f>
        <v>0</v>
      </c>
    </row>
    <row r="3784" customFormat="false" ht="21" hidden="false" customHeight="false" outlineLevel="0" collapsed="false">
      <c r="A3784" s="154" t="n">
        <v>43461</v>
      </c>
      <c r="B3784" s="155" t="s">
        <v>1482</v>
      </c>
      <c r="C3784" s="148" t="str">
        <f aca="false">VLOOKUP($A3784,INSUMOS_AUX!$A$3:$H$813,3,0)</f>
        <v>MAT.</v>
      </c>
      <c r="D3784" s="156" t="s">
        <v>1444</v>
      </c>
      <c r="E3784" s="154" t="n">
        <v>0.3304</v>
      </c>
      <c r="F3784" s="149" t="n">
        <f aca="false">IF(C3784="MAT.",VLOOKUP(A3784,INSUMOS_AUX!$A$3:$H$813,6,0),0)</f>
        <v>0.31</v>
      </c>
      <c r="G3784" s="149" t="n">
        <f aca="false">IF(C3784="M.O.",VLOOKUP(A3784,INSUMOS_AUX!A:F,6,0),0)</f>
        <v>0</v>
      </c>
    </row>
    <row r="3785" customFormat="false" ht="21" hidden="false" customHeight="false" outlineLevel="0" collapsed="false">
      <c r="A3785" s="154" t="n">
        <v>37373</v>
      </c>
      <c r="B3785" s="155" t="s">
        <v>1448</v>
      </c>
      <c r="C3785" s="148" t="s">
        <v>59</v>
      </c>
      <c r="D3785" s="156" t="s">
        <v>1444</v>
      </c>
      <c r="E3785" s="154" t="n">
        <v>0.3304</v>
      </c>
      <c r="F3785" s="149" t="n">
        <f aca="false">IF(C3785="MAT.",VLOOKUP(A3785,INSUMOS_AUX!$A$3:$H$813,6,0),0)</f>
        <v>0</v>
      </c>
      <c r="G3785" s="149" t="n">
        <f aca="false">IF(C3785="M.O.",VLOOKUP(A3785,INSUMOS_AUX!A:F,6,0),0)</f>
        <v>0</v>
      </c>
    </row>
    <row r="3786" customFormat="false" ht="21" hidden="false" customHeight="false" outlineLevel="0" collapsed="false">
      <c r="A3786" s="154" t="n">
        <v>37371</v>
      </c>
      <c r="B3786" s="155" t="s">
        <v>1449</v>
      </c>
      <c r="C3786" s="148" t="str">
        <f aca="false">VLOOKUP($A3786,INSUMOS_AUX!$A$3:$H$813,3,0)</f>
        <v>MAT.</v>
      </c>
      <c r="D3786" s="156" t="s">
        <v>1444</v>
      </c>
      <c r="E3786" s="154" t="n">
        <v>0.3304</v>
      </c>
      <c r="F3786" s="149" t="n">
        <f aca="false">IF(C3786="MAT.",VLOOKUP(A3786,INSUMOS_AUX!$A$3:$H$813,6,0),0)</f>
        <v>0.59</v>
      </c>
      <c r="G3786" s="149" t="n">
        <f aca="false">IF(C3786="M.O.",VLOOKUP(A3786,INSUMOS_AUX!A:F,6,0),0)</f>
        <v>0</v>
      </c>
    </row>
    <row r="3787" customFormat="false" ht="15" hidden="false" customHeight="false" outlineLevel="0" collapsed="false">
      <c r="A3787" s="154" t="n">
        <v>297</v>
      </c>
      <c r="B3787" s="155" t="s">
        <v>2130</v>
      </c>
      <c r="C3787" s="148" t="str">
        <f aca="false">VLOOKUP($A3787,INSUMOS_AUX!$A$3:$H$813,3,0)</f>
        <v>MAT.</v>
      </c>
      <c r="D3787" s="156" t="s">
        <v>31</v>
      </c>
      <c r="E3787" s="154" t="n">
        <v>2</v>
      </c>
      <c r="F3787" s="149" t="n">
        <f aca="false">IF(C3787="MAT.",VLOOKUP(A3787,INSUMOS_AUX!$A$3:$H$813,6,0),0)</f>
        <v>2.49</v>
      </c>
      <c r="G3787" s="149" t="n">
        <f aca="false">IF(C3787="M.O.",VLOOKUP(A3787,INSUMOS_AUX!A:F,6,0),0)</f>
        <v>0</v>
      </c>
    </row>
    <row r="3788" customFormat="false" ht="15" hidden="false" customHeight="false" outlineLevel="0" collapsed="false">
      <c r="A3788" s="154" t="n">
        <v>1951</v>
      </c>
      <c r="B3788" s="155" t="s">
        <v>2131</v>
      </c>
      <c r="C3788" s="148" t="str">
        <f aca="false">VLOOKUP($A3788,INSUMOS_AUX!$A$3:$H$813,3,0)</f>
        <v>MAT.</v>
      </c>
      <c r="D3788" s="156" t="s">
        <v>31</v>
      </c>
      <c r="E3788" s="154" t="n">
        <v>1</v>
      </c>
      <c r="F3788" s="149" t="n">
        <f aca="false">IF(C3788="MAT.",VLOOKUP(A3788,INSUMOS_AUX!$A$3:$H$813,6,0),0)</f>
        <v>25.5</v>
      </c>
      <c r="G3788" s="149" t="n">
        <f aca="false">IF(C3788="M.O.",VLOOKUP(A3788,INSUMOS_AUX!A:F,6,0),0)</f>
        <v>0</v>
      </c>
    </row>
    <row r="3789" customFormat="false" ht="31.5" hidden="false" customHeight="false" outlineLevel="0" collapsed="false">
      <c r="A3789" s="154" t="n">
        <v>20078</v>
      </c>
      <c r="B3789" s="155" t="s">
        <v>2123</v>
      </c>
      <c r="C3789" s="148" t="str">
        <f aca="false">VLOOKUP($A3789,INSUMOS_AUX!$A$3:$H$813,3,0)</f>
        <v>MAT.</v>
      </c>
      <c r="D3789" s="156" t="s">
        <v>31</v>
      </c>
      <c r="E3789" s="154" t="n">
        <v>0.075</v>
      </c>
      <c r="F3789" s="149" t="n">
        <f aca="false">IF(C3789="MAT.",VLOOKUP(A3789,INSUMOS_AUX!$A$3:$H$813,6,0),0)</f>
        <v>26.04</v>
      </c>
      <c r="G3789" s="149" t="n">
        <f aca="false">IF(C3789="M.O.",VLOOKUP(A3789,INSUMOS_AUX!A:F,6,0),0)</f>
        <v>0</v>
      </c>
    </row>
    <row r="3790" customFormat="false" ht="15" hidden="false" customHeight="false" outlineLevel="0" collapsed="false">
      <c r="A3790" s="154" t="n">
        <v>246</v>
      </c>
      <c r="B3790" s="155" t="s">
        <v>1752</v>
      </c>
      <c r="C3790" s="148" t="str">
        <f aca="false">VLOOKUP($A3790,INSUMOS_AUX!$A$3:$H$813,3,0)</f>
        <v>M.O.</v>
      </c>
      <c r="D3790" s="156" t="s">
        <v>1444</v>
      </c>
      <c r="E3790" s="154" t="n">
        <v>0.168170296</v>
      </c>
      <c r="F3790" s="149" t="n">
        <f aca="false">IF(C3790="MAT.",VLOOKUP(A3790,INSUMOS_AUX!$A$3:$H$813,6,0),0)</f>
        <v>0</v>
      </c>
      <c r="G3790" s="149" t="n">
        <f aca="false">IF(C3790="M.O.",VLOOKUP(A3790,INSUMOS_AUX!A:F,6,0),0)</f>
        <v>13.26</v>
      </c>
    </row>
    <row r="3791" customFormat="false" ht="15" hidden="false" customHeight="false" outlineLevel="0" collapsed="false">
      <c r="A3791" s="154" t="n">
        <v>2696</v>
      </c>
      <c r="B3791" s="155" t="s">
        <v>1483</v>
      </c>
      <c r="C3791" s="148" t="str">
        <f aca="false">VLOOKUP($A3791,INSUMOS_AUX!$A$3:$H$813,3,0)</f>
        <v>M.O.</v>
      </c>
      <c r="D3791" s="156" t="s">
        <v>1444</v>
      </c>
      <c r="E3791" s="154" t="n">
        <v>0.168170296</v>
      </c>
      <c r="F3791" s="149" t="n">
        <f aca="false">IF(C3791="MAT.",VLOOKUP(A3791,INSUMOS_AUX!$A$3:$H$813,6,0),0)</f>
        <v>0</v>
      </c>
      <c r="G3791" s="149" t="n">
        <f aca="false">IF(C3791="M.O.",VLOOKUP(A3791,INSUMOS_AUX!A:F,6,0),0)</f>
        <v>20.22</v>
      </c>
    </row>
    <row r="3792" customFormat="false" ht="31.5" hidden="false" customHeight="false" outlineLevel="0" collapsed="false">
      <c r="A3792" s="150" t="n">
        <v>89810</v>
      </c>
      <c r="B3792" s="151" t="s">
        <v>2132</v>
      </c>
      <c r="C3792" s="152" t="s">
        <v>59</v>
      </c>
      <c r="D3792" s="152" t="s">
        <v>31</v>
      </c>
      <c r="E3792" s="150"/>
      <c r="F3792" s="153" t="n">
        <f aca="false">(SUMPRODUCT($E3793:$E3803,F3793:F3803))*1</f>
        <v>21.438288</v>
      </c>
      <c r="G3792" s="153" t="n">
        <f aca="false">(SUMPRODUCT($E3793:$E3803,G3793:G3803))*1</f>
        <v>7.40260397088</v>
      </c>
    </row>
    <row r="3793" customFormat="false" ht="21" hidden="false" customHeight="false" outlineLevel="0" collapsed="false">
      <c r="A3793" s="154" t="n">
        <v>37370</v>
      </c>
      <c r="B3793" s="155" t="s">
        <v>1443</v>
      </c>
      <c r="C3793" s="148" t="str">
        <f aca="false">VLOOKUP($A3793,INSUMOS_AUX!$A$3:$H$813,3,0)</f>
        <v>MAT.</v>
      </c>
      <c r="D3793" s="156" t="s">
        <v>1444</v>
      </c>
      <c r="E3793" s="154" t="n">
        <v>0.4344</v>
      </c>
      <c r="F3793" s="149" t="n">
        <f aca="false">IF(C3793="MAT.",VLOOKUP(A3793,INSUMOS_AUX!$A$3:$H$813,6,0),0)</f>
        <v>3.32</v>
      </c>
      <c r="G3793" s="149" t="n">
        <f aca="false">IF(C3793="M.O.",VLOOKUP(A3793,INSUMOS_AUX!A:F,6,0),0)</f>
        <v>0</v>
      </c>
    </row>
    <row r="3794" customFormat="false" ht="21" hidden="false" customHeight="false" outlineLevel="0" collapsed="false">
      <c r="A3794" s="154" t="n">
        <v>43485</v>
      </c>
      <c r="B3794" s="155" t="s">
        <v>1481</v>
      </c>
      <c r="C3794" s="148" t="str">
        <f aca="false">VLOOKUP($A3794,INSUMOS_AUX!$A$3:$H$813,3,0)</f>
        <v>MAT.</v>
      </c>
      <c r="D3794" s="156" t="s">
        <v>1444</v>
      </c>
      <c r="E3794" s="154" t="n">
        <v>0.4344</v>
      </c>
      <c r="F3794" s="149" t="n">
        <f aca="false">IF(C3794="MAT.",VLOOKUP(A3794,INSUMOS_AUX!$A$3:$H$813,6,0),0)</f>
        <v>1.13</v>
      </c>
      <c r="G3794" s="149" t="n">
        <f aca="false">IF(C3794="M.O.",VLOOKUP(A3794,INSUMOS_AUX!A:F,6,0),0)</f>
        <v>0</v>
      </c>
    </row>
    <row r="3795" customFormat="false" ht="21" hidden="false" customHeight="false" outlineLevel="0" collapsed="false">
      <c r="A3795" s="154" t="n">
        <v>37372</v>
      </c>
      <c r="B3795" s="155" t="s">
        <v>1446</v>
      </c>
      <c r="C3795" s="148" t="str">
        <f aca="false">VLOOKUP($A3795,INSUMOS_AUX!$A$3:$H$813,3,0)</f>
        <v>MAT.</v>
      </c>
      <c r="D3795" s="156" t="s">
        <v>1444</v>
      </c>
      <c r="E3795" s="154" t="n">
        <v>0.4344</v>
      </c>
      <c r="F3795" s="149" t="n">
        <f aca="false">IF(C3795="MAT.",VLOOKUP(A3795,INSUMOS_AUX!$A$3:$H$813,6,0),0)</f>
        <v>1.43</v>
      </c>
      <c r="G3795" s="149" t="n">
        <f aca="false">IF(C3795="M.O.",VLOOKUP(A3795,INSUMOS_AUX!A:F,6,0),0)</f>
        <v>0</v>
      </c>
    </row>
    <row r="3796" customFormat="false" ht="21" hidden="false" customHeight="false" outlineLevel="0" collapsed="false">
      <c r="A3796" s="154" t="n">
        <v>43461</v>
      </c>
      <c r="B3796" s="155" t="s">
        <v>1482</v>
      </c>
      <c r="C3796" s="148" t="str">
        <f aca="false">VLOOKUP($A3796,INSUMOS_AUX!$A$3:$H$813,3,0)</f>
        <v>MAT.</v>
      </c>
      <c r="D3796" s="156" t="s">
        <v>1444</v>
      </c>
      <c r="E3796" s="154" t="n">
        <v>0.4344</v>
      </c>
      <c r="F3796" s="149" t="n">
        <f aca="false">IF(C3796="MAT.",VLOOKUP(A3796,INSUMOS_AUX!$A$3:$H$813,6,0),0)</f>
        <v>0.31</v>
      </c>
      <c r="G3796" s="149" t="n">
        <f aca="false">IF(C3796="M.O.",VLOOKUP(A3796,INSUMOS_AUX!A:F,6,0),0)</f>
        <v>0</v>
      </c>
    </row>
    <row r="3797" customFormat="false" ht="21" hidden="false" customHeight="false" outlineLevel="0" collapsed="false">
      <c r="A3797" s="154" t="n">
        <v>37373</v>
      </c>
      <c r="B3797" s="155" t="s">
        <v>1448</v>
      </c>
      <c r="C3797" s="148" t="str">
        <f aca="false">VLOOKUP($A3797,INSUMOS_AUX!$A$3:$H$813,3,0)</f>
        <v>MAT.</v>
      </c>
      <c r="D3797" s="156" t="s">
        <v>1444</v>
      </c>
      <c r="E3797" s="154" t="n">
        <v>0.4344</v>
      </c>
      <c r="F3797" s="149" t="n">
        <f aca="false">IF(C3797="MAT.",VLOOKUP(A3797,INSUMOS_AUX!$A$3:$H$813,6,0),0)</f>
        <v>0.08</v>
      </c>
      <c r="G3797" s="149" t="n">
        <f aca="false">IF(C3797="M.O.",VLOOKUP(A3797,INSUMOS_AUX!A:F,6,0),0)</f>
        <v>0</v>
      </c>
    </row>
    <row r="3798" customFormat="false" ht="21" hidden="false" customHeight="false" outlineLevel="0" collapsed="false">
      <c r="A3798" s="154" t="n">
        <v>37371</v>
      </c>
      <c r="B3798" s="155" t="s">
        <v>1449</v>
      </c>
      <c r="C3798" s="148" t="s">
        <v>59</v>
      </c>
      <c r="D3798" s="156" t="s">
        <v>1444</v>
      </c>
      <c r="E3798" s="154" t="n">
        <v>0.4344</v>
      </c>
      <c r="F3798" s="149" t="n">
        <f aca="false">IF(C3798="MAT.",VLOOKUP(A3798,INSUMOS_AUX!$A$3:$H$813,6,0),0)</f>
        <v>0</v>
      </c>
      <c r="G3798" s="149" t="n">
        <f aca="false">IF(C3798="M.O.",VLOOKUP(A3798,INSUMOS_AUX!A:F,6,0),0)</f>
        <v>0</v>
      </c>
    </row>
    <row r="3799" customFormat="false" ht="21" hidden="false" customHeight="false" outlineLevel="0" collapsed="false">
      <c r="A3799" s="154" t="n">
        <v>301</v>
      </c>
      <c r="B3799" s="155" t="s">
        <v>2125</v>
      </c>
      <c r="C3799" s="148" t="str">
        <f aca="false">VLOOKUP($A3799,INSUMOS_AUX!$A$3:$H$813,3,0)</f>
        <v>MAT.</v>
      </c>
      <c r="D3799" s="156" t="s">
        <v>31</v>
      </c>
      <c r="E3799" s="154" t="n">
        <v>2</v>
      </c>
      <c r="F3799" s="149" t="n">
        <f aca="false">IF(C3799="MAT.",VLOOKUP(A3799,INSUMOS_AUX!$A$3:$H$813,6,0),0)</f>
        <v>3</v>
      </c>
      <c r="G3799" s="149" t="n">
        <f aca="false">IF(C3799="M.O.",VLOOKUP(A3799,INSUMOS_AUX!A:F,6,0),0)</f>
        <v>0</v>
      </c>
    </row>
    <row r="3800" customFormat="false" ht="21" hidden="false" customHeight="false" outlineLevel="0" collapsed="false">
      <c r="A3800" s="154" t="n">
        <v>3528</v>
      </c>
      <c r="B3800" s="155" t="s">
        <v>2133</v>
      </c>
      <c r="C3800" s="148" t="str">
        <f aca="false">VLOOKUP($A3800,INSUMOS_AUX!$A$3:$H$813,3,0)</f>
        <v>MAT.</v>
      </c>
      <c r="D3800" s="156" t="s">
        <v>31</v>
      </c>
      <c r="E3800" s="154" t="n">
        <v>1</v>
      </c>
      <c r="F3800" s="149" t="n">
        <f aca="false">IF(C3800="MAT.",VLOOKUP(A3800,INSUMOS_AUX!$A$3:$H$813,6,0),0)</f>
        <v>9.72</v>
      </c>
      <c r="G3800" s="149" t="n">
        <f aca="false">IF(C3800="M.O.",VLOOKUP(A3800,INSUMOS_AUX!A:F,6,0),0)</f>
        <v>0</v>
      </c>
    </row>
    <row r="3801" customFormat="false" ht="31.5" hidden="false" customHeight="false" outlineLevel="0" collapsed="false">
      <c r="A3801" s="154" t="n">
        <v>20078</v>
      </c>
      <c r="B3801" s="155" t="s">
        <v>2123</v>
      </c>
      <c r="C3801" s="148" t="str">
        <f aca="false">VLOOKUP($A3801,INSUMOS_AUX!$A$3:$H$813,3,0)</f>
        <v>MAT.</v>
      </c>
      <c r="D3801" s="156" t="s">
        <v>31</v>
      </c>
      <c r="E3801" s="154" t="n">
        <v>0.115</v>
      </c>
      <c r="F3801" s="149" t="n">
        <f aca="false">IF(C3801="MAT.",VLOOKUP(A3801,INSUMOS_AUX!$A$3:$H$813,6,0),0)</f>
        <v>26.04</v>
      </c>
      <c r="G3801" s="149" t="n">
        <f aca="false">IF(C3801="M.O.",VLOOKUP(A3801,INSUMOS_AUX!A:F,6,0),0)</f>
        <v>0</v>
      </c>
    </row>
    <row r="3802" customFormat="false" ht="15" hidden="false" customHeight="false" outlineLevel="0" collapsed="false">
      <c r="A3802" s="154" t="n">
        <v>246</v>
      </c>
      <c r="B3802" s="155" t="s">
        <v>1752</v>
      </c>
      <c r="C3802" s="148" t="str">
        <f aca="false">VLOOKUP($A3802,INSUMOS_AUX!$A$3:$H$813,3,0)</f>
        <v>M.O.</v>
      </c>
      <c r="D3802" s="156" t="s">
        <v>1444</v>
      </c>
      <c r="E3802" s="154" t="n">
        <v>0.221105256</v>
      </c>
      <c r="F3802" s="149" t="n">
        <f aca="false">IF(C3802="MAT.",VLOOKUP(A3802,INSUMOS_AUX!$A$3:$H$813,6,0),0)</f>
        <v>0</v>
      </c>
      <c r="G3802" s="149" t="n">
        <f aca="false">IF(C3802="M.O.",VLOOKUP(A3802,INSUMOS_AUX!A:F,6,0),0)</f>
        <v>13.26</v>
      </c>
    </row>
    <row r="3803" customFormat="false" ht="15" hidden="false" customHeight="false" outlineLevel="0" collapsed="false">
      <c r="A3803" s="154" t="n">
        <v>2696</v>
      </c>
      <c r="B3803" s="155" t="s">
        <v>1483</v>
      </c>
      <c r="C3803" s="148" t="str">
        <f aca="false">VLOOKUP($A3803,INSUMOS_AUX!$A$3:$H$813,3,0)</f>
        <v>M.O.</v>
      </c>
      <c r="D3803" s="156" t="s">
        <v>1444</v>
      </c>
      <c r="E3803" s="154" t="n">
        <v>0.221105256</v>
      </c>
      <c r="F3803" s="149" t="n">
        <f aca="false">IF(C3803="MAT.",VLOOKUP(A3803,INSUMOS_AUX!$A$3:$H$813,6,0),0)</f>
        <v>0</v>
      </c>
      <c r="G3803" s="149" t="n">
        <f aca="false">IF(C3803="M.O.",VLOOKUP(A3803,INSUMOS_AUX!A:F,6,0),0)</f>
        <v>20.22</v>
      </c>
    </row>
    <row r="3804" customFormat="false" ht="31.5" hidden="false" customHeight="false" outlineLevel="0" collapsed="false">
      <c r="A3804" s="150" t="n">
        <v>89726</v>
      </c>
      <c r="B3804" s="151" t="s">
        <v>2134</v>
      </c>
      <c r="C3804" s="152" t="s">
        <v>59</v>
      </c>
      <c r="D3804" s="152" t="s">
        <v>31</v>
      </c>
      <c r="E3804" s="150"/>
      <c r="F3804" s="153" t="n">
        <f aca="false">(SUMPRODUCT($E3805:$E3816,F3805:F3816))*1</f>
        <v>5.321609</v>
      </c>
      <c r="G3804" s="153" t="n">
        <f aca="false">(SUMPRODUCT($E3805:$E3816,G3805:G3816))*1</f>
        <v>4.3284102408</v>
      </c>
    </row>
    <row r="3805" customFormat="false" ht="21" hidden="false" customHeight="false" outlineLevel="0" collapsed="false">
      <c r="A3805" s="154" t="n">
        <v>37370</v>
      </c>
      <c r="B3805" s="155" t="s">
        <v>1443</v>
      </c>
      <c r="C3805" s="148" t="str">
        <f aca="false">VLOOKUP($A3805,INSUMOS_AUX!$A$3:$H$813,3,0)</f>
        <v>MAT.</v>
      </c>
      <c r="D3805" s="156" t="s">
        <v>1444</v>
      </c>
      <c r="E3805" s="154" t="n">
        <v>0.254</v>
      </c>
      <c r="F3805" s="149" t="n">
        <f aca="false">IF(C3805="MAT.",VLOOKUP(A3805,INSUMOS_AUX!$A$3:$H$813,6,0),0)</f>
        <v>3.32</v>
      </c>
      <c r="G3805" s="149" t="n">
        <f aca="false">IF(C3805="M.O.",VLOOKUP(A3805,INSUMOS_AUX!A:F,6,0),0)</f>
        <v>0</v>
      </c>
    </row>
    <row r="3806" customFormat="false" ht="21" hidden="false" customHeight="false" outlineLevel="0" collapsed="false">
      <c r="A3806" s="154" t="n">
        <v>43485</v>
      </c>
      <c r="B3806" s="155" t="s">
        <v>1481</v>
      </c>
      <c r="C3806" s="148" t="str">
        <f aca="false">VLOOKUP($A3806,INSUMOS_AUX!$A$3:$H$813,3,0)</f>
        <v>MAT.</v>
      </c>
      <c r="D3806" s="156" t="s">
        <v>1444</v>
      </c>
      <c r="E3806" s="154" t="n">
        <v>0.254</v>
      </c>
      <c r="F3806" s="149" t="n">
        <f aca="false">IF(C3806="MAT.",VLOOKUP(A3806,INSUMOS_AUX!$A$3:$H$813,6,0),0)</f>
        <v>1.13</v>
      </c>
      <c r="G3806" s="149" t="n">
        <f aca="false">IF(C3806="M.O.",VLOOKUP(A3806,INSUMOS_AUX!A:F,6,0),0)</f>
        <v>0</v>
      </c>
    </row>
    <row r="3807" customFormat="false" ht="21" hidden="false" customHeight="false" outlineLevel="0" collapsed="false">
      <c r="A3807" s="154" t="n">
        <v>37372</v>
      </c>
      <c r="B3807" s="155" t="s">
        <v>1446</v>
      </c>
      <c r="C3807" s="148" t="str">
        <f aca="false">VLOOKUP($A3807,INSUMOS_AUX!$A$3:$H$813,3,0)</f>
        <v>MAT.</v>
      </c>
      <c r="D3807" s="156" t="s">
        <v>1444</v>
      </c>
      <c r="E3807" s="154" t="n">
        <v>0.254</v>
      </c>
      <c r="F3807" s="149" t="n">
        <f aca="false">IF(C3807="MAT.",VLOOKUP(A3807,INSUMOS_AUX!$A$3:$H$813,6,0),0)</f>
        <v>1.43</v>
      </c>
      <c r="G3807" s="149" t="n">
        <f aca="false">IF(C3807="M.O.",VLOOKUP(A3807,INSUMOS_AUX!A:F,6,0),0)</f>
        <v>0</v>
      </c>
    </row>
    <row r="3808" customFormat="false" ht="21" hidden="false" customHeight="false" outlineLevel="0" collapsed="false">
      <c r="A3808" s="154" t="n">
        <v>43461</v>
      </c>
      <c r="B3808" s="155" t="s">
        <v>1482</v>
      </c>
      <c r="C3808" s="148" t="str">
        <f aca="false">VLOOKUP($A3808,INSUMOS_AUX!$A$3:$H$813,3,0)</f>
        <v>MAT.</v>
      </c>
      <c r="D3808" s="156" t="s">
        <v>1444</v>
      </c>
      <c r="E3808" s="154" t="n">
        <v>0.254</v>
      </c>
      <c r="F3808" s="149" t="n">
        <f aca="false">IF(C3808="MAT.",VLOOKUP(A3808,INSUMOS_AUX!$A$3:$H$813,6,0),0)</f>
        <v>0.31</v>
      </c>
      <c r="G3808" s="149" t="n">
        <f aca="false">IF(C3808="M.O.",VLOOKUP(A3808,INSUMOS_AUX!A:F,6,0),0)</f>
        <v>0</v>
      </c>
    </row>
    <row r="3809" customFormat="false" ht="21" hidden="false" customHeight="false" outlineLevel="0" collapsed="false">
      <c r="A3809" s="154" t="n">
        <v>37373</v>
      </c>
      <c r="B3809" s="155" t="s">
        <v>1448</v>
      </c>
      <c r="C3809" s="148" t="str">
        <f aca="false">VLOOKUP($A3809,INSUMOS_AUX!$A$3:$H$813,3,0)</f>
        <v>MAT.</v>
      </c>
      <c r="D3809" s="156" t="s">
        <v>1444</v>
      </c>
      <c r="E3809" s="154" t="n">
        <v>0.254</v>
      </c>
      <c r="F3809" s="149" t="n">
        <f aca="false">IF(C3809="MAT.",VLOOKUP(A3809,INSUMOS_AUX!$A$3:$H$813,6,0),0)</f>
        <v>0.08</v>
      </c>
      <c r="G3809" s="149" t="n">
        <f aca="false">IF(C3809="M.O.",VLOOKUP(A3809,INSUMOS_AUX!A:F,6,0),0)</f>
        <v>0</v>
      </c>
    </row>
    <row r="3810" customFormat="false" ht="21" hidden="false" customHeight="false" outlineLevel="0" collapsed="false">
      <c r="A3810" s="154" t="n">
        <v>37371</v>
      </c>
      <c r="B3810" s="155" t="s">
        <v>1449</v>
      </c>
      <c r="C3810" s="148" t="str">
        <f aca="false">VLOOKUP($A3810,INSUMOS_AUX!$A$3:$H$813,3,0)</f>
        <v>MAT.</v>
      </c>
      <c r="D3810" s="156" t="s">
        <v>1444</v>
      </c>
      <c r="E3810" s="154" t="n">
        <v>0.254</v>
      </c>
      <c r="F3810" s="149" t="n">
        <f aca="false">IF(C3810="MAT.",VLOOKUP(A3810,INSUMOS_AUX!$A$3:$H$813,6,0),0)</f>
        <v>0.59</v>
      </c>
      <c r="G3810" s="149" t="n">
        <f aca="false">IF(C3810="M.O.",VLOOKUP(A3810,INSUMOS_AUX!A:F,6,0),0)</f>
        <v>0</v>
      </c>
    </row>
    <row r="3811" customFormat="false" ht="15" hidden="false" customHeight="false" outlineLevel="0" collapsed="false">
      <c r="A3811" s="154" t="n">
        <v>122</v>
      </c>
      <c r="B3811" s="155" t="s">
        <v>2097</v>
      </c>
      <c r="C3811" s="148" t="s">
        <v>59</v>
      </c>
      <c r="D3811" s="156" t="s">
        <v>31</v>
      </c>
      <c r="E3811" s="154" t="n">
        <v>0.0099</v>
      </c>
      <c r="F3811" s="149" t="n">
        <f aca="false">IF(C3811="MAT.",VLOOKUP(A3811,INSUMOS_AUX!$A$3:$H$813,6,0),0)</f>
        <v>0</v>
      </c>
      <c r="G3811" s="149" t="n">
        <f aca="false">IF(C3811="M.O.",VLOOKUP(A3811,INSUMOS_AUX!A:F,6,0),0)</f>
        <v>0</v>
      </c>
    </row>
    <row r="3812" customFormat="false" ht="21" hidden="false" customHeight="false" outlineLevel="0" collapsed="false">
      <c r="A3812" s="154" t="n">
        <v>3516</v>
      </c>
      <c r="B3812" s="155" t="s">
        <v>2135</v>
      </c>
      <c r="C3812" s="148" t="str">
        <f aca="false">VLOOKUP($A3812,INSUMOS_AUX!$A$3:$H$813,3,0)</f>
        <v>MAT.</v>
      </c>
      <c r="D3812" s="156" t="s">
        <v>31</v>
      </c>
      <c r="E3812" s="154" t="n">
        <v>1</v>
      </c>
      <c r="F3812" s="149" t="n">
        <f aca="false">IF(C3812="MAT.",VLOOKUP(A3812,INSUMOS_AUX!$A$3:$H$813,6,0),0)</f>
        <v>2.49</v>
      </c>
      <c r="G3812" s="149" t="n">
        <f aca="false">IF(C3812="M.O.",VLOOKUP(A3812,INSUMOS_AUX!A:F,6,0),0)</f>
        <v>0</v>
      </c>
    </row>
    <row r="3813" customFormat="false" ht="15" hidden="false" customHeight="false" outlineLevel="0" collapsed="false">
      <c r="A3813" s="154" t="n">
        <v>38383</v>
      </c>
      <c r="B3813" s="155" t="s">
        <v>2093</v>
      </c>
      <c r="C3813" s="148" t="str">
        <f aca="false">VLOOKUP($A3813,INSUMOS_AUX!$A$3:$H$813,3,0)</f>
        <v>MAT.</v>
      </c>
      <c r="D3813" s="156" t="s">
        <v>31</v>
      </c>
      <c r="E3813" s="154" t="n">
        <v>0.0071</v>
      </c>
      <c r="F3813" s="149" t="n">
        <f aca="false">IF(C3813="MAT.",VLOOKUP(A3813,INSUMOS_AUX!$A$3:$H$813,6,0),0)</f>
        <v>2.39</v>
      </c>
      <c r="G3813" s="149" t="n">
        <f aca="false">IF(C3813="M.O.",VLOOKUP(A3813,INSUMOS_AUX!A:F,6,0),0)</f>
        <v>0</v>
      </c>
    </row>
    <row r="3814" customFormat="false" ht="21" hidden="false" customHeight="false" outlineLevel="0" collapsed="false">
      <c r="A3814" s="154" t="n">
        <v>20083</v>
      </c>
      <c r="B3814" s="155" t="s">
        <v>2095</v>
      </c>
      <c r="C3814" s="148" t="str">
        <f aca="false">VLOOKUP($A3814,INSUMOS_AUX!$A$3:$H$813,3,0)</f>
        <v>MAT.</v>
      </c>
      <c r="D3814" s="156" t="s">
        <v>31</v>
      </c>
      <c r="E3814" s="154" t="n">
        <v>0.015</v>
      </c>
      <c r="F3814" s="149" t="n">
        <f aca="false">IF(C3814="MAT.",VLOOKUP(A3814,INSUMOS_AUX!$A$3:$H$813,6,0),0)</f>
        <v>71.48</v>
      </c>
      <c r="G3814" s="149" t="n">
        <f aca="false">IF(C3814="M.O.",VLOOKUP(A3814,INSUMOS_AUX!A:F,6,0),0)</f>
        <v>0</v>
      </c>
    </row>
    <row r="3815" customFormat="false" ht="15" hidden="false" customHeight="false" outlineLevel="0" collapsed="false">
      <c r="A3815" s="154" t="n">
        <v>246</v>
      </c>
      <c r="B3815" s="155" t="s">
        <v>1752</v>
      </c>
      <c r="C3815" s="148" t="str">
        <f aca="false">VLOOKUP($A3815,INSUMOS_AUX!$A$3:$H$813,3,0)</f>
        <v>M.O.</v>
      </c>
      <c r="D3815" s="156" t="s">
        <v>1444</v>
      </c>
      <c r="E3815" s="154" t="n">
        <v>0.12928346</v>
      </c>
      <c r="F3815" s="149" t="n">
        <f aca="false">IF(C3815="MAT.",VLOOKUP(A3815,INSUMOS_AUX!$A$3:$H$813,6,0),0)</f>
        <v>0</v>
      </c>
      <c r="G3815" s="149" t="n">
        <f aca="false">IF(C3815="M.O.",VLOOKUP(A3815,INSUMOS_AUX!A:F,6,0),0)</f>
        <v>13.26</v>
      </c>
    </row>
    <row r="3816" customFormat="false" ht="15" hidden="false" customHeight="false" outlineLevel="0" collapsed="false">
      <c r="A3816" s="154" t="n">
        <v>2696</v>
      </c>
      <c r="B3816" s="155" t="s">
        <v>1483</v>
      </c>
      <c r="C3816" s="148" t="str">
        <f aca="false">VLOOKUP($A3816,INSUMOS_AUX!$A$3:$H$813,3,0)</f>
        <v>M.O.</v>
      </c>
      <c r="D3816" s="156" t="s">
        <v>1444</v>
      </c>
      <c r="E3816" s="154" t="n">
        <v>0.12928346</v>
      </c>
      <c r="F3816" s="149" t="n">
        <f aca="false">IF(C3816="MAT.",VLOOKUP(A3816,INSUMOS_AUX!$A$3:$H$813,6,0),0)</f>
        <v>0</v>
      </c>
      <c r="G3816" s="149" t="n">
        <f aca="false">IF(C3816="M.O.",VLOOKUP(A3816,INSUMOS_AUX!A:F,6,0),0)</f>
        <v>20.22</v>
      </c>
    </row>
    <row r="3817" customFormat="false" ht="31.5" hidden="false" customHeight="false" outlineLevel="0" collapsed="false">
      <c r="A3817" s="150" t="n">
        <v>89802</v>
      </c>
      <c r="B3817" s="151" t="s">
        <v>2136</v>
      </c>
      <c r="C3817" s="152" t="s">
        <v>59</v>
      </c>
      <c r="D3817" s="152" t="s">
        <v>31</v>
      </c>
      <c r="E3817" s="150"/>
      <c r="F3817" s="153" t="n">
        <f aca="false">(SUMPRODUCT($E3818:$E3828,F3818:F3828))*1</f>
        <v>5.802596</v>
      </c>
      <c r="G3817" s="153" t="n">
        <f aca="false">(SUMPRODUCT($E3818:$E3828,G3818:G3828))*1</f>
        <v>1.16901158472</v>
      </c>
    </row>
    <row r="3818" customFormat="false" ht="21" hidden="false" customHeight="false" outlineLevel="0" collapsed="false">
      <c r="A3818" s="154" t="n">
        <v>37370</v>
      </c>
      <c r="B3818" s="155" t="s">
        <v>1443</v>
      </c>
      <c r="C3818" s="148" t="str">
        <f aca="false">VLOOKUP($A3818,INSUMOS_AUX!$A$3:$H$813,3,0)</f>
        <v>MAT.</v>
      </c>
      <c r="D3818" s="156" t="s">
        <v>1444</v>
      </c>
      <c r="E3818" s="154" t="n">
        <v>0.0686</v>
      </c>
      <c r="F3818" s="149" t="n">
        <f aca="false">IF(C3818="MAT.",VLOOKUP(A3818,INSUMOS_AUX!$A$3:$H$813,6,0),0)</f>
        <v>3.32</v>
      </c>
      <c r="G3818" s="149" t="n">
        <f aca="false">IF(C3818="M.O.",VLOOKUP(A3818,INSUMOS_AUX!A:F,6,0),0)</f>
        <v>0</v>
      </c>
    </row>
    <row r="3819" customFormat="false" ht="21" hidden="false" customHeight="false" outlineLevel="0" collapsed="false">
      <c r="A3819" s="154" t="n">
        <v>43485</v>
      </c>
      <c r="B3819" s="155" t="s">
        <v>1481</v>
      </c>
      <c r="C3819" s="148" t="str">
        <f aca="false">VLOOKUP($A3819,INSUMOS_AUX!$A$3:$H$813,3,0)</f>
        <v>MAT.</v>
      </c>
      <c r="D3819" s="156" t="s">
        <v>1444</v>
      </c>
      <c r="E3819" s="154" t="n">
        <v>0.0686</v>
      </c>
      <c r="F3819" s="149" t="n">
        <f aca="false">IF(C3819="MAT.",VLOOKUP(A3819,INSUMOS_AUX!$A$3:$H$813,6,0),0)</f>
        <v>1.13</v>
      </c>
      <c r="G3819" s="149" t="n">
        <f aca="false">IF(C3819="M.O.",VLOOKUP(A3819,INSUMOS_AUX!A:F,6,0),0)</f>
        <v>0</v>
      </c>
    </row>
    <row r="3820" customFormat="false" ht="21" hidden="false" customHeight="false" outlineLevel="0" collapsed="false">
      <c r="A3820" s="154" t="n">
        <v>37372</v>
      </c>
      <c r="B3820" s="155" t="s">
        <v>1446</v>
      </c>
      <c r="C3820" s="148" t="str">
        <f aca="false">VLOOKUP($A3820,INSUMOS_AUX!$A$3:$H$813,3,0)</f>
        <v>MAT.</v>
      </c>
      <c r="D3820" s="156" t="s">
        <v>1444</v>
      </c>
      <c r="E3820" s="154" t="n">
        <v>0.0686</v>
      </c>
      <c r="F3820" s="149" t="n">
        <f aca="false">IF(C3820="MAT.",VLOOKUP(A3820,INSUMOS_AUX!$A$3:$H$813,6,0),0)</f>
        <v>1.43</v>
      </c>
      <c r="G3820" s="149" t="n">
        <f aca="false">IF(C3820="M.O.",VLOOKUP(A3820,INSUMOS_AUX!A:F,6,0),0)</f>
        <v>0</v>
      </c>
    </row>
    <row r="3821" customFormat="false" ht="21" hidden="false" customHeight="false" outlineLevel="0" collapsed="false">
      <c r="A3821" s="154" t="n">
        <v>43461</v>
      </c>
      <c r="B3821" s="155" t="s">
        <v>1482</v>
      </c>
      <c r="C3821" s="148" t="str">
        <f aca="false">VLOOKUP($A3821,INSUMOS_AUX!$A$3:$H$813,3,0)</f>
        <v>MAT.</v>
      </c>
      <c r="D3821" s="156" t="s">
        <v>1444</v>
      </c>
      <c r="E3821" s="154" t="n">
        <v>0.0686</v>
      </c>
      <c r="F3821" s="149" t="n">
        <f aca="false">IF(C3821="MAT.",VLOOKUP(A3821,INSUMOS_AUX!$A$3:$H$813,6,0),0)</f>
        <v>0.31</v>
      </c>
      <c r="G3821" s="149" t="n">
        <f aca="false">IF(C3821="M.O.",VLOOKUP(A3821,INSUMOS_AUX!A:F,6,0),0)</f>
        <v>0</v>
      </c>
    </row>
    <row r="3822" customFormat="false" ht="21" hidden="false" customHeight="false" outlineLevel="0" collapsed="false">
      <c r="A3822" s="154" t="n">
        <v>37373</v>
      </c>
      <c r="B3822" s="155" t="s">
        <v>1448</v>
      </c>
      <c r="C3822" s="148" t="str">
        <f aca="false">VLOOKUP($A3822,INSUMOS_AUX!$A$3:$H$813,3,0)</f>
        <v>MAT.</v>
      </c>
      <c r="D3822" s="156" t="s">
        <v>1444</v>
      </c>
      <c r="E3822" s="154" t="n">
        <v>0.0686</v>
      </c>
      <c r="F3822" s="149" t="n">
        <f aca="false">IF(C3822="MAT.",VLOOKUP(A3822,INSUMOS_AUX!$A$3:$H$813,6,0),0)</f>
        <v>0.08</v>
      </c>
      <c r="G3822" s="149" t="n">
        <f aca="false">IF(C3822="M.O.",VLOOKUP(A3822,INSUMOS_AUX!A:F,6,0),0)</f>
        <v>0</v>
      </c>
    </row>
    <row r="3823" customFormat="false" ht="21" hidden="false" customHeight="false" outlineLevel="0" collapsed="false">
      <c r="A3823" s="154" t="n">
        <v>37371</v>
      </c>
      <c r="B3823" s="155" t="s">
        <v>1449</v>
      </c>
      <c r="C3823" s="148" t="str">
        <f aca="false">VLOOKUP($A3823,INSUMOS_AUX!$A$3:$H$813,3,0)</f>
        <v>MAT.</v>
      </c>
      <c r="D3823" s="156" t="s">
        <v>1444</v>
      </c>
      <c r="E3823" s="154" t="n">
        <v>0.0686</v>
      </c>
      <c r="F3823" s="149" t="n">
        <f aca="false">IF(C3823="MAT.",VLOOKUP(A3823,INSUMOS_AUX!$A$3:$H$813,6,0),0)</f>
        <v>0.59</v>
      </c>
      <c r="G3823" s="149" t="n">
        <f aca="false">IF(C3823="M.O.",VLOOKUP(A3823,INSUMOS_AUX!A:F,6,0),0)</f>
        <v>0</v>
      </c>
    </row>
    <row r="3824" customFormat="false" ht="15" hidden="false" customHeight="false" outlineLevel="0" collapsed="false">
      <c r="A3824" s="154" t="n">
        <v>296</v>
      </c>
      <c r="B3824" s="155" t="s">
        <v>2121</v>
      </c>
      <c r="C3824" s="148" t="s">
        <v>59</v>
      </c>
      <c r="D3824" s="156" t="s">
        <v>31</v>
      </c>
      <c r="E3824" s="154" t="n">
        <v>2</v>
      </c>
      <c r="F3824" s="149" t="n">
        <f aca="false">IF(C3824="MAT.",VLOOKUP(A3824,INSUMOS_AUX!$A$3:$H$813,6,0),0)</f>
        <v>0</v>
      </c>
      <c r="G3824" s="149" t="n">
        <f aca="false">IF(C3824="M.O.",VLOOKUP(A3824,INSUMOS_AUX!A:F,6,0),0)</f>
        <v>0</v>
      </c>
    </row>
    <row r="3825" customFormat="false" ht="21" hidden="false" customHeight="false" outlineLevel="0" collapsed="false">
      <c r="A3825" s="154" t="n">
        <v>3518</v>
      </c>
      <c r="B3825" s="155" t="s">
        <v>2137</v>
      </c>
      <c r="C3825" s="148" t="str">
        <f aca="false">VLOOKUP($A3825,INSUMOS_AUX!$A$3:$H$813,3,0)</f>
        <v>MAT.</v>
      </c>
      <c r="D3825" s="156" t="s">
        <v>31</v>
      </c>
      <c r="E3825" s="154" t="n">
        <v>1</v>
      </c>
      <c r="F3825" s="149" t="n">
        <f aca="false">IF(C3825="MAT.",VLOOKUP(A3825,INSUMOS_AUX!$A$3:$H$813,6,0),0)</f>
        <v>4.03</v>
      </c>
      <c r="G3825" s="149" t="n">
        <f aca="false">IF(C3825="M.O.",VLOOKUP(A3825,INSUMOS_AUX!A:F,6,0),0)</f>
        <v>0</v>
      </c>
    </row>
    <row r="3826" customFormat="false" ht="31.5" hidden="false" customHeight="false" outlineLevel="0" collapsed="false">
      <c r="A3826" s="154" t="n">
        <v>20078</v>
      </c>
      <c r="B3826" s="155" t="s">
        <v>2123</v>
      </c>
      <c r="C3826" s="148" t="str">
        <f aca="false">VLOOKUP($A3826,INSUMOS_AUX!$A$3:$H$813,3,0)</f>
        <v>MAT.</v>
      </c>
      <c r="D3826" s="156" t="s">
        <v>31</v>
      </c>
      <c r="E3826" s="154" t="n">
        <v>0.05</v>
      </c>
      <c r="F3826" s="149" t="n">
        <f aca="false">IF(C3826="MAT.",VLOOKUP(A3826,INSUMOS_AUX!$A$3:$H$813,6,0),0)</f>
        <v>26.04</v>
      </c>
      <c r="G3826" s="149" t="n">
        <f aca="false">IF(C3826="M.O.",VLOOKUP(A3826,INSUMOS_AUX!A:F,6,0),0)</f>
        <v>0</v>
      </c>
    </row>
    <row r="3827" customFormat="false" ht="15" hidden="false" customHeight="false" outlineLevel="0" collapsed="false">
      <c r="A3827" s="154" t="n">
        <v>246</v>
      </c>
      <c r="B3827" s="155" t="s">
        <v>1752</v>
      </c>
      <c r="C3827" s="148" t="str">
        <f aca="false">VLOOKUP($A3827,INSUMOS_AUX!$A$3:$H$813,3,0)</f>
        <v>M.O.</v>
      </c>
      <c r="D3827" s="156" t="s">
        <v>1444</v>
      </c>
      <c r="E3827" s="154" t="n">
        <v>0.034916714</v>
      </c>
      <c r="F3827" s="149" t="n">
        <f aca="false">IF(C3827="MAT.",VLOOKUP(A3827,INSUMOS_AUX!$A$3:$H$813,6,0),0)</f>
        <v>0</v>
      </c>
      <c r="G3827" s="149" t="n">
        <f aca="false">IF(C3827="M.O.",VLOOKUP(A3827,INSUMOS_AUX!A:F,6,0),0)</f>
        <v>13.26</v>
      </c>
    </row>
    <row r="3828" customFormat="false" ht="15" hidden="false" customHeight="false" outlineLevel="0" collapsed="false">
      <c r="A3828" s="154" t="n">
        <v>2696</v>
      </c>
      <c r="B3828" s="155" t="s">
        <v>1483</v>
      </c>
      <c r="C3828" s="148" t="str">
        <f aca="false">VLOOKUP($A3828,INSUMOS_AUX!$A$3:$H$813,3,0)</f>
        <v>M.O.</v>
      </c>
      <c r="D3828" s="156" t="s">
        <v>1444</v>
      </c>
      <c r="E3828" s="154" t="n">
        <v>0.034916714</v>
      </c>
      <c r="F3828" s="149" t="n">
        <f aca="false">IF(C3828="MAT.",VLOOKUP(A3828,INSUMOS_AUX!$A$3:$H$813,6,0),0)</f>
        <v>0</v>
      </c>
      <c r="G3828" s="149" t="n">
        <f aca="false">IF(C3828="M.O.",VLOOKUP(A3828,INSUMOS_AUX!A:F,6,0),0)</f>
        <v>20.22</v>
      </c>
    </row>
    <row r="3829" customFormat="false" ht="31.5" hidden="false" customHeight="false" outlineLevel="0" collapsed="false">
      <c r="A3829" s="150" t="n">
        <v>89806</v>
      </c>
      <c r="B3829" s="151" t="s">
        <v>2138</v>
      </c>
      <c r="C3829" s="152" t="s">
        <v>59</v>
      </c>
      <c r="D3829" s="152" t="s">
        <v>31</v>
      </c>
      <c r="E3829" s="150"/>
      <c r="F3829" s="153" t="n">
        <f aca="false">(SUMPRODUCT($E3830:$E3840,F3830:F3840))*1</f>
        <v>16.939278</v>
      </c>
      <c r="G3829" s="153" t="n">
        <f aca="false">(SUMPRODUCT($E3830:$E3840,G3830:G3840))*1</f>
        <v>4.28410367928</v>
      </c>
    </row>
    <row r="3830" customFormat="false" ht="21" hidden="false" customHeight="false" outlineLevel="0" collapsed="false">
      <c r="A3830" s="154" t="n">
        <v>37370</v>
      </c>
      <c r="B3830" s="155" t="s">
        <v>1443</v>
      </c>
      <c r="C3830" s="148" t="str">
        <f aca="false">VLOOKUP($A3830,INSUMOS_AUX!$A$3:$H$813,3,0)</f>
        <v>MAT.</v>
      </c>
      <c r="D3830" s="156" t="s">
        <v>1444</v>
      </c>
      <c r="E3830" s="154" t="n">
        <v>0.2514</v>
      </c>
      <c r="F3830" s="149" t="n">
        <f aca="false">IF(C3830="MAT.",VLOOKUP(A3830,INSUMOS_AUX!$A$3:$H$813,6,0),0)</f>
        <v>3.32</v>
      </c>
      <c r="G3830" s="149" t="n">
        <f aca="false">IF(C3830="M.O.",VLOOKUP(A3830,INSUMOS_AUX!A:F,6,0),0)</f>
        <v>0</v>
      </c>
    </row>
    <row r="3831" customFormat="false" ht="21" hidden="false" customHeight="false" outlineLevel="0" collapsed="false">
      <c r="A3831" s="154" t="n">
        <v>43485</v>
      </c>
      <c r="B3831" s="155" t="s">
        <v>1481</v>
      </c>
      <c r="C3831" s="148" t="str">
        <f aca="false">VLOOKUP($A3831,INSUMOS_AUX!$A$3:$H$813,3,0)</f>
        <v>MAT.</v>
      </c>
      <c r="D3831" s="156" t="s">
        <v>1444</v>
      </c>
      <c r="E3831" s="154" t="n">
        <v>0.2514</v>
      </c>
      <c r="F3831" s="149" t="n">
        <f aca="false">IF(C3831="MAT.",VLOOKUP(A3831,INSUMOS_AUX!$A$3:$H$813,6,0),0)</f>
        <v>1.13</v>
      </c>
      <c r="G3831" s="149" t="n">
        <f aca="false">IF(C3831="M.O.",VLOOKUP(A3831,INSUMOS_AUX!A:F,6,0),0)</f>
        <v>0</v>
      </c>
    </row>
    <row r="3832" customFormat="false" ht="21" hidden="false" customHeight="false" outlineLevel="0" collapsed="false">
      <c r="A3832" s="154" t="n">
        <v>37372</v>
      </c>
      <c r="B3832" s="155" t="s">
        <v>1446</v>
      </c>
      <c r="C3832" s="148" t="str">
        <f aca="false">VLOOKUP($A3832,INSUMOS_AUX!$A$3:$H$813,3,0)</f>
        <v>MAT.</v>
      </c>
      <c r="D3832" s="156" t="s">
        <v>1444</v>
      </c>
      <c r="E3832" s="154" t="n">
        <v>0.2514</v>
      </c>
      <c r="F3832" s="149" t="n">
        <f aca="false">IF(C3832="MAT.",VLOOKUP(A3832,INSUMOS_AUX!$A$3:$H$813,6,0),0)</f>
        <v>1.43</v>
      </c>
      <c r="G3832" s="149" t="n">
        <f aca="false">IF(C3832="M.O.",VLOOKUP(A3832,INSUMOS_AUX!A:F,6,0),0)</f>
        <v>0</v>
      </c>
    </row>
    <row r="3833" customFormat="false" ht="21" hidden="false" customHeight="false" outlineLevel="0" collapsed="false">
      <c r="A3833" s="154" t="n">
        <v>43461</v>
      </c>
      <c r="B3833" s="155" t="s">
        <v>1482</v>
      </c>
      <c r="C3833" s="148" t="str">
        <f aca="false">VLOOKUP($A3833,INSUMOS_AUX!$A$3:$H$813,3,0)</f>
        <v>MAT.</v>
      </c>
      <c r="D3833" s="156" t="s">
        <v>1444</v>
      </c>
      <c r="E3833" s="154" t="n">
        <v>0.2514</v>
      </c>
      <c r="F3833" s="149" t="n">
        <f aca="false">IF(C3833="MAT.",VLOOKUP(A3833,INSUMOS_AUX!$A$3:$H$813,6,0),0)</f>
        <v>0.31</v>
      </c>
      <c r="G3833" s="149" t="n">
        <f aca="false">IF(C3833="M.O.",VLOOKUP(A3833,INSUMOS_AUX!A:F,6,0),0)</f>
        <v>0</v>
      </c>
    </row>
    <row r="3834" customFormat="false" ht="21" hidden="false" customHeight="false" outlineLevel="0" collapsed="false">
      <c r="A3834" s="154" t="n">
        <v>37373</v>
      </c>
      <c r="B3834" s="155" t="s">
        <v>1448</v>
      </c>
      <c r="C3834" s="148" t="str">
        <f aca="false">VLOOKUP($A3834,INSUMOS_AUX!$A$3:$H$813,3,0)</f>
        <v>MAT.</v>
      </c>
      <c r="D3834" s="156" t="s">
        <v>1444</v>
      </c>
      <c r="E3834" s="154" t="n">
        <v>0.2514</v>
      </c>
      <c r="F3834" s="149" t="n">
        <f aca="false">IF(C3834="MAT.",VLOOKUP(A3834,INSUMOS_AUX!$A$3:$H$813,6,0),0)</f>
        <v>0.08</v>
      </c>
      <c r="G3834" s="149" t="n">
        <f aca="false">IF(C3834="M.O.",VLOOKUP(A3834,INSUMOS_AUX!A:F,6,0),0)</f>
        <v>0</v>
      </c>
    </row>
    <row r="3835" customFormat="false" ht="21" hidden="false" customHeight="false" outlineLevel="0" collapsed="false">
      <c r="A3835" s="154" t="n">
        <v>37371</v>
      </c>
      <c r="B3835" s="155" t="s">
        <v>1449</v>
      </c>
      <c r="C3835" s="148" t="s">
        <v>59</v>
      </c>
      <c r="D3835" s="156" t="s">
        <v>1444</v>
      </c>
      <c r="E3835" s="154" t="n">
        <v>0.2514</v>
      </c>
      <c r="F3835" s="149" t="n">
        <f aca="false">IF(C3835="MAT.",VLOOKUP(A3835,INSUMOS_AUX!$A$3:$H$813,6,0),0)</f>
        <v>0</v>
      </c>
      <c r="G3835" s="149" t="n">
        <f aca="false">IF(C3835="M.O.",VLOOKUP(A3835,INSUMOS_AUX!A:F,6,0),0)</f>
        <v>0</v>
      </c>
    </row>
    <row r="3836" customFormat="false" ht="15" hidden="false" customHeight="false" outlineLevel="0" collapsed="false">
      <c r="A3836" s="154" t="n">
        <v>297</v>
      </c>
      <c r="B3836" s="155" t="s">
        <v>2130</v>
      </c>
      <c r="C3836" s="148" t="str">
        <f aca="false">VLOOKUP($A3836,INSUMOS_AUX!$A$3:$H$813,3,0)</f>
        <v>MAT.</v>
      </c>
      <c r="D3836" s="156" t="s">
        <v>31</v>
      </c>
      <c r="E3836" s="154" t="n">
        <v>2</v>
      </c>
      <c r="F3836" s="149" t="n">
        <f aca="false">IF(C3836="MAT.",VLOOKUP(A3836,INSUMOS_AUX!$A$3:$H$813,6,0),0)</f>
        <v>2.49</v>
      </c>
      <c r="G3836" s="149" t="n">
        <f aca="false">IF(C3836="M.O.",VLOOKUP(A3836,INSUMOS_AUX!A:F,6,0),0)</f>
        <v>0</v>
      </c>
    </row>
    <row r="3837" customFormat="false" ht="21" hidden="false" customHeight="false" outlineLevel="0" collapsed="false">
      <c r="A3837" s="154" t="n">
        <v>3519</v>
      </c>
      <c r="B3837" s="155" t="s">
        <v>2139</v>
      </c>
      <c r="C3837" s="148" t="str">
        <f aca="false">VLOOKUP($A3837,INSUMOS_AUX!$A$3:$H$813,3,0)</f>
        <v>MAT.</v>
      </c>
      <c r="D3837" s="156" t="s">
        <v>31</v>
      </c>
      <c r="E3837" s="154" t="n">
        <v>1</v>
      </c>
      <c r="F3837" s="149" t="n">
        <f aca="false">IF(C3837="MAT.",VLOOKUP(A3837,INSUMOS_AUX!$A$3:$H$813,6,0),0)</f>
        <v>8.43</v>
      </c>
      <c r="G3837" s="149" t="n">
        <f aca="false">IF(C3837="M.O.",VLOOKUP(A3837,INSUMOS_AUX!A:F,6,0),0)</f>
        <v>0</v>
      </c>
    </row>
    <row r="3838" customFormat="false" ht="31.5" hidden="false" customHeight="false" outlineLevel="0" collapsed="false">
      <c r="A3838" s="154" t="n">
        <v>20078</v>
      </c>
      <c r="B3838" s="155" t="s">
        <v>2123</v>
      </c>
      <c r="C3838" s="148" t="str">
        <f aca="false">VLOOKUP($A3838,INSUMOS_AUX!$A$3:$H$813,3,0)</f>
        <v>MAT.</v>
      </c>
      <c r="D3838" s="156" t="s">
        <v>31</v>
      </c>
      <c r="E3838" s="154" t="n">
        <v>0.075</v>
      </c>
      <c r="F3838" s="149" t="n">
        <f aca="false">IF(C3838="MAT.",VLOOKUP(A3838,INSUMOS_AUX!$A$3:$H$813,6,0),0)</f>
        <v>26.04</v>
      </c>
      <c r="G3838" s="149" t="n">
        <f aca="false">IF(C3838="M.O.",VLOOKUP(A3838,INSUMOS_AUX!A:F,6,0),0)</f>
        <v>0</v>
      </c>
    </row>
    <row r="3839" customFormat="false" ht="15" hidden="false" customHeight="false" outlineLevel="0" collapsed="false">
      <c r="A3839" s="154" t="n">
        <v>246</v>
      </c>
      <c r="B3839" s="155" t="s">
        <v>1752</v>
      </c>
      <c r="C3839" s="148" t="str">
        <f aca="false">VLOOKUP($A3839,INSUMOS_AUX!$A$3:$H$813,3,0)</f>
        <v>M.O.</v>
      </c>
      <c r="D3839" s="156" t="s">
        <v>1444</v>
      </c>
      <c r="E3839" s="154" t="n">
        <v>0.127960086</v>
      </c>
      <c r="F3839" s="149" t="n">
        <f aca="false">IF(C3839="MAT.",VLOOKUP(A3839,INSUMOS_AUX!$A$3:$H$813,6,0),0)</f>
        <v>0</v>
      </c>
      <c r="G3839" s="149" t="n">
        <f aca="false">IF(C3839="M.O.",VLOOKUP(A3839,INSUMOS_AUX!A:F,6,0),0)</f>
        <v>13.26</v>
      </c>
    </row>
    <row r="3840" customFormat="false" ht="15" hidden="false" customHeight="false" outlineLevel="0" collapsed="false">
      <c r="A3840" s="154" t="n">
        <v>2696</v>
      </c>
      <c r="B3840" s="155" t="s">
        <v>1483</v>
      </c>
      <c r="C3840" s="148" t="str">
        <f aca="false">VLOOKUP($A3840,INSUMOS_AUX!$A$3:$H$813,3,0)</f>
        <v>M.O.</v>
      </c>
      <c r="D3840" s="156" t="s">
        <v>1444</v>
      </c>
      <c r="E3840" s="154" t="n">
        <v>0.127960086</v>
      </c>
      <c r="F3840" s="149" t="n">
        <f aca="false">IF(C3840="MAT.",VLOOKUP(A3840,INSUMOS_AUX!$A$3:$H$813,6,0),0)</f>
        <v>0</v>
      </c>
      <c r="G3840" s="149" t="n">
        <f aca="false">IF(C3840="M.O.",VLOOKUP(A3840,INSUMOS_AUX!A:F,6,0),0)</f>
        <v>20.22</v>
      </c>
    </row>
    <row r="3841" customFormat="false" ht="31.5" hidden="false" customHeight="false" outlineLevel="0" collapsed="false">
      <c r="A3841" s="150" t="n">
        <v>89809</v>
      </c>
      <c r="B3841" s="151" t="s">
        <v>2140</v>
      </c>
      <c r="C3841" s="152" t="s">
        <v>59</v>
      </c>
      <c r="D3841" s="152" t="s">
        <v>31</v>
      </c>
      <c r="E3841" s="150"/>
      <c r="F3841" s="153" t="n">
        <f aca="false">(SUMPRODUCT($E3842:$E3852,F3842:F3852))*1</f>
        <v>14.804584</v>
      </c>
      <c r="G3841" s="153" t="n">
        <f aca="false">(SUMPRODUCT($E3842:$E3852,G3842:G3852))*1</f>
        <v>7.40260397088</v>
      </c>
    </row>
    <row r="3842" customFormat="false" ht="21" hidden="false" customHeight="false" outlineLevel="0" collapsed="false">
      <c r="A3842" s="154" t="n">
        <v>37370</v>
      </c>
      <c r="B3842" s="155" t="s">
        <v>1443</v>
      </c>
      <c r="C3842" s="148" t="str">
        <f aca="false">VLOOKUP($A3842,INSUMOS_AUX!$A$3:$H$813,3,0)</f>
        <v>MAT.</v>
      </c>
      <c r="D3842" s="156" t="s">
        <v>1444</v>
      </c>
      <c r="E3842" s="154" t="n">
        <v>0.4344</v>
      </c>
      <c r="F3842" s="149" t="n">
        <f aca="false">IF(C3842="MAT.",VLOOKUP(A3842,INSUMOS_AUX!$A$3:$H$813,6,0),0)</f>
        <v>3.32</v>
      </c>
      <c r="G3842" s="149" t="n">
        <f aca="false">IF(C3842="M.O.",VLOOKUP(A3842,INSUMOS_AUX!A:F,6,0),0)</f>
        <v>0</v>
      </c>
    </row>
    <row r="3843" customFormat="false" ht="21" hidden="false" customHeight="false" outlineLevel="0" collapsed="false">
      <c r="A3843" s="154" t="n">
        <v>43485</v>
      </c>
      <c r="B3843" s="155" t="s">
        <v>1481</v>
      </c>
      <c r="C3843" s="148" t="str">
        <f aca="false">VLOOKUP($A3843,INSUMOS_AUX!$A$3:$H$813,3,0)</f>
        <v>MAT.</v>
      </c>
      <c r="D3843" s="156" t="s">
        <v>1444</v>
      </c>
      <c r="E3843" s="154" t="n">
        <v>0.4344</v>
      </c>
      <c r="F3843" s="149" t="n">
        <f aca="false">IF(C3843="MAT.",VLOOKUP(A3843,INSUMOS_AUX!$A$3:$H$813,6,0),0)</f>
        <v>1.13</v>
      </c>
      <c r="G3843" s="149" t="n">
        <f aca="false">IF(C3843="M.O.",VLOOKUP(A3843,INSUMOS_AUX!A:F,6,0),0)</f>
        <v>0</v>
      </c>
    </row>
    <row r="3844" customFormat="false" ht="21" hidden="false" customHeight="false" outlineLevel="0" collapsed="false">
      <c r="A3844" s="154" t="n">
        <v>37372</v>
      </c>
      <c r="B3844" s="155" t="s">
        <v>1446</v>
      </c>
      <c r="C3844" s="148" t="str">
        <f aca="false">VLOOKUP($A3844,INSUMOS_AUX!$A$3:$H$813,3,0)</f>
        <v>MAT.</v>
      </c>
      <c r="D3844" s="156" t="s">
        <v>1444</v>
      </c>
      <c r="E3844" s="154" t="n">
        <v>0.4344</v>
      </c>
      <c r="F3844" s="149" t="n">
        <f aca="false">IF(C3844="MAT.",VLOOKUP(A3844,INSUMOS_AUX!$A$3:$H$813,6,0),0)</f>
        <v>1.43</v>
      </c>
      <c r="G3844" s="149" t="n">
        <f aca="false">IF(C3844="M.O.",VLOOKUP(A3844,INSUMOS_AUX!A:F,6,0),0)</f>
        <v>0</v>
      </c>
    </row>
    <row r="3845" customFormat="false" ht="21" hidden="false" customHeight="false" outlineLevel="0" collapsed="false">
      <c r="A3845" s="154" t="n">
        <v>43461</v>
      </c>
      <c r="B3845" s="155" t="s">
        <v>1482</v>
      </c>
      <c r="C3845" s="148" t="str">
        <f aca="false">VLOOKUP($A3845,INSUMOS_AUX!$A$3:$H$813,3,0)</f>
        <v>MAT.</v>
      </c>
      <c r="D3845" s="156" t="s">
        <v>1444</v>
      </c>
      <c r="E3845" s="154" t="n">
        <v>0.4344</v>
      </c>
      <c r="F3845" s="149" t="n">
        <f aca="false">IF(C3845="MAT.",VLOOKUP(A3845,INSUMOS_AUX!$A$3:$H$813,6,0),0)</f>
        <v>0.31</v>
      </c>
      <c r="G3845" s="149" t="n">
        <f aca="false">IF(C3845="M.O.",VLOOKUP(A3845,INSUMOS_AUX!A:F,6,0),0)</f>
        <v>0</v>
      </c>
    </row>
    <row r="3846" customFormat="false" ht="21" hidden="false" customHeight="false" outlineLevel="0" collapsed="false">
      <c r="A3846" s="154" t="n">
        <v>37373</v>
      </c>
      <c r="B3846" s="155" t="s">
        <v>1448</v>
      </c>
      <c r="C3846" s="148" t="str">
        <f aca="false">VLOOKUP($A3846,INSUMOS_AUX!$A$3:$H$813,3,0)</f>
        <v>MAT.</v>
      </c>
      <c r="D3846" s="156" t="s">
        <v>1444</v>
      </c>
      <c r="E3846" s="154" t="n">
        <v>0.4344</v>
      </c>
      <c r="F3846" s="149" t="n">
        <f aca="false">IF(C3846="MAT.",VLOOKUP(A3846,INSUMOS_AUX!$A$3:$H$813,6,0),0)</f>
        <v>0.08</v>
      </c>
      <c r="G3846" s="149" t="n">
        <f aca="false">IF(C3846="M.O.",VLOOKUP(A3846,INSUMOS_AUX!A:F,6,0),0)</f>
        <v>0</v>
      </c>
    </row>
    <row r="3847" customFormat="false" ht="21" hidden="false" customHeight="false" outlineLevel="0" collapsed="false">
      <c r="A3847" s="154" t="n">
        <v>37371</v>
      </c>
      <c r="B3847" s="155" t="s">
        <v>1449</v>
      </c>
      <c r="C3847" s="148" t="str">
        <f aca="false">VLOOKUP($A3847,INSUMOS_AUX!$A$3:$H$813,3,0)</f>
        <v>MAT.</v>
      </c>
      <c r="D3847" s="156" t="s">
        <v>1444</v>
      </c>
      <c r="E3847" s="154" t="n">
        <v>0.4344</v>
      </c>
      <c r="F3847" s="149" t="n">
        <f aca="false">IF(C3847="MAT.",VLOOKUP(A3847,INSUMOS_AUX!$A$3:$H$813,6,0),0)</f>
        <v>0.59</v>
      </c>
      <c r="G3847" s="149" t="n">
        <f aca="false">IF(C3847="M.O.",VLOOKUP(A3847,INSUMOS_AUX!A:F,6,0),0)</f>
        <v>0</v>
      </c>
    </row>
    <row r="3848" customFormat="false" ht="21" hidden="false" customHeight="false" outlineLevel="0" collapsed="false">
      <c r="A3848" s="154" t="n">
        <v>301</v>
      </c>
      <c r="B3848" s="155" t="s">
        <v>2125</v>
      </c>
      <c r="C3848" s="148" t="s">
        <v>59</v>
      </c>
      <c r="D3848" s="156" t="s">
        <v>31</v>
      </c>
      <c r="E3848" s="154" t="n">
        <v>2</v>
      </c>
      <c r="F3848" s="149" t="n">
        <f aca="false">IF(C3848="MAT.",VLOOKUP(A3848,INSUMOS_AUX!$A$3:$H$813,6,0),0)</f>
        <v>0</v>
      </c>
      <c r="G3848" s="149" t="n">
        <f aca="false">IF(C3848="M.O.",VLOOKUP(A3848,INSUMOS_AUX!A:F,6,0),0)</f>
        <v>0</v>
      </c>
    </row>
    <row r="3849" customFormat="false" ht="21" hidden="false" customHeight="false" outlineLevel="0" collapsed="false">
      <c r="A3849" s="154" t="n">
        <v>3520</v>
      </c>
      <c r="B3849" s="155" t="s">
        <v>2141</v>
      </c>
      <c r="C3849" s="148" t="str">
        <f aca="false">VLOOKUP($A3849,INSUMOS_AUX!$A$3:$H$813,3,0)</f>
        <v>MAT.</v>
      </c>
      <c r="D3849" s="156" t="s">
        <v>31</v>
      </c>
      <c r="E3849" s="154" t="n">
        <v>1</v>
      </c>
      <c r="F3849" s="149" t="n">
        <f aca="false">IF(C3849="MAT.",VLOOKUP(A3849,INSUMOS_AUX!$A$3:$H$813,6,0),0)</f>
        <v>8.83</v>
      </c>
      <c r="G3849" s="149" t="n">
        <f aca="false">IF(C3849="M.O.",VLOOKUP(A3849,INSUMOS_AUX!A:F,6,0),0)</f>
        <v>0</v>
      </c>
    </row>
    <row r="3850" customFormat="false" ht="31.5" hidden="false" customHeight="false" outlineLevel="0" collapsed="false">
      <c r="A3850" s="154" t="n">
        <v>20078</v>
      </c>
      <c r="B3850" s="155" t="s">
        <v>2123</v>
      </c>
      <c r="C3850" s="148" t="str">
        <f aca="false">VLOOKUP($A3850,INSUMOS_AUX!$A$3:$H$813,3,0)</f>
        <v>MAT.</v>
      </c>
      <c r="D3850" s="156" t="s">
        <v>31</v>
      </c>
      <c r="E3850" s="154" t="n">
        <v>0.115</v>
      </c>
      <c r="F3850" s="149" t="n">
        <f aca="false">IF(C3850="MAT.",VLOOKUP(A3850,INSUMOS_AUX!$A$3:$H$813,6,0),0)</f>
        <v>26.04</v>
      </c>
      <c r="G3850" s="149" t="n">
        <f aca="false">IF(C3850="M.O.",VLOOKUP(A3850,INSUMOS_AUX!A:F,6,0),0)</f>
        <v>0</v>
      </c>
    </row>
    <row r="3851" customFormat="false" ht="15" hidden="false" customHeight="false" outlineLevel="0" collapsed="false">
      <c r="A3851" s="154" t="n">
        <v>246</v>
      </c>
      <c r="B3851" s="155" t="s">
        <v>1752</v>
      </c>
      <c r="C3851" s="148" t="str">
        <f aca="false">VLOOKUP($A3851,INSUMOS_AUX!$A$3:$H$813,3,0)</f>
        <v>M.O.</v>
      </c>
      <c r="D3851" s="156" t="s">
        <v>1444</v>
      </c>
      <c r="E3851" s="154" t="n">
        <v>0.221105256</v>
      </c>
      <c r="F3851" s="149" t="n">
        <f aca="false">IF(C3851="MAT.",VLOOKUP(A3851,INSUMOS_AUX!$A$3:$H$813,6,0),0)</f>
        <v>0</v>
      </c>
      <c r="G3851" s="149" t="n">
        <f aca="false">IF(C3851="M.O.",VLOOKUP(A3851,INSUMOS_AUX!A:F,6,0),0)</f>
        <v>13.26</v>
      </c>
    </row>
    <row r="3852" customFormat="false" ht="15" hidden="false" customHeight="false" outlineLevel="0" collapsed="false">
      <c r="A3852" s="154" t="n">
        <v>2696</v>
      </c>
      <c r="B3852" s="155" t="s">
        <v>1483</v>
      </c>
      <c r="C3852" s="148" t="str">
        <f aca="false">VLOOKUP($A3852,INSUMOS_AUX!$A$3:$H$813,3,0)</f>
        <v>M.O.</v>
      </c>
      <c r="D3852" s="156" t="s">
        <v>1444</v>
      </c>
      <c r="E3852" s="154" t="n">
        <v>0.221105256</v>
      </c>
      <c r="F3852" s="149" t="n">
        <f aca="false">IF(C3852="MAT.",VLOOKUP(A3852,INSUMOS_AUX!$A$3:$H$813,6,0),0)</f>
        <v>0</v>
      </c>
      <c r="G3852" s="149" t="n">
        <f aca="false">IF(C3852="M.O.",VLOOKUP(A3852,INSUMOS_AUX!A:F,6,0),0)</f>
        <v>20.22</v>
      </c>
    </row>
    <row r="3853" customFormat="false" ht="31.5" hidden="false" customHeight="false" outlineLevel="0" collapsed="false">
      <c r="A3853" s="150" t="n">
        <v>89724</v>
      </c>
      <c r="B3853" s="151" t="s">
        <v>2142</v>
      </c>
      <c r="C3853" s="152" t="s">
        <v>59</v>
      </c>
      <c r="D3853" s="152" t="s">
        <v>31</v>
      </c>
      <c r="E3853" s="150"/>
      <c r="F3853" s="153" t="n">
        <f aca="false">(SUMPRODUCT($E3854:$E3865,F3854:F3865))*1</f>
        <v>5.6962</v>
      </c>
      <c r="G3853" s="153" t="n">
        <f aca="false">(SUMPRODUCT($E3854:$E3865,G3854:G3865))*1</f>
        <v>4.3284102408</v>
      </c>
    </row>
    <row r="3854" customFormat="false" ht="21" hidden="false" customHeight="false" outlineLevel="0" collapsed="false">
      <c r="A3854" s="154" t="n">
        <v>37370</v>
      </c>
      <c r="B3854" s="155" t="s">
        <v>1443</v>
      </c>
      <c r="C3854" s="148" t="str">
        <f aca="false">VLOOKUP($A3854,INSUMOS_AUX!$A$3:$H$813,3,0)</f>
        <v>MAT.</v>
      </c>
      <c r="D3854" s="156" t="s">
        <v>1444</v>
      </c>
      <c r="E3854" s="154" t="n">
        <v>0.254</v>
      </c>
      <c r="F3854" s="149" t="n">
        <f aca="false">IF(C3854="MAT.",VLOOKUP(A3854,INSUMOS_AUX!$A$3:$H$813,6,0),0)</f>
        <v>3.32</v>
      </c>
      <c r="G3854" s="149" t="n">
        <f aca="false">IF(C3854="M.O.",VLOOKUP(A3854,INSUMOS_AUX!A:F,6,0),0)</f>
        <v>0</v>
      </c>
    </row>
    <row r="3855" customFormat="false" ht="21" hidden="false" customHeight="false" outlineLevel="0" collapsed="false">
      <c r="A3855" s="154" t="n">
        <v>43485</v>
      </c>
      <c r="B3855" s="155" t="s">
        <v>1481</v>
      </c>
      <c r="C3855" s="148" t="str">
        <f aca="false">VLOOKUP($A3855,INSUMOS_AUX!$A$3:$H$813,3,0)</f>
        <v>MAT.</v>
      </c>
      <c r="D3855" s="156" t="s">
        <v>1444</v>
      </c>
      <c r="E3855" s="154" t="n">
        <v>0.254</v>
      </c>
      <c r="F3855" s="149" t="n">
        <f aca="false">IF(C3855="MAT.",VLOOKUP(A3855,INSUMOS_AUX!$A$3:$H$813,6,0),0)</f>
        <v>1.13</v>
      </c>
      <c r="G3855" s="149" t="n">
        <f aca="false">IF(C3855="M.O.",VLOOKUP(A3855,INSUMOS_AUX!A:F,6,0),0)</f>
        <v>0</v>
      </c>
    </row>
    <row r="3856" customFormat="false" ht="21" hidden="false" customHeight="false" outlineLevel="0" collapsed="false">
      <c r="A3856" s="154" t="n">
        <v>37372</v>
      </c>
      <c r="B3856" s="155" t="s">
        <v>1446</v>
      </c>
      <c r="C3856" s="148" t="str">
        <f aca="false">VLOOKUP($A3856,INSUMOS_AUX!$A$3:$H$813,3,0)</f>
        <v>MAT.</v>
      </c>
      <c r="D3856" s="156" t="s">
        <v>1444</v>
      </c>
      <c r="E3856" s="154" t="n">
        <v>0.254</v>
      </c>
      <c r="F3856" s="149" t="n">
        <f aca="false">IF(C3856="MAT.",VLOOKUP(A3856,INSUMOS_AUX!$A$3:$H$813,6,0),0)</f>
        <v>1.43</v>
      </c>
      <c r="G3856" s="149" t="n">
        <f aca="false">IF(C3856="M.O.",VLOOKUP(A3856,INSUMOS_AUX!A:F,6,0),0)</f>
        <v>0</v>
      </c>
    </row>
    <row r="3857" customFormat="false" ht="21" hidden="false" customHeight="false" outlineLevel="0" collapsed="false">
      <c r="A3857" s="154" t="n">
        <v>43461</v>
      </c>
      <c r="B3857" s="155" t="s">
        <v>1482</v>
      </c>
      <c r="C3857" s="148" t="str">
        <f aca="false">VLOOKUP($A3857,INSUMOS_AUX!$A$3:$H$813,3,0)</f>
        <v>MAT.</v>
      </c>
      <c r="D3857" s="156" t="s">
        <v>1444</v>
      </c>
      <c r="E3857" s="154" t="n">
        <v>0.254</v>
      </c>
      <c r="F3857" s="149" t="n">
        <f aca="false">IF(C3857="MAT.",VLOOKUP(A3857,INSUMOS_AUX!$A$3:$H$813,6,0),0)</f>
        <v>0.31</v>
      </c>
      <c r="G3857" s="149" t="n">
        <f aca="false">IF(C3857="M.O.",VLOOKUP(A3857,INSUMOS_AUX!A:F,6,0),0)</f>
        <v>0</v>
      </c>
    </row>
    <row r="3858" customFormat="false" ht="21" hidden="false" customHeight="false" outlineLevel="0" collapsed="false">
      <c r="A3858" s="154" t="n">
        <v>37373</v>
      </c>
      <c r="B3858" s="155" t="s">
        <v>1448</v>
      </c>
      <c r="C3858" s="148" t="str">
        <f aca="false">VLOOKUP($A3858,INSUMOS_AUX!$A$3:$H$813,3,0)</f>
        <v>MAT.</v>
      </c>
      <c r="D3858" s="156" t="s">
        <v>1444</v>
      </c>
      <c r="E3858" s="154" t="n">
        <v>0.254</v>
      </c>
      <c r="F3858" s="149" t="n">
        <f aca="false">IF(C3858="MAT.",VLOOKUP(A3858,INSUMOS_AUX!$A$3:$H$813,6,0),0)</f>
        <v>0.08</v>
      </c>
      <c r="G3858" s="149" t="n">
        <f aca="false">IF(C3858="M.O.",VLOOKUP(A3858,INSUMOS_AUX!A:F,6,0),0)</f>
        <v>0</v>
      </c>
    </row>
    <row r="3859" customFormat="false" ht="21" hidden="false" customHeight="false" outlineLevel="0" collapsed="false">
      <c r="A3859" s="154" t="n">
        <v>37371</v>
      </c>
      <c r="B3859" s="155" t="s">
        <v>1449</v>
      </c>
      <c r="C3859" s="148" t="str">
        <f aca="false">VLOOKUP($A3859,INSUMOS_AUX!$A$3:$H$813,3,0)</f>
        <v>MAT.</v>
      </c>
      <c r="D3859" s="156" t="s">
        <v>1444</v>
      </c>
      <c r="E3859" s="154" t="n">
        <v>0.254</v>
      </c>
      <c r="F3859" s="149" t="n">
        <f aca="false">IF(C3859="MAT.",VLOOKUP(A3859,INSUMOS_AUX!$A$3:$H$813,6,0),0)</f>
        <v>0.59</v>
      </c>
      <c r="G3859" s="149" t="n">
        <f aca="false">IF(C3859="M.O.",VLOOKUP(A3859,INSUMOS_AUX!A:F,6,0),0)</f>
        <v>0</v>
      </c>
    </row>
    <row r="3860" customFormat="false" ht="15" hidden="false" customHeight="false" outlineLevel="0" collapsed="false">
      <c r="A3860" s="154" t="n">
        <v>122</v>
      </c>
      <c r="B3860" s="155" t="s">
        <v>2097</v>
      </c>
      <c r="C3860" s="148" t="str">
        <f aca="false">VLOOKUP($A3860,INSUMOS_AUX!$A$3:$H$813,3,0)</f>
        <v>MAT.</v>
      </c>
      <c r="D3860" s="156" t="s">
        <v>31</v>
      </c>
      <c r="E3860" s="154" t="n">
        <v>0.0099</v>
      </c>
      <c r="F3860" s="149" t="n">
        <f aca="false">IF(C3860="MAT.",VLOOKUP(A3860,INSUMOS_AUX!$A$3:$H$813,6,0),0)</f>
        <v>63.09</v>
      </c>
      <c r="G3860" s="149" t="n">
        <f aca="false">IF(C3860="M.O.",VLOOKUP(A3860,INSUMOS_AUX!A:F,6,0),0)</f>
        <v>0</v>
      </c>
    </row>
    <row r="3861" customFormat="false" ht="21" hidden="false" customHeight="false" outlineLevel="0" collapsed="false">
      <c r="A3861" s="154" t="n">
        <v>3517</v>
      </c>
      <c r="B3861" s="155" t="s">
        <v>2143</v>
      </c>
      <c r="C3861" s="148" t="str">
        <f aca="false">VLOOKUP($A3861,INSUMOS_AUX!$A$3:$H$813,3,0)</f>
        <v>MAT.</v>
      </c>
      <c r="D3861" s="156" t="s">
        <v>31</v>
      </c>
      <c r="E3861" s="154" t="n">
        <v>1</v>
      </c>
      <c r="F3861" s="149" t="n">
        <f aca="false">IF(C3861="MAT.",VLOOKUP(A3861,INSUMOS_AUX!$A$3:$H$813,6,0),0)</f>
        <v>2.24</v>
      </c>
      <c r="G3861" s="149" t="n">
        <f aca="false">IF(C3861="M.O.",VLOOKUP(A3861,INSUMOS_AUX!A:F,6,0),0)</f>
        <v>0</v>
      </c>
    </row>
    <row r="3862" customFormat="false" ht="15" hidden="false" customHeight="false" outlineLevel="0" collapsed="false">
      <c r="A3862" s="154" t="n">
        <v>38383</v>
      </c>
      <c r="B3862" s="155" t="s">
        <v>2093</v>
      </c>
      <c r="C3862" s="148" t="str">
        <f aca="false">VLOOKUP($A3862,INSUMOS_AUX!$A$3:$H$813,3,0)</f>
        <v>MAT.</v>
      </c>
      <c r="D3862" s="156" t="s">
        <v>31</v>
      </c>
      <c r="E3862" s="154" t="n">
        <v>0.0071</v>
      </c>
      <c r="F3862" s="149" t="n">
        <f aca="false">IF(C3862="MAT.",VLOOKUP(A3862,INSUMOS_AUX!$A$3:$H$813,6,0),0)</f>
        <v>2.39</v>
      </c>
      <c r="G3862" s="149" t="n">
        <f aca="false">IF(C3862="M.O.",VLOOKUP(A3862,INSUMOS_AUX!A:F,6,0),0)</f>
        <v>0</v>
      </c>
    </row>
    <row r="3863" customFormat="false" ht="21" hidden="false" customHeight="false" outlineLevel="0" collapsed="false">
      <c r="A3863" s="154" t="n">
        <v>20083</v>
      </c>
      <c r="B3863" s="155" t="s">
        <v>2095</v>
      </c>
      <c r="C3863" s="148" t="str">
        <f aca="false">VLOOKUP($A3863,INSUMOS_AUX!$A$3:$H$813,3,0)</f>
        <v>MAT.</v>
      </c>
      <c r="D3863" s="156" t="s">
        <v>31</v>
      </c>
      <c r="E3863" s="154" t="n">
        <v>0.015</v>
      </c>
      <c r="F3863" s="149" t="n">
        <f aca="false">IF(C3863="MAT.",VLOOKUP(A3863,INSUMOS_AUX!$A$3:$H$813,6,0),0)</f>
        <v>71.48</v>
      </c>
      <c r="G3863" s="149" t="n">
        <f aca="false">IF(C3863="M.O.",VLOOKUP(A3863,INSUMOS_AUX!A:F,6,0),0)</f>
        <v>0</v>
      </c>
    </row>
    <row r="3864" customFormat="false" ht="15" hidden="false" customHeight="false" outlineLevel="0" collapsed="false">
      <c r="A3864" s="154" t="n">
        <v>246</v>
      </c>
      <c r="B3864" s="155" t="s">
        <v>1752</v>
      </c>
      <c r="C3864" s="148" t="str">
        <f aca="false">VLOOKUP($A3864,INSUMOS_AUX!$A$3:$H$813,3,0)</f>
        <v>M.O.</v>
      </c>
      <c r="D3864" s="156" t="s">
        <v>1444</v>
      </c>
      <c r="E3864" s="154" t="n">
        <v>0.12928346</v>
      </c>
      <c r="F3864" s="149" t="n">
        <f aca="false">IF(C3864="MAT.",VLOOKUP(A3864,INSUMOS_AUX!$A$3:$H$813,6,0),0)</f>
        <v>0</v>
      </c>
      <c r="G3864" s="149" t="n">
        <f aca="false">IF(C3864="M.O.",VLOOKUP(A3864,INSUMOS_AUX!A:F,6,0),0)</f>
        <v>13.26</v>
      </c>
    </row>
    <row r="3865" customFormat="false" ht="15" hidden="false" customHeight="false" outlineLevel="0" collapsed="false">
      <c r="A3865" s="154" t="n">
        <v>2696</v>
      </c>
      <c r="B3865" s="155" t="s">
        <v>1483</v>
      </c>
      <c r="C3865" s="148" t="str">
        <f aca="false">VLOOKUP($A3865,INSUMOS_AUX!$A$3:$H$813,3,0)</f>
        <v>M.O.</v>
      </c>
      <c r="D3865" s="156" t="s">
        <v>1444</v>
      </c>
      <c r="E3865" s="154" t="n">
        <v>0.12928346</v>
      </c>
      <c r="F3865" s="149" t="n">
        <f aca="false">IF(C3865="MAT.",VLOOKUP(A3865,INSUMOS_AUX!$A$3:$H$813,6,0),0)</f>
        <v>0</v>
      </c>
      <c r="G3865" s="149" t="n">
        <f aca="false">IF(C3865="M.O.",VLOOKUP(A3865,INSUMOS_AUX!A:F,6,0),0)</f>
        <v>20.22</v>
      </c>
    </row>
    <row r="3866" customFormat="false" ht="31.5" hidden="false" customHeight="false" outlineLevel="0" collapsed="false">
      <c r="A3866" s="150" t="n">
        <v>89801</v>
      </c>
      <c r="B3866" s="151" t="s">
        <v>2144</v>
      </c>
      <c r="C3866" s="152" t="s">
        <v>59</v>
      </c>
      <c r="D3866" s="152" t="s">
        <v>31</v>
      </c>
      <c r="E3866" s="150"/>
      <c r="F3866" s="153" t="n">
        <f aca="false">(SUMPRODUCT($E3867:$E3877,F3867:F3877))*1</f>
        <v>8.402596</v>
      </c>
      <c r="G3866" s="153" t="n">
        <f aca="false">(SUMPRODUCT($E3867:$E3877,G3867:G3877))*1</f>
        <v>1.16901158472</v>
      </c>
    </row>
    <row r="3867" customFormat="false" ht="21" hidden="false" customHeight="false" outlineLevel="0" collapsed="false">
      <c r="A3867" s="154" t="n">
        <v>37370</v>
      </c>
      <c r="B3867" s="155" t="s">
        <v>1443</v>
      </c>
      <c r="C3867" s="148" t="str">
        <f aca="false">VLOOKUP($A3867,INSUMOS_AUX!$A$3:$H$813,3,0)</f>
        <v>MAT.</v>
      </c>
      <c r="D3867" s="156" t="s">
        <v>1444</v>
      </c>
      <c r="E3867" s="154" t="n">
        <v>0.0686</v>
      </c>
      <c r="F3867" s="149" t="n">
        <f aca="false">IF(C3867="MAT.",VLOOKUP(A3867,INSUMOS_AUX!$A$3:$H$813,6,0),0)</f>
        <v>3.32</v>
      </c>
      <c r="G3867" s="149" t="n">
        <f aca="false">IF(C3867="M.O.",VLOOKUP(A3867,INSUMOS_AUX!A:F,6,0),0)</f>
        <v>0</v>
      </c>
    </row>
    <row r="3868" customFormat="false" ht="21" hidden="false" customHeight="false" outlineLevel="0" collapsed="false">
      <c r="A3868" s="154" t="n">
        <v>43485</v>
      </c>
      <c r="B3868" s="155" t="s">
        <v>1481</v>
      </c>
      <c r="C3868" s="148" t="str">
        <f aca="false">VLOOKUP($A3868,INSUMOS_AUX!$A$3:$H$813,3,0)</f>
        <v>MAT.</v>
      </c>
      <c r="D3868" s="156" t="s">
        <v>1444</v>
      </c>
      <c r="E3868" s="154" t="n">
        <v>0.0686</v>
      </c>
      <c r="F3868" s="149" t="n">
        <f aca="false">IF(C3868="MAT.",VLOOKUP(A3868,INSUMOS_AUX!$A$3:$H$813,6,0),0)</f>
        <v>1.13</v>
      </c>
      <c r="G3868" s="149" t="n">
        <f aca="false">IF(C3868="M.O.",VLOOKUP(A3868,INSUMOS_AUX!A:F,6,0),0)</f>
        <v>0</v>
      </c>
    </row>
    <row r="3869" customFormat="false" ht="21" hidden="false" customHeight="false" outlineLevel="0" collapsed="false">
      <c r="A3869" s="154" t="n">
        <v>37372</v>
      </c>
      <c r="B3869" s="155" t="s">
        <v>1446</v>
      </c>
      <c r="C3869" s="148" t="str">
        <f aca="false">VLOOKUP($A3869,INSUMOS_AUX!$A$3:$H$813,3,0)</f>
        <v>MAT.</v>
      </c>
      <c r="D3869" s="156" t="s">
        <v>1444</v>
      </c>
      <c r="E3869" s="154" t="n">
        <v>0.0686</v>
      </c>
      <c r="F3869" s="149" t="n">
        <f aca="false">IF(C3869="MAT.",VLOOKUP(A3869,INSUMOS_AUX!$A$3:$H$813,6,0),0)</f>
        <v>1.43</v>
      </c>
      <c r="G3869" s="149" t="n">
        <f aca="false">IF(C3869="M.O.",VLOOKUP(A3869,INSUMOS_AUX!A:F,6,0),0)</f>
        <v>0</v>
      </c>
    </row>
    <row r="3870" customFormat="false" ht="21" hidden="false" customHeight="false" outlineLevel="0" collapsed="false">
      <c r="A3870" s="154" t="n">
        <v>43461</v>
      </c>
      <c r="B3870" s="155" t="s">
        <v>1482</v>
      </c>
      <c r="C3870" s="148" t="str">
        <f aca="false">VLOOKUP($A3870,INSUMOS_AUX!$A$3:$H$813,3,0)</f>
        <v>MAT.</v>
      </c>
      <c r="D3870" s="156" t="s">
        <v>1444</v>
      </c>
      <c r="E3870" s="154" t="n">
        <v>0.0686</v>
      </c>
      <c r="F3870" s="149" t="n">
        <f aca="false">IF(C3870="MAT.",VLOOKUP(A3870,INSUMOS_AUX!$A$3:$H$813,6,0),0)</f>
        <v>0.31</v>
      </c>
      <c r="G3870" s="149" t="n">
        <f aca="false">IF(C3870="M.O.",VLOOKUP(A3870,INSUMOS_AUX!A:F,6,0),0)</f>
        <v>0</v>
      </c>
    </row>
    <row r="3871" customFormat="false" ht="21" hidden="false" customHeight="false" outlineLevel="0" collapsed="false">
      <c r="A3871" s="154" t="n">
        <v>37373</v>
      </c>
      <c r="B3871" s="155" t="s">
        <v>1448</v>
      </c>
      <c r="C3871" s="148" t="str">
        <f aca="false">VLOOKUP($A3871,INSUMOS_AUX!$A$3:$H$813,3,0)</f>
        <v>MAT.</v>
      </c>
      <c r="D3871" s="156" t="s">
        <v>1444</v>
      </c>
      <c r="E3871" s="154" t="n">
        <v>0.0686</v>
      </c>
      <c r="F3871" s="149" t="n">
        <f aca="false">IF(C3871="MAT.",VLOOKUP(A3871,INSUMOS_AUX!$A$3:$H$813,6,0),0)</f>
        <v>0.08</v>
      </c>
      <c r="G3871" s="149" t="n">
        <f aca="false">IF(C3871="M.O.",VLOOKUP(A3871,INSUMOS_AUX!A:F,6,0),0)</f>
        <v>0</v>
      </c>
    </row>
    <row r="3872" customFormat="false" ht="21" hidden="false" customHeight="false" outlineLevel="0" collapsed="false">
      <c r="A3872" s="154" t="n">
        <v>37371</v>
      </c>
      <c r="B3872" s="155" t="s">
        <v>1449</v>
      </c>
      <c r="C3872" s="148" t="str">
        <f aca="false">VLOOKUP($A3872,INSUMOS_AUX!$A$3:$H$813,3,0)</f>
        <v>MAT.</v>
      </c>
      <c r="D3872" s="156" t="s">
        <v>1444</v>
      </c>
      <c r="E3872" s="154" t="n">
        <v>0.0686</v>
      </c>
      <c r="F3872" s="149" t="n">
        <f aca="false">IF(C3872="MAT.",VLOOKUP(A3872,INSUMOS_AUX!$A$3:$H$813,6,0),0)</f>
        <v>0.59</v>
      </c>
      <c r="G3872" s="149" t="n">
        <f aca="false">IF(C3872="M.O.",VLOOKUP(A3872,INSUMOS_AUX!A:F,6,0),0)</f>
        <v>0</v>
      </c>
    </row>
    <row r="3873" customFormat="false" ht="15" hidden="false" customHeight="false" outlineLevel="0" collapsed="false">
      <c r="A3873" s="154" t="n">
        <v>296</v>
      </c>
      <c r="B3873" s="155" t="s">
        <v>2121</v>
      </c>
      <c r="C3873" s="148" t="str">
        <f aca="false">VLOOKUP($A3873,INSUMOS_AUX!$A$3:$H$813,3,0)</f>
        <v>MAT.</v>
      </c>
      <c r="D3873" s="156" t="s">
        <v>31</v>
      </c>
      <c r="E3873" s="154" t="n">
        <v>2</v>
      </c>
      <c r="F3873" s="149" t="n">
        <f aca="false">IF(C3873="MAT.",VLOOKUP(A3873,INSUMOS_AUX!$A$3:$H$813,6,0),0)</f>
        <v>1.69</v>
      </c>
      <c r="G3873" s="149" t="n">
        <f aca="false">IF(C3873="M.O.",VLOOKUP(A3873,INSUMOS_AUX!A:F,6,0),0)</f>
        <v>0</v>
      </c>
    </row>
    <row r="3874" customFormat="false" ht="21" hidden="false" customHeight="false" outlineLevel="0" collapsed="false">
      <c r="A3874" s="154" t="n">
        <v>3526</v>
      </c>
      <c r="B3874" s="155" t="s">
        <v>2145</v>
      </c>
      <c r="C3874" s="148" t="str">
        <f aca="false">VLOOKUP($A3874,INSUMOS_AUX!$A$3:$H$813,3,0)</f>
        <v>MAT.</v>
      </c>
      <c r="D3874" s="156" t="s">
        <v>31</v>
      </c>
      <c r="E3874" s="154" t="n">
        <v>1</v>
      </c>
      <c r="F3874" s="149" t="n">
        <f aca="false">IF(C3874="MAT.",VLOOKUP(A3874,INSUMOS_AUX!$A$3:$H$813,6,0),0)</f>
        <v>3.25</v>
      </c>
      <c r="G3874" s="149" t="n">
        <f aca="false">IF(C3874="M.O.",VLOOKUP(A3874,INSUMOS_AUX!A:F,6,0),0)</f>
        <v>0</v>
      </c>
    </row>
    <row r="3875" customFormat="false" ht="31.5" hidden="false" customHeight="false" outlineLevel="0" collapsed="false">
      <c r="A3875" s="154" t="n">
        <v>20078</v>
      </c>
      <c r="B3875" s="155" t="s">
        <v>2123</v>
      </c>
      <c r="C3875" s="148" t="str">
        <f aca="false">VLOOKUP($A3875,INSUMOS_AUX!$A$3:$H$813,3,0)</f>
        <v>MAT.</v>
      </c>
      <c r="D3875" s="156" t="s">
        <v>31</v>
      </c>
      <c r="E3875" s="154" t="n">
        <v>0.05</v>
      </c>
      <c r="F3875" s="149" t="n">
        <f aca="false">IF(C3875="MAT.",VLOOKUP(A3875,INSUMOS_AUX!$A$3:$H$813,6,0),0)</f>
        <v>26.04</v>
      </c>
      <c r="G3875" s="149" t="n">
        <f aca="false">IF(C3875="M.O.",VLOOKUP(A3875,INSUMOS_AUX!A:F,6,0),0)</f>
        <v>0</v>
      </c>
    </row>
    <row r="3876" customFormat="false" ht="15" hidden="false" customHeight="false" outlineLevel="0" collapsed="false">
      <c r="A3876" s="154" t="n">
        <v>246</v>
      </c>
      <c r="B3876" s="155" t="s">
        <v>1752</v>
      </c>
      <c r="C3876" s="148" t="str">
        <f aca="false">VLOOKUP($A3876,INSUMOS_AUX!$A$3:$H$813,3,0)</f>
        <v>M.O.</v>
      </c>
      <c r="D3876" s="156" t="s">
        <v>1444</v>
      </c>
      <c r="E3876" s="154" t="n">
        <v>0.034916714</v>
      </c>
      <c r="F3876" s="149" t="n">
        <f aca="false">IF(C3876="MAT.",VLOOKUP(A3876,INSUMOS_AUX!$A$3:$H$813,6,0),0)</f>
        <v>0</v>
      </c>
      <c r="G3876" s="149" t="n">
        <f aca="false">IF(C3876="M.O.",VLOOKUP(A3876,INSUMOS_AUX!A:F,6,0),0)</f>
        <v>13.26</v>
      </c>
    </row>
    <row r="3877" customFormat="false" ht="15" hidden="false" customHeight="false" outlineLevel="0" collapsed="false">
      <c r="A3877" s="154" t="n">
        <v>2696</v>
      </c>
      <c r="B3877" s="155" t="s">
        <v>1483</v>
      </c>
      <c r="C3877" s="148" t="str">
        <f aca="false">VLOOKUP($A3877,INSUMOS_AUX!$A$3:$H$813,3,0)</f>
        <v>M.O.</v>
      </c>
      <c r="D3877" s="156" t="s">
        <v>1444</v>
      </c>
      <c r="E3877" s="154" t="n">
        <v>0.034916714</v>
      </c>
      <c r="F3877" s="149" t="n">
        <f aca="false">IF(C3877="MAT.",VLOOKUP(A3877,INSUMOS_AUX!$A$3:$H$813,6,0),0)</f>
        <v>0</v>
      </c>
      <c r="G3877" s="149" t="n">
        <f aca="false">IF(C3877="M.O.",VLOOKUP(A3877,INSUMOS_AUX!A:F,6,0),0)</f>
        <v>20.22</v>
      </c>
    </row>
    <row r="3878" customFormat="false" ht="31.5" hidden="false" customHeight="false" outlineLevel="0" collapsed="false">
      <c r="A3878" s="150" t="n">
        <v>89805</v>
      </c>
      <c r="B3878" s="151" t="s">
        <v>2146</v>
      </c>
      <c r="C3878" s="152" t="s">
        <v>59</v>
      </c>
      <c r="D3878" s="152" t="s">
        <v>31</v>
      </c>
      <c r="E3878" s="150"/>
      <c r="F3878" s="153" t="n">
        <f aca="false">(SUMPRODUCT($E3879:$E3889,F3879:F3889))*1</f>
        <v>16.047604</v>
      </c>
      <c r="G3878" s="153" t="n">
        <f aca="false">(SUMPRODUCT($E3879:$E3889,G3879:G3889))*1</f>
        <v>4.28410367928</v>
      </c>
    </row>
    <row r="3879" customFormat="false" ht="21" hidden="false" customHeight="false" outlineLevel="0" collapsed="false">
      <c r="A3879" s="154" t="n">
        <v>37370</v>
      </c>
      <c r="B3879" s="155" t="s">
        <v>1443</v>
      </c>
      <c r="C3879" s="148" t="str">
        <f aca="false">VLOOKUP($A3879,INSUMOS_AUX!$A$3:$H$813,3,0)</f>
        <v>MAT.</v>
      </c>
      <c r="D3879" s="156" t="s">
        <v>1444</v>
      </c>
      <c r="E3879" s="154" t="n">
        <v>0.2514</v>
      </c>
      <c r="F3879" s="149" t="n">
        <f aca="false">IF(C3879="MAT.",VLOOKUP(A3879,INSUMOS_AUX!$A$3:$H$813,6,0),0)</f>
        <v>3.32</v>
      </c>
      <c r="G3879" s="149" t="n">
        <f aca="false">IF(C3879="M.O.",VLOOKUP(A3879,INSUMOS_AUX!A:F,6,0),0)</f>
        <v>0</v>
      </c>
    </row>
    <row r="3880" customFormat="false" ht="21" hidden="false" customHeight="false" outlineLevel="0" collapsed="false">
      <c r="A3880" s="154" t="n">
        <v>43485</v>
      </c>
      <c r="B3880" s="155" t="s">
        <v>1481</v>
      </c>
      <c r="C3880" s="148" t="str">
        <f aca="false">VLOOKUP($A3880,INSUMOS_AUX!$A$3:$H$813,3,0)</f>
        <v>MAT.</v>
      </c>
      <c r="D3880" s="156" t="s">
        <v>1444</v>
      </c>
      <c r="E3880" s="154" t="n">
        <v>0.2514</v>
      </c>
      <c r="F3880" s="149" t="n">
        <f aca="false">IF(C3880="MAT.",VLOOKUP(A3880,INSUMOS_AUX!$A$3:$H$813,6,0),0)</f>
        <v>1.13</v>
      </c>
      <c r="G3880" s="149" t="n">
        <f aca="false">IF(C3880="M.O.",VLOOKUP(A3880,INSUMOS_AUX!A:F,6,0),0)</f>
        <v>0</v>
      </c>
    </row>
    <row r="3881" customFormat="false" ht="21" hidden="false" customHeight="false" outlineLevel="0" collapsed="false">
      <c r="A3881" s="154" t="n">
        <v>37372</v>
      </c>
      <c r="B3881" s="155" t="s">
        <v>1446</v>
      </c>
      <c r="C3881" s="148" t="str">
        <f aca="false">VLOOKUP($A3881,INSUMOS_AUX!$A$3:$H$813,3,0)</f>
        <v>MAT.</v>
      </c>
      <c r="D3881" s="156" t="s">
        <v>1444</v>
      </c>
      <c r="E3881" s="154" t="n">
        <v>0.2514</v>
      </c>
      <c r="F3881" s="149" t="n">
        <f aca="false">IF(C3881="MAT.",VLOOKUP(A3881,INSUMOS_AUX!$A$3:$H$813,6,0),0)</f>
        <v>1.43</v>
      </c>
      <c r="G3881" s="149" t="n">
        <f aca="false">IF(C3881="M.O.",VLOOKUP(A3881,INSUMOS_AUX!A:F,6,0),0)</f>
        <v>0</v>
      </c>
    </row>
    <row r="3882" customFormat="false" ht="21" hidden="false" customHeight="false" outlineLevel="0" collapsed="false">
      <c r="A3882" s="154" t="n">
        <v>43461</v>
      </c>
      <c r="B3882" s="155" t="s">
        <v>1482</v>
      </c>
      <c r="C3882" s="148" t="str">
        <f aca="false">VLOOKUP($A3882,INSUMOS_AUX!$A$3:$H$813,3,0)</f>
        <v>MAT.</v>
      </c>
      <c r="D3882" s="156" t="s">
        <v>1444</v>
      </c>
      <c r="E3882" s="154" t="n">
        <v>0.2514</v>
      </c>
      <c r="F3882" s="149" t="n">
        <f aca="false">IF(C3882="MAT.",VLOOKUP(A3882,INSUMOS_AUX!$A$3:$H$813,6,0),0)</f>
        <v>0.31</v>
      </c>
      <c r="G3882" s="149" t="n">
        <f aca="false">IF(C3882="M.O.",VLOOKUP(A3882,INSUMOS_AUX!A:F,6,0),0)</f>
        <v>0</v>
      </c>
    </row>
    <row r="3883" customFormat="false" ht="21" hidden="false" customHeight="false" outlineLevel="0" collapsed="false">
      <c r="A3883" s="154" t="n">
        <v>37373</v>
      </c>
      <c r="B3883" s="155" t="s">
        <v>1448</v>
      </c>
      <c r="C3883" s="148" t="str">
        <f aca="false">VLOOKUP($A3883,INSUMOS_AUX!$A$3:$H$813,3,0)</f>
        <v>MAT.</v>
      </c>
      <c r="D3883" s="156" t="s">
        <v>1444</v>
      </c>
      <c r="E3883" s="154" t="n">
        <v>0.2514</v>
      </c>
      <c r="F3883" s="149" t="n">
        <f aca="false">IF(C3883="MAT.",VLOOKUP(A3883,INSUMOS_AUX!$A$3:$H$813,6,0),0)</f>
        <v>0.08</v>
      </c>
      <c r="G3883" s="149" t="n">
        <f aca="false">IF(C3883="M.O.",VLOOKUP(A3883,INSUMOS_AUX!A:F,6,0),0)</f>
        <v>0</v>
      </c>
    </row>
    <row r="3884" customFormat="false" ht="21" hidden="false" customHeight="false" outlineLevel="0" collapsed="false">
      <c r="A3884" s="154" t="n">
        <v>37371</v>
      </c>
      <c r="B3884" s="155" t="s">
        <v>1449</v>
      </c>
      <c r="C3884" s="148" t="str">
        <f aca="false">VLOOKUP($A3884,INSUMOS_AUX!$A$3:$H$813,3,0)</f>
        <v>MAT.</v>
      </c>
      <c r="D3884" s="156" t="s">
        <v>1444</v>
      </c>
      <c r="E3884" s="154" t="n">
        <v>0.2514</v>
      </c>
      <c r="F3884" s="149" t="n">
        <f aca="false">IF(C3884="MAT.",VLOOKUP(A3884,INSUMOS_AUX!$A$3:$H$813,6,0),0)</f>
        <v>0.59</v>
      </c>
      <c r="G3884" s="149" t="n">
        <f aca="false">IF(C3884="M.O.",VLOOKUP(A3884,INSUMOS_AUX!A:F,6,0),0)</f>
        <v>0</v>
      </c>
    </row>
    <row r="3885" customFormat="false" ht="15" hidden="false" customHeight="false" outlineLevel="0" collapsed="false">
      <c r="A3885" s="154" t="n">
        <v>297</v>
      </c>
      <c r="B3885" s="155" t="s">
        <v>2130</v>
      </c>
      <c r="C3885" s="148" t="str">
        <f aca="false">VLOOKUP($A3885,INSUMOS_AUX!$A$3:$H$813,3,0)</f>
        <v>MAT.</v>
      </c>
      <c r="D3885" s="156" t="s">
        <v>31</v>
      </c>
      <c r="E3885" s="154" t="n">
        <v>2</v>
      </c>
      <c r="F3885" s="149" t="n">
        <f aca="false">IF(C3885="MAT.",VLOOKUP(A3885,INSUMOS_AUX!$A$3:$H$813,6,0),0)</f>
        <v>2.49</v>
      </c>
      <c r="G3885" s="149" t="n">
        <f aca="false">IF(C3885="M.O.",VLOOKUP(A3885,INSUMOS_AUX!A:F,6,0),0)</f>
        <v>0</v>
      </c>
    </row>
    <row r="3886" customFormat="false" ht="21" hidden="false" customHeight="false" outlineLevel="0" collapsed="false">
      <c r="A3886" s="154" t="n">
        <v>3509</v>
      </c>
      <c r="B3886" s="155" t="s">
        <v>2147</v>
      </c>
      <c r="C3886" s="148" t="str">
        <f aca="false">VLOOKUP($A3886,INSUMOS_AUX!$A$3:$H$813,3,0)</f>
        <v>MAT.</v>
      </c>
      <c r="D3886" s="156" t="s">
        <v>31</v>
      </c>
      <c r="E3886" s="154" t="n">
        <v>1</v>
      </c>
      <c r="F3886" s="149" t="n">
        <f aca="false">IF(C3886="MAT.",VLOOKUP(A3886,INSUMOS_AUX!$A$3:$H$813,6,0),0)</f>
        <v>7.39</v>
      </c>
      <c r="G3886" s="149" t="n">
        <f aca="false">IF(C3886="M.O.",VLOOKUP(A3886,INSUMOS_AUX!A:F,6,0),0)</f>
        <v>0</v>
      </c>
    </row>
    <row r="3887" customFormat="false" ht="31.5" hidden="false" customHeight="false" outlineLevel="0" collapsed="false">
      <c r="A3887" s="154" t="n">
        <v>20078</v>
      </c>
      <c r="B3887" s="155" t="s">
        <v>2123</v>
      </c>
      <c r="C3887" s="148" t="str">
        <f aca="false">VLOOKUP($A3887,INSUMOS_AUX!$A$3:$H$813,3,0)</f>
        <v>MAT.</v>
      </c>
      <c r="D3887" s="156" t="s">
        <v>31</v>
      </c>
      <c r="E3887" s="154" t="n">
        <v>0.075</v>
      </c>
      <c r="F3887" s="149" t="n">
        <f aca="false">IF(C3887="MAT.",VLOOKUP(A3887,INSUMOS_AUX!$A$3:$H$813,6,0),0)</f>
        <v>26.04</v>
      </c>
      <c r="G3887" s="149" t="n">
        <f aca="false">IF(C3887="M.O.",VLOOKUP(A3887,INSUMOS_AUX!A:F,6,0),0)</f>
        <v>0</v>
      </c>
    </row>
    <row r="3888" customFormat="false" ht="15" hidden="false" customHeight="false" outlineLevel="0" collapsed="false">
      <c r="A3888" s="154" t="n">
        <v>246</v>
      </c>
      <c r="B3888" s="155" t="s">
        <v>1752</v>
      </c>
      <c r="C3888" s="148" t="str">
        <f aca="false">VLOOKUP($A3888,INSUMOS_AUX!$A$3:$H$813,3,0)</f>
        <v>M.O.</v>
      </c>
      <c r="D3888" s="156" t="s">
        <v>1444</v>
      </c>
      <c r="E3888" s="154" t="n">
        <v>0.127960086</v>
      </c>
      <c r="F3888" s="149" t="n">
        <f aca="false">IF(C3888="MAT.",VLOOKUP(A3888,INSUMOS_AUX!$A$3:$H$813,6,0),0)</f>
        <v>0</v>
      </c>
      <c r="G3888" s="149" t="n">
        <f aca="false">IF(C3888="M.O.",VLOOKUP(A3888,INSUMOS_AUX!A:F,6,0),0)</f>
        <v>13.26</v>
      </c>
    </row>
    <row r="3889" customFormat="false" ht="15" hidden="false" customHeight="false" outlineLevel="0" collapsed="false">
      <c r="A3889" s="154" t="n">
        <v>2696</v>
      </c>
      <c r="B3889" s="155" t="s">
        <v>1483</v>
      </c>
      <c r="C3889" s="148" t="str">
        <f aca="false">VLOOKUP($A3889,INSUMOS_AUX!$A$3:$H$813,3,0)</f>
        <v>M.O.</v>
      </c>
      <c r="D3889" s="156" t="s">
        <v>1444</v>
      </c>
      <c r="E3889" s="154" t="n">
        <v>0.127960086</v>
      </c>
      <c r="F3889" s="149" t="n">
        <f aca="false">IF(C3889="MAT.",VLOOKUP(A3889,INSUMOS_AUX!$A$3:$H$813,6,0),0)</f>
        <v>0</v>
      </c>
      <c r="G3889" s="149" t="n">
        <f aca="false">IF(C3889="M.O.",VLOOKUP(A3889,INSUMOS_AUX!A:F,6,0),0)</f>
        <v>20.22</v>
      </c>
    </row>
    <row r="3890" customFormat="false" ht="31.5" hidden="false" customHeight="false" outlineLevel="0" collapsed="false">
      <c r="A3890" s="150" t="s">
        <v>713</v>
      </c>
      <c r="B3890" s="151" t="s">
        <v>2148</v>
      </c>
      <c r="C3890" s="152" t="s">
        <v>59</v>
      </c>
      <c r="D3890" s="152" t="s">
        <v>31</v>
      </c>
      <c r="E3890" s="150"/>
      <c r="F3890" s="153" t="n">
        <f aca="false">(SUMPRODUCT($E3891:$E3902,F3891:F3902))*1</f>
        <v>9.11298</v>
      </c>
      <c r="G3890" s="153" t="n">
        <f aca="false">(SUMPRODUCT($E3891:$E3902,G3891:G3902))*1</f>
        <v>4.3284102408</v>
      </c>
    </row>
    <row r="3891" customFormat="false" ht="21" hidden="false" customHeight="false" outlineLevel="0" collapsed="false">
      <c r="A3891" s="154" t="n">
        <v>37370</v>
      </c>
      <c r="B3891" s="155" t="s">
        <v>1443</v>
      </c>
      <c r="C3891" s="148" t="str">
        <f aca="false">VLOOKUP($A3891,INSUMOS_AUX!$A$3:$H$813,3,0)</f>
        <v>MAT.</v>
      </c>
      <c r="D3891" s="156" t="s">
        <v>1444</v>
      </c>
      <c r="E3891" s="154" t="n">
        <v>0.254</v>
      </c>
      <c r="F3891" s="149" t="n">
        <f aca="false">IF(C3891="MAT.",VLOOKUP(A3891,INSUMOS_AUX!$A$3:$H$813,6,0),0)</f>
        <v>3.32</v>
      </c>
      <c r="G3891" s="149" t="n">
        <f aca="false">IF(C3891="M.O.",VLOOKUP(A3891,INSUMOS_AUX!A:F,6,0),0)</f>
        <v>0</v>
      </c>
    </row>
    <row r="3892" customFormat="false" ht="21" hidden="false" customHeight="false" outlineLevel="0" collapsed="false">
      <c r="A3892" s="154" t="n">
        <v>43485</v>
      </c>
      <c r="B3892" s="155" t="s">
        <v>1481</v>
      </c>
      <c r="C3892" s="148" t="str">
        <f aca="false">VLOOKUP($A3892,INSUMOS_AUX!$A$3:$H$813,3,0)</f>
        <v>MAT.</v>
      </c>
      <c r="D3892" s="156" t="s">
        <v>1444</v>
      </c>
      <c r="E3892" s="154" t="n">
        <v>0.254</v>
      </c>
      <c r="F3892" s="149" t="n">
        <f aca="false">IF(C3892="MAT.",VLOOKUP(A3892,INSUMOS_AUX!$A$3:$H$813,6,0),0)</f>
        <v>1.13</v>
      </c>
      <c r="G3892" s="149" t="n">
        <f aca="false">IF(C3892="M.O.",VLOOKUP(A3892,INSUMOS_AUX!A:F,6,0),0)</f>
        <v>0</v>
      </c>
    </row>
    <row r="3893" customFormat="false" ht="21" hidden="false" customHeight="false" outlineLevel="0" collapsed="false">
      <c r="A3893" s="154" t="n">
        <v>37372</v>
      </c>
      <c r="B3893" s="155" t="s">
        <v>1446</v>
      </c>
      <c r="C3893" s="148" t="s">
        <v>59</v>
      </c>
      <c r="D3893" s="156" t="s">
        <v>1444</v>
      </c>
      <c r="E3893" s="154" t="n">
        <v>0.254</v>
      </c>
      <c r="F3893" s="149" t="n">
        <f aca="false">IF(C3893="MAT.",VLOOKUP(A3893,INSUMOS_AUX!$A$3:$H$813,6,0),0)</f>
        <v>0</v>
      </c>
      <c r="G3893" s="149" t="n">
        <f aca="false">IF(C3893="M.O.",VLOOKUP(A3893,INSUMOS_AUX!A:F,6,0),0)</f>
        <v>0</v>
      </c>
    </row>
    <row r="3894" customFormat="false" ht="21" hidden="false" customHeight="false" outlineLevel="0" collapsed="false">
      <c r="A3894" s="154" t="n">
        <v>43461</v>
      </c>
      <c r="B3894" s="155" t="s">
        <v>1482</v>
      </c>
      <c r="C3894" s="148" t="str">
        <f aca="false">VLOOKUP($A3894,INSUMOS_AUX!$A$3:$H$813,3,0)</f>
        <v>MAT.</v>
      </c>
      <c r="D3894" s="156" t="s">
        <v>1444</v>
      </c>
      <c r="E3894" s="154" t="n">
        <v>0.254</v>
      </c>
      <c r="F3894" s="149" t="n">
        <f aca="false">IF(C3894="MAT.",VLOOKUP(A3894,INSUMOS_AUX!$A$3:$H$813,6,0),0)</f>
        <v>0.31</v>
      </c>
      <c r="G3894" s="149" t="n">
        <f aca="false">IF(C3894="M.O.",VLOOKUP(A3894,INSUMOS_AUX!A:F,6,0),0)</f>
        <v>0</v>
      </c>
    </row>
    <row r="3895" customFormat="false" ht="21" hidden="false" customHeight="false" outlineLevel="0" collapsed="false">
      <c r="A3895" s="154" t="n">
        <v>37373</v>
      </c>
      <c r="B3895" s="155" t="s">
        <v>1448</v>
      </c>
      <c r="C3895" s="148" t="str">
        <f aca="false">VLOOKUP($A3895,INSUMOS_AUX!$A$3:$H$813,3,0)</f>
        <v>MAT.</v>
      </c>
      <c r="D3895" s="156" t="s">
        <v>1444</v>
      </c>
      <c r="E3895" s="154" t="n">
        <v>0.254</v>
      </c>
      <c r="F3895" s="149" t="n">
        <f aca="false">IF(C3895="MAT.",VLOOKUP(A3895,INSUMOS_AUX!$A$3:$H$813,6,0),0)</f>
        <v>0.08</v>
      </c>
      <c r="G3895" s="149" t="n">
        <f aca="false">IF(C3895="M.O.",VLOOKUP(A3895,INSUMOS_AUX!A:F,6,0),0)</f>
        <v>0</v>
      </c>
    </row>
    <row r="3896" customFormat="false" ht="21" hidden="false" customHeight="false" outlineLevel="0" collapsed="false">
      <c r="A3896" s="154" t="n">
        <v>37371</v>
      </c>
      <c r="B3896" s="155" t="s">
        <v>1449</v>
      </c>
      <c r="C3896" s="148" t="str">
        <f aca="false">VLOOKUP($A3896,INSUMOS_AUX!$A$3:$H$813,3,0)</f>
        <v>MAT.</v>
      </c>
      <c r="D3896" s="156" t="s">
        <v>1444</v>
      </c>
      <c r="E3896" s="154" t="n">
        <v>0.254</v>
      </c>
      <c r="F3896" s="149" t="n">
        <f aca="false">IF(C3896="MAT.",VLOOKUP(A3896,INSUMOS_AUX!$A$3:$H$813,6,0),0)</f>
        <v>0.59</v>
      </c>
      <c r="G3896" s="149" t="n">
        <f aca="false">IF(C3896="M.O.",VLOOKUP(A3896,INSUMOS_AUX!A:F,6,0),0)</f>
        <v>0</v>
      </c>
    </row>
    <row r="3897" customFormat="false" ht="15" hidden="false" customHeight="false" outlineLevel="0" collapsed="false">
      <c r="A3897" s="154" t="n">
        <v>122</v>
      </c>
      <c r="B3897" s="155" t="s">
        <v>2097</v>
      </c>
      <c r="C3897" s="148" t="str">
        <f aca="false">VLOOKUP($A3897,INSUMOS_AUX!$A$3:$H$813,3,0)</f>
        <v>MAT.</v>
      </c>
      <c r="D3897" s="156" t="s">
        <v>31</v>
      </c>
      <c r="E3897" s="154" t="n">
        <v>0.0099</v>
      </c>
      <c r="F3897" s="149" t="n">
        <f aca="false">IF(C3897="MAT.",VLOOKUP(A3897,INSUMOS_AUX!$A$3:$H$813,6,0),0)</f>
        <v>63.09</v>
      </c>
      <c r="G3897" s="149" t="n">
        <f aca="false">IF(C3897="M.O.",VLOOKUP(A3897,INSUMOS_AUX!A:F,6,0),0)</f>
        <v>0</v>
      </c>
    </row>
    <row r="3898" customFormat="false" ht="21" hidden="false" customHeight="false" outlineLevel="0" collapsed="false">
      <c r="A3898" s="154" t="n">
        <v>10835</v>
      </c>
      <c r="B3898" s="155" t="s">
        <v>2149</v>
      </c>
      <c r="C3898" s="148" t="str">
        <f aca="false">VLOOKUP($A3898,INSUMOS_AUX!$A$3:$H$813,3,0)</f>
        <v>MAT.</v>
      </c>
      <c r="D3898" s="156" t="s">
        <v>31</v>
      </c>
      <c r="E3898" s="154" t="n">
        <v>1</v>
      </c>
      <c r="F3898" s="149" t="n">
        <f aca="false">IF(C3898="MAT.",VLOOKUP(A3898,INSUMOS_AUX!$A$3:$H$813,6,0),0)</f>
        <v>6.02</v>
      </c>
      <c r="G3898" s="149" t="n">
        <f aca="false">IF(C3898="M.O.",VLOOKUP(A3898,INSUMOS_AUX!A:F,6,0),0)</f>
        <v>0</v>
      </c>
    </row>
    <row r="3899" customFormat="false" ht="15" hidden="false" customHeight="false" outlineLevel="0" collapsed="false">
      <c r="A3899" s="154" t="n">
        <v>38383</v>
      </c>
      <c r="B3899" s="155" t="s">
        <v>2093</v>
      </c>
      <c r="C3899" s="148" t="str">
        <f aca="false">VLOOKUP($A3899,INSUMOS_AUX!$A$3:$H$813,3,0)</f>
        <v>MAT.</v>
      </c>
      <c r="D3899" s="156" t="s">
        <v>31</v>
      </c>
      <c r="E3899" s="154" t="n">
        <v>0.0071</v>
      </c>
      <c r="F3899" s="149" t="n">
        <f aca="false">IF(C3899="MAT.",VLOOKUP(A3899,INSUMOS_AUX!$A$3:$H$813,6,0),0)</f>
        <v>2.39</v>
      </c>
      <c r="G3899" s="149" t="n">
        <f aca="false">IF(C3899="M.O.",VLOOKUP(A3899,INSUMOS_AUX!A:F,6,0),0)</f>
        <v>0</v>
      </c>
    </row>
    <row r="3900" customFormat="false" ht="21" hidden="false" customHeight="false" outlineLevel="0" collapsed="false">
      <c r="A3900" s="154" t="n">
        <v>20083</v>
      </c>
      <c r="B3900" s="155" t="s">
        <v>2095</v>
      </c>
      <c r="C3900" s="148" t="str">
        <f aca="false">VLOOKUP($A3900,INSUMOS_AUX!$A$3:$H$813,3,0)</f>
        <v>MAT.</v>
      </c>
      <c r="D3900" s="156" t="s">
        <v>31</v>
      </c>
      <c r="E3900" s="154" t="n">
        <v>0.015</v>
      </c>
      <c r="F3900" s="149" t="n">
        <f aca="false">IF(C3900="MAT.",VLOOKUP(A3900,INSUMOS_AUX!$A$3:$H$813,6,0),0)</f>
        <v>71.48</v>
      </c>
      <c r="G3900" s="149" t="n">
        <f aca="false">IF(C3900="M.O.",VLOOKUP(A3900,INSUMOS_AUX!A:F,6,0),0)</f>
        <v>0</v>
      </c>
    </row>
    <row r="3901" customFormat="false" ht="15" hidden="false" customHeight="false" outlineLevel="0" collapsed="false">
      <c r="A3901" s="154" t="n">
        <v>246</v>
      </c>
      <c r="B3901" s="155" t="s">
        <v>1752</v>
      </c>
      <c r="C3901" s="148" t="str">
        <f aca="false">VLOOKUP($A3901,INSUMOS_AUX!$A$3:$H$813,3,0)</f>
        <v>M.O.</v>
      </c>
      <c r="D3901" s="156" t="s">
        <v>1444</v>
      </c>
      <c r="E3901" s="154" t="n">
        <v>0.12928346</v>
      </c>
      <c r="F3901" s="149" t="n">
        <f aca="false">IF(C3901="MAT.",VLOOKUP(A3901,INSUMOS_AUX!$A$3:$H$813,6,0),0)</f>
        <v>0</v>
      </c>
      <c r="G3901" s="149" t="n">
        <f aca="false">IF(C3901="M.O.",VLOOKUP(A3901,INSUMOS_AUX!A:F,6,0),0)</f>
        <v>13.26</v>
      </c>
    </row>
    <row r="3902" customFormat="false" ht="15" hidden="false" customHeight="false" outlineLevel="0" collapsed="false">
      <c r="A3902" s="154" t="n">
        <v>2696</v>
      </c>
      <c r="B3902" s="155" t="s">
        <v>1483</v>
      </c>
      <c r="C3902" s="148" t="str">
        <f aca="false">VLOOKUP($A3902,INSUMOS_AUX!$A$3:$H$813,3,0)</f>
        <v>M.O.</v>
      </c>
      <c r="D3902" s="156" t="s">
        <v>1444</v>
      </c>
      <c r="E3902" s="154" t="n">
        <v>0.12928346</v>
      </c>
      <c r="F3902" s="149" t="n">
        <f aca="false">IF(C3902="MAT.",VLOOKUP(A3902,INSUMOS_AUX!$A$3:$H$813,6,0),0)</f>
        <v>0</v>
      </c>
      <c r="G3902" s="149" t="n">
        <f aca="false">IF(C3902="M.O.",VLOOKUP(A3902,INSUMOS_AUX!A:F,6,0),0)</f>
        <v>20.22</v>
      </c>
    </row>
    <row r="3903" customFormat="false" ht="31.5" hidden="false" customHeight="false" outlineLevel="0" collapsed="false">
      <c r="A3903" s="150" t="s">
        <v>715</v>
      </c>
      <c r="B3903" s="151" t="s">
        <v>2150</v>
      </c>
      <c r="C3903" s="152" t="s">
        <v>59</v>
      </c>
      <c r="D3903" s="152" t="s">
        <v>31</v>
      </c>
      <c r="E3903" s="150"/>
      <c r="F3903" s="153" t="n">
        <f aca="false">(SUMPRODUCT($E3904:$E3915,F3904:F3915))*1</f>
        <v>35.206956</v>
      </c>
      <c r="G3903" s="153" t="n">
        <f aca="false">(SUMPRODUCT($E3904:$E3915,G3904:G3915))*1</f>
        <v>9.87013862784</v>
      </c>
    </row>
    <row r="3904" customFormat="false" ht="21" hidden="false" customHeight="false" outlineLevel="0" collapsed="false">
      <c r="A3904" s="154" t="n">
        <v>37370</v>
      </c>
      <c r="B3904" s="155" t="s">
        <v>1443</v>
      </c>
      <c r="C3904" s="148" t="str">
        <f aca="false">VLOOKUP($A3904,INSUMOS_AUX!$A$3:$H$813,3,0)</f>
        <v>MAT.</v>
      </c>
      <c r="D3904" s="156" t="s">
        <v>1444</v>
      </c>
      <c r="E3904" s="154" t="n">
        <v>0.5792</v>
      </c>
      <c r="F3904" s="149" t="n">
        <f aca="false">IF(C3904="MAT.",VLOOKUP(A3904,INSUMOS_AUX!$A$3:$H$813,6,0),0)</f>
        <v>3.32</v>
      </c>
      <c r="G3904" s="149" t="n">
        <f aca="false">IF(C3904="M.O.",VLOOKUP(A3904,INSUMOS_AUX!A:F,6,0),0)</f>
        <v>0</v>
      </c>
    </row>
    <row r="3905" customFormat="false" ht="21" hidden="false" customHeight="false" outlineLevel="0" collapsed="false">
      <c r="A3905" s="154" t="n">
        <v>43485</v>
      </c>
      <c r="B3905" s="155" t="s">
        <v>1481</v>
      </c>
      <c r="C3905" s="148" t="str">
        <f aca="false">VLOOKUP($A3905,INSUMOS_AUX!$A$3:$H$813,3,0)</f>
        <v>MAT.</v>
      </c>
      <c r="D3905" s="156" t="s">
        <v>1444</v>
      </c>
      <c r="E3905" s="154" t="n">
        <v>0.5792</v>
      </c>
      <c r="F3905" s="149" t="n">
        <f aca="false">IF(C3905="MAT.",VLOOKUP(A3905,INSUMOS_AUX!$A$3:$H$813,6,0),0)</f>
        <v>1.13</v>
      </c>
      <c r="G3905" s="149" t="n">
        <f aca="false">IF(C3905="M.O.",VLOOKUP(A3905,INSUMOS_AUX!A:F,6,0),0)</f>
        <v>0</v>
      </c>
    </row>
    <row r="3906" customFormat="false" ht="21" hidden="false" customHeight="false" outlineLevel="0" collapsed="false">
      <c r="A3906" s="154" t="n">
        <v>37372</v>
      </c>
      <c r="B3906" s="155" t="s">
        <v>1446</v>
      </c>
      <c r="C3906" s="148" t="s">
        <v>59</v>
      </c>
      <c r="D3906" s="156" t="s">
        <v>1444</v>
      </c>
      <c r="E3906" s="154" t="n">
        <v>0.5792</v>
      </c>
      <c r="F3906" s="149" t="n">
        <f aca="false">IF(C3906="MAT.",VLOOKUP(A3906,INSUMOS_AUX!$A$3:$H$813,6,0),0)</f>
        <v>0</v>
      </c>
      <c r="G3906" s="149" t="n">
        <f aca="false">IF(C3906="M.O.",VLOOKUP(A3906,INSUMOS_AUX!A:F,6,0),0)</f>
        <v>0</v>
      </c>
    </row>
    <row r="3907" customFormat="false" ht="21" hidden="false" customHeight="false" outlineLevel="0" collapsed="false">
      <c r="A3907" s="154" t="n">
        <v>43461</v>
      </c>
      <c r="B3907" s="155" t="s">
        <v>1482</v>
      </c>
      <c r="C3907" s="148" t="str">
        <f aca="false">VLOOKUP($A3907,INSUMOS_AUX!$A$3:$H$813,3,0)</f>
        <v>MAT.</v>
      </c>
      <c r="D3907" s="156" t="s">
        <v>1444</v>
      </c>
      <c r="E3907" s="154" t="n">
        <v>0.5792</v>
      </c>
      <c r="F3907" s="149" t="n">
        <f aca="false">IF(C3907="MAT.",VLOOKUP(A3907,INSUMOS_AUX!$A$3:$H$813,6,0),0)</f>
        <v>0.31</v>
      </c>
      <c r="G3907" s="149" t="n">
        <f aca="false">IF(C3907="M.O.",VLOOKUP(A3907,INSUMOS_AUX!A:F,6,0),0)</f>
        <v>0</v>
      </c>
    </row>
    <row r="3908" customFormat="false" ht="21" hidden="false" customHeight="false" outlineLevel="0" collapsed="false">
      <c r="A3908" s="154" t="n">
        <v>37373</v>
      </c>
      <c r="B3908" s="155" t="s">
        <v>1448</v>
      </c>
      <c r="C3908" s="148" t="str">
        <f aca="false">VLOOKUP($A3908,INSUMOS_AUX!$A$3:$H$813,3,0)</f>
        <v>MAT.</v>
      </c>
      <c r="D3908" s="156" t="s">
        <v>1444</v>
      </c>
      <c r="E3908" s="154" t="n">
        <v>0.5792</v>
      </c>
      <c r="F3908" s="149" t="n">
        <f aca="false">IF(C3908="MAT.",VLOOKUP(A3908,INSUMOS_AUX!$A$3:$H$813,6,0),0)</f>
        <v>0.08</v>
      </c>
      <c r="G3908" s="149" t="n">
        <f aca="false">IF(C3908="M.O.",VLOOKUP(A3908,INSUMOS_AUX!A:F,6,0),0)</f>
        <v>0</v>
      </c>
    </row>
    <row r="3909" customFormat="false" ht="21" hidden="false" customHeight="false" outlineLevel="0" collapsed="false">
      <c r="A3909" s="154" t="n">
        <v>37371</v>
      </c>
      <c r="B3909" s="155" t="s">
        <v>1449</v>
      </c>
      <c r="C3909" s="148" t="str">
        <f aca="false">VLOOKUP($A3909,INSUMOS_AUX!$A$3:$H$813,3,0)</f>
        <v>MAT.</v>
      </c>
      <c r="D3909" s="156" t="s">
        <v>1444</v>
      </c>
      <c r="E3909" s="154" t="n">
        <v>0.5792</v>
      </c>
      <c r="F3909" s="149" t="n">
        <f aca="false">IF(C3909="MAT.",VLOOKUP(A3909,INSUMOS_AUX!$A$3:$H$813,6,0),0)</f>
        <v>0.59</v>
      </c>
      <c r="G3909" s="149" t="n">
        <f aca="false">IF(C3909="M.O.",VLOOKUP(A3909,INSUMOS_AUX!A:F,6,0),0)</f>
        <v>0</v>
      </c>
    </row>
    <row r="3910" customFormat="false" ht="21" hidden="false" customHeight="false" outlineLevel="0" collapsed="false">
      <c r="A3910" s="154" t="n">
        <v>301</v>
      </c>
      <c r="B3910" s="155" t="s">
        <v>2125</v>
      </c>
      <c r="C3910" s="148" t="str">
        <f aca="false">VLOOKUP($A3910,INSUMOS_AUX!$A$3:$H$813,3,0)</f>
        <v>MAT.</v>
      </c>
      <c r="D3910" s="156" t="s">
        <v>31</v>
      </c>
      <c r="E3910" s="154" t="n">
        <v>2</v>
      </c>
      <c r="F3910" s="149" t="n">
        <f aca="false">IF(C3910="MAT.",VLOOKUP(A3910,INSUMOS_AUX!$A$3:$H$813,6,0),0)</f>
        <v>3</v>
      </c>
      <c r="G3910" s="149" t="n">
        <f aca="false">IF(C3910="M.O.",VLOOKUP(A3910,INSUMOS_AUX!A:F,6,0),0)</f>
        <v>0</v>
      </c>
    </row>
    <row r="3911" customFormat="false" ht="15" hidden="false" customHeight="false" outlineLevel="0" collapsed="false">
      <c r="A3911" s="154" t="n">
        <v>296</v>
      </c>
      <c r="B3911" s="155" t="s">
        <v>2121</v>
      </c>
      <c r="C3911" s="148" t="str">
        <f aca="false">VLOOKUP($A3911,INSUMOS_AUX!$A$3:$H$813,3,0)</f>
        <v>MAT.</v>
      </c>
      <c r="D3911" s="156" t="s">
        <v>31</v>
      </c>
      <c r="E3911" s="154" t="n">
        <v>1</v>
      </c>
      <c r="F3911" s="149" t="n">
        <f aca="false">IF(C3911="MAT.",VLOOKUP(A3911,INSUMOS_AUX!$A$3:$H$813,6,0),0)</f>
        <v>1.69</v>
      </c>
      <c r="G3911" s="149" t="n">
        <f aca="false">IF(C3911="M.O.",VLOOKUP(A3911,INSUMOS_AUX!A:F,6,0),0)</f>
        <v>0</v>
      </c>
    </row>
    <row r="3912" customFormat="false" ht="21" hidden="false" customHeight="false" outlineLevel="0" collapsed="false">
      <c r="A3912" s="154" t="n">
        <v>3659</v>
      </c>
      <c r="B3912" s="155" t="s">
        <v>2151</v>
      </c>
      <c r="C3912" s="148" t="str">
        <f aca="false">VLOOKUP($A3912,INSUMOS_AUX!$A$3:$H$813,3,0)</f>
        <v>MAT.</v>
      </c>
      <c r="D3912" s="156" t="s">
        <v>31</v>
      </c>
      <c r="E3912" s="154" t="n">
        <v>1</v>
      </c>
      <c r="F3912" s="149" t="n">
        <f aca="false">IF(C3912="MAT.",VLOOKUP(A3912,INSUMOS_AUX!$A$3:$H$813,6,0),0)</f>
        <v>19.88</v>
      </c>
      <c r="G3912" s="149" t="n">
        <f aca="false">IF(C3912="M.O.",VLOOKUP(A3912,INSUMOS_AUX!A:F,6,0),0)</f>
        <v>0</v>
      </c>
    </row>
    <row r="3913" customFormat="false" ht="31.5" hidden="false" customHeight="false" outlineLevel="0" collapsed="false">
      <c r="A3913" s="154" t="n">
        <v>20078</v>
      </c>
      <c r="B3913" s="155" t="s">
        <v>2123</v>
      </c>
      <c r="C3913" s="148" t="str">
        <f aca="false">VLOOKUP($A3913,INSUMOS_AUX!$A$3:$H$813,3,0)</f>
        <v>MAT.</v>
      </c>
      <c r="D3913" s="156" t="s">
        <v>31</v>
      </c>
      <c r="E3913" s="154" t="n">
        <v>0.1725</v>
      </c>
      <c r="F3913" s="149" t="n">
        <f aca="false">IF(C3913="MAT.",VLOOKUP(A3913,INSUMOS_AUX!$A$3:$H$813,6,0),0)</f>
        <v>26.04</v>
      </c>
      <c r="G3913" s="149" t="n">
        <f aca="false">IF(C3913="M.O.",VLOOKUP(A3913,INSUMOS_AUX!A:F,6,0),0)</f>
        <v>0</v>
      </c>
    </row>
    <row r="3914" customFormat="false" ht="15" hidden="false" customHeight="false" outlineLevel="0" collapsed="false">
      <c r="A3914" s="154" t="n">
        <v>246</v>
      </c>
      <c r="B3914" s="155" t="s">
        <v>1752</v>
      </c>
      <c r="C3914" s="148" t="str">
        <f aca="false">VLOOKUP($A3914,INSUMOS_AUX!$A$3:$H$813,3,0)</f>
        <v>M.O.</v>
      </c>
      <c r="D3914" s="156" t="s">
        <v>1444</v>
      </c>
      <c r="E3914" s="154" t="n">
        <v>0.294807008</v>
      </c>
      <c r="F3914" s="149" t="n">
        <f aca="false">IF(C3914="MAT.",VLOOKUP(A3914,INSUMOS_AUX!$A$3:$H$813,6,0),0)</f>
        <v>0</v>
      </c>
      <c r="G3914" s="149" t="n">
        <f aca="false">IF(C3914="M.O.",VLOOKUP(A3914,INSUMOS_AUX!A:F,6,0),0)</f>
        <v>13.26</v>
      </c>
    </row>
    <row r="3915" customFormat="false" ht="15" hidden="false" customHeight="false" outlineLevel="0" collapsed="false">
      <c r="A3915" s="154" t="n">
        <v>2696</v>
      </c>
      <c r="B3915" s="155" t="s">
        <v>1483</v>
      </c>
      <c r="C3915" s="148" t="str">
        <f aca="false">VLOOKUP($A3915,INSUMOS_AUX!$A$3:$H$813,3,0)</f>
        <v>M.O.</v>
      </c>
      <c r="D3915" s="156" t="s">
        <v>1444</v>
      </c>
      <c r="E3915" s="154" t="n">
        <v>0.294807008</v>
      </c>
      <c r="F3915" s="149" t="n">
        <f aca="false">IF(C3915="MAT.",VLOOKUP(A3915,INSUMOS_AUX!$A$3:$H$813,6,0),0)</f>
        <v>0</v>
      </c>
      <c r="G3915" s="149" t="n">
        <f aca="false">IF(C3915="M.O.",VLOOKUP(A3915,INSUMOS_AUX!A:F,6,0),0)</f>
        <v>20.22</v>
      </c>
    </row>
    <row r="3916" customFormat="false" ht="31.5" hidden="false" customHeight="false" outlineLevel="0" collapsed="false">
      <c r="A3916" s="150" t="s">
        <v>717</v>
      </c>
      <c r="B3916" s="151" t="s">
        <v>2152</v>
      </c>
      <c r="C3916" s="152" t="s">
        <v>59</v>
      </c>
      <c r="D3916" s="152" t="s">
        <v>31</v>
      </c>
      <c r="E3916" s="150"/>
      <c r="F3916" s="153" t="n">
        <f aca="false">(SUMPRODUCT($E3917:$E3928,F3917:F3928))*1</f>
        <v>36.665212</v>
      </c>
      <c r="G3916" s="153" t="n">
        <f aca="false">(SUMPRODUCT($E3917:$E3928,G3917:G3928))*1</f>
        <v>9.87013862784</v>
      </c>
    </row>
    <row r="3917" customFormat="false" ht="21" hidden="false" customHeight="false" outlineLevel="0" collapsed="false">
      <c r="A3917" s="154" t="n">
        <v>37370</v>
      </c>
      <c r="B3917" s="155" t="s">
        <v>1443</v>
      </c>
      <c r="C3917" s="148" t="str">
        <f aca="false">VLOOKUP($A3917,INSUMOS_AUX!$A$3:$H$813,3,0)</f>
        <v>MAT.</v>
      </c>
      <c r="D3917" s="156" t="s">
        <v>1444</v>
      </c>
      <c r="E3917" s="154" t="n">
        <v>0.5792</v>
      </c>
      <c r="F3917" s="149" t="n">
        <f aca="false">IF(C3917="MAT.",VLOOKUP(A3917,INSUMOS_AUX!$A$3:$H$813,6,0),0)</f>
        <v>3.32</v>
      </c>
      <c r="G3917" s="149" t="n">
        <f aca="false">IF(C3917="M.O.",VLOOKUP(A3917,INSUMOS_AUX!A:F,6,0),0)</f>
        <v>0</v>
      </c>
    </row>
    <row r="3918" customFormat="false" ht="21" hidden="false" customHeight="false" outlineLevel="0" collapsed="false">
      <c r="A3918" s="154" t="n">
        <v>43485</v>
      </c>
      <c r="B3918" s="155" t="s">
        <v>1481</v>
      </c>
      <c r="C3918" s="148" t="str">
        <f aca="false">VLOOKUP($A3918,INSUMOS_AUX!$A$3:$H$813,3,0)</f>
        <v>MAT.</v>
      </c>
      <c r="D3918" s="156" t="s">
        <v>1444</v>
      </c>
      <c r="E3918" s="154" t="n">
        <v>0.5792</v>
      </c>
      <c r="F3918" s="149" t="n">
        <f aca="false">IF(C3918="MAT.",VLOOKUP(A3918,INSUMOS_AUX!$A$3:$H$813,6,0),0)</f>
        <v>1.13</v>
      </c>
      <c r="G3918" s="149" t="n">
        <f aca="false">IF(C3918="M.O.",VLOOKUP(A3918,INSUMOS_AUX!A:F,6,0),0)</f>
        <v>0</v>
      </c>
    </row>
    <row r="3919" customFormat="false" ht="21" hidden="false" customHeight="false" outlineLevel="0" collapsed="false">
      <c r="A3919" s="154" t="n">
        <v>37372</v>
      </c>
      <c r="B3919" s="155" t="s">
        <v>1446</v>
      </c>
      <c r="C3919" s="148" t="str">
        <f aca="false">VLOOKUP($A3919,INSUMOS_AUX!$A$3:$H$813,3,0)</f>
        <v>MAT.</v>
      </c>
      <c r="D3919" s="156" t="s">
        <v>1444</v>
      </c>
      <c r="E3919" s="154" t="n">
        <v>0.5792</v>
      </c>
      <c r="F3919" s="149" t="n">
        <f aca="false">IF(C3919="MAT.",VLOOKUP(A3919,INSUMOS_AUX!$A$3:$H$813,6,0),0)</f>
        <v>1.43</v>
      </c>
      <c r="G3919" s="149" t="n">
        <f aca="false">IF(C3919="M.O.",VLOOKUP(A3919,INSUMOS_AUX!A:F,6,0),0)</f>
        <v>0</v>
      </c>
    </row>
    <row r="3920" customFormat="false" ht="21" hidden="false" customHeight="false" outlineLevel="0" collapsed="false">
      <c r="A3920" s="154" t="n">
        <v>43461</v>
      </c>
      <c r="B3920" s="155" t="s">
        <v>1482</v>
      </c>
      <c r="C3920" s="148" t="str">
        <f aca="false">VLOOKUP($A3920,INSUMOS_AUX!$A$3:$H$813,3,0)</f>
        <v>MAT.</v>
      </c>
      <c r="D3920" s="156" t="s">
        <v>1444</v>
      </c>
      <c r="E3920" s="154" t="n">
        <v>0.5792</v>
      </c>
      <c r="F3920" s="149" t="n">
        <f aca="false">IF(C3920="MAT.",VLOOKUP(A3920,INSUMOS_AUX!$A$3:$H$813,6,0),0)</f>
        <v>0.31</v>
      </c>
      <c r="G3920" s="149" t="n">
        <f aca="false">IF(C3920="M.O.",VLOOKUP(A3920,INSUMOS_AUX!A:F,6,0),0)</f>
        <v>0</v>
      </c>
    </row>
    <row r="3921" customFormat="false" ht="21" hidden="false" customHeight="false" outlineLevel="0" collapsed="false">
      <c r="A3921" s="154" t="n">
        <v>37373</v>
      </c>
      <c r="B3921" s="155" t="s">
        <v>1448</v>
      </c>
      <c r="C3921" s="148" t="str">
        <f aca="false">VLOOKUP($A3921,INSUMOS_AUX!$A$3:$H$813,3,0)</f>
        <v>MAT.</v>
      </c>
      <c r="D3921" s="156" t="s">
        <v>1444</v>
      </c>
      <c r="E3921" s="154" t="n">
        <v>0.5792</v>
      </c>
      <c r="F3921" s="149" t="n">
        <f aca="false">IF(C3921="MAT.",VLOOKUP(A3921,INSUMOS_AUX!$A$3:$H$813,6,0),0)</f>
        <v>0.08</v>
      </c>
      <c r="G3921" s="149" t="n">
        <f aca="false">IF(C3921="M.O.",VLOOKUP(A3921,INSUMOS_AUX!A:F,6,0),0)</f>
        <v>0</v>
      </c>
    </row>
    <row r="3922" customFormat="false" ht="21" hidden="false" customHeight="false" outlineLevel="0" collapsed="false">
      <c r="A3922" s="154" t="n">
        <v>37371</v>
      </c>
      <c r="B3922" s="155" t="s">
        <v>1449</v>
      </c>
      <c r="C3922" s="148" t="str">
        <f aca="false">VLOOKUP($A3922,INSUMOS_AUX!$A$3:$H$813,3,0)</f>
        <v>MAT.</v>
      </c>
      <c r="D3922" s="156" t="s">
        <v>1444</v>
      </c>
      <c r="E3922" s="154" t="n">
        <v>0.5792</v>
      </c>
      <c r="F3922" s="149" t="n">
        <f aca="false">IF(C3922="MAT.",VLOOKUP(A3922,INSUMOS_AUX!$A$3:$H$813,6,0),0)</f>
        <v>0.59</v>
      </c>
      <c r="G3922" s="149" t="n">
        <f aca="false">IF(C3922="M.O.",VLOOKUP(A3922,INSUMOS_AUX!A:F,6,0),0)</f>
        <v>0</v>
      </c>
    </row>
    <row r="3923" customFormat="false" ht="21" hidden="false" customHeight="false" outlineLevel="0" collapsed="false">
      <c r="A3923" s="154" t="n">
        <v>301</v>
      </c>
      <c r="B3923" s="155" t="s">
        <v>2125</v>
      </c>
      <c r="C3923" s="148" t="s">
        <v>59</v>
      </c>
      <c r="D3923" s="156" t="s">
        <v>31</v>
      </c>
      <c r="E3923" s="154" t="n">
        <v>2</v>
      </c>
      <c r="F3923" s="149" t="n">
        <f aca="false">IF(C3923="MAT.",VLOOKUP(A3923,INSUMOS_AUX!$A$3:$H$813,6,0),0)</f>
        <v>0</v>
      </c>
      <c r="G3923" s="149" t="n">
        <f aca="false">IF(C3923="M.O.",VLOOKUP(A3923,INSUMOS_AUX!A:F,6,0),0)</f>
        <v>0</v>
      </c>
    </row>
    <row r="3924" customFormat="false" ht="15" hidden="false" customHeight="false" outlineLevel="0" collapsed="false">
      <c r="A3924" s="154" t="n">
        <v>297</v>
      </c>
      <c r="B3924" s="155" t="s">
        <v>2130</v>
      </c>
      <c r="C3924" s="148" t="str">
        <f aca="false">VLOOKUP($A3924,INSUMOS_AUX!$A$3:$H$813,3,0)</f>
        <v>MAT.</v>
      </c>
      <c r="D3924" s="156" t="s">
        <v>31</v>
      </c>
      <c r="E3924" s="154" t="n">
        <v>1</v>
      </c>
      <c r="F3924" s="149" t="n">
        <f aca="false">IF(C3924="MAT.",VLOOKUP(A3924,INSUMOS_AUX!$A$3:$H$813,6,0),0)</f>
        <v>2.49</v>
      </c>
      <c r="G3924" s="149" t="n">
        <f aca="false">IF(C3924="M.O.",VLOOKUP(A3924,INSUMOS_AUX!A:F,6,0),0)</f>
        <v>0</v>
      </c>
    </row>
    <row r="3925" customFormat="false" ht="21" hidden="false" customHeight="false" outlineLevel="0" collapsed="false">
      <c r="A3925" s="154" t="n">
        <v>3660</v>
      </c>
      <c r="B3925" s="155" t="s">
        <v>2153</v>
      </c>
      <c r="C3925" s="148" t="str">
        <f aca="false">VLOOKUP($A3925,INSUMOS_AUX!$A$3:$H$813,3,0)</f>
        <v>MAT.</v>
      </c>
      <c r="D3925" s="156" t="s">
        <v>31</v>
      </c>
      <c r="E3925" s="154" t="n">
        <v>1</v>
      </c>
      <c r="F3925" s="149" t="n">
        <f aca="false">IF(C3925="MAT.",VLOOKUP(A3925,INSUMOS_AUX!$A$3:$H$813,6,0),0)</f>
        <v>25.71</v>
      </c>
      <c r="G3925" s="149" t="n">
        <f aca="false">IF(C3925="M.O.",VLOOKUP(A3925,INSUMOS_AUX!A:F,6,0),0)</f>
        <v>0</v>
      </c>
    </row>
    <row r="3926" customFormat="false" ht="31.5" hidden="false" customHeight="false" outlineLevel="0" collapsed="false">
      <c r="A3926" s="154" t="n">
        <v>20078</v>
      </c>
      <c r="B3926" s="155" t="s">
        <v>2123</v>
      </c>
      <c r="C3926" s="148" t="str">
        <f aca="false">VLOOKUP($A3926,INSUMOS_AUX!$A$3:$H$813,3,0)</f>
        <v>MAT.</v>
      </c>
      <c r="D3926" s="156" t="s">
        <v>31</v>
      </c>
      <c r="E3926" s="154" t="n">
        <v>0.1725</v>
      </c>
      <c r="F3926" s="149" t="n">
        <f aca="false">IF(C3926="MAT.",VLOOKUP(A3926,INSUMOS_AUX!$A$3:$H$813,6,0),0)</f>
        <v>26.04</v>
      </c>
      <c r="G3926" s="149" t="n">
        <f aca="false">IF(C3926="M.O.",VLOOKUP(A3926,INSUMOS_AUX!A:F,6,0),0)</f>
        <v>0</v>
      </c>
    </row>
    <row r="3927" customFormat="false" ht="15" hidden="false" customHeight="false" outlineLevel="0" collapsed="false">
      <c r="A3927" s="154" t="n">
        <v>246</v>
      </c>
      <c r="B3927" s="155" t="s">
        <v>1752</v>
      </c>
      <c r="C3927" s="148" t="str">
        <f aca="false">VLOOKUP($A3927,INSUMOS_AUX!$A$3:$H$813,3,0)</f>
        <v>M.O.</v>
      </c>
      <c r="D3927" s="156" t="s">
        <v>1444</v>
      </c>
      <c r="E3927" s="154" t="n">
        <v>0.294807008</v>
      </c>
      <c r="F3927" s="149" t="n">
        <f aca="false">IF(C3927="MAT.",VLOOKUP(A3927,INSUMOS_AUX!$A$3:$H$813,6,0),0)</f>
        <v>0</v>
      </c>
      <c r="G3927" s="149" t="n">
        <f aca="false">IF(C3927="M.O.",VLOOKUP(A3927,INSUMOS_AUX!A:F,6,0),0)</f>
        <v>13.26</v>
      </c>
    </row>
    <row r="3928" customFormat="false" ht="15" hidden="false" customHeight="false" outlineLevel="0" collapsed="false">
      <c r="A3928" s="154" t="n">
        <v>2696</v>
      </c>
      <c r="B3928" s="155" t="s">
        <v>1483</v>
      </c>
      <c r="C3928" s="148" t="str">
        <f aca="false">VLOOKUP($A3928,INSUMOS_AUX!$A$3:$H$813,3,0)</f>
        <v>M.O.</v>
      </c>
      <c r="D3928" s="156" t="s">
        <v>1444</v>
      </c>
      <c r="E3928" s="154" t="n">
        <v>0.294807008</v>
      </c>
      <c r="F3928" s="149" t="n">
        <f aca="false">IF(C3928="MAT.",VLOOKUP(A3928,INSUMOS_AUX!$A$3:$H$813,6,0),0)</f>
        <v>0</v>
      </c>
      <c r="G3928" s="149" t="n">
        <f aca="false">IF(C3928="M.O.",VLOOKUP(A3928,INSUMOS_AUX!A:F,6,0),0)</f>
        <v>20.22</v>
      </c>
    </row>
    <row r="3929" customFormat="false" ht="31.5" hidden="false" customHeight="false" outlineLevel="0" collapsed="false">
      <c r="A3929" s="150" t="s">
        <v>719</v>
      </c>
      <c r="B3929" s="151" t="s">
        <v>2154</v>
      </c>
      <c r="C3929" s="152" t="s">
        <v>59</v>
      </c>
      <c r="D3929" s="152" t="s">
        <v>31</v>
      </c>
      <c r="E3929" s="150"/>
      <c r="F3929" s="153" t="n">
        <f aca="false">(SUMPRODUCT($E3930:$E3941,F3930:F3941))*1</f>
        <v>22.0956386666667</v>
      </c>
      <c r="G3929" s="153" t="n">
        <f aca="false">(SUMPRODUCT($E3930:$E3941,G3930:G3941))*1</f>
        <v>5.71213823904</v>
      </c>
    </row>
    <row r="3930" customFormat="false" ht="21" hidden="false" customHeight="false" outlineLevel="0" collapsed="false">
      <c r="A3930" s="154" t="n">
        <v>37370</v>
      </c>
      <c r="B3930" s="155" t="s">
        <v>1443</v>
      </c>
      <c r="C3930" s="148" t="str">
        <f aca="false">VLOOKUP($A3930,INSUMOS_AUX!$A$3:$H$813,3,0)</f>
        <v>MAT.</v>
      </c>
      <c r="D3930" s="156" t="s">
        <v>1444</v>
      </c>
      <c r="E3930" s="154" t="n">
        <v>0.3352</v>
      </c>
      <c r="F3930" s="149" t="n">
        <f aca="false">IF(C3930="MAT.",VLOOKUP(A3930,INSUMOS_AUX!$A$3:$H$813,6,0),0)</f>
        <v>3.32</v>
      </c>
      <c r="G3930" s="149" t="n">
        <f aca="false">IF(C3930="M.O.",VLOOKUP(A3930,INSUMOS_AUX!A:F,6,0),0)</f>
        <v>0</v>
      </c>
    </row>
    <row r="3931" customFormat="false" ht="21" hidden="false" customHeight="false" outlineLevel="0" collapsed="false">
      <c r="A3931" s="154" t="n">
        <v>43485</v>
      </c>
      <c r="B3931" s="155" t="s">
        <v>1481</v>
      </c>
      <c r="C3931" s="148" t="str">
        <f aca="false">VLOOKUP($A3931,INSUMOS_AUX!$A$3:$H$813,3,0)</f>
        <v>MAT.</v>
      </c>
      <c r="D3931" s="156" t="s">
        <v>1444</v>
      </c>
      <c r="E3931" s="154" t="n">
        <v>0.3352</v>
      </c>
      <c r="F3931" s="149" t="n">
        <f aca="false">IF(C3931="MAT.",VLOOKUP(A3931,INSUMOS_AUX!$A$3:$H$813,6,0),0)</f>
        <v>1.13</v>
      </c>
      <c r="G3931" s="149" t="n">
        <f aca="false">IF(C3931="M.O.",VLOOKUP(A3931,INSUMOS_AUX!A:F,6,0),0)</f>
        <v>0</v>
      </c>
    </row>
    <row r="3932" customFormat="false" ht="21" hidden="false" customHeight="false" outlineLevel="0" collapsed="false">
      <c r="A3932" s="154" t="n">
        <v>37372</v>
      </c>
      <c r="B3932" s="155" t="s">
        <v>1446</v>
      </c>
      <c r="C3932" s="148" t="str">
        <f aca="false">VLOOKUP($A3932,INSUMOS_AUX!$A$3:$H$813,3,0)</f>
        <v>MAT.</v>
      </c>
      <c r="D3932" s="156" t="s">
        <v>1444</v>
      </c>
      <c r="E3932" s="154" t="n">
        <v>0.3352</v>
      </c>
      <c r="F3932" s="149" t="n">
        <f aca="false">IF(C3932="MAT.",VLOOKUP(A3932,INSUMOS_AUX!$A$3:$H$813,6,0),0)</f>
        <v>1.43</v>
      </c>
      <c r="G3932" s="149" t="n">
        <f aca="false">IF(C3932="M.O.",VLOOKUP(A3932,INSUMOS_AUX!A:F,6,0),0)</f>
        <v>0</v>
      </c>
    </row>
    <row r="3933" customFormat="false" ht="21" hidden="false" customHeight="false" outlineLevel="0" collapsed="false">
      <c r="A3933" s="154" t="n">
        <v>43461</v>
      </c>
      <c r="B3933" s="155" t="s">
        <v>1482</v>
      </c>
      <c r="C3933" s="148" t="str">
        <f aca="false">VLOOKUP($A3933,INSUMOS_AUX!$A$3:$H$813,3,0)</f>
        <v>MAT.</v>
      </c>
      <c r="D3933" s="156" t="s">
        <v>1444</v>
      </c>
      <c r="E3933" s="154" t="n">
        <v>0.3352</v>
      </c>
      <c r="F3933" s="149" t="n">
        <f aca="false">IF(C3933="MAT.",VLOOKUP(A3933,INSUMOS_AUX!$A$3:$H$813,6,0),0)</f>
        <v>0.31</v>
      </c>
      <c r="G3933" s="149" t="n">
        <f aca="false">IF(C3933="M.O.",VLOOKUP(A3933,INSUMOS_AUX!A:F,6,0),0)</f>
        <v>0</v>
      </c>
    </row>
    <row r="3934" customFormat="false" ht="21" hidden="false" customHeight="false" outlineLevel="0" collapsed="false">
      <c r="A3934" s="154" t="n">
        <v>37373</v>
      </c>
      <c r="B3934" s="155" t="s">
        <v>1448</v>
      </c>
      <c r="C3934" s="148" t="str">
        <f aca="false">VLOOKUP($A3934,INSUMOS_AUX!$A$3:$H$813,3,0)</f>
        <v>MAT.</v>
      </c>
      <c r="D3934" s="156" t="s">
        <v>1444</v>
      </c>
      <c r="E3934" s="154" t="n">
        <v>0.3352</v>
      </c>
      <c r="F3934" s="149" t="n">
        <f aca="false">IF(C3934="MAT.",VLOOKUP(A3934,INSUMOS_AUX!$A$3:$H$813,6,0),0)</f>
        <v>0.08</v>
      </c>
      <c r="G3934" s="149" t="n">
        <f aca="false">IF(C3934="M.O.",VLOOKUP(A3934,INSUMOS_AUX!A:F,6,0),0)</f>
        <v>0</v>
      </c>
    </row>
    <row r="3935" customFormat="false" ht="21" hidden="false" customHeight="false" outlineLevel="0" collapsed="false">
      <c r="A3935" s="154" t="n">
        <v>37371</v>
      </c>
      <c r="B3935" s="155" t="s">
        <v>1449</v>
      </c>
      <c r="C3935" s="148" t="str">
        <f aca="false">VLOOKUP($A3935,INSUMOS_AUX!$A$3:$H$813,3,0)</f>
        <v>MAT.</v>
      </c>
      <c r="D3935" s="156" t="s">
        <v>1444</v>
      </c>
      <c r="E3935" s="154" t="n">
        <v>0.3352</v>
      </c>
      <c r="F3935" s="149" t="n">
        <f aca="false">IF(C3935="MAT.",VLOOKUP(A3935,INSUMOS_AUX!$A$3:$H$813,6,0),0)</f>
        <v>0.59</v>
      </c>
      <c r="G3935" s="149" t="n">
        <f aca="false">IF(C3935="M.O.",VLOOKUP(A3935,INSUMOS_AUX!A:F,6,0),0)</f>
        <v>0</v>
      </c>
    </row>
    <row r="3936" customFormat="false" ht="15" hidden="false" customHeight="false" outlineLevel="0" collapsed="false">
      <c r="A3936" s="154" t="n">
        <v>296</v>
      </c>
      <c r="B3936" s="155" t="s">
        <v>2121</v>
      </c>
      <c r="C3936" s="148" t="s">
        <v>59</v>
      </c>
      <c r="D3936" s="156" t="s">
        <v>31</v>
      </c>
      <c r="E3936" s="154" t="n">
        <v>1</v>
      </c>
      <c r="F3936" s="149" t="n">
        <f aca="false">IF(C3936="MAT.",VLOOKUP(A3936,INSUMOS_AUX!$A$3:$H$813,6,0),0)</f>
        <v>0</v>
      </c>
      <c r="G3936" s="149" t="n">
        <f aca="false">IF(C3936="M.O.",VLOOKUP(A3936,INSUMOS_AUX!A:F,6,0),0)</f>
        <v>0</v>
      </c>
    </row>
    <row r="3937" customFormat="false" ht="15" hidden="false" customHeight="false" outlineLevel="0" collapsed="false">
      <c r="A3937" s="154" t="n">
        <v>297</v>
      </c>
      <c r="B3937" s="155" t="s">
        <v>2130</v>
      </c>
      <c r="C3937" s="148" t="str">
        <f aca="false">VLOOKUP($A3937,INSUMOS_AUX!$A$3:$H$813,3,0)</f>
        <v>MAT.</v>
      </c>
      <c r="D3937" s="156" t="s">
        <v>31</v>
      </c>
      <c r="E3937" s="154" t="n">
        <v>2</v>
      </c>
      <c r="F3937" s="149" t="n">
        <f aca="false">IF(C3937="MAT.",VLOOKUP(A3937,INSUMOS_AUX!$A$3:$H$813,6,0),0)</f>
        <v>2.49</v>
      </c>
      <c r="G3937" s="149" t="n">
        <f aca="false">IF(C3937="M.O.",VLOOKUP(A3937,INSUMOS_AUX!A:F,6,0),0)</f>
        <v>0</v>
      </c>
    </row>
    <row r="3938" customFormat="false" ht="21" hidden="false" customHeight="false" outlineLevel="0" collapsed="false">
      <c r="A3938" s="154" t="s">
        <v>2155</v>
      </c>
      <c r="B3938" s="155" t="s">
        <v>2156</v>
      </c>
      <c r="C3938" s="148" t="str">
        <f aca="false">VLOOKUP($A3938,INSUMOS_AUX!$A$3:$H$813,3,0)</f>
        <v>MAT.</v>
      </c>
      <c r="D3938" s="156" t="s">
        <v>31</v>
      </c>
      <c r="E3938" s="154" t="n">
        <v>1</v>
      </c>
      <c r="F3938" s="149" t="n">
        <f aca="false">IF(C3938="MAT.",VLOOKUP(A3938,INSUMOS_AUX!$A$3:$H$813,6,0),0)</f>
        <v>11.8866666666667</v>
      </c>
      <c r="G3938" s="149" t="n">
        <f aca="false">IF(C3938="M.O.",VLOOKUP(A3938,INSUMOS_AUX!A:F,6,0),0)</f>
        <v>0</v>
      </c>
    </row>
    <row r="3939" customFormat="false" ht="31.5" hidden="false" customHeight="false" outlineLevel="0" collapsed="false">
      <c r="A3939" s="154" t="n">
        <v>20078</v>
      </c>
      <c r="B3939" s="155" t="s">
        <v>2123</v>
      </c>
      <c r="C3939" s="148" t="str">
        <f aca="false">VLOOKUP($A3939,INSUMOS_AUX!$A$3:$H$813,3,0)</f>
        <v>MAT.</v>
      </c>
      <c r="D3939" s="156" t="s">
        <v>31</v>
      </c>
      <c r="E3939" s="154" t="n">
        <v>0.1125</v>
      </c>
      <c r="F3939" s="149" t="n">
        <f aca="false">IF(C3939="MAT.",VLOOKUP(A3939,INSUMOS_AUX!$A$3:$H$813,6,0),0)</f>
        <v>26.04</v>
      </c>
      <c r="G3939" s="149" t="n">
        <f aca="false">IF(C3939="M.O.",VLOOKUP(A3939,INSUMOS_AUX!A:F,6,0),0)</f>
        <v>0</v>
      </c>
    </row>
    <row r="3940" customFormat="false" ht="15" hidden="false" customHeight="false" outlineLevel="0" collapsed="false">
      <c r="A3940" s="154" t="n">
        <v>246</v>
      </c>
      <c r="B3940" s="155" t="s">
        <v>1752</v>
      </c>
      <c r="C3940" s="148" t="str">
        <f aca="false">VLOOKUP($A3940,INSUMOS_AUX!$A$3:$H$813,3,0)</f>
        <v>M.O.</v>
      </c>
      <c r="D3940" s="156" t="s">
        <v>1444</v>
      </c>
      <c r="E3940" s="154" t="n">
        <v>0.170613448</v>
      </c>
      <c r="F3940" s="149" t="n">
        <f aca="false">IF(C3940="MAT.",VLOOKUP(A3940,INSUMOS_AUX!$A$3:$H$813,6,0),0)</f>
        <v>0</v>
      </c>
      <c r="G3940" s="149" t="n">
        <f aca="false">IF(C3940="M.O.",VLOOKUP(A3940,INSUMOS_AUX!A:F,6,0),0)</f>
        <v>13.26</v>
      </c>
    </row>
    <row r="3941" customFormat="false" ht="15" hidden="false" customHeight="false" outlineLevel="0" collapsed="false">
      <c r="A3941" s="154" t="n">
        <v>2696</v>
      </c>
      <c r="B3941" s="155" t="s">
        <v>1483</v>
      </c>
      <c r="C3941" s="148" t="str">
        <f aca="false">VLOOKUP($A3941,INSUMOS_AUX!$A$3:$H$813,3,0)</f>
        <v>M.O.</v>
      </c>
      <c r="D3941" s="156" t="s">
        <v>1444</v>
      </c>
      <c r="E3941" s="154" t="n">
        <v>0.170613448</v>
      </c>
      <c r="F3941" s="149" t="n">
        <f aca="false">IF(C3941="MAT.",VLOOKUP(A3941,INSUMOS_AUX!$A$3:$H$813,6,0),0)</f>
        <v>0</v>
      </c>
      <c r="G3941" s="149" t="n">
        <f aca="false">IF(C3941="M.O.",VLOOKUP(A3941,INSUMOS_AUX!A:F,6,0),0)</f>
        <v>20.22</v>
      </c>
    </row>
    <row r="3942" customFormat="false" ht="31.5" hidden="false" customHeight="false" outlineLevel="0" collapsed="false">
      <c r="A3942" s="150" t="n">
        <v>89834</v>
      </c>
      <c r="B3942" s="151" t="s">
        <v>2157</v>
      </c>
      <c r="C3942" s="152" t="s">
        <v>59</v>
      </c>
      <c r="D3942" s="152" t="s">
        <v>31</v>
      </c>
      <c r="E3942" s="150"/>
      <c r="F3942" s="153" t="n">
        <f aca="false">(SUMPRODUCT($E3943:$E3953,F3943:F3953))*1</f>
        <v>33.995212</v>
      </c>
      <c r="G3942" s="153" t="n">
        <f aca="false">(SUMPRODUCT($E3943:$E3953,G3943:G3953))*1</f>
        <v>9.87013862784</v>
      </c>
    </row>
    <row r="3943" customFormat="false" ht="21" hidden="false" customHeight="false" outlineLevel="0" collapsed="false">
      <c r="A3943" s="154" t="n">
        <v>37370</v>
      </c>
      <c r="B3943" s="155" t="s">
        <v>1443</v>
      </c>
      <c r="C3943" s="148" t="str">
        <f aca="false">VLOOKUP($A3943,INSUMOS_AUX!$A$3:$H$813,3,0)</f>
        <v>MAT.</v>
      </c>
      <c r="D3943" s="156" t="s">
        <v>1444</v>
      </c>
      <c r="E3943" s="154" t="n">
        <v>0.5792</v>
      </c>
      <c r="F3943" s="149" t="n">
        <f aca="false">IF(C3943="MAT.",VLOOKUP(A3943,INSUMOS_AUX!$A$3:$H$813,6,0),0)</f>
        <v>3.32</v>
      </c>
      <c r="G3943" s="149" t="n">
        <f aca="false">IF(C3943="M.O.",VLOOKUP(A3943,INSUMOS_AUX!A:F,6,0),0)</f>
        <v>0</v>
      </c>
    </row>
    <row r="3944" customFormat="false" ht="21" hidden="false" customHeight="false" outlineLevel="0" collapsed="false">
      <c r="A3944" s="154" t="n">
        <v>43485</v>
      </c>
      <c r="B3944" s="155" t="s">
        <v>1481</v>
      </c>
      <c r="C3944" s="148" t="str">
        <f aca="false">VLOOKUP($A3944,INSUMOS_AUX!$A$3:$H$813,3,0)</f>
        <v>MAT.</v>
      </c>
      <c r="D3944" s="156" t="s">
        <v>1444</v>
      </c>
      <c r="E3944" s="154" t="n">
        <v>0.5792</v>
      </c>
      <c r="F3944" s="149" t="n">
        <f aca="false">IF(C3944="MAT.",VLOOKUP(A3944,INSUMOS_AUX!$A$3:$H$813,6,0),0)</f>
        <v>1.13</v>
      </c>
      <c r="G3944" s="149" t="n">
        <f aca="false">IF(C3944="M.O.",VLOOKUP(A3944,INSUMOS_AUX!A:F,6,0),0)</f>
        <v>0</v>
      </c>
    </row>
    <row r="3945" customFormat="false" ht="21" hidden="false" customHeight="false" outlineLevel="0" collapsed="false">
      <c r="A3945" s="154" t="n">
        <v>37372</v>
      </c>
      <c r="B3945" s="155" t="s">
        <v>1446</v>
      </c>
      <c r="C3945" s="148" t="str">
        <f aca="false">VLOOKUP($A3945,INSUMOS_AUX!$A$3:$H$813,3,0)</f>
        <v>MAT.</v>
      </c>
      <c r="D3945" s="156" t="s">
        <v>1444</v>
      </c>
      <c r="E3945" s="154" t="n">
        <v>0.5792</v>
      </c>
      <c r="F3945" s="149" t="n">
        <f aca="false">IF(C3945="MAT.",VLOOKUP(A3945,INSUMOS_AUX!$A$3:$H$813,6,0),0)</f>
        <v>1.43</v>
      </c>
      <c r="G3945" s="149" t="n">
        <f aca="false">IF(C3945="M.O.",VLOOKUP(A3945,INSUMOS_AUX!A:F,6,0),0)</f>
        <v>0</v>
      </c>
    </row>
    <row r="3946" customFormat="false" ht="21" hidden="false" customHeight="false" outlineLevel="0" collapsed="false">
      <c r="A3946" s="154" t="n">
        <v>43461</v>
      </c>
      <c r="B3946" s="155" t="s">
        <v>1482</v>
      </c>
      <c r="C3946" s="148" t="str">
        <f aca="false">VLOOKUP($A3946,INSUMOS_AUX!$A$3:$H$813,3,0)</f>
        <v>MAT.</v>
      </c>
      <c r="D3946" s="156" t="s">
        <v>1444</v>
      </c>
      <c r="E3946" s="154" t="n">
        <v>0.5792</v>
      </c>
      <c r="F3946" s="149" t="n">
        <f aca="false">IF(C3946="MAT.",VLOOKUP(A3946,INSUMOS_AUX!$A$3:$H$813,6,0),0)</f>
        <v>0.31</v>
      </c>
      <c r="G3946" s="149" t="n">
        <f aca="false">IF(C3946="M.O.",VLOOKUP(A3946,INSUMOS_AUX!A:F,6,0),0)</f>
        <v>0</v>
      </c>
    </row>
    <row r="3947" customFormat="false" ht="21" hidden="false" customHeight="false" outlineLevel="0" collapsed="false">
      <c r="A3947" s="154" t="n">
        <v>37373</v>
      </c>
      <c r="B3947" s="155" t="s">
        <v>1448</v>
      </c>
      <c r="C3947" s="148" t="str">
        <f aca="false">VLOOKUP($A3947,INSUMOS_AUX!$A$3:$H$813,3,0)</f>
        <v>MAT.</v>
      </c>
      <c r="D3947" s="156" t="s">
        <v>1444</v>
      </c>
      <c r="E3947" s="154" t="n">
        <v>0.5792</v>
      </c>
      <c r="F3947" s="149" t="n">
        <f aca="false">IF(C3947="MAT.",VLOOKUP(A3947,INSUMOS_AUX!$A$3:$H$813,6,0),0)</f>
        <v>0.08</v>
      </c>
      <c r="G3947" s="149" t="n">
        <f aca="false">IF(C3947="M.O.",VLOOKUP(A3947,INSUMOS_AUX!A:F,6,0),0)</f>
        <v>0</v>
      </c>
    </row>
    <row r="3948" customFormat="false" ht="21" hidden="false" customHeight="false" outlineLevel="0" collapsed="false">
      <c r="A3948" s="154" t="n">
        <v>37371</v>
      </c>
      <c r="B3948" s="155" t="s">
        <v>1449</v>
      </c>
      <c r="C3948" s="148" t="str">
        <f aca="false">VLOOKUP($A3948,INSUMOS_AUX!$A$3:$H$813,3,0)</f>
        <v>MAT.</v>
      </c>
      <c r="D3948" s="156" t="s">
        <v>1444</v>
      </c>
      <c r="E3948" s="154" t="n">
        <v>0.5792</v>
      </c>
      <c r="F3948" s="149" t="n">
        <f aca="false">IF(C3948="MAT.",VLOOKUP(A3948,INSUMOS_AUX!$A$3:$H$813,6,0),0)</f>
        <v>0.59</v>
      </c>
      <c r="G3948" s="149" t="n">
        <f aca="false">IF(C3948="M.O.",VLOOKUP(A3948,INSUMOS_AUX!A:F,6,0),0)</f>
        <v>0</v>
      </c>
    </row>
    <row r="3949" customFormat="false" ht="21" hidden="false" customHeight="false" outlineLevel="0" collapsed="false">
      <c r="A3949" s="154" t="n">
        <v>301</v>
      </c>
      <c r="B3949" s="155" t="s">
        <v>2125</v>
      </c>
      <c r="C3949" s="148" t="s">
        <v>59</v>
      </c>
      <c r="D3949" s="156" t="s">
        <v>31</v>
      </c>
      <c r="E3949" s="154" t="n">
        <v>3</v>
      </c>
      <c r="F3949" s="149" t="n">
        <f aca="false">IF(C3949="MAT.",VLOOKUP(A3949,INSUMOS_AUX!$A$3:$H$813,6,0),0)</f>
        <v>0</v>
      </c>
      <c r="G3949" s="149" t="n">
        <f aca="false">IF(C3949="M.O.",VLOOKUP(A3949,INSUMOS_AUX!A:F,6,0),0)</f>
        <v>0</v>
      </c>
    </row>
    <row r="3950" customFormat="false" ht="21" hidden="false" customHeight="false" outlineLevel="0" collapsed="false">
      <c r="A3950" s="154" t="n">
        <v>3670</v>
      </c>
      <c r="B3950" s="155" t="s">
        <v>2158</v>
      </c>
      <c r="C3950" s="148" t="str">
        <f aca="false">VLOOKUP($A3950,INSUMOS_AUX!$A$3:$H$813,3,0)</f>
        <v>MAT.</v>
      </c>
      <c r="D3950" s="156" t="s">
        <v>31</v>
      </c>
      <c r="E3950" s="154" t="n">
        <v>1</v>
      </c>
      <c r="F3950" s="149" t="n">
        <f aca="false">IF(C3950="MAT.",VLOOKUP(A3950,INSUMOS_AUX!$A$3:$H$813,6,0),0)</f>
        <v>25.53</v>
      </c>
      <c r="G3950" s="149" t="n">
        <f aca="false">IF(C3950="M.O.",VLOOKUP(A3950,INSUMOS_AUX!A:F,6,0),0)</f>
        <v>0</v>
      </c>
    </row>
    <row r="3951" customFormat="false" ht="31.5" hidden="false" customHeight="false" outlineLevel="0" collapsed="false">
      <c r="A3951" s="154" t="n">
        <v>20078</v>
      </c>
      <c r="B3951" s="155" t="s">
        <v>2123</v>
      </c>
      <c r="C3951" s="148" t="str">
        <f aca="false">VLOOKUP($A3951,INSUMOS_AUX!$A$3:$H$813,3,0)</f>
        <v>MAT.</v>
      </c>
      <c r="D3951" s="156" t="s">
        <v>31</v>
      </c>
      <c r="E3951" s="154" t="n">
        <v>0.1725</v>
      </c>
      <c r="F3951" s="149" t="n">
        <f aca="false">IF(C3951="MAT.",VLOOKUP(A3951,INSUMOS_AUX!$A$3:$H$813,6,0),0)</f>
        <v>26.04</v>
      </c>
      <c r="G3951" s="149" t="n">
        <f aca="false">IF(C3951="M.O.",VLOOKUP(A3951,INSUMOS_AUX!A:F,6,0),0)</f>
        <v>0</v>
      </c>
    </row>
    <row r="3952" customFormat="false" ht="15" hidden="false" customHeight="false" outlineLevel="0" collapsed="false">
      <c r="A3952" s="154" t="n">
        <v>246</v>
      </c>
      <c r="B3952" s="155" t="s">
        <v>1752</v>
      </c>
      <c r="C3952" s="148" t="str">
        <f aca="false">VLOOKUP($A3952,INSUMOS_AUX!$A$3:$H$813,3,0)</f>
        <v>M.O.</v>
      </c>
      <c r="D3952" s="156" t="s">
        <v>1444</v>
      </c>
      <c r="E3952" s="154" t="n">
        <v>0.294807008</v>
      </c>
      <c r="F3952" s="149" t="n">
        <f aca="false">IF(C3952="MAT.",VLOOKUP(A3952,INSUMOS_AUX!$A$3:$H$813,6,0),0)</f>
        <v>0</v>
      </c>
      <c r="G3952" s="149" t="n">
        <f aca="false">IF(C3952="M.O.",VLOOKUP(A3952,INSUMOS_AUX!A:F,6,0),0)</f>
        <v>13.26</v>
      </c>
    </row>
    <row r="3953" customFormat="false" ht="15" hidden="false" customHeight="false" outlineLevel="0" collapsed="false">
      <c r="A3953" s="154" t="n">
        <v>2696</v>
      </c>
      <c r="B3953" s="155" t="s">
        <v>1483</v>
      </c>
      <c r="C3953" s="148" t="str">
        <f aca="false">VLOOKUP($A3953,INSUMOS_AUX!$A$3:$H$813,3,0)</f>
        <v>M.O.</v>
      </c>
      <c r="D3953" s="156" t="s">
        <v>1444</v>
      </c>
      <c r="E3953" s="154" t="n">
        <v>0.294807008</v>
      </c>
      <c r="F3953" s="149" t="n">
        <f aca="false">IF(C3953="MAT.",VLOOKUP(A3953,INSUMOS_AUX!$A$3:$H$813,6,0),0)</f>
        <v>0</v>
      </c>
      <c r="G3953" s="149" t="n">
        <f aca="false">IF(C3953="M.O.",VLOOKUP(A3953,INSUMOS_AUX!A:F,6,0),0)</f>
        <v>20.22</v>
      </c>
    </row>
    <row r="3954" customFormat="false" ht="31.5" hidden="false" customHeight="false" outlineLevel="0" collapsed="false">
      <c r="A3954" s="150" t="n">
        <v>89783</v>
      </c>
      <c r="B3954" s="151" t="s">
        <v>2159</v>
      </c>
      <c r="C3954" s="152" t="s">
        <v>59</v>
      </c>
      <c r="D3954" s="152" t="s">
        <v>31</v>
      </c>
      <c r="E3954" s="150"/>
      <c r="F3954" s="153" t="n">
        <f aca="false">(SUMPRODUCT($E3955:$E3966,F3955:F3966))*1</f>
        <v>7.302101</v>
      </c>
      <c r="G3954" s="153" t="n">
        <f aca="false">(SUMPRODUCT($E3955:$E3966,G3955:G3966))*1</f>
        <v>5.77007758872</v>
      </c>
    </row>
    <row r="3955" customFormat="false" ht="21" hidden="false" customHeight="false" outlineLevel="0" collapsed="false">
      <c r="A3955" s="154" t="n">
        <v>37370</v>
      </c>
      <c r="B3955" s="155" t="s">
        <v>1443</v>
      </c>
      <c r="C3955" s="148" t="str">
        <f aca="false">VLOOKUP($A3955,INSUMOS_AUX!$A$3:$H$813,3,0)</f>
        <v>MAT.</v>
      </c>
      <c r="D3955" s="156" t="s">
        <v>1444</v>
      </c>
      <c r="E3955" s="154" t="n">
        <v>0.3386</v>
      </c>
      <c r="F3955" s="149" t="n">
        <f aca="false">IF(C3955="MAT.",VLOOKUP(A3955,INSUMOS_AUX!$A$3:$H$813,6,0),0)</f>
        <v>3.32</v>
      </c>
      <c r="G3955" s="149" t="n">
        <f aca="false">IF(C3955="M.O.",VLOOKUP(A3955,INSUMOS_AUX!A:F,6,0),0)</f>
        <v>0</v>
      </c>
    </row>
    <row r="3956" customFormat="false" ht="21" hidden="false" customHeight="false" outlineLevel="0" collapsed="false">
      <c r="A3956" s="154" t="n">
        <v>43485</v>
      </c>
      <c r="B3956" s="155" t="s">
        <v>1481</v>
      </c>
      <c r="C3956" s="148" t="str">
        <f aca="false">VLOOKUP($A3956,INSUMOS_AUX!$A$3:$H$813,3,0)</f>
        <v>MAT.</v>
      </c>
      <c r="D3956" s="156" t="s">
        <v>1444</v>
      </c>
      <c r="E3956" s="154" t="n">
        <v>0.3386</v>
      </c>
      <c r="F3956" s="149" t="n">
        <f aca="false">IF(C3956="MAT.",VLOOKUP(A3956,INSUMOS_AUX!$A$3:$H$813,6,0),0)</f>
        <v>1.13</v>
      </c>
      <c r="G3956" s="149" t="n">
        <f aca="false">IF(C3956="M.O.",VLOOKUP(A3956,INSUMOS_AUX!A:F,6,0),0)</f>
        <v>0</v>
      </c>
    </row>
    <row r="3957" customFormat="false" ht="21" hidden="false" customHeight="false" outlineLevel="0" collapsed="false">
      <c r="A3957" s="154" t="n">
        <v>37372</v>
      </c>
      <c r="B3957" s="155" t="s">
        <v>1446</v>
      </c>
      <c r="C3957" s="148" t="str">
        <f aca="false">VLOOKUP($A3957,INSUMOS_AUX!$A$3:$H$813,3,0)</f>
        <v>MAT.</v>
      </c>
      <c r="D3957" s="156" t="s">
        <v>1444</v>
      </c>
      <c r="E3957" s="154" t="n">
        <v>0.3386</v>
      </c>
      <c r="F3957" s="149" t="n">
        <f aca="false">IF(C3957="MAT.",VLOOKUP(A3957,INSUMOS_AUX!$A$3:$H$813,6,0),0)</f>
        <v>1.43</v>
      </c>
      <c r="G3957" s="149" t="n">
        <f aca="false">IF(C3957="M.O.",VLOOKUP(A3957,INSUMOS_AUX!A:F,6,0),0)</f>
        <v>0</v>
      </c>
    </row>
    <row r="3958" customFormat="false" ht="21" hidden="false" customHeight="false" outlineLevel="0" collapsed="false">
      <c r="A3958" s="154" t="n">
        <v>43461</v>
      </c>
      <c r="B3958" s="155" t="s">
        <v>1482</v>
      </c>
      <c r="C3958" s="148" t="str">
        <f aca="false">VLOOKUP($A3958,INSUMOS_AUX!$A$3:$H$813,3,0)</f>
        <v>MAT.</v>
      </c>
      <c r="D3958" s="156" t="s">
        <v>1444</v>
      </c>
      <c r="E3958" s="154" t="n">
        <v>0.3386</v>
      </c>
      <c r="F3958" s="149" t="n">
        <f aca="false">IF(C3958="MAT.",VLOOKUP(A3958,INSUMOS_AUX!$A$3:$H$813,6,0),0)</f>
        <v>0.31</v>
      </c>
      <c r="G3958" s="149" t="n">
        <f aca="false">IF(C3958="M.O.",VLOOKUP(A3958,INSUMOS_AUX!A:F,6,0),0)</f>
        <v>0</v>
      </c>
    </row>
    <row r="3959" customFormat="false" ht="21" hidden="false" customHeight="false" outlineLevel="0" collapsed="false">
      <c r="A3959" s="154" t="n">
        <v>37373</v>
      </c>
      <c r="B3959" s="155" t="s">
        <v>1448</v>
      </c>
      <c r="C3959" s="148" t="str">
        <f aca="false">VLOOKUP($A3959,INSUMOS_AUX!$A$3:$H$813,3,0)</f>
        <v>MAT.</v>
      </c>
      <c r="D3959" s="156" t="s">
        <v>1444</v>
      </c>
      <c r="E3959" s="154" t="n">
        <v>0.3386</v>
      </c>
      <c r="F3959" s="149" t="n">
        <f aca="false">IF(C3959="MAT.",VLOOKUP(A3959,INSUMOS_AUX!$A$3:$H$813,6,0),0)</f>
        <v>0.08</v>
      </c>
      <c r="G3959" s="149" t="n">
        <f aca="false">IF(C3959="M.O.",VLOOKUP(A3959,INSUMOS_AUX!A:F,6,0),0)</f>
        <v>0</v>
      </c>
    </row>
    <row r="3960" customFormat="false" ht="21" hidden="false" customHeight="false" outlineLevel="0" collapsed="false">
      <c r="A3960" s="154" t="n">
        <v>37371</v>
      </c>
      <c r="B3960" s="155" t="s">
        <v>1449</v>
      </c>
      <c r="C3960" s="148" t="str">
        <f aca="false">VLOOKUP($A3960,INSUMOS_AUX!$A$3:$H$813,3,0)</f>
        <v>MAT.</v>
      </c>
      <c r="D3960" s="156" t="s">
        <v>1444</v>
      </c>
      <c r="E3960" s="154" t="n">
        <v>0.3386</v>
      </c>
      <c r="F3960" s="149" t="n">
        <f aca="false">IF(C3960="MAT.",VLOOKUP(A3960,INSUMOS_AUX!$A$3:$H$813,6,0),0)</f>
        <v>0.59</v>
      </c>
      <c r="G3960" s="149" t="n">
        <f aca="false">IF(C3960="M.O.",VLOOKUP(A3960,INSUMOS_AUX!A:F,6,0),0)</f>
        <v>0</v>
      </c>
    </row>
    <row r="3961" customFormat="false" ht="15" hidden="false" customHeight="false" outlineLevel="0" collapsed="false">
      <c r="A3961" s="154" t="n">
        <v>122</v>
      </c>
      <c r="B3961" s="155" t="s">
        <v>2097</v>
      </c>
      <c r="C3961" s="148" t="str">
        <f aca="false">VLOOKUP($A3961,INSUMOS_AUX!$A$3:$H$813,3,0)</f>
        <v>MAT.</v>
      </c>
      <c r="D3961" s="156" t="s">
        <v>31</v>
      </c>
      <c r="E3961" s="154" t="n">
        <v>0.0148</v>
      </c>
      <c r="F3961" s="149" t="n">
        <f aca="false">IF(C3961="MAT.",VLOOKUP(A3961,INSUMOS_AUX!$A$3:$H$813,6,0),0)</f>
        <v>63.09</v>
      </c>
      <c r="G3961" s="149" t="n">
        <f aca="false">IF(C3961="M.O.",VLOOKUP(A3961,INSUMOS_AUX!A:F,6,0),0)</f>
        <v>0</v>
      </c>
    </row>
    <row r="3962" customFormat="false" ht="21" hidden="false" customHeight="false" outlineLevel="0" collapsed="false">
      <c r="A3962" s="154" t="n">
        <v>3666</v>
      </c>
      <c r="B3962" s="155" t="s">
        <v>2160</v>
      </c>
      <c r="C3962" s="148" t="str">
        <f aca="false">VLOOKUP($A3962,INSUMOS_AUX!$A$3:$H$813,3,0)</f>
        <v>MAT.</v>
      </c>
      <c r="D3962" s="156" t="s">
        <v>31</v>
      </c>
      <c r="E3962" s="154" t="n">
        <v>1</v>
      </c>
      <c r="F3962" s="149" t="n">
        <f aca="false">IF(C3962="MAT.",VLOOKUP(A3962,INSUMOS_AUX!$A$3:$H$813,6,0),0)</f>
        <v>4.02</v>
      </c>
      <c r="G3962" s="149" t="n">
        <f aca="false">IF(C3962="M.O.",VLOOKUP(A3962,INSUMOS_AUX!A:F,6,0),0)</f>
        <v>0</v>
      </c>
    </row>
    <row r="3963" customFormat="false" ht="15" hidden="false" customHeight="false" outlineLevel="0" collapsed="false">
      <c r="A3963" s="154" t="n">
        <v>38383</v>
      </c>
      <c r="B3963" s="155" t="s">
        <v>2093</v>
      </c>
      <c r="C3963" s="148" t="str">
        <f aca="false">VLOOKUP($A3963,INSUMOS_AUX!$A$3:$H$813,3,0)</f>
        <v>MAT.</v>
      </c>
      <c r="D3963" s="156" t="s">
        <v>31</v>
      </c>
      <c r="E3963" s="154" t="n">
        <v>0.0107</v>
      </c>
      <c r="F3963" s="149" t="n">
        <f aca="false">IF(C3963="MAT.",VLOOKUP(A3963,INSUMOS_AUX!$A$3:$H$813,6,0),0)</f>
        <v>2.39</v>
      </c>
      <c r="G3963" s="149" t="n">
        <f aca="false">IF(C3963="M.O.",VLOOKUP(A3963,INSUMOS_AUX!A:F,6,0),0)</f>
        <v>0</v>
      </c>
    </row>
    <row r="3964" customFormat="false" ht="21" hidden="false" customHeight="false" outlineLevel="0" collapsed="false">
      <c r="A3964" s="154" t="n">
        <v>20083</v>
      </c>
      <c r="B3964" s="155" t="s">
        <v>2095</v>
      </c>
      <c r="C3964" s="148" t="s">
        <v>59</v>
      </c>
      <c r="D3964" s="156" t="s">
        <v>31</v>
      </c>
      <c r="E3964" s="154" t="n">
        <v>0.0225</v>
      </c>
      <c r="F3964" s="149" t="n">
        <f aca="false">IF(C3964="MAT.",VLOOKUP(A3964,INSUMOS_AUX!$A$3:$H$813,6,0),0)</f>
        <v>0</v>
      </c>
      <c r="G3964" s="149" t="n">
        <f aca="false">IF(C3964="M.O.",VLOOKUP(A3964,INSUMOS_AUX!A:F,6,0),0)</f>
        <v>0</v>
      </c>
    </row>
    <row r="3965" customFormat="false" ht="15" hidden="false" customHeight="false" outlineLevel="0" collapsed="false">
      <c r="A3965" s="154" t="n">
        <v>246</v>
      </c>
      <c r="B3965" s="155" t="s">
        <v>1752</v>
      </c>
      <c r="C3965" s="148" t="str">
        <f aca="false">VLOOKUP($A3965,INSUMOS_AUX!$A$3:$H$813,3,0)</f>
        <v>M.O.</v>
      </c>
      <c r="D3965" s="156" t="s">
        <v>1444</v>
      </c>
      <c r="E3965" s="154" t="n">
        <v>0.172344014</v>
      </c>
      <c r="F3965" s="149" t="n">
        <f aca="false">IF(C3965="MAT.",VLOOKUP(A3965,INSUMOS_AUX!$A$3:$H$813,6,0),0)</f>
        <v>0</v>
      </c>
      <c r="G3965" s="149" t="n">
        <f aca="false">IF(C3965="M.O.",VLOOKUP(A3965,INSUMOS_AUX!A:F,6,0),0)</f>
        <v>13.26</v>
      </c>
    </row>
    <row r="3966" customFormat="false" ht="15" hidden="false" customHeight="false" outlineLevel="0" collapsed="false">
      <c r="A3966" s="154" t="n">
        <v>2696</v>
      </c>
      <c r="B3966" s="155" t="s">
        <v>1483</v>
      </c>
      <c r="C3966" s="148" t="str">
        <f aca="false">VLOOKUP($A3966,INSUMOS_AUX!$A$3:$H$813,3,0)</f>
        <v>M.O.</v>
      </c>
      <c r="D3966" s="156" t="s">
        <v>1444</v>
      </c>
      <c r="E3966" s="154" t="n">
        <v>0.172344014</v>
      </c>
      <c r="F3966" s="149" t="n">
        <f aca="false">IF(C3966="MAT.",VLOOKUP(A3966,INSUMOS_AUX!$A$3:$H$813,6,0),0)</f>
        <v>0</v>
      </c>
      <c r="G3966" s="149" t="n">
        <f aca="false">IF(C3966="M.O.",VLOOKUP(A3966,INSUMOS_AUX!A:F,6,0),0)</f>
        <v>20.22</v>
      </c>
    </row>
    <row r="3967" customFormat="false" ht="31.5" hidden="false" customHeight="false" outlineLevel="0" collapsed="false">
      <c r="A3967" s="150" t="n">
        <v>89830</v>
      </c>
      <c r="B3967" s="151" t="s">
        <v>2161</v>
      </c>
      <c r="C3967" s="152" t="s">
        <v>59</v>
      </c>
      <c r="D3967" s="152" t="s">
        <v>31</v>
      </c>
      <c r="E3967" s="150"/>
      <c r="F3967" s="153" t="n">
        <f aca="false">(SUMPRODUCT($E3968:$E3978,F3968:F3978))*1</f>
        <v>29.619472</v>
      </c>
      <c r="G3967" s="153" t="n">
        <f aca="false">(SUMPRODUCT($E3968:$E3978,G3968:G3978))*1</f>
        <v>5.71213823904</v>
      </c>
    </row>
    <row r="3968" customFormat="false" ht="21" hidden="false" customHeight="false" outlineLevel="0" collapsed="false">
      <c r="A3968" s="154" t="n">
        <v>37370</v>
      </c>
      <c r="B3968" s="155" t="s">
        <v>1443</v>
      </c>
      <c r="C3968" s="148" t="str">
        <f aca="false">VLOOKUP($A3968,INSUMOS_AUX!$A$3:$H$813,3,0)</f>
        <v>MAT.</v>
      </c>
      <c r="D3968" s="156" t="s">
        <v>1444</v>
      </c>
      <c r="E3968" s="154" t="n">
        <v>0.3352</v>
      </c>
      <c r="F3968" s="149" t="n">
        <f aca="false">IF(C3968="MAT.",VLOOKUP(A3968,INSUMOS_AUX!$A$3:$H$813,6,0),0)</f>
        <v>3.32</v>
      </c>
      <c r="G3968" s="149" t="n">
        <f aca="false">IF(C3968="M.O.",VLOOKUP(A3968,INSUMOS_AUX!A:F,6,0),0)</f>
        <v>0</v>
      </c>
    </row>
    <row r="3969" customFormat="false" ht="21" hidden="false" customHeight="false" outlineLevel="0" collapsed="false">
      <c r="A3969" s="154" t="n">
        <v>43485</v>
      </c>
      <c r="B3969" s="155" t="s">
        <v>1481</v>
      </c>
      <c r="C3969" s="148" t="str">
        <f aca="false">VLOOKUP($A3969,INSUMOS_AUX!$A$3:$H$813,3,0)</f>
        <v>MAT.</v>
      </c>
      <c r="D3969" s="156" t="s">
        <v>1444</v>
      </c>
      <c r="E3969" s="154" t="n">
        <v>0.3352</v>
      </c>
      <c r="F3969" s="149" t="n">
        <f aca="false">IF(C3969="MAT.",VLOOKUP(A3969,INSUMOS_AUX!$A$3:$H$813,6,0),0)</f>
        <v>1.13</v>
      </c>
      <c r="G3969" s="149" t="n">
        <f aca="false">IF(C3969="M.O.",VLOOKUP(A3969,INSUMOS_AUX!A:F,6,0),0)</f>
        <v>0</v>
      </c>
    </row>
    <row r="3970" customFormat="false" ht="21" hidden="false" customHeight="false" outlineLevel="0" collapsed="false">
      <c r="A3970" s="154" t="n">
        <v>37372</v>
      </c>
      <c r="B3970" s="155" t="s">
        <v>1446</v>
      </c>
      <c r="C3970" s="148" t="str">
        <f aca="false">VLOOKUP($A3970,INSUMOS_AUX!$A$3:$H$813,3,0)</f>
        <v>MAT.</v>
      </c>
      <c r="D3970" s="156" t="s">
        <v>1444</v>
      </c>
      <c r="E3970" s="154" t="n">
        <v>0.3352</v>
      </c>
      <c r="F3970" s="149" t="n">
        <f aca="false">IF(C3970="MAT.",VLOOKUP(A3970,INSUMOS_AUX!$A$3:$H$813,6,0),0)</f>
        <v>1.43</v>
      </c>
      <c r="G3970" s="149" t="n">
        <f aca="false">IF(C3970="M.O.",VLOOKUP(A3970,INSUMOS_AUX!A:F,6,0),0)</f>
        <v>0</v>
      </c>
    </row>
    <row r="3971" customFormat="false" ht="21" hidden="false" customHeight="false" outlineLevel="0" collapsed="false">
      <c r="A3971" s="154" t="n">
        <v>43461</v>
      </c>
      <c r="B3971" s="155" t="s">
        <v>1482</v>
      </c>
      <c r="C3971" s="148" t="str">
        <f aca="false">VLOOKUP($A3971,INSUMOS_AUX!$A$3:$H$813,3,0)</f>
        <v>MAT.</v>
      </c>
      <c r="D3971" s="156" t="s">
        <v>1444</v>
      </c>
      <c r="E3971" s="154" t="n">
        <v>0.3352</v>
      </c>
      <c r="F3971" s="149" t="n">
        <f aca="false">IF(C3971="MAT.",VLOOKUP(A3971,INSUMOS_AUX!$A$3:$H$813,6,0),0)</f>
        <v>0.31</v>
      </c>
      <c r="G3971" s="149" t="n">
        <f aca="false">IF(C3971="M.O.",VLOOKUP(A3971,INSUMOS_AUX!A:F,6,0),0)</f>
        <v>0</v>
      </c>
    </row>
    <row r="3972" customFormat="false" ht="21" hidden="false" customHeight="false" outlineLevel="0" collapsed="false">
      <c r="A3972" s="154" t="n">
        <v>37373</v>
      </c>
      <c r="B3972" s="155" t="s">
        <v>1448</v>
      </c>
      <c r="C3972" s="148" t="str">
        <f aca="false">VLOOKUP($A3972,INSUMOS_AUX!$A$3:$H$813,3,0)</f>
        <v>MAT.</v>
      </c>
      <c r="D3972" s="156" t="s">
        <v>1444</v>
      </c>
      <c r="E3972" s="154" t="n">
        <v>0.3352</v>
      </c>
      <c r="F3972" s="149" t="n">
        <f aca="false">IF(C3972="MAT.",VLOOKUP(A3972,INSUMOS_AUX!$A$3:$H$813,6,0),0)</f>
        <v>0.08</v>
      </c>
      <c r="G3972" s="149" t="n">
        <f aca="false">IF(C3972="M.O.",VLOOKUP(A3972,INSUMOS_AUX!A:F,6,0),0)</f>
        <v>0</v>
      </c>
    </row>
    <row r="3973" customFormat="false" ht="21" hidden="false" customHeight="false" outlineLevel="0" collapsed="false">
      <c r="A3973" s="154" t="n">
        <v>37371</v>
      </c>
      <c r="B3973" s="155" t="s">
        <v>1449</v>
      </c>
      <c r="C3973" s="148" t="str">
        <f aca="false">VLOOKUP($A3973,INSUMOS_AUX!$A$3:$H$813,3,0)</f>
        <v>MAT.</v>
      </c>
      <c r="D3973" s="156" t="s">
        <v>1444</v>
      </c>
      <c r="E3973" s="154" t="n">
        <v>0.3352</v>
      </c>
      <c r="F3973" s="149" t="n">
        <f aca="false">IF(C3973="MAT.",VLOOKUP(A3973,INSUMOS_AUX!$A$3:$H$813,6,0),0)</f>
        <v>0.59</v>
      </c>
      <c r="G3973" s="149" t="n">
        <f aca="false">IF(C3973="M.O.",VLOOKUP(A3973,INSUMOS_AUX!A:F,6,0),0)</f>
        <v>0</v>
      </c>
    </row>
    <row r="3974" customFormat="false" ht="15" hidden="false" customHeight="false" outlineLevel="0" collapsed="false">
      <c r="A3974" s="154" t="n">
        <v>297</v>
      </c>
      <c r="B3974" s="155" t="s">
        <v>2130</v>
      </c>
      <c r="C3974" s="148" t="str">
        <f aca="false">VLOOKUP($A3974,INSUMOS_AUX!$A$3:$H$813,3,0)</f>
        <v>MAT.</v>
      </c>
      <c r="D3974" s="156" t="s">
        <v>31</v>
      </c>
      <c r="E3974" s="154" t="n">
        <v>3</v>
      </c>
      <c r="F3974" s="149" t="n">
        <f aca="false">IF(C3974="MAT.",VLOOKUP(A3974,INSUMOS_AUX!$A$3:$H$813,6,0),0)</f>
        <v>2.49</v>
      </c>
      <c r="G3974" s="149" t="n">
        <f aca="false">IF(C3974="M.O.",VLOOKUP(A3974,INSUMOS_AUX!A:F,6,0),0)</f>
        <v>0</v>
      </c>
    </row>
    <row r="3975" customFormat="false" ht="21" hidden="false" customHeight="false" outlineLevel="0" collapsed="false">
      <c r="A3975" s="154" t="n">
        <v>3658</v>
      </c>
      <c r="B3975" s="155" t="s">
        <v>2162</v>
      </c>
      <c r="C3975" s="148" t="str">
        <f aca="false">VLOOKUP($A3975,INSUMOS_AUX!$A$3:$H$813,3,0)</f>
        <v>MAT.</v>
      </c>
      <c r="D3975" s="156" t="s">
        <v>31</v>
      </c>
      <c r="E3975" s="154" t="n">
        <v>1</v>
      </c>
      <c r="F3975" s="149" t="n">
        <f aca="false">IF(C3975="MAT.",VLOOKUP(A3975,INSUMOS_AUX!$A$3:$H$813,6,0),0)</f>
        <v>19.85</v>
      </c>
      <c r="G3975" s="149" t="n">
        <f aca="false">IF(C3975="M.O.",VLOOKUP(A3975,INSUMOS_AUX!A:F,6,0),0)</f>
        <v>0</v>
      </c>
    </row>
    <row r="3976" customFormat="false" ht="31.5" hidden="false" customHeight="false" outlineLevel="0" collapsed="false">
      <c r="A3976" s="154" t="n">
        <v>20078</v>
      </c>
      <c r="B3976" s="155" t="s">
        <v>2123</v>
      </c>
      <c r="C3976" s="148" t="s">
        <v>59</v>
      </c>
      <c r="D3976" s="156" t="s">
        <v>31</v>
      </c>
      <c r="E3976" s="154" t="n">
        <v>0.1125</v>
      </c>
      <c r="F3976" s="149" t="n">
        <f aca="false">IF(C3976="MAT.",VLOOKUP(A3976,INSUMOS_AUX!$A$3:$H$813,6,0),0)</f>
        <v>0</v>
      </c>
      <c r="G3976" s="149" t="n">
        <f aca="false">IF(C3976="M.O.",VLOOKUP(A3976,INSUMOS_AUX!A:F,6,0),0)</f>
        <v>0</v>
      </c>
    </row>
    <row r="3977" customFormat="false" ht="15" hidden="false" customHeight="false" outlineLevel="0" collapsed="false">
      <c r="A3977" s="154" t="n">
        <v>246</v>
      </c>
      <c r="B3977" s="155" t="s">
        <v>1752</v>
      </c>
      <c r="C3977" s="148" t="str">
        <f aca="false">VLOOKUP($A3977,INSUMOS_AUX!$A$3:$H$813,3,0)</f>
        <v>M.O.</v>
      </c>
      <c r="D3977" s="156" t="s">
        <v>1444</v>
      </c>
      <c r="E3977" s="154" t="n">
        <v>0.170613448</v>
      </c>
      <c r="F3977" s="149" t="n">
        <f aca="false">IF(C3977="MAT.",VLOOKUP(A3977,INSUMOS_AUX!$A$3:$H$813,6,0),0)</f>
        <v>0</v>
      </c>
      <c r="G3977" s="149" t="n">
        <f aca="false">IF(C3977="M.O.",VLOOKUP(A3977,INSUMOS_AUX!A:F,6,0),0)</f>
        <v>13.26</v>
      </c>
    </row>
    <row r="3978" customFormat="false" ht="15" hidden="false" customHeight="false" outlineLevel="0" collapsed="false">
      <c r="A3978" s="154" t="n">
        <v>2696</v>
      </c>
      <c r="B3978" s="155" t="s">
        <v>1483</v>
      </c>
      <c r="C3978" s="148" t="str">
        <f aca="false">VLOOKUP($A3978,INSUMOS_AUX!$A$3:$H$813,3,0)</f>
        <v>M.O.</v>
      </c>
      <c r="D3978" s="156" t="s">
        <v>1444</v>
      </c>
      <c r="E3978" s="154" t="n">
        <v>0.170613448</v>
      </c>
      <c r="F3978" s="149" t="n">
        <f aca="false">IF(C3978="MAT.",VLOOKUP(A3978,INSUMOS_AUX!$A$3:$H$813,6,0),0)</f>
        <v>0</v>
      </c>
      <c r="G3978" s="149" t="n">
        <f aca="false">IF(C3978="M.O.",VLOOKUP(A3978,INSUMOS_AUX!A:F,6,0),0)</f>
        <v>20.22</v>
      </c>
    </row>
    <row r="3979" customFormat="false" ht="31.5" hidden="false" customHeight="false" outlineLevel="0" collapsed="false">
      <c r="A3979" s="150" t="n">
        <v>89821</v>
      </c>
      <c r="B3979" s="151" t="s">
        <v>2163</v>
      </c>
      <c r="C3979" s="152" t="s">
        <v>59</v>
      </c>
      <c r="D3979" s="152" t="s">
        <v>31</v>
      </c>
      <c r="E3979" s="150"/>
      <c r="F3979" s="153" t="n">
        <f aca="false">(SUMPRODUCT($E3980:$E3991,F3980:F3991))*1</f>
        <v>10.515267</v>
      </c>
      <c r="G3979" s="153" t="n">
        <f aca="false">(SUMPRODUCT($E3980:$E3991,G3980:G3991))*1</f>
        <v>4.93506931392</v>
      </c>
    </row>
    <row r="3980" customFormat="false" ht="21" hidden="false" customHeight="false" outlineLevel="0" collapsed="false">
      <c r="A3980" s="154" t="n">
        <v>37370</v>
      </c>
      <c r="B3980" s="155" t="s">
        <v>1443</v>
      </c>
      <c r="C3980" s="148" t="str">
        <f aca="false">VLOOKUP($A3980,INSUMOS_AUX!$A$3:$H$813,3,0)</f>
        <v>MAT.</v>
      </c>
      <c r="D3980" s="156" t="s">
        <v>1444</v>
      </c>
      <c r="E3980" s="154" t="n">
        <v>0.2896</v>
      </c>
      <c r="F3980" s="149" t="n">
        <f aca="false">IF(C3980="MAT.",VLOOKUP(A3980,INSUMOS_AUX!$A$3:$H$813,6,0),0)</f>
        <v>3.32</v>
      </c>
      <c r="G3980" s="149" t="n">
        <f aca="false">IF(C3980="M.O.",VLOOKUP(A3980,INSUMOS_AUX!A:F,6,0),0)</f>
        <v>0</v>
      </c>
    </row>
    <row r="3981" customFormat="false" ht="21" hidden="false" customHeight="false" outlineLevel="0" collapsed="false">
      <c r="A3981" s="154" t="n">
        <v>43485</v>
      </c>
      <c r="B3981" s="155" t="s">
        <v>1481</v>
      </c>
      <c r="C3981" s="148" t="str">
        <f aca="false">VLOOKUP($A3981,INSUMOS_AUX!$A$3:$H$813,3,0)</f>
        <v>MAT.</v>
      </c>
      <c r="D3981" s="156" t="s">
        <v>1444</v>
      </c>
      <c r="E3981" s="154" t="n">
        <v>0.2896</v>
      </c>
      <c r="F3981" s="149" t="n">
        <f aca="false">IF(C3981="MAT.",VLOOKUP(A3981,INSUMOS_AUX!$A$3:$H$813,6,0),0)</f>
        <v>1.13</v>
      </c>
      <c r="G3981" s="149" t="n">
        <f aca="false">IF(C3981="M.O.",VLOOKUP(A3981,INSUMOS_AUX!A:F,6,0),0)</f>
        <v>0</v>
      </c>
    </row>
    <row r="3982" customFormat="false" ht="21" hidden="false" customHeight="false" outlineLevel="0" collapsed="false">
      <c r="A3982" s="154" t="n">
        <v>37372</v>
      </c>
      <c r="B3982" s="155" t="s">
        <v>1446</v>
      </c>
      <c r="C3982" s="148" t="str">
        <f aca="false">VLOOKUP($A3982,INSUMOS_AUX!$A$3:$H$813,3,0)</f>
        <v>MAT.</v>
      </c>
      <c r="D3982" s="156" t="s">
        <v>1444</v>
      </c>
      <c r="E3982" s="154" t="n">
        <v>0.2896</v>
      </c>
      <c r="F3982" s="149" t="n">
        <f aca="false">IF(C3982="MAT.",VLOOKUP(A3982,INSUMOS_AUX!$A$3:$H$813,6,0),0)</f>
        <v>1.43</v>
      </c>
      <c r="G3982" s="149" t="n">
        <f aca="false">IF(C3982="M.O.",VLOOKUP(A3982,INSUMOS_AUX!A:F,6,0),0)</f>
        <v>0</v>
      </c>
    </row>
    <row r="3983" customFormat="false" ht="21" hidden="false" customHeight="false" outlineLevel="0" collapsed="false">
      <c r="A3983" s="154" t="n">
        <v>43461</v>
      </c>
      <c r="B3983" s="155" t="s">
        <v>1482</v>
      </c>
      <c r="C3983" s="148" t="str">
        <f aca="false">VLOOKUP($A3983,INSUMOS_AUX!$A$3:$H$813,3,0)</f>
        <v>MAT.</v>
      </c>
      <c r="D3983" s="156" t="s">
        <v>1444</v>
      </c>
      <c r="E3983" s="154" t="n">
        <v>0.2896</v>
      </c>
      <c r="F3983" s="149" t="n">
        <f aca="false">IF(C3983="MAT.",VLOOKUP(A3983,INSUMOS_AUX!$A$3:$H$813,6,0),0)</f>
        <v>0.31</v>
      </c>
      <c r="G3983" s="149" t="n">
        <f aca="false">IF(C3983="M.O.",VLOOKUP(A3983,INSUMOS_AUX!A:F,6,0),0)</f>
        <v>0</v>
      </c>
    </row>
    <row r="3984" customFormat="false" ht="21" hidden="false" customHeight="false" outlineLevel="0" collapsed="false">
      <c r="A3984" s="154" t="n">
        <v>37373</v>
      </c>
      <c r="B3984" s="155" t="s">
        <v>1448</v>
      </c>
      <c r="C3984" s="148" t="str">
        <f aca="false">VLOOKUP($A3984,INSUMOS_AUX!$A$3:$H$813,3,0)</f>
        <v>MAT.</v>
      </c>
      <c r="D3984" s="156" t="s">
        <v>1444</v>
      </c>
      <c r="E3984" s="154" t="n">
        <v>0.2896</v>
      </c>
      <c r="F3984" s="149" t="n">
        <f aca="false">IF(C3984="MAT.",VLOOKUP(A3984,INSUMOS_AUX!$A$3:$H$813,6,0),0)</f>
        <v>0.08</v>
      </c>
      <c r="G3984" s="149" t="n">
        <f aca="false">IF(C3984="M.O.",VLOOKUP(A3984,INSUMOS_AUX!A:F,6,0),0)</f>
        <v>0</v>
      </c>
    </row>
    <row r="3985" customFormat="false" ht="21" hidden="false" customHeight="false" outlineLevel="0" collapsed="false">
      <c r="A3985" s="154" t="n">
        <v>37371</v>
      </c>
      <c r="B3985" s="155" t="s">
        <v>1449</v>
      </c>
      <c r="C3985" s="148" t="str">
        <f aca="false">VLOOKUP($A3985,INSUMOS_AUX!$A$3:$H$813,3,0)</f>
        <v>MAT.</v>
      </c>
      <c r="D3985" s="156" t="s">
        <v>1444</v>
      </c>
      <c r="E3985" s="154" t="n">
        <v>0.2896</v>
      </c>
      <c r="F3985" s="149" t="n">
        <f aca="false">IF(C3985="MAT.",VLOOKUP(A3985,INSUMOS_AUX!$A$3:$H$813,6,0),0)</f>
        <v>0.59</v>
      </c>
      <c r="G3985" s="149" t="n">
        <f aca="false">IF(C3985="M.O.",VLOOKUP(A3985,INSUMOS_AUX!A:F,6,0),0)</f>
        <v>0</v>
      </c>
    </row>
    <row r="3986" customFormat="false" ht="15" hidden="false" customHeight="false" outlineLevel="0" collapsed="false">
      <c r="A3986" s="154" t="n">
        <v>122</v>
      </c>
      <c r="B3986" s="155" t="s">
        <v>2097</v>
      </c>
      <c r="C3986" s="148" t="str">
        <f aca="false">VLOOKUP($A3986,INSUMOS_AUX!$A$3:$H$813,3,0)</f>
        <v>MAT.</v>
      </c>
      <c r="D3986" s="156" t="s">
        <v>31</v>
      </c>
      <c r="E3986" s="154" t="n">
        <v>0.0245</v>
      </c>
      <c r="F3986" s="149" t="n">
        <f aca="false">IF(C3986="MAT.",VLOOKUP(A3986,INSUMOS_AUX!$A$3:$H$813,6,0),0)</f>
        <v>63.09</v>
      </c>
      <c r="G3986" s="149" t="n">
        <f aca="false">IF(C3986="M.O.",VLOOKUP(A3986,INSUMOS_AUX!A:F,6,0),0)</f>
        <v>0</v>
      </c>
    </row>
    <row r="3987" customFormat="false" ht="15" hidden="false" customHeight="false" outlineLevel="0" collapsed="false">
      <c r="A3987" s="154" t="n">
        <v>38383</v>
      </c>
      <c r="B3987" s="155" t="s">
        <v>2093</v>
      </c>
      <c r="C3987" s="148" t="str">
        <f aca="false">VLOOKUP($A3987,INSUMOS_AUX!$A$3:$H$813,3,0)</f>
        <v>MAT.</v>
      </c>
      <c r="D3987" s="156" t="s">
        <v>31</v>
      </c>
      <c r="E3987" s="154" t="n">
        <v>0.0054</v>
      </c>
      <c r="F3987" s="149" t="n">
        <f aca="false">IF(C3987="MAT.",VLOOKUP(A3987,INSUMOS_AUX!$A$3:$H$813,6,0),0)</f>
        <v>2.39</v>
      </c>
      <c r="G3987" s="149" t="n">
        <f aca="false">IF(C3987="M.O.",VLOOKUP(A3987,INSUMOS_AUX!A:F,6,0),0)</f>
        <v>0</v>
      </c>
    </row>
    <row r="3988" customFormat="false" ht="21" hidden="false" customHeight="false" outlineLevel="0" collapsed="false">
      <c r="A3988" s="154" t="n">
        <v>3899</v>
      </c>
      <c r="B3988" s="155" t="s">
        <v>2164</v>
      </c>
      <c r="C3988" s="148" t="str">
        <f aca="false">VLOOKUP($A3988,INSUMOS_AUX!$A$3:$H$813,3,0)</f>
        <v>MAT.</v>
      </c>
      <c r="D3988" s="156" t="s">
        <v>31</v>
      </c>
      <c r="E3988" s="154" t="n">
        <v>1</v>
      </c>
      <c r="F3988" s="149" t="n">
        <f aca="false">IF(C3988="MAT.",VLOOKUP(A3988,INSUMOS_AUX!$A$3:$H$813,6,0),0)</f>
        <v>6.97</v>
      </c>
      <c r="G3988" s="149" t="n">
        <f aca="false">IF(C3988="M.O.",VLOOKUP(A3988,INSUMOS_AUX!A:F,6,0),0)</f>
        <v>0</v>
      </c>
    </row>
    <row r="3989" customFormat="false" ht="21" hidden="false" customHeight="false" outlineLevel="0" collapsed="false">
      <c r="A3989" s="154" t="n">
        <v>20083</v>
      </c>
      <c r="B3989" s="155" t="s">
        <v>2095</v>
      </c>
      <c r="C3989" s="148" t="s">
        <v>59</v>
      </c>
      <c r="D3989" s="156" t="s">
        <v>31</v>
      </c>
      <c r="E3989" s="154" t="n">
        <v>0.04</v>
      </c>
      <c r="F3989" s="149" t="n">
        <f aca="false">IF(C3989="MAT.",VLOOKUP(A3989,INSUMOS_AUX!$A$3:$H$813,6,0),0)</f>
        <v>0</v>
      </c>
      <c r="G3989" s="149" t="n">
        <f aca="false">IF(C3989="M.O.",VLOOKUP(A3989,INSUMOS_AUX!A:F,6,0),0)</f>
        <v>0</v>
      </c>
    </row>
    <row r="3990" customFormat="false" ht="15" hidden="false" customHeight="false" outlineLevel="0" collapsed="false">
      <c r="A3990" s="154" t="n">
        <v>246</v>
      </c>
      <c r="B3990" s="155" t="s">
        <v>1752</v>
      </c>
      <c r="C3990" s="148" t="str">
        <f aca="false">VLOOKUP($A3990,INSUMOS_AUX!$A$3:$H$813,3,0)</f>
        <v>M.O.</v>
      </c>
      <c r="D3990" s="156" t="s">
        <v>1444</v>
      </c>
      <c r="E3990" s="154" t="n">
        <v>0.147403504</v>
      </c>
      <c r="F3990" s="149" t="n">
        <f aca="false">IF(C3990="MAT.",VLOOKUP(A3990,INSUMOS_AUX!$A$3:$H$813,6,0),0)</f>
        <v>0</v>
      </c>
      <c r="G3990" s="149" t="n">
        <f aca="false">IF(C3990="M.O.",VLOOKUP(A3990,INSUMOS_AUX!A:F,6,0),0)</f>
        <v>13.26</v>
      </c>
    </row>
    <row r="3991" customFormat="false" ht="15" hidden="false" customHeight="false" outlineLevel="0" collapsed="false">
      <c r="A3991" s="154" t="n">
        <v>2696</v>
      </c>
      <c r="B3991" s="155" t="s">
        <v>1483</v>
      </c>
      <c r="C3991" s="148" t="str">
        <f aca="false">VLOOKUP($A3991,INSUMOS_AUX!$A$3:$H$813,3,0)</f>
        <v>M.O.</v>
      </c>
      <c r="D3991" s="156" t="s">
        <v>1444</v>
      </c>
      <c r="E3991" s="154" t="n">
        <v>0.147403504</v>
      </c>
      <c r="F3991" s="149" t="n">
        <f aca="false">IF(C3991="MAT.",VLOOKUP(A3991,INSUMOS_AUX!$A$3:$H$813,6,0),0)</f>
        <v>0</v>
      </c>
      <c r="G3991" s="149" t="n">
        <f aca="false">IF(C3991="M.O.",VLOOKUP(A3991,INSUMOS_AUX!A:F,6,0),0)</f>
        <v>20.22</v>
      </c>
    </row>
    <row r="3992" customFormat="false" ht="31.5" hidden="false" customHeight="false" outlineLevel="0" collapsed="false">
      <c r="A3992" s="150" t="n">
        <v>89813</v>
      </c>
      <c r="B3992" s="151" t="s">
        <v>2165</v>
      </c>
      <c r="C3992" s="152" t="s">
        <v>59</v>
      </c>
      <c r="D3992" s="152" t="s">
        <v>31</v>
      </c>
      <c r="E3992" s="150"/>
      <c r="F3992" s="153" t="n">
        <f aca="false">(SUMPRODUCT($E3993:$E4004,F3993:F4004))*1</f>
        <v>1.578773</v>
      </c>
      <c r="G3992" s="153" t="n">
        <f aca="false">(SUMPRODUCT($E3993:$E4004,G3993:G4004))*1</f>
        <v>0.77706892512</v>
      </c>
    </row>
    <row r="3993" customFormat="false" ht="21" hidden="false" customHeight="false" outlineLevel="0" collapsed="false">
      <c r="A3993" s="154" t="n">
        <v>37370</v>
      </c>
      <c r="B3993" s="155" t="s">
        <v>1443</v>
      </c>
      <c r="C3993" s="148" t="str">
        <f aca="false">VLOOKUP($A3993,INSUMOS_AUX!$A$3:$H$813,3,0)</f>
        <v>MAT.</v>
      </c>
      <c r="D3993" s="156" t="s">
        <v>1444</v>
      </c>
      <c r="E3993" s="154" t="n">
        <v>0.0456</v>
      </c>
      <c r="F3993" s="149" t="n">
        <f aca="false">IF(C3993="MAT.",VLOOKUP(A3993,INSUMOS_AUX!$A$3:$H$813,6,0),0)</f>
        <v>3.32</v>
      </c>
      <c r="G3993" s="149" t="n">
        <f aca="false">IF(C3993="M.O.",VLOOKUP(A3993,INSUMOS_AUX!A:F,6,0),0)</f>
        <v>0</v>
      </c>
    </row>
    <row r="3994" customFormat="false" ht="21" hidden="false" customHeight="false" outlineLevel="0" collapsed="false">
      <c r="A3994" s="154" t="n">
        <v>43485</v>
      </c>
      <c r="B3994" s="155" t="s">
        <v>1481</v>
      </c>
      <c r="C3994" s="148" t="str">
        <f aca="false">VLOOKUP($A3994,INSUMOS_AUX!$A$3:$H$813,3,0)</f>
        <v>MAT.</v>
      </c>
      <c r="D3994" s="156" t="s">
        <v>1444</v>
      </c>
      <c r="E3994" s="154" t="n">
        <v>0.0456</v>
      </c>
      <c r="F3994" s="149" t="n">
        <f aca="false">IF(C3994="MAT.",VLOOKUP(A3994,INSUMOS_AUX!$A$3:$H$813,6,0),0)</f>
        <v>1.13</v>
      </c>
      <c r="G3994" s="149" t="n">
        <f aca="false">IF(C3994="M.O.",VLOOKUP(A3994,INSUMOS_AUX!A:F,6,0),0)</f>
        <v>0</v>
      </c>
    </row>
    <row r="3995" customFormat="false" ht="21" hidden="false" customHeight="false" outlineLevel="0" collapsed="false">
      <c r="A3995" s="154" t="n">
        <v>37372</v>
      </c>
      <c r="B3995" s="155" t="s">
        <v>1446</v>
      </c>
      <c r="C3995" s="148" t="str">
        <f aca="false">VLOOKUP($A3995,INSUMOS_AUX!$A$3:$H$813,3,0)</f>
        <v>MAT.</v>
      </c>
      <c r="D3995" s="156" t="s">
        <v>1444</v>
      </c>
      <c r="E3995" s="154" t="n">
        <v>0.0456</v>
      </c>
      <c r="F3995" s="149" t="n">
        <f aca="false">IF(C3995="MAT.",VLOOKUP(A3995,INSUMOS_AUX!$A$3:$H$813,6,0),0)</f>
        <v>1.43</v>
      </c>
      <c r="G3995" s="149" t="n">
        <f aca="false">IF(C3995="M.O.",VLOOKUP(A3995,INSUMOS_AUX!A:F,6,0),0)</f>
        <v>0</v>
      </c>
    </row>
    <row r="3996" customFormat="false" ht="21" hidden="false" customHeight="false" outlineLevel="0" collapsed="false">
      <c r="A3996" s="154" t="n">
        <v>43461</v>
      </c>
      <c r="B3996" s="155" t="s">
        <v>1482</v>
      </c>
      <c r="C3996" s="148" t="str">
        <f aca="false">VLOOKUP($A3996,INSUMOS_AUX!$A$3:$H$813,3,0)</f>
        <v>MAT.</v>
      </c>
      <c r="D3996" s="156" t="s">
        <v>1444</v>
      </c>
      <c r="E3996" s="154" t="n">
        <v>0.0456</v>
      </c>
      <c r="F3996" s="149" t="n">
        <f aca="false">IF(C3996="MAT.",VLOOKUP(A3996,INSUMOS_AUX!$A$3:$H$813,6,0),0)</f>
        <v>0.31</v>
      </c>
      <c r="G3996" s="149" t="n">
        <f aca="false">IF(C3996="M.O.",VLOOKUP(A3996,INSUMOS_AUX!A:F,6,0),0)</f>
        <v>0</v>
      </c>
    </row>
    <row r="3997" customFormat="false" ht="21" hidden="false" customHeight="false" outlineLevel="0" collapsed="false">
      <c r="A3997" s="154" t="n">
        <v>37373</v>
      </c>
      <c r="B3997" s="155" t="s">
        <v>1448</v>
      </c>
      <c r="C3997" s="148" t="str">
        <f aca="false">VLOOKUP($A3997,INSUMOS_AUX!$A$3:$H$813,3,0)</f>
        <v>MAT.</v>
      </c>
      <c r="D3997" s="156" t="s">
        <v>1444</v>
      </c>
      <c r="E3997" s="154" t="n">
        <v>0.0456</v>
      </c>
      <c r="F3997" s="149" t="n">
        <f aca="false">IF(C3997="MAT.",VLOOKUP(A3997,INSUMOS_AUX!$A$3:$H$813,6,0),0)</f>
        <v>0.08</v>
      </c>
      <c r="G3997" s="149" t="n">
        <f aca="false">IF(C3997="M.O.",VLOOKUP(A3997,INSUMOS_AUX!A:F,6,0),0)</f>
        <v>0</v>
      </c>
    </row>
    <row r="3998" customFormat="false" ht="21" hidden="false" customHeight="false" outlineLevel="0" collapsed="false">
      <c r="A3998" s="154" t="n">
        <v>37371</v>
      </c>
      <c r="B3998" s="155" t="s">
        <v>1449</v>
      </c>
      <c r="C3998" s="148" t="str">
        <f aca="false">VLOOKUP($A3998,INSUMOS_AUX!$A$3:$H$813,3,0)</f>
        <v>MAT.</v>
      </c>
      <c r="D3998" s="156" t="s">
        <v>1444</v>
      </c>
      <c r="E3998" s="154" t="n">
        <v>0.0456</v>
      </c>
      <c r="F3998" s="149" t="n">
        <f aca="false">IF(C3998="MAT.",VLOOKUP(A3998,INSUMOS_AUX!$A$3:$H$813,6,0),0)</f>
        <v>0.59</v>
      </c>
      <c r="G3998" s="149" t="n">
        <f aca="false">IF(C3998="M.O.",VLOOKUP(A3998,INSUMOS_AUX!A:F,6,0),0)</f>
        <v>0</v>
      </c>
    </row>
    <row r="3999" customFormat="false" ht="15" hidden="false" customHeight="false" outlineLevel="0" collapsed="false">
      <c r="A3999" s="154" t="n">
        <v>122</v>
      </c>
      <c r="B3999" s="155" t="s">
        <v>2097</v>
      </c>
      <c r="C3999" s="148" t="str">
        <f aca="false">VLOOKUP($A3999,INSUMOS_AUX!$A$3:$H$813,3,0)</f>
        <v>MAT.</v>
      </c>
      <c r="D3999" s="156" t="s">
        <v>31</v>
      </c>
      <c r="E3999" s="154" t="n">
        <v>0.0073</v>
      </c>
      <c r="F3999" s="149" t="n">
        <f aca="false">IF(C3999="MAT.",VLOOKUP(A3999,INSUMOS_AUX!$A$3:$H$813,6,0),0)</f>
        <v>63.09</v>
      </c>
      <c r="G3999" s="149" t="n">
        <f aca="false">IF(C3999="M.O.",VLOOKUP(A3999,INSUMOS_AUX!A:F,6,0),0)</f>
        <v>0</v>
      </c>
    </row>
    <row r="4000" customFormat="false" ht="15" hidden="false" customHeight="false" outlineLevel="0" collapsed="false">
      <c r="A4000" s="154" t="n">
        <v>38383</v>
      </c>
      <c r="B4000" s="155" t="s">
        <v>2093</v>
      </c>
      <c r="C4000" s="148" t="str">
        <f aca="false">VLOOKUP($A4000,INSUMOS_AUX!$A$3:$H$813,3,0)</f>
        <v>MAT.</v>
      </c>
      <c r="D4000" s="156" t="s">
        <v>31</v>
      </c>
      <c r="E4000" s="154" t="n">
        <v>0.008</v>
      </c>
      <c r="F4000" s="149" t="n">
        <f aca="false">IF(C4000="MAT.",VLOOKUP(A4000,INSUMOS_AUX!$A$3:$H$813,6,0),0)</f>
        <v>2.39</v>
      </c>
      <c r="G4000" s="149" t="n">
        <f aca="false">IF(C4000="M.O.",VLOOKUP(A4000,INSUMOS_AUX!A:F,6,0),0)</f>
        <v>0</v>
      </c>
    </row>
    <row r="4001" customFormat="false" ht="21" hidden="false" customHeight="false" outlineLevel="0" collapsed="false">
      <c r="A4001" s="154" t="n">
        <v>3875</v>
      </c>
      <c r="B4001" s="155" t="s">
        <v>2166</v>
      </c>
      <c r="C4001" s="148" t="s">
        <v>59</v>
      </c>
      <c r="D4001" s="156" t="s">
        <v>31</v>
      </c>
      <c r="E4001" s="154" t="n">
        <v>1</v>
      </c>
      <c r="F4001" s="149" t="n">
        <f aca="false">IF(C4001="MAT.",VLOOKUP(A4001,INSUMOS_AUX!$A$3:$H$813,6,0),0)</f>
        <v>0</v>
      </c>
      <c r="G4001" s="149" t="n">
        <f aca="false">IF(C4001="M.O.",VLOOKUP(A4001,INSUMOS_AUX!A:F,6,0),0)</f>
        <v>0</v>
      </c>
    </row>
    <row r="4002" customFormat="false" ht="21" hidden="false" customHeight="false" outlineLevel="0" collapsed="false">
      <c r="A4002" s="154" t="n">
        <v>20083</v>
      </c>
      <c r="B4002" s="155" t="s">
        <v>2095</v>
      </c>
      <c r="C4002" s="148" t="str">
        <f aca="false">VLOOKUP($A4002,INSUMOS_AUX!$A$3:$H$813,3,0)</f>
        <v>MAT.</v>
      </c>
      <c r="D4002" s="156" t="s">
        <v>31</v>
      </c>
      <c r="E4002" s="154" t="n">
        <v>0.011</v>
      </c>
      <c r="F4002" s="149" t="n">
        <f aca="false">IF(C4002="MAT.",VLOOKUP(A4002,INSUMOS_AUX!$A$3:$H$813,6,0),0)</f>
        <v>71.48</v>
      </c>
      <c r="G4002" s="149" t="n">
        <f aca="false">IF(C4002="M.O.",VLOOKUP(A4002,INSUMOS_AUX!A:F,6,0),0)</f>
        <v>0</v>
      </c>
    </row>
    <row r="4003" customFormat="false" ht="15" hidden="false" customHeight="false" outlineLevel="0" collapsed="false">
      <c r="A4003" s="154" t="n">
        <v>246</v>
      </c>
      <c r="B4003" s="155" t="s">
        <v>1752</v>
      </c>
      <c r="C4003" s="148" t="str">
        <f aca="false">VLOOKUP($A4003,INSUMOS_AUX!$A$3:$H$813,3,0)</f>
        <v>M.O.</v>
      </c>
      <c r="D4003" s="156" t="s">
        <v>1444</v>
      </c>
      <c r="E4003" s="154" t="n">
        <v>0.023209944</v>
      </c>
      <c r="F4003" s="149" t="n">
        <f aca="false">IF(C4003="MAT.",VLOOKUP(A4003,INSUMOS_AUX!$A$3:$H$813,6,0),0)</f>
        <v>0</v>
      </c>
      <c r="G4003" s="149" t="n">
        <f aca="false">IF(C4003="M.O.",VLOOKUP(A4003,INSUMOS_AUX!A:F,6,0),0)</f>
        <v>13.26</v>
      </c>
    </row>
    <row r="4004" customFormat="false" ht="15" hidden="false" customHeight="false" outlineLevel="0" collapsed="false">
      <c r="A4004" s="154" t="n">
        <v>2696</v>
      </c>
      <c r="B4004" s="155" t="s">
        <v>1483</v>
      </c>
      <c r="C4004" s="148" t="str">
        <f aca="false">VLOOKUP($A4004,INSUMOS_AUX!$A$3:$H$813,3,0)</f>
        <v>M.O.</v>
      </c>
      <c r="D4004" s="156" t="s">
        <v>1444</v>
      </c>
      <c r="E4004" s="154" t="n">
        <v>0.023209944</v>
      </c>
      <c r="F4004" s="149" t="n">
        <f aca="false">IF(C4004="MAT.",VLOOKUP(A4004,INSUMOS_AUX!$A$3:$H$813,6,0),0)</f>
        <v>0</v>
      </c>
      <c r="G4004" s="149" t="n">
        <f aca="false">IF(C4004="M.O.",VLOOKUP(A4004,INSUMOS_AUX!A:F,6,0),0)</f>
        <v>20.22</v>
      </c>
    </row>
    <row r="4005" customFormat="false" ht="31.5" hidden="false" customHeight="false" outlineLevel="0" collapsed="false">
      <c r="A4005" s="150" t="n">
        <v>89817</v>
      </c>
      <c r="B4005" s="151" t="s">
        <v>2167</v>
      </c>
      <c r="C4005" s="152" t="s">
        <v>59</v>
      </c>
      <c r="D4005" s="152" t="s">
        <v>31</v>
      </c>
      <c r="E4005" s="150"/>
      <c r="F4005" s="153" t="n">
        <f aca="false">(SUMPRODUCT($E4006:$E4017,F4006:F4017))*1</f>
        <v>11.191819</v>
      </c>
      <c r="G4005" s="153" t="n">
        <f aca="false">(SUMPRODUCT($E4006:$E4017,G4006:G4017))*1</f>
        <v>2.85606911952</v>
      </c>
    </row>
    <row r="4006" customFormat="false" ht="21" hidden="false" customHeight="false" outlineLevel="0" collapsed="false">
      <c r="A4006" s="154" t="n">
        <v>37370</v>
      </c>
      <c r="B4006" s="155" t="s">
        <v>1443</v>
      </c>
      <c r="C4006" s="148" t="str">
        <f aca="false">VLOOKUP($A4006,INSUMOS_AUX!$A$3:$H$813,3,0)</f>
        <v>MAT.</v>
      </c>
      <c r="D4006" s="156" t="s">
        <v>1444</v>
      </c>
      <c r="E4006" s="154" t="n">
        <v>0.1676</v>
      </c>
      <c r="F4006" s="149" t="n">
        <f aca="false">IF(C4006="MAT.",VLOOKUP(A4006,INSUMOS_AUX!$A$3:$H$813,6,0),0)</f>
        <v>3.32</v>
      </c>
      <c r="G4006" s="149" t="n">
        <f aca="false">IF(C4006="M.O.",VLOOKUP(A4006,INSUMOS_AUX!A:F,6,0),0)</f>
        <v>0</v>
      </c>
    </row>
    <row r="4007" customFormat="false" ht="21" hidden="false" customHeight="false" outlineLevel="0" collapsed="false">
      <c r="A4007" s="154" t="n">
        <v>43485</v>
      </c>
      <c r="B4007" s="155" t="s">
        <v>1481</v>
      </c>
      <c r="C4007" s="148" t="str">
        <f aca="false">VLOOKUP($A4007,INSUMOS_AUX!$A$3:$H$813,3,0)</f>
        <v>MAT.</v>
      </c>
      <c r="D4007" s="156" t="s">
        <v>1444</v>
      </c>
      <c r="E4007" s="154" t="n">
        <v>0.1676</v>
      </c>
      <c r="F4007" s="149" t="n">
        <f aca="false">IF(C4007="MAT.",VLOOKUP(A4007,INSUMOS_AUX!$A$3:$H$813,6,0),0)</f>
        <v>1.13</v>
      </c>
      <c r="G4007" s="149" t="n">
        <f aca="false">IF(C4007="M.O.",VLOOKUP(A4007,INSUMOS_AUX!A:F,6,0),0)</f>
        <v>0</v>
      </c>
    </row>
    <row r="4008" customFormat="false" ht="21" hidden="false" customHeight="false" outlineLevel="0" collapsed="false">
      <c r="A4008" s="154" t="n">
        <v>37372</v>
      </c>
      <c r="B4008" s="155" t="s">
        <v>1446</v>
      </c>
      <c r="C4008" s="148" t="str">
        <f aca="false">VLOOKUP($A4008,INSUMOS_AUX!$A$3:$H$813,3,0)</f>
        <v>MAT.</v>
      </c>
      <c r="D4008" s="156" t="s">
        <v>1444</v>
      </c>
      <c r="E4008" s="154" t="n">
        <v>0.1676</v>
      </c>
      <c r="F4008" s="149" t="n">
        <f aca="false">IF(C4008="MAT.",VLOOKUP(A4008,INSUMOS_AUX!$A$3:$H$813,6,0),0)</f>
        <v>1.43</v>
      </c>
      <c r="G4008" s="149" t="n">
        <f aca="false">IF(C4008="M.O.",VLOOKUP(A4008,INSUMOS_AUX!A:F,6,0),0)</f>
        <v>0</v>
      </c>
    </row>
    <row r="4009" customFormat="false" ht="21" hidden="false" customHeight="false" outlineLevel="0" collapsed="false">
      <c r="A4009" s="154" t="n">
        <v>43461</v>
      </c>
      <c r="B4009" s="155" t="s">
        <v>1482</v>
      </c>
      <c r="C4009" s="148" t="str">
        <f aca="false">VLOOKUP($A4009,INSUMOS_AUX!$A$3:$H$813,3,0)</f>
        <v>MAT.</v>
      </c>
      <c r="D4009" s="156" t="s">
        <v>1444</v>
      </c>
      <c r="E4009" s="154" t="n">
        <v>0.1676</v>
      </c>
      <c r="F4009" s="149" t="n">
        <f aca="false">IF(C4009="MAT.",VLOOKUP(A4009,INSUMOS_AUX!$A$3:$H$813,6,0),0)</f>
        <v>0.31</v>
      </c>
      <c r="G4009" s="149" t="n">
        <f aca="false">IF(C4009="M.O.",VLOOKUP(A4009,INSUMOS_AUX!A:F,6,0),0)</f>
        <v>0</v>
      </c>
    </row>
    <row r="4010" customFormat="false" ht="21" hidden="false" customHeight="false" outlineLevel="0" collapsed="false">
      <c r="A4010" s="154" t="n">
        <v>37373</v>
      </c>
      <c r="B4010" s="155" t="s">
        <v>1448</v>
      </c>
      <c r="C4010" s="148" t="str">
        <f aca="false">VLOOKUP($A4010,INSUMOS_AUX!$A$3:$H$813,3,0)</f>
        <v>MAT.</v>
      </c>
      <c r="D4010" s="156" t="s">
        <v>1444</v>
      </c>
      <c r="E4010" s="154" t="n">
        <v>0.1676</v>
      </c>
      <c r="F4010" s="149" t="n">
        <f aca="false">IF(C4010="MAT.",VLOOKUP(A4010,INSUMOS_AUX!$A$3:$H$813,6,0),0)</f>
        <v>0.08</v>
      </c>
      <c r="G4010" s="149" t="n">
        <f aca="false">IF(C4010="M.O.",VLOOKUP(A4010,INSUMOS_AUX!A:F,6,0),0)</f>
        <v>0</v>
      </c>
    </row>
    <row r="4011" customFormat="false" ht="21" hidden="false" customHeight="false" outlineLevel="0" collapsed="false">
      <c r="A4011" s="154" t="n">
        <v>37371</v>
      </c>
      <c r="B4011" s="155" t="s">
        <v>1449</v>
      </c>
      <c r="C4011" s="148" t="str">
        <f aca="false">VLOOKUP($A4011,INSUMOS_AUX!$A$3:$H$813,3,0)</f>
        <v>MAT.</v>
      </c>
      <c r="D4011" s="156" t="s">
        <v>1444</v>
      </c>
      <c r="E4011" s="154" t="n">
        <v>0.1676</v>
      </c>
      <c r="F4011" s="149" t="n">
        <f aca="false">IF(C4011="MAT.",VLOOKUP(A4011,INSUMOS_AUX!$A$3:$H$813,6,0),0)</f>
        <v>0.59</v>
      </c>
      <c r="G4011" s="149" t="n">
        <f aca="false">IF(C4011="M.O.",VLOOKUP(A4011,INSUMOS_AUX!A:F,6,0),0)</f>
        <v>0</v>
      </c>
    </row>
    <row r="4012" customFormat="false" ht="15" hidden="false" customHeight="false" outlineLevel="0" collapsed="false">
      <c r="A4012" s="154" t="n">
        <v>122</v>
      </c>
      <c r="B4012" s="155" t="s">
        <v>2097</v>
      </c>
      <c r="C4012" s="148" t="str">
        <f aca="false">VLOOKUP($A4012,INSUMOS_AUX!$A$3:$H$813,3,0)</f>
        <v>MAT.</v>
      </c>
      <c r="D4012" s="156" t="s">
        <v>31</v>
      </c>
      <c r="E4012" s="154" t="n">
        <v>0.0167</v>
      </c>
      <c r="F4012" s="149" t="n">
        <f aca="false">IF(C4012="MAT.",VLOOKUP(A4012,INSUMOS_AUX!$A$3:$H$813,6,0),0)</f>
        <v>63.09</v>
      </c>
      <c r="G4012" s="149" t="n">
        <f aca="false">IF(C4012="M.O.",VLOOKUP(A4012,INSUMOS_AUX!A:F,6,0),0)</f>
        <v>0</v>
      </c>
    </row>
    <row r="4013" customFormat="false" ht="15" hidden="false" customHeight="false" outlineLevel="0" collapsed="false">
      <c r="A4013" s="154" t="n">
        <v>38383</v>
      </c>
      <c r="B4013" s="155" t="s">
        <v>2093</v>
      </c>
      <c r="C4013" s="148" t="s">
        <v>59</v>
      </c>
      <c r="D4013" s="156" t="s">
        <v>31</v>
      </c>
      <c r="E4013" s="154" t="n">
        <v>0.031</v>
      </c>
      <c r="F4013" s="149" t="n">
        <f aca="false">IF(C4013="MAT.",VLOOKUP(A4013,INSUMOS_AUX!$A$3:$H$813,6,0),0)</f>
        <v>0</v>
      </c>
      <c r="G4013" s="149" t="n">
        <f aca="false">IF(C4013="M.O.",VLOOKUP(A4013,INSUMOS_AUX!A:F,6,0),0)</f>
        <v>0</v>
      </c>
    </row>
    <row r="4014" customFormat="false" ht="21" hidden="false" customHeight="false" outlineLevel="0" collapsed="false">
      <c r="A4014" s="154" t="n">
        <v>3898</v>
      </c>
      <c r="B4014" s="155" t="s">
        <v>2168</v>
      </c>
      <c r="C4014" s="148" t="str">
        <f aca="false">VLOOKUP($A4014,INSUMOS_AUX!$A$3:$H$813,3,0)</f>
        <v>MAT.</v>
      </c>
      <c r="D4014" s="156" t="s">
        <v>31</v>
      </c>
      <c r="E4014" s="154" t="n">
        <v>1</v>
      </c>
      <c r="F4014" s="149" t="n">
        <f aca="false">IF(C4014="MAT.",VLOOKUP(A4014,INSUMOS_AUX!$A$3:$H$813,6,0),0)</f>
        <v>7.13</v>
      </c>
      <c r="G4014" s="149" t="n">
        <f aca="false">IF(C4014="M.O.",VLOOKUP(A4014,INSUMOS_AUX!A:F,6,0),0)</f>
        <v>0</v>
      </c>
    </row>
    <row r="4015" customFormat="false" ht="21" hidden="false" customHeight="false" outlineLevel="0" collapsed="false">
      <c r="A4015" s="154" t="n">
        <v>20083</v>
      </c>
      <c r="B4015" s="155" t="s">
        <v>2095</v>
      </c>
      <c r="C4015" s="148" t="str">
        <f aca="false">VLOOKUP($A4015,INSUMOS_AUX!$A$3:$H$813,3,0)</f>
        <v>MAT.</v>
      </c>
      <c r="D4015" s="156" t="s">
        <v>31</v>
      </c>
      <c r="E4015" s="154" t="n">
        <v>0.026</v>
      </c>
      <c r="F4015" s="149" t="n">
        <f aca="false">IF(C4015="MAT.",VLOOKUP(A4015,INSUMOS_AUX!$A$3:$H$813,6,0),0)</f>
        <v>71.48</v>
      </c>
      <c r="G4015" s="149" t="n">
        <f aca="false">IF(C4015="M.O.",VLOOKUP(A4015,INSUMOS_AUX!A:F,6,0),0)</f>
        <v>0</v>
      </c>
    </row>
    <row r="4016" customFormat="false" ht="15" hidden="false" customHeight="false" outlineLevel="0" collapsed="false">
      <c r="A4016" s="154" t="n">
        <v>246</v>
      </c>
      <c r="B4016" s="155" t="s">
        <v>1752</v>
      </c>
      <c r="C4016" s="148" t="str">
        <f aca="false">VLOOKUP($A4016,INSUMOS_AUX!$A$3:$H$813,3,0)</f>
        <v>M.O.</v>
      </c>
      <c r="D4016" s="156" t="s">
        <v>1444</v>
      </c>
      <c r="E4016" s="154" t="n">
        <v>0.085306724</v>
      </c>
      <c r="F4016" s="149" t="n">
        <f aca="false">IF(C4016="MAT.",VLOOKUP(A4016,INSUMOS_AUX!$A$3:$H$813,6,0),0)</f>
        <v>0</v>
      </c>
      <c r="G4016" s="149" t="n">
        <f aca="false">IF(C4016="M.O.",VLOOKUP(A4016,INSUMOS_AUX!A:F,6,0),0)</f>
        <v>13.26</v>
      </c>
    </row>
    <row r="4017" customFormat="false" ht="15" hidden="false" customHeight="false" outlineLevel="0" collapsed="false">
      <c r="A4017" s="154" t="n">
        <v>2696</v>
      </c>
      <c r="B4017" s="155" t="s">
        <v>1483</v>
      </c>
      <c r="C4017" s="148" t="str">
        <f aca="false">VLOOKUP($A4017,INSUMOS_AUX!$A$3:$H$813,3,0)</f>
        <v>M.O.</v>
      </c>
      <c r="D4017" s="156" t="s">
        <v>1444</v>
      </c>
      <c r="E4017" s="154" t="n">
        <v>0.085306724</v>
      </c>
      <c r="F4017" s="149" t="n">
        <f aca="false">IF(C4017="MAT.",VLOOKUP(A4017,INSUMOS_AUX!$A$3:$H$813,6,0),0)</f>
        <v>0</v>
      </c>
      <c r="G4017" s="149" t="n">
        <f aca="false">IF(C4017="M.O.",VLOOKUP(A4017,INSUMOS_AUX!A:F,6,0),0)</f>
        <v>20.22</v>
      </c>
    </row>
    <row r="4018" customFormat="false" ht="31.5" hidden="false" customHeight="false" outlineLevel="0" collapsed="false">
      <c r="A4018" s="150" t="s">
        <v>727</v>
      </c>
      <c r="B4018" s="151" t="s">
        <v>2169</v>
      </c>
      <c r="C4018" s="152" t="s">
        <v>59</v>
      </c>
      <c r="D4018" s="152" t="s">
        <v>31</v>
      </c>
      <c r="E4018" s="150"/>
      <c r="F4018" s="153" t="n">
        <f aca="false">(SUMPRODUCT($E4019:$E4030,F4019:F4030))*1</f>
        <v>14.723196</v>
      </c>
      <c r="G4018" s="153" t="n">
        <f aca="false">(SUMPRODUCT($E4019:$E4030,G4019:G4030))*1</f>
        <v>2.53229040072</v>
      </c>
    </row>
    <row r="4019" customFormat="false" ht="21" hidden="false" customHeight="false" outlineLevel="0" collapsed="false">
      <c r="A4019" s="154" t="n">
        <v>37370</v>
      </c>
      <c r="B4019" s="155" t="s">
        <v>1443</v>
      </c>
      <c r="C4019" s="148" t="str">
        <f aca="false">VLOOKUP($A4019,INSUMOS_AUX!$A$3:$H$813,3,0)</f>
        <v>MAT.</v>
      </c>
      <c r="D4019" s="156" t="s">
        <v>1444</v>
      </c>
      <c r="E4019" s="154" t="n">
        <v>0.1486</v>
      </c>
      <c r="F4019" s="149" t="n">
        <f aca="false">IF(C4019="MAT.",VLOOKUP(A4019,INSUMOS_AUX!$A$3:$H$813,6,0),0)</f>
        <v>3.32</v>
      </c>
      <c r="G4019" s="149" t="n">
        <f aca="false">IF(C4019="M.O.",VLOOKUP(A4019,INSUMOS_AUX!A:F,6,0),0)</f>
        <v>0</v>
      </c>
    </row>
    <row r="4020" customFormat="false" ht="21" hidden="false" customHeight="false" outlineLevel="0" collapsed="false">
      <c r="A4020" s="154" t="n">
        <v>43485</v>
      </c>
      <c r="B4020" s="155" t="s">
        <v>1481</v>
      </c>
      <c r="C4020" s="148" t="str">
        <f aca="false">VLOOKUP($A4020,INSUMOS_AUX!$A$3:$H$813,3,0)</f>
        <v>MAT.</v>
      </c>
      <c r="D4020" s="156" t="s">
        <v>1444</v>
      </c>
      <c r="E4020" s="154" t="n">
        <v>0.1486</v>
      </c>
      <c r="F4020" s="149" t="n">
        <f aca="false">IF(C4020="MAT.",VLOOKUP(A4020,INSUMOS_AUX!$A$3:$H$813,6,0),0)</f>
        <v>1.13</v>
      </c>
      <c r="G4020" s="149" t="n">
        <f aca="false">IF(C4020="M.O.",VLOOKUP(A4020,INSUMOS_AUX!A:F,6,0),0)</f>
        <v>0</v>
      </c>
    </row>
    <row r="4021" customFormat="false" ht="21" hidden="false" customHeight="false" outlineLevel="0" collapsed="false">
      <c r="A4021" s="154" t="n">
        <v>37372</v>
      </c>
      <c r="B4021" s="155" t="s">
        <v>1446</v>
      </c>
      <c r="C4021" s="148" t="str">
        <f aca="false">VLOOKUP($A4021,INSUMOS_AUX!$A$3:$H$813,3,0)</f>
        <v>MAT.</v>
      </c>
      <c r="D4021" s="156" t="s">
        <v>1444</v>
      </c>
      <c r="E4021" s="154" t="n">
        <v>0.1486</v>
      </c>
      <c r="F4021" s="149" t="n">
        <f aca="false">IF(C4021="MAT.",VLOOKUP(A4021,INSUMOS_AUX!$A$3:$H$813,6,0),0)</f>
        <v>1.43</v>
      </c>
      <c r="G4021" s="149" t="n">
        <f aca="false">IF(C4021="M.O.",VLOOKUP(A4021,INSUMOS_AUX!A:F,6,0),0)</f>
        <v>0</v>
      </c>
    </row>
    <row r="4022" customFormat="false" ht="21" hidden="false" customHeight="false" outlineLevel="0" collapsed="false">
      <c r="A4022" s="154" t="n">
        <v>43461</v>
      </c>
      <c r="B4022" s="155" t="s">
        <v>1482</v>
      </c>
      <c r="C4022" s="148" t="str">
        <f aca="false">VLOOKUP($A4022,INSUMOS_AUX!$A$3:$H$813,3,0)</f>
        <v>MAT.</v>
      </c>
      <c r="D4022" s="156" t="s">
        <v>1444</v>
      </c>
      <c r="E4022" s="154" t="n">
        <v>0.1486</v>
      </c>
      <c r="F4022" s="149" t="n">
        <f aca="false">IF(C4022="MAT.",VLOOKUP(A4022,INSUMOS_AUX!$A$3:$H$813,6,0),0)</f>
        <v>0.31</v>
      </c>
      <c r="G4022" s="149" t="n">
        <f aca="false">IF(C4022="M.O.",VLOOKUP(A4022,INSUMOS_AUX!A:F,6,0),0)</f>
        <v>0</v>
      </c>
    </row>
    <row r="4023" customFormat="false" ht="21" hidden="false" customHeight="false" outlineLevel="0" collapsed="false">
      <c r="A4023" s="154" t="n">
        <v>37373</v>
      </c>
      <c r="B4023" s="155" t="s">
        <v>1448</v>
      </c>
      <c r="C4023" s="148" t="str">
        <f aca="false">VLOOKUP($A4023,INSUMOS_AUX!$A$3:$H$813,3,0)</f>
        <v>MAT.</v>
      </c>
      <c r="D4023" s="156" t="s">
        <v>1444</v>
      </c>
      <c r="E4023" s="154" t="n">
        <v>0.1486</v>
      </c>
      <c r="F4023" s="149" t="n">
        <f aca="false">IF(C4023="MAT.",VLOOKUP(A4023,INSUMOS_AUX!$A$3:$H$813,6,0),0)</f>
        <v>0.08</v>
      </c>
      <c r="G4023" s="149" t="n">
        <f aca="false">IF(C4023="M.O.",VLOOKUP(A4023,INSUMOS_AUX!A:F,6,0),0)</f>
        <v>0</v>
      </c>
    </row>
    <row r="4024" customFormat="false" ht="21" hidden="false" customHeight="false" outlineLevel="0" collapsed="false">
      <c r="A4024" s="154" t="n">
        <v>37371</v>
      </c>
      <c r="B4024" s="155" t="s">
        <v>1449</v>
      </c>
      <c r="C4024" s="148" t="str">
        <f aca="false">VLOOKUP($A4024,INSUMOS_AUX!$A$3:$H$813,3,0)</f>
        <v>MAT.</v>
      </c>
      <c r="D4024" s="156" t="s">
        <v>1444</v>
      </c>
      <c r="E4024" s="154" t="n">
        <v>0.1486</v>
      </c>
      <c r="F4024" s="149" t="n">
        <f aca="false">IF(C4024="MAT.",VLOOKUP(A4024,INSUMOS_AUX!$A$3:$H$813,6,0),0)</f>
        <v>0.59</v>
      </c>
      <c r="G4024" s="149" t="n">
        <f aca="false">IF(C4024="M.O.",VLOOKUP(A4024,INSUMOS_AUX!A:F,6,0),0)</f>
        <v>0</v>
      </c>
    </row>
    <row r="4025" customFormat="false" ht="15" hidden="false" customHeight="false" outlineLevel="0" collapsed="false">
      <c r="A4025" s="154" t="n">
        <v>296</v>
      </c>
      <c r="B4025" s="155" t="s">
        <v>2121</v>
      </c>
      <c r="C4025" s="148" t="str">
        <f aca="false">VLOOKUP($A4025,INSUMOS_AUX!$A$3:$H$813,3,0)</f>
        <v>MAT.</v>
      </c>
      <c r="D4025" s="156" t="s">
        <v>31</v>
      </c>
      <c r="E4025" s="154" t="n">
        <v>1</v>
      </c>
      <c r="F4025" s="149" t="n">
        <f aca="false">IF(C4025="MAT.",VLOOKUP(A4025,INSUMOS_AUX!$A$3:$H$813,6,0),0)</f>
        <v>1.69</v>
      </c>
      <c r="G4025" s="149" t="n">
        <f aca="false">IF(C4025="M.O.",VLOOKUP(A4025,INSUMOS_AUX!A:F,6,0),0)</f>
        <v>0</v>
      </c>
    </row>
    <row r="4026" customFormat="false" ht="21" hidden="false" customHeight="false" outlineLevel="0" collapsed="false">
      <c r="A4026" s="154" t="n">
        <v>303</v>
      </c>
      <c r="B4026" s="155" t="s">
        <v>2170</v>
      </c>
      <c r="C4026" s="148" t="s">
        <v>59</v>
      </c>
      <c r="D4026" s="156" t="s">
        <v>31</v>
      </c>
      <c r="E4026" s="154" t="n">
        <v>1</v>
      </c>
      <c r="F4026" s="149" t="n">
        <f aca="false">IF(C4026="MAT.",VLOOKUP(A4026,INSUMOS_AUX!$A$3:$H$813,6,0),0)</f>
        <v>0</v>
      </c>
      <c r="G4026" s="149" t="n">
        <f aca="false">IF(C4026="M.O.",VLOOKUP(A4026,INSUMOS_AUX!A:F,6,0),0)</f>
        <v>0</v>
      </c>
    </row>
    <row r="4027" customFormat="false" ht="31.5" hidden="false" customHeight="false" outlineLevel="0" collapsed="false">
      <c r="A4027" s="154" t="n">
        <v>20078</v>
      </c>
      <c r="B4027" s="155" t="s">
        <v>2123</v>
      </c>
      <c r="C4027" s="148" t="str">
        <f aca="false">VLOOKUP($A4027,INSUMOS_AUX!$A$3:$H$813,3,0)</f>
        <v>MAT.</v>
      </c>
      <c r="D4027" s="156" t="s">
        <v>31</v>
      </c>
      <c r="E4027" s="154" t="n">
        <v>0.095</v>
      </c>
      <c r="F4027" s="149" t="n">
        <f aca="false">IF(C4027="MAT.",VLOOKUP(A4027,INSUMOS_AUX!$A$3:$H$813,6,0),0)</f>
        <v>26.04</v>
      </c>
      <c r="G4027" s="149" t="n">
        <f aca="false">IF(C4027="M.O.",VLOOKUP(A4027,INSUMOS_AUX!A:F,6,0),0)</f>
        <v>0</v>
      </c>
    </row>
    <row r="4028" customFormat="false" ht="15" hidden="false" customHeight="false" outlineLevel="0" collapsed="false">
      <c r="A4028" s="154" t="n">
        <v>20043</v>
      </c>
      <c r="B4028" s="155" t="s">
        <v>2171</v>
      </c>
      <c r="C4028" s="148" t="str">
        <f aca="false">VLOOKUP($A4028,INSUMOS_AUX!$A$3:$H$813,3,0)</f>
        <v>MAT.</v>
      </c>
      <c r="D4028" s="156" t="s">
        <v>31</v>
      </c>
      <c r="E4028" s="154" t="n">
        <v>1</v>
      </c>
      <c r="F4028" s="149" t="n">
        <f aca="false">IF(C4028="MAT.",VLOOKUP(A4028,INSUMOS_AUX!$A$3:$H$813,6,0),0)</f>
        <v>9.54</v>
      </c>
      <c r="G4028" s="149" t="n">
        <f aca="false">IF(C4028="M.O.",VLOOKUP(A4028,INSUMOS_AUX!A:F,6,0),0)</f>
        <v>0</v>
      </c>
    </row>
    <row r="4029" customFormat="false" ht="15" hidden="false" customHeight="false" outlineLevel="0" collapsed="false">
      <c r="A4029" s="154" t="n">
        <v>246</v>
      </c>
      <c r="B4029" s="155" t="s">
        <v>1752</v>
      </c>
      <c r="C4029" s="148" t="str">
        <f aca="false">VLOOKUP($A4029,INSUMOS_AUX!$A$3:$H$813,3,0)</f>
        <v>M.O.</v>
      </c>
      <c r="D4029" s="156" t="s">
        <v>1444</v>
      </c>
      <c r="E4029" s="154" t="n">
        <v>0.075635914</v>
      </c>
      <c r="F4029" s="149" t="n">
        <f aca="false">IF(C4029="MAT.",VLOOKUP(A4029,INSUMOS_AUX!$A$3:$H$813,6,0),0)</f>
        <v>0</v>
      </c>
      <c r="G4029" s="149" t="n">
        <f aca="false">IF(C4029="M.O.",VLOOKUP(A4029,INSUMOS_AUX!A:F,6,0),0)</f>
        <v>13.26</v>
      </c>
    </row>
    <row r="4030" customFormat="false" ht="15" hidden="false" customHeight="false" outlineLevel="0" collapsed="false">
      <c r="A4030" s="154" t="n">
        <v>2696</v>
      </c>
      <c r="B4030" s="155" t="s">
        <v>1483</v>
      </c>
      <c r="C4030" s="148" t="str">
        <f aca="false">VLOOKUP($A4030,INSUMOS_AUX!$A$3:$H$813,3,0)</f>
        <v>M.O.</v>
      </c>
      <c r="D4030" s="156" t="s">
        <v>1444</v>
      </c>
      <c r="E4030" s="154" t="n">
        <v>0.075635914</v>
      </c>
      <c r="F4030" s="149" t="n">
        <f aca="false">IF(C4030="MAT.",VLOOKUP(A4030,INSUMOS_AUX!$A$3:$H$813,6,0),0)</f>
        <v>0</v>
      </c>
      <c r="G4030" s="149" t="n">
        <f aca="false">IF(C4030="M.O.",VLOOKUP(A4030,INSUMOS_AUX!A:F,6,0),0)</f>
        <v>20.22</v>
      </c>
    </row>
    <row r="4031" customFormat="false" ht="31.5" hidden="false" customHeight="false" outlineLevel="0" collapsed="false">
      <c r="A4031" s="150" t="s">
        <v>729</v>
      </c>
      <c r="B4031" s="151" t="s">
        <v>2172</v>
      </c>
      <c r="C4031" s="152" t="s">
        <v>59</v>
      </c>
      <c r="D4031" s="152" t="s">
        <v>31</v>
      </c>
      <c r="E4031" s="150"/>
      <c r="F4031" s="153" t="n">
        <f aca="false">(SUMPRODUCT($E4032:$E4043,F4032:F4043))*1</f>
        <v>17.873196</v>
      </c>
      <c r="G4031" s="153" t="n">
        <f aca="false">(SUMPRODUCT($E4032:$E4043,G4032:G4043))*1</f>
        <v>2.53229040072</v>
      </c>
    </row>
    <row r="4032" customFormat="false" ht="21" hidden="false" customHeight="false" outlineLevel="0" collapsed="false">
      <c r="A4032" s="154" t="n">
        <v>37370</v>
      </c>
      <c r="B4032" s="155" t="s">
        <v>1443</v>
      </c>
      <c r="C4032" s="148" t="str">
        <f aca="false">VLOOKUP($A4032,INSUMOS_AUX!$A$3:$H$813,3,0)</f>
        <v>MAT.</v>
      </c>
      <c r="D4032" s="156" t="s">
        <v>1444</v>
      </c>
      <c r="E4032" s="154" t="n">
        <v>0.1486</v>
      </c>
      <c r="F4032" s="149" t="n">
        <f aca="false">IF(C4032="MAT.",VLOOKUP(A4032,INSUMOS_AUX!$A$3:$H$813,6,0),0)</f>
        <v>3.32</v>
      </c>
      <c r="G4032" s="149" t="n">
        <f aca="false">IF(C4032="M.O.",VLOOKUP(A4032,INSUMOS_AUX!A:F,6,0),0)</f>
        <v>0</v>
      </c>
    </row>
    <row r="4033" customFormat="false" ht="21" hidden="false" customHeight="false" outlineLevel="0" collapsed="false">
      <c r="A4033" s="154" t="n">
        <v>43485</v>
      </c>
      <c r="B4033" s="155" t="s">
        <v>1481</v>
      </c>
      <c r="C4033" s="148" t="str">
        <f aca="false">VLOOKUP($A4033,INSUMOS_AUX!$A$3:$H$813,3,0)</f>
        <v>MAT.</v>
      </c>
      <c r="D4033" s="156" t="s">
        <v>1444</v>
      </c>
      <c r="E4033" s="154" t="n">
        <v>0.1486</v>
      </c>
      <c r="F4033" s="149" t="n">
        <f aca="false">IF(C4033="MAT.",VLOOKUP(A4033,INSUMOS_AUX!$A$3:$H$813,6,0),0)</f>
        <v>1.13</v>
      </c>
      <c r="G4033" s="149" t="n">
        <f aca="false">IF(C4033="M.O.",VLOOKUP(A4033,INSUMOS_AUX!A:F,6,0),0)</f>
        <v>0</v>
      </c>
    </row>
    <row r="4034" customFormat="false" ht="21" hidden="false" customHeight="false" outlineLevel="0" collapsed="false">
      <c r="A4034" s="154" t="n">
        <v>37372</v>
      </c>
      <c r="B4034" s="155" t="s">
        <v>1446</v>
      </c>
      <c r="C4034" s="148" t="str">
        <f aca="false">VLOOKUP($A4034,INSUMOS_AUX!$A$3:$H$813,3,0)</f>
        <v>MAT.</v>
      </c>
      <c r="D4034" s="156" t="s">
        <v>1444</v>
      </c>
      <c r="E4034" s="154" t="n">
        <v>0.1486</v>
      </c>
      <c r="F4034" s="149" t="n">
        <f aca="false">IF(C4034="MAT.",VLOOKUP(A4034,INSUMOS_AUX!$A$3:$H$813,6,0),0)</f>
        <v>1.43</v>
      </c>
      <c r="G4034" s="149" t="n">
        <f aca="false">IF(C4034="M.O.",VLOOKUP(A4034,INSUMOS_AUX!A:F,6,0),0)</f>
        <v>0</v>
      </c>
    </row>
    <row r="4035" customFormat="false" ht="21" hidden="false" customHeight="false" outlineLevel="0" collapsed="false">
      <c r="A4035" s="154" t="n">
        <v>43461</v>
      </c>
      <c r="B4035" s="155" t="s">
        <v>1482</v>
      </c>
      <c r="C4035" s="148" t="str">
        <f aca="false">VLOOKUP($A4035,INSUMOS_AUX!$A$3:$H$813,3,0)</f>
        <v>MAT.</v>
      </c>
      <c r="D4035" s="156" t="s">
        <v>1444</v>
      </c>
      <c r="E4035" s="154" t="n">
        <v>0.1486</v>
      </c>
      <c r="F4035" s="149" t="n">
        <f aca="false">IF(C4035="MAT.",VLOOKUP(A4035,INSUMOS_AUX!$A$3:$H$813,6,0),0)</f>
        <v>0.31</v>
      </c>
      <c r="G4035" s="149" t="n">
        <f aca="false">IF(C4035="M.O.",VLOOKUP(A4035,INSUMOS_AUX!A:F,6,0),0)</f>
        <v>0</v>
      </c>
    </row>
    <row r="4036" customFormat="false" ht="21" hidden="false" customHeight="false" outlineLevel="0" collapsed="false">
      <c r="A4036" s="154" t="n">
        <v>37373</v>
      </c>
      <c r="B4036" s="155" t="s">
        <v>1448</v>
      </c>
      <c r="C4036" s="148" t="str">
        <f aca="false">VLOOKUP($A4036,INSUMOS_AUX!$A$3:$H$813,3,0)</f>
        <v>MAT.</v>
      </c>
      <c r="D4036" s="156" t="s">
        <v>1444</v>
      </c>
      <c r="E4036" s="154" t="n">
        <v>0.1486</v>
      </c>
      <c r="F4036" s="149" t="n">
        <f aca="false">IF(C4036="MAT.",VLOOKUP(A4036,INSUMOS_AUX!$A$3:$H$813,6,0),0)</f>
        <v>0.08</v>
      </c>
      <c r="G4036" s="149" t="n">
        <f aca="false">IF(C4036="M.O.",VLOOKUP(A4036,INSUMOS_AUX!A:F,6,0),0)</f>
        <v>0</v>
      </c>
    </row>
    <row r="4037" customFormat="false" ht="21" hidden="false" customHeight="false" outlineLevel="0" collapsed="false">
      <c r="A4037" s="154" t="n">
        <v>37371</v>
      </c>
      <c r="B4037" s="155" t="s">
        <v>1449</v>
      </c>
      <c r="C4037" s="148" t="str">
        <f aca="false">VLOOKUP($A4037,INSUMOS_AUX!$A$3:$H$813,3,0)</f>
        <v>MAT.</v>
      </c>
      <c r="D4037" s="156" t="s">
        <v>1444</v>
      </c>
      <c r="E4037" s="154" t="n">
        <v>0.1486</v>
      </c>
      <c r="F4037" s="149" t="n">
        <f aca="false">IF(C4037="MAT.",VLOOKUP(A4037,INSUMOS_AUX!$A$3:$H$813,6,0),0)</f>
        <v>0.59</v>
      </c>
      <c r="G4037" s="149" t="n">
        <f aca="false">IF(C4037="M.O.",VLOOKUP(A4037,INSUMOS_AUX!A:F,6,0),0)</f>
        <v>0</v>
      </c>
    </row>
    <row r="4038" customFormat="false" ht="15" hidden="false" customHeight="false" outlineLevel="0" collapsed="false">
      <c r="A4038" s="154" t="n">
        <v>297</v>
      </c>
      <c r="B4038" s="155" t="s">
        <v>2130</v>
      </c>
      <c r="C4038" s="148" t="s">
        <v>59</v>
      </c>
      <c r="D4038" s="156" t="s">
        <v>31</v>
      </c>
      <c r="E4038" s="154" t="n">
        <v>1</v>
      </c>
      <c r="F4038" s="149" t="n">
        <f aca="false">IF(C4038="MAT.",VLOOKUP(A4038,INSUMOS_AUX!$A$3:$H$813,6,0),0)</f>
        <v>0</v>
      </c>
      <c r="G4038" s="149" t="n">
        <f aca="false">IF(C4038="M.O.",VLOOKUP(A4038,INSUMOS_AUX!A:F,6,0),0)</f>
        <v>0</v>
      </c>
    </row>
    <row r="4039" customFormat="false" ht="21" hidden="false" customHeight="false" outlineLevel="0" collapsed="false">
      <c r="A4039" s="154" t="n">
        <v>303</v>
      </c>
      <c r="B4039" s="155" t="s">
        <v>2170</v>
      </c>
      <c r="C4039" s="148" t="str">
        <f aca="false">VLOOKUP($A4039,INSUMOS_AUX!$A$3:$H$813,3,0)</f>
        <v>MAT.</v>
      </c>
      <c r="D4039" s="156" t="s">
        <v>31</v>
      </c>
      <c r="E4039" s="154" t="n">
        <v>1</v>
      </c>
      <c r="F4039" s="149" t="n">
        <f aca="false">IF(C4039="MAT.",VLOOKUP(A4039,INSUMOS_AUX!$A$3:$H$813,6,0),0)</f>
        <v>3.32</v>
      </c>
      <c r="G4039" s="149" t="n">
        <f aca="false">IF(C4039="M.O.",VLOOKUP(A4039,INSUMOS_AUX!A:F,6,0),0)</f>
        <v>0</v>
      </c>
    </row>
    <row r="4040" customFormat="false" ht="31.5" hidden="false" customHeight="false" outlineLevel="0" collapsed="false">
      <c r="A4040" s="154" t="n">
        <v>20078</v>
      </c>
      <c r="B4040" s="155" t="s">
        <v>2123</v>
      </c>
      <c r="C4040" s="148" t="str">
        <f aca="false">VLOOKUP($A4040,INSUMOS_AUX!$A$3:$H$813,3,0)</f>
        <v>MAT.</v>
      </c>
      <c r="D4040" s="156" t="s">
        <v>31</v>
      </c>
      <c r="E4040" s="154" t="n">
        <v>0.095</v>
      </c>
      <c r="F4040" s="149" t="n">
        <f aca="false">IF(C4040="MAT.",VLOOKUP(A4040,INSUMOS_AUX!$A$3:$H$813,6,0),0)</f>
        <v>26.04</v>
      </c>
      <c r="G4040" s="149" t="n">
        <f aca="false">IF(C4040="M.O.",VLOOKUP(A4040,INSUMOS_AUX!A:F,6,0),0)</f>
        <v>0</v>
      </c>
    </row>
    <row r="4041" customFormat="false" ht="15" hidden="false" customHeight="false" outlineLevel="0" collapsed="false">
      <c r="A4041" s="154" t="n">
        <v>20044</v>
      </c>
      <c r="B4041" s="155" t="s">
        <v>2173</v>
      </c>
      <c r="C4041" s="148" t="str">
        <f aca="false">VLOOKUP($A4041,INSUMOS_AUX!$A$3:$H$813,3,0)</f>
        <v>MAT.</v>
      </c>
      <c r="D4041" s="156" t="s">
        <v>31</v>
      </c>
      <c r="E4041" s="154" t="n">
        <v>1</v>
      </c>
      <c r="F4041" s="149" t="n">
        <f aca="false">IF(C4041="MAT.",VLOOKUP(A4041,INSUMOS_AUX!$A$3:$H$813,6,0),0)</f>
        <v>11.06</v>
      </c>
      <c r="G4041" s="149" t="n">
        <f aca="false">IF(C4041="M.O.",VLOOKUP(A4041,INSUMOS_AUX!A:F,6,0),0)</f>
        <v>0</v>
      </c>
    </row>
    <row r="4042" customFormat="false" ht="15" hidden="false" customHeight="false" outlineLevel="0" collapsed="false">
      <c r="A4042" s="154" t="n">
        <v>246</v>
      </c>
      <c r="B4042" s="155" t="s">
        <v>1752</v>
      </c>
      <c r="C4042" s="148" t="str">
        <f aca="false">VLOOKUP($A4042,INSUMOS_AUX!$A$3:$H$813,3,0)</f>
        <v>M.O.</v>
      </c>
      <c r="D4042" s="156" t="s">
        <v>1444</v>
      </c>
      <c r="E4042" s="154" t="n">
        <v>0.075635914</v>
      </c>
      <c r="F4042" s="149" t="n">
        <f aca="false">IF(C4042="MAT.",VLOOKUP(A4042,INSUMOS_AUX!$A$3:$H$813,6,0),0)</f>
        <v>0</v>
      </c>
      <c r="G4042" s="149" t="n">
        <f aca="false">IF(C4042="M.O.",VLOOKUP(A4042,INSUMOS_AUX!A:F,6,0),0)</f>
        <v>13.26</v>
      </c>
    </row>
    <row r="4043" customFormat="false" ht="15" hidden="false" customHeight="false" outlineLevel="0" collapsed="false">
      <c r="A4043" s="154" t="n">
        <v>2696</v>
      </c>
      <c r="B4043" s="155" t="s">
        <v>1483</v>
      </c>
      <c r="C4043" s="148" t="str">
        <f aca="false">VLOOKUP($A4043,INSUMOS_AUX!$A$3:$H$813,3,0)</f>
        <v>M.O.</v>
      </c>
      <c r="D4043" s="156" t="s">
        <v>1444</v>
      </c>
      <c r="E4043" s="154" t="n">
        <v>0.075635914</v>
      </c>
      <c r="F4043" s="149" t="n">
        <f aca="false">IF(C4043="MAT.",VLOOKUP(A4043,INSUMOS_AUX!$A$3:$H$813,6,0),0)</f>
        <v>0</v>
      </c>
      <c r="G4043" s="149" t="n">
        <f aca="false">IF(C4043="M.O.",VLOOKUP(A4043,INSUMOS_AUX!A:F,6,0),0)</f>
        <v>20.22</v>
      </c>
    </row>
    <row r="4044" customFormat="false" ht="31.5" hidden="false" customHeight="false" outlineLevel="0" collapsed="false">
      <c r="A4044" s="150" t="n">
        <v>89800</v>
      </c>
      <c r="B4044" s="151" t="s">
        <v>2174</v>
      </c>
      <c r="C4044" s="152" t="s">
        <v>59</v>
      </c>
      <c r="D4044" s="152" t="s">
        <v>1455</v>
      </c>
      <c r="E4044" s="150"/>
      <c r="F4044" s="153" t="n">
        <f aca="false">(SUMPRODUCT($E4045:$E4054,F4045:F4054))*1</f>
        <v>20.045038</v>
      </c>
      <c r="G4044" s="153" t="n">
        <f aca="false">(SUMPRODUCT($E4045:$E4054,G4045:G4054))*1</f>
        <v>8.97037460928</v>
      </c>
    </row>
    <row r="4045" customFormat="false" ht="21" hidden="false" customHeight="false" outlineLevel="0" collapsed="false">
      <c r="A4045" s="154" t="n">
        <v>37370</v>
      </c>
      <c r="B4045" s="155" t="s">
        <v>1443</v>
      </c>
      <c r="C4045" s="148" t="str">
        <f aca="false">VLOOKUP($A4045,INSUMOS_AUX!$A$3:$H$813,3,0)</f>
        <v>MAT.</v>
      </c>
      <c r="D4045" s="156" t="s">
        <v>1444</v>
      </c>
      <c r="E4045" s="154" t="n">
        <v>0.5264</v>
      </c>
      <c r="F4045" s="149" t="n">
        <f aca="false">IF(C4045="MAT.",VLOOKUP(A4045,INSUMOS_AUX!$A$3:$H$813,6,0),0)</f>
        <v>3.32</v>
      </c>
      <c r="G4045" s="149" t="n">
        <f aca="false">IF(C4045="M.O.",VLOOKUP(A4045,INSUMOS_AUX!A:F,6,0),0)</f>
        <v>0</v>
      </c>
    </row>
    <row r="4046" customFormat="false" ht="21" hidden="false" customHeight="false" outlineLevel="0" collapsed="false">
      <c r="A4046" s="154" t="n">
        <v>43485</v>
      </c>
      <c r="B4046" s="155" t="s">
        <v>1481</v>
      </c>
      <c r="C4046" s="148" t="str">
        <f aca="false">VLOOKUP($A4046,INSUMOS_AUX!$A$3:$H$813,3,0)</f>
        <v>MAT.</v>
      </c>
      <c r="D4046" s="156" t="s">
        <v>1444</v>
      </c>
      <c r="E4046" s="154" t="n">
        <v>0.5264</v>
      </c>
      <c r="F4046" s="149" t="n">
        <f aca="false">IF(C4046="MAT.",VLOOKUP(A4046,INSUMOS_AUX!$A$3:$H$813,6,0),0)</f>
        <v>1.13</v>
      </c>
      <c r="G4046" s="149" t="n">
        <f aca="false">IF(C4046="M.O.",VLOOKUP(A4046,INSUMOS_AUX!A:F,6,0),0)</f>
        <v>0</v>
      </c>
    </row>
    <row r="4047" customFormat="false" ht="21" hidden="false" customHeight="false" outlineLevel="0" collapsed="false">
      <c r="A4047" s="154" t="n">
        <v>37372</v>
      </c>
      <c r="B4047" s="155" t="s">
        <v>1446</v>
      </c>
      <c r="C4047" s="148" t="str">
        <f aca="false">VLOOKUP($A4047,INSUMOS_AUX!$A$3:$H$813,3,0)</f>
        <v>MAT.</v>
      </c>
      <c r="D4047" s="156" t="s">
        <v>1444</v>
      </c>
      <c r="E4047" s="154" t="n">
        <v>0.5264</v>
      </c>
      <c r="F4047" s="149" t="n">
        <f aca="false">IF(C4047="MAT.",VLOOKUP(A4047,INSUMOS_AUX!$A$3:$H$813,6,0),0)</f>
        <v>1.43</v>
      </c>
      <c r="G4047" s="149" t="n">
        <f aca="false">IF(C4047="M.O.",VLOOKUP(A4047,INSUMOS_AUX!A:F,6,0),0)</f>
        <v>0</v>
      </c>
    </row>
    <row r="4048" customFormat="false" ht="21" hidden="false" customHeight="false" outlineLevel="0" collapsed="false">
      <c r="A4048" s="154" t="n">
        <v>43461</v>
      </c>
      <c r="B4048" s="155" t="s">
        <v>1482</v>
      </c>
      <c r="C4048" s="148" t="str">
        <f aca="false">VLOOKUP($A4048,INSUMOS_AUX!$A$3:$H$813,3,0)</f>
        <v>MAT.</v>
      </c>
      <c r="D4048" s="156" t="s">
        <v>1444</v>
      </c>
      <c r="E4048" s="154" t="n">
        <v>0.5264</v>
      </c>
      <c r="F4048" s="149" t="n">
        <f aca="false">IF(C4048="MAT.",VLOOKUP(A4048,INSUMOS_AUX!$A$3:$H$813,6,0),0)</f>
        <v>0.31</v>
      </c>
      <c r="G4048" s="149" t="n">
        <f aca="false">IF(C4048="M.O.",VLOOKUP(A4048,INSUMOS_AUX!A:F,6,0),0)</f>
        <v>0</v>
      </c>
    </row>
    <row r="4049" customFormat="false" ht="21" hidden="false" customHeight="false" outlineLevel="0" collapsed="false">
      <c r="A4049" s="154" t="n">
        <v>37373</v>
      </c>
      <c r="B4049" s="155" t="s">
        <v>1448</v>
      </c>
      <c r="C4049" s="148" t="str">
        <f aca="false">VLOOKUP($A4049,INSUMOS_AUX!$A$3:$H$813,3,0)</f>
        <v>MAT.</v>
      </c>
      <c r="D4049" s="156" t="s">
        <v>1444</v>
      </c>
      <c r="E4049" s="154" t="n">
        <v>0.5264</v>
      </c>
      <c r="F4049" s="149" t="n">
        <f aca="false">IF(C4049="MAT.",VLOOKUP(A4049,INSUMOS_AUX!$A$3:$H$813,6,0),0)</f>
        <v>0.08</v>
      </c>
      <c r="G4049" s="149" t="n">
        <f aca="false">IF(C4049="M.O.",VLOOKUP(A4049,INSUMOS_AUX!A:F,6,0),0)</f>
        <v>0</v>
      </c>
    </row>
    <row r="4050" customFormat="false" ht="21" hidden="false" customHeight="false" outlineLevel="0" collapsed="false">
      <c r="A4050" s="154" t="n">
        <v>37371</v>
      </c>
      <c r="B4050" s="155" t="s">
        <v>1449</v>
      </c>
      <c r="C4050" s="148" t="s">
        <v>59</v>
      </c>
      <c r="D4050" s="156" t="s">
        <v>1444</v>
      </c>
      <c r="E4050" s="154" t="n">
        <v>0.5264</v>
      </c>
      <c r="F4050" s="149" t="n">
        <f aca="false">IF(C4050="MAT.",VLOOKUP(A4050,INSUMOS_AUX!$A$3:$H$813,6,0),0)</f>
        <v>0</v>
      </c>
      <c r="G4050" s="149" t="n">
        <f aca="false">IF(C4050="M.O.",VLOOKUP(A4050,INSUMOS_AUX!A:F,6,0),0)</f>
        <v>0</v>
      </c>
    </row>
    <row r="4051" customFormat="false" ht="15" hidden="false" customHeight="false" outlineLevel="0" collapsed="false">
      <c r="A4051" s="154" t="n">
        <v>38383</v>
      </c>
      <c r="B4051" s="155" t="s">
        <v>2093</v>
      </c>
      <c r="C4051" s="148" t="str">
        <f aca="false">VLOOKUP($A4051,INSUMOS_AUX!$A$3:$H$813,3,0)</f>
        <v>MAT.</v>
      </c>
      <c r="D4051" s="156" t="s">
        <v>31</v>
      </c>
      <c r="E4051" s="154" t="n">
        <v>0.0146</v>
      </c>
      <c r="F4051" s="149" t="n">
        <f aca="false">IF(C4051="MAT.",VLOOKUP(A4051,INSUMOS_AUX!$A$3:$H$813,6,0),0)</f>
        <v>2.39</v>
      </c>
      <c r="G4051" s="149" t="n">
        <f aca="false">IF(C4051="M.O.",VLOOKUP(A4051,INSUMOS_AUX!A:F,6,0),0)</f>
        <v>0</v>
      </c>
    </row>
    <row r="4052" customFormat="false" ht="21" hidden="false" customHeight="false" outlineLevel="0" collapsed="false">
      <c r="A4052" s="154" t="n">
        <v>9836</v>
      </c>
      <c r="B4052" s="155" t="s">
        <v>2175</v>
      </c>
      <c r="C4052" s="148" t="str">
        <f aca="false">VLOOKUP($A4052,INSUMOS_AUX!$A$3:$H$813,3,0)</f>
        <v>MAT.</v>
      </c>
      <c r="D4052" s="156" t="s">
        <v>1455</v>
      </c>
      <c r="E4052" s="154" t="n">
        <v>1.0549</v>
      </c>
      <c r="F4052" s="149" t="n">
        <f aca="false">IF(C4052="MAT.",VLOOKUP(A4052,INSUMOS_AUX!$A$3:$H$813,6,0),0)</f>
        <v>15.84</v>
      </c>
      <c r="G4052" s="149" t="n">
        <f aca="false">IF(C4052="M.O.",VLOOKUP(A4052,INSUMOS_AUX!A:F,6,0),0)</f>
        <v>0</v>
      </c>
    </row>
    <row r="4053" customFormat="false" ht="15" hidden="false" customHeight="false" outlineLevel="0" collapsed="false">
      <c r="A4053" s="154" t="n">
        <v>246</v>
      </c>
      <c r="B4053" s="155" t="s">
        <v>1752</v>
      </c>
      <c r="C4053" s="148" t="str">
        <f aca="false">VLOOKUP($A4053,INSUMOS_AUX!$A$3:$H$813,3,0)</f>
        <v>M.O.</v>
      </c>
      <c r="D4053" s="156" t="s">
        <v>1444</v>
      </c>
      <c r="E4053" s="154" t="n">
        <v>0.267932336</v>
      </c>
      <c r="F4053" s="149" t="n">
        <f aca="false">IF(C4053="MAT.",VLOOKUP(A4053,INSUMOS_AUX!$A$3:$H$813,6,0),0)</f>
        <v>0</v>
      </c>
      <c r="G4053" s="149" t="n">
        <f aca="false">IF(C4053="M.O.",VLOOKUP(A4053,INSUMOS_AUX!A:F,6,0),0)</f>
        <v>13.26</v>
      </c>
    </row>
    <row r="4054" customFormat="false" ht="15" hidden="false" customHeight="false" outlineLevel="0" collapsed="false">
      <c r="A4054" s="154" t="n">
        <v>2696</v>
      </c>
      <c r="B4054" s="155" t="s">
        <v>1483</v>
      </c>
      <c r="C4054" s="148" t="str">
        <f aca="false">VLOOKUP($A4054,INSUMOS_AUX!$A$3:$H$813,3,0)</f>
        <v>M.O.</v>
      </c>
      <c r="D4054" s="156" t="s">
        <v>1444</v>
      </c>
      <c r="E4054" s="154" t="n">
        <v>0.267932336</v>
      </c>
      <c r="F4054" s="149" t="n">
        <f aca="false">IF(C4054="MAT.",VLOOKUP(A4054,INSUMOS_AUX!$A$3:$H$813,6,0),0)</f>
        <v>0</v>
      </c>
      <c r="G4054" s="149" t="n">
        <f aca="false">IF(C4054="M.O.",VLOOKUP(A4054,INSUMOS_AUX!A:F,6,0),0)</f>
        <v>20.22</v>
      </c>
    </row>
    <row r="4055" customFormat="false" ht="31.5" hidden="false" customHeight="false" outlineLevel="0" collapsed="false">
      <c r="A4055" s="150" t="n">
        <v>89849</v>
      </c>
      <c r="B4055" s="151" t="s">
        <v>2176</v>
      </c>
      <c r="C4055" s="152" t="s">
        <v>59</v>
      </c>
      <c r="D4055" s="152" t="s">
        <v>1455</v>
      </c>
      <c r="E4055" s="150"/>
      <c r="F4055" s="153" t="n">
        <f aca="false">(SUMPRODUCT($E4056:$E4065,F4056:F4065))*1</f>
        <v>47.945268</v>
      </c>
      <c r="G4055" s="153" t="n">
        <f aca="false">(SUMPRODUCT($E4056:$E4065,G4056:G4065))*1</f>
        <v>10.61312558256</v>
      </c>
    </row>
    <row r="4056" customFormat="false" ht="21" hidden="false" customHeight="false" outlineLevel="0" collapsed="false">
      <c r="A4056" s="154" t="n">
        <v>37370</v>
      </c>
      <c r="B4056" s="155" t="s">
        <v>1443</v>
      </c>
      <c r="C4056" s="148" t="str">
        <f aca="false">VLOOKUP($A4056,INSUMOS_AUX!$A$3:$H$813,3,0)</f>
        <v>MAT.</v>
      </c>
      <c r="D4056" s="156" t="s">
        <v>1444</v>
      </c>
      <c r="E4056" s="154" t="n">
        <v>0.6228</v>
      </c>
      <c r="F4056" s="149" t="n">
        <f aca="false">IF(C4056="MAT.",VLOOKUP(A4056,INSUMOS_AUX!$A$3:$H$813,6,0),0)</f>
        <v>3.32</v>
      </c>
      <c r="G4056" s="149" t="n">
        <f aca="false">IF(C4056="M.O.",VLOOKUP(A4056,INSUMOS_AUX!A:F,6,0),0)</f>
        <v>0</v>
      </c>
    </row>
    <row r="4057" customFormat="false" ht="21" hidden="false" customHeight="false" outlineLevel="0" collapsed="false">
      <c r="A4057" s="154" t="n">
        <v>43485</v>
      </c>
      <c r="B4057" s="155" t="s">
        <v>1481</v>
      </c>
      <c r="C4057" s="148" t="str">
        <f aca="false">VLOOKUP($A4057,INSUMOS_AUX!$A$3:$H$813,3,0)</f>
        <v>MAT.</v>
      </c>
      <c r="D4057" s="156" t="s">
        <v>1444</v>
      </c>
      <c r="E4057" s="154" t="n">
        <v>0.6228</v>
      </c>
      <c r="F4057" s="149" t="n">
        <f aca="false">IF(C4057="MAT.",VLOOKUP(A4057,INSUMOS_AUX!$A$3:$H$813,6,0),0)</f>
        <v>1.13</v>
      </c>
      <c r="G4057" s="149" t="n">
        <f aca="false">IF(C4057="M.O.",VLOOKUP(A4057,INSUMOS_AUX!A:F,6,0),0)</f>
        <v>0</v>
      </c>
    </row>
    <row r="4058" customFormat="false" ht="21" hidden="false" customHeight="false" outlineLevel="0" collapsed="false">
      <c r="A4058" s="154" t="n">
        <v>37372</v>
      </c>
      <c r="B4058" s="155" t="s">
        <v>1446</v>
      </c>
      <c r="C4058" s="148" t="str">
        <f aca="false">VLOOKUP($A4058,INSUMOS_AUX!$A$3:$H$813,3,0)</f>
        <v>MAT.</v>
      </c>
      <c r="D4058" s="156" t="s">
        <v>1444</v>
      </c>
      <c r="E4058" s="154" t="n">
        <v>0.6228</v>
      </c>
      <c r="F4058" s="149" t="n">
        <f aca="false">IF(C4058="MAT.",VLOOKUP(A4058,INSUMOS_AUX!$A$3:$H$813,6,0),0)</f>
        <v>1.43</v>
      </c>
      <c r="G4058" s="149" t="n">
        <f aca="false">IF(C4058="M.O.",VLOOKUP(A4058,INSUMOS_AUX!A:F,6,0),0)</f>
        <v>0</v>
      </c>
    </row>
    <row r="4059" customFormat="false" ht="21" hidden="false" customHeight="false" outlineLevel="0" collapsed="false">
      <c r="A4059" s="154" t="n">
        <v>43461</v>
      </c>
      <c r="B4059" s="155" t="s">
        <v>1482</v>
      </c>
      <c r="C4059" s="148" t="str">
        <f aca="false">VLOOKUP($A4059,INSUMOS_AUX!$A$3:$H$813,3,0)</f>
        <v>MAT.</v>
      </c>
      <c r="D4059" s="156" t="s">
        <v>1444</v>
      </c>
      <c r="E4059" s="154" t="n">
        <v>0.6228</v>
      </c>
      <c r="F4059" s="149" t="n">
        <f aca="false">IF(C4059="MAT.",VLOOKUP(A4059,INSUMOS_AUX!$A$3:$H$813,6,0),0)</f>
        <v>0.31</v>
      </c>
      <c r="G4059" s="149" t="n">
        <f aca="false">IF(C4059="M.O.",VLOOKUP(A4059,INSUMOS_AUX!A:F,6,0),0)</f>
        <v>0</v>
      </c>
    </row>
    <row r="4060" customFormat="false" ht="21" hidden="false" customHeight="false" outlineLevel="0" collapsed="false">
      <c r="A4060" s="154" t="n">
        <v>37373</v>
      </c>
      <c r="B4060" s="155" t="s">
        <v>1448</v>
      </c>
      <c r="C4060" s="148" t="str">
        <f aca="false">VLOOKUP($A4060,INSUMOS_AUX!$A$3:$H$813,3,0)</f>
        <v>MAT.</v>
      </c>
      <c r="D4060" s="156" t="s">
        <v>1444</v>
      </c>
      <c r="E4060" s="154" t="n">
        <v>0.6228</v>
      </c>
      <c r="F4060" s="149" t="n">
        <f aca="false">IF(C4060="MAT.",VLOOKUP(A4060,INSUMOS_AUX!$A$3:$H$813,6,0),0)</f>
        <v>0.08</v>
      </c>
      <c r="G4060" s="149" t="n">
        <f aca="false">IF(C4060="M.O.",VLOOKUP(A4060,INSUMOS_AUX!A:F,6,0),0)</f>
        <v>0</v>
      </c>
    </row>
    <row r="4061" customFormat="false" ht="21" hidden="false" customHeight="false" outlineLevel="0" collapsed="false">
      <c r="A4061" s="154" t="n">
        <v>37371</v>
      </c>
      <c r="B4061" s="155" t="s">
        <v>1449</v>
      </c>
      <c r="C4061" s="148" t="str">
        <f aca="false">VLOOKUP($A4061,INSUMOS_AUX!$A$3:$H$813,3,0)</f>
        <v>MAT.</v>
      </c>
      <c r="D4061" s="156" t="s">
        <v>1444</v>
      </c>
      <c r="E4061" s="154" t="n">
        <v>0.6228</v>
      </c>
      <c r="F4061" s="149" t="n">
        <f aca="false">IF(C4061="MAT.",VLOOKUP(A4061,INSUMOS_AUX!$A$3:$H$813,6,0),0)</f>
        <v>0.59</v>
      </c>
      <c r="G4061" s="149" t="n">
        <f aca="false">IF(C4061="M.O.",VLOOKUP(A4061,INSUMOS_AUX!A:F,6,0),0)</f>
        <v>0</v>
      </c>
    </row>
    <row r="4062" customFormat="false" ht="15" hidden="false" customHeight="false" outlineLevel="0" collapsed="false">
      <c r="A4062" s="154" t="n">
        <v>38383</v>
      </c>
      <c r="B4062" s="155" t="s">
        <v>2093</v>
      </c>
      <c r="C4062" s="148" t="s">
        <v>59</v>
      </c>
      <c r="D4062" s="156" t="s">
        <v>31</v>
      </c>
      <c r="E4062" s="154" t="n">
        <v>0.0173</v>
      </c>
      <c r="F4062" s="149" t="n">
        <f aca="false">IF(C4062="MAT.",VLOOKUP(A4062,INSUMOS_AUX!$A$3:$H$813,6,0),0)</f>
        <v>0</v>
      </c>
      <c r="G4062" s="149" t="n">
        <f aca="false">IF(C4062="M.O.",VLOOKUP(A4062,INSUMOS_AUX!A:F,6,0),0)</f>
        <v>0</v>
      </c>
    </row>
    <row r="4063" customFormat="false" ht="21" hidden="false" customHeight="false" outlineLevel="0" collapsed="false">
      <c r="A4063" s="154" t="n">
        <v>20065</v>
      </c>
      <c r="B4063" s="155" t="s">
        <v>2177</v>
      </c>
      <c r="C4063" s="148" t="str">
        <f aca="false">VLOOKUP($A4063,INSUMOS_AUX!$A$3:$H$813,3,0)</f>
        <v>MAT.</v>
      </c>
      <c r="D4063" s="156" t="s">
        <v>1455</v>
      </c>
      <c r="E4063" s="154" t="n">
        <v>1.0549</v>
      </c>
      <c r="F4063" s="149" t="n">
        <f aca="false">IF(C4063="MAT.",VLOOKUP(A4063,INSUMOS_AUX!$A$3:$H$813,6,0),0)</f>
        <v>41.4</v>
      </c>
      <c r="G4063" s="149" t="n">
        <f aca="false">IF(C4063="M.O.",VLOOKUP(A4063,INSUMOS_AUX!A:F,6,0),0)</f>
        <v>0</v>
      </c>
    </row>
    <row r="4064" customFormat="false" ht="15" hidden="false" customHeight="false" outlineLevel="0" collapsed="false">
      <c r="A4064" s="154" t="n">
        <v>246</v>
      </c>
      <c r="B4064" s="155" t="s">
        <v>1752</v>
      </c>
      <c r="C4064" s="148" t="str">
        <f aca="false">VLOOKUP($A4064,INSUMOS_AUX!$A$3:$H$813,3,0)</f>
        <v>M.O.</v>
      </c>
      <c r="D4064" s="156" t="s">
        <v>1444</v>
      </c>
      <c r="E4064" s="154" t="n">
        <v>0.316998972</v>
      </c>
      <c r="F4064" s="149" t="n">
        <f aca="false">IF(C4064="MAT.",VLOOKUP(A4064,INSUMOS_AUX!$A$3:$H$813,6,0),0)</f>
        <v>0</v>
      </c>
      <c r="G4064" s="149" t="n">
        <f aca="false">IF(C4064="M.O.",VLOOKUP(A4064,INSUMOS_AUX!A:F,6,0),0)</f>
        <v>13.26</v>
      </c>
    </row>
    <row r="4065" customFormat="false" ht="15" hidden="false" customHeight="false" outlineLevel="0" collapsed="false">
      <c r="A4065" s="154" t="n">
        <v>2696</v>
      </c>
      <c r="B4065" s="155" t="s">
        <v>1483</v>
      </c>
      <c r="C4065" s="148" t="str">
        <f aca="false">VLOOKUP($A4065,INSUMOS_AUX!$A$3:$H$813,3,0)</f>
        <v>M.O.</v>
      </c>
      <c r="D4065" s="156" t="s">
        <v>1444</v>
      </c>
      <c r="E4065" s="154" t="n">
        <v>0.316998972</v>
      </c>
      <c r="F4065" s="149" t="n">
        <f aca="false">IF(C4065="MAT.",VLOOKUP(A4065,INSUMOS_AUX!$A$3:$H$813,6,0),0)</f>
        <v>0</v>
      </c>
      <c r="G4065" s="149" t="n">
        <f aca="false">IF(C4065="M.O.",VLOOKUP(A4065,INSUMOS_AUX!A:F,6,0),0)</f>
        <v>20.22</v>
      </c>
    </row>
    <row r="4066" customFormat="false" ht="31.5" hidden="false" customHeight="false" outlineLevel="0" collapsed="false">
      <c r="A4066" s="150" t="n">
        <v>89711</v>
      </c>
      <c r="B4066" s="151" t="s">
        <v>2178</v>
      </c>
      <c r="C4066" s="152" t="s">
        <v>59</v>
      </c>
      <c r="D4066" s="152" t="s">
        <v>1455</v>
      </c>
      <c r="E4066" s="150"/>
      <c r="F4066" s="153" t="n">
        <f aca="false">(SUMPRODUCT($E4067:$E4076,F4067:F4076))*1</f>
        <v>11.358825</v>
      </c>
      <c r="G4066" s="153" t="n">
        <f aca="false">(SUMPRODUCT($E4067:$E4076,G4067:G4076))*1</f>
        <v>6.0309817908</v>
      </c>
    </row>
    <row r="4067" customFormat="false" ht="21" hidden="false" customHeight="false" outlineLevel="0" collapsed="false">
      <c r="A4067" s="154" t="n">
        <v>37370</v>
      </c>
      <c r="B4067" s="155" t="s">
        <v>1443</v>
      </c>
      <c r="C4067" s="148" t="str">
        <f aca="false">VLOOKUP($A4067,INSUMOS_AUX!$A$3:$H$813,3,0)</f>
        <v>MAT.</v>
      </c>
      <c r="D4067" s="156" t="s">
        <v>1444</v>
      </c>
      <c r="E4067" s="154" t="n">
        <v>0.586</v>
      </c>
      <c r="F4067" s="149" t="n">
        <f aca="false">IF(C4067="MAT.",VLOOKUP(A4067,INSUMOS_AUX!$A$3:$H$813,6,0),0)</f>
        <v>3.32</v>
      </c>
      <c r="G4067" s="149" t="n">
        <f aca="false">IF(C4067="M.O.",VLOOKUP(A4067,INSUMOS_AUX!A:F,6,0),0)</f>
        <v>0</v>
      </c>
    </row>
    <row r="4068" customFormat="false" ht="21" hidden="false" customHeight="false" outlineLevel="0" collapsed="false">
      <c r="A4068" s="154" t="n">
        <v>43485</v>
      </c>
      <c r="B4068" s="155" t="s">
        <v>1481</v>
      </c>
      <c r="C4068" s="148" t="str">
        <f aca="false">VLOOKUP($A4068,INSUMOS_AUX!$A$3:$H$813,3,0)</f>
        <v>MAT.</v>
      </c>
      <c r="D4068" s="156" t="s">
        <v>1444</v>
      </c>
      <c r="E4068" s="154" t="n">
        <v>0.586</v>
      </c>
      <c r="F4068" s="149" t="n">
        <f aca="false">IF(C4068="MAT.",VLOOKUP(A4068,INSUMOS_AUX!$A$3:$H$813,6,0),0)</f>
        <v>1.13</v>
      </c>
      <c r="G4068" s="149" t="n">
        <f aca="false">IF(C4068="M.O.",VLOOKUP(A4068,INSUMOS_AUX!A:F,6,0),0)</f>
        <v>0</v>
      </c>
    </row>
    <row r="4069" customFormat="false" ht="21" hidden="false" customHeight="false" outlineLevel="0" collapsed="false">
      <c r="A4069" s="154" t="n">
        <v>37372</v>
      </c>
      <c r="B4069" s="155" t="s">
        <v>1446</v>
      </c>
      <c r="C4069" s="148" t="str">
        <f aca="false">VLOOKUP($A4069,INSUMOS_AUX!$A$3:$H$813,3,0)</f>
        <v>MAT.</v>
      </c>
      <c r="D4069" s="156" t="s">
        <v>1444</v>
      </c>
      <c r="E4069" s="154" t="n">
        <v>0.586</v>
      </c>
      <c r="F4069" s="149" t="n">
        <f aca="false">IF(C4069="MAT.",VLOOKUP(A4069,INSUMOS_AUX!$A$3:$H$813,6,0),0)</f>
        <v>1.43</v>
      </c>
      <c r="G4069" s="149" t="n">
        <f aca="false">IF(C4069="M.O.",VLOOKUP(A4069,INSUMOS_AUX!A:F,6,0),0)</f>
        <v>0</v>
      </c>
    </row>
    <row r="4070" customFormat="false" ht="21" hidden="false" customHeight="false" outlineLevel="0" collapsed="false">
      <c r="A4070" s="154" t="n">
        <v>43461</v>
      </c>
      <c r="B4070" s="155" t="s">
        <v>1482</v>
      </c>
      <c r="C4070" s="148" t="str">
        <f aca="false">VLOOKUP($A4070,INSUMOS_AUX!$A$3:$H$813,3,0)</f>
        <v>MAT.</v>
      </c>
      <c r="D4070" s="156" t="s">
        <v>1444</v>
      </c>
      <c r="E4070" s="154" t="n">
        <v>0.586</v>
      </c>
      <c r="F4070" s="149" t="n">
        <f aca="false">IF(C4070="MAT.",VLOOKUP(A4070,INSUMOS_AUX!$A$3:$H$813,6,0),0)</f>
        <v>0.31</v>
      </c>
      <c r="G4070" s="149" t="n">
        <f aca="false">IF(C4070="M.O.",VLOOKUP(A4070,INSUMOS_AUX!A:F,6,0),0)</f>
        <v>0</v>
      </c>
    </row>
    <row r="4071" customFormat="false" ht="21" hidden="false" customHeight="false" outlineLevel="0" collapsed="false">
      <c r="A4071" s="154" t="n">
        <v>37373</v>
      </c>
      <c r="B4071" s="155" t="s">
        <v>1448</v>
      </c>
      <c r="C4071" s="148" t="str">
        <f aca="false">VLOOKUP($A4071,INSUMOS_AUX!$A$3:$H$813,3,0)</f>
        <v>MAT.</v>
      </c>
      <c r="D4071" s="156" t="s">
        <v>1444</v>
      </c>
      <c r="E4071" s="154" t="n">
        <v>0.586</v>
      </c>
      <c r="F4071" s="149" t="n">
        <f aca="false">IF(C4071="MAT.",VLOOKUP(A4071,INSUMOS_AUX!$A$3:$H$813,6,0),0)</f>
        <v>0.08</v>
      </c>
      <c r="G4071" s="149" t="n">
        <f aca="false">IF(C4071="M.O.",VLOOKUP(A4071,INSUMOS_AUX!A:F,6,0),0)</f>
        <v>0</v>
      </c>
    </row>
    <row r="4072" customFormat="false" ht="21" hidden="false" customHeight="false" outlineLevel="0" collapsed="false">
      <c r="A4072" s="154" t="n">
        <v>37371</v>
      </c>
      <c r="B4072" s="155" t="s">
        <v>1449</v>
      </c>
      <c r="C4072" s="148" t="str">
        <f aca="false">VLOOKUP($A4072,INSUMOS_AUX!$A$3:$H$813,3,0)</f>
        <v>MAT.</v>
      </c>
      <c r="D4072" s="156" t="s">
        <v>1444</v>
      </c>
      <c r="E4072" s="154" t="n">
        <v>0.586</v>
      </c>
      <c r="F4072" s="149" t="n">
        <f aca="false">IF(C4072="MAT.",VLOOKUP(A4072,INSUMOS_AUX!$A$3:$H$813,6,0),0)</f>
        <v>0.59</v>
      </c>
      <c r="G4072" s="149" t="n">
        <f aca="false">IF(C4072="M.O.",VLOOKUP(A4072,INSUMOS_AUX!A:F,6,0),0)</f>
        <v>0</v>
      </c>
    </row>
    <row r="4073" customFormat="false" ht="15" hidden="false" customHeight="false" outlineLevel="0" collapsed="false">
      <c r="A4073" s="154" t="n">
        <v>38383</v>
      </c>
      <c r="B4073" s="155" t="s">
        <v>2093</v>
      </c>
      <c r="C4073" s="148" t="str">
        <f aca="false">VLOOKUP($A4073,INSUMOS_AUX!$A$3:$H$813,3,0)</f>
        <v>MAT.</v>
      </c>
      <c r="D4073" s="156" t="s">
        <v>31</v>
      </c>
      <c r="E4073" s="154" t="n">
        <v>0.0163</v>
      </c>
      <c r="F4073" s="149" t="n">
        <f aca="false">IF(C4073="MAT.",VLOOKUP(A4073,INSUMOS_AUX!$A$3:$H$813,6,0),0)</f>
        <v>2.39</v>
      </c>
      <c r="G4073" s="149" t="n">
        <f aca="false">IF(C4073="M.O.",VLOOKUP(A4073,INSUMOS_AUX!A:F,6,0),0)</f>
        <v>0</v>
      </c>
    </row>
    <row r="4074" customFormat="false" ht="21" hidden="false" customHeight="false" outlineLevel="0" collapsed="false">
      <c r="A4074" s="154" t="n">
        <v>9835</v>
      </c>
      <c r="B4074" s="155" t="s">
        <v>2179</v>
      </c>
      <c r="C4074" s="148" t="str">
        <f aca="false">VLOOKUP($A4074,INSUMOS_AUX!$A$3:$H$813,3,0)</f>
        <v>MAT.</v>
      </c>
      <c r="D4074" s="156" t="s">
        <v>1455</v>
      </c>
      <c r="E4074" s="154" t="n">
        <v>1.0549</v>
      </c>
      <c r="F4074" s="149" t="n">
        <f aca="false">IF(C4074="MAT.",VLOOKUP(A4074,INSUMOS_AUX!$A$3:$H$813,6,0),0)</f>
        <v>6.92</v>
      </c>
      <c r="G4074" s="149" t="n">
        <f aca="false">IF(C4074="M.O.",VLOOKUP(A4074,INSUMOS_AUX!A:F,6,0),0)</f>
        <v>0</v>
      </c>
    </row>
    <row r="4075" customFormat="false" ht="15" hidden="false" customHeight="false" outlineLevel="0" collapsed="false">
      <c r="A4075" s="154" t="n">
        <v>246</v>
      </c>
      <c r="B4075" s="155" t="s">
        <v>1752</v>
      </c>
      <c r="C4075" s="148" t="s">
        <v>59</v>
      </c>
      <c r="D4075" s="156" t="s">
        <v>1444</v>
      </c>
      <c r="E4075" s="154" t="n">
        <v>0.29826814</v>
      </c>
      <c r="F4075" s="149" t="n">
        <f aca="false">IF(C4075="MAT.",VLOOKUP(A4075,INSUMOS_AUX!$A$3:$H$813,6,0),0)</f>
        <v>0</v>
      </c>
      <c r="G4075" s="149" t="n">
        <f aca="false">IF(C4075="M.O.",VLOOKUP(A4075,INSUMOS_AUX!A:F,6,0),0)</f>
        <v>0</v>
      </c>
    </row>
    <row r="4076" customFormat="false" ht="15" hidden="false" customHeight="false" outlineLevel="0" collapsed="false">
      <c r="A4076" s="154" t="n">
        <v>2696</v>
      </c>
      <c r="B4076" s="155" t="s">
        <v>1483</v>
      </c>
      <c r="C4076" s="148" t="str">
        <f aca="false">VLOOKUP($A4076,INSUMOS_AUX!$A$3:$H$813,3,0)</f>
        <v>M.O.</v>
      </c>
      <c r="D4076" s="156" t="s">
        <v>1444</v>
      </c>
      <c r="E4076" s="154" t="n">
        <v>0.29826814</v>
      </c>
      <c r="F4076" s="149" t="n">
        <f aca="false">IF(C4076="MAT.",VLOOKUP(A4076,INSUMOS_AUX!$A$3:$H$813,6,0),0)</f>
        <v>0</v>
      </c>
      <c r="G4076" s="149" t="n">
        <f aca="false">IF(C4076="M.O.",VLOOKUP(A4076,INSUMOS_AUX!A:F,6,0),0)</f>
        <v>20.22</v>
      </c>
    </row>
    <row r="4077" customFormat="false" ht="31.5" hidden="false" customHeight="false" outlineLevel="0" collapsed="false">
      <c r="A4077" s="150" t="n">
        <v>89798</v>
      </c>
      <c r="B4077" s="151" t="s">
        <v>2180</v>
      </c>
      <c r="C4077" s="152" t="s">
        <v>59</v>
      </c>
      <c r="D4077" s="152" t="s">
        <v>1455</v>
      </c>
      <c r="E4077" s="150"/>
      <c r="F4077" s="153" t="n">
        <f aca="false">(SUMPRODUCT($E4078:$E4087,F4078:F4087))*1</f>
        <v>12.681857</v>
      </c>
      <c r="G4077" s="153" t="n">
        <f aca="false">(SUMPRODUCT($E4078:$E4087,G4078:G4087))*1</f>
        <v>0.5601842142</v>
      </c>
    </row>
    <row r="4078" customFormat="false" ht="21" hidden="false" customHeight="false" outlineLevel="0" collapsed="false">
      <c r="A4078" s="154" t="n">
        <v>37370</v>
      </c>
      <c r="B4078" s="155" t="s">
        <v>1443</v>
      </c>
      <c r="C4078" s="148" t="str">
        <f aca="false">VLOOKUP($A4078,INSUMOS_AUX!$A$3:$H$813,3,0)</f>
        <v>MAT.</v>
      </c>
      <c r="D4078" s="156" t="s">
        <v>1444</v>
      </c>
      <c r="E4078" s="154" t="n">
        <v>0.083</v>
      </c>
      <c r="F4078" s="149" t="n">
        <f aca="false">IF(C4078="MAT.",VLOOKUP(A4078,INSUMOS_AUX!$A$3:$H$813,6,0),0)</f>
        <v>3.32</v>
      </c>
      <c r="G4078" s="149" t="n">
        <f aca="false">IF(C4078="M.O.",VLOOKUP(A4078,INSUMOS_AUX!A:F,6,0),0)</f>
        <v>0</v>
      </c>
    </row>
    <row r="4079" customFormat="false" ht="21" hidden="false" customHeight="false" outlineLevel="0" collapsed="false">
      <c r="A4079" s="154" t="n">
        <v>43485</v>
      </c>
      <c r="B4079" s="155" t="s">
        <v>1481</v>
      </c>
      <c r="C4079" s="148" t="str">
        <f aca="false">VLOOKUP($A4079,INSUMOS_AUX!$A$3:$H$813,3,0)</f>
        <v>MAT.</v>
      </c>
      <c r="D4079" s="156" t="s">
        <v>1444</v>
      </c>
      <c r="E4079" s="154" t="n">
        <v>0.083</v>
      </c>
      <c r="F4079" s="149" t="n">
        <f aca="false">IF(C4079="MAT.",VLOOKUP(A4079,INSUMOS_AUX!$A$3:$H$813,6,0),0)</f>
        <v>1.13</v>
      </c>
      <c r="G4079" s="149" t="n">
        <f aca="false">IF(C4079="M.O.",VLOOKUP(A4079,INSUMOS_AUX!A:F,6,0),0)</f>
        <v>0</v>
      </c>
    </row>
    <row r="4080" customFormat="false" ht="21" hidden="false" customHeight="false" outlineLevel="0" collapsed="false">
      <c r="A4080" s="154" t="n">
        <v>37372</v>
      </c>
      <c r="B4080" s="155" t="s">
        <v>1446</v>
      </c>
      <c r="C4080" s="148" t="str">
        <f aca="false">VLOOKUP($A4080,INSUMOS_AUX!$A$3:$H$813,3,0)</f>
        <v>MAT.</v>
      </c>
      <c r="D4080" s="156" t="s">
        <v>1444</v>
      </c>
      <c r="E4080" s="154" t="n">
        <v>0.083</v>
      </c>
      <c r="F4080" s="149" t="n">
        <f aca="false">IF(C4080="MAT.",VLOOKUP(A4080,INSUMOS_AUX!$A$3:$H$813,6,0),0)</f>
        <v>1.43</v>
      </c>
      <c r="G4080" s="149" t="n">
        <f aca="false">IF(C4080="M.O.",VLOOKUP(A4080,INSUMOS_AUX!A:F,6,0),0)</f>
        <v>0</v>
      </c>
    </row>
    <row r="4081" customFormat="false" ht="21" hidden="false" customHeight="false" outlineLevel="0" collapsed="false">
      <c r="A4081" s="154" t="n">
        <v>43461</v>
      </c>
      <c r="B4081" s="155" t="s">
        <v>1482</v>
      </c>
      <c r="C4081" s="148" t="str">
        <f aca="false">VLOOKUP($A4081,INSUMOS_AUX!$A$3:$H$813,3,0)</f>
        <v>MAT.</v>
      </c>
      <c r="D4081" s="156" t="s">
        <v>1444</v>
      </c>
      <c r="E4081" s="154" t="n">
        <v>0.083</v>
      </c>
      <c r="F4081" s="149" t="n">
        <f aca="false">IF(C4081="MAT.",VLOOKUP(A4081,INSUMOS_AUX!$A$3:$H$813,6,0),0)</f>
        <v>0.31</v>
      </c>
      <c r="G4081" s="149" t="n">
        <f aca="false">IF(C4081="M.O.",VLOOKUP(A4081,INSUMOS_AUX!A:F,6,0),0)</f>
        <v>0</v>
      </c>
    </row>
    <row r="4082" customFormat="false" ht="21" hidden="false" customHeight="false" outlineLevel="0" collapsed="false">
      <c r="A4082" s="154" t="n">
        <v>37373</v>
      </c>
      <c r="B4082" s="155" t="s">
        <v>1448</v>
      </c>
      <c r="C4082" s="148" t="str">
        <f aca="false">VLOOKUP($A4082,INSUMOS_AUX!$A$3:$H$813,3,0)</f>
        <v>MAT.</v>
      </c>
      <c r="D4082" s="156" t="s">
        <v>1444</v>
      </c>
      <c r="E4082" s="154" t="n">
        <v>0.083</v>
      </c>
      <c r="F4082" s="149" t="n">
        <f aca="false">IF(C4082="MAT.",VLOOKUP(A4082,INSUMOS_AUX!$A$3:$H$813,6,0),0)</f>
        <v>0.08</v>
      </c>
      <c r="G4082" s="149" t="n">
        <f aca="false">IF(C4082="M.O.",VLOOKUP(A4082,INSUMOS_AUX!A:F,6,0),0)</f>
        <v>0</v>
      </c>
    </row>
    <row r="4083" customFormat="false" ht="21" hidden="false" customHeight="false" outlineLevel="0" collapsed="false">
      <c r="A4083" s="154" t="n">
        <v>37371</v>
      </c>
      <c r="B4083" s="155" t="s">
        <v>1449</v>
      </c>
      <c r="C4083" s="148" t="str">
        <f aca="false">VLOOKUP($A4083,INSUMOS_AUX!$A$3:$H$813,3,0)</f>
        <v>MAT.</v>
      </c>
      <c r="D4083" s="156" t="s">
        <v>1444</v>
      </c>
      <c r="E4083" s="154" t="n">
        <v>0.083</v>
      </c>
      <c r="F4083" s="149" t="n">
        <f aca="false">IF(C4083="MAT.",VLOOKUP(A4083,INSUMOS_AUX!$A$3:$H$813,6,0),0)</f>
        <v>0.59</v>
      </c>
      <c r="G4083" s="149" t="n">
        <f aca="false">IF(C4083="M.O.",VLOOKUP(A4083,INSUMOS_AUX!A:F,6,0),0)</f>
        <v>0</v>
      </c>
    </row>
    <row r="4084" customFormat="false" ht="15" hidden="false" customHeight="false" outlineLevel="0" collapsed="false">
      <c r="A4084" s="154" t="n">
        <v>38383</v>
      </c>
      <c r="B4084" s="155" t="s">
        <v>2093</v>
      </c>
      <c r="C4084" s="148" t="str">
        <f aca="false">VLOOKUP($A4084,INSUMOS_AUX!$A$3:$H$813,3,0)</f>
        <v>MAT.</v>
      </c>
      <c r="D4084" s="156" t="s">
        <v>31</v>
      </c>
      <c r="E4084" s="154" t="n">
        <v>0.023</v>
      </c>
      <c r="F4084" s="149" t="n">
        <f aca="false">IF(C4084="MAT.",VLOOKUP(A4084,INSUMOS_AUX!$A$3:$H$813,6,0),0)</f>
        <v>2.39</v>
      </c>
      <c r="G4084" s="149" t="n">
        <f aca="false">IF(C4084="M.O.",VLOOKUP(A4084,INSUMOS_AUX!A:F,6,0),0)</f>
        <v>0</v>
      </c>
    </row>
    <row r="4085" customFormat="false" ht="21" hidden="false" customHeight="false" outlineLevel="0" collapsed="false">
      <c r="A4085" s="154" t="n">
        <v>9838</v>
      </c>
      <c r="B4085" s="155" t="s">
        <v>2181</v>
      </c>
      <c r="C4085" s="148" t="str">
        <f aca="false">VLOOKUP($A4085,INSUMOS_AUX!$A$3:$H$813,3,0)</f>
        <v>MAT.</v>
      </c>
      <c r="D4085" s="156" t="s">
        <v>1455</v>
      </c>
      <c r="E4085" s="154" t="n">
        <v>1.0549</v>
      </c>
      <c r="F4085" s="149" t="n">
        <f aca="false">IF(C4085="MAT.",VLOOKUP(A4085,INSUMOS_AUX!$A$3:$H$813,6,0),0)</f>
        <v>11.43</v>
      </c>
      <c r="G4085" s="149" t="n">
        <f aca="false">IF(C4085="M.O.",VLOOKUP(A4085,INSUMOS_AUX!A:F,6,0),0)</f>
        <v>0</v>
      </c>
    </row>
    <row r="4086" customFormat="false" ht="15" hidden="false" customHeight="false" outlineLevel="0" collapsed="false">
      <c r="A4086" s="154" t="n">
        <v>246</v>
      </c>
      <c r="B4086" s="155" t="s">
        <v>1752</v>
      </c>
      <c r="C4086" s="148" t="str">
        <f aca="false">VLOOKUP($A4086,INSUMOS_AUX!$A$3:$H$813,3,0)</f>
        <v>M.O.</v>
      </c>
      <c r="D4086" s="156" t="s">
        <v>1444</v>
      </c>
      <c r="E4086" s="154" t="n">
        <v>0.04224617</v>
      </c>
      <c r="F4086" s="149" t="n">
        <f aca="false">IF(C4086="MAT.",VLOOKUP(A4086,INSUMOS_AUX!$A$3:$H$813,6,0),0)</f>
        <v>0</v>
      </c>
      <c r="G4086" s="149" t="n">
        <f aca="false">IF(C4086="M.O.",VLOOKUP(A4086,INSUMOS_AUX!A:F,6,0),0)</f>
        <v>13.26</v>
      </c>
    </row>
    <row r="4087" customFormat="false" ht="15" hidden="false" customHeight="false" outlineLevel="0" collapsed="false">
      <c r="A4087" s="154" t="n">
        <v>2696</v>
      </c>
      <c r="B4087" s="155" t="s">
        <v>1483</v>
      </c>
      <c r="C4087" s="148" t="s">
        <v>59</v>
      </c>
      <c r="D4087" s="156" t="s">
        <v>1444</v>
      </c>
      <c r="E4087" s="154" t="n">
        <v>0.04224617</v>
      </c>
      <c r="F4087" s="149" t="n">
        <f aca="false">IF(C4087="MAT.",VLOOKUP(A4087,INSUMOS_AUX!$A$3:$H$813,6,0),0)</f>
        <v>0</v>
      </c>
      <c r="G4087" s="149" t="n">
        <f aca="false">IF(C4087="M.O.",VLOOKUP(A4087,INSUMOS_AUX!A:F,6,0),0)</f>
        <v>0</v>
      </c>
    </row>
    <row r="4088" customFormat="false" ht="31.5" hidden="false" customHeight="false" outlineLevel="0" collapsed="false">
      <c r="A4088" s="150" t="n">
        <v>89799</v>
      </c>
      <c r="B4088" s="151" t="s">
        <v>2182</v>
      </c>
      <c r="C4088" s="152" t="s">
        <v>59</v>
      </c>
      <c r="D4088" s="152" t="s">
        <v>1455</v>
      </c>
      <c r="E4088" s="150"/>
      <c r="F4088" s="153" t="n">
        <f aca="false">(SUMPRODUCT($E4089:$E4098,F4089:F4098))*1</f>
        <v>17.934743</v>
      </c>
      <c r="G4088" s="153" t="n">
        <f aca="false">(SUMPRODUCT($E4089:$E4098,G4089:G4098))*1</f>
        <v>5.19409228896</v>
      </c>
    </row>
    <row r="4089" customFormat="false" ht="21" hidden="false" customHeight="false" outlineLevel="0" collapsed="false">
      <c r="A4089" s="154" t="n">
        <v>37370</v>
      </c>
      <c r="B4089" s="155" t="s">
        <v>1443</v>
      </c>
      <c r="C4089" s="148" t="str">
        <f aca="false">VLOOKUP($A4089,INSUMOS_AUX!$A$3:$H$813,3,0)</f>
        <v>MAT.</v>
      </c>
      <c r="D4089" s="156" t="s">
        <v>1444</v>
      </c>
      <c r="E4089" s="154" t="n">
        <v>0.3048</v>
      </c>
      <c r="F4089" s="149" t="n">
        <f aca="false">IF(C4089="MAT.",VLOOKUP(A4089,INSUMOS_AUX!$A$3:$H$813,6,0),0)</f>
        <v>3.32</v>
      </c>
      <c r="G4089" s="149" t="n">
        <f aca="false">IF(C4089="M.O.",VLOOKUP(A4089,INSUMOS_AUX!A:F,6,0),0)</f>
        <v>0</v>
      </c>
    </row>
    <row r="4090" customFormat="false" ht="21" hidden="false" customHeight="false" outlineLevel="0" collapsed="false">
      <c r="A4090" s="154" t="n">
        <v>43485</v>
      </c>
      <c r="B4090" s="155" t="s">
        <v>1481</v>
      </c>
      <c r="C4090" s="148" t="str">
        <f aca="false">VLOOKUP($A4090,INSUMOS_AUX!$A$3:$H$813,3,0)</f>
        <v>MAT.</v>
      </c>
      <c r="D4090" s="156" t="s">
        <v>1444</v>
      </c>
      <c r="E4090" s="154" t="n">
        <v>0.3048</v>
      </c>
      <c r="F4090" s="149" t="n">
        <f aca="false">IF(C4090="MAT.",VLOOKUP(A4090,INSUMOS_AUX!$A$3:$H$813,6,0),0)</f>
        <v>1.13</v>
      </c>
      <c r="G4090" s="149" t="n">
        <f aca="false">IF(C4090="M.O.",VLOOKUP(A4090,INSUMOS_AUX!A:F,6,0),0)</f>
        <v>0</v>
      </c>
    </row>
    <row r="4091" customFormat="false" ht="21" hidden="false" customHeight="false" outlineLevel="0" collapsed="false">
      <c r="A4091" s="154" t="n">
        <v>37372</v>
      </c>
      <c r="B4091" s="155" t="s">
        <v>1446</v>
      </c>
      <c r="C4091" s="148" t="str">
        <f aca="false">VLOOKUP($A4091,INSUMOS_AUX!$A$3:$H$813,3,0)</f>
        <v>MAT.</v>
      </c>
      <c r="D4091" s="156" t="s">
        <v>1444</v>
      </c>
      <c r="E4091" s="154" t="n">
        <v>0.3048</v>
      </c>
      <c r="F4091" s="149" t="n">
        <f aca="false">IF(C4091="MAT.",VLOOKUP(A4091,INSUMOS_AUX!$A$3:$H$813,6,0),0)</f>
        <v>1.43</v>
      </c>
      <c r="G4091" s="149" t="n">
        <f aca="false">IF(C4091="M.O.",VLOOKUP(A4091,INSUMOS_AUX!A:F,6,0),0)</f>
        <v>0</v>
      </c>
    </row>
    <row r="4092" customFormat="false" ht="21" hidden="false" customHeight="false" outlineLevel="0" collapsed="false">
      <c r="A4092" s="154" t="n">
        <v>43461</v>
      </c>
      <c r="B4092" s="155" t="s">
        <v>1482</v>
      </c>
      <c r="C4092" s="148" t="str">
        <f aca="false">VLOOKUP($A4092,INSUMOS_AUX!$A$3:$H$813,3,0)</f>
        <v>MAT.</v>
      </c>
      <c r="D4092" s="156" t="s">
        <v>1444</v>
      </c>
      <c r="E4092" s="154" t="n">
        <v>0.3048</v>
      </c>
      <c r="F4092" s="149" t="n">
        <f aca="false">IF(C4092="MAT.",VLOOKUP(A4092,INSUMOS_AUX!$A$3:$H$813,6,0),0)</f>
        <v>0.31</v>
      </c>
      <c r="G4092" s="149" t="n">
        <f aca="false">IF(C4092="M.O.",VLOOKUP(A4092,INSUMOS_AUX!A:F,6,0),0)</f>
        <v>0</v>
      </c>
    </row>
    <row r="4093" customFormat="false" ht="21" hidden="false" customHeight="false" outlineLevel="0" collapsed="false">
      <c r="A4093" s="154" t="n">
        <v>37373</v>
      </c>
      <c r="B4093" s="155" t="s">
        <v>1448</v>
      </c>
      <c r="C4093" s="148" t="str">
        <f aca="false">VLOOKUP($A4093,INSUMOS_AUX!$A$3:$H$813,3,0)</f>
        <v>MAT.</v>
      </c>
      <c r="D4093" s="156" t="s">
        <v>1444</v>
      </c>
      <c r="E4093" s="154" t="n">
        <v>0.3048</v>
      </c>
      <c r="F4093" s="149" t="n">
        <f aca="false">IF(C4093="MAT.",VLOOKUP(A4093,INSUMOS_AUX!$A$3:$H$813,6,0),0)</f>
        <v>0.08</v>
      </c>
      <c r="G4093" s="149" t="n">
        <f aca="false">IF(C4093="M.O.",VLOOKUP(A4093,INSUMOS_AUX!A:F,6,0),0)</f>
        <v>0</v>
      </c>
    </row>
    <row r="4094" customFormat="false" ht="21" hidden="false" customHeight="false" outlineLevel="0" collapsed="false">
      <c r="A4094" s="154" t="n">
        <v>37371</v>
      </c>
      <c r="B4094" s="155" t="s">
        <v>1449</v>
      </c>
      <c r="C4094" s="148" t="str">
        <f aca="false">VLOOKUP($A4094,INSUMOS_AUX!$A$3:$H$813,3,0)</f>
        <v>MAT.</v>
      </c>
      <c r="D4094" s="156" t="s">
        <v>1444</v>
      </c>
      <c r="E4094" s="154" t="n">
        <v>0.3048</v>
      </c>
      <c r="F4094" s="149" t="n">
        <f aca="false">IF(C4094="MAT.",VLOOKUP(A4094,INSUMOS_AUX!$A$3:$H$813,6,0),0)</f>
        <v>0.59</v>
      </c>
      <c r="G4094" s="149" t="n">
        <f aca="false">IF(C4094="M.O.",VLOOKUP(A4094,INSUMOS_AUX!A:F,6,0),0)</f>
        <v>0</v>
      </c>
    </row>
    <row r="4095" customFormat="false" ht="15" hidden="false" customHeight="false" outlineLevel="0" collapsed="false">
      <c r="A4095" s="154" t="n">
        <v>38383</v>
      </c>
      <c r="B4095" s="155" t="s">
        <v>2093</v>
      </c>
      <c r="C4095" s="148" t="str">
        <f aca="false">VLOOKUP($A4095,INSUMOS_AUX!$A$3:$H$813,3,0)</f>
        <v>MAT.</v>
      </c>
      <c r="D4095" s="156" t="s">
        <v>31</v>
      </c>
      <c r="E4095" s="154" t="n">
        <v>0.0085</v>
      </c>
      <c r="F4095" s="149" t="n">
        <f aca="false">IF(C4095="MAT.",VLOOKUP(A4095,INSUMOS_AUX!$A$3:$H$813,6,0),0)</f>
        <v>2.39</v>
      </c>
      <c r="G4095" s="149" t="n">
        <f aca="false">IF(C4095="M.O.",VLOOKUP(A4095,INSUMOS_AUX!A:F,6,0),0)</f>
        <v>0</v>
      </c>
    </row>
    <row r="4096" customFormat="false" ht="21" hidden="false" customHeight="false" outlineLevel="0" collapsed="false">
      <c r="A4096" s="154" t="n">
        <v>9837</v>
      </c>
      <c r="B4096" s="155" t="s">
        <v>2183</v>
      </c>
      <c r="C4096" s="148" t="str">
        <f aca="false">VLOOKUP($A4096,INSUMOS_AUX!$A$3:$H$813,3,0)</f>
        <v>MAT.</v>
      </c>
      <c r="D4096" s="156" t="s">
        <v>1455</v>
      </c>
      <c r="E4096" s="154" t="n">
        <v>1.0549</v>
      </c>
      <c r="F4096" s="149" t="n">
        <f aca="false">IF(C4096="MAT.",VLOOKUP(A4096,INSUMOS_AUX!$A$3:$H$813,6,0),0)</f>
        <v>15</v>
      </c>
      <c r="G4096" s="149" t="n">
        <f aca="false">IF(C4096="M.O.",VLOOKUP(A4096,INSUMOS_AUX!A:F,6,0),0)</f>
        <v>0</v>
      </c>
    </row>
    <row r="4097" customFormat="false" ht="15" hidden="false" customHeight="false" outlineLevel="0" collapsed="false">
      <c r="A4097" s="154" t="n">
        <v>246</v>
      </c>
      <c r="B4097" s="155" t="s">
        <v>1752</v>
      </c>
      <c r="C4097" s="148" t="str">
        <f aca="false">VLOOKUP($A4097,INSUMOS_AUX!$A$3:$H$813,3,0)</f>
        <v>M.O.</v>
      </c>
      <c r="D4097" s="156" t="s">
        <v>1444</v>
      </c>
      <c r="E4097" s="154" t="n">
        <v>0.155140152</v>
      </c>
      <c r="F4097" s="149" t="n">
        <f aca="false">IF(C4097="MAT.",VLOOKUP(A4097,INSUMOS_AUX!$A$3:$H$813,6,0),0)</f>
        <v>0</v>
      </c>
      <c r="G4097" s="149" t="n">
        <f aca="false">IF(C4097="M.O.",VLOOKUP(A4097,INSUMOS_AUX!A:F,6,0),0)</f>
        <v>13.26</v>
      </c>
    </row>
    <row r="4098" customFormat="false" ht="15" hidden="false" customHeight="false" outlineLevel="0" collapsed="false">
      <c r="A4098" s="154" t="n">
        <v>2696</v>
      </c>
      <c r="B4098" s="155" t="s">
        <v>1483</v>
      </c>
      <c r="C4098" s="148" t="str">
        <f aca="false">VLOOKUP($A4098,INSUMOS_AUX!$A$3:$H$813,3,0)</f>
        <v>M.O.</v>
      </c>
      <c r="D4098" s="156" t="s">
        <v>1444</v>
      </c>
      <c r="E4098" s="154" t="n">
        <v>0.155140152</v>
      </c>
      <c r="F4098" s="149" t="n">
        <f aca="false">IF(C4098="MAT.",VLOOKUP(A4098,INSUMOS_AUX!$A$3:$H$813,6,0),0)</f>
        <v>0</v>
      </c>
      <c r="G4098" s="149" t="n">
        <f aca="false">IF(C4098="M.O.",VLOOKUP(A4098,INSUMOS_AUX!A:F,6,0),0)</f>
        <v>20.22</v>
      </c>
    </row>
    <row r="4099" customFormat="false" ht="31.5" hidden="false" customHeight="false" outlineLevel="0" collapsed="false">
      <c r="A4099" s="150" t="n">
        <v>104352</v>
      </c>
      <c r="B4099" s="151" t="s">
        <v>2184</v>
      </c>
      <c r="C4099" s="152" t="s">
        <v>59</v>
      </c>
      <c r="D4099" s="152" t="s">
        <v>31</v>
      </c>
      <c r="E4099" s="150"/>
      <c r="F4099" s="153" t="n">
        <f aca="false">(SUMPRODUCT($E4100:$E4111,F4100:F4111))*1</f>
        <v>32.273476</v>
      </c>
      <c r="G4099" s="153" t="n">
        <f aca="false">(SUMPRODUCT($E4100:$E4111,G4100:G4111))*1</f>
        <v>7.09927443432</v>
      </c>
    </row>
    <row r="4100" customFormat="false" ht="21" hidden="false" customHeight="false" outlineLevel="0" collapsed="false">
      <c r="A4100" s="154" t="n">
        <v>37370</v>
      </c>
      <c r="B4100" s="155" t="s">
        <v>1443</v>
      </c>
      <c r="C4100" s="148" t="str">
        <f aca="false">VLOOKUP($A4100,INSUMOS_AUX!$A$3:$H$813,3,0)</f>
        <v>MAT.</v>
      </c>
      <c r="D4100" s="156" t="s">
        <v>1444</v>
      </c>
      <c r="E4100" s="154" t="n">
        <v>0.4166</v>
      </c>
      <c r="F4100" s="149" t="n">
        <f aca="false">IF(C4100="MAT.",VLOOKUP(A4100,INSUMOS_AUX!$A$3:$H$813,6,0),0)</f>
        <v>3.32</v>
      </c>
      <c r="G4100" s="149" t="n">
        <f aca="false">IF(C4100="M.O.",VLOOKUP(A4100,INSUMOS_AUX!A:F,6,0),0)</f>
        <v>0</v>
      </c>
    </row>
    <row r="4101" customFormat="false" ht="21" hidden="false" customHeight="false" outlineLevel="0" collapsed="false">
      <c r="A4101" s="154" t="n">
        <v>43485</v>
      </c>
      <c r="B4101" s="155" t="s">
        <v>1481</v>
      </c>
      <c r="C4101" s="148" t="str">
        <f aca="false">VLOOKUP($A4101,INSUMOS_AUX!$A$3:$H$813,3,0)</f>
        <v>MAT.</v>
      </c>
      <c r="D4101" s="156" t="s">
        <v>1444</v>
      </c>
      <c r="E4101" s="154" t="n">
        <v>0.4166</v>
      </c>
      <c r="F4101" s="149" t="n">
        <f aca="false">IF(C4101="MAT.",VLOOKUP(A4101,INSUMOS_AUX!$A$3:$H$813,6,0),0)</f>
        <v>1.13</v>
      </c>
      <c r="G4101" s="149" t="n">
        <f aca="false">IF(C4101="M.O.",VLOOKUP(A4101,INSUMOS_AUX!A:F,6,0),0)</f>
        <v>0</v>
      </c>
    </row>
    <row r="4102" customFormat="false" ht="21" hidden="false" customHeight="false" outlineLevel="0" collapsed="false">
      <c r="A4102" s="154" t="n">
        <v>37372</v>
      </c>
      <c r="B4102" s="155" t="s">
        <v>1446</v>
      </c>
      <c r="C4102" s="148" t="str">
        <f aca="false">VLOOKUP($A4102,INSUMOS_AUX!$A$3:$H$813,3,0)</f>
        <v>MAT.</v>
      </c>
      <c r="D4102" s="156" t="s">
        <v>1444</v>
      </c>
      <c r="E4102" s="154" t="n">
        <v>0.4166</v>
      </c>
      <c r="F4102" s="149" t="n">
        <f aca="false">IF(C4102="MAT.",VLOOKUP(A4102,INSUMOS_AUX!$A$3:$H$813,6,0),0)</f>
        <v>1.43</v>
      </c>
      <c r="G4102" s="149" t="n">
        <f aca="false">IF(C4102="M.O.",VLOOKUP(A4102,INSUMOS_AUX!A:F,6,0),0)</f>
        <v>0</v>
      </c>
    </row>
    <row r="4103" customFormat="false" ht="21" hidden="false" customHeight="false" outlineLevel="0" collapsed="false">
      <c r="A4103" s="154" t="n">
        <v>43461</v>
      </c>
      <c r="B4103" s="155" t="s">
        <v>1482</v>
      </c>
      <c r="C4103" s="148" t="str">
        <f aca="false">VLOOKUP($A4103,INSUMOS_AUX!$A$3:$H$813,3,0)</f>
        <v>MAT.</v>
      </c>
      <c r="D4103" s="156" t="s">
        <v>1444</v>
      </c>
      <c r="E4103" s="154" t="n">
        <v>0.4166</v>
      </c>
      <c r="F4103" s="149" t="n">
        <f aca="false">IF(C4103="MAT.",VLOOKUP(A4103,INSUMOS_AUX!$A$3:$H$813,6,0),0)</f>
        <v>0.31</v>
      </c>
      <c r="G4103" s="149" t="n">
        <f aca="false">IF(C4103="M.O.",VLOOKUP(A4103,INSUMOS_AUX!A:F,6,0),0)</f>
        <v>0</v>
      </c>
    </row>
    <row r="4104" customFormat="false" ht="21" hidden="false" customHeight="false" outlineLevel="0" collapsed="false">
      <c r="A4104" s="154" t="n">
        <v>37373</v>
      </c>
      <c r="B4104" s="155" t="s">
        <v>1448</v>
      </c>
      <c r="C4104" s="148" t="str">
        <f aca="false">VLOOKUP($A4104,INSUMOS_AUX!$A$3:$H$813,3,0)</f>
        <v>MAT.</v>
      </c>
      <c r="D4104" s="156" t="s">
        <v>1444</v>
      </c>
      <c r="E4104" s="154" t="n">
        <v>0.4166</v>
      </c>
      <c r="F4104" s="149" t="n">
        <f aca="false">IF(C4104="MAT.",VLOOKUP(A4104,INSUMOS_AUX!$A$3:$H$813,6,0),0)</f>
        <v>0.08</v>
      </c>
      <c r="G4104" s="149" t="n">
        <f aca="false">IF(C4104="M.O.",VLOOKUP(A4104,INSUMOS_AUX!A:F,6,0),0)</f>
        <v>0</v>
      </c>
    </row>
    <row r="4105" customFormat="false" ht="21" hidden="false" customHeight="false" outlineLevel="0" collapsed="false">
      <c r="A4105" s="154" t="n">
        <v>37371</v>
      </c>
      <c r="B4105" s="155" t="s">
        <v>1449</v>
      </c>
      <c r="C4105" s="148" t="str">
        <f aca="false">VLOOKUP($A4105,INSUMOS_AUX!$A$3:$H$813,3,0)</f>
        <v>MAT.</v>
      </c>
      <c r="D4105" s="156" t="s">
        <v>1444</v>
      </c>
      <c r="E4105" s="154" t="n">
        <v>0.4166</v>
      </c>
      <c r="F4105" s="149" t="n">
        <f aca="false">IF(C4105="MAT.",VLOOKUP(A4105,INSUMOS_AUX!$A$3:$H$813,6,0),0)</f>
        <v>0.59</v>
      </c>
      <c r="G4105" s="149" t="n">
        <f aca="false">IF(C4105="M.O.",VLOOKUP(A4105,INSUMOS_AUX!A:F,6,0),0)</f>
        <v>0</v>
      </c>
    </row>
    <row r="4106" customFormat="false" ht="21" hidden="false" customHeight="false" outlineLevel="0" collapsed="false">
      <c r="A4106" s="154" t="n">
        <v>301</v>
      </c>
      <c r="B4106" s="155" t="s">
        <v>2125</v>
      </c>
      <c r="C4106" s="148" t="str">
        <f aca="false">VLOOKUP($A4106,INSUMOS_AUX!$A$3:$H$813,3,0)</f>
        <v>MAT.</v>
      </c>
      <c r="D4106" s="156" t="s">
        <v>31</v>
      </c>
      <c r="E4106" s="154" t="n">
        <v>2</v>
      </c>
      <c r="F4106" s="149" t="n">
        <f aca="false">IF(C4106="MAT.",VLOOKUP(A4106,INSUMOS_AUX!$A$3:$H$813,6,0),0)</f>
        <v>3</v>
      </c>
      <c r="G4106" s="149" t="n">
        <f aca="false">IF(C4106="M.O.",VLOOKUP(A4106,INSUMOS_AUX!A:F,6,0),0)</f>
        <v>0</v>
      </c>
    </row>
    <row r="4107" customFormat="false" ht="15" hidden="false" customHeight="false" outlineLevel="0" collapsed="false">
      <c r="A4107" s="154" t="n">
        <v>296</v>
      </c>
      <c r="B4107" s="155" t="s">
        <v>2121</v>
      </c>
      <c r="C4107" s="148" t="str">
        <f aca="false">VLOOKUP($A4107,INSUMOS_AUX!$A$3:$H$813,3,0)</f>
        <v>MAT.</v>
      </c>
      <c r="D4107" s="156" t="s">
        <v>31</v>
      </c>
      <c r="E4107" s="154" t="n">
        <v>1</v>
      </c>
      <c r="F4107" s="149" t="n">
        <f aca="false">IF(C4107="MAT.",VLOOKUP(A4107,INSUMOS_AUX!$A$3:$H$813,6,0),0)</f>
        <v>1.69</v>
      </c>
      <c r="G4107" s="149" t="n">
        <f aca="false">IF(C4107="M.O.",VLOOKUP(A4107,INSUMOS_AUX!A:F,6,0),0)</f>
        <v>0</v>
      </c>
    </row>
    <row r="4108" customFormat="false" ht="31.5" hidden="false" customHeight="false" outlineLevel="0" collapsed="false">
      <c r="A4108" s="154" t="n">
        <v>20078</v>
      </c>
      <c r="B4108" s="155" t="s">
        <v>2123</v>
      </c>
      <c r="C4108" s="148" t="str">
        <f aca="false">VLOOKUP($A4108,INSUMOS_AUX!$A$3:$H$813,3,0)</f>
        <v>MAT.</v>
      </c>
      <c r="D4108" s="156" t="s">
        <v>31</v>
      </c>
      <c r="E4108" s="154" t="n">
        <v>0.14</v>
      </c>
      <c r="F4108" s="149" t="n">
        <f aca="false">IF(C4108="MAT.",VLOOKUP(A4108,INSUMOS_AUX!$A$3:$H$813,6,0),0)</f>
        <v>26.04</v>
      </c>
      <c r="G4108" s="149" t="n">
        <f aca="false">IF(C4108="M.O.",VLOOKUP(A4108,INSUMOS_AUX!A:F,6,0),0)</f>
        <v>0</v>
      </c>
    </row>
    <row r="4109" customFormat="false" ht="21" hidden="false" customHeight="false" outlineLevel="0" collapsed="false">
      <c r="A4109" s="154" t="n">
        <v>11655</v>
      </c>
      <c r="B4109" s="155" t="s">
        <v>2185</v>
      </c>
      <c r="C4109" s="148" t="str">
        <f aca="false">VLOOKUP($A4109,INSUMOS_AUX!$A$3:$H$813,3,0)</f>
        <v>MAT.</v>
      </c>
      <c r="D4109" s="156" t="s">
        <v>31</v>
      </c>
      <c r="E4109" s="154" t="n">
        <v>1</v>
      </c>
      <c r="F4109" s="149" t="n">
        <f aca="false">IF(C4109="MAT.",VLOOKUP(A4109,INSUMOS_AUX!$A$3:$H$813,6,0),0)</f>
        <v>18.08</v>
      </c>
      <c r="G4109" s="149" t="n">
        <f aca="false">IF(C4109="M.O.",VLOOKUP(A4109,INSUMOS_AUX!A:F,6,0),0)</f>
        <v>0</v>
      </c>
    </row>
    <row r="4110" customFormat="false" ht="15" hidden="false" customHeight="false" outlineLevel="0" collapsed="false">
      <c r="A4110" s="154" t="n">
        <v>246</v>
      </c>
      <c r="B4110" s="155" t="s">
        <v>1752</v>
      </c>
      <c r="C4110" s="148" t="str">
        <f aca="false">VLOOKUP($A4110,INSUMOS_AUX!$A$3:$H$813,3,0)</f>
        <v>M.O.</v>
      </c>
      <c r="D4110" s="156" t="s">
        <v>1444</v>
      </c>
      <c r="E4110" s="154" t="n">
        <v>0.212045234</v>
      </c>
      <c r="F4110" s="149" t="n">
        <f aca="false">IF(C4110="MAT.",VLOOKUP(A4110,INSUMOS_AUX!$A$3:$H$813,6,0),0)</f>
        <v>0</v>
      </c>
      <c r="G4110" s="149" t="n">
        <f aca="false">IF(C4110="M.O.",VLOOKUP(A4110,INSUMOS_AUX!A:F,6,0),0)</f>
        <v>13.26</v>
      </c>
    </row>
    <row r="4111" customFormat="false" ht="15" hidden="false" customHeight="false" outlineLevel="0" collapsed="false">
      <c r="A4111" s="154" t="n">
        <v>2696</v>
      </c>
      <c r="B4111" s="155" t="s">
        <v>1483</v>
      </c>
      <c r="C4111" s="148" t="str">
        <f aca="false">VLOOKUP($A4111,INSUMOS_AUX!$A$3:$H$813,3,0)</f>
        <v>M.O.</v>
      </c>
      <c r="D4111" s="156" t="s">
        <v>1444</v>
      </c>
      <c r="E4111" s="154" t="n">
        <v>0.212045234</v>
      </c>
      <c r="F4111" s="149" t="n">
        <f aca="false">IF(C4111="MAT.",VLOOKUP(A4111,INSUMOS_AUX!$A$3:$H$813,6,0),0)</f>
        <v>0</v>
      </c>
      <c r="G4111" s="149" t="n">
        <f aca="false">IF(C4111="M.O.",VLOOKUP(A4111,INSUMOS_AUX!A:F,6,0),0)</f>
        <v>20.22</v>
      </c>
    </row>
    <row r="4112" customFormat="false" ht="31.5" hidden="false" customHeight="false" outlineLevel="0" collapsed="false">
      <c r="A4112" s="150" t="n">
        <v>104354</v>
      </c>
      <c r="B4112" s="151" t="s">
        <v>2186</v>
      </c>
      <c r="C4112" s="152" t="s">
        <v>59</v>
      </c>
      <c r="D4112" s="152" t="s">
        <v>31</v>
      </c>
      <c r="E4112" s="150"/>
      <c r="F4112" s="153" t="n">
        <f aca="false">(SUMPRODUCT($E4113:$E4124,F4113:F4124))*1</f>
        <v>36.626008</v>
      </c>
      <c r="G4112" s="153" t="n">
        <f aca="false">(SUMPRODUCT($E4113:$E4124,G4113:G4124))*1</f>
        <v>8.48300243256</v>
      </c>
    </row>
    <row r="4113" customFormat="false" ht="21" hidden="false" customHeight="false" outlineLevel="0" collapsed="false">
      <c r="A4113" s="154" t="n">
        <v>37370</v>
      </c>
      <c r="B4113" s="155" t="s">
        <v>1443</v>
      </c>
      <c r="C4113" s="148" t="str">
        <f aca="false">VLOOKUP($A4113,INSUMOS_AUX!$A$3:$H$813,3,0)</f>
        <v>MAT.</v>
      </c>
      <c r="D4113" s="156" t="s">
        <v>1444</v>
      </c>
      <c r="E4113" s="154" t="n">
        <v>0.4978</v>
      </c>
      <c r="F4113" s="149" t="n">
        <f aca="false">IF(C4113="MAT.",VLOOKUP(A4113,INSUMOS_AUX!$A$3:$H$813,6,0),0)</f>
        <v>3.32</v>
      </c>
      <c r="G4113" s="149" t="n">
        <f aca="false">IF(C4113="M.O.",VLOOKUP(A4113,INSUMOS_AUX!A:F,6,0),0)</f>
        <v>0</v>
      </c>
    </row>
    <row r="4114" customFormat="false" ht="21" hidden="false" customHeight="false" outlineLevel="0" collapsed="false">
      <c r="A4114" s="154" t="n">
        <v>43485</v>
      </c>
      <c r="B4114" s="155" t="s">
        <v>1481</v>
      </c>
      <c r="C4114" s="148" t="str">
        <f aca="false">VLOOKUP($A4114,INSUMOS_AUX!$A$3:$H$813,3,0)</f>
        <v>MAT.</v>
      </c>
      <c r="D4114" s="156" t="s">
        <v>1444</v>
      </c>
      <c r="E4114" s="154" t="n">
        <v>0.4978</v>
      </c>
      <c r="F4114" s="149" t="n">
        <f aca="false">IF(C4114="MAT.",VLOOKUP(A4114,INSUMOS_AUX!$A$3:$H$813,6,0),0)</f>
        <v>1.13</v>
      </c>
      <c r="G4114" s="149" t="n">
        <f aca="false">IF(C4114="M.O.",VLOOKUP(A4114,INSUMOS_AUX!A:F,6,0),0)</f>
        <v>0</v>
      </c>
    </row>
    <row r="4115" customFormat="false" ht="21" hidden="false" customHeight="false" outlineLevel="0" collapsed="false">
      <c r="A4115" s="154" t="n">
        <v>37372</v>
      </c>
      <c r="B4115" s="155" t="s">
        <v>1446</v>
      </c>
      <c r="C4115" s="148" t="str">
        <f aca="false">VLOOKUP($A4115,INSUMOS_AUX!$A$3:$H$813,3,0)</f>
        <v>MAT.</v>
      </c>
      <c r="D4115" s="156" t="s">
        <v>1444</v>
      </c>
      <c r="E4115" s="154" t="n">
        <v>0.4978</v>
      </c>
      <c r="F4115" s="149" t="n">
        <f aca="false">IF(C4115="MAT.",VLOOKUP(A4115,INSUMOS_AUX!$A$3:$H$813,6,0),0)</f>
        <v>1.43</v>
      </c>
      <c r="G4115" s="149" t="n">
        <f aca="false">IF(C4115="M.O.",VLOOKUP(A4115,INSUMOS_AUX!A:F,6,0),0)</f>
        <v>0</v>
      </c>
    </row>
    <row r="4116" customFormat="false" ht="21" hidden="false" customHeight="false" outlineLevel="0" collapsed="false">
      <c r="A4116" s="154" t="n">
        <v>43461</v>
      </c>
      <c r="B4116" s="155" t="s">
        <v>1482</v>
      </c>
      <c r="C4116" s="148" t="str">
        <f aca="false">VLOOKUP($A4116,INSUMOS_AUX!$A$3:$H$813,3,0)</f>
        <v>MAT.</v>
      </c>
      <c r="D4116" s="156" t="s">
        <v>1444</v>
      </c>
      <c r="E4116" s="154" t="n">
        <v>0.4978</v>
      </c>
      <c r="F4116" s="149" t="n">
        <f aca="false">IF(C4116="MAT.",VLOOKUP(A4116,INSUMOS_AUX!$A$3:$H$813,6,0),0)</f>
        <v>0.31</v>
      </c>
      <c r="G4116" s="149" t="n">
        <f aca="false">IF(C4116="M.O.",VLOOKUP(A4116,INSUMOS_AUX!A:F,6,0),0)</f>
        <v>0</v>
      </c>
    </row>
    <row r="4117" customFormat="false" ht="21" hidden="false" customHeight="false" outlineLevel="0" collapsed="false">
      <c r="A4117" s="154" t="n">
        <v>37373</v>
      </c>
      <c r="B4117" s="155" t="s">
        <v>1448</v>
      </c>
      <c r="C4117" s="148" t="str">
        <f aca="false">VLOOKUP($A4117,INSUMOS_AUX!$A$3:$H$813,3,0)</f>
        <v>MAT.</v>
      </c>
      <c r="D4117" s="156" t="s">
        <v>1444</v>
      </c>
      <c r="E4117" s="154" t="n">
        <v>0.4978</v>
      </c>
      <c r="F4117" s="149" t="n">
        <f aca="false">IF(C4117="MAT.",VLOOKUP(A4117,INSUMOS_AUX!$A$3:$H$813,6,0),0)</f>
        <v>0.08</v>
      </c>
      <c r="G4117" s="149" t="n">
        <f aca="false">IF(C4117="M.O.",VLOOKUP(A4117,INSUMOS_AUX!A:F,6,0),0)</f>
        <v>0</v>
      </c>
    </row>
    <row r="4118" customFormat="false" ht="21" hidden="false" customHeight="false" outlineLevel="0" collapsed="false">
      <c r="A4118" s="154" t="n">
        <v>37371</v>
      </c>
      <c r="B4118" s="155" t="s">
        <v>1449</v>
      </c>
      <c r="C4118" s="148" t="str">
        <f aca="false">VLOOKUP($A4118,INSUMOS_AUX!$A$3:$H$813,3,0)</f>
        <v>MAT.</v>
      </c>
      <c r="D4118" s="156" t="s">
        <v>1444</v>
      </c>
      <c r="E4118" s="154" t="n">
        <v>0.4978</v>
      </c>
      <c r="F4118" s="149" t="n">
        <f aca="false">IF(C4118="MAT.",VLOOKUP(A4118,INSUMOS_AUX!$A$3:$H$813,6,0),0)</f>
        <v>0.59</v>
      </c>
      <c r="G4118" s="149" t="n">
        <f aca="false">IF(C4118="M.O.",VLOOKUP(A4118,INSUMOS_AUX!A:F,6,0),0)</f>
        <v>0</v>
      </c>
    </row>
    <row r="4119" customFormat="false" ht="21" hidden="false" customHeight="false" outlineLevel="0" collapsed="false">
      <c r="A4119" s="154" t="n">
        <v>301</v>
      </c>
      <c r="B4119" s="155" t="s">
        <v>2125</v>
      </c>
      <c r="C4119" s="148" t="str">
        <f aca="false">VLOOKUP($A4119,INSUMOS_AUX!$A$3:$H$813,3,0)</f>
        <v>MAT.</v>
      </c>
      <c r="D4119" s="156" t="s">
        <v>31</v>
      </c>
      <c r="E4119" s="154" t="n">
        <v>2</v>
      </c>
      <c r="F4119" s="149" t="n">
        <f aca="false">IF(C4119="MAT.",VLOOKUP(A4119,INSUMOS_AUX!$A$3:$H$813,6,0),0)</f>
        <v>3</v>
      </c>
      <c r="G4119" s="149" t="n">
        <f aca="false">IF(C4119="M.O.",VLOOKUP(A4119,INSUMOS_AUX!A:F,6,0),0)</f>
        <v>0</v>
      </c>
    </row>
    <row r="4120" customFormat="false" ht="15" hidden="false" customHeight="false" outlineLevel="0" collapsed="false">
      <c r="A4120" s="154" t="n">
        <v>297</v>
      </c>
      <c r="B4120" s="155" t="s">
        <v>2130</v>
      </c>
      <c r="C4120" s="148" t="str">
        <f aca="false">VLOOKUP($A4120,INSUMOS_AUX!$A$3:$H$813,3,0)</f>
        <v>MAT.</v>
      </c>
      <c r="D4120" s="156" t="s">
        <v>31</v>
      </c>
      <c r="E4120" s="154" t="n">
        <v>1</v>
      </c>
      <c r="F4120" s="149" t="n">
        <f aca="false">IF(C4120="MAT.",VLOOKUP(A4120,INSUMOS_AUX!$A$3:$H$813,6,0),0)</f>
        <v>2.49</v>
      </c>
      <c r="G4120" s="149" t="n">
        <f aca="false">IF(C4120="M.O.",VLOOKUP(A4120,INSUMOS_AUX!A:F,6,0),0)</f>
        <v>0</v>
      </c>
    </row>
    <row r="4121" customFormat="false" ht="31.5" hidden="false" customHeight="false" outlineLevel="0" collapsed="false">
      <c r="A4121" s="154" t="n">
        <v>20078</v>
      </c>
      <c r="B4121" s="155" t="s">
        <v>2123</v>
      </c>
      <c r="C4121" s="148" t="str">
        <f aca="false">VLOOKUP($A4121,INSUMOS_AUX!$A$3:$H$813,3,0)</f>
        <v>MAT.</v>
      </c>
      <c r="D4121" s="156" t="s">
        <v>31</v>
      </c>
      <c r="E4121" s="154" t="n">
        <v>0.1525</v>
      </c>
      <c r="F4121" s="149" t="n">
        <f aca="false">IF(C4121="MAT.",VLOOKUP(A4121,INSUMOS_AUX!$A$3:$H$813,6,0),0)</f>
        <v>26.04</v>
      </c>
      <c r="G4121" s="149" t="n">
        <f aca="false">IF(C4121="M.O.",VLOOKUP(A4121,INSUMOS_AUX!A:F,6,0),0)</f>
        <v>0</v>
      </c>
    </row>
    <row r="4122" customFormat="false" ht="21" hidden="false" customHeight="false" outlineLevel="0" collapsed="false">
      <c r="A4122" s="154" t="n">
        <v>11656</v>
      </c>
      <c r="B4122" s="155" t="s">
        <v>2187</v>
      </c>
      <c r="C4122" s="148" t="str">
        <f aca="false">VLOOKUP($A4122,INSUMOS_AUX!$A$3:$H$813,3,0)</f>
        <v>MAT.</v>
      </c>
      <c r="D4122" s="156" t="s">
        <v>31</v>
      </c>
      <c r="E4122" s="154" t="n">
        <v>1</v>
      </c>
      <c r="F4122" s="149" t="n">
        <f aca="false">IF(C4122="MAT.",VLOOKUP(A4122,INSUMOS_AUX!$A$3:$H$813,6,0),0)</f>
        <v>20.75</v>
      </c>
      <c r="G4122" s="149" t="n">
        <f aca="false">IF(C4122="M.O.",VLOOKUP(A4122,INSUMOS_AUX!A:F,6,0),0)</f>
        <v>0</v>
      </c>
    </row>
    <row r="4123" customFormat="false" ht="15" hidden="false" customHeight="false" outlineLevel="0" collapsed="false">
      <c r="A4123" s="154" t="n">
        <v>246</v>
      </c>
      <c r="B4123" s="155" t="s">
        <v>1752</v>
      </c>
      <c r="C4123" s="148" t="str">
        <f aca="false">VLOOKUP($A4123,INSUMOS_AUX!$A$3:$H$813,3,0)</f>
        <v>M.O.</v>
      </c>
      <c r="D4123" s="156" t="s">
        <v>1444</v>
      </c>
      <c r="E4123" s="154" t="n">
        <v>0.253375222</v>
      </c>
      <c r="F4123" s="149" t="n">
        <f aca="false">IF(C4123="MAT.",VLOOKUP(A4123,INSUMOS_AUX!$A$3:$H$813,6,0),0)</f>
        <v>0</v>
      </c>
      <c r="G4123" s="149" t="n">
        <f aca="false">IF(C4123="M.O.",VLOOKUP(A4123,INSUMOS_AUX!A:F,6,0),0)</f>
        <v>13.26</v>
      </c>
    </row>
    <row r="4124" customFormat="false" ht="15" hidden="false" customHeight="false" outlineLevel="0" collapsed="false">
      <c r="A4124" s="154" t="n">
        <v>2696</v>
      </c>
      <c r="B4124" s="155" t="s">
        <v>1483</v>
      </c>
      <c r="C4124" s="148" t="str">
        <f aca="false">VLOOKUP($A4124,INSUMOS_AUX!$A$3:$H$813,3,0)</f>
        <v>M.O.</v>
      </c>
      <c r="D4124" s="156" t="s">
        <v>1444</v>
      </c>
      <c r="E4124" s="154" t="n">
        <v>0.253375222</v>
      </c>
      <c r="F4124" s="149" t="n">
        <f aca="false">IF(C4124="MAT.",VLOOKUP(A4124,INSUMOS_AUX!$A$3:$H$813,6,0),0)</f>
        <v>0</v>
      </c>
      <c r="G4124" s="149" t="n">
        <f aca="false">IF(C4124="M.O.",VLOOKUP(A4124,INSUMOS_AUX!A:F,6,0),0)</f>
        <v>20.22</v>
      </c>
    </row>
    <row r="4125" customFormat="false" ht="31.5" hidden="false" customHeight="false" outlineLevel="0" collapsed="false">
      <c r="A4125" s="150" t="n">
        <v>89825</v>
      </c>
      <c r="B4125" s="151" t="s">
        <v>2188</v>
      </c>
      <c r="C4125" s="152" t="s">
        <v>59</v>
      </c>
      <c r="D4125" s="152" t="s">
        <v>31</v>
      </c>
      <c r="E4125" s="150"/>
      <c r="F4125" s="153" t="n">
        <f aca="false">(SUMPRODUCT($E4126:$E4136,F4126:F4136))*1</f>
        <v>15.630004</v>
      </c>
      <c r="G4125" s="153" t="n">
        <f aca="false">(SUMPRODUCT($E4126:$E4136,G4126:G4136))*1</f>
        <v>1.55754604728</v>
      </c>
    </row>
    <row r="4126" customFormat="false" ht="21" hidden="false" customHeight="false" outlineLevel="0" collapsed="false">
      <c r="A4126" s="154" t="n">
        <v>37370</v>
      </c>
      <c r="B4126" s="155" t="s">
        <v>1443</v>
      </c>
      <c r="C4126" s="148" t="str">
        <f aca="false">VLOOKUP($A4126,INSUMOS_AUX!$A$3:$H$813,3,0)</f>
        <v>MAT.</v>
      </c>
      <c r="D4126" s="156" t="s">
        <v>1444</v>
      </c>
      <c r="E4126" s="154" t="n">
        <v>0.0914</v>
      </c>
      <c r="F4126" s="149" t="n">
        <f aca="false">IF(C4126="MAT.",VLOOKUP(A4126,INSUMOS_AUX!$A$3:$H$813,6,0),0)</f>
        <v>3.32</v>
      </c>
      <c r="G4126" s="149" t="n">
        <f aca="false">IF(C4126="M.O.",VLOOKUP(A4126,INSUMOS_AUX!A:F,6,0),0)</f>
        <v>0</v>
      </c>
    </row>
    <row r="4127" customFormat="false" ht="21" hidden="false" customHeight="false" outlineLevel="0" collapsed="false">
      <c r="A4127" s="154" t="n">
        <v>43485</v>
      </c>
      <c r="B4127" s="155" t="s">
        <v>1481</v>
      </c>
      <c r="C4127" s="148" t="str">
        <f aca="false">VLOOKUP($A4127,INSUMOS_AUX!$A$3:$H$813,3,0)</f>
        <v>MAT.</v>
      </c>
      <c r="D4127" s="156" t="s">
        <v>1444</v>
      </c>
      <c r="E4127" s="154" t="n">
        <v>0.0914</v>
      </c>
      <c r="F4127" s="149" t="n">
        <f aca="false">IF(C4127="MAT.",VLOOKUP(A4127,INSUMOS_AUX!$A$3:$H$813,6,0),0)</f>
        <v>1.13</v>
      </c>
      <c r="G4127" s="149" t="n">
        <f aca="false">IF(C4127="M.O.",VLOOKUP(A4127,INSUMOS_AUX!A:F,6,0),0)</f>
        <v>0</v>
      </c>
    </row>
    <row r="4128" customFormat="false" ht="21" hidden="false" customHeight="false" outlineLevel="0" collapsed="false">
      <c r="A4128" s="154" t="n">
        <v>37372</v>
      </c>
      <c r="B4128" s="155" t="s">
        <v>1446</v>
      </c>
      <c r="C4128" s="148" t="str">
        <f aca="false">VLOOKUP($A4128,INSUMOS_AUX!$A$3:$H$813,3,0)</f>
        <v>MAT.</v>
      </c>
      <c r="D4128" s="156" t="s">
        <v>1444</v>
      </c>
      <c r="E4128" s="154" t="n">
        <v>0.0914</v>
      </c>
      <c r="F4128" s="149" t="n">
        <f aca="false">IF(C4128="MAT.",VLOOKUP(A4128,INSUMOS_AUX!$A$3:$H$813,6,0),0)</f>
        <v>1.43</v>
      </c>
      <c r="G4128" s="149" t="n">
        <f aca="false">IF(C4128="M.O.",VLOOKUP(A4128,INSUMOS_AUX!A:F,6,0),0)</f>
        <v>0</v>
      </c>
    </row>
    <row r="4129" customFormat="false" ht="21" hidden="false" customHeight="false" outlineLevel="0" collapsed="false">
      <c r="A4129" s="154" t="n">
        <v>43461</v>
      </c>
      <c r="B4129" s="155" t="s">
        <v>1482</v>
      </c>
      <c r="C4129" s="148" t="str">
        <f aca="false">VLOOKUP($A4129,INSUMOS_AUX!$A$3:$H$813,3,0)</f>
        <v>MAT.</v>
      </c>
      <c r="D4129" s="156" t="s">
        <v>1444</v>
      </c>
      <c r="E4129" s="154" t="n">
        <v>0.0914</v>
      </c>
      <c r="F4129" s="149" t="n">
        <f aca="false">IF(C4129="MAT.",VLOOKUP(A4129,INSUMOS_AUX!$A$3:$H$813,6,0),0)</f>
        <v>0.31</v>
      </c>
      <c r="G4129" s="149" t="n">
        <f aca="false">IF(C4129="M.O.",VLOOKUP(A4129,INSUMOS_AUX!A:F,6,0),0)</f>
        <v>0</v>
      </c>
    </row>
    <row r="4130" customFormat="false" ht="21" hidden="false" customHeight="false" outlineLevel="0" collapsed="false">
      <c r="A4130" s="154" t="n">
        <v>37373</v>
      </c>
      <c r="B4130" s="155" t="s">
        <v>1448</v>
      </c>
      <c r="C4130" s="148" t="str">
        <f aca="false">VLOOKUP($A4130,INSUMOS_AUX!$A$3:$H$813,3,0)</f>
        <v>MAT.</v>
      </c>
      <c r="D4130" s="156" t="s">
        <v>1444</v>
      </c>
      <c r="E4130" s="154" t="n">
        <v>0.0914</v>
      </c>
      <c r="F4130" s="149" t="n">
        <f aca="false">IF(C4130="MAT.",VLOOKUP(A4130,INSUMOS_AUX!$A$3:$H$813,6,0),0)</f>
        <v>0.08</v>
      </c>
      <c r="G4130" s="149" t="n">
        <f aca="false">IF(C4130="M.O.",VLOOKUP(A4130,INSUMOS_AUX!A:F,6,0),0)</f>
        <v>0</v>
      </c>
    </row>
    <row r="4131" customFormat="false" ht="21" hidden="false" customHeight="false" outlineLevel="0" collapsed="false">
      <c r="A4131" s="154" t="n">
        <v>37371</v>
      </c>
      <c r="B4131" s="155" t="s">
        <v>1449</v>
      </c>
      <c r="C4131" s="148" t="str">
        <f aca="false">VLOOKUP($A4131,INSUMOS_AUX!$A$3:$H$813,3,0)</f>
        <v>MAT.</v>
      </c>
      <c r="D4131" s="156" t="s">
        <v>1444</v>
      </c>
      <c r="E4131" s="154" t="n">
        <v>0.0914</v>
      </c>
      <c r="F4131" s="149" t="n">
        <f aca="false">IF(C4131="MAT.",VLOOKUP(A4131,INSUMOS_AUX!$A$3:$H$813,6,0),0)</f>
        <v>0.59</v>
      </c>
      <c r="G4131" s="149" t="n">
        <f aca="false">IF(C4131="M.O.",VLOOKUP(A4131,INSUMOS_AUX!A:F,6,0),0)</f>
        <v>0</v>
      </c>
    </row>
    <row r="4132" customFormat="false" ht="15" hidden="false" customHeight="false" outlineLevel="0" collapsed="false">
      <c r="A4132" s="154" t="n">
        <v>296</v>
      </c>
      <c r="B4132" s="155" t="s">
        <v>2121</v>
      </c>
      <c r="C4132" s="148" t="str">
        <f aca="false">VLOOKUP($A4132,INSUMOS_AUX!$A$3:$H$813,3,0)</f>
        <v>MAT.</v>
      </c>
      <c r="D4132" s="156" t="s">
        <v>31</v>
      </c>
      <c r="E4132" s="154" t="n">
        <v>3</v>
      </c>
      <c r="F4132" s="149" t="n">
        <f aca="false">IF(C4132="MAT.",VLOOKUP(A4132,INSUMOS_AUX!$A$3:$H$813,6,0),0)</f>
        <v>1.69</v>
      </c>
      <c r="G4132" s="149" t="n">
        <f aca="false">IF(C4132="M.O.",VLOOKUP(A4132,INSUMOS_AUX!A:F,6,0),0)</f>
        <v>0</v>
      </c>
    </row>
    <row r="4133" customFormat="false" ht="31.5" hidden="false" customHeight="false" outlineLevel="0" collapsed="false">
      <c r="A4133" s="154" t="n">
        <v>20078</v>
      </c>
      <c r="B4133" s="155" t="s">
        <v>2123</v>
      </c>
      <c r="C4133" s="148" t="str">
        <f aca="false">VLOOKUP($A4133,INSUMOS_AUX!$A$3:$H$813,3,0)</f>
        <v>MAT.</v>
      </c>
      <c r="D4133" s="156" t="s">
        <v>31</v>
      </c>
      <c r="E4133" s="154" t="n">
        <v>0.075</v>
      </c>
      <c r="F4133" s="149" t="n">
        <f aca="false">IF(C4133="MAT.",VLOOKUP(A4133,INSUMOS_AUX!$A$3:$H$813,6,0),0)</f>
        <v>26.04</v>
      </c>
      <c r="G4133" s="149" t="n">
        <f aca="false">IF(C4133="M.O.",VLOOKUP(A4133,INSUMOS_AUX!A:F,6,0),0)</f>
        <v>0</v>
      </c>
    </row>
    <row r="4134" customFormat="false" ht="21" hidden="false" customHeight="false" outlineLevel="0" collapsed="false">
      <c r="A4134" s="154" t="n">
        <v>7097</v>
      </c>
      <c r="B4134" s="155" t="s">
        <v>2189</v>
      </c>
      <c r="C4134" s="148" t="str">
        <f aca="false">VLOOKUP($A4134,INSUMOS_AUX!$A$3:$H$813,3,0)</f>
        <v>MAT.</v>
      </c>
      <c r="D4134" s="156" t="s">
        <v>31</v>
      </c>
      <c r="E4134" s="154" t="n">
        <v>1</v>
      </c>
      <c r="F4134" s="149" t="n">
        <f aca="false">IF(C4134="MAT.",VLOOKUP(A4134,INSUMOS_AUX!$A$3:$H$813,6,0),0)</f>
        <v>7.98</v>
      </c>
      <c r="G4134" s="149" t="n">
        <f aca="false">IF(C4134="M.O.",VLOOKUP(A4134,INSUMOS_AUX!A:F,6,0),0)</f>
        <v>0</v>
      </c>
    </row>
    <row r="4135" customFormat="false" ht="15" hidden="false" customHeight="false" outlineLevel="0" collapsed="false">
      <c r="A4135" s="154" t="n">
        <v>246</v>
      </c>
      <c r="B4135" s="155" t="s">
        <v>1752</v>
      </c>
      <c r="C4135" s="148" t="str">
        <f aca="false">VLOOKUP($A4135,INSUMOS_AUX!$A$3:$H$813,3,0)</f>
        <v>M.O.</v>
      </c>
      <c r="D4135" s="156" t="s">
        <v>1444</v>
      </c>
      <c r="E4135" s="154" t="n">
        <v>0.046521686</v>
      </c>
      <c r="F4135" s="149" t="n">
        <f aca="false">IF(C4135="MAT.",VLOOKUP(A4135,INSUMOS_AUX!$A$3:$H$813,6,0),0)</f>
        <v>0</v>
      </c>
      <c r="G4135" s="149" t="n">
        <f aca="false">IF(C4135="M.O.",VLOOKUP(A4135,INSUMOS_AUX!A:F,6,0),0)</f>
        <v>13.26</v>
      </c>
    </row>
    <row r="4136" customFormat="false" ht="15" hidden="false" customHeight="false" outlineLevel="0" collapsed="false">
      <c r="A4136" s="154" t="n">
        <v>2696</v>
      </c>
      <c r="B4136" s="155" t="s">
        <v>1483</v>
      </c>
      <c r="C4136" s="148" t="str">
        <f aca="false">VLOOKUP($A4136,INSUMOS_AUX!$A$3:$H$813,3,0)</f>
        <v>M.O.</v>
      </c>
      <c r="D4136" s="156" t="s">
        <v>1444</v>
      </c>
      <c r="E4136" s="154" t="n">
        <v>0.046521686</v>
      </c>
      <c r="F4136" s="149" t="n">
        <f aca="false">IF(C4136="MAT.",VLOOKUP(A4136,INSUMOS_AUX!$A$3:$H$813,6,0),0)</f>
        <v>0</v>
      </c>
      <c r="G4136" s="149" t="n">
        <f aca="false">IF(C4136="M.O.",VLOOKUP(A4136,INSUMOS_AUX!A:F,6,0),0)</f>
        <v>20.22</v>
      </c>
    </row>
    <row r="4137" customFormat="false" ht="31.5" hidden="false" customHeight="false" outlineLevel="0" collapsed="false">
      <c r="A4137" s="150" t="s">
        <v>739</v>
      </c>
      <c r="B4137" s="151" t="s">
        <v>2190</v>
      </c>
      <c r="C4137" s="152" t="s">
        <v>59</v>
      </c>
      <c r="D4137" s="152" t="s">
        <v>31</v>
      </c>
      <c r="E4137" s="150"/>
      <c r="F4137" s="153" t="n">
        <f aca="false">(SUMPRODUCT($E4138:$E4148,F4138:F4148))*1</f>
        <v>28.3027746666667</v>
      </c>
      <c r="G4137" s="153" t="n">
        <f aca="false">(SUMPRODUCT($E4138:$E4148,G4138:G4148))*1</f>
        <v>5.71213823904</v>
      </c>
    </row>
    <row r="4138" customFormat="false" ht="21" hidden="false" customHeight="false" outlineLevel="0" collapsed="false">
      <c r="A4138" s="154" t="n">
        <v>37370</v>
      </c>
      <c r="B4138" s="155" t="s">
        <v>1443</v>
      </c>
      <c r="C4138" s="148" t="s">
        <v>59</v>
      </c>
      <c r="D4138" s="156" t="s">
        <v>1444</v>
      </c>
      <c r="E4138" s="154" t="n">
        <v>0.3352</v>
      </c>
      <c r="F4138" s="149" t="n">
        <f aca="false">IF(C4138="MAT.",VLOOKUP(A4138,INSUMOS_AUX!$A$3:$H$813,6,0),0)</f>
        <v>0</v>
      </c>
      <c r="G4138" s="149" t="n">
        <f aca="false">IF(C4138="M.O.",VLOOKUP(A4138,INSUMOS_AUX!A:F,6,0),0)</f>
        <v>0</v>
      </c>
    </row>
    <row r="4139" customFormat="false" ht="21" hidden="false" customHeight="false" outlineLevel="0" collapsed="false">
      <c r="A4139" s="154" t="n">
        <v>43485</v>
      </c>
      <c r="B4139" s="155" t="s">
        <v>1481</v>
      </c>
      <c r="C4139" s="148" t="str">
        <f aca="false">VLOOKUP($A4139,INSUMOS_AUX!$A$3:$H$813,3,0)</f>
        <v>MAT.</v>
      </c>
      <c r="D4139" s="156" t="s">
        <v>1444</v>
      </c>
      <c r="E4139" s="154" t="n">
        <v>0.3352</v>
      </c>
      <c r="F4139" s="149" t="n">
        <f aca="false">IF(C4139="MAT.",VLOOKUP(A4139,INSUMOS_AUX!$A$3:$H$813,6,0),0)</f>
        <v>1.13</v>
      </c>
      <c r="G4139" s="149" t="n">
        <f aca="false">IF(C4139="M.O.",VLOOKUP(A4139,INSUMOS_AUX!A:F,6,0),0)</f>
        <v>0</v>
      </c>
    </row>
    <row r="4140" customFormat="false" ht="21" hidden="false" customHeight="false" outlineLevel="0" collapsed="false">
      <c r="A4140" s="154" t="n">
        <v>37372</v>
      </c>
      <c r="B4140" s="155" t="s">
        <v>1446</v>
      </c>
      <c r="C4140" s="148" t="str">
        <f aca="false">VLOOKUP($A4140,INSUMOS_AUX!$A$3:$H$813,3,0)</f>
        <v>MAT.</v>
      </c>
      <c r="D4140" s="156" t="s">
        <v>1444</v>
      </c>
      <c r="E4140" s="154" t="n">
        <v>0.3352</v>
      </c>
      <c r="F4140" s="149" t="n">
        <f aca="false">IF(C4140="MAT.",VLOOKUP(A4140,INSUMOS_AUX!$A$3:$H$813,6,0),0)</f>
        <v>1.43</v>
      </c>
      <c r="G4140" s="149" t="n">
        <f aca="false">IF(C4140="M.O.",VLOOKUP(A4140,INSUMOS_AUX!A:F,6,0),0)</f>
        <v>0</v>
      </c>
    </row>
    <row r="4141" customFormat="false" ht="21" hidden="false" customHeight="false" outlineLevel="0" collapsed="false">
      <c r="A4141" s="154" t="n">
        <v>43461</v>
      </c>
      <c r="B4141" s="155" t="s">
        <v>1482</v>
      </c>
      <c r="C4141" s="148" t="str">
        <f aca="false">VLOOKUP($A4141,INSUMOS_AUX!$A$3:$H$813,3,0)</f>
        <v>MAT.</v>
      </c>
      <c r="D4141" s="156" t="s">
        <v>1444</v>
      </c>
      <c r="E4141" s="154" t="n">
        <v>0.3352</v>
      </c>
      <c r="F4141" s="149" t="n">
        <f aca="false">IF(C4141="MAT.",VLOOKUP(A4141,INSUMOS_AUX!$A$3:$H$813,6,0),0)</f>
        <v>0.31</v>
      </c>
      <c r="G4141" s="149" t="n">
        <f aca="false">IF(C4141="M.O.",VLOOKUP(A4141,INSUMOS_AUX!A:F,6,0),0)</f>
        <v>0</v>
      </c>
    </row>
    <row r="4142" customFormat="false" ht="21" hidden="false" customHeight="false" outlineLevel="0" collapsed="false">
      <c r="A4142" s="154" t="n">
        <v>37373</v>
      </c>
      <c r="B4142" s="155" t="s">
        <v>1448</v>
      </c>
      <c r="C4142" s="148" t="str">
        <f aca="false">VLOOKUP($A4142,INSUMOS_AUX!$A$3:$H$813,3,0)</f>
        <v>MAT.</v>
      </c>
      <c r="D4142" s="156" t="s">
        <v>1444</v>
      </c>
      <c r="E4142" s="154" t="n">
        <v>0.3352</v>
      </c>
      <c r="F4142" s="149" t="n">
        <f aca="false">IF(C4142="MAT.",VLOOKUP(A4142,INSUMOS_AUX!$A$3:$H$813,6,0),0)</f>
        <v>0.08</v>
      </c>
      <c r="G4142" s="149" t="n">
        <f aca="false">IF(C4142="M.O.",VLOOKUP(A4142,INSUMOS_AUX!A:F,6,0),0)</f>
        <v>0</v>
      </c>
    </row>
    <row r="4143" customFormat="false" ht="21" hidden="false" customHeight="false" outlineLevel="0" collapsed="false">
      <c r="A4143" s="154" t="n">
        <v>37371</v>
      </c>
      <c r="B4143" s="155" t="s">
        <v>1449</v>
      </c>
      <c r="C4143" s="148" t="str">
        <f aca="false">VLOOKUP($A4143,INSUMOS_AUX!$A$3:$H$813,3,0)</f>
        <v>MAT.</v>
      </c>
      <c r="D4143" s="156" t="s">
        <v>1444</v>
      </c>
      <c r="E4143" s="154" t="n">
        <v>0.3352</v>
      </c>
      <c r="F4143" s="149" t="n">
        <f aca="false">IF(C4143="MAT.",VLOOKUP(A4143,INSUMOS_AUX!$A$3:$H$813,6,0),0)</f>
        <v>0.59</v>
      </c>
      <c r="G4143" s="149" t="n">
        <f aca="false">IF(C4143="M.O.",VLOOKUP(A4143,INSUMOS_AUX!A:F,6,0),0)</f>
        <v>0</v>
      </c>
    </row>
    <row r="4144" customFormat="false" ht="15" hidden="false" customHeight="false" outlineLevel="0" collapsed="false">
      <c r="A4144" s="154" t="n">
        <v>297</v>
      </c>
      <c r="B4144" s="155" t="s">
        <v>2130</v>
      </c>
      <c r="C4144" s="148" t="str">
        <f aca="false">VLOOKUP($A4144,INSUMOS_AUX!$A$3:$H$813,3,0)</f>
        <v>MAT.</v>
      </c>
      <c r="D4144" s="156" t="s">
        <v>31</v>
      </c>
      <c r="E4144" s="154" t="n">
        <v>3</v>
      </c>
      <c r="F4144" s="149" t="n">
        <f aca="false">IF(C4144="MAT.",VLOOKUP(A4144,INSUMOS_AUX!$A$3:$H$813,6,0),0)</f>
        <v>2.49</v>
      </c>
      <c r="G4144" s="149" t="n">
        <f aca="false">IF(C4144="M.O.",VLOOKUP(A4144,INSUMOS_AUX!A:F,6,0),0)</f>
        <v>0</v>
      </c>
    </row>
    <row r="4145" customFormat="false" ht="31.5" hidden="false" customHeight="false" outlineLevel="0" collapsed="false">
      <c r="A4145" s="154" t="n">
        <v>20078</v>
      </c>
      <c r="B4145" s="155" t="s">
        <v>2123</v>
      </c>
      <c r="C4145" s="148" t="str">
        <f aca="false">VLOOKUP($A4145,INSUMOS_AUX!$A$3:$H$813,3,0)</f>
        <v>MAT.</v>
      </c>
      <c r="D4145" s="156" t="s">
        <v>31</v>
      </c>
      <c r="E4145" s="154" t="n">
        <v>0.1125</v>
      </c>
      <c r="F4145" s="149" t="n">
        <f aca="false">IF(C4145="MAT.",VLOOKUP(A4145,INSUMOS_AUX!$A$3:$H$813,6,0),0)</f>
        <v>26.04</v>
      </c>
      <c r="G4145" s="149" t="n">
        <f aca="false">IF(C4145="M.O.",VLOOKUP(A4145,INSUMOS_AUX!A:F,6,0),0)</f>
        <v>0</v>
      </c>
    </row>
    <row r="4146" customFormat="false" ht="21" hidden="false" customHeight="false" outlineLevel="0" collapsed="false">
      <c r="A4146" s="154" t="s">
        <v>2191</v>
      </c>
      <c r="B4146" s="155" t="s">
        <v>2192</v>
      </c>
      <c r="C4146" s="148" t="str">
        <f aca="false">VLOOKUP($A4146,INSUMOS_AUX!$A$3:$H$813,3,0)</f>
        <v>MAT.</v>
      </c>
      <c r="D4146" s="156" t="s">
        <v>31</v>
      </c>
      <c r="E4146" s="154" t="n">
        <v>1</v>
      </c>
      <c r="F4146" s="149" t="n">
        <f aca="false">IF(C4146="MAT.",VLOOKUP(A4146,INSUMOS_AUX!$A$3:$H$813,6,0),0)</f>
        <v>16.7166666666667</v>
      </c>
      <c r="G4146" s="149" t="n">
        <f aca="false">IF(C4146="M.O.",VLOOKUP(A4146,INSUMOS_AUX!A:F,6,0),0)</f>
        <v>0</v>
      </c>
    </row>
    <row r="4147" customFormat="false" ht="15" hidden="false" customHeight="false" outlineLevel="0" collapsed="false">
      <c r="A4147" s="154" t="n">
        <v>246</v>
      </c>
      <c r="B4147" s="155" t="s">
        <v>1752</v>
      </c>
      <c r="C4147" s="148" t="str">
        <f aca="false">VLOOKUP($A4147,INSUMOS_AUX!$A$3:$H$813,3,0)</f>
        <v>M.O.</v>
      </c>
      <c r="D4147" s="156" t="s">
        <v>1444</v>
      </c>
      <c r="E4147" s="154" t="n">
        <v>0.170613448</v>
      </c>
      <c r="F4147" s="149" t="n">
        <f aca="false">IF(C4147="MAT.",VLOOKUP(A4147,INSUMOS_AUX!$A$3:$H$813,6,0),0)</f>
        <v>0</v>
      </c>
      <c r="G4147" s="149" t="n">
        <f aca="false">IF(C4147="M.O.",VLOOKUP(A4147,INSUMOS_AUX!A:F,6,0),0)</f>
        <v>13.26</v>
      </c>
    </row>
    <row r="4148" customFormat="false" ht="15" hidden="false" customHeight="false" outlineLevel="0" collapsed="false">
      <c r="A4148" s="154" t="n">
        <v>2696</v>
      </c>
      <c r="B4148" s="155" t="s">
        <v>1483</v>
      </c>
      <c r="C4148" s="148" t="str">
        <f aca="false">VLOOKUP($A4148,INSUMOS_AUX!$A$3:$H$813,3,0)</f>
        <v>M.O.</v>
      </c>
      <c r="D4148" s="156" t="s">
        <v>1444</v>
      </c>
      <c r="E4148" s="154" t="n">
        <v>0.170613448</v>
      </c>
      <c r="F4148" s="149" t="n">
        <f aca="false">IF(C4148="MAT.",VLOOKUP(A4148,INSUMOS_AUX!$A$3:$H$813,6,0),0)</f>
        <v>0</v>
      </c>
      <c r="G4148" s="149" t="n">
        <f aca="false">IF(C4148="M.O.",VLOOKUP(A4148,INSUMOS_AUX!A:F,6,0),0)</f>
        <v>20.22</v>
      </c>
    </row>
    <row r="4149" customFormat="false" ht="31.5" hidden="false" customHeight="false" outlineLevel="0" collapsed="false">
      <c r="A4149" s="150" t="n">
        <v>89803</v>
      </c>
      <c r="B4149" s="151" t="s">
        <v>2193</v>
      </c>
      <c r="C4149" s="152" t="s">
        <v>59</v>
      </c>
      <c r="D4149" s="152" t="s">
        <v>31</v>
      </c>
      <c r="E4149" s="150"/>
      <c r="F4149" s="153" t="n">
        <f aca="false">(SUMPRODUCT($E4150:$E4160,F4150:F4160))*1</f>
        <v>17.295078</v>
      </c>
      <c r="G4149" s="153" t="n">
        <f aca="false">(SUMPRODUCT($E4150:$E4160,G4150:G4160))*1</f>
        <v>1.16901158472</v>
      </c>
    </row>
    <row r="4150" customFormat="false" ht="21" hidden="false" customHeight="false" outlineLevel="0" collapsed="false">
      <c r="A4150" s="154" t="n">
        <v>37370</v>
      </c>
      <c r="B4150" s="155" t="s">
        <v>1443</v>
      </c>
      <c r="C4150" s="148" t="str">
        <f aca="false">VLOOKUP($A4150,INSUMOS_AUX!$A$3:$H$813,3,0)</f>
        <v>MAT.</v>
      </c>
      <c r="D4150" s="156" t="s">
        <v>1444</v>
      </c>
      <c r="E4150" s="154" t="n">
        <v>0.0686</v>
      </c>
      <c r="F4150" s="149" t="n">
        <f aca="false">IF(C4150="MAT.",VLOOKUP(A4150,INSUMOS_AUX!$A$3:$H$813,6,0),0)</f>
        <v>3.32</v>
      </c>
      <c r="G4150" s="149" t="n">
        <f aca="false">IF(C4150="M.O.",VLOOKUP(A4150,INSUMOS_AUX!A:F,6,0),0)</f>
        <v>0</v>
      </c>
    </row>
    <row r="4151" customFormat="false" ht="21" hidden="false" customHeight="false" outlineLevel="0" collapsed="false">
      <c r="A4151" s="154" t="n">
        <v>43485</v>
      </c>
      <c r="B4151" s="155" t="s">
        <v>1481</v>
      </c>
      <c r="C4151" s="148" t="s">
        <v>59</v>
      </c>
      <c r="D4151" s="156" t="s">
        <v>1444</v>
      </c>
      <c r="E4151" s="154" t="n">
        <v>0.0686</v>
      </c>
      <c r="F4151" s="149" t="n">
        <f aca="false">IF(C4151="MAT.",VLOOKUP(A4151,INSUMOS_AUX!$A$3:$H$813,6,0),0)</f>
        <v>0</v>
      </c>
      <c r="G4151" s="149" t="n">
        <f aca="false">IF(C4151="M.O.",VLOOKUP(A4151,INSUMOS_AUX!A:F,6,0),0)</f>
        <v>0</v>
      </c>
    </row>
    <row r="4152" customFormat="false" ht="21" hidden="false" customHeight="false" outlineLevel="0" collapsed="false">
      <c r="A4152" s="154" t="n">
        <v>37372</v>
      </c>
      <c r="B4152" s="155" t="s">
        <v>1446</v>
      </c>
      <c r="C4152" s="148" t="str">
        <f aca="false">VLOOKUP($A4152,INSUMOS_AUX!$A$3:$H$813,3,0)</f>
        <v>MAT.</v>
      </c>
      <c r="D4152" s="156" t="s">
        <v>1444</v>
      </c>
      <c r="E4152" s="154" t="n">
        <v>0.0686</v>
      </c>
      <c r="F4152" s="149" t="n">
        <f aca="false">IF(C4152="MAT.",VLOOKUP(A4152,INSUMOS_AUX!$A$3:$H$813,6,0),0)</f>
        <v>1.43</v>
      </c>
      <c r="G4152" s="149" t="n">
        <f aca="false">IF(C4152="M.O.",VLOOKUP(A4152,INSUMOS_AUX!A:F,6,0),0)</f>
        <v>0</v>
      </c>
    </row>
    <row r="4153" customFormat="false" ht="21" hidden="false" customHeight="false" outlineLevel="0" collapsed="false">
      <c r="A4153" s="154" t="n">
        <v>43461</v>
      </c>
      <c r="B4153" s="155" t="s">
        <v>1482</v>
      </c>
      <c r="C4153" s="148" t="str">
        <f aca="false">VLOOKUP($A4153,INSUMOS_AUX!$A$3:$H$813,3,0)</f>
        <v>MAT.</v>
      </c>
      <c r="D4153" s="156" t="s">
        <v>1444</v>
      </c>
      <c r="E4153" s="154" t="n">
        <v>0.0686</v>
      </c>
      <c r="F4153" s="149" t="n">
        <f aca="false">IF(C4153="MAT.",VLOOKUP(A4153,INSUMOS_AUX!$A$3:$H$813,6,0),0)</f>
        <v>0.31</v>
      </c>
      <c r="G4153" s="149" t="n">
        <f aca="false">IF(C4153="M.O.",VLOOKUP(A4153,INSUMOS_AUX!A:F,6,0),0)</f>
        <v>0</v>
      </c>
    </row>
    <row r="4154" customFormat="false" ht="21" hidden="false" customHeight="false" outlineLevel="0" collapsed="false">
      <c r="A4154" s="154" t="n">
        <v>37373</v>
      </c>
      <c r="B4154" s="155" t="s">
        <v>1448</v>
      </c>
      <c r="C4154" s="148" t="str">
        <f aca="false">VLOOKUP($A4154,INSUMOS_AUX!$A$3:$H$813,3,0)</f>
        <v>MAT.</v>
      </c>
      <c r="D4154" s="156" t="s">
        <v>1444</v>
      </c>
      <c r="E4154" s="154" t="n">
        <v>0.0686</v>
      </c>
      <c r="F4154" s="149" t="n">
        <f aca="false">IF(C4154="MAT.",VLOOKUP(A4154,INSUMOS_AUX!$A$3:$H$813,6,0),0)</f>
        <v>0.08</v>
      </c>
      <c r="G4154" s="149" t="n">
        <f aca="false">IF(C4154="M.O.",VLOOKUP(A4154,INSUMOS_AUX!A:F,6,0),0)</f>
        <v>0</v>
      </c>
    </row>
    <row r="4155" customFormat="false" ht="21" hidden="false" customHeight="false" outlineLevel="0" collapsed="false">
      <c r="A4155" s="154" t="n">
        <v>37371</v>
      </c>
      <c r="B4155" s="155" t="s">
        <v>1449</v>
      </c>
      <c r="C4155" s="148" t="str">
        <f aca="false">VLOOKUP($A4155,INSUMOS_AUX!$A$3:$H$813,3,0)</f>
        <v>MAT.</v>
      </c>
      <c r="D4155" s="156" t="s">
        <v>1444</v>
      </c>
      <c r="E4155" s="154" t="n">
        <v>0.0686</v>
      </c>
      <c r="F4155" s="149" t="n">
        <f aca="false">IF(C4155="MAT.",VLOOKUP(A4155,INSUMOS_AUX!$A$3:$H$813,6,0),0)</f>
        <v>0.59</v>
      </c>
      <c r="G4155" s="149" t="n">
        <f aca="false">IF(C4155="M.O.",VLOOKUP(A4155,INSUMOS_AUX!A:F,6,0),0)</f>
        <v>0</v>
      </c>
    </row>
    <row r="4156" customFormat="false" ht="15" hidden="false" customHeight="false" outlineLevel="0" collapsed="false">
      <c r="A4156" s="154" t="n">
        <v>296</v>
      </c>
      <c r="B4156" s="155" t="s">
        <v>2121</v>
      </c>
      <c r="C4156" s="148" t="str">
        <f aca="false">VLOOKUP($A4156,INSUMOS_AUX!$A$3:$H$813,3,0)</f>
        <v>MAT.</v>
      </c>
      <c r="D4156" s="156" t="s">
        <v>31</v>
      </c>
      <c r="E4156" s="154" t="n">
        <v>2</v>
      </c>
      <c r="F4156" s="149" t="n">
        <f aca="false">IF(C4156="MAT.",VLOOKUP(A4156,INSUMOS_AUX!$A$3:$H$813,6,0),0)</f>
        <v>1.69</v>
      </c>
      <c r="G4156" s="149" t="n">
        <f aca="false">IF(C4156="M.O.",VLOOKUP(A4156,INSUMOS_AUX!A:F,6,0),0)</f>
        <v>0</v>
      </c>
    </row>
    <row r="4157" customFormat="false" ht="15" hidden="false" customHeight="false" outlineLevel="0" collapsed="false">
      <c r="A4157" s="154" t="n">
        <v>1932</v>
      </c>
      <c r="B4157" s="155" t="s">
        <v>2194</v>
      </c>
      <c r="C4157" s="148" t="str">
        <f aca="false">VLOOKUP($A4157,INSUMOS_AUX!$A$3:$H$813,3,0)</f>
        <v>MAT.</v>
      </c>
      <c r="D4157" s="156" t="s">
        <v>31</v>
      </c>
      <c r="E4157" s="154" t="n">
        <v>1</v>
      </c>
      <c r="F4157" s="149" t="n">
        <f aca="false">IF(C4157="MAT.",VLOOKUP(A4157,INSUMOS_AUX!$A$3:$H$813,6,0),0)</f>
        <v>12.22</v>
      </c>
      <c r="G4157" s="149" t="n">
        <f aca="false">IF(C4157="M.O.",VLOOKUP(A4157,INSUMOS_AUX!A:F,6,0),0)</f>
        <v>0</v>
      </c>
    </row>
    <row r="4158" customFormat="false" ht="31.5" hidden="false" customHeight="false" outlineLevel="0" collapsed="false">
      <c r="A4158" s="154" t="n">
        <v>20078</v>
      </c>
      <c r="B4158" s="155" t="s">
        <v>2123</v>
      </c>
      <c r="C4158" s="148" t="str">
        <f aca="false">VLOOKUP($A4158,INSUMOS_AUX!$A$3:$H$813,3,0)</f>
        <v>MAT.</v>
      </c>
      <c r="D4158" s="156" t="s">
        <v>31</v>
      </c>
      <c r="E4158" s="154" t="n">
        <v>0.05</v>
      </c>
      <c r="F4158" s="149" t="n">
        <f aca="false">IF(C4158="MAT.",VLOOKUP(A4158,INSUMOS_AUX!$A$3:$H$813,6,0),0)</f>
        <v>26.04</v>
      </c>
      <c r="G4158" s="149" t="n">
        <f aca="false">IF(C4158="M.O.",VLOOKUP(A4158,INSUMOS_AUX!A:F,6,0),0)</f>
        <v>0</v>
      </c>
    </row>
    <row r="4159" customFormat="false" ht="15" hidden="false" customHeight="false" outlineLevel="0" collapsed="false">
      <c r="A4159" s="154" t="n">
        <v>246</v>
      </c>
      <c r="B4159" s="155" t="s">
        <v>1752</v>
      </c>
      <c r="C4159" s="148" t="str">
        <f aca="false">VLOOKUP($A4159,INSUMOS_AUX!$A$3:$H$813,3,0)</f>
        <v>M.O.</v>
      </c>
      <c r="D4159" s="156" t="s">
        <v>1444</v>
      </c>
      <c r="E4159" s="154" t="n">
        <v>0.034916714</v>
      </c>
      <c r="F4159" s="149" t="n">
        <f aca="false">IF(C4159="MAT.",VLOOKUP(A4159,INSUMOS_AUX!$A$3:$H$813,6,0),0)</f>
        <v>0</v>
      </c>
      <c r="G4159" s="149" t="n">
        <f aca="false">IF(C4159="M.O.",VLOOKUP(A4159,INSUMOS_AUX!A:F,6,0),0)</f>
        <v>13.26</v>
      </c>
    </row>
    <row r="4160" customFormat="false" ht="15" hidden="false" customHeight="false" outlineLevel="0" collapsed="false">
      <c r="A4160" s="154" t="n">
        <v>2696</v>
      </c>
      <c r="B4160" s="155" t="s">
        <v>1483</v>
      </c>
      <c r="C4160" s="148" t="str">
        <f aca="false">VLOOKUP($A4160,INSUMOS_AUX!$A$3:$H$813,3,0)</f>
        <v>M.O.</v>
      </c>
      <c r="D4160" s="156" t="s">
        <v>1444</v>
      </c>
      <c r="E4160" s="154" t="n">
        <v>0.034916714</v>
      </c>
      <c r="F4160" s="149" t="n">
        <f aca="false">IF(C4160="MAT.",VLOOKUP(A4160,INSUMOS_AUX!$A$3:$H$813,6,0),0)</f>
        <v>0</v>
      </c>
      <c r="G4160" s="149" t="n">
        <f aca="false">IF(C4160="M.O.",VLOOKUP(A4160,INSUMOS_AUX!A:F,6,0),0)</f>
        <v>20.22</v>
      </c>
    </row>
    <row r="4161" customFormat="false" ht="31.5" hidden="false" customHeight="false" outlineLevel="0" collapsed="false">
      <c r="A4161" s="150" t="n">
        <v>89746</v>
      </c>
      <c r="B4161" s="151" t="s">
        <v>2195</v>
      </c>
      <c r="C4161" s="152" t="s">
        <v>59</v>
      </c>
      <c r="D4161" s="152" t="s">
        <v>31</v>
      </c>
      <c r="E4161" s="150"/>
      <c r="F4161" s="153" t="n">
        <f aca="false">(SUMPRODUCT($E4162:$E4172,F4162:F4172))*1</f>
        <v>20.921796</v>
      </c>
      <c r="G4161" s="153" t="n">
        <f aca="false">(SUMPRODUCT($E4162:$E4172,G4162:G4172))*1</f>
        <v>6.56418749904</v>
      </c>
    </row>
    <row r="4162" customFormat="false" ht="21" hidden="false" customHeight="false" outlineLevel="0" collapsed="false">
      <c r="A4162" s="154" t="n">
        <v>37370</v>
      </c>
      <c r="B4162" s="155" t="s">
        <v>1443</v>
      </c>
      <c r="C4162" s="148" t="str">
        <f aca="false">VLOOKUP($A4162,INSUMOS_AUX!$A$3:$H$813,3,0)</f>
        <v>MAT.</v>
      </c>
      <c r="D4162" s="156" t="s">
        <v>1444</v>
      </c>
      <c r="E4162" s="154" t="n">
        <v>0.3852</v>
      </c>
      <c r="F4162" s="149" t="n">
        <f aca="false">IF(C4162="MAT.",VLOOKUP(A4162,INSUMOS_AUX!$A$3:$H$813,6,0),0)</f>
        <v>3.32</v>
      </c>
      <c r="G4162" s="149" t="n">
        <f aca="false">IF(C4162="M.O.",VLOOKUP(A4162,INSUMOS_AUX!A:F,6,0),0)</f>
        <v>0</v>
      </c>
    </row>
    <row r="4163" customFormat="false" ht="21" hidden="false" customHeight="false" outlineLevel="0" collapsed="false">
      <c r="A4163" s="154" t="n">
        <v>43485</v>
      </c>
      <c r="B4163" s="155" t="s">
        <v>1481</v>
      </c>
      <c r="C4163" s="148" t="s">
        <v>59</v>
      </c>
      <c r="D4163" s="156" t="s">
        <v>1444</v>
      </c>
      <c r="E4163" s="154" t="n">
        <v>0.3852</v>
      </c>
      <c r="F4163" s="149" t="n">
        <f aca="false">IF(C4163="MAT.",VLOOKUP(A4163,INSUMOS_AUX!$A$3:$H$813,6,0),0)</f>
        <v>0</v>
      </c>
      <c r="G4163" s="149" t="n">
        <f aca="false">IF(C4163="M.O.",VLOOKUP(A4163,INSUMOS_AUX!A:F,6,0),0)</f>
        <v>0</v>
      </c>
    </row>
    <row r="4164" customFormat="false" ht="21" hidden="false" customHeight="false" outlineLevel="0" collapsed="false">
      <c r="A4164" s="154" t="n">
        <v>37372</v>
      </c>
      <c r="B4164" s="155" t="s">
        <v>1446</v>
      </c>
      <c r="C4164" s="148" t="str">
        <f aca="false">VLOOKUP($A4164,INSUMOS_AUX!$A$3:$H$813,3,0)</f>
        <v>MAT.</v>
      </c>
      <c r="D4164" s="156" t="s">
        <v>1444</v>
      </c>
      <c r="E4164" s="154" t="n">
        <v>0.3852</v>
      </c>
      <c r="F4164" s="149" t="n">
        <f aca="false">IF(C4164="MAT.",VLOOKUP(A4164,INSUMOS_AUX!$A$3:$H$813,6,0),0)</f>
        <v>1.43</v>
      </c>
      <c r="G4164" s="149" t="n">
        <f aca="false">IF(C4164="M.O.",VLOOKUP(A4164,INSUMOS_AUX!A:F,6,0),0)</f>
        <v>0</v>
      </c>
    </row>
    <row r="4165" customFormat="false" ht="21" hidden="false" customHeight="false" outlineLevel="0" collapsed="false">
      <c r="A4165" s="154" t="n">
        <v>43461</v>
      </c>
      <c r="B4165" s="155" t="s">
        <v>1482</v>
      </c>
      <c r="C4165" s="148" t="str">
        <f aca="false">VLOOKUP($A4165,INSUMOS_AUX!$A$3:$H$813,3,0)</f>
        <v>MAT.</v>
      </c>
      <c r="D4165" s="156" t="s">
        <v>1444</v>
      </c>
      <c r="E4165" s="154" t="n">
        <v>0.3852</v>
      </c>
      <c r="F4165" s="149" t="n">
        <f aca="false">IF(C4165="MAT.",VLOOKUP(A4165,INSUMOS_AUX!$A$3:$H$813,6,0),0)</f>
        <v>0.31</v>
      </c>
      <c r="G4165" s="149" t="n">
        <f aca="false">IF(C4165="M.O.",VLOOKUP(A4165,INSUMOS_AUX!A:F,6,0),0)</f>
        <v>0</v>
      </c>
    </row>
    <row r="4166" customFormat="false" ht="21" hidden="false" customHeight="false" outlineLevel="0" collapsed="false">
      <c r="A4166" s="154" t="n">
        <v>37373</v>
      </c>
      <c r="B4166" s="155" t="s">
        <v>1448</v>
      </c>
      <c r="C4166" s="148" t="str">
        <f aca="false">VLOOKUP($A4166,INSUMOS_AUX!$A$3:$H$813,3,0)</f>
        <v>MAT.</v>
      </c>
      <c r="D4166" s="156" t="s">
        <v>1444</v>
      </c>
      <c r="E4166" s="154" t="n">
        <v>0.3852</v>
      </c>
      <c r="F4166" s="149" t="n">
        <f aca="false">IF(C4166="MAT.",VLOOKUP(A4166,INSUMOS_AUX!$A$3:$H$813,6,0),0)</f>
        <v>0.08</v>
      </c>
      <c r="G4166" s="149" t="n">
        <f aca="false">IF(C4166="M.O.",VLOOKUP(A4166,INSUMOS_AUX!A:F,6,0),0)</f>
        <v>0</v>
      </c>
    </row>
    <row r="4167" customFormat="false" ht="21" hidden="false" customHeight="false" outlineLevel="0" collapsed="false">
      <c r="A4167" s="154" t="n">
        <v>37371</v>
      </c>
      <c r="B4167" s="155" t="s">
        <v>1449</v>
      </c>
      <c r="C4167" s="148" t="str">
        <f aca="false">VLOOKUP($A4167,INSUMOS_AUX!$A$3:$H$813,3,0)</f>
        <v>MAT.</v>
      </c>
      <c r="D4167" s="156" t="s">
        <v>1444</v>
      </c>
      <c r="E4167" s="154" t="n">
        <v>0.3852</v>
      </c>
      <c r="F4167" s="149" t="n">
        <f aca="false">IF(C4167="MAT.",VLOOKUP(A4167,INSUMOS_AUX!$A$3:$H$813,6,0),0)</f>
        <v>0.59</v>
      </c>
      <c r="G4167" s="149" t="n">
        <f aca="false">IF(C4167="M.O.",VLOOKUP(A4167,INSUMOS_AUX!A:F,6,0),0)</f>
        <v>0</v>
      </c>
    </row>
    <row r="4168" customFormat="false" ht="21" hidden="false" customHeight="false" outlineLevel="0" collapsed="false">
      <c r="A4168" s="154" t="n">
        <v>301</v>
      </c>
      <c r="B4168" s="155" t="s">
        <v>2125</v>
      </c>
      <c r="C4168" s="148" t="str">
        <f aca="false">VLOOKUP($A4168,INSUMOS_AUX!$A$3:$H$813,3,0)</f>
        <v>MAT.</v>
      </c>
      <c r="D4168" s="156" t="s">
        <v>31</v>
      </c>
      <c r="E4168" s="154" t="n">
        <v>2</v>
      </c>
      <c r="F4168" s="149" t="n">
        <f aca="false">IF(C4168="MAT.",VLOOKUP(A4168,INSUMOS_AUX!$A$3:$H$813,6,0),0)</f>
        <v>3</v>
      </c>
      <c r="G4168" s="149" t="n">
        <f aca="false">IF(C4168="M.O.",VLOOKUP(A4168,INSUMOS_AUX!A:F,6,0),0)</f>
        <v>0</v>
      </c>
    </row>
    <row r="4169" customFormat="false" ht="21" hidden="false" customHeight="false" outlineLevel="0" collapsed="false">
      <c r="A4169" s="154" t="n">
        <v>3528</v>
      </c>
      <c r="B4169" s="155" t="s">
        <v>2133</v>
      </c>
      <c r="C4169" s="148" t="str">
        <f aca="false">VLOOKUP($A4169,INSUMOS_AUX!$A$3:$H$813,3,0)</f>
        <v>MAT.</v>
      </c>
      <c r="D4169" s="156" t="s">
        <v>31</v>
      </c>
      <c r="E4169" s="154" t="n">
        <v>1</v>
      </c>
      <c r="F4169" s="149" t="n">
        <f aca="false">IF(C4169="MAT.",VLOOKUP(A4169,INSUMOS_AUX!$A$3:$H$813,6,0),0)</f>
        <v>9.72</v>
      </c>
      <c r="G4169" s="149" t="n">
        <f aca="false">IF(C4169="M.O.",VLOOKUP(A4169,INSUMOS_AUX!A:F,6,0),0)</f>
        <v>0</v>
      </c>
    </row>
    <row r="4170" customFormat="false" ht="31.5" hidden="false" customHeight="false" outlineLevel="0" collapsed="false">
      <c r="A4170" s="154" t="n">
        <v>20078</v>
      </c>
      <c r="B4170" s="155" t="s">
        <v>2123</v>
      </c>
      <c r="C4170" s="148" t="str">
        <f aca="false">VLOOKUP($A4170,INSUMOS_AUX!$A$3:$H$813,3,0)</f>
        <v>MAT.</v>
      </c>
      <c r="D4170" s="156" t="s">
        <v>31</v>
      </c>
      <c r="E4170" s="154" t="n">
        <v>0.115</v>
      </c>
      <c r="F4170" s="149" t="n">
        <f aca="false">IF(C4170="MAT.",VLOOKUP(A4170,INSUMOS_AUX!$A$3:$H$813,6,0),0)</f>
        <v>26.04</v>
      </c>
      <c r="G4170" s="149" t="n">
        <f aca="false">IF(C4170="M.O.",VLOOKUP(A4170,INSUMOS_AUX!A:F,6,0),0)</f>
        <v>0</v>
      </c>
    </row>
    <row r="4171" customFormat="false" ht="15" hidden="false" customHeight="false" outlineLevel="0" collapsed="false">
      <c r="A4171" s="154" t="n">
        <v>246</v>
      </c>
      <c r="B4171" s="155" t="s">
        <v>1752</v>
      </c>
      <c r="C4171" s="148" t="str">
        <f aca="false">VLOOKUP($A4171,INSUMOS_AUX!$A$3:$H$813,3,0)</f>
        <v>M.O.</v>
      </c>
      <c r="D4171" s="156" t="s">
        <v>1444</v>
      </c>
      <c r="E4171" s="154" t="n">
        <v>0.196062948</v>
      </c>
      <c r="F4171" s="149" t="n">
        <f aca="false">IF(C4171="MAT.",VLOOKUP(A4171,INSUMOS_AUX!$A$3:$H$813,6,0),0)</f>
        <v>0</v>
      </c>
      <c r="G4171" s="149" t="n">
        <f aca="false">IF(C4171="M.O.",VLOOKUP(A4171,INSUMOS_AUX!A:F,6,0),0)</f>
        <v>13.26</v>
      </c>
    </row>
    <row r="4172" customFormat="false" ht="15" hidden="false" customHeight="false" outlineLevel="0" collapsed="false">
      <c r="A4172" s="154" t="n">
        <v>2696</v>
      </c>
      <c r="B4172" s="155" t="s">
        <v>1483</v>
      </c>
      <c r="C4172" s="148" t="str">
        <f aca="false">VLOOKUP($A4172,INSUMOS_AUX!$A$3:$H$813,3,0)</f>
        <v>M.O.</v>
      </c>
      <c r="D4172" s="156" t="s">
        <v>1444</v>
      </c>
      <c r="E4172" s="154" t="n">
        <v>0.196062948</v>
      </c>
      <c r="F4172" s="149" t="n">
        <f aca="false">IF(C4172="MAT.",VLOOKUP(A4172,INSUMOS_AUX!$A$3:$H$813,6,0),0)</f>
        <v>0</v>
      </c>
      <c r="G4172" s="149" t="n">
        <f aca="false">IF(C4172="M.O.",VLOOKUP(A4172,INSUMOS_AUX!A:F,6,0),0)</f>
        <v>20.22</v>
      </c>
    </row>
    <row r="4173" customFormat="false" ht="31.5" hidden="false" customHeight="false" outlineLevel="0" collapsed="false">
      <c r="A4173" s="150" t="n">
        <v>89732</v>
      </c>
      <c r="B4173" s="151" t="s">
        <v>2196</v>
      </c>
      <c r="C4173" s="152" t="s">
        <v>59</v>
      </c>
      <c r="D4173" s="152" t="s">
        <v>31</v>
      </c>
      <c r="E4173" s="150"/>
      <c r="F4173" s="153" t="n">
        <f aca="false">(SUMPRODUCT($E4174:$E4184,F4174:F4184))*1</f>
        <v>10.209594</v>
      </c>
      <c r="G4173" s="153" t="n">
        <f aca="false">(SUMPRODUCT($E4174:$E4184,G4174:G4184))*1</f>
        <v>4.69990371816</v>
      </c>
    </row>
    <row r="4174" customFormat="false" ht="21" hidden="false" customHeight="false" outlineLevel="0" collapsed="false">
      <c r="A4174" s="154" t="n">
        <v>37370</v>
      </c>
      <c r="B4174" s="155" t="s">
        <v>1443</v>
      </c>
      <c r="C4174" s="148" t="str">
        <f aca="false">VLOOKUP($A4174,INSUMOS_AUX!$A$3:$H$813,3,0)</f>
        <v>MAT.</v>
      </c>
      <c r="D4174" s="156" t="s">
        <v>1444</v>
      </c>
      <c r="E4174" s="154" t="n">
        <v>0.2758</v>
      </c>
      <c r="F4174" s="149" t="n">
        <f aca="false">IF(C4174="MAT.",VLOOKUP(A4174,INSUMOS_AUX!$A$3:$H$813,6,0),0)</f>
        <v>3.32</v>
      </c>
      <c r="G4174" s="149" t="n">
        <f aca="false">IF(C4174="M.O.",VLOOKUP(A4174,INSUMOS_AUX!A:F,6,0),0)</f>
        <v>0</v>
      </c>
    </row>
    <row r="4175" customFormat="false" ht="21" hidden="false" customHeight="false" outlineLevel="0" collapsed="false">
      <c r="A4175" s="154" t="n">
        <v>43485</v>
      </c>
      <c r="B4175" s="155" t="s">
        <v>1481</v>
      </c>
      <c r="C4175" s="148" t="str">
        <f aca="false">VLOOKUP($A4175,INSUMOS_AUX!$A$3:$H$813,3,0)</f>
        <v>MAT.</v>
      </c>
      <c r="D4175" s="156" t="s">
        <v>1444</v>
      </c>
      <c r="E4175" s="154" t="n">
        <v>0.2758</v>
      </c>
      <c r="F4175" s="149" t="n">
        <f aca="false">IF(C4175="MAT.",VLOOKUP(A4175,INSUMOS_AUX!$A$3:$H$813,6,0),0)</f>
        <v>1.13</v>
      </c>
      <c r="G4175" s="149" t="n">
        <f aca="false">IF(C4175="M.O.",VLOOKUP(A4175,INSUMOS_AUX!A:F,6,0),0)</f>
        <v>0</v>
      </c>
    </row>
    <row r="4176" customFormat="false" ht="21" hidden="false" customHeight="false" outlineLevel="0" collapsed="false">
      <c r="A4176" s="154" t="n">
        <v>37372</v>
      </c>
      <c r="B4176" s="155" t="s">
        <v>1446</v>
      </c>
      <c r="C4176" s="148" t="s">
        <v>59</v>
      </c>
      <c r="D4176" s="156" t="s">
        <v>1444</v>
      </c>
      <c r="E4176" s="154" t="n">
        <v>0.2758</v>
      </c>
      <c r="F4176" s="149" t="n">
        <f aca="false">IF(C4176="MAT.",VLOOKUP(A4176,INSUMOS_AUX!$A$3:$H$813,6,0),0)</f>
        <v>0</v>
      </c>
      <c r="G4176" s="149" t="n">
        <f aca="false">IF(C4176="M.O.",VLOOKUP(A4176,INSUMOS_AUX!A:F,6,0),0)</f>
        <v>0</v>
      </c>
    </row>
    <row r="4177" customFormat="false" ht="21" hidden="false" customHeight="false" outlineLevel="0" collapsed="false">
      <c r="A4177" s="154" t="n">
        <v>43461</v>
      </c>
      <c r="B4177" s="155" t="s">
        <v>1482</v>
      </c>
      <c r="C4177" s="148" t="str">
        <f aca="false">VLOOKUP($A4177,INSUMOS_AUX!$A$3:$H$813,3,0)</f>
        <v>MAT.</v>
      </c>
      <c r="D4177" s="156" t="s">
        <v>1444</v>
      </c>
      <c r="E4177" s="154" t="n">
        <v>0.2758</v>
      </c>
      <c r="F4177" s="149" t="n">
        <f aca="false">IF(C4177="MAT.",VLOOKUP(A4177,INSUMOS_AUX!$A$3:$H$813,6,0),0)</f>
        <v>0.31</v>
      </c>
      <c r="G4177" s="149" t="n">
        <f aca="false">IF(C4177="M.O.",VLOOKUP(A4177,INSUMOS_AUX!A:F,6,0),0)</f>
        <v>0</v>
      </c>
    </row>
    <row r="4178" customFormat="false" ht="21" hidden="false" customHeight="false" outlineLevel="0" collapsed="false">
      <c r="A4178" s="154" t="n">
        <v>37373</v>
      </c>
      <c r="B4178" s="155" t="s">
        <v>1448</v>
      </c>
      <c r="C4178" s="148" t="str">
        <f aca="false">VLOOKUP($A4178,INSUMOS_AUX!$A$3:$H$813,3,0)</f>
        <v>MAT.</v>
      </c>
      <c r="D4178" s="156" t="s">
        <v>1444</v>
      </c>
      <c r="E4178" s="154" t="n">
        <v>0.2758</v>
      </c>
      <c r="F4178" s="149" t="n">
        <f aca="false">IF(C4178="MAT.",VLOOKUP(A4178,INSUMOS_AUX!$A$3:$H$813,6,0),0)</f>
        <v>0.08</v>
      </c>
      <c r="G4178" s="149" t="n">
        <f aca="false">IF(C4178="M.O.",VLOOKUP(A4178,INSUMOS_AUX!A:F,6,0),0)</f>
        <v>0</v>
      </c>
    </row>
    <row r="4179" customFormat="false" ht="21" hidden="false" customHeight="false" outlineLevel="0" collapsed="false">
      <c r="A4179" s="154" t="n">
        <v>37371</v>
      </c>
      <c r="B4179" s="155" t="s">
        <v>1449</v>
      </c>
      <c r="C4179" s="148" t="str">
        <f aca="false">VLOOKUP($A4179,INSUMOS_AUX!$A$3:$H$813,3,0)</f>
        <v>MAT.</v>
      </c>
      <c r="D4179" s="156" t="s">
        <v>1444</v>
      </c>
      <c r="E4179" s="154" t="n">
        <v>0.2758</v>
      </c>
      <c r="F4179" s="149" t="n">
        <f aca="false">IF(C4179="MAT.",VLOOKUP(A4179,INSUMOS_AUX!$A$3:$H$813,6,0),0)</f>
        <v>0.59</v>
      </c>
      <c r="G4179" s="149" t="n">
        <f aca="false">IF(C4179="M.O.",VLOOKUP(A4179,INSUMOS_AUX!A:F,6,0),0)</f>
        <v>0</v>
      </c>
    </row>
    <row r="4180" customFormat="false" ht="15" hidden="false" customHeight="false" outlineLevel="0" collapsed="false">
      <c r="A4180" s="154" t="n">
        <v>296</v>
      </c>
      <c r="B4180" s="155" t="s">
        <v>2121</v>
      </c>
      <c r="C4180" s="148" t="str">
        <f aca="false">VLOOKUP($A4180,INSUMOS_AUX!$A$3:$H$813,3,0)</f>
        <v>MAT.</v>
      </c>
      <c r="D4180" s="156" t="s">
        <v>31</v>
      </c>
      <c r="E4180" s="154" t="n">
        <v>2</v>
      </c>
      <c r="F4180" s="149" t="n">
        <f aca="false">IF(C4180="MAT.",VLOOKUP(A4180,INSUMOS_AUX!$A$3:$H$813,6,0),0)</f>
        <v>1.69</v>
      </c>
      <c r="G4180" s="149" t="n">
        <f aca="false">IF(C4180="M.O.",VLOOKUP(A4180,INSUMOS_AUX!A:F,6,0),0)</f>
        <v>0</v>
      </c>
    </row>
    <row r="4181" customFormat="false" ht="21" hidden="false" customHeight="false" outlineLevel="0" collapsed="false">
      <c r="A4181" s="154" t="n">
        <v>3518</v>
      </c>
      <c r="B4181" s="155" t="s">
        <v>2137</v>
      </c>
      <c r="C4181" s="148" t="str">
        <f aca="false">VLOOKUP($A4181,INSUMOS_AUX!$A$3:$H$813,3,0)</f>
        <v>MAT.</v>
      </c>
      <c r="D4181" s="156" t="s">
        <v>31</v>
      </c>
      <c r="E4181" s="154" t="n">
        <v>1</v>
      </c>
      <c r="F4181" s="149" t="n">
        <f aca="false">IF(C4181="MAT.",VLOOKUP(A4181,INSUMOS_AUX!$A$3:$H$813,6,0),0)</f>
        <v>4.03</v>
      </c>
      <c r="G4181" s="149" t="n">
        <f aca="false">IF(C4181="M.O.",VLOOKUP(A4181,INSUMOS_AUX!A:F,6,0),0)</f>
        <v>0</v>
      </c>
    </row>
    <row r="4182" customFormat="false" ht="31.5" hidden="false" customHeight="false" outlineLevel="0" collapsed="false">
      <c r="A4182" s="154" t="n">
        <v>20078</v>
      </c>
      <c r="B4182" s="155" t="s">
        <v>2123</v>
      </c>
      <c r="C4182" s="148" t="str">
        <f aca="false">VLOOKUP($A4182,INSUMOS_AUX!$A$3:$H$813,3,0)</f>
        <v>MAT.</v>
      </c>
      <c r="D4182" s="156" t="s">
        <v>31</v>
      </c>
      <c r="E4182" s="154" t="n">
        <v>0.05</v>
      </c>
      <c r="F4182" s="149" t="n">
        <f aca="false">IF(C4182="MAT.",VLOOKUP(A4182,INSUMOS_AUX!$A$3:$H$813,6,0),0)</f>
        <v>26.04</v>
      </c>
      <c r="G4182" s="149" t="n">
        <f aca="false">IF(C4182="M.O.",VLOOKUP(A4182,INSUMOS_AUX!A:F,6,0),0)</f>
        <v>0</v>
      </c>
    </row>
    <row r="4183" customFormat="false" ht="15" hidden="false" customHeight="false" outlineLevel="0" collapsed="false">
      <c r="A4183" s="154" t="n">
        <v>246</v>
      </c>
      <c r="B4183" s="155" t="s">
        <v>1752</v>
      </c>
      <c r="C4183" s="148" t="str">
        <f aca="false">VLOOKUP($A4183,INSUMOS_AUX!$A$3:$H$813,3,0)</f>
        <v>M.O.</v>
      </c>
      <c r="D4183" s="156" t="s">
        <v>1444</v>
      </c>
      <c r="E4183" s="154" t="n">
        <v>0.140379442</v>
      </c>
      <c r="F4183" s="149" t="n">
        <f aca="false">IF(C4183="MAT.",VLOOKUP(A4183,INSUMOS_AUX!$A$3:$H$813,6,0),0)</f>
        <v>0</v>
      </c>
      <c r="G4183" s="149" t="n">
        <f aca="false">IF(C4183="M.O.",VLOOKUP(A4183,INSUMOS_AUX!A:F,6,0),0)</f>
        <v>13.26</v>
      </c>
    </row>
    <row r="4184" customFormat="false" ht="15" hidden="false" customHeight="false" outlineLevel="0" collapsed="false">
      <c r="A4184" s="154" t="n">
        <v>2696</v>
      </c>
      <c r="B4184" s="155" t="s">
        <v>1483</v>
      </c>
      <c r="C4184" s="148" t="str">
        <f aca="false">VLOOKUP($A4184,INSUMOS_AUX!$A$3:$H$813,3,0)</f>
        <v>M.O.</v>
      </c>
      <c r="D4184" s="156" t="s">
        <v>1444</v>
      </c>
      <c r="E4184" s="154" t="n">
        <v>0.140379442</v>
      </c>
      <c r="F4184" s="149" t="n">
        <f aca="false">IF(C4184="MAT.",VLOOKUP(A4184,INSUMOS_AUX!$A$3:$H$813,6,0),0)</f>
        <v>0</v>
      </c>
      <c r="G4184" s="149" t="n">
        <f aca="false">IF(C4184="M.O.",VLOOKUP(A4184,INSUMOS_AUX!A:F,6,0),0)</f>
        <v>20.22</v>
      </c>
    </row>
    <row r="4185" customFormat="false" ht="31.5" hidden="false" customHeight="false" outlineLevel="0" collapsed="false">
      <c r="A4185" s="150" t="n">
        <v>89744</v>
      </c>
      <c r="B4185" s="151" t="s">
        <v>2197</v>
      </c>
      <c r="C4185" s="152" t="s">
        <v>59</v>
      </c>
      <c r="D4185" s="152" t="s">
        <v>31</v>
      </c>
      <c r="E4185" s="150"/>
      <c r="F4185" s="153" t="n">
        <f aca="false">(SUMPRODUCT($E4186:$E4196,F4186:F4196))*1</f>
        <v>19.916236</v>
      </c>
      <c r="G4185" s="153" t="n">
        <f aca="false">(SUMPRODUCT($E4186:$E4196,G4186:G4196))*1</f>
        <v>6.56418749904</v>
      </c>
    </row>
    <row r="4186" customFormat="false" ht="21" hidden="false" customHeight="false" outlineLevel="0" collapsed="false">
      <c r="A4186" s="154" t="n">
        <v>37370</v>
      </c>
      <c r="B4186" s="155" t="s">
        <v>1443</v>
      </c>
      <c r="C4186" s="148" t="str">
        <f aca="false">VLOOKUP($A4186,INSUMOS_AUX!$A$3:$H$813,3,0)</f>
        <v>MAT.</v>
      </c>
      <c r="D4186" s="156" t="s">
        <v>1444</v>
      </c>
      <c r="E4186" s="154" t="n">
        <v>0.3852</v>
      </c>
      <c r="F4186" s="149" t="n">
        <f aca="false">IF(C4186="MAT.",VLOOKUP(A4186,INSUMOS_AUX!$A$3:$H$813,6,0),0)</f>
        <v>3.32</v>
      </c>
      <c r="G4186" s="149" t="n">
        <f aca="false">IF(C4186="M.O.",VLOOKUP(A4186,INSUMOS_AUX!A:F,6,0),0)</f>
        <v>0</v>
      </c>
    </row>
    <row r="4187" customFormat="false" ht="21" hidden="false" customHeight="false" outlineLevel="0" collapsed="false">
      <c r="A4187" s="154" t="n">
        <v>43485</v>
      </c>
      <c r="B4187" s="155" t="s">
        <v>1481</v>
      </c>
      <c r="C4187" s="148" t="str">
        <f aca="false">VLOOKUP($A4187,INSUMOS_AUX!$A$3:$H$813,3,0)</f>
        <v>MAT.</v>
      </c>
      <c r="D4187" s="156" t="s">
        <v>1444</v>
      </c>
      <c r="E4187" s="154" t="n">
        <v>0.3852</v>
      </c>
      <c r="F4187" s="149" t="n">
        <f aca="false">IF(C4187="MAT.",VLOOKUP(A4187,INSUMOS_AUX!$A$3:$H$813,6,0),0)</f>
        <v>1.13</v>
      </c>
      <c r="G4187" s="149" t="n">
        <f aca="false">IF(C4187="M.O.",VLOOKUP(A4187,INSUMOS_AUX!A:F,6,0),0)</f>
        <v>0</v>
      </c>
    </row>
    <row r="4188" customFormat="false" ht="21" hidden="false" customHeight="false" outlineLevel="0" collapsed="false">
      <c r="A4188" s="154" t="n">
        <v>37372</v>
      </c>
      <c r="B4188" s="155" t="s">
        <v>1446</v>
      </c>
      <c r="C4188" s="148" t="s">
        <v>59</v>
      </c>
      <c r="D4188" s="156" t="s">
        <v>1444</v>
      </c>
      <c r="E4188" s="154" t="n">
        <v>0.3852</v>
      </c>
      <c r="F4188" s="149" t="n">
        <f aca="false">IF(C4188="MAT.",VLOOKUP(A4188,INSUMOS_AUX!$A$3:$H$813,6,0),0)</f>
        <v>0</v>
      </c>
      <c r="G4188" s="149" t="n">
        <f aca="false">IF(C4188="M.O.",VLOOKUP(A4188,INSUMOS_AUX!A:F,6,0),0)</f>
        <v>0</v>
      </c>
    </row>
    <row r="4189" customFormat="false" ht="21" hidden="false" customHeight="false" outlineLevel="0" collapsed="false">
      <c r="A4189" s="154" t="n">
        <v>43461</v>
      </c>
      <c r="B4189" s="155" t="s">
        <v>1482</v>
      </c>
      <c r="C4189" s="148" t="str">
        <f aca="false">VLOOKUP($A4189,INSUMOS_AUX!$A$3:$H$813,3,0)</f>
        <v>MAT.</v>
      </c>
      <c r="D4189" s="156" t="s">
        <v>1444</v>
      </c>
      <c r="E4189" s="154" t="n">
        <v>0.3852</v>
      </c>
      <c r="F4189" s="149" t="n">
        <f aca="false">IF(C4189="MAT.",VLOOKUP(A4189,INSUMOS_AUX!$A$3:$H$813,6,0),0)</f>
        <v>0.31</v>
      </c>
      <c r="G4189" s="149" t="n">
        <f aca="false">IF(C4189="M.O.",VLOOKUP(A4189,INSUMOS_AUX!A:F,6,0),0)</f>
        <v>0</v>
      </c>
    </row>
    <row r="4190" customFormat="false" ht="21" hidden="false" customHeight="false" outlineLevel="0" collapsed="false">
      <c r="A4190" s="154" t="n">
        <v>37373</v>
      </c>
      <c r="B4190" s="155" t="s">
        <v>1448</v>
      </c>
      <c r="C4190" s="148" t="str">
        <f aca="false">VLOOKUP($A4190,INSUMOS_AUX!$A$3:$H$813,3,0)</f>
        <v>MAT.</v>
      </c>
      <c r="D4190" s="156" t="s">
        <v>1444</v>
      </c>
      <c r="E4190" s="154" t="n">
        <v>0.3852</v>
      </c>
      <c r="F4190" s="149" t="n">
        <f aca="false">IF(C4190="MAT.",VLOOKUP(A4190,INSUMOS_AUX!$A$3:$H$813,6,0),0)</f>
        <v>0.08</v>
      </c>
      <c r="G4190" s="149" t="n">
        <f aca="false">IF(C4190="M.O.",VLOOKUP(A4190,INSUMOS_AUX!A:F,6,0),0)</f>
        <v>0</v>
      </c>
    </row>
    <row r="4191" customFormat="false" ht="21" hidden="false" customHeight="false" outlineLevel="0" collapsed="false">
      <c r="A4191" s="154" t="n">
        <v>37371</v>
      </c>
      <c r="B4191" s="155" t="s">
        <v>1449</v>
      </c>
      <c r="C4191" s="148" t="str">
        <f aca="false">VLOOKUP($A4191,INSUMOS_AUX!$A$3:$H$813,3,0)</f>
        <v>MAT.</v>
      </c>
      <c r="D4191" s="156" t="s">
        <v>1444</v>
      </c>
      <c r="E4191" s="154" t="n">
        <v>0.3852</v>
      </c>
      <c r="F4191" s="149" t="n">
        <f aca="false">IF(C4191="MAT.",VLOOKUP(A4191,INSUMOS_AUX!$A$3:$H$813,6,0),0)</f>
        <v>0.59</v>
      </c>
      <c r="G4191" s="149" t="n">
        <f aca="false">IF(C4191="M.O.",VLOOKUP(A4191,INSUMOS_AUX!A:F,6,0),0)</f>
        <v>0</v>
      </c>
    </row>
    <row r="4192" customFormat="false" ht="21" hidden="false" customHeight="false" outlineLevel="0" collapsed="false">
      <c r="A4192" s="154" t="n">
        <v>301</v>
      </c>
      <c r="B4192" s="155" t="s">
        <v>2125</v>
      </c>
      <c r="C4192" s="148" t="str">
        <f aca="false">VLOOKUP($A4192,INSUMOS_AUX!$A$3:$H$813,3,0)</f>
        <v>MAT.</v>
      </c>
      <c r="D4192" s="156" t="s">
        <v>31</v>
      </c>
      <c r="E4192" s="154" t="n">
        <v>2</v>
      </c>
      <c r="F4192" s="149" t="n">
        <f aca="false">IF(C4192="MAT.",VLOOKUP(A4192,INSUMOS_AUX!$A$3:$H$813,6,0),0)</f>
        <v>3</v>
      </c>
      <c r="G4192" s="149" t="n">
        <f aca="false">IF(C4192="M.O.",VLOOKUP(A4192,INSUMOS_AUX!A:F,6,0),0)</f>
        <v>0</v>
      </c>
    </row>
    <row r="4193" customFormat="false" ht="21" hidden="false" customHeight="false" outlineLevel="0" collapsed="false">
      <c r="A4193" s="154" t="n">
        <v>3520</v>
      </c>
      <c r="B4193" s="155" t="s">
        <v>2141</v>
      </c>
      <c r="C4193" s="148" t="str">
        <f aca="false">VLOOKUP($A4193,INSUMOS_AUX!$A$3:$H$813,3,0)</f>
        <v>MAT.</v>
      </c>
      <c r="D4193" s="156" t="s">
        <v>31</v>
      </c>
      <c r="E4193" s="154" t="n">
        <v>1</v>
      </c>
      <c r="F4193" s="149" t="n">
        <f aca="false">IF(C4193="MAT.",VLOOKUP(A4193,INSUMOS_AUX!$A$3:$H$813,6,0),0)</f>
        <v>8.83</v>
      </c>
      <c r="G4193" s="149" t="n">
        <f aca="false">IF(C4193="M.O.",VLOOKUP(A4193,INSUMOS_AUX!A:F,6,0),0)</f>
        <v>0</v>
      </c>
    </row>
    <row r="4194" customFormat="false" ht="31.5" hidden="false" customHeight="false" outlineLevel="0" collapsed="false">
      <c r="A4194" s="154" t="n">
        <v>20078</v>
      </c>
      <c r="B4194" s="155" t="s">
        <v>2123</v>
      </c>
      <c r="C4194" s="148" t="str">
        <f aca="false">VLOOKUP($A4194,INSUMOS_AUX!$A$3:$H$813,3,0)</f>
        <v>MAT.</v>
      </c>
      <c r="D4194" s="156" t="s">
        <v>31</v>
      </c>
      <c r="E4194" s="154" t="n">
        <v>0.115</v>
      </c>
      <c r="F4194" s="149" t="n">
        <f aca="false">IF(C4194="MAT.",VLOOKUP(A4194,INSUMOS_AUX!$A$3:$H$813,6,0),0)</f>
        <v>26.04</v>
      </c>
      <c r="G4194" s="149" t="n">
        <f aca="false">IF(C4194="M.O.",VLOOKUP(A4194,INSUMOS_AUX!A:F,6,0),0)</f>
        <v>0</v>
      </c>
    </row>
    <row r="4195" customFormat="false" ht="15" hidden="false" customHeight="false" outlineLevel="0" collapsed="false">
      <c r="A4195" s="154" t="n">
        <v>246</v>
      </c>
      <c r="B4195" s="155" t="s">
        <v>1752</v>
      </c>
      <c r="C4195" s="148" t="str">
        <f aca="false">VLOOKUP($A4195,INSUMOS_AUX!$A$3:$H$813,3,0)</f>
        <v>M.O.</v>
      </c>
      <c r="D4195" s="156" t="s">
        <v>1444</v>
      </c>
      <c r="E4195" s="154" t="n">
        <v>0.196062948</v>
      </c>
      <c r="F4195" s="149" t="n">
        <f aca="false">IF(C4195="MAT.",VLOOKUP(A4195,INSUMOS_AUX!$A$3:$H$813,6,0),0)</f>
        <v>0</v>
      </c>
      <c r="G4195" s="149" t="n">
        <f aca="false">IF(C4195="M.O.",VLOOKUP(A4195,INSUMOS_AUX!A:F,6,0),0)</f>
        <v>13.26</v>
      </c>
    </row>
    <row r="4196" customFormat="false" ht="15" hidden="false" customHeight="false" outlineLevel="0" collapsed="false">
      <c r="A4196" s="154" t="n">
        <v>2696</v>
      </c>
      <c r="B4196" s="155" t="s">
        <v>1483</v>
      </c>
      <c r="C4196" s="148" t="str">
        <f aca="false">VLOOKUP($A4196,INSUMOS_AUX!$A$3:$H$813,3,0)</f>
        <v>M.O.</v>
      </c>
      <c r="D4196" s="156" t="s">
        <v>1444</v>
      </c>
      <c r="E4196" s="154" t="n">
        <v>0.196062948</v>
      </c>
      <c r="F4196" s="149" t="n">
        <f aca="false">IF(C4196="MAT.",VLOOKUP(A4196,INSUMOS_AUX!$A$3:$H$813,6,0),0)</f>
        <v>0</v>
      </c>
      <c r="G4196" s="149" t="n">
        <f aca="false">IF(C4196="M.O.",VLOOKUP(A4196,INSUMOS_AUX!A:F,6,0),0)</f>
        <v>20.22</v>
      </c>
    </row>
    <row r="4197" customFormat="false" ht="31.5" hidden="false" customHeight="false" outlineLevel="0" collapsed="false">
      <c r="A4197" s="150" t="n">
        <v>89731</v>
      </c>
      <c r="B4197" s="151" t="s">
        <v>2198</v>
      </c>
      <c r="C4197" s="152" t="s">
        <v>59</v>
      </c>
      <c r="D4197" s="152" t="s">
        <v>31</v>
      </c>
      <c r="E4197" s="150"/>
      <c r="F4197" s="153" t="n">
        <f aca="false">(SUMPRODUCT($E4198:$E4208,F4198:F4208))*1</f>
        <v>9.73849</v>
      </c>
      <c r="G4197" s="153" t="n">
        <f aca="false">(SUMPRODUCT($E4198:$E4208,G4198:G4208))*1</f>
        <v>4.69990371816</v>
      </c>
    </row>
    <row r="4198" customFormat="false" ht="21" hidden="false" customHeight="false" outlineLevel="0" collapsed="false">
      <c r="A4198" s="154" t="n">
        <v>37370</v>
      </c>
      <c r="B4198" s="155" t="s">
        <v>1443</v>
      </c>
      <c r="C4198" s="148" t="str">
        <f aca="false">VLOOKUP($A4198,INSUMOS_AUX!$A$3:$H$813,3,0)</f>
        <v>MAT.</v>
      </c>
      <c r="D4198" s="156" t="s">
        <v>1444</v>
      </c>
      <c r="E4198" s="154" t="n">
        <v>0.2758</v>
      </c>
      <c r="F4198" s="149" t="n">
        <f aca="false">IF(C4198="MAT.",VLOOKUP(A4198,INSUMOS_AUX!$A$3:$H$813,6,0),0)</f>
        <v>3.32</v>
      </c>
      <c r="G4198" s="149" t="n">
        <f aca="false">IF(C4198="M.O.",VLOOKUP(A4198,INSUMOS_AUX!A:F,6,0),0)</f>
        <v>0</v>
      </c>
    </row>
    <row r="4199" customFormat="false" ht="21" hidden="false" customHeight="false" outlineLevel="0" collapsed="false">
      <c r="A4199" s="154" t="n">
        <v>43485</v>
      </c>
      <c r="B4199" s="155" t="s">
        <v>1481</v>
      </c>
      <c r="C4199" s="148" t="str">
        <f aca="false">VLOOKUP($A4199,INSUMOS_AUX!$A$3:$H$813,3,0)</f>
        <v>MAT.</v>
      </c>
      <c r="D4199" s="156" t="s">
        <v>1444</v>
      </c>
      <c r="E4199" s="154" t="n">
        <v>0.2758</v>
      </c>
      <c r="F4199" s="149" t="n">
        <f aca="false">IF(C4199="MAT.",VLOOKUP(A4199,INSUMOS_AUX!$A$3:$H$813,6,0),0)</f>
        <v>1.13</v>
      </c>
      <c r="G4199" s="149" t="n">
        <f aca="false">IF(C4199="M.O.",VLOOKUP(A4199,INSUMOS_AUX!A:F,6,0),0)</f>
        <v>0</v>
      </c>
    </row>
    <row r="4200" customFormat="false" ht="21" hidden="false" customHeight="false" outlineLevel="0" collapsed="false">
      <c r="A4200" s="154" t="n">
        <v>37372</v>
      </c>
      <c r="B4200" s="155" t="s">
        <v>1446</v>
      </c>
      <c r="C4200" s="148" t="str">
        <f aca="false">VLOOKUP($A4200,INSUMOS_AUX!$A$3:$H$813,3,0)</f>
        <v>MAT.</v>
      </c>
      <c r="D4200" s="156" t="s">
        <v>1444</v>
      </c>
      <c r="E4200" s="154" t="n">
        <v>0.2758</v>
      </c>
      <c r="F4200" s="149" t="n">
        <f aca="false">IF(C4200="MAT.",VLOOKUP(A4200,INSUMOS_AUX!$A$3:$H$813,6,0),0)</f>
        <v>1.43</v>
      </c>
      <c r="G4200" s="149" t="n">
        <f aca="false">IF(C4200="M.O.",VLOOKUP(A4200,INSUMOS_AUX!A:F,6,0),0)</f>
        <v>0</v>
      </c>
    </row>
    <row r="4201" customFormat="false" ht="21" hidden="false" customHeight="false" outlineLevel="0" collapsed="false">
      <c r="A4201" s="154" t="n">
        <v>43461</v>
      </c>
      <c r="B4201" s="155" t="s">
        <v>1482</v>
      </c>
      <c r="C4201" s="148" t="s">
        <v>59</v>
      </c>
      <c r="D4201" s="156" t="s">
        <v>1444</v>
      </c>
      <c r="E4201" s="154" t="n">
        <v>0.2758</v>
      </c>
      <c r="F4201" s="149" t="n">
        <f aca="false">IF(C4201="MAT.",VLOOKUP(A4201,INSUMOS_AUX!$A$3:$H$813,6,0),0)</f>
        <v>0</v>
      </c>
      <c r="G4201" s="149" t="n">
        <f aca="false">IF(C4201="M.O.",VLOOKUP(A4201,INSUMOS_AUX!A:F,6,0),0)</f>
        <v>0</v>
      </c>
    </row>
    <row r="4202" customFormat="false" ht="21" hidden="false" customHeight="false" outlineLevel="0" collapsed="false">
      <c r="A4202" s="154" t="n">
        <v>37373</v>
      </c>
      <c r="B4202" s="155" t="s">
        <v>1448</v>
      </c>
      <c r="C4202" s="148" t="str">
        <f aca="false">VLOOKUP($A4202,INSUMOS_AUX!$A$3:$H$813,3,0)</f>
        <v>MAT.</v>
      </c>
      <c r="D4202" s="156" t="s">
        <v>1444</v>
      </c>
      <c r="E4202" s="154" t="n">
        <v>0.2758</v>
      </c>
      <c r="F4202" s="149" t="n">
        <f aca="false">IF(C4202="MAT.",VLOOKUP(A4202,INSUMOS_AUX!$A$3:$H$813,6,0),0)</f>
        <v>0.08</v>
      </c>
      <c r="G4202" s="149" t="n">
        <f aca="false">IF(C4202="M.O.",VLOOKUP(A4202,INSUMOS_AUX!A:F,6,0),0)</f>
        <v>0</v>
      </c>
    </row>
    <row r="4203" customFormat="false" ht="21" hidden="false" customHeight="false" outlineLevel="0" collapsed="false">
      <c r="A4203" s="154" t="n">
        <v>37371</v>
      </c>
      <c r="B4203" s="155" t="s">
        <v>1449</v>
      </c>
      <c r="C4203" s="148" t="str">
        <f aca="false">VLOOKUP($A4203,INSUMOS_AUX!$A$3:$H$813,3,0)</f>
        <v>MAT.</v>
      </c>
      <c r="D4203" s="156" t="s">
        <v>1444</v>
      </c>
      <c r="E4203" s="154" t="n">
        <v>0.2758</v>
      </c>
      <c r="F4203" s="149" t="n">
        <f aca="false">IF(C4203="MAT.",VLOOKUP(A4203,INSUMOS_AUX!$A$3:$H$813,6,0),0)</f>
        <v>0.59</v>
      </c>
      <c r="G4203" s="149" t="n">
        <f aca="false">IF(C4203="M.O.",VLOOKUP(A4203,INSUMOS_AUX!A:F,6,0),0)</f>
        <v>0</v>
      </c>
    </row>
    <row r="4204" customFormat="false" ht="15" hidden="false" customHeight="false" outlineLevel="0" collapsed="false">
      <c r="A4204" s="154" t="n">
        <v>296</v>
      </c>
      <c r="B4204" s="155" t="s">
        <v>2121</v>
      </c>
      <c r="C4204" s="148" t="str">
        <f aca="false">VLOOKUP($A4204,INSUMOS_AUX!$A$3:$H$813,3,0)</f>
        <v>MAT.</v>
      </c>
      <c r="D4204" s="156" t="s">
        <v>31</v>
      </c>
      <c r="E4204" s="154" t="n">
        <v>2</v>
      </c>
      <c r="F4204" s="149" t="n">
        <f aca="false">IF(C4204="MAT.",VLOOKUP(A4204,INSUMOS_AUX!$A$3:$H$813,6,0),0)</f>
        <v>1.69</v>
      </c>
      <c r="G4204" s="149" t="n">
        <f aca="false">IF(C4204="M.O.",VLOOKUP(A4204,INSUMOS_AUX!A:F,6,0),0)</f>
        <v>0</v>
      </c>
    </row>
    <row r="4205" customFormat="false" ht="21" hidden="false" customHeight="false" outlineLevel="0" collapsed="false">
      <c r="A4205" s="154" t="n">
        <v>3526</v>
      </c>
      <c r="B4205" s="155" t="s">
        <v>2145</v>
      </c>
      <c r="C4205" s="148" t="str">
        <f aca="false">VLOOKUP($A4205,INSUMOS_AUX!$A$3:$H$813,3,0)</f>
        <v>MAT.</v>
      </c>
      <c r="D4205" s="156" t="s">
        <v>31</v>
      </c>
      <c r="E4205" s="154" t="n">
        <v>1</v>
      </c>
      <c r="F4205" s="149" t="n">
        <f aca="false">IF(C4205="MAT.",VLOOKUP(A4205,INSUMOS_AUX!$A$3:$H$813,6,0),0)</f>
        <v>3.25</v>
      </c>
      <c r="G4205" s="149" t="n">
        <f aca="false">IF(C4205="M.O.",VLOOKUP(A4205,INSUMOS_AUX!A:F,6,0),0)</f>
        <v>0</v>
      </c>
    </row>
    <row r="4206" customFormat="false" ht="31.5" hidden="false" customHeight="false" outlineLevel="0" collapsed="false">
      <c r="A4206" s="154" t="n">
        <v>20078</v>
      </c>
      <c r="B4206" s="155" t="s">
        <v>2123</v>
      </c>
      <c r="C4206" s="148" t="str">
        <f aca="false">VLOOKUP($A4206,INSUMOS_AUX!$A$3:$H$813,3,0)</f>
        <v>MAT.</v>
      </c>
      <c r="D4206" s="156" t="s">
        <v>31</v>
      </c>
      <c r="E4206" s="154" t="n">
        <v>0.05</v>
      </c>
      <c r="F4206" s="149" t="n">
        <f aca="false">IF(C4206="MAT.",VLOOKUP(A4206,INSUMOS_AUX!$A$3:$H$813,6,0),0)</f>
        <v>26.04</v>
      </c>
      <c r="G4206" s="149" t="n">
        <f aca="false">IF(C4206="M.O.",VLOOKUP(A4206,INSUMOS_AUX!A:F,6,0),0)</f>
        <v>0</v>
      </c>
    </row>
    <row r="4207" customFormat="false" ht="15" hidden="false" customHeight="false" outlineLevel="0" collapsed="false">
      <c r="A4207" s="154" t="n">
        <v>246</v>
      </c>
      <c r="B4207" s="155" t="s">
        <v>1752</v>
      </c>
      <c r="C4207" s="148" t="str">
        <f aca="false">VLOOKUP($A4207,INSUMOS_AUX!$A$3:$H$813,3,0)</f>
        <v>M.O.</v>
      </c>
      <c r="D4207" s="156" t="s">
        <v>1444</v>
      </c>
      <c r="E4207" s="154" t="n">
        <v>0.140379442</v>
      </c>
      <c r="F4207" s="149" t="n">
        <f aca="false">IF(C4207="MAT.",VLOOKUP(A4207,INSUMOS_AUX!$A$3:$H$813,6,0),0)</f>
        <v>0</v>
      </c>
      <c r="G4207" s="149" t="n">
        <f aca="false">IF(C4207="M.O.",VLOOKUP(A4207,INSUMOS_AUX!A:F,6,0),0)</f>
        <v>13.26</v>
      </c>
    </row>
    <row r="4208" customFormat="false" ht="15" hidden="false" customHeight="false" outlineLevel="0" collapsed="false">
      <c r="A4208" s="154" t="n">
        <v>2696</v>
      </c>
      <c r="B4208" s="155" t="s">
        <v>1483</v>
      </c>
      <c r="C4208" s="148" t="str">
        <f aca="false">VLOOKUP($A4208,INSUMOS_AUX!$A$3:$H$813,3,0)</f>
        <v>M.O.</v>
      </c>
      <c r="D4208" s="156" t="s">
        <v>1444</v>
      </c>
      <c r="E4208" s="154" t="n">
        <v>0.140379442</v>
      </c>
      <c r="F4208" s="149" t="n">
        <f aca="false">IF(C4208="MAT.",VLOOKUP(A4208,INSUMOS_AUX!$A$3:$H$813,6,0),0)</f>
        <v>0</v>
      </c>
      <c r="G4208" s="149" t="n">
        <f aca="false">IF(C4208="M.O.",VLOOKUP(A4208,INSUMOS_AUX!A:F,6,0),0)</f>
        <v>20.22</v>
      </c>
    </row>
    <row r="4209" customFormat="false" ht="31.5" hidden="false" customHeight="false" outlineLevel="0" collapsed="false">
      <c r="A4209" s="150" t="n">
        <v>89778</v>
      </c>
      <c r="B4209" s="151" t="s">
        <v>2199</v>
      </c>
      <c r="C4209" s="152" t="s">
        <v>59</v>
      </c>
      <c r="D4209" s="152" t="s">
        <v>31</v>
      </c>
      <c r="E4209" s="150"/>
      <c r="F4209" s="153" t="n">
        <f aca="false">(SUMPRODUCT($E4210:$E4221,F4210:F4221))*1</f>
        <v>13.128915</v>
      </c>
      <c r="G4209" s="153" t="n">
        <f aca="false">(SUMPRODUCT($E4210:$E4221,G4210:G4221))*1</f>
        <v>4.37612499936</v>
      </c>
    </row>
    <row r="4210" customFormat="false" ht="21" hidden="false" customHeight="false" outlineLevel="0" collapsed="false">
      <c r="A4210" s="154" t="n">
        <v>37370</v>
      </c>
      <c r="B4210" s="155" t="s">
        <v>1443</v>
      </c>
      <c r="C4210" s="148" t="str">
        <f aca="false">VLOOKUP($A4210,INSUMOS_AUX!$A$3:$H$813,3,0)</f>
        <v>MAT.</v>
      </c>
      <c r="D4210" s="156" t="s">
        <v>1444</v>
      </c>
      <c r="E4210" s="154" t="n">
        <v>0.2568</v>
      </c>
      <c r="F4210" s="149" t="n">
        <f aca="false">IF(C4210="MAT.",VLOOKUP(A4210,INSUMOS_AUX!$A$3:$H$813,6,0),0)</f>
        <v>3.32</v>
      </c>
      <c r="G4210" s="149" t="n">
        <f aca="false">IF(C4210="M.O.",VLOOKUP(A4210,INSUMOS_AUX!A:F,6,0),0)</f>
        <v>0</v>
      </c>
    </row>
    <row r="4211" customFormat="false" ht="21" hidden="false" customHeight="false" outlineLevel="0" collapsed="false">
      <c r="A4211" s="154" t="n">
        <v>43485</v>
      </c>
      <c r="B4211" s="155" t="s">
        <v>1481</v>
      </c>
      <c r="C4211" s="148" t="str">
        <f aca="false">VLOOKUP($A4211,INSUMOS_AUX!$A$3:$H$813,3,0)</f>
        <v>MAT.</v>
      </c>
      <c r="D4211" s="156" t="s">
        <v>1444</v>
      </c>
      <c r="E4211" s="154" t="n">
        <v>0.2568</v>
      </c>
      <c r="F4211" s="149" t="n">
        <f aca="false">IF(C4211="MAT.",VLOOKUP(A4211,INSUMOS_AUX!$A$3:$H$813,6,0),0)</f>
        <v>1.13</v>
      </c>
      <c r="G4211" s="149" t="n">
        <f aca="false">IF(C4211="M.O.",VLOOKUP(A4211,INSUMOS_AUX!A:F,6,0),0)</f>
        <v>0</v>
      </c>
    </row>
    <row r="4212" customFormat="false" ht="21" hidden="false" customHeight="false" outlineLevel="0" collapsed="false">
      <c r="A4212" s="154" t="n">
        <v>37372</v>
      </c>
      <c r="B4212" s="155" t="s">
        <v>1446</v>
      </c>
      <c r="C4212" s="148" t="str">
        <f aca="false">VLOOKUP($A4212,INSUMOS_AUX!$A$3:$H$813,3,0)</f>
        <v>MAT.</v>
      </c>
      <c r="D4212" s="156" t="s">
        <v>1444</v>
      </c>
      <c r="E4212" s="154" t="n">
        <v>0.2568</v>
      </c>
      <c r="F4212" s="149" t="n">
        <f aca="false">IF(C4212="MAT.",VLOOKUP(A4212,INSUMOS_AUX!$A$3:$H$813,6,0),0)</f>
        <v>1.43</v>
      </c>
      <c r="G4212" s="149" t="n">
        <f aca="false">IF(C4212="M.O.",VLOOKUP(A4212,INSUMOS_AUX!A:F,6,0),0)</f>
        <v>0</v>
      </c>
    </row>
    <row r="4213" customFormat="false" ht="21" hidden="false" customHeight="false" outlineLevel="0" collapsed="false">
      <c r="A4213" s="154" t="n">
        <v>43461</v>
      </c>
      <c r="B4213" s="155" t="s">
        <v>1482</v>
      </c>
      <c r="C4213" s="148" t="str">
        <f aca="false">VLOOKUP($A4213,INSUMOS_AUX!$A$3:$H$813,3,0)</f>
        <v>MAT.</v>
      </c>
      <c r="D4213" s="156" t="s">
        <v>1444</v>
      </c>
      <c r="E4213" s="154" t="n">
        <v>0.2568</v>
      </c>
      <c r="F4213" s="149" t="n">
        <f aca="false">IF(C4213="MAT.",VLOOKUP(A4213,INSUMOS_AUX!$A$3:$H$813,6,0),0)</f>
        <v>0.31</v>
      </c>
      <c r="G4213" s="149" t="n">
        <f aca="false">IF(C4213="M.O.",VLOOKUP(A4213,INSUMOS_AUX!A:F,6,0),0)</f>
        <v>0</v>
      </c>
    </row>
    <row r="4214" customFormat="false" ht="21" hidden="false" customHeight="false" outlineLevel="0" collapsed="false">
      <c r="A4214" s="154" t="n">
        <v>37373</v>
      </c>
      <c r="B4214" s="155" t="s">
        <v>1448</v>
      </c>
      <c r="C4214" s="148" t="s">
        <v>59</v>
      </c>
      <c r="D4214" s="156" t="s">
        <v>1444</v>
      </c>
      <c r="E4214" s="154" t="n">
        <v>0.2568</v>
      </c>
      <c r="F4214" s="149" t="n">
        <f aca="false">IF(C4214="MAT.",VLOOKUP(A4214,INSUMOS_AUX!$A$3:$H$813,6,0),0)</f>
        <v>0</v>
      </c>
      <c r="G4214" s="149" t="n">
        <f aca="false">IF(C4214="M.O.",VLOOKUP(A4214,INSUMOS_AUX!A:F,6,0),0)</f>
        <v>0</v>
      </c>
    </row>
    <row r="4215" customFormat="false" ht="21" hidden="false" customHeight="false" outlineLevel="0" collapsed="false">
      <c r="A4215" s="154" t="n">
        <v>37371</v>
      </c>
      <c r="B4215" s="155" t="s">
        <v>1449</v>
      </c>
      <c r="C4215" s="148" t="str">
        <f aca="false">VLOOKUP($A4215,INSUMOS_AUX!$A$3:$H$813,3,0)</f>
        <v>MAT.</v>
      </c>
      <c r="D4215" s="156" t="s">
        <v>1444</v>
      </c>
      <c r="E4215" s="154" t="n">
        <v>0.2568</v>
      </c>
      <c r="F4215" s="149" t="n">
        <f aca="false">IF(C4215="MAT.",VLOOKUP(A4215,INSUMOS_AUX!$A$3:$H$813,6,0),0)</f>
        <v>0.59</v>
      </c>
      <c r="G4215" s="149" t="n">
        <f aca="false">IF(C4215="M.O.",VLOOKUP(A4215,INSUMOS_AUX!A:F,6,0),0)</f>
        <v>0</v>
      </c>
    </row>
    <row r="4216" customFormat="false" ht="15" hidden="false" customHeight="false" outlineLevel="0" collapsed="false">
      <c r="A4216" s="154" t="n">
        <v>122</v>
      </c>
      <c r="B4216" s="155" t="s">
        <v>2097</v>
      </c>
      <c r="C4216" s="148" t="str">
        <f aca="false">VLOOKUP($A4216,INSUMOS_AUX!$A$3:$H$813,3,0)</f>
        <v>MAT.</v>
      </c>
      <c r="D4216" s="156" t="s">
        <v>31</v>
      </c>
      <c r="E4216" s="154" t="n">
        <v>0.0245</v>
      </c>
      <c r="F4216" s="149" t="n">
        <f aca="false">IF(C4216="MAT.",VLOOKUP(A4216,INSUMOS_AUX!$A$3:$H$813,6,0),0)</f>
        <v>63.09</v>
      </c>
      <c r="G4216" s="149" t="n">
        <f aca="false">IF(C4216="M.O.",VLOOKUP(A4216,INSUMOS_AUX!A:F,6,0),0)</f>
        <v>0</v>
      </c>
    </row>
    <row r="4217" customFormat="false" ht="15" hidden="false" customHeight="false" outlineLevel="0" collapsed="false">
      <c r="A4217" s="154" t="n">
        <v>38383</v>
      </c>
      <c r="B4217" s="155" t="s">
        <v>2093</v>
      </c>
      <c r="C4217" s="148" t="str">
        <f aca="false">VLOOKUP($A4217,INSUMOS_AUX!$A$3:$H$813,3,0)</f>
        <v>MAT.</v>
      </c>
      <c r="D4217" s="156" t="s">
        <v>31</v>
      </c>
      <c r="E4217" s="154" t="n">
        <v>0.0054</v>
      </c>
      <c r="F4217" s="149" t="n">
        <f aca="false">IF(C4217="MAT.",VLOOKUP(A4217,INSUMOS_AUX!$A$3:$H$813,6,0),0)</f>
        <v>2.39</v>
      </c>
      <c r="G4217" s="149" t="n">
        <f aca="false">IF(C4217="M.O.",VLOOKUP(A4217,INSUMOS_AUX!A:F,6,0),0)</f>
        <v>0</v>
      </c>
    </row>
    <row r="4218" customFormat="false" ht="21" hidden="false" customHeight="false" outlineLevel="0" collapsed="false">
      <c r="A4218" s="154" t="n">
        <v>3899</v>
      </c>
      <c r="B4218" s="155" t="s">
        <v>2164</v>
      </c>
      <c r="C4218" s="148" t="str">
        <f aca="false">VLOOKUP($A4218,INSUMOS_AUX!$A$3:$H$813,3,0)</f>
        <v>MAT.</v>
      </c>
      <c r="D4218" s="156" t="s">
        <v>31</v>
      </c>
      <c r="E4218" s="154" t="n">
        <v>1</v>
      </c>
      <c r="F4218" s="149" t="n">
        <f aca="false">IF(C4218="MAT.",VLOOKUP(A4218,INSUMOS_AUX!$A$3:$H$813,6,0),0)</f>
        <v>6.97</v>
      </c>
      <c r="G4218" s="149" t="n">
        <f aca="false">IF(C4218="M.O.",VLOOKUP(A4218,INSUMOS_AUX!A:F,6,0),0)</f>
        <v>0</v>
      </c>
    </row>
    <row r="4219" customFormat="false" ht="21" hidden="false" customHeight="false" outlineLevel="0" collapsed="false">
      <c r="A4219" s="154" t="n">
        <v>20083</v>
      </c>
      <c r="B4219" s="155" t="s">
        <v>2095</v>
      </c>
      <c r="C4219" s="148" t="str">
        <f aca="false">VLOOKUP($A4219,INSUMOS_AUX!$A$3:$H$813,3,0)</f>
        <v>MAT.</v>
      </c>
      <c r="D4219" s="156" t="s">
        <v>31</v>
      </c>
      <c r="E4219" s="154" t="n">
        <v>0.04</v>
      </c>
      <c r="F4219" s="149" t="n">
        <f aca="false">IF(C4219="MAT.",VLOOKUP(A4219,INSUMOS_AUX!$A$3:$H$813,6,0),0)</f>
        <v>71.48</v>
      </c>
      <c r="G4219" s="149" t="n">
        <f aca="false">IF(C4219="M.O.",VLOOKUP(A4219,INSUMOS_AUX!A:F,6,0),0)</f>
        <v>0</v>
      </c>
    </row>
    <row r="4220" customFormat="false" ht="15" hidden="false" customHeight="false" outlineLevel="0" collapsed="false">
      <c r="A4220" s="154" t="n">
        <v>246</v>
      </c>
      <c r="B4220" s="155" t="s">
        <v>1752</v>
      </c>
      <c r="C4220" s="148" t="str">
        <f aca="false">VLOOKUP($A4220,INSUMOS_AUX!$A$3:$H$813,3,0)</f>
        <v>M.O.</v>
      </c>
      <c r="D4220" s="156" t="s">
        <v>1444</v>
      </c>
      <c r="E4220" s="154" t="n">
        <v>0.130708632</v>
      </c>
      <c r="F4220" s="149" t="n">
        <f aca="false">IF(C4220="MAT.",VLOOKUP(A4220,INSUMOS_AUX!$A$3:$H$813,6,0),0)</f>
        <v>0</v>
      </c>
      <c r="G4220" s="149" t="n">
        <f aca="false">IF(C4220="M.O.",VLOOKUP(A4220,INSUMOS_AUX!A:F,6,0),0)</f>
        <v>13.26</v>
      </c>
    </row>
    <row r="4221" customFormat="false" ht="15" hidden="false" customHeight="false" outlineLevel="0" collapsed="false">
      <c r="A4221" s="154" t="n">
        <v>2696</v>
      </c>
      <c r="B4221" s="155" t="s">
        <v>1483</v>
      </c>
      <c r="C4221" s="148" t="str">
        <f aca="false">VLOOKUP($A4221,INSUMOS_AUX!$A$3:$H$813,3,0)</f>
        <v>M.O.</v>
      </c>
      <c r="D4221" s="156" t="s">
        <v>1444</v>
      </c>
      <c r="E4221" s="154" t="n">
        <v>0.130708632</v>
      </c>
      <c r="F4221" s="149" t="n">
        <f aca="false">IF(C4221="MAT.",VLOOKUP(A4221,INSUMOS_AUX!$A$3:$H$813,6,0),0)</f>
        <v>0</v>
      </c>
      <c r="G4221" s="149" t="n">
        <f aca="false">IF(C4221="M.O.",VLOOKUP(A4221,INSUMOS_AUX!A:F,6,0),0)</f>
        <v>20.22</v>
      </c>
    </row>
    <row r="4222" customFormat="false" ht="31.5" hidden="false" customHeight="false" outlineLevel="0" collapsed="false">
      <c r="A4222" s="150" t="n">
        <v>89714</v>
      </c>
      <c r="B4222" s="151" t="s">
        <v>2200</v>
      </c>
      <c r="C4222" s="152" t="s">
        <v>59</v>
      </c>
      <c r="D4222" s="152" t="s">
        <v>1455</v>
      </c>
      <c r="E4222" s="150"/>
      <c r="F4222" s="153" t="n">
        <f aca="false">(SUMPRODUCT($E4223:$E4232,F4223:F4232))*1</f>
        <v>22.794713</v>
      </c>
      <c r="G4222" s="153" t="n">
        <f aca="false">(SUMPRODUCT($E4223:$E4232,G4223:G4232))*1</f>
        <v>15.14602764576</v>
      </c>
    </row>
    <row r="4223" customFormat="false" ht="21" hidden="false" customHeight="false" outlineLevel="0" collapsed="false">
      <c r="A4223" s="154" t="n">
        <v>37370</v>
      </c>
      <c r="B4223" s="155" t="s">
        <v>1443</v>
      </c>
      <c r="C4223" s="148" t="str">
        <f aca="false">VLOOKUP($A4223,INSUMOS_AUX!$A$3:$H$813,3,0)</f>
        <v>MAT.</v>
      </c>
      <c r="D4223" s="156" t="s">
        <v>1444</v>
      </c>
      <c r="E4223" s="154" t="n">
        <v>0.8888</v>
      </c>
      <c r="F4223" s="149" t="n">
        <f aca="false">IF(C4223="MAT.",VLOOKUP(A4223,INSUMOS_AUX!$A$3:$H$813,6,0),0)</f>
        <v>3.32</v>
      </c>
      <c r="G4223" s="149" t="n">
        <f aca="false">IF(C4223="M.O.",VLOOKUP(A4223,INSUMOS_AUX!A:F,6,0),0)</f>
        <v>0</v>
      </c>
    </row>
    <row r="4224" customFormat="false" ht="21" hidden="false" customHeight="false" outlineLevel="0" collapsed="false">
      <c r="A4224" s="154" t="n">
        <v>43485</v>
      </c>
      <c r="B4224" s="155" t="s">
        <v>1481</v>
      </c>
      <c r="C4224" s="148" t="str">
        <f aca="false">VLOOKUP($A4224,INSUMOS_AUX!$A$3:$H$813,3,0)</f>
        <v>MAT.</v>
      </c>
      <c r="D4224" s="156" t="s">
        <v>1444</v>
      </c>
      <c r="E4224" s="154" t="n">
        <v>0.8888</v>
      </c>
      <c r="F4224" s="149" t="n">
        <f aca="false">IF(C4224="MAT.",VLOOKUP(A4224,INSUMOS_AUX!$A$3:$H$813,6,0),0)</f>
        <v>1.13</v>
      </c>
      <c r="G4224" s="149" t="n">
        <f aca="false">IF(C4224="M.O.",VLOOKUP(A4224,INSUMOS_AUX!A:F,6,0),0)</f>
        <v>0</v>
      </c>
    </row>
    <row r="4225" customFormat="false" ht="21" hidden="false" customHeight="false" outlineLevel="0" collapsed="false">
      <c r="A4225" s="154" t="n">
        <v>37372</v>
      </c>
      <c r="B4225" s="155" t="s">
        <v>1446</v>
      </c>
      <c r="C4225" s="148" t="str">
        <f aca="false">VLOOKUP($A4225,INSUMOS_AUX!$A$3:$H$813,3,0)</f>
        <v>MAT.</v>
      </c>
      <c r="D4225" s="156" t="s">
        <v>1444</v>
      </c>
      <c r="E4225" s="154" t="n">
        <v>0.8888</v>
      </c>
      <c r="F4225" s="149" t="n">
        <f aca="false">IF(C4225="MAT.",VLOOKUP(A4225,INSUMOS_AUX!$A$3:$H$813,6,0),0)</f>
        <v>1.43</v>
      </c>
      <c r="G4225" s="149" t="n">
        <f aca="false">IF(C4225="M.O.",VLOOKUP(A4225,INSUMOS_AUX!A:F,6,0),0)</f>
        <v>0</v>
      </c>
    </row>
    <row r="4226" customFormat="false" ht="21" hidden="false" customHeight="false" outlineLevel="0" collapsed="false">
      <c r="A4226" s="154" t="n">
        <v>43461</v>
      </c>
      <c r="B4226" s="155" t="s">
        <v>1482</v>
      </c>
      <c r="C4226" s="148" t="str">
        <f aca="false">VLOOKUP($A4226,INSUMOS_AUX!$A$3:$H$813,3,0)</f>
        <v>MAT.</v>
      </c>
      <c r="D4226" s="156" t="s">
        <v>1444</v>
      </c>
      <c r="E4226" s="154" t="n">
        <v>0.8888</v>
      </c>
      <c r="F4226" s="149" t="n">
        <f aca="false">IF(C4226="MAT.",VLOOKUP(A4226,INSUMOS_AUX!$A$3:$H$813,6,0),0)</f>
        <v>0.31</v>
      </c>
      <c r="G4226" s="149" t="n">
        <f aca="false">IF(C4226="M.O.",VLOOKUP(A4226,INSUMOS_AUX!A:F,6,0),0)</f>
        <v>0</v>
      </c>
    </row>
    <row r="4227" customFormat="false" ht="21" hidden="false" customHeight="false" outlineLevel="0" collapsed="false">
      <c r="A4227" s="154" t="n">
        <v>37373</v>
      </c>
      <c r="B4227" s="155" t="s">
        <v>1448</v>
      </c>
      <c r="C4227" s="148" t="s">
        <v>59</v>
      </c>
      <c r="D4227" s="156" t="s">
        <v>1444</v>
      </c>
      <c r="E4227" s="154" t="n">
        <v>0.8888</v>
      </c>
      <c r="F4227" s="149" t="n">
        <f aca="false">IF(C4227="MAT.",VLOOKUP(A4227,INSUMOS_AUX!$A$3:$H$813,6,0),0)</f>
        <v>0</v>
      </c>
      <c r="G4227" s="149" t="n">
        <f aca="false">IF(C4227="M.O.",VLOOKUP(A4227,INSUMOS_AUX!A:F,6,0),0)</f>
        <v>0</v>
      </c>
    </row>
    <row r="4228" customFormat="false" ht="21" hidden="false" customHeight="false" outlineLevel="0" collapsed="false">
      <c r="A4228" s="154" t="n">
        <v>37371</v>
      </c>
      <c r="B4228" s="155" t="s">
        <v>1449</v>
      </c>
      <c r="C4228" s="148" t="str">
        <f aca="false">VLOOKUP($A4228,INSUMOS_AUX!$A$3:$H$813,3,0)</f>
        <v>MAT.</v>
      </c>
      <c r="D4228" s="156" t="s">
        <v>1444</v>
      </c>
      <c r="E4228" s="154" t="n">
        <v>0.8888</v>
      </c>
      <c r="F4228" s="149" t="n">
        <f aca="false">IF(C4228="MAT.",VLOOKUP(A4228,INSUMOS_AUX!$A$3:$H$813,6,0),0)</f>
        <v>0.59</v>
      </c>
      <c r="G4228" s="149" t="n">
        <f aca="false">IF(C4228="M.O.",VLOOKUP(A4228,INSUMOS_AUX!A:F,6,0),0)</f>
        <v>0</v>
      </c>
    </row>
    <row r="4229" customFormat="false" ht="15" hidden="false" customHeight="false" outlineLevel="0" collapsed="false">
      <c r="A4229" s="154" t="n">
        <v>38383</v>
      </c>
      <c r="B4229" s="155" t="s">
        <v>2093</v>
      </c>
      <c r="C4229" s="148" t="str">
        <f aca="false">VLOOKUP($A4229,INSUMOS_AUX!$A$3:$H$813,3,0)</f>
        <v>MAT.</v>
      </c>
      <c r="D4229" s="156" t="s">
        <v>31</v>
      </c>
      <c r="E4229" s="154" t="n">
        <v>0.0247</v>
      </c>
      <c r="F4229" s="149" t="n">
        <f aca="false">IF(C4229="MAT.",VLOOKUP(A4229,INSUMOS_AUX!$A$3:$H$813,6,0),0)</f>
        <v>2.39</v>
      </c>
      <c r="G4229" s="149" t="n">
        <f aca="false">IF(C4229="M.O.",VLOOKUP(A4229,INSUMOS_AUX!A:F,6,0),0)</f>
        <v>0</v>
      </c>
    </row>
    <row r="4230" customFormat="false" ht="21" hidden="false" customHeight="false" outlineLevel="0" collapsed="false">
      <c r="A4230" s="154" t="n">
        <v>9836</v>
      </c>
      <c r="B4230" s="155" t="s">
        <v>2175</v>
      </c>
      <c r="C4230" s="148" t="str">
        <f aca="false">VLOOKUP($A4230,INSUMOS_AUX!$A$3:$H$813,3,0)</f>
        <v>MAT.</v>
      </c>
      <c r="D4230" s="156" t="s">
        <v>1455</v>
      </c>
      <c r="E4230" s="154" t="n">
        <v>1.0549</v>
      </c>
      <c r="F4230" s="149" t="n">
        <f aca="false">IF(C4230="MAT.",VLOOKUP(A4230,INSUMOS_AUX!$A$3:$H$813,6,0),0)</f>
        <v>15.84</v>
      </c>
      <c r="G4230" s="149" t="n">
        <f aca="false">IF(C4230="M.O.",VLOOKUP(A4230,INSUMOS_AUX!A:F,6,0),0)</f>
        <v>0</v>
      </c>
    </row>
    <row r="4231" customFormat="false" ht="15" hidden="false" customHeight="false" outlineLevel="0" collapsed="false">
      <c r="A4231" s="154" t="n">
        <v>246</v>
      </c>
      <c r="B4231" s="155" t="s">
        <v>1752</v>
      </c>
      <c r="C4231" s="148" t="str">
        <f aca="false">VLOOKUP($A4231,INSUMOS_AUX!$A$3:$H$813,3,0)</f>
        <v>M.O.</v>
      </c>
      <c r="D4231" s="156" t="s">
        <v>1444</v>
      </c>
      <c r="E4231" s="154" t="n">
        <v>0.452390312</v>
      </c>
      <c r="F4231" s="149" t="n">
        <f aca="false">IF(C4231="MAT.",VLOOKUP(A4231,INSUMOS_AUX!$A$3:$H$813,6,0),0)</f>
        <v>0</v>
      </c>
      <c r="G4231" s="149" t="n">
        <f aca="false">IF(C4231="M.O.",VLOOKUP(A4231,INSUMOS_AUX!A:F,6,0),0)</f>
        <v>13.26</v>
      </c>
    </row>
    <row r="4232" customFormat="false" ht="15" hidden="false" customHeight="false" outlineLevel="0" collapsed="false">
      <c r="A4232" s="154" t="n">
        <v>2696</v>
      </c>
      <c r="B4232" s="155" t="s">
        <v>1483</v>
      </c>
      <c r="C4232" s="148" t="str">
        <f aca="false">VLOOKUP($A4232,INSUMOS_AUX!$A$3:$H$813,3,0)</f>
        <v>M.O.</v>
      </c>
      <c r="D4232" s="156" t="s">
        <v>1444</v>
      </c>
      <c r="E4232" s="154" t="n">
        <v>0.452390312</v>
      </c>
      <c r="F4232" s="149" t="n">
        <f aca="false">IF(C4232="MAT.",VLOOKUP(A4232,INSUMOS_AUX!$A$3:$H$813,6,0),0)</f>
        <v>0</v>
      </c>
      <c r="G4232" s="149" t="n">
        <f aca="false">IF(C4232="M.O.",VLOOKUP(A4232,INSUMOS_AUX!A:F,6,0),0)</f>
        <v>20.22</v>
      </c>
    </row>
    <row r="4233" customFormat="false" ht="31.5" hidden="false" customHeight="false" outlineLevel="0" collapsed="false">
      <c r="A4233" s="150" t="n">
        <v>89712</v>
      </c>
      <c r="B4233" s="151" t="s">
        <v>2201</v>
      </c>
      <c r="C4233" s="152" t="s">
        <v>59</v>
      </c>
      <c r="D4233" s="152" t="s">
        <v>1455</v>
      </c>
      <c r="E4233" s="150"/>
      <c r="F4233" s="153" t="n">
        <f aca="false">(SUMPRODUCT($E4234:$E4243,F4234:F4243))*1</f>
        <v>16.423211</v>
      </c>
      <c r="G4233" s="153" t="n">
        <f aca="false">(SUMPRODUCT($E4234:$E4243,G4234:G4243))*1</f>
        <v>10.84488298128</v>
      </c>
    </row>
    <row r="4234" customFormat="false" ht="21" hidden="false" customHeight="false" outlineLevel="0" collapsed="false">
      <c r="A4234" s="154" t="n">
        <v>37370</v>
      </c>
      <c r="B4234" s="155" t="s">
        <v>1443</v>
      </c>
      <c r="C4234" s="148" t="str">
        <f aca="false">VLOOKUP($A4234,INSUMOS_AUX!$A$3:$H$813,3,0)</f>
        <v>MAT.</v>
      </c>
      <c r="D4234" s="156" t="s">
        <v>1444</v>
      </c>
      <c r="E4234" s="154" t="n">
        <v>0.6364</v>
      </c>
      <c r="F4234" s="149" t="n">
        <f aca="false">IF(C4234="MAT.",VLOOKUP(A4234,INSUMOS_AUX!$A$3:$H$813,6,0),0)</f>
        <v>3.32</v>
      </c>
      <c r="G4234" s="149" t="n">
        <f aca="false">IF(C4234="M.O.",VLOOKUP(A4234,INSUMOS_AUX!A:F,6,0),0)</f>
        <v>0</v>
      </c>
    </row>
    <row r="4235" customFormat="false" ht="21" hidden="false" customHeight="false" outlineLevel="0" collapsed="false">
      <c r="A4235" s="154" t="n">
        <v>43485</v>
      </c>
      <c r="B4235" s="155" t="s">
        <v>1481</v>
      </c>
      <c r="C4235" s="148" t="str">
        <f aca="false">VLOOKUP($A4235,INSUMOS_AUX!$A$3:$H$813,3,0)</f>
        <v>MAT.</v>
      </c>
      <c r="D4235" s="156" t="s">
        <v>1444</v>
      </c>
      <c r="E4235" s="154" t="n">
        <v>0.6364</v>
      </c>
      <c r="F4235" s="149" t="n">
        <f aca="false">IF(C4235="MAT.",VLOOKUP(A4235,INSUMOS_AUX!$A$3:$H$813,6,0),0)</f>
        <v>1.13</v>
      </c>
      <c r="G4235" s="149" t="n">
        <f aca="false">IF(C4235="M.O.",VLOOKUP(A4235,INSUMOS_AUX!A:F,6,0),0)</f>
        <v>0</v>
      </c>
    </row>
    <row r="4236" customFormat="false" ht="21" hidden="false" customHeight="false" outlineLevel="0" collapsed="false">
      <c r="A4236" s="154" t="n">
        <v>37372</v>
      </c>
      <c r="B4236" s="155" t="s">
        <v>1446</v>
      </c>
      <c r="C4236" s="148" t="str">
        <f aca="false">VLOOKUP($A4236,INSUMOS_AUX!$A$3:$H$813,3,0)</f>
        <v>MAT.</v>
      </c>
      <c r="D4236" s="156" t="s">
        <v>1444</v>
      </c>
      <c r="E4236" s="154" t="n">
        <v>0.6364</v>
      </c>
      <c r="F4236" s="149" t="n">
        <f aca="false">IF(C4236="MAT.",VLOOKUP(A4236,INSUMOS_AUX!$A$3:$H$813,6,0),0)</f>
        <v>1.43</v>
      </c>
      <c r="G4236" s="149" t="n">
        <f aca="false">IF(C4236="M.O.",VLOOKUP(A4236,INSUMOS_AUX!A:F,6,0),0)</f>
        <v>0</v>
      </c>
    </row>
    <row r="4237" customFormat="false" ht="21" hidden="false" customHeight="false" outlineLevel="0" collapsed="false">
      <c r="A4237" s="154" t="n">
        <v>43461</v>
      </c>
      <c r="B4237" s="155" t="s">
        <v>1482</v>
      </c>
      <c r="C4237" s="148" t="str">
        <f aca="false">VLOOKUP($A4237,INSUMOS_AUX!$A$3:$H$813,3,0)</f>
        <v>MAT.</v>
      </c>
      <c r="D4237" s="156" t="s">
        <v>1444</v>
      </c>
      <c r="E4237" s="154" t="n">
        <v>0.6364</v>
      </c>
      <c r="F4237" s="149" t="n">
        <f aca="false">IF(C4237="MAT.",VLOOKUP(A4237,INSUMOS_AUX!$A$3:$H$813,6,0),0)</f>
        <v>0.31</v>
      </c>
      <c r="G4237" s="149" t="n">
        <f aca="false">IF(C4237="M.O.",VLOOKUP(A4237,INSUMOS_AUX!A:F,6,0),0)</f>
        <v>0</v>
      </c>
    </row>
    <row r="4238" customFormat="false" ht="21" hidden="false" customHeight="false" outlineLevel="0" collapsed="false">
      <c r="A4238" s="154" t="n">
        <v>37373</v>
      </c>
      <c r="B4238" s="155" t="s">
        <v>1448</v>
      </c>
      <c r="C4238" s="148" t="str">
        <f aca="false">VLOOKUP($A4238,INSUMOS_AUX!$A$3:$H$813,3,0)</f>
        <v>MAT.</v>
      </c>
      <c r="D4238" s="156" t="s">
        <v>1444</v>
      </c>
      <c r="E4238" s="154" t="n">
        <v>0.6364</v>
      </c>
      <c r="F4238" s="149" t="n">
        <f aca="false">IF(C4238="MAT.",VLOOKUP(A4238,INSUMOS_AUX!$A$3:$H$813,6,0),0)</f>
        <v>0.08</v>
      </c>
      <c r="G4238" s="149" t="n">
        <f aca="false">IF(C4238="M.O.",VLOOKUP(A4238,INSUMOS_AUX!A:F,6,0),0)</f>
        <v>0</v>
      </c>
    </row>
    <row r="4239" customFormat="false" ht="21" hidden="false" customHeight="false" outlineLevel="0" collapsed="false">
      <c r="A4239" s="154" t="n">
        <v>37371</v>
      </c>
      <c r="B4239" s="155" t="s">
        <v>1449</v>
      </c>
      <c r="C4239" s="148" t="str">
        <f aca="false">VLOOKUP($A4239,INSUMOS_AUX!$A$3:$H$813,3,0)</f>
        <v>MAT.</v>
      </c>
      <c r="D4239" s="156" t="s">
        <v>1444</v>
      </c>
      <c r="E4239" s="154" t="n">
        <v>0.6364</v>
      </c>
      <c r="F4239" s="149" t="n">
        <f aca="false">IF(C4239="MAT.",VLOOKUP(A4239,INSUMOS_AUX!$A$3:$H$813,6,0),0)</f>
        <v>0.59</v>
      </c>
      <c r="G4239" s="149" t="n">
        <f aca="false">IF(C4239="M.O.",VLOOKUP(A4239,INSUMOS_AUX!A:F,6,0),0)</f>
        <v>0</v>
      </c>
    </row>
    <row r="4240" customFormat="false" ht="15" hidden="false" customHeight="false" outlineLevel="0" collapsed="false">
      <c r="A4240" s="154" t="n">
        <v>38383</v>
      </c>
      <c r="B4240" s="155" t="s">
        <v>2093</v>
      </c>
      <c r="C4240" s="148" t="s">
        <v>59</v>
      </c>
      <c r="D4240" s="156" t="s">
        <v>31</v>
      </c>
      <c r="E4240" s="154" t="n">
        <v>0.0177</v>
      </c>
      <c r="F4240" s="149" t="n">
        <f aca="false">IF(C4240="MAT.",VLOOKUP(A4240,INSUMOS_AUX!$A$3:$H$813,6,0),0)</f>
        <v>0</v>
      </c>
      <c r="G4240" s="149" t="n">
        <f aca="false">IF(C4240="M.O.",VLOOKUP(A4240,INSUMOS_AUX!A:F,6,0),0)</f>
        <v>0</v>
      </c>
    </row>
    <row r="4241" customFormat="false" ht="21" hidden="false" customHeight="false" outlineLevel="0" collapsed="false">
      <c r="A4241" s="154" t="n">
        <v>9838</v>
      </c>
      <c r="B4241" s="155" t="s">
        <v>2181</v>
      </c>
      <c r="C4241" s="148" t="str">
        <f aca="false">VLOOKUP($A4241,INSUMOS_AUX!$A$3:$H$813,3,0)</f>
        <v>MAT.</v>
      </c>
      <c r="D4241" s="156" t="s">
        <v>1455</v>
      </c>
      <c r="E4241" s="154" t="n">
        <v>1.0549</v>
      </c>
      <c r="F4241" s="149" t="n">
        <f aca="false">IF(C4241="MAT.",VLOOKUP(A4241,INSUMOS_AUX!$A$3:$H$813,6,0),0)</f>
        <v>11.43</v>
      </c>
      <c r="G4241" s="149" t="n">
        <f aca="false">IF(C4241="M.O.",VLOOKUP(A4241,INSUMOS_AUX!A:F,6,0),0)</f>
        <v>0</v>
      </c>
    </row>
    <row r="4242" customFormat="false" ht="15" hidden="false" customHeight="false" outlineLevel="0" collapsed="false">
      <c r="A4242" s="154" t="n">
        <v>246</v>
      </c>
      <c r="B4242" s="155" t="s">
        <v>1752</v>
      </c>
      <c r="C4242" s="148" t="str">
        <f aca="false">VLOOKUP($A4242,INSUMOS_AUX!$A$3:$H$813,3,0)</f>
        <v>M.O.</v>
      </c>
      <c r="D4242" s="156" t="s">
        <v>1444</v>
      </c>
      <c r="E4242" s="154" t="n">
        <v>0.323921236</v>
      </c>
      <c r="F4242" s="149" t="n">
        <f aca="false">IF(C4242="MAT.",VLOOKUP(A4242,INSUMOS_AUX!$A$3:$H$813,6,0),0)</f>
        <v>0</v>
      </c>
      <c r="G4242" s="149" t="n">
        <f aca="false">IF(C4242="M.O.",VLOOKUP(A4242,INSUMOS_AUX!A:F,6,0),0)</f>
        <v>13.26</v>
      </c>
    </row>
    <row r="4243" customFormat="false" ht="15" hidden="false" customHeight="false" outlineLevel="0" collapsed="false">
      <c r="A4243" s="154" t="n">
        <v>2696</v>
      </c>
      <c r="B4243" s="155" t="s">
        <v>1483</v>
      </c>
      <c r="C4243" s="148" t="str">
        <f aca="false">VLOOKUP($A4243,INSUMOS_AUX!$A$3:$H$813,3,0)</f>
        <v>M.O.</v>
      </c>
      <c r="D4243" s="156" t="s">
        <v>1444</v>
      </c>
      <c r="E4243" s="154" t="n">
        <v>0.323921236</v>
      </c>
      <c r="F4243" s="149" t="n">
        <f aca="false">IF(C4243="MAT.",VLOOKUP(A4243,INSUMOS_AUX!$A$3:$H$813,6,0),0)</f>
        <v>0</v>
      </c>
      <c r="G4243" s="149" t="n">
        <f aca="false">IF(C4243="M.O.",VLOOKUP(A4243,INSUMOS_AUX!A:F,6,0),0)</f>
        <v>20.22</v>
      </c>
    </row>
    <row r="4244" customFormat="false" ht="31.5" hidden="false" customHeight="false" outlineLevel="0" collapsed="false">
      <c r="A4244" s="150" t="n">
        <v>98102</v>
      </c>
      <c r="B4244" s="151" t="s">
        <v>2202</v>
      </c>
      <c r="C4244" s="152" t="s">
        <v>59</v>
      </c>
      <c r="D4244" s="152" t="s">
        <v>31</v>
      </c>
      <c r="E4244" s="150"/>
      <c r="F4244" s="153" t="n">
        <f aca="false">(SUMPRODUCT($E4245:$E4264,F4245:F4264))*1</f>
        <v>181.923362892444</v>
      </c>
      <c r="G4244" s="153" t="n">
        <f aca="false">(SUMPRODUCT($E4245:$E4264,G4245:G4264))*1</f>
        <v>2.65887336845146</v>
      </c>
    </row>
    <row r="4245" customFormat="false" ht="21" hidden="false" customHeight="false" outlineLevel="0" collapsed="false">
      <c r="A4245" s="154" t="n">
        <v>37370</v>
      </c>
      <c r="B4245" s="155" t="s">
        <v>1443</v>
      </c>
      <c r="C4245" s="148" t="str">
        <f aca="false">VLOOKUP($A4245,INSUMOS_AUX!$A$3:$H$813,3,0)</f>
        <v>MAT.</v>
      </c>
      <c r="D4245" s="156" t="s">
        <v>1444</v>
      </c>
      <c r="E4245" s="154" t="n">
        <v>0.22080944</v>
      </c>
      <c r="F4245" s="149" t="n">
        <f aca="false">IF(C4245="MAT.",VLOOKUP(A4245,INSUMOS_AUX!$A$3:$H$813,6,0),0)</f>
        <v>3.32</v>
      </c>
      <c r="G4245" s="149" t="n">
        <f aca="false">IF(C4245="M.O.",VLOOKUP(A4245,INSUMOS_AUX!A:F,6,0),0)</f>
        <v>0</v>
      </c>
    </row>
    <row r="4246" customFormat="false" ht="21" hidden="false" customHeight="false" outlineLevel="0" collapsed="false">
      <c r="A4246" s="154" t="n">
        <v>43488</v>
      </c>
      <c r="B4246" s="155" t="s">
        <v>1445</v>
      </c>
      <c r="C4246" s="148" t="str">
        <f aca="false">VLOOKUP($A4246,INSUMOS_AUX!$A$3:$H$813,3,0)</f>
        <v>MAT.</v>
      </c>
      <c r="D4246" s="156" t="s">
        <v>1444</v>
      </c>
      <c r="E4246" s="154" t="n">
        <v>0.04965728</v>
      </c>
      <c r="F4246" s="149" t="n">
        <f aca="false">IF(C4246="MAT.",VLOOKUP(A4246,INSUMOS_AUX!$A$3:$H$813,6,0),0)</f>
        <v>0.89</v>
      </c>
      <c r="G4246" s="149" t="n">
        <f aca="false">IF(C4246="M.O.",VLOOKUP(A4246,INSUMOS_AUX!A:F,6,0),0)</f>
        <v>0</v>
      </c>
    </row>
    <row r="4247" customFormat="false" ht="21" hidden="false" customHeight="false" outlineLevel="0" collapsed="false">
      <c r="A4247" s="154" t="n">
        <v>43489</v>
      </c>
      <c r="B4247" s="155" t="s">
        <v>1456</v>
      </c>
      <c r="C4247" s="148" t="str">
        <f aca="false">VLOOKUP($A4247,INSUMOS_AUX!$A$3:$H$813,3,0)</f>
        <v>MAT.</v>
      </c>
      <c r="D4247" s="156" t="s">
        <v>1444</v>
      </c>
      <c r="E4247" s="154" t="n">
        <v>0.08032048</v>
      </c>
      <c r="F4247" s="149" t="n">
        <f aca="false">IF(C4247="MAT.",VLOOKUP(A4247,INSUMOS_AUX!$A$3:$H$813,6,0),0)</f>
        <v>1.31</v>
      </c>
      <c r="G4247" s="149" t="n">
        <f aca="false">IF(C4247="M.O.",VLOOKUP(A4247,INSUMOS_AUX!A:F,6,0),0)</f>
        <v>0</v>
      </c>
    </row>
    <row r="4248" customFormat="false" ht="21" hidden="false" customHeight="false" outlineLevel="0" collapsed="false">
      <c r="A4248" s="154" t="n">
        <v>43491</v>
      </c>
      <c r="B4248" s="155" t="s">
        <v>1457</v>
      </c>
      <c r="C4248" s="148" t="str">
        <f aca="false">VLOOKUP($A4248,INSUMOS_AUX!$A$3:$H$813,3,0)</f>
        <v>MAT.</v>
      </c>
      <c r="D4248" s="156" t="s">
        <v>1444</v>
      </c>
      <c r="E4248" s="154" t="n">
        <v>0.09083168</v>
      </c>
      <c r="F4248" s="149" t="n">
        <f aca="false">IF(C4248="MAT.",VLOOKUP(A4248,INSUMOS_AUX!$A$3:$H$813,6,0),0)</f>
        <v>1.39</v>
      </c>
      <c r="G4248" s="149" t="n">
        <f aca="false">IF(C4248="M.O.",VLOOKUP(A4248,INSUMOS_AUX!A:F,6,0),0)</f>
        <v>0</v>
      </c>
    </row>
    <row r="4249" customFormat="false" ht="21" hidden="false" customHeight="false" outlineLevel="0" collapsed="false">
      <c r="A4249" s="154" t="n">
        <v>37372</v>
      </c>
      <c r="B4249" s="155" t="s">
        <v>1446</v>
      </c>
      <c r="C4249" s="148" t="str">
        <f aca="false">VLOOKUP($A4249,INSUMOS_AUX!$A$3:$H$813,3,0)</f>
        <v>MAT.</v>
      </c>
      <c r="D4249" s="156" t="s">
        <v>1444</v>
      </c>
      <c r="E4249" s="154" t="n">
        <v>0.22080944</v>
      </c>
      <c r="F4249" s="149" t="n">
        <f aca="false">IF(C4249="MAT.",VLOOKUP(A4249,INSUMOS_AUX!$A$3:$H$813,6,0),0)</f>
        <v>1.43</v>
      </c>
      <c r="G4249" s="149" t="n">
        <f aca="false">IF(C4249="M.O.",VLOOKUP(A4249,INSUMOS_AUX!A:F,6,0),0)</f>
        <v>0</v>
      </c>
    </row>
    <row r="4250" customFormat="false" ht="21" hidden="false" customHeight="false" outlineLevel="0" collapsed="false">
      <c r="A4250" s="154" t="n">
        <v>43464</v>
      </c>
      <c r="B4250" s="155" t="s">
        <v>1447</v>
      </c>
      <c r="C4250" s="148" t="str">
        <f aca="false">VLOOKUP($A4250,INSUMOS_AUX!$A$3:$H$813,3,0)</f>
        <v>MAT.</v>
      </c>
      <c r="D4250" s="156" t="s">
        <v>1444</v>
      </c>
      <c r="E4250" s="154" t="n">
        <v>0.04965728</v>
      </c>
      <c r="F4250" s="149" t="n">
        <f aca="false">IF(C4250="MAT.",VLOOKUP(A4250,INSUMOS_AUX!$A$3:$H$813,6,0),0)</f>
        <v>0.01</v>
      </c>
      <c r="G4250" s="149" t="n">
        <f aca="false">IF(C4250="M.O.",VLOOKUP(A4250,INSUMOS_AUX!A:F,6,0),0)</f>
        <v>0</v>
      </c>
    </row>
    <row r="4251" customFormat="false" ht="21" hidden="false" customHeight="false" outlineLevel="0" collapsed="false">
      <c r="A4251" s="154" t="n">
        <v>43465</v>
      </c>
      <c r="B4251" s="155" t="s">
        <v>1458</v>
      </c>
      <c r="C4251" s="148" t="str">
        <f aca="false">VLOOKUP($A4251,INSUMOS_AUX!$A$3:$H$813,3,0)</f>
        <v>MAT.</v>
      </c>
      <c r="D4251" s="156" t="s">
        <v>1444</v>
      </c>
      <c r="E4251" s="154" t="n">
        <v>0.08032048</v>
      </c>
      <c r="F4251" s="149" t="n">
        <f aca="false">IF(C4251="MAT.",VLOOKUP(A4251,INSUMOS_AUX!$A$3:$H$813,6,0),0)</f>
        <v>0.78</v>
      </c>
      <c r="G4251" s="149" t="n">
        <f aca="false">IF(C4251="M.O.",VLOOKUP(A4251,INSUMOS_AUX!A:F,6,0),0)</f>
        <v>0</v>
      </c>
    </row>
    <row r="4252" customFormat="false" ht="21" hidden="false" customHeight="false" outlineLevel="0" collapsed="false">
      <c r="A4252" s="154" t="n">
        <v>43467</v>
      </c>
      <c r="B4252" s="155" t="s">
        <v>1459</v>
      </c>
      <c r="C4252" s="148" t="str">
        <f aca="false">VLOOKUP($A4252,INSUMOS_AUX!$A$3:$H$813,3,0)</f>
        <v>MAT.</v>
      </c>
      <c r="D4252" s="156" t="s">
        <v>1444</v>
      </c>
      <c r="E4252" s="154" t="n">
        <v>0.09083168</v>
      </c>
      <c r="F4252" s="149" t="n">
        <f aca="false">IF(C4252="MAT.",VLOOKUP(A4252,INSUMOS_AUX!$A$3:$H$813,6,0),0)</f>
        <v>0.61</v>
      </c>
      <c r="G4252" s="149" t="n">
        <f aca="false">IF(C4252="M.O.",VLOOKUP(A4252,INSUMOS_AUX!A:F,6,0),0)</f>
        <v>0</v>
      </c>
    </row>
    <row r="4253" customFormat="false" ht="21" hidden="false" customHeight="false" outlineLevel="0" collapsed="false">
      <c r="A4253" s="154" t="n">
        <v>37373</v>
      </c>
      <c r="B4253" s="155" t="s">
        <v>1448</v>
      </c>
      <c r="C4253" s="148" t="s">
        <v>59</v>
      </c>
      <c r="D4253" s="156" t="s">
        <v>1444</v>
      </c>
      <c r="E4253" s="154" t="n">
        <v>0.22080944</v>
      </c>
      <c r="F4253" s="149" t="n">
        <f aca="false">IF(C4253="MAT.",VLOOKUP(A4253,INSUMOS_AUX!$A$3:$H$813,6,0),0)</f>
        <v>0</v>
      </c>
      <c r="G4253" s="149" t="n">
        <f aca="false">IF(C4253="M.O.",VLOOKUP(A4253,INSUMOS_AUX!A:F,6,0),0)</f>
        <v>0</v>
      </c>
    </row>
    <row r="4254" customFormat="false" ht="21" hidden="false" customHeight="false" outlineLevel="0" collapsed="false">
      <c r="A4254" s="154" t="n">
        <v>37371</v>
      </c>
      <c r="B4254" s="155" t="s">
        <v>1449</v>
      </c>
      <c r="C4254" s="148" t="str">
        <f aca="false">VLOOKUP($A4254,INSUMOS_AUX!$A$3:$H$813,3,0)</f>
        <v>MAT.</v>
      </c>
      <c r="D4254" s="156" t="s">
        <v>1444</v>
      </c>
      <c r="E4254" s="154" t="n">
        <v>0.22080944</v>
      </c>
      <c r="F4254" s="149" t="n">
        <f aca="false">IF(C4254="MAT.",VLOOKUP(A4254,INSUMOS_AUX!$A$3:$H$813,6,0),0)</f>
        <v>0.59</v>
      </c>
      <c r="G4254" s="149" t="n">
        <f aca="false">IF(C4254="M.O.",VLOOKUP(A4254,INSUMOS_AUX!A:F,6,0),0)</f>
        <v>0</v>
      </c>
    </row>
    <row r="4255" customFormat="false" ht="21" hidden="false" customHeight="false" outlineLevel="0" collapsed="false">
      <c r="A4255" s="154" t="n">
        <v>13458</v>
      </c>
      <c r="B4255" s="155" t="s">
        <v>1723</v>
      </c>
      <c r="C4255" s="148" t="str">
        <f aca="false">VLOOKUP($A4255,INSUMOS_AUX!$A$3:$H$813,3,0)</f>
        <v>MAT.</v>
      </c>
      <c r="D4255" s="156" t="s">
        <v>31</v>
      </c>
      <c r="E4255" s="154" t="n">
        <v>2.7158208E-007</v>
      </c>
      <c r="F4255" s="149" t="n">
        <f aca="false">IF(C4255="MAT.",VLOOKUP(A4255,INSUMOS_AUX!$A$3:$H$813,6,0),0)</f>
        <v>15839.74</v>
      </c>
      <c r="G4255" s="149" t="n">
        <f aca="false">IF(C4255="M.O.",VLOOKUP(A4255,INSUMOS_AUX!A:F,6,0),0)</f>
        <v>0</v>
      </c>
    </row>
    <row r="4256" customFormat="false" ht="52.5" hidden="false" customHeight="false" outlineLevel="0" collapsed="false">
      <c r="A4256" s="154" t="n">
        <v>36531</v>
      </c>
      <c r="B4256" s="155" t="s">
        <v>1493</v>
      </c>
      <c r="C4256" s="148" t="str">
        <f aca="false">VLOOKUP($A4256,INSUMOS_AUX!$A$3:$H$813,3,0)</f>
        <v>MAT.</v>
      </c>
      <c r="D4256" s="156" t="s">
        <v>31</v>
      </c>
      <c r="E4256" s="154" t="n">
        <v>4.4126E-006</v>
      </c>
      <c r="F4256" s="149" t="n">
        <f aca="false">IF(C4256="MAT.",VLOOKUP(A4256,INSUMOS_AUX!$A$3:$H$813,6,0),0)</f>
        <v>466463.38</v>
      </c>
      <c r="G4256" s="149" t="n">
        <f aca="false">IF(C4256="M.O.",VLOOKUP(A4256,INSUMOS_AUX!A:F,6,0),0)</f>
        <v>0</v>
      </c>
    </row>
    <row r="4257" customFormat="false" ht="21" hidden="false" customHeight="false" outlineLevel="0" collapsed="false">
      <c r="A4257" s="154" t="n">
        <v>370</v>
      </c>
      <c r="B4257" s="155" t="s">
        <v>1527</v>
      </c>
      <c r="C4257" s="148" t="str">
        <f aca="false">VLOOKUP($A4257,INSUMOS_AUX!$A$3:$H$813,3,0)</f>
        <v>MAT.</v>
      </c>
      <c r="D4257" s="156" t="s">
        <v>1442</v>
      </c>
      <c r="E4257" s="154" t="n">
        <v>0.02112</v>
      </c>
      <c r="F4257" s="149" t="n">
        <f aca="false">IF(C4257="MAT.",VLOOKUP(A4257,INSUMOS_AUX!$A$3:$H$813,6,0),0)</f>
        <v>150</v>
      </c>
      <c r="G4257" s="149" t="n">
        <f aca="false">IF(C4257="M.O.",VLOOKUP(A4257,INSUMOS_AUX!A:F,6,0),0)</f>
        <v>0</v>
      </c>
    </row>
    <row r="4258" customFormat="false" ht="21" hidden="false" customHeight="false" outlineLevel="0" collapsed="false">
      <c r="A4258" s="154" t="n">
        <v>11881</v>
      </c>
      <c r="B4258" s="155" t="s">
        <v>2203</v>
      </c>
      <c r="C4258" s="148" t="str">
        <f aca="false">VLOOKUP($A4258,INSUMOS_AUX!$A$3:$H$813,3,0)</f>
        <v>MAT.</v>
      </c>
      <c r="D4258" s="156" t="s">
        <v>31</v>
      </c>
      <c r="E4258" s="154" t="n">
        <v>1</v>
      </c>
      <c r="F4258" s="149" t="n">
        <f aca="false">IF(C4258="MAT.",VLOOKUP(A4258,INSUMOS_AUX!$A$3:$H$813,6,0),0)</f>
        <v>174.28</v>
      </c>
      <c r="G4258" s="149" t="n">
        <f aca="false">IF(C4258="M.O.",VLOOKUP(A4258,INSUMOS_AUX!A:F,6,0),0)</f>
        <v>0</v>
      </c>
    </row>
    <row r="4259" customFormat="false" ht="15" hidden="false" customHeight="false" outlineLevel="0" collapsed="false">
      <c r="A4259" s="154" t="n">
        <v>4222</v>
      </c>
      <c r="B4259" s="155" t="s">
        <v>1572</v>
      </c>
      <c r="C4259" s="148" t="str">
        <f aca="false">VLOOKUP($A4259,INSUMOS_AUX!$A$3:$H$813,3,0)</f>
        <v>MAT.</v>
      </c>
      <c r="D4259" s="156" t="s">
        <v>1452</v>
      </c>
      <c r="E4259" s="154" t="n">
        <v>0.0014199168</v>
      </c>
      <c r="F4259" s="149" t="n">
        <f aca="false">IF(C4259="MAT.",VLOOKUP(A4259,INSUMOS_AUX!$A$3:$H$813,6,0),0)</f>
        <v>6.4</v>
      </c>
      <c r="G4259" s="149" t="n">
        <f aca="false">IF(C4259="M.O.",VLOOKUP(A4259,INSUMOS_AUX!A:F,6,0),0)</f>
        <v>0</v>
      </c>
    </row>
    <row r="4260" customFormat="false" ht="15" hidden="false" customHeight="false" outlineLevel="0" collapsed="false">
      <c r="A4260" s="154" t="n">
        <v>4221</v>
      </c>
      <c r="B4260" s="155" t="s">
        <v>1451</v>
      </c>
      <c r="C4260" s="148" t="str">
        <f aca="false">VLOOKUP($A4260,INSUMOS_AUX!$A$3:$H$813,3,0)</f>
        <v>MAT.</v>
      </c>
      <c r="D4260" s="156" t="s">
        <v>1452</v>
      </c>
      <c r="E4260" s="154" t="n">
        <v>0.132215</v>
      </c>
      <c r="F4260" s="149" t="n">
        <f aca="false">IF(C4260="MAT.",VLOOKUP(A4260,INSUMOS_AUX!$A$3:$H$813,6,0),0)</f>
        <v>6.28</v>
      </c>
      <c r="G4260" s="149" t="n">
        <f aca="false">IF(C4260="M.O.",VLOOKUP(A4260,INSUMOS_AUX!A:F,6,0),0)</f>
        <v>0</v>
      </c>
    </row>
    <row r="4261" customFormat="false" ht="15" hidden="false" customHeight="false" outlineLevel="0" collapsed="false">
      <c r="A4261" s="154" t="n">
        <v>4234</v>
      </c>
      <c r="B4261" s="155" t="s">
        <v>1475</v>
      </c>
      <c r="C4261" s="148" t="str">
        <f aca="false">VLOOKUP($A4261,INSUMOS_AUX!$A$3:$H$813,3,0)</f>
        <v>M.O.</v>
      </c>
      <c r="D4261" s="156" t="s">
        <v>1444</v>
      </c>
      <c r="E4261" s="154" t="n">
        <v>0.04754238</v>
      </c>
      <c r="F4261" s="149" t="n">
        <f aca="false">IF(C4261="MAT.",VLOOKUP(A4261,INSUMOS_AUX!$A$3:$H$813,6,0),0)</f>
        <v>0</v>
      </c>
      <c r="G4261" s="149" t="n">
        <f aca="false">IF(C4261="M.O.",VLOOKUP(A4261,INSUMOS_AUX!A:F,6,0),0)</f>
        <v>20.22</v>
      </c>
    </row>
    <row r="4262" customFormat="false" ht="21" hidden="false" customHeight="false" outlineLevel="0" collapsed="false">
      <c r="A4262" s="154" t="n">
        <v>4230</v>
      </c>
      <c r="B4262" s="155" t="s">
        <v>1597</v>
      </c>
      <c r="C4262" s="148" t="str">
        <f aca="false">VLOOKUP($A4262,INSUMOS_AUX!$A$3:$H$813,3,0)</f>
        <v>M.O.</v>
      </c>
      <c r="D4262" s="156" t="s">
        <v>1444</v>
      </c>
      <c r="E4262" s="154" t="n">
        <v>0.0026879450112</v>
      </c>
      <c r="F4262" s="149" t="n">
        <f aca="false">IF(C4262="MAT.",VLOOKUP(A4262,INSUMOS_AUX!$A$3:$H$813,6,0),0)</f>
        <v>0</v>
      </c>
      <c r="G4262" s="149" t="n">
        <f aca="false">IF(C4262="M.O.",VLOOKUP(A4262,INSUMOS_AUX!A:F,6,0),0)</f>
        <v>14.53</v>
      </c>
    </row>
    <row r="4263" customFormat="false" ht="15" hidden="false" customHeight="false" outlineLevel="0" collapsed="false">
      <c r="A4263" s="154" t="n">
        <v>4750</v>
      </c>
      <c r="B4263" s="155" t="s">
        <v>1463</v>
      </c>
      <c r="C4263" s="148" t="str">
        <f aca="false">VLOOKUP($A4263,INSUMOS_AUX!$A$3:$H$813,3,0)</f>
        <v>M.O.</v>
      </c>
      <c r="D4263" s="156" t="s">
        <v>1444</v>
      </c>
      <c r="E4263" s="154" t="n">
        <v>0.082023274176</v>
      </c>
      <c r="F4263" s="149" t="n">
        <f aca="false">IF(C4263="MAT.",VLOOKUP(A4263,INSUMOS_AUX!$A$3:$H$813,6,0),0)</f>
        <v>0</v>
      </c>
      <c r="G4263" s="149" t="n">
        <f aca="false">IF(C4263="M.O.",VLOOKUP(A4263,INSUMOS_AUX!A:F,6,0),0)</f>
        <v>20.22</v>
      </c>
    </row>
    <row r="4264" customFormat="false" ht="15" hidden="false" customHeight="false" outlineLevel="0" collapsed="false">
      <c r="A4264" s="154" t="n">
        <v>6111</v>
      </c>
      <c r="B4264" s="155" t="s">
        <v>1464</v>
      </c>
      <c r="C4264" s="148" t="s">
        <v>59</v>
      </c>
      <c r="D4264" s="156" t="s">
        <v>1444</v>
      </c>
      <c r="E4264" s="154" t="n">
        <v>0.092757311616</v>
      </c>
      <c r="F4264" s="149" t="n">
        <f aca="false">IF(C4264="MAT.",VLOOKUP(A4264,INSUMOS_AUX!$A$3:$H$813,6,0),0)</f>
        <v>0</v>
      </c>
      <c r="G4264" s="149" t="n">
        <f aca="false">IF(C4264="M.O.",VLOOKUP(A4264,INSUMOS_AUX!A:F,6,0),0)</f>
        <v>0</v>
      </c>
    </row>
    <row r="4265" customFormat="false" ht="21" hidden="false" customHeight="false" outlineLevel="0" collapsed="false">
      <c r="A4265" s="150" t="s">
        <v>763</v>
      </c>
      <c r="B4265" s="151" t="s">
        <v>2204</v>
      </c>
      <c r="C4265" s="152" t="s">
        <v>59</v>
      </c>
      <c r="D4265" s="152" t="s">
        <v>31</v>
      </c>
      <c r="E4265" s="150"/>
      <c r="F4265" s="153" t="n">
        <f aca="false">(SUMPRODUCT($E4266:$E4309,F4266:F4309))*1</f>
        <v>610.835908787603</v>
      </c>
      <c r="G4265" s="153" t="n">
        <f aca="false">(SUMPRODUCT($E4266:$E4309,G4266:G4309))*1</f>
        <v>74.7327777787699</v>
      </c>
    </row>
    <row r="4266" customFormat="false" ht="21" hidden="false" customHeight="false" outlineLevel="0" collapsed="false">
      <c r="A4266" s="154" t="n">
        <v>37370</v>
      </c>
      <c r="B4266" s="155" t="s">
        <v>1443</v>
      </c>
      <c r="C4266" s="148" t="str">
        <f aca="false">VLOOKUP($A4266,INSUMOS_AUX!$A$3:$H$813,3,0)</f>
        <v>MAT.</v>
      </c>
      <c r="D4266" s="156" t="s">
        <v>1444</v>
      </c>
      <c r="E4266" s="154" t="n">
        <v>5.984976911576</v>
      </c>
      <c r="F4266" s="149" t="n">
        <f aca="false">IF(C4266="MAT.",VLOOKUP(A4266,INSUMOS_AUX!$A$3:$H$813,6,0),0)</f>
        <v>3.32</v>
      </c>
      <c r="G4266" s="149" t="n">
        <f aca="false">IF(C4266="M.O.",VLOOKUP(A4266,INSUMOS_AUX!A:F,6,0),0)</f>
        <v>0</v>
      </c>
    </row>
    <row r="4267" customFormat="false" ht="21" hidden="false" customHeight="false" outlineLevel="0" collapsed="false">
      <c r="A4267" s="154" t="n">
        <v>43483</v>
      </c>
      <c r="B4267" s="155" t="s">
        <v>1486</v>
      </c>
      <c r="C4267" s="148" t="str">
        <f aca="false">VLOOKUP($A4267,INSUMOS_AUX!$A$3:$H$813,3,0)</f>
        <v>MAT.</v>
      </c>
      <c r="D4267" s="156" t="s">
        <v>1444</v>
      </c>
      <c r="E4267" s="154" t="n">
        <v>0.25025112</v>
      </c>
      <c r="F4267" s="149" t="n">
        <f aca="false">IF(C4267="MAT.",VLOOKUP(A4267,INSUMOS_AUX!$A$3:$H$813,6,0),0)</f>
        <v>1.43</v>
      </c>
      <c r="G4267" s="149" t="n">
        <f aca="false">IF(C4267="M.O.",VLOOKUP(A4267,INSUMOS_AUX!A:F,6,0),0)</f>
        <v>0</v>
      </c>
    </row>
    <row r="4268" customFormat="false" ht="21" hidden="false" customHeight="false" outlineLevel="0" collapsed="false">
      <c r="A4268" s="154" t="n">
        <v>43488</v>
      </c>
      <c r="B4268" s="155" t="s">
        <v>1445</v>
      </c>
      <c r="C4268" s="148" t="str">
        <f aca="false">VLOOKUP($A4268,INSUMOS_AUX!$A$3:$H$813,3,0)</f>
        <v>MAT.</v>
      </c>
      <c r="D4268" s="156" t="s">
        <v>1444</v>
      </c>
      <c r="E4268" s="154" t="n">
        <v>0.35865132</v>
      </c>
      <c r="F4268" s="149" t="n">
        <f aca="false">IF(C4268="MAT.",VLOOKUP(A4268,INSUMOS_AUX!$A$3:$H$813,6,0),0)</f>
        <v>0.89</v>
      </c>
      <c r="G4268" s="149" t="n">
        <f aca="false">IF(C4268="M.O.",VLOOKUP(A4268,INSUMOS_AUX!A:F,6,0),0)</f>
        <v>0</v>
      </c>
    </row>
    <row r="4269" customFormat="false" ht="21" hidden="false" customHeight="false" outlineLevel="0" collapsed="false">
      <c r="A4269" s="154" t="n">
        <v>43489</v>
      </c>
      <c r="B4269" s="155" t="s">
        <v>1456</v>
      </c>
      <c r="C4269" s="148" t="str">
        <f aca="false">VLOOKUP($A4269,INSUMOS_AUX!$A$3:$H$813,3,0)</f>
        <v>MAT.</v>
      </c>
      <c r="D4269" s="156" t="s">
        <v>1444</v>
      </c>
      <c r="E4269" s="154" t="n">
        <v>3.3477665</v>
      </c>
      <c r="F4269" s="149" t="n">
        <f aca="false">IF(C4269="MAT.",VLOOKUP(A4269,INSUMOS_AUX!$A$3:$H$813,6,0),0)</f>
        <v>1.31</v>
      </c>
      <c r="G4269" s="149" t="n">
        <f aca="false">IF(C4269="M.O.",VLOOKUP(A4269,INSUMOS_AUX!A:F,6,0),0)</f>
        <v>0</v>
      </c>
    </row>
    <row r="4270" customFormat="false" ht="21" hidden="false" customHeight="false" outlineLevel="0" collapsed="false">
      <c r="A4270" s="154" t="n">
        <v>43491</v>
      </c>
      <c r="B4270" s="155" t="s">
        <v>1457</v>
      </c>
      <c r="C4270" s="148" t="str">
        <f aca="false">VLOOKUP($A4270,INSUMOS_AUX!$A$3:$H$813,3,0)</f>
        <v>MAT.</v>
      </c>
      <c r="D4270" s="156" t="s">
        <v>1444</v>
      </c>
      <c r="E4270" s="154" t="n">
        <v>2.02830796</v>
      </c>
      <c r="F4270" s="149" t="n">
        <f aca="false">IF(C4270="MAT.",VLOOKUP(A4270,INSUMOS_AUX!$A$3:$H$813,6,0),0)</f>
        <v>1.39</v>
      </c>
      <c r="G4270" s="149" t="n">
        <f aca="false">IF(C4270="M.O.",VLOOKUP(A4270,INSUMOS_AUX!A:F,6,0),0)</f>
        <v>0</v>
      </c>
    </row>
    <row r="4271" customFormat="false" ht="21" hidden="false" customHeight="false" outlineLevel="0" collapsed="false">
      <c r="A4271" s="154" t="n">
        <v>37372</v>
      </c>
      <c r="B4271" s="155" t="s">
        <v>1446</v>
      </c>
      <c r="C4271" s="148" t="str">
        <f aca="false">VLOOKUP($A4271,INSUMOS_AUX!$A$3:$H$813,3,0)</f>
        <v>MAT.</v>
      </c>
      <c r="D4271" s="156" t="s">
        <v>1444</v>
      </c>
      <c r="E4271" s="154" t="n">
        <v>5.984976911576</v>
      </c>
      <c r="F4271" s="149" t="n">
        <f aca="false">IF(C4271="MAT.",VLOOKUP(A4271,INSUMOS_AUX!$A$3:$H$813,6,0),0)</f>
        <v>1.43</v>
      </c>
      <c r="G4271" s="149" t="n">
        <f aca="false">IF(C4271="M.O.",VLOOKUP(A4271,INSUMOS_AUX!A:F,6,0),0)</f>
        <v>0</v>
      </c>
    </row>
    <row r="4272" customFormat="false" ht="21" hidden="false" customHeight="false" outlineLevel="0" collapsed="false">
      <c r="A4272" s="154" t="n">
        <v>43459</v>
      </c>
      <c r="B4272" s="155" t="s">
        <v>1487</v>
      </c>
      <c r="C4272" s="148" t="str">
        <f aca="false">VLOOKUP($A4272,INSUMOS_AUX!$A$3:$H$813,3,0)</f>
        <v>MAT.</v>
      </c>
      <c r="D4272" s="156" t="s">
        <v>1444</v>
      </c>
      <c r="E4272" s="154" t="n">
        <v>0.25025112</v>
      </c>
      <c r="F4272" s="149" t="n">
        <f aca="false">IF(C4272="MAT.",VLOOKUP(A4272,INSUMOS_AUX!$A$3:$H$813,6,0),0)</f>
        <v>0.44</v>
      </c>
      <c r="G4272" s="149" t="n">
        <f aca="false">IF(C4272="M.O.",VLOOKUP(A4272,INSUMOS_AUX!A:F,6,0),0)</f>
        <v>0</v>
      </c>
    </row>
    <row r="4273" customFormat="false" ht="21" hidden="false" customHeight="false" outlineLevel="0" collapsed="false">
      <c r="A4273" s="154" t="n">
        <v>43464</v>
      </c>
      <c r="B4273" s="155" t="s">
        <v>1447</v>
      </c>
      <c r="C4273" s="148" t="str">
        <f aca="false">VLOOKUP($A4273,INSUMOS_AUX!$A$3:$H$813,3,0)</f>
        <v>MAT.</v>
      </c>
      <c r="D4273" s="156" t="s">
        <v>1444</v>
      </c>
      <c r="E4273" s="154" t="n">
        <v>0.35865132</v>
      </c>
      <c r="F4273" s="149" t="n">
        <f aca="false">IF(C4273="MAT.",VLOOKUP(A4273,INSUMOS_AUX!$A$3:$H$813,6,0),0)</f>
        <v>0.01</v>
      </c>
      <c r="G4273" s="149" t="n">
        <f aca="false">IF(C4273="M.O.",VLOOKUP(A4273,INSUMOS_AUX!A:F,6,0),0)</f>
        <v>0</v>
      </c>
    </row>
    <row r="4274" customFormat="false" ht="21" hidden="false" customHeight="false" outlineLevel="0" collapsed="false">
      <c r="A4274" s="154" t="n">
        <v>43465</v>
      </c>
      <c r="B4274" s="155" t="s">
        <v>1458</v>
      </c>
      <c r="C4274" s="148" t="str">
        <f aca="false">VLOOKUP($A4274,INSUMOS_AUX!$A$3:$H$813,3,0)</f>
        <v>MAT.</v>
      </c>
      <c r="D4274" s="156" t="s">
        <v>1444</v>
      </c>
      <c r="E4274" s="154" t="n">
        <v>3.3477665</v>
      </c>
      <c r="F4274" s="149" t="n">
        <f aca="false">IF(C4274="MAT.",VLOOKUP(A4274,INSUMOS_AUX!$A$3:$H$813,6,0),0)</f>
        <v>0.78</v>
      </c>
      <c r="G4274" s="149" t="n">
        <f aca="false">IF(C4274="M.O.",VLOOKUP(A4274,INSUMOS_AUX!A:F,6,0),0)</f>
        <v>0</v>
      </c>
    </row>
    <row r="4275" customFormat="false" ht="21" hidden="false" customHeight="false" outlineLevel="0" collapsed="false">
      <c r="A4275" s="154" t="n">
        <v>43467</v>
      </c>
      <c r="B4275" s="155" t="s">
        <v>1459</v>
      </c>
      <c r="C4275" s="148" t="s">
        <v>59</v>
      </c>
      <c r="D4275" s="156" t="s">
        <v>1444</v>
      </c>
      <c r="E4275" s="154" t="n">
        <v>2.02830796</v>
      </c>
      <c r="F4275" s="149" t="n">
        <f aca="false">IF(C4275="MAT.",VLOOKUP(A4275,INSUMOS_AUX!$A$3:$H$813,6,0),0)</f>
        <v>0</v>
      </c>
      <c r="G4275" s="149" t="n">
        <f aca="false">IF(C4275="M.O.",VLOOKUP(A4275,INSUMOS_AUX!A:F,6,0),0)</f>
        <v>0</v>
      </c>
    </row>
    <row r="4276" customFormat="false" ht="21" hidden="false" customHeight="false" outlineLevel="0" collapsed="false">
      <c r="A4276" s="154" t="n">
        <v>37373</v>
      </c>
      <c r="B4276" s="155" t="s">
        <v>1448</v>
      </c>
      <c r="C4276" s="148" t="str">
        <f aca="false">VLOOKUP($A4276,INSUMOS_AUX!$A$3:$H$813,3,0)</f>
        <v>MAT.</v>
      </c>
      <c r="D4276" s="156" t="s">
        <v>1444</v>
      </c>
      <c r="E4276" s="154" t="n">
        <v>5.984976911576</v>
      </c>
      <c r="F4276" s="149" t="n">
        <f aca="false">IF(C4276="MAT.",VLOOKUP(A4276,INSUMOS_AUX!$A$3:$H$813,6,0),0)</f>
        <v>0.08</v>
      </c>
      <c r="G4276" s="149" t="n">
        <f aca="false">IF(C4276="M.O.",VLOOKUP(A4276,INSUMOS_AUX!A:F,6,0),0)</f>
        <v>0</v>
      </c>
    </row>
    <row r="4277" customFormat="false" ht="21" hidden="false" customHeight="false" outlineLevel="0" collapsed="false">
      <c r="A4277" s="154" t="n">
        <v>37371</v>
      </c>
      <c r="B4277" s="155" t="s">
        <v>1449</v>
      </c>
      <c r="C4277" s="148" t="str">
        <f aca="false">VLOOKUP($A4277,INSUMOS_AUX!$A$3:$H$813,3,0)</f>
        <v>MAT.</v>
      </c>
      <c r="D4277" s="156" t="s">
        <v>1444</v>
      </c>
      <c r="E4277" s="154" t="n">
        <v>5.984976911576</v>
      </c>
      <c r="F4277" s="149" t="n">
        <f aca="false">IF(C4277="MAT.",VLOOKUP(A4277,INSUMOS_AUX!$A$3:$H$813,6,0),0)</f>
        <v>0.59</v>
      </c>
      <c r="G4277" s="149" t="n">
        <f aca="false">IF(C4277="M.O.",VLOOKUP(A4277,INSUMOS_AUX!A:F,6,0),0)</f>
        <v>0</v>
      </c>
    </row>
    <row r="4278" customFormat="false" ht="31.5" hidden="false" customHeight="false" outlineLevel="0" collapsed="false">
      <c r="A4278" s="154" t="n">
        <v>36397</v>
      </c>
      <c r="B4278" s="155" t="s">
        <v>1888</v>
      </c>
      <c r="C4278" s="148" t="str">
        <f aca="false">VLOOKUP($A4278,INSUMOS_AUX!$A$3:$H$813,3,0)</f>
        <v>MAT.</v>
      </c>
      <c r="D4278" s="156" t="s">
        <v>31</v>
      </c>
      <c r="E4278" s="154" t="n">
        <v>9.68794344E-006</v>
      </c>
      <c r="F4278" s="149" t="n">
        <f aca="false">IF(C4278="MAT.",VLOOKUP(A4278,INSUMOS_AUX!$A$3:$H$813,6,0),0)</f>
        <v>19114.57</v>
      </c>
      <c r="G4278" s="149" t="n">
        <f aca="false">IF(C4278="M.O.",VLOOKUP(A4278,INSUMOS_AUX!A:F,6,0),0)</f>
        <v>0</v>
      </c>
    </row>
    <row r="4279" customFormat="false" ht="21" hidden="false" customHeight="false" outlineLevel="0" collapsed="false">
      <c r="A4279" s="154" t="n">
        <v>13458</v>
      </c>
      <c r="B4279" s="155" t="s">
        <v>1723</v>
      </c>
      <c r="C4279" s="148" t="str">
        <f aca="false">VLOOKUP($A4279,INSUMOS_AUX!$A$3:$H$813,3,0)</f>
        <v>MAT.</v>
      </c>
      <c r="D4279" s="156" t="s">
        <v>31</v>
      </c>
      <c r="E4279" s="154" t="n">
        <v>8.5576645E-007</v>
      </c>
      <c r="F4279" s="149" t="n">
        <f aca="false">IF(C4279="MAT.",VLOOKUP(A4279,INSUMOS_AUX!$A$3:$H$813,6,0),0)</f>
        <v>15839.74</v>
      </c>
      <c r="G4279" s="149" t="n">
        <f aca="false">IF(C4279="M.O.",VLOOKUP(A4279,INSUMOS_AUX!A:F,6,0),0)</f>
        <v>0</v>
      </c>
    </row>
    <row r="4280" customFormat="false" ht="52.5" hidden="false" customHeight="false" outlineLevel="0" collapsed="false">
      <c r="A4280" s="154" t="n">
        <v>36531</v>
      </c>
      <c r="B4280" s="155" t="s">
        <v>1493</v>
      </c>
      <c r="C4280" s="148" t="str">
        <f aca="false">VLOOKUP($A4280,INSUMOS_AUX!$A$3:$H$813,3,0)</f>
        <v>MAT.</v>
      </c>
      <c r="D4280" s="156" t="s">
        <v>31</v>
      </c>
      <c r="E4280" s="154" t="n">
        <v>2.103936E-005</v>
      </c>
      <c r="F4280" s="149" t="n">
        <f aca="false">IF(C4280="MAT.",VLOOKUP(A4280,INSUMOS_AUX!$A$3:$H$813,6,0),0)</f>
        <v>466463.38</v>
      </c>
      <c r="G4280" s="149" t="n">
        <f aca="false">IF(C4280="M.O.",VLOOKUP(A4280,INSUMOS_AUX!A:F,6,0),0)</f>
        <v>0</v>
      </c>
    </row>
    <row r="4281" customFormat="false" ht="21" hidden="false" customHeight="false" outlineLevel="0" collapsed="false">
      <c r="A4281" s="154" t="n">
        <v>14618</v>
      </c>
      <c r="B4281" s="155" t="s">
        <v>1592</v>
      </c>
      <c r="C4281" s="148" t="str">
        <f aca="false">VLOOKUP($A4281,INSUMOS_AUX!$A$3:$H$813,3,0)</f>
        <v>MAT.</v>
      </c>
      <c r="D4281" s="156" t="s">
        <v>31</v>
      </c>
      <c r="E4281" s="154" t="n">
        <v>4.507654536E-006</v>
      </c>
      <c r="F4281" s="149" t="n">
        <f aca="false">IF(C4281="MAT.",VLOOKUP(A4281,INSUMOS_AUX!$A$3:$H$813,6,0),0)</f>
        <v>1283.38</v>
      </c>
      <c r="G4281" s="149" t="n">
        <f aca="false">IF(C4281="M.O.",VLOOKUP(A4281,INSUMOS_AUX!A:F,6,0),0)</f>
        <v>0</v>
      </c>
    </row>
    <row r="4282" customFormat="false" ht="21" hidden="false" customHeight="false" outlineLevel="0" collapsed="false">
      <c r="A4282" s="154" t="n">
        <v>13896</v>
      </c>
      <c r="B4282" s="155" t="s">
        <v>1564</v>
      </c>
      <c r="C4282" s="148" t="str">
        <f aca="false">VLOOKUP($A4282,INSUMOS_AUX!$A$3:$H$813,3,0)</f>
        <v>MAT.</v>
      </c>
      <c r="D4282" s="156" t="s">
        <v>31</v>
      </c>
      <c r="E4282" s="154" t="n">
        <v>0.000182640978576</v>
      </c>
      <c r="F4282" s="149" t="n">
        <f aca="false">IF(C4282="MAT.",VLOOKUP(A4282,INSUMOS_AUX!$A$3:$H$813,6,0),0)</f>
        <v>3390.99</v>
      </c>
      <c r="G4282" s="149" t="n">
        <f aca="false">IF(C4282="M.O.",VLOOKUP(A4282,INSUMOS_AUX!A:F,6,0),0)</f>
        <v>0</v>
      </c>
    </row>
    <row r="4283" customFormat="false" ht="15" hidden="false" customHeight="false" outlineLevel="0" collapsed="false">
      <c r="A4283" s="154" t="n">
        <v>2705</v>
      </c>
      <c r="B4283" s="155" t="s">
        <v>1467</v>
      </c>
      <c r="C4283" s="148" t="str">
        <f aca="false">VLOOKUP($A4283,INSUMOS_AUX!$A$3:$H$813,3,0)</f>
        <v>MAT.</v>
      </c>
      <c r="D4283" s="156" t="s">
        <v>1468</v>
      </c>
      <c r="E4283" s="154" t="n">
        <v>0.270870642</v>
      </c>
      <c r="F4283" s="149" t="n">
        <f aca="false">IF(C4283="MAT.",VLOOKUP(A4283,INSUMOS_AUX!$A$3:$H$813,6,0),0)</f>
        <v>0.92</v>
      </c>
      <c r="G4283" s="149" t="n">
        <f aca="false">IF(C4283="M.O.",VLOOKUP(A4283,INSUMOS_AUX!A:F,6,0),0)</f>
        <v>0</v>
      </c>
    </row>
    <row r="4284" customFormat="false" ht="15" hidden="false" customHeight="false" outlineLevel="0" collapsed="false">
      <c r="A4284" s="154" t="n">
        <v>43059</v>
      </c>
      <c r="B4284" s="155" t="s">
        <v>1630</v>
      </c>
      <c r="C4284" s="148" t="str">
        <f aca="false">VLOOKUP($A4284,INSUMOS_AUX!$A$3:$H$813,3,0)</f>
        <v>MAT.</v>
      </c>
      <c r="D4284" s="156" t="s">
        <v>1513</v>
      </c>
      <c r="E4284" s="154" t="n">
        <v>1.7555727861</v>
      </c>
      <c r="F4284" s="149" t="n">
        <f aca="false">IF(C4284="MAT.",VLOOKUP(A4284,INSUMOS_AUX!$A$3:$H$813,6,0),0)</f>
        <v>7.26</v>
      </c>
      <c r="G4284" s="149" t="n">
        <f aca="false">IF(C4284="M.O.",VLOOKUP(A4284,INSUMOS_AUX!A:F,6,0),0)</f>
        <v>0</v>
      </c>
    </row>
    <row r="4285" customFormat="false" ht="21" hidden="false" customHeight="false" outlineLevel="0" collapsed="false">
      <c r="A4285" s="154" t="n">
        <v>43132</v>
      </c>
      <c r="B4285" s="155" t="s">
        <v>1565</v>
      </c>
      <c r="C4285" s="148" t="str">
        <f aca="false">VLOOKUP($A4285,INSUMOS_AUX!$A$3:$H$813,3,0)</f>
        <v>MAT.</v>
      </c>
      <c r="D4285" s="156" t="s">
        <v>1513</v>
      </c>
      <c r="E4285" s="154" t="n">
        <v>0.04101805575</v>
      </c>
      <c r="F4285" s="149" t="n">
        <f aca="false">IF(C4285="MAT.",VLOOKUP(A4285,INSUMOS_AUX!$A$3:$H$813,6,0),0)</f>
        <v>28</v>
      </c>
      <c r="G4285" s="149" t="n">
        <f aca="false">IF(C4285="M.O.",VLOOKUP(A4285,INSUMOS_AUX!A:F,6,0),0)</f>
        <v>0</v>
      </c>
    </row>
    <row r="4286" customFormat="false" ht="21" hidden="false" customHeight="false" outlineLevel="0" collapsed="false">
      <c r="A4286" s="154" t="n">
        <v>370</v>
      </c>
      <c r="B4286" s="155" t="s">
        <v>1527</v>
      </c>
      <c r="C4286" s="148" t="s">
        <v>59</v>
      </c>
      <c r="D4286" s="156" t="s">
        <v>1442</v>
      </c>
      <c r="E4286" s="154" t="n">
        <v>0.114987676</v>
      </c>
      <c r="F4286" s="149" t="n">
        <f aca="false">IF(C4286="MAT.",VLOOKUP(A4286,INSUMOS_AUX!$A$3:$H$813,6,0),0)</f>
        <v>0</v>
      </c>
      <c r="G4286" s="149" t="n">
        <f aca="false">IF(C4286="M.O.",VLOOKUP(A4286,INSUMOS_AUX!A:F,6,0),0)</f>
        <v>0</v>
      </c>
    </row>
    <row r="4287" customFormat="false" ht="21" hidden="false" customHeight="false" outlineLevel="0" collapsed="false">
      <c r="A4287" s="154" t="n">
        <v>135</v>
      </c>
      <c r="B4287" s="155" t="s">
        <v>1763</v>
      </c>
      <c r="C4287" s="148" t="str">
        <f aca="false">VLOOKUP($A4287,INSUMOS_AUX!$A$3:$H$813,3,0)</f>
        <v>MAT.</v>
      </c>
      <c r="D4287" s="156" t="s">
        <v>1513</v>
      </c>
      <c r="E4287" s="154" t="n">
        <v>8.16914</v>
      </c>
      <c r="F4287" s="149" t="n">
        <f aca="false">IF(C4287="MAT.",VLOOKUP(A4287,INSUMOS_AUX!$A$3:$H$813,6,0),0)</f>
        <v>3.11</v>
      </c>
      <c r="G4287" s="149" t="n">
        <f aca="false">IF(C4287="M.O.",VLOOKUP(A4287,INSUMOS_AUX!A:F,6,0),0)</f>
        <v>0</v>
      </c>
    </row>
    <row r="4288" customFormat="false" ht="21" hidden="false" customHeight="false" outlineLevel="0" collapsed="false">
      <c r="A4288" s="154" t="n">
        <v>41629</v>
      </c>
      <c r="B4288" s="155" t="s">
        <v>2205</v>
      </c>
      <c r="C4288" s="148" t="str">
        <f aca="false">VLOOKUP($A4288,INSUMOS_AUX!$A$3:$H$813,3,0)</f>
        <v>MAT.</v>
      </c>
      <c r="D4288" s="156" t="s">
        <v>31</v>
      </c>
      <c r="E4288" s="154" t="n">
        <v>1</v>
      </c>
      <c r="F4288" s="149" t="n">
        <f aca="false">IF(C4288="MAT.",VLOOKUP(A4288,INSUMOS_AUX!$A$3:$H$813,6,0),0)</f>
        <v>442.89</v>
      </c>
      <c r="G4288" s="149" t="n">
        <f aca="false">IF(C4288="M.O.",VLOOKUP(A4288,INSUMOS_AUX!A:F,6,0),0)</f>
        <v>0</v>
      </c>
    </row>
    <row r="4289" customFormat="false" ht="31.5" hidden="false" customHeight="false" outlineLevel="0" collapsed="false">
      <c r="A4289" s="154" t="n">
        <v>1358</v>
      </c>
      <c r="B4289" s="155" t="s">
        <v>1641</v>
      </c>
      <c r="C4289" s="148" t="str">
        <f aca="false">VLOOKUP($A4289,INSUMOS_AUX!$A$3:$H$813,3,0)</f>
        <v>MAT.</v>
      </c>
      <c r="D4289" s="156" t="s">
        <v>1477</v>
      </c>
      <c r="E4289" s="154" t="n">
        <v>0.07434504</v>
      </c>
      <c r="F4289" s="149" t="n">
        <f aca="false">IF(C4289="MAT.",VLOOKUP(A4289,INSUMOS_AUX!$A$3:$H$813,6,0),0)</f>
        <v>57.71</v>
      </c>
      <c r="G4289" s="149" t="n">
        <f aca="false">IF(C4289="M.O.",VLOOKUP(A4289,INSUMOS_AUX!A:F,6,0),0)</f>
        <v>0</v>
      </c>
    </row>
    <row r="4290" customFormat="false" ht="15" hidden="false" customHeight="false" outlineLevel="0" collapsed="false">
      <c r="A4290" s="154" t="n">
        <v>1379</v>
      </c>
      <c r="B4290" s="155" t="s">
        <v>1535</v>
      </c>
      <c r="C4290" s="148" t="str">
        <f aca="false">VLOOKUP($A4290,INSUMOS_AUX!$A$3:$H$813,3,0)</f>
        <v>MAT.</v>
      </c>
      <c r="D4290" s="156" t="s">
        <v>1513</v>
      </c>
      <c r="E4290" s="154" t="n">
        <v>26.614955052</v>
      </c>
      <c r="F4290" s="149" t="n">
        <f aca="false">IF(C4290="MAT.",VLOOKUP(A4290,INSUMOS_AUX!$A$3:$H$813,6,0),0)</f>
        <v>0.72</v>
      </c>
      <c r="G4290" s="149" t="n">
        <f aca="false">IF(C4290="M.O.",VLOOKUP(A4290,INSUMOS_AUX!A:F,6,0),0)</f>
        <v>0</v>
      </c>
    </row>
    <row r="4291" customFormat="false" ht="21" hidden="false" customHeight="false" outlineLevel="0" collapsed="false">
      <c r="A4291" s="154" t="n">
        <v>2692</v>
      </c>
      <c r="B4291" s="155" t="s">
        <v>1570</v>
      </c>
      <c r="C4291" s="148" t="str">
        <f aca="false">VLOOKUP($A4291,INSUMOS_AUX!$A$3:$H$813,3,0)</f>
        <v>MAT.</v>
      </c>
      <c r="D4291" s="156" t="s">
        <v>1452</v>
      </c>
      <c r="E4291" s="154" t="n">
        <v>0.00321489</v>
      </c>
      <c r="F4291" s="149" t="n">
        <f aca="false">IF(C4291="MAT.",VLOOKUP(A4291,INSUMOS_AUX!$A$3:$H$813,6,0),0)</f>
        <v>6.52</v>
      </c>
      <c r="G4291" s="149" t="n">
        <f aca="false">IF(C4291="M.O.",VLOOKUP(A4291,INSUMOS_AUX!A:F,6,0),0)</f>
        <v>0</v>
      </c>
    </row>
    <row r="4292" customFormat="false" ht="21" hidden="false" customHeight="false" outlineLevel="0" collapsed="false">
      <c r="A4292" s="154" t="n">
        <v>39017</v>
      </c>
      <c r="B4292" s="155" t="s">
        <v>1621</v>
      </c>
      <c r="C4292" s="148" t="str">
        <f aca="false">VLOOKUP($A4292,INSUMOS_AUX!$A$3:$H$813,3,0)</f>
        <v>MAT.</v>
      </c>
      <c r="D4292" s="156" t="s">
        <v>31</v>
      </c>
      <c r="E4292" s="154" t="n">
        <v>4.62027379968</v>
      </c>
      <c r="F4292" s="149" t="n">
        <f aca="false">IF(C4292="MAT.",VLOOKUP(A4292,INSUMOS_AUX!$A$3:$H$813,6,0),0)</f>
        <v>0.22</v>
      </c>
      <c r="G4292" s="149" t="n">
        <f aca="false">IF(C4292="M.O.",VLOOKUP(A4292,INSUMOS_AUX!A:F,6,0),0)</f>
        <v>0</v>
      </c>
    </row>
    <row r="4293" customFormat="false" ht="15" hidden="false" customHeight="false" outlineLevel="0" collapsed="false">
      <c r="A4293" s="154" t="n">
        <v>4222</v>
      </c>
      <c r="B4293" s="155" t="s">
        <v>1572</v>
      </c>
      <c r="C4293" s="148" t="str">
        <f aca="false">VLOOKUP($A4293,INSUMOS_AUX!$A$3:$H$813,3,0)</f>
        <v>MAT.</v>
      </c>
      <c r="D4293" s="156" t="s">
        <v>1452</v>
      </c>
      <c r="E4293" s="154" t="n">
        <v>0.004474217</v>
      </c>
      <c r="F4293" s="149" t="n">
        <f aca="false">IF(C4293="MAT.",VLOOKUP(A4293,INSUMOS_AUX!$A$3:$H$813,6,0),0)</f>
        <v>6.4</v>
      </c>
      <c r="G4293" s="149" t="n">
        <f aca="false">IF(C4293="M.O.",VLOOKUP(A4293,INSUMOS_AUX!A:F,6,0),0)</f>
        <v>0</v>
      </c>
    </row>
    <row r="4294" customFormat="false" ht="21" hidden="false" customHeight="false" outlineLevel="0" collapsed="false">
      <c r="A4294" s="154" t="n">
        <v>11236</v>
      </c>
      <c r="B4294" s="155" t="s">
        <v>2206</v>
      </c>
      <c r="C4294" s="148" t="str">
        <f aca="false">VLOOKUP($A4294,INSUMOS_AUX!$A$3:$H$813,3,0)</f>
        <v>MAT.</v>
      </c>
      <c r="D4294" s="156" t="s">
        <v>31</v>
      </c>
      <c r="E4294" s="154" t="n">
        <v>0.2</v>
      </c>
      <c r="F4294" s="149" t="n">
        <f aca="false">IF(C4294="MAT.",VLOOKUP(A4294,INSUMOS_AUX!$A$3:$H$813,6,0),0)</f>
        <v>203.33</v>
      </c>
      <c r="G4294" s="149" t="n">
        <f aca="false">IF(C4294="M.O.",VLOOKUP(A4294,INSUMOS_AUX!A:F,6,0),0)</f>
        <v>0</v>
      </c>
    </row>
    <row r="4295" customFormat="false" ht="15" hidden="false" customHeight="false" outlineLevel="0" collapsed="false">
      <c r="A4295" s="154" t="n">
        <v>4221</v>
      </c>
      <c r="B4295" s="155" t="s">
        <v>1451</v>
      </c>
      <c r="C4295" s="148" t="str">
        <f aca="false">VLOOKUP($A4295,INSUMOS_AUX!$A$3:$H$813,3,0)</f>
        <v>MAT.</v>
      </c>
      <c r="D4295" s="156" t="s">
        <v>1452</v>
      </c>
      <c r="E4295" s="154" t="n">
        <v>0.629514</v>
      </c>
      <c r="F4295" s="149" t="n">
        <f aca="false">IF(C4295="MAT.",VLOOKUP(A4295,INSUMOS_AUX!$A$3:$H$813,6,0),0)</f>
        <v>6.28</v>
      </c>
      <c r="G4295" s="149" t="n">
        <f aca="false">IF(C4295="M.O.",VLOOKUP(A4295,INSUMOS_AUX!A:F,6,0),0)</f>
        <v>0</v>
      </c>
    </row>
    <row r="4296" customFormat="false" ht="21" hidden="false" customHeight="false" outlineLevel="0" collapsed="false">
      <c r="A4296" s="154" t="n">
        <v>4721</v>
      </c>
      <c r="B4296" s="155" t="s">
        <v>1593</v>
      </c>
      <c r="C4296" s="148" t="str">
        <f aca="false">VLOOKUP($A4296,INSUMOS_AUX!$A$3:$H$813,3,0)</f>
        <v>MAT.</v>
      </c>
      <c r="D4296" s="156" t="s">
        <v>1442</v>
      </c>
      <c r="E4296" s="154" t="n">
        <v>0.040327308</v>
      </c>
      <c r="F4296" s="149" t="n">
        <f aca="false">IF(C4296="MAT.",VLOOKUP(A4296,INSUMOS_AUX!$A$3:$H$813,6,0),0)</f>
        <v>115.7</v>
      </c>
      <c r="G4296" s="149" t="n">
        <f aca="false">IF(C4296="M.O.",VLOOKUP(A4296,INSUMOS_AUX!A:F,6,0),0)</f>
        <v>0</v>
      </c>
    </row>
    <row r="4297" customFormat="false" ht="15" hidden="false" customHeight="false" outlineLevel="0" collapsed="false">
      <c r="A4297" s="154" t="n">
        <v>20247</v>
      </c>
      <c r="B4297" s="155" t="s">
        <v>1695</v>
      </c>
      <c r="C4297" s="148" t="s">
        <v>59</v>
      </c>
      <c r="D4297" s="156" t="s">
        <v>1513</v>
      </c>
      <c r="E4297" s="154" t="n">
        <v>0.01484973</v>
      </c>
      <c r="F4297" s="149" t="n">
        <f aca="false">IF(C4297="MAT.",VLOOKUP(A4297,INSUMOS_AUX!$A$3:$H$813,6,0),0)</f>
        <v>0</v>
      </c>
      <c r="G4297" s="149" t="n">
        <f aca="false">IF(C4297="M.O.",VLOOKUP(A4297,INSUMOS_AUX!A:F,6,0),0)</f>
        <v>0</v>
      </c>
    </row>
    <row r="4298" customFormat="false" ht="21" hidden="false" customHeight="false" outlineLevel="0" collapsed="false">
      <c r="A4298" s="154" t="n">
        <v>4517</v>
      </c>
      <c r="B4298" s="155" t="s">
        <v>1582</v>
      </c>
      <c r="C4298" s="148" t="str">
        <f aca="false">VLOOKUP($A4298,INSUMOS_AUX!$A$3:$H$813,3,0)</f>
        <v>MAT.</v>
      </c>
      <c r="D4298" s="156" t="s">
        <v>1455</v>
      </c>
      <c r="E4298" s="154" t="n">
        <v>0.2538459</v>
      </c>
      <c r="F4298" s="149" t="n">
        <f aca="false">IF(C4298="MAT.",VLOOKUP(A4298,INSUMOS_AUX!$A$3:$H$813,6,0),0)</f>
        <v>3.58</v>
      </c>
      <c r="G4298" s="149" t="n">
        <f aca="false">IF(C4298="M.O.",VLOOKUP(A4298,INSUMOS_AUX!A:F,6,0),0)</f>
        <v>0</v>
      </c>
    </row>
    <row r="4299" customFormat="false" ht="15" hidden="false" customHeight="false" outlineLevel="0" collapsed="false">
      <c r="A4299" s="154" t="n">
        <v>6114</v>
      </c>
      <c r="B4299" s="155" t="s">
        <v>1588</v>
      </c>
      <c r="C4299" s="148" t="str">
        <f aca="false">VLOOKUP($A4299,INSUMOS_AUX!$A$3:$H$813,3,0)</f>
        <v>M.O.</v>
      </c>
      <c r="D4299" s="156" t="s">
        <v>1444</v>
      </c>
      <c r="E4299" s="154" t="n">
        <v>0.0537728597309081</v>
      </c>
      <c r="F4299" s="149" t="n">
        <f aca="false">IF(C4299="MAT.",VLOOKUP(A4299,INSUMOS_AUX!$A$3:$H$813,6,0),0)</f>
        <v>0</v>
      </c>
      <c r="G4299" s="149" t="n">
        <f aca="false">IF(C4299="M.O.",VLOOKUP(A4299,INSUMOS_AUX!A:F,6,0),0)</f>
        <v>13.26</v>
      </c>
    </row>
    <row r="4300" customFormat="false" ht="15" hidden="false" customHeight="false" outlineLevel="0" collapsed="false">
      <c r="A4300" s="154" t="n">
        <v>242</v>
      </c>
      <c r="B4300" s="155" t="s">
        <v>1660</v>
      </c>
      <c r="C4300" s="148" t="str">
        <f aca="false">VLOOKUP($A4300,INSUMOS_AUX!$A$3:$H$813,3,0)</f>
        <v>M.O.</v>
      </c>
      <c r="D4300" s="156" t="s">
        <v>1444</v>
      </c>
      <c r="E4300" s="154" t="n">
        <v>0.32514132528</v>
      </c>
      <c r="F4300" s="149" t="n">
        <f aca="false">IF(C4300="MAT.",VLOOKUP(A4300,INSUMOS_AUX!$A$3:$H$813,6,0),0)</f>
        <v>0</v>
      </c>
      <c r="G4300" s="149" t="n">
        <f aca="false">IF(C4300="M.O.",VLOOKUP(A4300,INSUMOS_AUX!A:F,6,0),0)</f>
        <v>13.61</v>
      </c>
    </row>
    <row r="4301" customFormat="false" ht="15" hidden="false" customHeight="false" outlineLevel="0" collapsed="false">
      <c r="A4301" s="154" t="n">
        <v>378</v>
      </c>
      <c r="B4301" s="155" t="s">
        <v>1589</v>
      </c>
      <c r="C4301" s="148" t="str">
        <f aca="false">VLOOKUP($A4301,INSUMOS_AUX!$A$3:$H$813,3,0)</f>
        <v>M.O.</v>
      </c>
      <c r="D4301" s="156" t="s">
        <v>1444</v>
      </c>
      <c r="E4301" s="154" t="n">
        <v>0.329939645509399</v>
      </c>
      <c r="F4301" s="149" t="n">
        <f aca="false">IF(C4301="MAT.",VLOOKUP(A4301,INSUMOS_AUX!$A$3:$H$813,6,0),0)</f>
        <v>0</v>
      </c>
      <c r="G4301" s="149" t="n">
        <f aca="false">IF(C4301="M.O.",VLOOKUP(A4301,INSUMOS_AUX!A:F,6,0),0)</f>
        <v>20.22</v>
      </c>
    </row>
    <row r="4302" customFormat="false" ht="15" hidden="false" customHeight="false" outlineLevel="0" collapsed="false">
      <c r="A4302" s="154" t="n">
        <v>6117</v>
      </c>
      <c r="B4302" s="155" t="s">
        <v>1555</v>
      </c>
      <c r="C4302" s="148" t="str">
        <f aca="false">VLOOKUP($A4302,INSUMOS_AUX!$A$3:$H$813,3,0)</f>
        <v>M.O.</v>
      </c>
      <c r="D4302" s="156" t="s">
        <v>1444</v>
      </c>
      <c r="E4302" s="154" t="n">
        <v>0.0423241377552</v>
      </c>
      <c r="F4302" s="149" t="n">
        <f aca="false">IF(C4302="MAT.",VLOOKUP(A4302,INSUMOS_AUX!$A$3:$H$813,6,0),0)</f>
        <v>0</v>
      </c>
      <c r="G4302" s="149" t="n">
        <f aca="false">IF(C4302="M.O.",VLOOKUP(A4302,INSUMOS_AUX!A:F,6,0),0)</f>
        <v>13.26</v>
      </c>
    </row>
    <row r="4303" customFormat="false" ht="15" hidden="false" customHeight="false" outlineLevel="0" collapsed="false">
      <c r="A4303" s="154" t="n">
        <v>1214</v>
      </c>
      <c r="B4303" s="155" t="s">
        <v>1556</v>
      </c>
      <c r="C4303" s="148" t="str">
        <f aca="false">VLOOKUP($A4303,INSUMOS_AUX!$A$3:$H$813,3,0)</f>
        <v>M.O.</v>
      </c>
      <c r="D4303" s="156" t="s">
        <v>1444</v>
      </c>
      <c r="E4303" s="154" t="n">
        <v>0.211620688776</v>
      </c>
      <c r="F4303" s="149" t="n">
        <f aca="false">IF(C4303="MAT.",VLOOKUP(A4303,INSUMOS_AUX!$A$3:$H$813,6,0),0)</f>
        <v>0</v>
      </c>
      <c r="G4303" s="149" t="n">
        <f aca="false">IF(C4303="M.O.",VLOOKUP(A4303,INSUMOS_AUX!A:F,6,0),0)</f>
        <v>19.04</v>
      </c>
    </row>
    <row r="4304" customFormat="false" ht="15" hidden="false" customHeight="false" outlineLevel="0" collapsed="false">
      <c r="A4304" s="154" t="n">
        <v>12873</v>
      </c>
      <c r="B4304" s="155" t="s">
        <v>1661</v>
      </c>
      <c r="C4304" s="148" t="str">
        <f aca="false">VLOOKUP($A4304,INSUMOS_AUX!$A$3:$H$813,3,0)</f>
        <v>M.O.</v>
      </c>
      <c r="D4304" s="156" t="s">
        <v>1444</v>
      </c>
      <c r="E4304" s="154" t="n">
        <v>1.4554183248</v>
      </c>
      <c r="F4304" s="149" t="n">
        <f aca="false">IF(C4304="MAT.",VLOOKUP(A4304,INSUMOS_AUX!$A$3:$H$813,6,0),0)</f>
        <v>0</v>
      </c>
      <c r="G4304" s="149" t="n">
        <f aca="false">IF(C4304="M.O.",VLOOKUP(A4304,INSUMOS_AUX!A:F,6,0),0)</f>
        <v>20.22</v>
      </c>
    </row>
    <row r="4305" customFormat="false" ht="15" hidden="false" customHeight="false" outlineLevel="0" collapsed="false">
      <c r="A4305" s="154" t="n">
        <v>37666</v>
      </c>
      <c r="B4305" s="155" t="s">
        <v>1558</v>
      </c>
      <c r="C4305" s="148" t="str">
        <f aca="false">VLOOKUP($A4305,INSUMOS_AUX!$A$3:$H$813,3,0)</f>
        <v>M.O.</v>
      </c>
      <c r="D4305" s="156" t="s">
        <v>1444</v>
      </c>
      <c r="E4305" s="154" t="n">
        <v>0.085070711376</v>
      </c>
      <c r="F4305" s="149" t="n">
        <f aca="false">IF(C4305="MAT.",VLOOKUP(A4305,INSUMOS_AUX!$A$3:$H$813,6,0),0)</f>
        <v>0</v>
      </c>
      <c r="G4305" s="149" t="n">
        <f aca="false">IF(C4305="M.O.",VLOOKUP(A4305,INSUMOS_AUX!A:F,6,0),0)</f>
        <v>11.87</v>
      </c>
    </row>
    <row r="4306" customFormat="false" ht="15" hidden="false" customHeight="false" outlineLevel="0" collapsed="false">
      <c r="A4306" s="154" t="n">
        <v>4234</v>
      </c>
      <c r="B4306" s="155" t="s">
        <v>1475</v>
      </c>
      <c r="C4306" s="148" t="str">
        <f aca="false">VLOOKUP($A4306,INSUMOS_AUX!$A$3:$H$813,3,0)</f>
        <v>M.O.</v>
      </c>
      <c r="D4306" s="156" t="s">
        <v>1444</v>
      </c>
      <c r="E4306" s="154" t="n">
        <v>0.226787268</v>
      </c>
      <c r="F4306" s="149" t="n">
        <f aca="false">IF(C4306="MAT.",VLOOKUP(A4306,INSUMOS_AUX!$A$3:$H$813,6,0),0)</f>
        <v>0</v>
      </c>
      <c r="G4306" s="149" t="n">
        <f aca="false">IF(C4306="M.O.",VLOOKUP(A4306,INSUMOS_AUX!A:F,6,0),0)</f>
        <v>20.22</v>
      </c>
    </row>
    <row r="4307" customFormat="false" ht="21" hidden="false" customHeight="false" outlineLevel="0" collapsed="false">
      <c r="A4307" s="154" t="n">
        <v>4230</v>
      </c>
      <c r="B4307" s="155" t="s">
        <v>1597</v>
      </c>
      <c r="C4307" s="148" t="str">
        <f aca="false">VLOOKUP($A4307,INSUMOS_AUX!$A$3:$H$813,3,0)</f>
        <v>M.O.</v>
      </c>
      <c r="D4307" s="156" t="s">
        <v>1444</v>
      </c>
      <c r="E4307" s="154" t="n">
        <v>0.0506596630488</v>
      </c>
      <c r="F4307" s="149" t="n">
        <f aca="false">IF(C4307="MAT.",VLOOKUP(A4307,INSUMOS_AUX!$A$3:$H$813,6,0),0)</f>
        <v>0</v>
      </c>
      <c r="G4307" s="149" t="n">
        <f aca="false">IF(C4307="M.O.",VLOOKUP(A4307,INSUMOS_AUX!A:F,6,0),0)</f>
        <v>14.53</v>
      </c>
    </row>
    <row r="4308" customFormat="false" ht="15" hidden="false" customHeight="false" outlineLevel="0" collapsed="false">
      <c r="A4308" s="154" t="n">
        <v>4750</v>
      </c>
      <c r="B4308" s="155" t="s">
        <v>1463</v>
      </c>
      <c r="C4308" s="148" t="s">
        <v>59</v>
      </c>
      <c r="D4308" s="156" t="s">
        <v>1444</v>
      </c>
      <c r="E4308" s="154" t="n">
        <v>1.57594394</v>
      </c>
      <c r="F4308" s="149" t="n">
        <f aca="false">IF(C4308="MAT.",VLOOKUP(A4308,INSUMOS_AUX!$A$3:$H$813,6,0),0)</f>
        <v>0</v>
      </c>
      <c r="G4308" s="149" t="n">
        <f aca="false">IF(C4308="M.O.",VLOOKUP(A4308,INSUMOS_AUX!A:F,6,0),0)</f>
        <v>0</v>
      </c>
    </row>
    <row r="4309" customFormat="false" ht="15" hidden="false" customHeight="false" outlineLevel="0" collapsed="false">
      <c r="A4309" s="154" t="n">
        <v>6111</v>
      </c>
      <c r="B4309" s="155" t="s">
        <v>1464</v>
      </c>
      <c r="C4309" s="148" t="str">
        <f aca="false">VLOOKUP($A4309,INSUMOS_AUX!$A$3:$H$813,3,0)</f>
        <v>M.O.</v>
      </c>
      <c r="D4309" s="156" t="s">
        <v>1444</v>
      </c>
      <c r="E4309" s="154" t="n">
        <v>1.74306172</v>
      </c>
      <c r="F4309" s="149" t="n">
        <f aca="false">IF(C4309="MAT.",VLOOKUP(A4309,INSUMOS_AUX!$A$3:$H$813,6,0),0)</f>
        <v>0</v>
      </c>
      <c r="G4309" s="149" t="n">
        <f aca="false">IF(C4309="M.O.",VLOOKUP(A4309,INSUMOS_AUX!A:F,6,0),0)</f>
        <v>12.95</v>
      </c>
    </row>
    <row r="4310" customFormat="false" ht="31.5" hidden="false" customHeight="false" outlineLevel="0" collapsed="false">
      <c r="A4310" s="150" t="s">
        <v>766</v>
      </c>
      <c r="B4310" s="151" t="s">
        <v>2207</v>
      </c>
      <c r="C4310" s="152" t="s">
        <v>59</v>
      </c>
      <c r="D4310" s="152" t="s">
        <v>31</v>
      </c>
      <c r="E4310" s="150"/>
      <c r="F4310" s="153" t="n">
        <f aca="false">(SUMPRODUCT($E4311:$E4367,F4311:F4367))*1</f>
        <v>6310.11187847403</v>
      </c>
      <c r="G4310" s="153" t="n">
        <f aca="false">(SUMPRODUCT($E4311:$E4367,G4311:G4367))*1</f>
        <v>364.36221635433</v>
      </c>
    </row>
    <row r="4311" customFormat="false" ht="21" hidden="false" customHeight="false" outlineLevel="0" collapsed="false">
      <c r="A4311" s="154" t="n">
        <v>37370</v>
      </c>
      <c r="B4311" s="155" t="s">
        <v>1443</v>
      </c>
      <c r="C4311" s="148" t="str">
        <f aca="false">VLOOKUP($A4311,INSUMOS_AUX!$A$3:$H$813,3,0)</f>
        <v>MAT.</v>
      </c>
      <c r="D4311" s="156" t="s">
        <v>1444</v>
      </c>
      <c r="E4311" s="154" t="n">
        <v>21.114541438062</v>
      </c>
      <c r="F4311" s="149" t="n">
        <f aca="false">IF(C4311="MAT.",VLOOKUP(A4311,INSUMOS_AUX!$A$3:$H$813,6,0),0)</f>
        <v>3.32</v>
      </c>
      <c r="G4311" s="149" t="n">
        <f aca="false">IF(C4311="M.O.",VLOOKUP(A4311,INSUMOS_AUX!A:F,6,0),0)</f>
        <v>0</v>
      </c>
    </row>
    <row r="4312" customFormat="false" ht="21" hidden="false" customHeight="false" outlineLevel="0" collapsed="false">
      <c r="A4312" s="154" t="n">
        <v>43483</v>
      </c>
      <c r="B4312" s="155" t="s">
        <v>1486</v>
      </c>
      <c r="C4312" s="148" t="str">
        <f aca="false">VLOOKUP($A4312,INSUMOS_AUX!$A$3:$H$813,3,0)</f>
        <v>MAT.</v>
      </c>
      <c r="D4312" s="156" t="s">
        <v>1444</v>
      </c>
      <c r="E4312" s="154" t="n">
        <v>1.62432487</v>
      </c>
      <c r="F4312" s="149" t="n">
        <f aca="false">IF(C4312="MAT.",VLOOKUP(A4312,INSUMOS_AUX!$A$3:$H$813,6,0),0)</f>
        <v>1.43</v>
      </c>
      <c r="G4312" s="149" t="n">
        <f aca="false">IF(C4312="M.O.",VLOOKUP(A4312,INSUMOS_AUX!A:F,6,0),0)</f>
        <v>0</v>
      </c>
    </row>
    <row r="4313" customFormat="false" ht="21" hidden="false" customHeight="false" outlineLevel="0" collapsed="false">
      <c r="A4313" s="154" t="n">
        <v>43488</v>
      </c>
      <c r="B4313" s="155" t="s">
        <v>1445</v>
      </c>
      <c r="C4313" s="148" t="str">
        <f aca="false">VLOOKUP($A4313,INSUMOS_AUX!$A$3:$H$813,3,0)</f>
        <v>MAT.</v>
      </c>
      <c r="D4313" s="156" t="s">
        <v>1444</v>
      </c>
      <c r="E4313" s="154" t="n">
        <v>2.400574864</v>
      </c>
      <c r="F4313" s="149" t="n">
        <f aca="false">IF(C4313="MAT.",VLOOKUP(A4313,INSUMOS_AUX!$A$3:$H$813,6,0),0)</f>
        <v>0.89</v>
      </c>
      <c r="G4313" s="149" t="n">
        <f aca="false">IF(C4313="M.O.",VLOOKUP(A4313,INSUMOS_AUX!A:F,6,0),0)</f>
        <v>0</v>
      </c>
    </row>
    <row r="4314" customFormat="false" ht="21" hidden="false" customHeight="false" outlineLevel="0" collapsed="false">
      <c r="A4314" s="154" t="n">
        <v>43489</v>
      </c>
      <c r="B4314" s="155" t="s">
        <v>1456</v>
      </c>
      <c r="C4314" s="148" t="str">
        <f aca="false">VLOOKUP($A4314,INSUMOS_AUX!$A$3:$H$813,3,0)</f>
        <v>MAT.</v>
      </c>
      <c r="D4314" s="156" t="s">
        <v>1444</v>
      </c>
      <c r="E4314" s="154" t="n">
        <v>11.49580549</v>
      </c>
      <c r="F4314" s="149" t="n">
        <f aca="false">IF(C4314="MAT.",VLOOKUP(A4314,INSUMOS_AUX!$A$3:$H$813,6,0),0)</f>
        <v>1.31</v>
      </c>
      <c r="G4314" s="149" t="n">
        <f aca="false">IF(C4314="M.O.",VLOOKUP(A4314,INSUMOS_AUX!A:F,6,0),0)</f>
        <v>0</v>
      </c>
    </row>
    <row r="4315" customFormat="false" ht="21" hidden="false" customHeight="false" outlineLevel="0" collapsed="false">
      <c r="A4315" s="154" t="n">
        <v>43491</v>
      </c>
      <c r="B4315" s="155" t="s">
        <v>1457</v>
      </c>
      <c r="C4315" s="148" t="str">
        <f aca="false">VLOOKUP($A4315,INSUMOS_AUX!$A$3:$H$813,3,0)</f>
        <v>MAT.</v>
      </c>
      <c r="D4315" s="156" t="s">
        <v>1444</v>
      </c>
      <c r="E4315" s="154" t="n">
        <v>5.5938362</v>
      </c>
      <c r="F4315" s="149" t="n">
        <f aca="false">IF(C4315="MAT.",VLOOKUP(A4315,INSUMOS_AUX!$A$3:$H$813,6,0),0)</f>
        <v>1.39</v>
      </c>
      <c r="G4315" s="149" t="n">
        <f aca="false">IF(C4315="M.O.",VLOOKUP(A4315,INSUMOS_AUX!A:F,6,0),0)</f>
        <v>0</v>
      </c>
    </row>
    <row r="4316" customFormat="false" ht="21" hidden="false" customHeight="false" outlineLevel="0" collapsed="false">
      <c r="A4316" s="154" t="n">
        <v>37372</v>
      </c>
      <c r="B4316" s="155" t="s">
        <v>1446</v>
      </c>
      <c r="C4316" s="148" t="str">
        <f aca="false">VLOOKUP($A4316,INSUMOS_AUX!$A$3:$H$813,3,0)</f>
        <v>MAT.</v>
      </c>
      <c r="D4316" s="156" t="s">
        <v>1444</v>
      </c>
      <c r="E4316" s="154" t="n">
        <v>21.114541438062</v>
      </c>
      <c r="F4316" s="149" t="n">
        <f aca="false">IF(C4316="MAT.",VLOOKUP(A4316,INSUMOS_AUX!$A$3:$H$813,6,0),0)</f>
        <v>1.43</v>
      </c>
      <c r="G4316" s="149" t="n">
        <f aca="false">IF(C4316="M.O.",VLOOKUP(A4316,INSUMOS_AUX!A:F,6,0),0)</f>
        <v>0</v>
      </c>
    </row>
    <row r="4317" customFormat="false" ht="21" hidden="false" customHeight="false" outlineLevel="0" collapsed="false">
      <c r="A4317" s="154" t="n">
        <v>43459</v>
      </c>
      <c r="B4317" s="155" t="s">
        <v>1487</v>
      </c>
      <c r="C4317" s="148" t="str">
        <f aca="false">VLOOKUP($A4317,INSUMOS_AUX!$A$3:$H$813,3,0)</f>
        <v>MAT.</v>
      </c>
      <c r="D4317" s="156" t="s">
        <v>1444</v>
      </c>
      <c r="E4317" s="154" t="n">
        <v>1.62432487</v>
      </c>
      <c r="F4317" s="149" t="n">
        <f aca="false">IF(C4317="MAT.",VLOOKUP(A4317,INSUMOS_AUX!$A$3:$H$813,6,0),0)</f>
        <v>0.44</v>
      </c>
      <c r="G4317" s="149" t="n">
        <f aca="false">IF(C4317="M.O.",VLOOKUP(A4317,INSUMOS_AUX!A:F,6,0),0)</f>
        <v>0</v>
      </c>
    </row>
    <row r="4318" customFormat="false" ht="21" hidden="false" customHeight="false" outlineLevel="0" collapsed="false">
      <c r="A4318" s="154" t="n">
        <v>43464</v>
      </c>
      <c r="B4318" s="155" t="s">
        <v>1447</v>
      </c>
      <c r="C4318" s="148" t="str">
        <f aca="false">VLOOKUP($A4318,INSUMOS_AUX!$A$3:$H$813,3,0)</f>
        <v>MAT.</v>
      </c>
      <c r="D4318" s="156" t="s">
        <v>1444</v>
      </c>
      <c r="E4318" s="154" t="n">
        <v>2.400574864</v>
      </c>
      <c r="F4318" s="149" t="n">
        <f aca="false">IF(C4318="MAT.",VLOOKUP(A4318,INSUMOS_AUX!$A$3:$H$813,6,0),0)</f>
        <v>0.01</v>
      </c>
      <c r="G4318" s="149" t="n">
        <f aca="false">IF(C4318="M.O.",VLOOKUP(A4318,INSUMOS_AUX!A:F,6,0),0)</f>
        <v>0</v>
      </c>
    </row>
    <row r="4319" customFormat="false" ht="21" hidden="false" customHeight="false" outlineLevel="0" collapsed="false">
      <c r="A4319" s="154" t="n">
        <v>43465</v>
      </c>
      <c r="B4319" s="155" t="s">
        <v>1458</v>
      </c>
      <c r="C4319" s="148" t="str">
        <f aca="false">VLOOKUP($A4319,INSUMOS_AUX!$A$3:$H$813,3,0)</f>
        <v>MAT.</v>
      </c>
      <c r="D4319" s="156" t="s">
        <v>1444</v>
      </c>
      <c r="E4319" s="154" t="n">
        <v>11.49580549</v>
      </c>
      <c r="F4319" s="149" t="n">
        <f aca="false">IF(C4319="MAT.",VLOOKUP(A4319,INSUMOS_AUX!$A$3:$H$813,6,0),0)</f>
        <v>0.78</v>
      </c>
      <c r="G4319" s="149" t="n">
        <f aca="false">IF(C4319="M.O.",VLOOKUP(A4319,INSUMOS_AUX!A:F,6,0),0)</f>
        <v>0</v>
      </c>
    </row>
    <row r="4320" customFormat="false" ht="21" hidden="false" customHeight="false" outlineLevel="0" collapsed="false">
      <c r="A4320" s="154" t="n">
        <v>43467</v>
      </c>
      <c r="B4320" s="155" t="s">
        <v>1459</v>
      </c>
      <c r="C4320" s="148" t="str">
        <f aca="false">VLOOKUP($A4320,INSUMOS_AUX!$A$3:$H$813,3,0)</f>
        <v>MAT.</v>
      </c>
      <c r="D4320" s="156" t="s">
        <v>1444</v>
      </c>
      <c r="E4320" s="154" t="n">
        <v>5.5938362</v>
      </c>
      <c r="F4320" s="149" t="n">
        <f aca="false">IF(C4320="MAT.",VLOOKUP(A4320,INSUMOS_AUX!$A$3:$H$813,6,0),0)</f>
        <v>0.61</v>
      </c>
      <c r="G4320" s="149" t="n">
        <f aca="false">IF(C4320="M.O.",VLOOKUP(A4320,INSUMOS_AUX!A:F,6,0),0)</f>
        <v>0</v>
      </c>
    </row>
    <row r="4321" customFormat="false" ht="21" hidden="false" customHeight="false" outlineLevel="0" collapsed="false">
      <c r="A4321" s="154" t="n">
        <v>37373</v>
      </c>
      <c r="B4321" s="155" t="s">
        <v>1448</v>
      </c>
      <c r="C4321" s="148" t="s">
        <v>59</v>
      </c>
      <c r="D4321" s="156" t="s">
        <v>1444</v>
      </c>
      <c r="E4321" s="154" t="n">
        <v>21.114541438062</v>
      </c>
      <c r="F4321" s="149" t="n">
        <f aca="false">IF(C4321="MAT.",VLOOKUP(A4321,INSUMOS_AUX!$A$3:$H$813,6,0),0)</f>
        <v>0</v>
      </c>
      <c r="G4321" s="149" t="n">
        <f aca="false">IF(C4321="M.O.",VLOOKUP(A4321,INSUMOS_AUX!A:F,6,0),0)</f>
        <v>0</v>
      </c>
    </row>
    <row r="4322" customFormat="false" ht="21" hidden="false" customHeight="false" outlineLevel="0" collapsed="false">
      <c r="A4322" s="154" t="n">
        <v>37371</v>
      </c>
      <c r="B4322" s="155" t="s">
        <v>1449</v>
      </c>
      <c r="C4322" s="148" t="str">
        <f aca="false">VLOOKUP($A4322,INSUMOS_AUX!$A$3:$H$813,3,0)</f>
        <v>MAT.</v>
      </c>
      <c r="D4322" s="156" t="s">
        <v>1444</v>
      </c>
      <c r="E4322" s="154" t="n">
        <v>21.114541438062</v>
      </c>
      <c r="F4322" s="149" t="n">
        <f aca="false">IF(C4322="MAT.",VLOOKUP(A4322,INSUMOS_AUX!$A$3:$H$813,6,0),0)</f>
        <v>0.59</v>
      </c>
      <c r="G4322" s="149" t="n">
        <f aca="false">IF(C4322="M.O.",VLOOKUP(A4322,INSUMOS_AUX!A:F,6,0),0)</f>
        <v>0</v>
      </c>
    </row>
    <row r="4323" customFormat="false" ht="31.5" hidden="false" customHeight="false" outlineLevel="0" collapsed="false">
      <c r="A4323" s="154" t="n">
        <v>10535</v>
      </c>
      <c r="B4323" s="155" t="s">
        <v>1525</v>
      </c>
      <c r="C4323" s="148" t="str">
        <f aca="false">VLOOKUP($A4323,INSUMOS_AUX!$A$3:$H$813,3,0)</f>
        <v>MAT.</v>
      </c>
      <c r="D4323" s="156" t="s">
        <v>31</v>
      </c>
      <c r="E4323" s="154" t="n">
        <v>5.20344E-006</v>
      </c>
      <c r="F4323" s="149" t="n">
        <f aca="false">IF(C4323="MAT.",VLOOKUP(A4323,INSUMOS_AUX!$A$3:$H$813,6,0),0)</f>
        <v>4699</v>
      </c>
      <c r="G4323" s="149" t="n">
        <f aca="false">IF(C4323="M.O.",VLOOKUP(A4323,INSUMOS_AUX!A:F,6,0),0)</f>
        <v>0</v>
      </c>
    </row>
    <row r="4324" customFormat="false" ht="31.5" hidden="false" customHeight="false" outlineLevel="0" collapsed="false">
      <c r="A4324" s="154" t="n">
        <v>36397</v>
      </c>
      <c r="B4324" s="155" t="s">
        <v>1888</v>
      </c>
      <c r="C4324" s="148" t="str">
        <f aca="false">VLOOKUP($A4324,INSUMOS_AUX!$A$3:$H$813,3,0)</f>
        <v>MAT.</v>
      </c>
      <c r="D4324" s="156" t="s">
        <v>31</v>
      </c>
      <c r="E4324" s="154" t="n">
        <v>3.99211100358E-005</v>
      </c>
      <c r="F4324" s="149" t="n">
        <f aca="false">IF(C4324="MAT.",VLOOKUP(A4324,INSUMOS_AUX!$A$3:$H$813,6,0),0)</f>
        <v>19114.57</v>
      </c>
      <c r="G4324" s="149" t="n">
        <f aca="false">IF(C4324="M.O.",VLOOKUP(A4324,INSUMOS_AUX!A:F,6,0),0)</f>
        <v>0</v>
      </c>
    </row>
    <row r="4325" customFormat="false" ht="21" hidden="false" customHeight="false" outlineLevel="0" collapsed="false">
      <c r="A4325" s="154" t="n">
        <v>13458</v>
      </c>
      <c r="B4325" s="155" t="s">
        <v>1723</v>
      </c>
      <c r="C4325" s="148" t="str">
        <f aca="false">VLOOKUP($A4325,INSUMOS_AUX!$A$3:$H$813,3,0)</f>
        <v>MAT.</v>
      </c>
      <c r="D4325" s="156" t="s">
        <v>31</v>
      </c>
      <c r="E4325" s="154" t="n">
        <v>2.391460591E-006</v>
      </c>
      <c r="F4325" s="149" t="n">
        <f aca="false">IF(C4325="MAT.",VLOOKUP(A4325,INSUMOS_AUX!$A$3:$H$813,6,0),0)</f>
        <v>15839.74</v>
      </c>
      <c r="G4325" s="149" t="n">
        <f aca="false">IF(C4325="M.O.",VLOOKUP(A4325,INSUMOS_AUX!A:F,6,0),0)</f>
        <v>0</v>
      </c>
    </row>
    <row r="4326" customFormat="false" ht="52.5" hidden="false" customHeight="false" outlineLevel="0" collapsed="false">
      <c r="A4326" s="154" t="n">
        <v>36531</v>
      </c>
      <c r="B4326" s="155" t="s">
        <v>1493</v>
      </c>
      <c r="C4326" s="148" t="str">
        <f aca="false">VLOOKUP($A4326,INSUMOS_AUX!$A$3:$H$813,3,0)</f>
        <v>MAT.</v>
      </c>
      <c r="D4326" s="156" t="s">
        <v>31</v>
      </c>
      <c r="E4326" s="154" t="n">
        <v>0.000157887067824</v>
      </c>
      <c r="F4326" s="149" t="n">
        <f aca="false">IF(C4326="MAT.",VLOOKUP(A4326,INSUMOS_AUX!$A$3:$H$813,6,0),0)</f>
        <v>466463.38</v>
      </c>
      <c r="G4326" s="149" t="n">
        <f aca="false">IF(C4326="M.O.",VLOOKUP(A4326,INSUMOS_AUX!A:F,6,0),0)</f>
        <v>0</v>
      </c>
    </row>
    <row r="4327" customFormat="false" ht="21" hidden="false" customHeight="false" outlineLevel="0" collapsed="false">
      <c r="A4327" s="154" t="n">
        <v>14618</v>
      </c>
      <c r="B4327" s="155" t="s">
        <v>1592</v>
      </c>
      <c r="C4327" s="148" t="str">
        <f aca="false">VLOOKUP($A4327,INSUMOS_AUX!$A$3:$H$813,3,0)</f>
        <v>MAT.</v>
      </c>
      <c r="D4327" s="156" t="s">
        <v>31</v>
      </c>
      <c r="E4327" s="154" t="n">
        <v>2.7349832216E-005</v>
      </c>
      <c r="F4327" s="149" t="n">
        <f aca="false">IF(C4327="MAT.",VLOOKUP(A4327,INSUMOS_AUX!$A$3:$H$813,6,0),0)</f>
        <v>1283.38</v>
      </c>
      <c r="G4327" s="149" t="n">
        <f aca="false">IF(C4327="M.O.",VLOOKUP(A4327,INSUMOS_AUX!A:F,6,0),0)</f>
        <v>0</v>
      </c>
    </row>
    <row r="4328" customFormat="false" ht="21" hidden="false" customHeight="false" outlineLevel="0" collapsed="false">
      <c r="A4328" s="154" t="n">
        <v>13896</v>
      </c>
      <c r="B4328" s="155" t="s">
        <v>1564</v>
      </c>
      <c r="C4328" s="148" t="str">
        <f aca="false">VLOOKUP($A4328,INSUMOS_AUX!$A$3:$H$813,3,0)</f>
        <v>MAT.</v>
      </c>
      <c r="D4328" s="156" t="s">
        <v>31</v>
      </c>
      <c r="E4328" s="154" t="n">
        <v>0.000237636247968</v>
      </c>
      <c r="F4328" s="149" t="n">
        <f aca="false">IF(C4328="MAT.",VLOOKUP(A4328,INSUMOS_AUX!$A$3:$H$813,6,0),0)</f>
        <v>3390.99</v>
      </c>
      <c r="G4328" s="149" t="n">
        <f aca="false">IF(C4328="M.O.",VLOOKUP(A4328,INSUMOS_AUX!A:F,6,0),0)</f>
        <v>0</v>
      </c>
    </row>
    <row r="4329" customFormat="false" ht="15" hidden="false" customHeight="false" outlineLevel="0" collapsed="false">
      <c r="A4329" s="154" t="n">
        <v>2705</v>
      </c>
      <c r="B4329" s="155" t="s">
        <v>1467</v>
      </c>
      <c r="C4329" s="148" t="str">
        <f aca="false">VLOOKUP($A4329,INSUMOS_AUX!$A$3:$H$813,3,0)</f>
        <v>MAT.</v>
      </c>
      <c r="D4329" s="156" t="s">
        <v>1468</v>
      </c>
      <c r="E4329" s="154" t="n">
        <v>0.74776107025</v>
      </c>
      <c r="F4329" s="149" t="n">
        <f aca="false">IF(C4329="MAT.",VLOOKUP(A4329,INSUMOS_AUX!$A$3:$H$813,6,0),0)</f>
        <v>0.92</v>
      </c>
      <c r="G4329" s="149" t="n">
        <f aca="false">IF(C4329="M.O.",VLOOKUP(A4329,INSUMOS_AUX!A:F,6,0),0)</f>
        <v>0</v>
      </c>
    </row>
    <row r="4330" customFormat="false" ht="15" hidden="false" customHeight="false" outlineLevel="0" collapsed="false">
      <c r="A4330" s="154" t="n">
        <v>43059</v>
      </c>
      <c r="B4330" s="155" t="s">
        <v>1630</v>
      </c>
      <c r="C4330" s="148" t="str">
        <f aca="false">VLOOKUP($A4330,INSUMOS_AUX!$A$3:$H$813,3,0)</f>
        <v>MAT.</v>
      </c>
      <c r="D4330" s="156" t="s">
        <v>1513</v>
      </c>
      <c r="E4330" s="154" t="n">
        <v>8.2977606978</v>
      </c>
      <c r="F4330" s="149" t="n">
        <f aca="false">IF(C4330="MAT.",VLOOKUP(A4330,INSUMOS_AUX!$A$3:$H$813,6,0),0)</f>
        <v>7.26</v>
      </c>
      <c r="G4330" s="149" t="n">
        <f aca="false">IF(C4330="M.O.",VLOOKUP(A4330,INSUMOS_AUX!A:F,6,0),0)</f>
        <v>0</v>
      </c>
    </row>
    <row r="4331" customFormat="false" ht="21" hidden="false" customHeight="false" outlineLevel="0" collapsed="false">
      <c r="A4331" s="154" t="n">
        <v>123</v>
      </c>
      <c r="B4331" s="155" t="s">
        <v>2208</v>
      </c>
      <c r="C4331" s="148" t="str">
        <f aca="false">VLOOKUP($A4331,INSUMOS_AUX!$A$3:$H$813,3,0)</f>
        <v>MAT.</v>
      </c>
      <c r="D4331" s="156" t="s">
        <v>1452</v>
      </c>
      <c r="E4331" s="154" t="n">
        <v>0.283824</v>
      </c>
      <c r="F4331" s="149" t="n">
        <f aca="false">IF(C4331="MAT.",VLOOKUP(A4331,INSUMOS_AUX!$A$3:$H$813,6,0),0)</f>
        <v>6.79</v>
      </c>
      <c r="G4331" s="149" t="n">
        <f aca="false">IF(C4331="M.O.",VLOOKUP(A4331,INSUMOS_AUX!A:F,6,0),0)</f>
        <v>0</v>
      </c>
    </row>
    <row r="4332" customFormat="false" ht="31.5" hidden="false" customHeight="false" outlineLevel="0" collapsed="false">
      <c r="A4332" s="154" t="n">
        <v>43446</v>
      </c>
      <c r="B4332" s="155" t="s">
        <v>2209</v>
      </c>
      <c r="C4332" s="148" t="str">
        <f aca="false">VLOOKUP($A4332,INSUMOS_AUX!$A$3:$H$813,3,0)</f>
        <v>MAT.</v>
      </c>
      <c r="D4332" s="156" t="s">
        <v>31</v>
      </c>
      <c r="E4332" s="154" t="n">
        <v>5</v>
      </c>
      <c r="F4332" s="149" t="n">
        <f aca="false">IF(C4332="MAT.",VLOOKUP(A4332,INSUMOS_AUX!$A$3:$H$813,6,0),0)</f>
        <v>584.36</v>
      </c>
      <c r="G4332" s="149" t="n">
        <f aca="false">IF(C4332="M.O.",VLOOKUP(A4332,INSUMOS_AUX!A:F,6,0),0)</f>
        <v>0</v>
      </c>
    </row>
    <row r="4333" customFormat="false" ht="21" hidden="false" customHeight="false" outlineLevel="0" collapsed="false">
      <c r="A4333" s="154" t="n">
        <v>43132</v>
      </c>
      <c r="B4333" s="155" t="s">
        <v>1565</v>
      </c>
      <c r="C4333" s="148" t="str">
        <f aca="false">VLOOKUP($A4333,INSUMOS_AUX!$A$3:$H$813,3,0)</f>
        <v>MAT.</v>
      </c>
      <c r="D4333" s="156" t="s">
        <v>1513</v>
      </c>
      <c r="E4333" s="154" t="n">
        <v>0.1938729135</v>
      </c>
      <c r="F4333" s="149" t="n">
        <f aca="false">IF(C4333="MAT.",VLOOKUP(A4333,INSUMOS_AUX!$A$3:$H$813,6,0),0)</f>
        <v>28</v>
      </c>
      <c r="G4333" s="149" t="n">
        <f aca="false">IF(C4333="M.O.",VLOOKUP(A4333,INSUMOS_AUX!A:F,6,0),0)</f>
        <v>0</v>
      </c>
    </row>
    <row r="4334" customFormat="false" ht="21" hidden="false" customHeight="false" outlineLevel="0" collapsed="false">
      <c r="A4334" s="154" t="n">
        <v>370</v>
      </c>
      <c r="B4334" s="155" t="s">
        <v>1527</v>
      </c>
      <c r="C4334" s="148" t="s">
        <v>59</v>
      </c>
      <c r="D4334" s="156" t="s">
        <v>1442</v>
      </c>
      <c r="E4334" s="154" t="n">
        <v>0.21554625</v>
      </c>
      <c r="F4334" s="149" t="n">
        <f aca="false">IF(C4334="MAT.",VLOOKUP(A4334,INSUMOS_AUX!$A$3:$H$813,6,0),0)</f>
        <v>0</v>
      </c>
      <c r="G4334" s="149" t="n">
        <f aca="false">IF(C4334="M.O.",VLOOKUP(A4334,INSUMOS_AUX!A:F,6,0),0)</f>
        <v>0</v>
      </c>
    </row>
    <row r="4335" customFormat="false" ht="31.5" hidden="false" customHeight="false" outlineLevel="0" collapsed="false">
      <c r="A4335" s="154" t="n">
        <v>1358</v>
      </c>
      <c r="B4335" s="155" t="s">
        <v>1641</v>
      </c>
      <c r="C4335" s="148" t="str">
        <f aca="false">VLOOKUP($A4335,INSUMOS_AUX!$A$3:$H$813,3,0)</f>
        <v>MAT.</v>
      </c>
      <c r="D4335" s="156" t="s">
        <v>1477</v>
      </c>
      <c r="E4335" s="154" t="n">
        <v>1.60448022</v>
      </c>
      <c r="F4335" s="149" t="n">
        <f aca="false">IF(C4335="MAT.",VLOOKUP(A4335,INSUMOS_AUX!$A$3:$H$813,6,0),0)</f>
        <v>57.71</v>
      </c>
      <c r="G4335" s="149" t="n">
        <f aca="false">IF(C4335="M.O.",VLOOKUP(A4335,INSUMOS_AUX!A:F,6,0),0)</f>
        <v>0</v>
      </c>
    </row>
    <row r="4336" customFormat="false" ht="31.5" hidden="false" customHeight="false" outlineLevel="0" collapsed="false">
      <c r="A4336" s="154" t="n">
        <v>43677</v>
      </c>
      <c r="B4336" s="155" t="s">
        <v>2210</v>
      </c>
      <c r="C4336" s="148" t="str">
        <f aca="false">VLOOKUP($A4336,INSUMOS_AUX!$A$3:$H$813,3,0)</f>
        <v>MAT.</v>
      </c>
      <c r="D4336" s="156" t="s">
        <v>1477</v>
      </c>
      <c r="E4336" s="154" t="n">
        <v>0.20099156</v>
      </c>
      <c r="F4336" s="149" t="n">
        <f aca="false">IF(C4336="MAT.",VLOOKUP(A4336,INSUMOS_AUX!$A$3:$H$813,6,0),0)</f>
        <v>71.6</v>
      </c>
      <c r="G4336" s="149" t="n">
        <f aca="false">IF(C4336="M.O.",VLOOKUP(A4336,INSUMOS_AUX!A:F,6,0),0)</f>
        <v>0</v>
      </c>
    </row>
    <row r="4337" customFormat="false" ht="31.5" hidden="false" customHeight="false" outlineLevel="0" collapsed="false">
      <c r="A4337" s="154" t="n">
        <v>43682</v>
      </c>
      <c r="B4337" s="155" t="s">
        <v>2211</v>
      </c>
      <c r="C4337" s="148" t="str">
        <f aca="false">VLOOKUP($A4337,INSUMOS_AUX!$A$3:$H$813,3,0)</f>
        <v>MAT.</v>
      </c>
      <c r="D4337" s="156" t="s">
        <v>1477</v>
      </c>
      <c r="E4337" s="154" t="n">
        <v>0.08502893</v>
      </c>
      <c r="F4337" s="149" t="n">
        <f aca="false">IF(C4337="MAT.",VLOOKUP(A4337,INSUMOS_AUX!$A$3:$H$813,6,0),0)</f>
        <v>21.95</v>
      </c>
      <c r="G4337" s="149" t="n">
        <f aca="false">IF(C4337="M.O.",VLOOKUP(A4337,INSUMOS_AUX!A:F,6,0),0)</f>
        <v>0</v>
      </c>
    </row>
    <row r="4338" customFormat="false" ht="15" hidden="false" customHeight="false" outlineLevel="0" collapsed="false">
      <c r="A4338" s="154" t="n">
        <v>1379</v>
      </c>
      <c r="B4338" s="155" t="s">
        <v>1535</v>
      </c>
      <c r="C4338" s="148" t="str">
        <f aca="false">VLOOKUP($A4338,INSUMOS_AUX!$A$3:$H$813,3,0)</f>
        <v>MAT.</v>
      </c>
      <c r="D4338" s="156" t="s">
        <v>1513</v>
      </c>
      <c r="E4338" s="154" t="n">
        <v>116.22436275</v>
      </c>
      <c r="F4338" s="149" t="n">
        <f aca="false">IF(C4338="MAT.",VLOOKUP(A4338,INSUMOS_AUX!$A$3:$H$813,6,0),0)</f>
        <v>0.72</v>
      </c>
      <c r="G4338" s="149" t="n">
        <f aca="false">IF(C4338="M.O.",VLOOKUP(A4338,INSUMOS_AUX!A:F,6,0),0)</f>
        <v>0</v>
      </c>
    </row>
    <row r="4339" customFormat="false" ht="21" hidden="false" customHeight="false" outlineLevel="0" collapsed="false">
      <c r="A4339" s="154" t="n">
        <v>2692</v>
      </c>
      <c r="B4339" s="155" t="s">
        <v>1570</v>
      </c>
      <c r="C4339" s="148" t="str">
        <f aca="false">VLOOKUP($A4339,INSUMOS_AUX!$A$3:$H$813,3,0)</f>
        <v>MAT.</v>
      </c>
      <c r="D4339" s="156" t="s">
        <v>1452</v>
      </c>
      <c r="E4339" s="154" t="n">
        <v>0.00933268</v>
      </c>
      <c r="F4339" s="149" t="n">
        <f aca="false">IF(C4339="MAT.",VLOOKUP(A4339,INSUMOS_AUX!$A$3:$H$813,6,0),0)</f>
        <v>6.52</v>
      </c>
      <c r="G4339" s="149" t="n">
        <f aca="false">IF(C4339="M.O.",VLOOKUP(A4339,INSUMOS_AUX!A:F,6,0),0)</f>
        <v>0</v>
      </c>
    </row>
    <row r="4340" customFormat="false" ht="21" hidden="false" customHeight="false" outlineLevel="0" collapsed="false">
      <c r="A4340" s="154" t="n">
        <v>39017</v>
      </c>
      <c r="B4340" s="155" t="s">
        <v>1621</v>
      </c>
      <c r="C4340" s="148" t="str">
        <f aca="false">VLOOKUP($A4340,INSUMOS_AUX!$A$3:$H$813,3,0)</f>
        <v>MAT.</v>
      </c>
      <c r="D4340" s="156" t="s">
        <v>31</v>
      </c>
      <c r="E4340" s="154" t="n">
        <v>16.42491323172</v>
      </c>
      <c r="F4340" s="149" t="n">
        <f aca="false">IF(C4340="MAT.",VLOOKUP(A4340,INSUMOS_AUX!$A$3:$H$813,6,0),0)</f>
        <v>0.22</v>
      </c>
      <c r="G4340" s="149" t="n">
        <f aca="false">IF(C4340="M.O.",VLOOKUP(A4340,INSUMOS_AUX!A:F,6,0),0)</f>
        <v>0</v>
      </c>
    </row>
    <row r="4341" customFormat="false" ht="31.5" hidden="false" customHeight="false" outlineLevel="0" collapsed="false">
      <c r="A4341" s="154" t="n">
        <v>39014</v>
      </c>
      <c r="B4341" s="155" t="s">
        <v>2212</v>
      </c>
      <c r="C4341" s="148" t="str">
        <f aca="false">VLOOKUP($A4341,INSUMOS_AUX!$A$3:$H$813,3,0)</f>
        <v>MAT.</v>
      </c>
      <c r="D4341" s="156" t="s">
        <v>1513</v>
      </c>
      <c r="E4341" s="154" t="n">
        <v>0.0924</v>
      </c>
      <c r="F4341" s="149" t="n">
        <f aca="false">IF(C4341="MAT.",VLOOKUP(A4341,INSUMOS_AUX!$A$3:$H$813,6,0),0)</f>
        <v>9.57</v>
      </c>
      <c r="G4341" s="149" t="n">
        <f aca="false">IF(C4341="M.O.",VLOOKUP(A4341,INSUMOS_AUX!A:F,6,0),0)</f>
        <v>0</v>
      </c>
    </row>
    <row r="4342" customFormat="false" ht="15" hidden="false" customHeight="false" outlineLevel="0" collapsed="false">
      <c r="A4342" s="154" t="n">
        <v>4222</v>
      </c>
      <c r="B4342" s="155" t="s">
        <v>1572</v>
      </c>
      <c r="C4342" s="148" t="str">
        <f aca="false">VLOOKUP($A4342,INSUMOS_AUX!$A$3:$H$813,3,0)</f>
        <v>MAT.</v>
      </c>
      <c r="D4342" s="156" t="s">
        <v>1452</v>
      </c>
      <c r="E4342" s="154" t="n">
        <v>0.0124962175</v>
      </c>
      <c r="F4342" s="149" t="n">
        <f aca="false">IF(C4342="MAT.",VLOOKUP(A4342,INSUMOS_AUX!$A$3:$H$813,6,0),0)</f>
        <v>6.4</v>
      </c>
      <c r="G4342" s="149" t="n">
        <f aca="false">IF(C4342="M.O.",VLOOKUP(A4342,INSUMOS_AUX!A:F,6,0),0)</f>
        <v>0</v>
      </c>
    </row>
    <row r="4343" customFormat="false" ht="21" hidden="false" customHeight="false" outlineLevel="0" collapsed="false">
      <c r="A4343" s="154" t="n">
        <v>4011</v>
      </c>
      <c r="B4343" s="155" t="s">
        <v>2213</v>
      </c>
      <c r="C4343" s="148" t="str">
        <f aca="false">VLOOKUP($A4343,INSUMOS_AUX!$A$3:$H$813,3,0)</f>
        <v>MAT.</v>
      </c>
      <c r="D4343" s="156" t="s">
        <v>1477</v>
      </c>
      <c r="E4343" s="154" t="n">
        <v>12.96</v>
      </c>
      <c r="F4343" s="149" t="n">
        <f aca="false">IF(C4343="MAT.",VLOOKUP(A4343,INSUMOS_AUX!$A$3:$H$813,6,0),0)</f>
        <v>6.4</v>
      </c>
      <c r="G4343" s="149" t="n">
        <f aca="false">IF(C4343="M.O.",VLOOKUP(A4343,INSUMOS_AUX!A:F,6,0),0)</f>
        <v>0</v>
      </c>
    </row>
    <row r="4344" customFormat="false" ht="15" hidden="false" customHeight="false" outlineLevel="0" collapsed="false">
      <c r="A4344" s="154" t="n">
        <v>43148</v>
      </c>
      <c r="B4344" s="155" t="s">
        <v>1912</v>
      </c>
      <c r="C4344" s="148" t="str">
        <f aca="false">VLOOKUP($A4344,INSUMOS_AUX!$A$3:$H$813,3,0)</f>
        <v>MAT.</v>
      </c>
      <c r="D4344" s="156" t="s">
        <v>1513</v>
      </c>
      <c r="E4344" s="154" t="n">
        <v>25.92</v>
      </c>
      <c r="F4344" s="149" t="n">
        <f aca="false">IF(C4344="MAT.",VLOOKUP(A4344,INSUMOS_AUX!$A$3:$H$813,6,0),0)</f>
        <v>56.48</v>
      </c>
      <c r="G4344" s="149" t="n">
        <f aca="false">IF(C4344="M.O.",VLOOKUP(A4344,INSUMOS_AUX!A:F,6,0),0)</f>
        <v>0</v>
      </c>
    </row>
    <row r="4345" customFormat="false" ht="15" hidden="false" customHeight="false" outlineLevel="0" collapsed="false">
      <c r="A4345" s="154" t="n">
        <v>4221</v>
      </c>
      <c r="B4345" s="155" t="s">
        <v>1451</v>
      </c>
      <c r="C4345" s="148" t="str">
        <f aca="false">VLOOKUP($A4345,INSUMOS_AUX!$A$3:$H$813,3,0)</f>
        <v>MAT.</v>
      </c>
      <c r="D4345" s="156" t="s">
        <v>1452</v>
      </c>
      <c r="E4345" s="154" t="n">
        <v>4.5380881206</v>
      </c>
      <c r="F4345" s="149" t="n">
        <f aca="false">IF(C4345="MAT.",VLOOKUP(A4345,INSUMOS_AUX!$A$3:$H$813,6,0),0)</f>
        <v>6.28</v>
      </c>
      <c r="G4345" s="149" t="n">
        <f aca="false">IF(C4345="M.O.",VLOOKUP(A4345,INSUMOS_AUX!A:F,6,0),0)</f>
        <v>0</v>
      </c>
    </row>
    <row r="4346" customFormat="false" ht="21" hidden="false" customHeight="false" outlineLevel="0" collapsed="false">
      <c r="A4346" s="154" t="n">
        <v>4720</v>
      </c>
      <c r="B4346" s="155" t="s">
        <v>2214</v>
      </c>
      <c r="C4346" s="148" t="s">
        <v>59</v>
      </c>
      <c r="D4346" s="156" t="s">
        <v>1442</v>
      </c>
      <c r="E4346" s="154" t="n">
        <v>0.41063</v>
      </c>
      <c r="F4346" s="149" t="n">
        <f aca="false">IF(C4346="MAT.",VLOOKUP(A4346,INSUMOS_AUX!$A$3:$H$813,6,0),0)</f>
        <v>0</v>
      </c>
      <c r="G4346" s="149" t="n">
        <f aca="false">IF(C4346="M.O.",VLOOKUP(A4346,INSUMOS_AUX!A:F,6,0),0)</f>
        <v>0</v>
      </c>
    </row>
    <row r="4347" customFormat="false" ht="21" hidden="false" customHeight="false" outlineLevel="0" collapsed="false">
      <c r="A4347" s="154" t="n">
        <v>4721</v>
      </c>
      <c r="B4347" s="155" t="s">
        <v>1593</v>
      </c>
      <c r="C4347" s="148" t="str">
        <f aca="false">VLOOKUP($A4347,INSUMOS_AUX!$A$3:$H$813,3,0)</f>
        <v>MAT.</v>
      </c>
      <c r="D4347" s="156" t="s">
        <v>1442</v>
      </c>
      <c r="E4347" s="154" t="n">
        <v>0.16617068013</v>
      </c>
      <c r="F4347" s="149" t="n">
        <f aca="false">IF(C4347="MAT.",VLOOKUP(A4347,INSUMOS_AUX!$A$3:$H$813,6,0),0)</f>
        <v>115.7</v>
      </c>
      <c r="G4347" s="149" t="n">
        <f aca="false">IF(C4347="M.O.",VLOOKUP(A4347,INSUMOS_AUX!A:F,6,0),0)</f>
        <v>0</v>
      </c>
    </row>
    <row r="4348" customFormat="false" ht="21" hidden="false" customHeight="false" outlineLevel="0" collapsed="false">
      <c r="A4348" s="154" t="n">
        <v>4718</v>
      </c>
      <c r="B4348" s="155" t="s">
        <v>1577</v>
      </c>
      <c r="C4348" s="148" t="str">
        <f aca="false">VLOOKUP($A4348,INSUMOS_AUX!$A$3:$H$813,3,0)</f>
        <v>MAT.</v>
      </c>
      <c r="D4348" s="156" t="s">
        <v>1442</v>
      </c>
      <c r="E4348" s="154" t="n">
        <v>0.8836</v>
      </c>
      <c r="F4348" s="149" t="n">
        <f aca="false">IF(C4348="MAT.",VLOOKUP(A4348,INSUMOS_AUX!$A$3:$H$813,6,0),0)</f>
        <v>116.31</v>
      </c>
      <c r="G4348" s="149" t="n">
        <f aca="false">IF(C4348="M.O.",VLOOKUP(A4348,INSUMOS_AUX!A:F,6,0),0)</f>
        <v>0</v>
      </c>
    </row>
    <row r="4349" customFormat="false" ht="15" hidden="false" customHeight="false" outlineLevel="0" collapsed="false">
      <c r="A4349" s="154" t="n">
        <v>39995</v>
      </c>
      <c r="B4349" s="155" t="s">
        <v>2215</v>
      </c>
      <c r="C4349" s="148" t="str">
        <f aca="false">VLOOKUP($A4349,INSUMOS_AUX!$A$3:$H$813,3,0)</f>
        <v>MAT.</v>
      </c>
      <c r="D4349" s="156" t="s">
        <v>1442</v>
      </c>
      <c r="E4349" s="154" t="n">
        <v>0.05873175</v>
      </c>
      <c r="F4349" s="149" t="n">
        <f aca="false">IF(C4349="MAT.",VLOOKUP(A4349,INSUMOS_AUX!$A$3:$H$813,6,0),0)</f>
        <v>439.92</v>
      </c>
      <c r="G4349" s="149" t="n">
        <f aca="false">IF(C4349="M.O.",VLOOKUP(A4349,INSUMOS_AUX!A:F,6,0),0)</f>
        <v>0</v>
      </c>
    </row>
    <row r="4350" customFormat="false" ht="21" hidden="false" customHeight="false" outlineLevel="0" collapsed="false">
      <c r="A4350" s="154" t="n">
        <v>4491</v>
      </c>
      <c r="B4350" s="155" t="s">
        <v>1578</v>
      </c>
      <c r="C4350" s="148" t="str">
        <f aca="false">VLOOKUP($A4350,INSUMOS_AUX!$A$3:$H$813,3,0)</f>
        <v>MAT.</v>
      </c>
      <c r="D4350" s="156" t="s">
        <v>1455</v>
      </c>
      <c r="E4350" s="154" t="n">
        <v>0.33734568</v>
      </c>
      <c r="F4350" s="149" t="n">
        <f aca="false">IF(C4350="MAT.",VLOOKUP(A4350,INSUMOS_AUX!$A$3:$H$813,6,0),0)</f>
        <v>10.25</v>
      </c>
      <c r="G4350" s="149" t="n">
        <f aca="false">IF(C4350="M.O.",VLOOKUP(A4350,INSUMOS_AUX!A:F,6,0),0)</f>
        <v>0</v>
      </c>
    </row>
    <row r="4351" customFormat="false" ht="15" hidden="false" customHeight="false" outlineLevel="0" collapsed="false">
      <c r="A4351" s="154" t="n">
        <v>20247</v>
      </c>
      <c r="B4351" s="155" t="s">
        <v>1695</v>
      </c>
      <c r="C4351" s="148" t="str">
        <f aca="false">VLOOKUP($A4351,INSUMOS_AUX!$A$3:$H$813,3,0)</f>
        <v>MAT.</v>
      </c>
      <c r="D4351" s="156" t="s">
        <v>1513</v>
      </c>
      <c r="E4351" s="154" t="n">
        <v>0.10286346</v>
      </c>
      <c r="F4351" s="149" t="n">
        <f aca="false">IF(C4351="MAT.",VLOOKUP(A4351,INSUMOS_AUX!$A$3:$H$813,6,0),0)</f>
        <v>22.53</v>
      </c>
      <c r="G4351" s="149" t="n">
        <f aca="false">IF(C4351="M.O.",VLOOKUP(A4351,INSUMOS_AUX!A:F,6,0),0)</f>
        <v>0</v>
      </c>
    </row>
    <row r="4352" customFormat="false" ht="15" hidden="false" customHeight="false" outlineLevel="0" collapsed="false">
      <c r="A4352" s="154" t="n">
        <v>5073</v>
      </c>
      <c r="B4352" s="155" t="s">
        <v>1651</v>
      </c>
      <c r="C4352" s="148" t="str">
        <f aca="false">VLOOKUP($A4352,INSUMOS_AUX!$A$3:$H$813,3,0)</f>
        <v>MAT.</v>
      </c>
      <c r="D4352" s="156" t="s">
        <v>1513</v>
      </c>
      <c r="E4352" s="154" t="n">
        <v>0.04373439</v>
      </c>
      <c r="F4352" s="149" t="n">
        <f aca="false">IF(C4352="MAT.",VLOOKUP(A4352,INSUMOS_AUX!$A$3:$H$813,6,0),0)</f>
        <v>20.74</v>
      </c>
      <c r="G4352" s="149" t="n">
        <f aca="false">IF(C4352="M.O.",VLOOKUP(A4352,INSUMOS_AUX!A:F,6,0),0)</f>
        <v>0</v>
      </c>
    </row>
    <row r="4353" customFormat="false" ht="15" hidden="false" customHeight="false" outlineLevel="0" collapsed="false">
      <c r="A4353" s="154" t="n">
        <v>44072</v>
      </c>
      <c r="B4353" s="155" t="s">
        <v>1913</v>
      </c>
      <c r="C4353" s="148" t="str">
        <f aca="false">VLOOKUP($A4353,INSUMOS_AUX!$A$3:$H$813,3,0)</f>
        <v>MAT.</v>
      </c>
      <c r="D4353" s="156" t="s">
        <v>1452</v>
      </c>
      <c r="E4353" s="154" t="n">
        <v>3.888</v>
      </c>
      <c r="F4353" s="149" t="n">
        <f aca="false">IF(C4353="MAT.",VLOOKUP(A4353,INSUMOS_AUX!$A$3:$H$813,6,0),0)</f>
        <v>124.78</v>
      </c>
      <c r="G4353" s="149" t="n">
        <f aca="false">IF(C4353="M.O.",VLOOKUP(A4353,INSUMOS_AUX!A:F,6,0),0)</f>
        <v>0</v>
      </c>
    </row>
    <row r="4354" customFormat="false" ht="21" hidden="false" customHeight="false" outlineLevel="0" collapsed="false">
      <c r="A4354" s="154" t="n">
        <v>4517</v>
      </c>
      <c r="B4354" s="155" t="s">
        <v>1582</v>
      </c>
      <c r="C4354" s="148" t="str">
        <f aca="false">VLOOKUP($A4354,INSUMOS_AUX!$A$3:$H$813,3,0)</f>
        <v>MAT.</v>
      </c>
      <c r="D4354" s="156" t="s">
        <v>1455</v>
      </c>
      <c r="E4354" s="154" t="n">
        <v>1.483125</v>
      </c>
      <c r="F4354" s="149" t="n">
        <f aca="false">IF(C4354="MAT.",VLOOKUP(A4354,INSUMOS_AUX!$A$3:$H$813,6,0),0)</f>
        <v>3.58</v>
      </c>
      <c r="G4354" s="149" t="n">
        <f aca="false">IF(C4354="M.O.",VLOOKUP(A4354,INSUMOS_AUX!A:F,6,0),0)</f>
        <v>0</v>
      </c>
    </row>
    <row r="4355" customFormat="false" ht="31.5" hidden="false" customHeight="false" outlineLevel="0" collapsed="false">
      <c r="A4355" s="154" t="n">
        <v>6243</v>
      </c>
      <c r="B4355" s="155" t="s">
        <v>2112</v>
      </c>
      <c r="C4355" s="148" t="str">
        <f aca="false">VLOOKUP($A4355,INSUMOS_AUX!$A$3:$H$813,3,0)</f>
        <v>MAT.</v>
      </c>
      <c r="D4355" s="156" t="s">
        <v>31</v>
      </c>
      <c r="E4355" s="154" t="n">
        <v>1</v>
      </c>
      <c r="F4355" s="149" t="n">
        <f aca="false">IF(C4355="MAT.",VLOOKUP(A4355,INSUMOS_AUX!$A$3:$H$813,6,0),0)</f>
        <v>430</v>
      </c>
      <c r="G4355" s="149" t="n">
        <f aca="false">IF(C4355="M.O.",VLOOKUP(A4355,INSUMOS_AUX!A:F,6,0),0)</f>
        <v>0</v>
      </c>
    </row>
    <row r="4356" customFormat="false" ht="21" hidden="false" customHeight="false" outlineLevel="0" collapsed="false">
      <c r="A4356" s="154" t="n">
        <v>7725</v>
      </c>
      <c r="B4356" s="155" t="s">
        <v>2113</v>
      </c>
      <c r="C4356" s="148" t="str">
        <f aca="false">VLOOKUP($A4356,INSUMOS_AUX!$A$3:$H$813,3,0)</f>
        <v>MAT.</v>
      </c>
      <c r="D4356" s="156" t="s">
        <v>1455</v>
      </c>
      <c r="E4356" s="154" t="n">
        <v>1</v>
      </c>
      <c r="F4356" s="149" t="n">
        <f aca="false">IF(C4356="MAT.",VLOOKUP(A4356,INSUMOS_AUX!$A$3:$H$813,6,0),0)</f>
        <v>244</v>
      </c>
      <c r="G4356" s="149" t="n">
        <f aca="false">IF(C4356="M.O.",VLOOKUP(A4356,INSUMOS_AUX!A:F,6,0),0)</f>
        <v>0</v>
      </c>
    </row>
    <row r="4357" customFormat="false" ht="15" hidden="false" customHeight="false" outlineLevel="0" collapsed="false">
      <c r="A4357" s="154" t="n">
        <v>6114</v>
      </c>
      <c r="B4357" s="155" t="s">
        <v>1588</v>
      </c>
      <c r="C4357" s="148" t="str">
        <f aca="false">VLOOKUP($A4357,INSUMOS_AUX!$A$3:$H$813,3,0)</f>
        <v>M.O.</v>
      </c>
      <c r="D4357" s="156" t="s">
        <v>1444</v>
      </c>
      <c r="E4357" s="154" t="n">
        <v>0.181205831195734</v>
      </c>
      <c r="F4357" s="149" t="n">
        <f aca="false">IF(C4357="MAT.",VLOOKUP(A4357,INSUMOS_AUX!$A$3:$H$813,6,0),0)</f>
        <v>0</v>
      </c>
      <c r="G4357" s="149" t="n">
        <f aca="false">IF(C4357="M.O.",VLOOKUP(A4357,INSUMOS_AUX!A:F,6,0),0)</f>
        <v>13.26</v>
      </c>
    </row>
    <row r="4358" customFormat="false" ht="15" hidden="false" customHeight="false" outlineLevel="0" collapsed="false">
      <c r="A4358" s="154" t="n">
        <v>242</v>
      </c>
      <c r="B4358" s="155" t="s">
        <v>1660</v>
      </c>
      <c r="C4358" s="148" t="s">
        <v>59</v>
      </c>
      <c r="D4358" s="156" t="s">
        <v>1444</v>
      </c>
      <c r="E4358" s="154" t="n">
        <v>1.47351436416</v>
      </c>
      <c r="F4358" s="149" t="n">
        <f aca="false">IF(C4358="MAT.",VLOOKUP(A4358,INSUMOS_AUX!$A$3:$H$813,6,0),0)</f>
        <v>0</v>
      </c>
      <c r="G4358" s="149" t="n">
        <f aca="false">IF(C4358="M.O.",VLOOKUP(A4358,INSUMOS_AUX!A:F,6,0),0)</f>
        <v>0</v>
      </c>
    </row>
    <row r="4359" customFormat="false" ht="15" hidden="false" customHeight="false" outlineLevel="0" collapsed="false">
      <c r="A4359" s="154" t="n">
        <v>378</v>
      </c>
      <c r="B4359" s="155" t="s">
        <v>1589</v>
      </c>
      <c r="C4359" s="148" t="str">
        <f aca="false">VLOOKUP($A4359,INSUMOS_AUX!$A$3:$H$813,3,0)</f>
        <v>M.O.</v>
      </c>
      <c r="D4359" s="156" t="s">
        <v>1444</v>
      </c>
      <c r="E4359" s="154" t="n">
        <v>1.11155265283271</v>
      </c>
      <c r="F4359" s="149" t="n">
        <f aca="false">IF(C4359="MAT.",VLOOKUP(A4359,INSUMOS_AUX!$A$3:$H$813,6,0),0)</f>
        <v>0</v>
      </c>
      <c r="G4359" s="149" t="n">
        <f aca="false">IF(C4359="M.O.",VLOOKUP(A4359,INSUMOS_AUX!A:F,6,0),0)</f>
        <v>20.22</v>
      </c>
    </row>
    <row r="4360" customFormat="false" ht="15" hidden="false" customHeight="false" outlineLevel="0" collapsed="false">
      <c r="A4360" s="154" t="n">
        <v>6117</v>
      </c>
      <c r="B4360" s="155" t="s">
        <v>1555</v>
      </c>
      <c r="C4360" s="148" t="str">
        <f aca="false">VLOOKUP($A4360,INSUMOS_AUX!$A$3:$H$813,3,0)</f>
        <v>M.O.</v>
      </c>
      <c r="D4360" s="156" t="s">
        <v>1444</v>
      </c>
      <c r="E4360" s="154" t="n">
        <v>0.2747131583812</v>
      </c>
      <c r="F4360" s="149" t="n">
        <f aca="false">IF(C4360="MAT.",VLOOKUP(A4360,INSUMOS_AUX!$A$3:$H$813,6,0),0)</f>
        <v>0</v>
      </c>
      <c r="G4360" s="149" t="n">
        <f aca="false">IF(C4360="M.O.",VLOOKUP(A4360,INSUMOS_AUX!A:F,6,0),0)</f>
        <v>13.26</v>
      </c>
    </row>
    <row r="4361" customFormat="false" ht="15" hidden="false" customHeight="false" outlineLevel="0" collapsed="false">
      <c r="A4361" s="154" t="n">
        <v>1214</v>
      </c>
      <c r="B4361" s="155" t="s">
        <v>1556</v>
      </c>
      <c r="C4361" s="148" t="str">
        <f aca="false">VLOOKUP($A4361,INSUMOS_AUX!$A$3:$H$813,3,0)</f>
        <v>M.O.</v>
      </c>
      <c r="D4361" s="156" t="s">
        <v>1444</v>
      </c>
      <c r="E4361" s="154" t="n">
        <v>1.3735867467</v>
      </c>
      <c r="F4361" s="149" t="n">
        <f aca="false">IF(C4361="MAT.",VLOOKUP(A4361,INSUMOS_AUX!$A$3:$H$813,6,0),0)</f>
        <v>0</v>
      </c>
      <c r="G4361" s="149" t="n">
        <f aca="false">IF(C4361="M.O.",VLOOKUP(A4361,INSUMOS_AUX!A:F,6,0),0)</f>
        <v>19.04</v>
      </c>
    </row>
    <row r="4362" customFormat="false" ht="15" hidden="false" customHeight="false" outlineLevel="0" collapsed="false">
      <c r="A4362" s="154" t="n">
        <v>12873</v>
      </c>
      <c r="B4362" s="155" t="s">
        <v>1661</v>
      </c>
      <c r="C4362" s="148" t="str">
        <f aca="false">VLOOKUP($A4362,INSUMOS_AUX!$A$3:$H$813,3,0)</f>
        <v>M.O.</v>
      </c>
      <c r="D4362" s="156" t="s">
        <v>1444</v>
      </c>
      <c r="E4362" s="154" t="n">
        <v>6.5948769216</v>
      </c>
      <c r="F4362" s="149" t="n">
        <f aca="false">IF(C4362="MAT.",VLOOKUP(A4362,INSUMOS_AUX!$A$3:$H$813,6,0),0)</f>
        <v>0</v>
      </c>
      <c r="G4362" s="149" t="n">
        <f aca="false">IF(C4362="M.O.",VLOOKUP(A4362,INSUMOS_AUX!A:F,6,0),0)</f>
        <v>20.22</v>
      </c>
    </row>
    <row r="4363" customFormat="false" ht="15" hidden="false" customHeight="false" outlineLevel="0" collapsed="false">
      <c r="A4363" s="154" t="n">
        <v>37666</v>
      </c>
      <c r="B4363" s="155" t="s">
        <v>1558</v>
      </c>
      <c r="C4363" s="148" t="str">
        <f aca="false">VLOOKUP($A4363,INSUMOS_AUX!$A$3:$H$813,3,0)</f>
        <v>M.O.</v>
      </c>
      <c r="D4363" s="156" t="s">
        <v>1444</v>
      </c>
      <c r="E4363" s="154" t="n">
        <v>0.40575584609124</v>
      </c>
      <c r="F4363" s="149" t="n">
        <f aca="false">IF(C4363="MAT.",VLOOKUP(A4363,INSUMOS_AUX!$A$3:$H$813,6,0),0)</f>
        <v>0</v>
      </c>
      <c r="G4363" s="149" t="n">
        <f aca="false">IF(C4363="M.O.",VLOOKUP(A4363,INSUMOS_AUX!A:F,6,0),0)</f>
        <v>11.87</v>
      </c>
    </row>
    <row r="4364" customFormat="false" ht="15" hidden="false" customHeight="false" outlineLevel="0" collapsed="false">
      <c r="A4364" s="154" t="n">
        <v>4234</v>
      </c>
      <c r="B4364" s="155" t="s">
        <v>1475</v>
      </c>
      <c r="C4364" s="148" t="str">
        <f aca="false">VLOOKUP($A4364,INSUMOS_AUX!$A$3:$H$813,3,0)</f>
        <v>M.O.</v>
      </c>
      <c r="D4364" s="156" t="s">
        <v>1444</v>
      </c>
      <c r="E4364" s="154" t="n">
        <v>1.7237043990612</v>
      </c>
      <c r="F4364" s="149" t="n">
        <f aca="false">IF(C4364="MAT.",VLOOKUP(A4364,INSUMOS_AUX!$A$3:$H$813,6,0),0)</f>
        <v>0</v>
      </c>
      <c r="G4364" s="149" t="n">
        <f aca="false">IF(C4364="M.O.",VLOOKUP(A4364,INSUMOS_AUX!A:F,6,0),0)</f>
        <v>20.22</v>
      </c>
    </row>
    <row r="4365" customFormat="false" ht="21" hidden="false" customHeight="false" outlineLevel="0" collapsed="false">
      <c r="A4365" s="154" t="n">
        <v>4230</v>
      </c>
      <c r="B4365" s="155" t="s">
        <v>1597</v>
      </c>
      <c r="C4365" s="148" t="str">
        <f aca="false">VLOOKUP($A4365,INSUMOS_AUX!$A$3:$H$813,3,0)</f>
        <v>M.O.</v>
      </c>
      <c r="D4365" s="156" t="s">
        <v>1444</v>
      </c>
      <c r="E4365" s="154" t="n">
        <v>0.2975174626512</v>
      </c>
      <c r="F4365" s="149" t="n">
        <f aca="false">IF(C4365="MAT.",VLOOKUP(A4365,INSUMOS_AUX!$A$3:$H$813,6,0),0)</f>
        <v>0</v>
      </c>
      <c r="G4365" s="149" t="n">
        <f aca="false">IF(C4365="M.O.",VLOOKUP(A4365,INSUMOS_AUX!A:F,6,0),0)</f>
        <v>14.53</v>
      </c>
    </row>
    <row r="4366" customFormat="false" ht="15" hidden="false" customHeight="false" outlineLevel="0" collapsed="false">
      <c r="A4366" s="154" t="n">
        <v>4750</v>
      </c>
      <c r="B4366" s="155" t="s">
        <v>1463</v>
      </c>
      <c r="C4366" s="148" t="str">
        <f aca="false">VLOOKUP($A4366,INSUMOS_AUX!$A$3:$H$813,3,0)</f>
        <v>M.O.</v>
      </c>
      <c r="D4366" s="156" t="s">
        <v>1444</v>
      </c>
      <c r="E4366" s="154" t="n">
        <v>3.83953557</v>
      </c>
      <c r="F4366" s="149" t="n">
        <f aca="false">IF(C4366="MAT.",VLOOKUP(A4366,INSUMOS_AUX!$A$3:$H$813,6,0),0)</f>
        <v>0</v>
      </c>
      <c r="G4366" s="149" t="n">
        <f aca="false">IF(C4366="M.O.",VLOOKUP(A4366,INSUMOS_AUX!A:F,6,0),0)</f>
        <v>20.22</v>
      </c>
    </row>
    <row r="4367" customFormat="false" ht="15" hidden="false" customHeight="false" outlineLevel="0" collapsed="false">
      <c r="A4367" s="154" t="n">
        <v>6111</v>
      </c>
      <c r="B4367" s="155" t="s">
        <v>1464</v>
      </c>
      <c r="C4367" s="148" t="str">
        <f aca="false">VLOOKUP($A4367,INSUMOS_AUX!$A$3:$H$813,3,0)</f>
        <v>M.O.</v>
      </c>
      <c r="D4367" s="156" t="s">
        <v>1444</v>
      </c>
      <c r="E4367" s="154" t="n">
        <v>4.22483939</v>
      </c>
      <c r="F4367" s="149" t="n">
        <f aca="false">IF(C4367="MAT.",VLOOKUP(A4367,INSUMOS_AUX!$A$3:$H$813,6,0),0)</f>
        <v>0</v>
      </c>
      <c r="G4367" s="149" t="n">
        <f aca="false">IF(C4367="M.O.",VLOOKUP(A4367,INSUMOS_AUX!A:F,6,0),0)</f>
        <v>12.95</v>
      </c>
    </row>
    <row r="4368" customFormat="false" ht="42" hidden="false" customHeight="false" outlineLevel="0" collapsed="false">
      <c r="A4368" s="150" t="s">
        <v>773</v>
      </c>
      <c r="B4368" s="151" t="s">
        <v>2216</v>
      </c>
      <c r="C4368" s="152" t="s">
        <v>59</v>
      </c>
      <c r="D4368" s="152" t="s">
        <v>1455</v>
      </c>
      <c r="E4368" s="150"/>
      <c r="F4368" s="153" t="n">
        <f aca="false">(SUMPRODUCT($E4369:$E4384,F4369:F4384))*1</f>
        <v>52.74793242</v>
      </c>
      <c r="G4368" s="153" t="n">
        <f aca="false">(SUMPRODUCT($E4369:$E4384,G4369:G4384))*1</f>
        <v>6.3279537259</v>
      </c>
    </row>
    <row r="4369" customFormat="false" ht="21" hidden="false" customHeight="false" outlineLevel="0" collapsed="false">
      <c r="A4369" s="154" t="n">
        <v>37370</v>
      </c>
      <c r="B4369" s="155" t="s">
        <v>1443</v>
      </c>
      <c r="C4369" s="148" t="str">
        <f aca="false">VLOOKUP($A4369,INSUMOS_AUX!$A$3:$H$813,3,0)</f>
        <v>MAT.</v>
      </c>
      <c r="D4369" s="156" t="s">
        <v>1444</v>
      </c>
      <c r="E4369" s="154" t="n">
        <v>0.578799</v>
      </c>
      <c r="F4369" s="149" t="n">
        <f aca="false">IF(C4369="MAT.",VLOOKUP(A4369,INSUMOS_AUX!$A$3:$H$813,6,0),0)</f>
        <v>3.32</v>
      </c>
      <c r="G4369" s="149" t="n">
        <f aca="false">IF(C4369="M.O.",VLOOKUP(A4369,INSUMOS_AUX!A:F,6,0),0)</f>
        <v>0</v>
      </c>
    </row>
    <row r="4370" customFormat="false" ht="21" hidden="false" customHeight="false" outlineLevel="0" collapsed="false">
      <c r="A4370" s="154" t="n">
        <v>43488</v>
      </c>
      <c r="B4370" s="155" t="s">
        <v>1445</v>
      </c>
      <c r="C4370" s="148" t="s">
        <v>59</v>
      </c>
      <c r="D4370" s="156" t="s">
        <v>1444</v>
      </c>
      <c r="E4370" s="154" t="n">
        <v>0.2596</v>
      </c>
      <c r="F4370" s="149" t="n">
        <f aca="false">IF(C4370="MAT.",VLOOKUP(A4370,INSUMOS_AUX!$A$3:$H$813,6,0),0)</f>
        <v>0</v>
      </c>
      <c r="G4370" s="149" t="n">
        <f aca="false">IF(C4370="M.O.",VLOOKUP(A4370,INSUMOS_AUX!A:F,6,0),0)</f>
        <v>0</v>
      </c>
    </row>
    <row r="4371" customFormat="false" ht="21" hidden="false" customHeight="false" outlineLevel="0" collapsed="false">
      <c r="A4371" s="154" t="n">
        <v>43491</v>
      </c>
      <c r="B4371" s="155" t="s">
        <v>1457</v>
      </c>
      <c r="C4371" s="148" t="str">
        <f aca="false">VLOOKUP($A4371,INSUMOS_AUX!$A$3:$H$813,3,0)</f>
        <v>MAT.</v>
      </c>
      <c r="D4371" s="156" t="s">
        <v>1444</v>
      </c>
      <c r="E4371" s="154" t="n">
        <v>0.319199</v>
      </c>
      <c r="F4371" s="149" t="n">
        <f aca="false">IF(C4371="MAT.",VLOOKUP(A4371,INSUMOS_AUX!$A$3:$H$813,6,0),0)</f>
        <v>1.39</v>
      </c>
      <c r="G4371" s="149" t="n">
        <f aca="false">IF(C4371="M.O.",VLOOKUP(A4371,INSUMOS_AUX!A:F,6,0),0)</f>
        <v>0</v>
      </c>
    </row>
    <row r="4372" customFormat="false" ht="21" hidden="false" customHeight="false" outlineLevel="0" collapsed="false">
      <c r="A4372" s="154" t="n">
        <v>37372</v>
      </c>
      <c r="B4372" s="155" t="s">
        <v>1446</v>
      </c>
      <c r="C4372" s="148" t="str">
        <f aca="false">VLOOKUP($A4372,INSUMOS_AUX!$A$3:$H$813,3,0)</f>
        <v>MAT.</v>
      </c>
      <c r="D4372" s="156" t="s">
        <v>1444</v>
      </c>
      <c r="E4372" s="154" t="n">
        <v>0.578799</v>
      </c>
      <c r="F4372" s="149" t="n">
        <f aca="false">IF(C4372="MAT.",VLOOKUP(A4372,INSUMOS_AUX!$A$3:$H$813,6,0),0)</f>
        <v>1.43</v>
      </c>
      <c r="G4372" s="149" t="n">
        <f aca="false">IF(C4372="M.O.",VLOOKUP(A4372,INSUMOS_AUX!A:F,6,0),0)</f>
        <v>0</v>
      </c>
    </row>
    <row r="4373" customFormat="false" ht="21" hidden="false" customHeight="false" outlineLevel="0" collapsed="false">
      <c r="A4373" s="154" t="n">
        <v>43464</v>
      </c>
      <c r="B4373" s="155" t="s">
        <v>1447</v>
      </c>
      <c r="C4373" s="148" t="str">
        <f aca="false">VLOOKUP($A4373,INSUMOS_AUX!$A$3:$H$813,3,0)</f>
        <v>MAT.</v>
      </c>
      <c r="D4373" s="156" t="s">
        <v>1444</v>
      </c>
      <c r="E4373" s="154" t="n">
        <v>0.2596</v>
      </c>
      <c r="F4373" s="149" t="n">
        <f aca="false">IF(C4373="MAT.",VLOOKUP(A4373,INSUMOS_AUX!$A$3:$H$813,6,0),0)</f>
        <v>0.01</v>
      </c>
      <c r="G4373" s="149" t="n">
        <f aca="false">IF(C4373="M.O.",VLOOKUP(A4373,INSUMOS_AUX!A:F,6,0),0)</f>
        <v>0</v>
      </c>
    </row>
    <row r="4374" customFormat="false" ht="21" hidden="false" customHeight="false" outlineLevel="0" collapsed="false">
      <c r="A4374" s="154" t="n">
        <v>43467</v>
      </c>
      <c r="B4374" s="155" t="s">
        <v>1459</v>
      </c>
      <c r="C4374" s="148" t="str">
        <f aca="false">VLOOKUP($A4374,INSUMOS_AUX!$A$3:$H$813,3,0)</f>
        <v>MAT.</v>
      </c>
      <c r="D4374" s="156" t="s">
        <v>1444</v>
      </c>
      <c r="E4374" s="154" t="n">
        <v>0.319199</v>
      </c>
      <c r="F4374" s="149" t="n">
        <f aca="false">IF(C4374="MAT.",VLOOKUP(A4374,INSUMOS_AUX!$A$3:$H$813,6,0),0)</f>
        <v>0.61</v>
      </c>
      <c r="G4374" s="149" t="n">
        <f aca="false">IF(C4374="M.O.",VLOOKUP(A4374,INSUMOS_AUX!A:F,6,0),0)</f>
        <v>0</v>
      </c>
    </row>
    <row r="4375" customFormat="false" ht="21" hidden="false" customHeight="false" outlineLevel="0" collapsed="false">
      <c r="A4375" s="154" t="n">
        <v>37373</v>
      </c>
      <c r="B4375" s="155" t="s">
        <v>1448</v>
      </c>
      <c r="C4375" s="148" t="str">
        <f aca="false">VLOOKUP($A4375,INSUMOS_AUX!$A$3:$H$813,3,0)</f>
        <v>MAT.</v>
      </c>
      <c r="D4375" s="156" t="s">
        <v>1444</v>
      </c>
      <c r="E4375" s="154" t="n">
        <v>0.578799</v>
      </c>
      <c r="F4375" s="149" t="n">
        <f aca="false">IF(C4375="MAT.",VLOOKUP(A4375,INSUMOS_AUX!$A$3:$H$813,6,0),0)</f>
        <v>0.08</v>
      </c>
      <c r="G4375" s="149" t="n">
        <f aca="false">IF(C4375="M.O.",VLOOKUP(A4375,INSUMOS_AUX!A:F,6,0),0)</f>
        <v>0</v>
      </c>
    </row>
    <row r="4376" customFormat="false" ht="21" hidden="false" customHeight="false" outlineLevel="0" collapsed="false">
      <c r="A4376" s="154" t="n">
        <v>37371</v>
      </c>
      <c r="B4376" s="155" t="s">
        <v>1449</v>
      </c>
      <c r="C4376" s="148" t="str">
        <f aca="false">VLOOKUP($A4376,INSUMOS_AUX!$A$3:$H$813,3,0)</f>
        <v>MAT.</v>
      </c>
      <c r="D4376" s="156" t="s">
        <v>1444</v>
      </c>
      <c r="E4376" s="154" t="n">
        <v>0.578799</v>
      </c>
      <c r="F4376" s="149" t="n">
        <f aca="false">IF(C4376="MAT.",VLOOKUP(A4376,INSUMOS_AUX!$A$3:$H$813,6,0),0)</f>
        <v>0.59</v>
      </c>
      <c r="G4376" s="149" t="n">
        <f aca="false">IF(C4376="M.O.",VLOOKUP(A4376,INSUMOS_AUX!A:F,6,0),0)</f>
        <v>0</v>
      </c>
    </row>
    <row r="4377" customFormat="false" ht="21" hidden="false" customHeight="false" outlineLevel="0" collapsed="false">
      <c r="A4377" s="154" t="n">
        <v>10685</v>
      </c>
      <c r="B4377" s="155" t="s">
        <v>1473</v>
      </c>
      <c r="C4377" s="148" t="str">
        <f aca="false">VLOOKUP($A4377,INSUMOS_AUX!$A$3:$H$813,3,0)</f>
        <v>MAT.</v>
      </c>
      <c r="D4377" s="156" t="s">
        <v>31</v>
      </c>
      <c r="E4377" s="154" t="n">
        <v>9.7424E-006</v>
      </c>
      <c r="F4377" s="149" t="n">
        <f aca="false">IF(C4377="MAT.",VLOOKUP(A4377,INSUMOS_AUX!$A$3:$H$813,6,0),0)</f>
        <v>850000</v>
      </c>
      <c r="G4377" s="149" t="n">
        <f aca="false">IF(C4377="M.O.",VLOOKUP(A4377,INSUMOS_AUX!A:F,6,0),0)</f>
        <v>0</v>
      </c>
    </row>
    <row r="4378" customFormat="false" ht="21" hidden="false" customHeight="false" outlineLevel="0" collapsed="false">
      <c r="A4378" s="154" t="n">
        <v>370</v>
      </c>
      <c r="B4378" s="155" t="s">
        <v>1527</v>
      </c>
      <c r="C4378" s="148" t="str">
        <f aca="false">VLOOKUP($A4378,INSUMOS_AUX!$A$3:$H$813,3,0)</f>
        <v>MAT.</v>
      </c>
      <c r="D4378" s="156" t="s">
        <v>1442</v>
      </c>
      <c r="E4378" s="154" t="n">
        <v>0.000749</v>
      </c>
      <c r="F4378" s="149" t="n">
        <f aca="false">IF(C4378="MAT.",VLOOKUP(A4378,INSUMOS_AUX!$A$3:$H$813,6,0),0)</f>
        <v>150</v>
      </c>
      <c r="G4378" s="149" t="n">
        <f aca="false">IF(C4378="M.O.",VLOOKUP(A4378,INSUMOS_AUX!A:F,6,0),0)</f>
        <v>0</v>
      </c>
    </row>
    <row r="4379" customFormat="false" ht="15" hidden="false" customHeight="false" outlineLevel="0" collapsed="false">
      <c r="A4379" s="154" t="n">
        <v>1379</v>
      </c>
      <c r="B4379" s="155" t="s">
        <v>1535</v>
      </c>
      <c r="C4379" s="148" t="str">
        <f aca="false">VLOOKUP($A4379,INSUMOS_AUX!$A$3:$H$813,3,0)</f>
        <v>MAT.</v>
      </c>
      <c r="D4379" s="156" t="s">
        <v>1513</v>
      </c>
      <c r="E4379" s="154" t="n">
        <v>0.338072</v>
      </c>
      <c r="F4379" s="149" t="n">
        <f aca="false">IF(C4379="MAT.",VLOOKUP(A4379,INSUMOS_AUX!$A$3:$H$813,6,0),0)</f>
        <v>0.72</v>
      </c>
      <c r="G4379" s="149" t="n">
        <f aca="false">IF(C4379="M.O.",VLOOKUP(A4379,INSUMOS_AUX!A:F,6,0),0)</f>
        <v>0</v>
      </c>
    </row>
    <row r="4380" customFormat="false" ht="15" hidden="false" customHeight="false" outlineLevel="0" collapsed="false">
      <c r="A4380" s="154" t="n">
        <v>4221</v>
      </c>
      <c r="B4380" s="155" t="s">
        <v>1451</v>
      </c>
      <c r="C4380" s="148" t="str">
        <f aca="false">VLOOKUP($A4380,INSUMOS_AUX!$A$3:$H$813,3,0)</f>
        <v>MAT.</v>
      </c>
      <c r="D4380" s="156" t="s">
        <v>1452</v>
      </c>
      <c r="E4380" s="154" t="n">
        <v>0.37695</v>
      </c>
      <c r="F4380" s="149" t="n">
        <f aca="false">IF(C4380="MAT.",VLOOKUP(A4380,INSUMOS_AUX!$A$3:$H$813,6,0),0)</f>
        <v>6.28</v>
      </c>
      <c r="G4380" s="149" t="n">
        <f aca="false">IF(C4380="M.O.",VLOOKUP(A4380,INSUMOS_AUX!A:F,6,0),0)</f>
        <v>0</v>
      </c>
    </row>
    <row r="4381" customFormat="false" ht="21" hidden="false" customHeight="false" outlineLevel="0" collapsed="false">
      <c r="A4381" s="154" t="n">
        <v>37449</v>
      </c>
      <c r="B4381" s="155" t="s">
        <v>2217</v>
      </c>
      <c r="C4381" s="148" t="str">
        <f aca="false">VLOOKUP($A4381,INSUMOS_AUX!$A$3:$H$813,3,0)</f>
        <v>MAT.</v>
      </c>
      <c r="D4381" s="156" t="s">
        <v>1455</v>
      </c>
      <c r="E4381" s="154" t="n">
        <v>1.03</v>
      </c>
      <c r="F4381" s="149" t="n">
        <f aca="false">IF(C4381="MAT.",VLOOKUP(A4381,INSUMOS_AUX!$A$3:$H$813,6,0),0)</f>
        <v>36.86</v>
      </c>
      <c r="G4381" s="149" t="n">
        <f aca="false">IF(C4381="M.O.",VLOOKUP(A4381,INSUMOS_AUX!A:F,6,0),0)</f>
        <v>0</v>
      </c>
    </row>
    <row r="4382" customFormat="false" ht="15" hidden="false" customHeight="false" outlineLevel="0" collapsed="false">
      <c r="A4382" s="154" t="n">
        <v>40331</v>
      </c>
      <c r="B4382" s="155" t="s">
        <v>2218</v>
      </c>
      <c r="C4382" s="148" t="s">
        <v>59</v>
      </c>
      <c r="D4382" s="156" t="s">
        <v>1444</v>
      </c>
      <c r="E4382" s="154" t="n">
        <v>0.158911416</v>
      </c>
      <c r="F4382" s="149" t="n">
        <f aca="false">IF(C4382="MAT.",VLOOKUP(A4382,INSUMOS_AUX!$A$3:$H$813,6,0),0)</f>
        <v>0</v>
      </c>
      <c r="G4382" s="149" t="n">
        <f aca="false">IF(C4382="M.O.",VLOOKUP(A4382,INSUMOS_AUX!A:F,6,0),0)</f>
        <v>0</v>
      </c>
    </row>
    <row r="4383" customFormat="false" ht="15" hidden="false" customHeight="false" outlineLevel="0" collapsed="false">
      <c r="A4383" s="154" t="n">
        <v>4234</v>
      </c>
      <c r="B4383" s="155" t="s">
        <v>1475</v>
      </c>
      <c r="C4383" s="148" t="str">
        <f aca="false">VLOOKUP($A4383,INSUMOS_AUX!$A$3:$H$813,3,0)</f>
        <v>M.O.</v>
      </c>
      <c r="D4383" s="156" t="s">
        <v>1444</v>
      </c>
      <c r="E4383" s="154" t="n">
        <v>0.10418862</v>
      </c>
      <c r="F4383" s="149" t="n">
        <f aca="false">IF(C4383="MAT.",VLOOKUP(A4383,INSUMOS_AUX!$A$3:$H$813,6,0),0)</f>
        <v>0</v>
      </c>
      <c r="G4383" s="149" t="n">
        <f aca="false">IF(C4383="M.O.",VLOOKUP(A4383,INSUMOS_AUX!A:F,6,0),0)</f>
        <v>20.22</v>
      </c>
    </row>
    <row r="4384" customFormat="false" ht="15" hidden="false" customHeight="false" outlineLevel="0" collapsed="false">
      <c r="A4384" s="154" t="n">
        <v>6111</v>
      </c>
      <c r="B4384" s="155" t="s">
        <v>1464</v>
      </c>
      <c r="C4384" s="148" t="str">
        <f aca="false">VLOOKUP($A4384,INSUMOS_AUX!$A$3:$H$813,3,0)</f>
        <v>M.O.</v>
      </c>
      <c r="D4384" s="156" t="s">
        <v>1444</v>
      </c>
      <c r="E4384" s="154" t="n">
        <v>0.32596601</v>
      </c>
      <c r="F4384" s="149" t="n">
        <f aca="false">IF(C4384="MAT.",VLOOKUP(A4384,INSUMOS_AUX!$A$3:$H$813,6,0),0)</f>
        <v>0</v>
      </c>
      <c r="G4384" s="149" t="n">
        <f aca="false">IF(C4384="M.O.",VLOOKUP(A4384,INSUMOS_AUX!A:F,6,0),0)</f>
        <v>12.95</v>
      </c>
    </row>
    <row r="4385" customFormat="false" ht="42" hidden="false" customHeight="false" outlineLevel="0" collapsed="false">
      <c r="A4385" s="150" t="n">
        <v>95567</v>
      </c>
      <c r="B4385" s="151" t="s">
        <v>2219</v>
      </c>
      <c r="C4385" s="152" t="s">
        <v>59</v>
      </c>
      <c r="D4385" s="152" t="s">
        <v>1455</v>
      </c>
      <c r="E4385" s="150"/>
      <c r="F4385" s="153" t="n">
        <f aca="false">(SUMPRODUCT($E4386:$E4401,F4386:F4401))*1</f>
        <v>70.59213642</v>
      </c>
      <c r="G4385" s="153" t="n">
        <f aca="false">(SUMPRODUCT($E4386:$E4401,G4386:G4401))*1</f>
        <v>7.95043939722</v>
      </c>
    </row>
    <row r="4386" customFormat="false" ht="21" hidden="false" customHeight="false" outlineLevel="0" collapsed="false">
      <c r="A4386" s="154" t="n">
        <v>37370</v>
      </c>
      <c r="B4386" s="155" t="s">
        <v>1443</v>
      </c>
      <c r="C4386" s="148" t="str">
        <f aca="false">VLOOKUP($A4386,INSUMOS_AUX!$A$3:$H$813,3,0)</f>
        <v>MAT.</v>
      </c>
      <c r="D4386" s="156" t="s">
        <v>1444</v>
      </c>
      <c r="E4386" s="154" t="n">
        <v>0.578799</v>
      </c>
      <c r="F4386" s="149" t="n">
        <f aca="false">IF(C4386="MAT.",VLOOKUP(A4386,INSUMOS_AUX!$A$3:$H$813,6,0),0)</f>
        <v>3.32</v>
      </c>
      <c r="G4386" s="149" t="n">
        <f aca="false">IF(C4386="M.O.",VLOOKUP(A4386,INSUMOS_AUX!A:F,6,0),0)</f>
        <v>0</v>
      </c>
    </row>
    <row r="4387" customFormat="false" ht="21" hidden="false" customHeight="false" outlineLevel="0" collapsed="false">
      <c r="A4387" s="154" t="n">
        <v>43488</v>
      </c>
      <c r="B4387" s="155" t="s">
        <v>1445</v>
      </c>
      <c r="C4387" s="148" t="str">
        <f aca="false">VLOOKUP($A4387,INSUMOS_AUX!$A$3:$H$813,3,0)</f>
        <v>MAT.</v>
      </c>
      <c r="D4387" s="156" t="s">
        <v>1444</v>
      </c>
      <c r="E4387" s="154" t="n">
        <v>0.2596</v>
      </c>
      <c r="F4387" s="149" t="n">
        <f aca="false">IF(C4387="MAT.",VLOOKUP(A4387,INSUMOS_AUX!$A$3:$H$813,6,0),0)</f>
        <v>0.89</v>
      </c>
      <c r="G4387" s="149" t="n">
        <f aca="false">IF(C4387="M.O.",VLOOKUP(A4387,INSUMOS_AUX!A:F,6,0),0)</f>
        <v>0</v>
      </c>
    </row>
    <row r="4388" customFormat="false" ht="21" hidden="false" customHeight="false" outlineLevel="0" collapsed="false">
      <c r="A4388" s="154" t="n">
        <v>43491</v>
      </c>
      <c r="B4388" s="155" t="s">
        <v>1457</v>
      </c>
      <c r="C4388" s="148" t="str">
        <f aca="false">VLOOKUP($A4388,INSUMOS_AUX!$A$3:$H$813,3,0)</f>
        <v>MAT.</v>
      </c>
      <c r="D4388" s="156" t="s">
        <v>1444</v>
      </c>
      <c r="E4388" s="154" t="n">
        <v>0.319199</v>
      </c>
      <c r="F4388" s="149" t="n">
        <f aca="false">IF(C4388="MAT.",VLOOKUP(A4388,INSUMOS_AUX!$A$3:$H$813,6,0),0)</f>
        <v>1.39</v>
      </c>
      <c r="G4388" s="149" t="n">
        <f aca="false">IF(C4388="M.O.",VLOOKUP(A4388,INSUMOS_AUX!A:F,6,0),0)</f>
        <v>0</v>
      </c>
    </row>
    <row r="4389" customFormat="false" ht="21" hidden="false" customHeight="false" outlineLevel="0" collapsed="false">
      <c r="A4389" s="154" t="n">
        <v>37372</v>
      </c>
      <c r="B4389" s="155" t="s">
        <v>1446</v>
      </c>
      <c r="C4389" s="148" t="str">
        <f aca="false">VLOOKUP($A4389,INSUMOS_AUX!$A$3:$H$813,3,0)</f>
        <v>MAT.</v>
      </c>
      <c r="D4389" s="156" t="s">
        <v>1444</v>
      </c>
      <c r="E4389" s="154" t="n">
        <v>0.578799</v>
      </c>
      <c r="F4389" s="149" t="n">
        <f aca="false">IF(C4389="MAT.",VLOOKUP(A4389,INSUMOS_AUX!$A$3:$H$813,6,0),0)</f>
        <v>1.43</v>
      </c>
      <c r="G4389" s="149" t="n">
        <f aca="false">IF(C4389="M.O.",VLOOKUP(A4389,INSUMOS_AUX!A:F,6,0),0)</f>
        <v>0</v>
      </c>
    </row>
    <row r="4390" customFormat="false" ht="21" hidden="false" customHeight="false" outlineLevel="0" collapsed="false">
      <c r="A4390" s="154" t="n">
        <v>43464</v>
      </c>
      <c r="B4390" s="155" t="s">
        <v>1447</v>
      </c>
      <c r="C4390" s="148" t="str">
        <f aca="false">VLOOKUP($A4390,INSUMOS_AUX!$A$3:$H$813,3,0)</f>
        <v>MAT.</v>
      </c>
      <c r="D4390" s="156" t="s">
        <v>1444</v>
      </c>
      <c r="E4390" s="154" t="n">
        <v>0.2596</v>
      </c>
      <c r="F4390" s="149" t="n">
        <f aca="false">IF(C4390="MAT.",VLOOKUP(A4390,INSUMOS_AUX!$A$3:$H$813,6,0),0)</f>
        <v>0.01</v>
      </c>
      <c r="G4390" s="149" t="n">
        <f aca="false">IF(C4390="M.O.",VLOOKUP(A4390,INSUMOS_AUX!A:F,6,0),0)</f>
        <v>0</v>
      </c>
    </row>
    <row r="4391" customFormat="false" ht="21" hidden="false" customHeight="false" outlineLevel="0" collapsed="false">
      <c r="A4391" s="154" t="n">
        <v>43467</v>
      </c>
      <c r="B4391" s="155" t="s">
        <v>1459</v>
      </c>
      <c r="C4391" s="148" t="str">
        <f aca="false">VLOOKUP($A4391,INSUMOS_AUX!$A$3:$H$813,3,0)</f>
        <v>MAT.</v>
      </c>
      <c r="D4391" s="156" t="s">
        <v>1444</v>
      </c>
      <c r="E4391" s="154" t="n">
        <v>0.319199</v>
      </c>
      <c r="F4391" s="149" t="n">
        <f aca="false">IF(C4391="MAT.",VLOOKUP(A4391,INSUMOS_AUX!$A$3:$H$813,6,0),0)</f>
        <v>0.61</v>
      </c>
      <c r="G4391" s="149" t="n">
        <f aca="false">IF(C4391="M.O.",VLOOKUP(A4391,INSUMOS_AUX!A:F,6,0),0)</f>
        <v>0</v>
      </c>
    </row>
    <row r="4392" customFormat="false" ht="21" hidden="false" customHeight="false" outlineLevel="0" collapsed="false">
      <c r="A4392" s="154" t="n">
        <v>37373</v>
      </c>
      <c r="B4392" s="155" t="s">
        <v>1448</v>
      </c>
      <c r="C4392" s="148" t="str">
        <f aca="false">VLOOKUP($A4392,INSUMOS_AUX!$A$3:$H$813,3,0)</f>
        <v>MAT.</v>
      </c>
      <c r="D4392" s="156" t="s">
        <v>1444</v>
      </c>
      <c r="E4392" s="154" t="n">
        <v>0.578799</v>
      </c>
      <c r="F4392" s="149" t="n">
        <f aca="false">IF(C4392="MAT.",VLOOKUP(A4392,INSUMOS_AUX!$A$3:$H$813,6,0),0)</f>
        <v>0.08</v>
      </c>
      <c r="G4392" s="149" t="n">
        <f aca="false">IF(C4392="M.O.",VLOOKUP(A4392,INSUMOS_AUX!A:F,6,0),0)</f>
        <v>0</v>
      </c>
    </row>
    <row r="4393" customFormat="false" ht="21" hidden="false" customHeight="false" outlineLevel="0" collapsed="false">
      <c r="A4393" s="154" t="n">
        <v>37371</v>
      </c>
      <c r="B4393" s="155" t="s">
        <v>1449</v>
      </c>
      <c r="C4393" s="148" t="str">
        <f aca="false">VLOOKUP($A4393,INSUMOS_AUX!$A$3:$H$813,3,0)</f>
        <v>MAT.</v>
      </c>
      <c r="D4393" s="156" t="s">
        <v>1444</v>
      </c>
      <c r="E4393" s="154" t="n">
        <v>0.578799</v>
      </c>
      <c r="F4393" s="149" t="n">
        <f aca="false">IF(C4393="MAT.",VLOOKUP(A4393,INSUMOS_AUX!$A$3:$H$813,6,0),0)</f>
        <v>0.59</v>
      </c>
      <c r="G4393" s="149" t="n">
        <f aca="false">IF(C4393="M.O.",VLOOKUP(A4393,INSUMOS_AUX!A:F,6,0),0)</f>
        <v>0</v>
      </c>
    </row>
    <row r="4394" customFormat="false" ht="21" hidden="false" customHeight="false" outlineLevel="0" collapsed="false">
      <c r="A4394" s="154" t="n">
        <v>10685</v>
      </c>
      <c r="B4394" s="155" t="s">
        <v>1473</v>
      </c>
      <c r="C4394" s="148" t="s">
        <v>59</v>
      </c>
      <c r="D4394" s="156" t="s">
        <v>31</v>
      </c>
      <c r="E4394" s="154" t="n">
        <v>9.7424E-006</v>
      </c>
      <c r="F4394" s="149" t="n">
        <f aca="false">IF(C4394="MAT.",VLOOKUP(A4394,INSUMOS_AUX!$A$3:$H$813,6,0),0)</f>
        <v>0</v>
      </c>
      <c r="G4394" s="149" t="n">
        <f aca="false">IF(C4394="M.O.",VLOOKUP(A4394,INSUMOS_AUX!A:F,6,0),0)</f>
        <v>0</v>
      </c>
    </row>
    <row r="4395" customFormat="false" ht="21" hidden="false" customHeight="false" outlineLevel="0" collapsed="false">
      <c r="A4395" s="154" t="n">
        <v>370</v>
      </c>
      <c r="B4395" s="155" t="s">
        <v>1527</v>
      </c>
      <c r="C4395" s="148" t="str">
        <f aca="false">VLOOKUP($A4395,INSUMOS_AUX!$A$3:$H$813,3,0)</f>
        <v>MAT.</v>
      </c>
      <c r="D4395" s="156" t="s">
        <v>1442</v>
      </c>
      <c r="E4395" s="154" t="n">
        <v>0.000749</v>
      </c>
      <c r="F4395" s="149" t="n">
        <f aca="false">IF(C4395="MAT.",VLOOKUP(A4395,INSUMOS_AUX!$A$3:$H$813,6,0),0)</f>
        <v>150</v>
      </c>
      <c r="G4395" s="149" t="n">
        <f aca="false">IF(C4395="M.O.",VLOOKUP(A4395,INSUMOS_AUX!A:F,6,0),0)</f>
        <v>0</v>
      </c>
    </row>
    <row r="4396" customFormat="false" ht="15" hidden="false" customHeight="false" outlineLevel="0" collapsed="false">
      <c r="A4396" s="154" t="n">
        <v>1379</v>
      </c>
      <c r="B4396" s="155" t="s">
        <v>1535</v>
      </c>
      <c r="C4396" s="148" t="str">
        <f aca="false">VLOOKUP($A4396,INSUMOS_AUX!$A$3:$H$813,3,0)</f>
        <v>MAT.</v>
      </c>
      <c r="D4396" s="156" t="s">
        <v>1513</v>
      </c>
      <c r="E4396" s="154" t="n">
        <v>0.338072</v>
      </c>
      <c r="F4396" s="149" t="n">
        <f aca="false">IF(C4396="MAT.",VLOOKUP(A4396,INSUMOS_AUX!$A$3:$H$813,6,0),0)</f>
        <v>0.72</v>
      </c>
      <c r="G4396" s="149" t="n">
        <f aca="false">IF(C4396="M.O.",VLOOKUP(A4396,INSUMOS_AUX!A:F,6,0),0)</f>
        <v>0</v>
      </c>
    </row>
    <row r="4397" customFormat="false" ht="15" hidden="false" customHeight="false" outlineLevel="0" collapsed="false">
      <c r="A4397" s="154" t="n">
        <v>4221</v>
      </c>
      <c r="B4397" s="155" t="s">
        <v>1451</v>
      </c>
      <c r="C4397" s="148" t="str">
        <f aca="false">VLOOKUP($A4397,INSUMOS_AUX!$A$3:$H$813,3,0)</f>
        <v>MAT.</v>
      </c>
      <c r="D4397" s="156" t="s">
        <v>1452</v>
      </c>
      <c r="E4397" s="154" t="n">
        <v>0.37695</v>
      </c>
      <c r="F4397" s="149" t="n">
        <f aca="false">IF(C4397="MAT.",VLOOKUP(A4397,INSUMOS_AUX!$A$3:$H$813,6,0),0)</f>
        <v>6.28</v>
      </c>
      <c r="G4397" s="149" t="n">
        <f aca="false">IF(C4397="M.O.",VLOOKUP(A4397,INSUMOS_AUX!A:F,6,0),0)</f>
        <v>0</v>
      </c>
    </row>
    <row r="4398" customFormat="false" ht="21" hidden="false" customHeight="false" outlineLevel="0" collapsed="false">
      <c r="A4398" s="154" t="n">
        <v>7796</v>
      </c>
      <c r="B4398" s="155" t="s">
        <v>2220</v>
      </c>
      <c r="C4398" s="148" t="str">
        <f aca="false">VLOOKUP($A4398,INSUMOS_AUX!$A$3:$H$813,3,0)</f>
        <v>MAT.</v>
      </c>
      <c r="D4398" s="156" t="s">
        <v>1455</v>
      </c>
      <c r="E4398" s="154" t="n">
        <v>1.03</v>
      </c>
      <c r="F4398" s="149" t="n">
        <f aca="false">IF(C4398="MAT.",VLOOKUP(A4398,INSUMOS_AUX!$A$3:$H$813,6,0),0)</f>
        <v>62</v>
      </c>
      <c r="G4398" s="149" t="n">
        <f aca="false">IF(C4398="M.O.",VLOOKUP(A4398,INSUMOS_AUX!A:F,6,0),0)</f>
        <v>0</v>
      </c>
    </row>
    <row r="4399" customFormat="false" ht="15" hidden="false" customHeight="false" outlineLevel="0" collapsed="false">
      <c r="A4399" s="154" t="n">
        <v>40331</v>
      </c>
      <c r="B4399" s="155" t="s">
        <v>2218</v>
      </c>
      <c r="C4399" s="148" t="str">
        <f aca="false">VLOOKUP($A4399,INSUMOS_AUX!$A$3:$H$813,3,0)</f>
        <v>M.O.</v>
      </c>
      <c r="D4399" s="156" t="s">
        <v>1444</v>
      </c>
      <c r="E4399" s="154" t="n">
        <v>0.158911416</v>
      </c>
      <c r="F4399" s="149" t="n">
        <f aca="false">IF(C4399="MAT.",VLOOKUP(A4399,INSUMOS_AUX!$A$3:$H$813,6,0),0)</f>
        <v>0</v>
      </c>
      <c r="G4399" s="149" t="n">
        <f aca="false">IF(C4399="M.O.",VLOOKUP(A4399,INSUMOS_AUX!A:F,6,0),0)</f>
        <v>10.21</v>
      </c>
    </row>
    <row r="4400" customFormat="false" ht="15" hidden="false" customHeight="false" outlineLevel="0" collapsed="false">
      <c r="A4400" s="154" t="n">
        <v>4234</v>
      </c>
      <c r="B4400" s="155" t="s">
        <v>1475</v>
      </c>
      <c r="C4400" s="148" t="str">
        <f aca="false">VLOOKUP($A4400,INSUMOS_AUX!$A$3:$H$813,3,0)</f>
        <v>M.O.</v>
      </c>
      <c r="D4400" s="156" t="s">
        <v>1444</v>
      </c>
      <c r="E4400" s="154" t="n">
        <v>0.10418862</v>
      </c>
      <c r="F4400" s="149" t="n">
        <f aca="false">IF(C4400="MAT.",VLOOKUP(A4400,INSUMOS_AUX!$A$3:$H$813,6,0),0)</f>
        <v>0</v>
      </c>
      <c r="G4400" s="149" t="n">
        <f aca="false">IF(C4400="M.O.",VLOOKUP(A4400,INSUMOS_AUX!A:F,6,0),0)</f>
        <v>20.22</v>
      </c>
    </row>
    <row r="4401" customFormat="false" ht="15" hidden="false" customHeight="false" outlineLevel="0" collapsed="false">
      <c r="A4401" s="154" t="n">
        <v>6111</v>
      </c>
      <c r="B4401" s="155" t="s">
        <v>1464</v>
      </c>
      <c r="C4401" s="148" t="str">
        <f aca="false">VLOOKUP($A4401,INSUMOS_AUX!$A$3:$H$813,3,0)</f>
        <v>M.O.</v>
      </c>
      <c r="D4401" s="156" t="s">
        <v>1444</v>
      </c>
      <c r="E4401" s="154" t="n">
        <v>0.3259660188</v>
      </c>
      <c r="F4401" s="149" t="n">
        <f aca="false">IF(C4401="MAT.",VLOOKUP(A4401,INSUMOS_AUX!$A$3:$H$813,6,0),0)</f>
        <v>0</v>
      </c>
      <c r="G4401" s="149" t="n">
        <f aca="false">IF(C4401="M.O.",VLOOKUP(A4401,INSUMOS_AUX!A:F,6,0),0)</f>
        <v>12.95</v>
      </c>
    </row>
    <row r="4402" customFormat="false" ht="15" hidden="false" customHeight="false" outlineLevel="0" collapsed="false">
      <c r="A4402" s="150" t="s">
        <v>777</v>
      </c>
      <c r="B4402" s="151" t="s">
        <v>2221</v>
      </c>
      <c r="C4402" s="152" t="s">
        <v>59</v>
      </c>
      <c r="D4402" s="152" t="s">
        <v>1854</v>
      </c>
      <c r="E4402" s="150"/>
      <c r="F4402" s="153" t="n">
        <f aca="false">(SUMPRODUCT($E4403:$E4413,F4403:F4413))*1</f>
        <v>29.75</v>
      </c>
      <c r="G4402" s="153" t="n">
        <f aca="false">(SUMPRODUCT($E4403:$E4413,G4403:G4413))*1</f>
        <v>33.8080956</v>
      </c>
    </row>
    <row r="4403" customFormat="false" ht="21" hidden="false" customHeight="false" outlineLevel="0" collapsed="false">
      <c r="A4403" s="154" t="n">
        <v>37370</v>
      </c>
      <c r="B4403" s="155" t="s">
        <v>1443</v>
      </c>
      <c r="C4403" s="148" t="str">
        <f aca="false">VLOOKUP($A4403,INSUMOS_AUX!$A$3:$H$813,3,0)</f>
        <v>MAT.</v>
      </c>
      <c r="D4403" s="156" t="s">
        <v>1444</v>
      </c>
      <c r="E4403" s="154" t="n">
        <v>2</v>
      </c>
      <c r="F4403" s="149" t="n">
        <f aca="false">IF(C4403="MAT.",VLOOKUP(A4403,INSUMOS_AUX!$A$3:$H$813,6,0),0)</f>
        <v>3.32</v>
      </c>
      <c r="G4403" s="149" t="n">
        <f aca="false">IF(C4403="M.O.",VLOOKUP(A4403,INSUMOS_AUX!A:F,6,0),0)</f>
        <v>0</v>
      </c>
    </row>
    <row r="4404" customFormat="false" ht="21" hidden="false" customHeight="false" outlineLevel="0" collapsed="false">
      <c r="A4404" s="154" t="n">
        <v>43485</v>
      </c>
      <c r="B4404" s="155" t="s">
        <v>1481</v>
      </c>
      <c r="C4404" s="148" t="str">
        <f aca="false">VLOOKUP($A4404,INSUMOS_AUX!$A$3:$H$813,3,0)</f>
        <v>MAT.</v>
      </c>
      <c r="D4404" s="156" t="s">
        <v>1444</v>
      </c>
      <c r="E4404" s="154" t="n">
        <v>1</v>
      </c>
      <c r="F4404" s="149" t="n">
        <f aca="false">IF(C4404="MAT.",VLOOKUP(A4404,INSUMOS_AUX!$A$3:$H$813,6,0),0)</f>
        <v>1.13</v>
      </c>
      <c r="G4404" s="149" t="n">
        <f aca="false">IF(C4404="M.O.",VLOOKUP(A4404,INSUMOS_AUX!A:F,6,0),0)</f>
        <v>0</v>
      </c>
    </row>
    <row r="4405" customFormat="false" ht="21" hidden="false" customHeight="false" outlineLevel="0" collapsed="false">
      <c r="A4405" s="154" t="n">
        <v>43491</v>
      </c>
      <c r="B4405" s="155" t="s">
        <v>1457</v>
      </c>
      <c r="C4405" s="148" t="str">
        <f aca="false">VLOOKUP($A4405,INSUMOS_AUX!$A$3:$H$813,3,0)</f>
        <v>MAT.</v>
      </c>
      <c r="D4405" s="156" t="s">
        <v>1444</v>
      </c>
      <c r="E4405" s="154" t="n">
        <v>1</v>
      </c>
      <c r="F4405" s="149" t="n">
        <f aca="false">IF(C4405="MAT.",VLOOKUP(A4405,INSUMOS_AUX!$A$3:$H$813,6,0),0)</f>
        <v>1.39</v>
      </c>
      <c r="G4405" s="149" t="n">
        <f aca="false">IF(C4405="M.O.",VLOOKUP(A4405,INSUMOS_AUX!A:F,6,0),0)</f>
        <v>0</v>
      </c>
    </row>
    <row r="4406" customFormat="false" ht="21" hidden="false" customHeight="false" outlineLevel="0" collapsed="false">
      <c r="A4406" s="154" t="n">
        <v>37372</v>
      </c>
      <c r="B4406" s="155" t="s">
        <v>1446</v>
      </c>
      <c r="C4406" s="148" t="s">
        <v>59</v>
      </c>
      <c r="D4406" s="156" t="s">
        <v>1444</v>
      </c>
      <c r="E4406" s="154" t="n">
        <v>2</v>
      </c>
      <c r="F4406" s="149" t="n">
        <f aca="false">IF(C4406="MAT.",VLOOKUP(A4406,INSUMOS_AUX!$A$3:$H$813,6,0),0)</f>
        <v>0</v>
      </c>
      <c r="G4406" s="149" t="n">
        <f aca="false">IF(C4406="M.O.",VLOOKUP(A4406,INSUMOS_AUX!A:F,6,0),0)</f>
        <v>0</v>
      </c>
    </row>
    <row r="4407" customFormat="false" ht="21" hidden="false" customHeight="false" outlineLevel="0" collapsed="false">
      <c r="A4407" s="154" t="n">
        <v>43461</v>
      </c>
      <c r="B4407" s="155" t="s">
        <v>1482</v>
      </c>
      <c r="C4407" s="148" t="str">
        <f aca="false">VLOOKUP($A4407,INSUMOS_AUX!$A$3:$H$813,3,0)</f>
        <v>MAT.</v>
      </c>
      <c r="D4407" s="156" t="s">
        <v>1444</v>
      </c>
      <c r="E4407" s="154" t="n">
        <v>1</v>
      </c>
      <c r="F4407" s="149" t="n">
        <f aca="false">IF(C4407="MAT.",VLOOKUP(A4407,INSUMOS_AUX!$A$3:$H$813,6,0),0)</f>
        <v>0.31</v>
      </c>
      <c r="G4407" s="149" t="n">
        <f aca="false">IF(C4407="M.O.",VLOOKUP(A4407,INSUMOS_AUX!A:F,6,0),0)</f>
        <v>0</v>
      </c>
    </row>
    <row r="4408" customFormat="false" ht="21" hidden="false" customHeight="false" outlineLevel="0" collapsed="false">
      <c r="A4408" s="154" t="n">
        <v>43467</v>
      </c>
      <c r="B4408" s="155" t="s">
        <v>1459</v>
      </c>
      <c r="C4408" s="148" t="str">
        <f aca="false">VLOOKUP($A4408,INSUMOS_AUX!$A$3:$H$813,3,0)</f>
        <v>MAT.</v>
      </c>
      <c r="D4408" s="156" t="s">
        <v>1444</v>
      </c>
      <c r="E4408" s="154" t="n">
        <v>1</v>
      </c>
      <c r="F4408" s="149" t="n">
        <f aca="false">IF(C4408="MAT.",VLOOKUP(A4408,INSUMOS_AUX!$A$3:$H$813,6,0),0)</f>
        <v>0.61</v>
      </c>
      <c r="G4408" s="149" t="n">
        <f aca="false">IF(C4408="M.O.",VLOOKUP(A4408,INSUMOS_AUX!A:F,6,0),0)</f>
        <v>0</v>
      </c>
    </row>
    <row r="4409" customFormat="false" ht="21" hidden="false" customHeight="false" outlineLevel="0" collapsed="false">
      <c r="A4409" s="154" t="n">
        <v>37373</v>
      </c>
      <c r="B4409" s="155" t="s">
        <v>1448</v>
      </c>
      <c r="C4409" s="148" t="str">
        <f aca="false">VLOOKUP($A4409,INSUMOS_AUX!$A$3:$H$813,3,0)</f>
        <v>MAT.</v>
      </c>
      <c r="D4409" s="156" t="s">
        <v>1444</v>
      </c>
      <c r="E4409" s="154" t="n">
        <v>2</v>
      </c>
      <c r="F4409" s="149" t="n">
        <f aca="false">IF(C4409="MAT.",VLOOKUP(A4409,INSUMOS_AUX!$A$3:$H$813,6,0),0)</f>
        <v>0.08</v>
      </c>
      <c r="G4409" s="149" t="n">
        <f aca="false">IF(C4409="M.O.",VLOOKUP(A4409,INSUMOS_AUX!A:F,6,0),0)</f>
        <v>0</v>
      </c>
    </row>
    <row r="4410" customFormat="false" ht="21" hidden="false" customHeight="false" outlineLevel="0" collapsed="false">
      <c r="A4410" s="154" t="n">
        <v>37371</v>
      </c>
      <c r="B4410" s="155" t="s">
        <v>1449</v>
      </c>
      <c r="C4410" s="148" t="str">
        <f aca="false">VLOOKUP($A4410,INSUMOS_AUX!$A$3:$H$813,3,0)</f>
        <v>MAT.</v>
      </c>
      <c r="D4410" s="156" t="s">
        <v>1444</v>
      </c>
      <c r="E4410" s="154" t="n">
        <v>2</v>
      </c>
      <c r="F4410" s="149" t="n">
        <f aca="false">IF(C4410="MAT.",VLOOKUP(A4410,INSUMOS_AUX!$A$3:$H$813,6,0),0)</f>
        <v>0.59</v>
      </c>
      <c r="G4410" s="149" t="n">
        <f aca="false">IF(C4410="M.O.",VLOOKUP(A4410,INSUMOS_AUX!A:F,6,0),0)</f>
        <v>0</v>
      </c>
    </row>
    <row r="4411" customFormat="false" ht="15" hidden="false" customHeight="false" outlineLevel="0" collapsed="false">
      <c r="A4411" s="154" t="n">
        <v>11708</v>
      </c>
      <c r="B4411" s="155" t="s">
        <v>2222</v>
      </c>
      <c r="C4411" s="148" t="str">
        <f aca="false">VLOOKUP($A4411,INSUMOS_AUX!$A$3:$H$813,3,0)</f>
        <v>MAT.</v>
      </c>
      <c r="D4411" s="156" t="s">
        <v>31</v>
      </c>
      <c r="E4411" s="154" t="n">
        <v>1</v>
      </c>
      <c r="F4411" s="149" t="n">
        <f aca="false">IF(C4411="MAT.",VLOOKUP(A4411,INSUMOS_AUX!$A$3:$H$813,6,0),0)</f>
        <v>18.33</v>
      </c>
      <c r="G4411" s="149" t="n">
        <f aca="false">IF(C4411="M.O.",VLOOKUP(A4411,INSUMOS_AUX!A:F,6,0),0)</f>
        <v>0</v>
      </c>
    </row>
    <row r="4412" customFormat="false" ht="15" hidden="false" customHeight="false" outlineLevel="0" collapsed="false">
      <c r="A4412" s="154" t="n">
        <v>2696</v>
      </c>
      <c r="B4412" s="155" t="s">
        <v>1483</v>
      </c>
      <c r="C4412" s="148" t="str">
        <f aca="false">VLOOKUP($A4412,INSUMOS_AUX!$A$3:$H$813,3,0)</f>
        <v>M.O.</v>
      </c>
      <c r="D4412" s="156" t="s">
        <v>1444</v>
      </c>
      <c r="E4412" s="154" t="n">
        <v>1.01798</v>
      </c>
      <c r="F4412" s="149" t="n">
        <f aca="false">IF(C4412="MAT.",VLOOKUP(A4412,INSUMOS_AUX!$A$3:$H$813,6,0),0)</f>
        <v>0</v>
      </c>
      <c r="G4412" s="149" t="n">
        <f aca="false">IF(C4412="M.O.",VLOOKUP(A4412,INSUMOS_AUX!A:F,6,0),0)</f>
        <v>20.22</v>
      </c>
    </row>
    <row r="4413" customFormat="false" ht="15" hidden="false" customHeight="false" outlineLevel="0" collapsed="false">
      <c r="A4413" s="154" t="n">
        <v>6111</v>
      </c>
      <c r="B4413" s="155" t="s">
        <v>1464</v>
      </c>
      <c r="C4413" s="148" t="str">
        <f aca="false">VLOOKUP($A4413,INSUMOS_AUX!$A$3:$H$813,3,0)</f>
        <v>M.O.</v>
      </c>
      <c r="D4413" s="156" t="s">
        <v>1444</v>
      </c>
      <c r="E4413" s="154" t="n">
        <v>1.0212</v>
      </c>
      <c r="F4413" s="149" t="n">
        <f aca="false">IF(C4413="MAT.",VLOOKUP(A4413,INSUMOS_AUX!$A$3:$H$813,6,0),0)</f>
        <v>0</v>
      </c>
      <c r="G4413" s="149" t="n">
        <f aca="false">IF(C4413="M.O.",VLOOKUP(A4413,INSUMOS_AUX!A:F,6,0),0)</f>
        <v>12.95</v>
      </c>
    </row>
    <row r="4414" customFormat="false" ht="31.5" hidden="false" customHeight="false" outlineLevel="0" collapsed="false">
      <c r="A4414" s="150" t="n">
        <v>89585</v>
      </c>
      <c r="B4414" s="151" t="s">
        <v>2223</v>
      </c>
      <c r="C4414" s="152" t="s">
        <v>59</v>
      </c>
      <c r="D4414" s="152" t="s">
        <v>31</v>
      </c>
      <c r="E4414" s="150"/>
      <c r="F4414" s="153" t="n">
        <f aca="false">(SUMPRODUCT($E4415:$E4425,F4415:F4425))*1</f>
        <v>35.31959</v>
      </c>
      <c r="G4414" s="153" t="n">
        <f aca="false">(SUMPRODUCT($E4415:$E4425,G4415:G4425))*1</f>
        <v>9.30096972216</v>
      </c>
    </row>
    <row r="4415" customFormat="false" ht="21" hidden="false" customHeight="false" outlineLevel="0" collapsed="false">
      <c r="A4415" s="154" t="n">
        <v>37370</v>
      </c>
      <c r="B4415" s="155" t="s">
        <v>1443</v>
      </c>
      <c r="C4415" s="148" t="str">
        <f aca="false">VLOOKUP($A4415,INSUMOS_AUX!$A$3:$H$813,3,0)</f>
        <v>MAT.</v>
      </c>
      <c r="D4415" s="156" t="s">
        <v>1444</v>
      </c>
      <c r="E4415" s="154" t="n">
        <v>0.5458</v>
      </c>
      <c r="F4415" s="149" t="n">
        <f aca="false">IF(C4415="MAT.",VLOOKUP(A4415,INSUMOS_AUX!$A$3:$H$813,6,0),0)</f>
        <v>3.32</v>
      </c>
      <c r="G4415" s="149" t="n">
        <f aca="false">IF(C4415="M.O.",VLOOKUP(A4415,INSUMOS_AUX!A:F,6,0),0)</f>
        <v>0</v>
      </c>
    </row>
    <row r="4416" customFormat="false" ht="21" hidden="false" customHeight="false" outlineLevel="0" collapsed="false">
      <c r="A4416" s="154" t="n">
        <v>43485</v>
      </c>
      <c r="B4416" s="155" t="s">
        <v>1481</v>
      </c>
      <c r="C4416" s="148" t="str">
        <f aca="false">VLOOKUP($A4416,INSUMOS_AUX!$A$3:$H$813,3,0)</f>
        <v>MAT.</v>
      </c>
      <c r="D4416" s="156" t="s">
        <v>1444</v>
      </c>
      <c r="E4416" s="154" t="n">
        <v>0.5458</v>
      </c>
      <c r="F4416" s="149" t="n">
        <f aca="false">IF(C4416="MAT.",VLOOKUP(A4416,INSUMOS_AUX!$A$3:$H$813,6,0),0)</f>
        <v>1.13</v>
      </c>
      <c r="G4416" s="149" t="n">
        <f aca="false">IF(C4416="M.O.",VLOOKUP(A4416,INSUMOS_AUX!A:F,6,0),0)</f>
        <v>0</v>
      </c>
    </row>
    <row r="4417" customFormat="false" ht="21" hidden="false" customHeight="false" outlineLevel="0" collapsed="false">
      <c r="A4417" s="154" t="n">
        <v>37372</v>
      </c>
      <c r="B4417" s="155" t="s">
        <v>1446</v>
      </c>
      <c r="C4417" s="148" t="str">
        <f aca="false">VLOOKUP($A4417,INSUMOS_AUX!$A$3:$H$813,3,0)</f>
        <v>MAT.</v>
      </c>
      <c r="D4417" s="156" t="s">
        <v>1444</v>
      </c>
      <c r="E4417" s="154" t="n">
        <v>0.5458</v>
      </c>
      <c r="F4417" s="149" t="n">
        <f aca="false">IF(C4417="MAT.",VLOOKUP(A4417,INSUMOS_AUX!$A$3:$H$813,6,0),0)</f>
        <v>1.43</v>
      </c>
      <c r="G4417" s="149" t="n">
        <f aca="false">IF(C4417="M.O.",VLOOKUP(A4417,INSUMOS_AUX!A:F,6,0),0)</f>
        <v>0</v>
      </c>
    </row>
    <row r="4418" customFormat="false" ht="21" hidden="false" customHeight="false" outlineLevel="0" collapsed="false">
      <c r="A4418" s="154" t="n">
        <v>43461</v>
      </c>
      <c r="B4418" s="155" t="s">
        <v>1482</v>
      </c>
      <c r="C4418" s="148" t="s">
        <v>59</v>
      </c>
      <c r="D4418" s="156" t="s">
        <v>1444</v>
      </c>
      <c r="E4418" s="154" t="n">
        <v>0.5458</v>
      </c>
      <c r="F4418" s="149" t="n">
        <f aca="false">IF(C4418="MAT.",VLOOKUP(A4418,INSUMOS_AUX!$A$3:$H$813,6,0),0)</f>
        <v>0</v>
      </c>
      <c r="G4418" s="149" t="n">
        <f aca="false">IF(C4418="M.O.",VLOOKUP(A4418,INSUMOS_AUX!A:F,6,0),0)</f>
        <v>0</v>
      </c>
    </row>
    <row r="4419" customFormat="false" ht="21" hidden="false" customHeight="false" outlineLevel="0" collapsed="false">
      <c r="A4419" s="154" t="n">
        <v>37373</v>
      </c>
      <c r="B4419" s="155" t="s">
        <v>1448</v>
      </c>
      <c r="C4419" s="148" t="str">
        <f aca="false">VLOOKUP($A4419,INSUMOS_AUX!$A$3:$H$813,3,0)</f>
        <v>MAT.</v>
      </c>
      <c r="D4419" s="156" t="s">
        <v>1444</v>
      </c>
      <c r="E4419" s="154" t="n">
        <v>0.5458</v>
      </c>
      <c r="F4419" s="149" t="n">
        <f aca="false">IF(C4419="MAT.",VLOOKUP(A4419,INSUMOS_AUX!$A$3:$H$813,6,0),0)</f>
        <v>0.08</v>
      </c>
      <c r="G4419" s="149" t="n">
        <f aca="false">IF(C4419="M.O.",VLOOKUP(A4419,INSUMOS_AUX!A:F,6,0),0)</f>
        <v>0</v>
      </c>
    </row>
    <row r="4420" customFormat="false" ht="21" hidden="false" customHeight="false" outlineLevel="0" collapsed="false">
      <c r="A4420" s="154" t="n">
        <v>37371</v>
      </c>
      <c r="B4420" s="155" t="s">
        <v>1449</v>
      </c>
      <c r="C4420" s="148" t="str">
        <f aca="false">VLOOKUP($A4420,INSUMOS_AUX!$A$3:$H$813,3,0)</f>
        <v>MAT.</v>
      </c>
      <c r="D4420" s="156" t="s">
        <v>1444</v>
      </c>
      <c r="E4420" s="154" t="n">
        <v>0.5458</v>
      </c>
      <c r="F4420" s="149" t="n">
        <f aca="false">IF(C4420="MAT.",VLOOKUP(A4420,INSUMOS_AUX!$A$3:$H$813,6,0),0)</f>
        <v>0.59</v>
      </c>
      <c r="G4420" s="149" t="n">
        <f aca="false">IF(C4420="M.O.",VLOOKUP(A4420,INSUMOS_AUX!A:F,6,0),0)</f>
        <v>0</v>
      </c>
    </row>
    <row r="4421" customFormat="false" ht="21" hidden="false" customHeight="false" outlineLevel="0" collapsed="false">
      <c r="A4421" s="154" t="n">
        <v>299</v>
      </c>
      <c r="B4421" s="155" t="s">
        <v>2224</v>
      </c>
      <c r="C4421" s="148" t="str">
        <f aca="false">VLOOKUP($A4421,INSUMOS_AUX!$A$3:$H$813,3,0)</f>
        <v>MAT.</v>
      </c>
      <c r="D4421" s="156" t="s">
        <v>31</v>
      </c>
      <c r="E4421" s="154" t="n">
        <v>2</v>
      </c>
      <c r="F4421" s="149" t="n">
        <f aca="false">IF(C4421="MAT.",VLOOKUP(A4421,INSUMOS_AUX!$A$3:$H$813,6,0),0)</f>
        <v>3.52</v>
      </c>
      <c r="G4421" s="149" t="n">
        <f aca="false">IF(C4421="M.O.",VLOOKUP(A4421,INSUMOS_AUX!A:F,6,0),0)</f>
        <v>0</v>
      </c>
    </row>
    <row r="4422" customFormat="false" ht="15" hidden="false" customHeight="false" outlineLevel="0" collapsed="false">
      <c r="A4422" s="154" t="n">
        <v>20151</v>
      </c>
      <c r="B4422" s="155" t="s">
        <v>2225</v>
      </c>
      <c r="C4422" s="148" t="str">
        <f aca="false">VLOOKUP($A4422,INSUMOS_AUX!$A$3:$H$813,3,0)</f>
        <v>MAT.</v>
      </c>
      <c r="D4422" s="156" t="s">
        <v>31</v>
      </c>
      <c r="E4422" s="154" t="n">
        <v>1</v>
      </c>
      <c r="F4422" s="149" t="n">
        <f aca="false">IF(C4422="MAT.",VLOOKUP(A4422,INSUMOS_AUX!$A$3:$H$813,6,0),0)</f>
        <v>21.71</v>
      </c>
      <c r="G4422" s="149" t="n">
        <f aca="false">IF(C4422="M.O.",VLOOKUP(A4422,INSUMOS_AUX!A:F,6,0),0)</f>
        <v>0</v>
      </c>
    </row>
    <row r="4423" customFormat="false" ht="31.5" hidden="false" customHeight="false" outlineLevel="0" collapsed="false">
      <c r="A4423" s="154" t="n">
        <v>20078</v>
      </c>
      <c r="B4423" s="155" t="s">
        <v>2123</v>
      </c>
      <c r="C4423" s="148" t="str">
        <f aca="false">VLOOKUP($A4423,INSUMOS_AUX!$A$3:$H$813,3,0)</f>
        <v>MAT.</v>
      </c>
      <c r="D4423" s="156" t="s">
        <v>31</v>
      </c>
      <c r="E4423" s="154" t="n">
        <v>0.115</v>
      </c>
      <c r="F4423" s="149" t="n">
        <f aca="false">IF(C4423="MAT.",VLOOKUP(A4423,INSUMOS_AUX!$A$3:$H$813,6,0),0)</f>
        <v>26.04</v>
      </c>
      <c r="G4423" s="149" t="n">
        <f aca="false">IF(C4423="M.O.",VLOOKUP(A4423,INSUMOS_AUX!A:F,6,0),0)</f>
        <v>0</v>
      </c>
    </row>
    <row r="4424" customFormat="false" ht="15" hidden="false" customHeight="false" outlineLevel="0" collapsed="false">
      <c r="A4424" s="154" t="n">
        <v>246</v>
      </c>
      <c r="B4424" s="155" t="s">
        <v>1752</v>
      </c>
      <c r="C4424" s="148" t="str">
        <f aca="false">VLOOKUP($A4424,INSUMOS_AUX!$A$3:$H$813,3,0)</f>
        <v>M.O.</v>
      </c>
      <c r="D4424" s="156" t="s">
        <v>1444</v>
      </c>
      <c r="E4424" s="154" t="n">
        <v>0.277806742</v>
      </c>
      <c r="F4424" s="149" t="n">
        <f aca="false">IF(C4424="MAT.",VLOOKUP(A4424,INSUMOS_AUX!$A$3:$H$813,6,0),0)</f>
        <v>0</v>
      </c>
      <c r="G4424" s="149" t="n">
        <f aca="false">IF(C4424="M.O.",VLOOKUP(A4424,INSUMOS_AUX!A:F,6,0),0)</f>
        <v>13.26</v>
      </c>
    </row>
    <row r="4425" customFormat="false" ht="15" hidden="false" customHeight="false" outlineLevel="0" collapsed="false">
      <c r="A4425" s="154" t="n">
        <v>2696</v>
      </c>
      <c r="B4425" s="155" t="s">
        <v>1483</v>
      </c>
      <c r="C4425" s="148" t="str">
        <f aca="false">VLOOKUP($A4425,INSUMOS_AUX!$A$3:$H$813,3,0)</f>
        <v>M.O.</v>
      </c>
      <c r="D4425" s="156" t="s">
        <v>1444</v>
      </c>
      <c r="E4425" s="154" t="n">
        <v>0.277806742</v>
      </c>
      <c r="F4425" s="149" t="n">
        <f aca="false">IF(C4425="MAT.",VLOOKUP(A4425,INSUMOS_AUX!$A$3:$H$813,6,0),0)</f>
        <v>0</v>
      </c>
      <c r="G4425" s="149" t="n">
        <f aca="false">IF(C4425="M.O.",VLOOKUP(A4425,INSUMOS_AUX!A:F,6,0),0)</f>
        <v>20.22</v>
      </c>
    </row>
    <row r="4426" customFormat="false" ht="31.5" hidden="false" customHeight="false" outlineLevel="0" collapsed="false">
      <c r="A4426" s="150" t="n">
        <v>104168</v>
      </c>
      <c r="B4426" s="151" t="s">
        <v>2226</v>
      </c>
      <c r="C4426" s="152" t="s">
        <v>59</v>
      </c>
      <c r="D4426" s="152" t="s">
        <v>31</v>
      </c>
      <c r="E4426" s="150"/>
      <c r="F4426" s="153" t="n">
        <f aca="false">(SUMPRODUCT($E4427:$E4437,F4427:F4437))*1</f>
        <v>111.023956</v>
      </c>
      <c r="G4426" s="153" t="n">
        <f aca="false">(SUMPRODUCT($E4427:$E4437,G4427:G4437))*1</f>
        <v>8.86472050104</v>
      </c>
    </row>
    <row r="4427" customFormat="false" ht="21" hidden="false" customHeight="false" outlineLevel="0" collapsed="false">
      <c r="A4427" s="154" t="n">
        <v>37370</v>
      </c>
      <c r="B4427" s="155" t="s">
        <v>1443</v>
      </c>
      <c r="C4427" s="148" t="str">
        <f aca="false">VLOOKUP($A4427,INSUMOS_AUX!$A$3:$H$813,3,0)</f>
        <v>MAT.</v>
      </c>
      <c r="D4427" s="156" t="s">
        <v>1444</v>
      </c>
      <c r="E4427" s="154" t="n">
        <v>0.5202</v>
      </c>
      <c r="F4427" s="149" t="n">
        <f aca="false">IF(C4427="MAT.",VLOOKUP(A4427,INSUMOS_AUX!$A$3:$H$813,6,0),0)</f>
        <v>3.32</v>
      </c>
      <c r="G4427" s="149" t="n">
        <f aca="false">IF(C4427="M.O.",VLOOKUP(A4427,INSUMOS_AUX!A:F,6,0),0)</f>
        <v>0</v>
      </c>
    </row>
    <row r="4428" customFormat="false" ht="21" hidden="false" customHeight="false" outlineLevel="0" collapsed="false">
      <c r="A4428" s="154" t="n">
        <v>43485</v>
      </c>
      <c r="B4428" s="155" t="s">
        <v>1481</v>
      </c>
      <c r="C4428" s="148" t="str">
        <f aca="false">VLOOKUP($A4428,INSUMOS_AUX!$A$3:$H$813,3,0)</f>
        <v>MAT.</v>
      </c>
      <c r="D4428" s="156" t="s">
        <v>1444</v>
      </c>
      <c r="E4428" s="154" t="n">
        <v>0.5202</v>
      </c>
      <c r="F4428" s="149" t="n">
        <f aca="false">IF(C4428="MAT.",VLOOKUP(A4428,INSUMOS_AUX!$A$3:$H$813,6,0),0)</f>
        <v>1.13</v>
      </c>
      <c r="G4428" s="149" t="n">
        <f aca="false">IF(C4428="M.O.",VLOOKUP(A4428,INSUMOS_AUX!A:F,6,0),0)</f>
        <v>0</v>
      </c>
    </row>
    <row r="4429" customFormat="false" ht="21" hidden="false" customHeight="false" outlineLevel="0" collapsed="false">
      <c r="A4429" s="154" t="n">
        <v>37372</v>
      </c>
      <c r="B4429" s="155" t="s">
        <v>1446</v>
      </c>
      <c r="C4429" s="148" t="str">
        <f aca="false">VLOOKUP($A4429,INSUMOS_AUX!$A$3:$H$813,3,0)</f>
        <v>MAT.</v>
      </c>
      <c r="D4429" s="156" t="s">
        <v>1444</v>
      </c>
      <c r="E4429" s="154" t="n">
        <v>0.5202</v>
      </c>
      <c r="F4429" s="149" t="n">
        <f aca="false">IF(C4429="MAT.",VLOOKUP(A4429,INSUMOS_AUX!$A$3:$H$813,6,0),0)</f>
        <v>1.43</v>
      </c>
      <c r="G4429" s="149" t="n">
        <f aca="false">IF(C4429="M.O.",VLOOKUP(A4429,INSUMOS_AUX!A:F,6,0),0)</f>
        <v>0</v>
      </c>
    </row>
    <row r="4430" customFormat="false" ht="21" hidden="false" customHeight="false" outlineLevel="0" collapsed="false">
      <c r="A4430" s="154" t="n">
        <v>43461</v>
      </c>
      <c r="B4430" s="155" t="s">
        <v>1482</v>
      </c>
      <c r="C4430" s="148" t="str">
        <f aca="false">VLOOKUP($A4430,INSUMOS_AUX!$A$3:$H$813,3,0)</f>
        <v>MAT.</v>
      </c>
      <c r="D4430" s="156" t="s">
        <v>1444</v>
      </c>
      <c r="E4430" s="154" t="n">
        <v>0.5202</v>
      </c>
      <c r="F4430" s="149" t="n">
        <f aca="false">IF(C4430="MAT.",VLOOKUP(A4430,INSUMOS_AUX!$A$3:$H$813,6,0),0)</f>
        <v>0.31</v>
      </c>
      <c r="G4430" s="149" t="n">
        <f aca="false">IF(C4430="M.O.",VLOOKUP(A4430,INSUMOS_AUX!A:F,6,0),0)</f>
        <v>0</v>
      </c>
    </row>
    <row r="4431" customFormat="false" ht="21" hidden="false" customHeight="false" outlineLevel="0" collapsed="false">
      <c r="A4431" s="154" t="n">
        <v>37373</v>
      </c>
      <c r="B4431" s="155" t="s">
        <v>1448</v>
      </c>
      <c r="C4431" s="148" t="s">
        <v>59</v>
      </c>
      <c r="D4431" s="156" t="s">
        <v>1444</v>
      </c>
      <c r="E4431" s="154" t="n">
        <v>0.5202</v>
      </c>
      <c r="F4431" s="149" t="n">
        <f aca="false">IF(C4431="MAT.",VLOOKUP(A4431,INSUMOS_AUX!$A$3:$H$813,6,0),0)</f>
        <v>0</v>
      </c>
      <c r="G4431" s="149" t="n">
        <f aca="false">IF(C4431="M.O.",VLOOKUP(A4431,INSUMOS_AUX!A:F,6,0),0)</f>
        <v>0</v>
      </c>
    </row>
    <row r="4432" customFormat="false" ht="21" hidden="false" customHeight="false" outlineLevel="0" collapsed="false">
      <c r="A4432" s="154" t="n">
        <v>37371</v>
      </c>
      <c r="B4432" s="155" t="s">
        <v>1449</v>
      </c>
      <c r="C4432" s="148" t="str">
        <f aca="false">VLOOKUP($A4432,INSUMOS_AUX!$A$3:$H$813,3,0)</f>
        <v>MAT.</v>
      </c>
      <c r="D4432" s="156" t="s">
        <v>1444</v>
      </c>
      <c r="E4432" s="154" t="n">
        <v>0.5202</v>
      </c>
      <c r="F4432" s="149" t="n">
        <f aca="false">IF(C4432="MAT.",VLOOKUP(A4432,INSUMOS_AUX!$A$3:$H$813,6,0),0)</f>
        <v>0.59</v>
      </c>
      <c r="G4432" s="149" t="n">
        <f aca="false">IF(C4432="M.O.",VLOOKUP(A4432,INSUMOS_AUX!A:F,6,0),0)</f>
        <v>0</v>
      </c>
    </row>
    <row r="4433" customFormat="false" ht="21" hidden="false" customHeight="false" outlineLevel="0" collapsed="false">
      <c r="A4433" s="154" t="n">
        <v>300</v>
      </c>
      <c r="B4433" s="155" t="s">
        <v>2227</v>
      </c>
      <c r="C4433" s="148" t="str">
        <f aca="false">VLOOKUP($A4433,INSUMOS_AUX!$A$3:$H$813,3,0)</f>
        <v>MAT.</v>
      </c>
      <c r="D4433" s="156" t="s">
        <v>31</v>
      </c>
      <c r="E4433" s="154" t="n">
        <v>2</v>
      </c>
      <c r="F4433" s="149" t="n">
        <f aca="false">IF(C4433="MAT.",VLOOKUP(A4433,INSUMOS_AUX!$A$3:$H$813,6,0),0)</f>
        <v>12.18</v>
      </c>
      <c r="G4433" s="149" t="n">
        <f aca="false">IF(C4433="M.O.",VLOOKUP(A4433,INSUMOS_AUX!A:F,6,0),0)</f>
        <v>0</v>
      </c>
    </row>
    <row r="4434" customFormat="false" ht="15" hidden="false" customHeight="false" outlineLevel="0" collapsed="false">
      <c r="A4434" s="154" t="n">
        <v>20152</v>
      </c>
      <c r="B4434" s="155" t="s">
        <v>2228</v>
      </c>
      <c r="C4434" s="148" t="str">
        <f aca="false">VLOOKUP($A4434,INSUMOS_AUX!$A$3:$H$813,3,0)</f>
        <v>MAT.</v>
      </c>
      <c r="D4434" s="156" t="s">
        <v>31</v>
      </c>
      <c r="E4434" s="154" t="n">
        <v>1</v>
      </c>
      <c r="F4434" s="149" t="n">
        <f aca="false">IF(C4434="MAT.",VLOOKUP(A4434,INSUMOS_AUX!$A$3:$H$813,6,0),0)</f>
        <v>78.58</v>
      </c>
      <c r="G4434" s="149" t="n">
        <f aca="false">IF(C4434="M.O.",VLOOKUP(A4434,INSUMOS_AUX!A:F,6,0),0)</f>
        <v>0</v>
      </c>
    </row>
    <row r="4435" customFormat="false" ht="31.5" hidden="false" customHeight="false" outlineLevel="0" collapsed="false">
      <c r="A4435" s="154" t="n">
        <v>20078</v>
      </c>
      <c r="B4435" s="155" t="s">
        <v>2123</v>
      </c>
      <c r="C4435" s="148" t="str">
        <f aca="false">VLOOKUP($A4435,INSUMOS_AUX!$A$3:$H$813,3,0)</f>
        <v>MAT.</v>
      </c>
      <c r="D4435" s="156" t="s">
        <v>31</v>
      </c>
      <c r="E4435" s="154" t="n">
        <v>0.175</v>
      </c>
      <c r="F4435" s="149" t="n">
        <f aca="false">IF(C4435="MAT.",VLOOKUP(A4435,INSUMOS_AUX!$A$3:$H$813,6,0),0)</f>
        <v>26.04</v>
      </c>
      <c r="G4435" s="149" t="n">
        <f aca="false">IF(C4435="M.O.",VLOOKUP(A4435,INSUMOS_AUX!A:F,6,0),0)</f>
        <v>0</v>
      </c>
    </row>
    <row r="4436" customFormat="false" ht="15" hidden="false" customHeight="false" outlineLevel="0" collapsed="false">
      <c r="A4436" s="154" t="n">
        <v>246</v>
      </c>
      <c r="B4436" s="155" t="s">
        <v>1752</v>
      </c>
      <c r="C4436" s="148" t="str">
        <f aca="false">VLOOKUP($A4436,INSUMOS_AUX!$A$3:$H$813,3,0)</f>
        <v>M.O.</v>
      </c>
      <c r="D4436" s="156" t="s">
        <v>1444</v>
      </c>
      <c r="E4436" s="154" t="n">
        <v>0.264776598</v>
      </c>
      <c r="F4436" s="149" t="n">
        <f aca="false">IF(C4436="MAT.",VLOOKUP(A4436,INSUMOS_AUX!$A$3:$H$813,6,0),0)</f>
        <v>0</v>
      </c>
      <c r="G4436" s="149" t="n">
        <f aca="false">IF(C4436="M.O.",VLOOKUP(A4436,INSUMOS_AUX!A:F,6,0),0)</f>
        <v>13.26</v>
      </c>
    </row>
    <row r="4437" customFormat="false" ht="15" hidden="false" customHeight="false" outlineLevel="0" collapsed="false">
      <c r="A4437" s="154" t="n">
        <v>2696</v>
      </c>
      <c r="B4437" s="155" t="s">
        <v>1483</v>
      </c>
      <c r="C4437" s="148" t="str">
        <f aca="false">VLOOKUP($A4437,INSUMOS_AUX!$A$3:$H$813,3,0)</f>
        <v>M.O.</v>
      </c>
      <c r="D4437" s="156" t="s">
        <v>1444</v>
      </c>
      <c r="E4437" s="154" t="n">
        <v>0.264776598</v>
      </c>
      <c r="F4437" s="149" t="n">
        <f aca="false">IF(C4437="MAT.",VLOOKUP(A4437,INSUMOS_AUX!$A$3:$H$813,6,0),0)</f>
        <v>0</v>
      </c>
      <c r="G4437" s="149" t="n">
        <f aca="false">IF(C4437="M.O.",VLOOKUP(A4437,INSUMOS_AUX!A:F,6,0),0)</f>
        <v>20.22</v>
      </c>
    </row>
    <row r="4438" customFormat="false" ht="31.5" hidden="false" customHeight="false" outlineLevel="0" collapsed="false">
      <c r="A4438" s="150" t="n">
        <v>89524</v>
      </c>
      <c r="B4438" s="151" t="s">
        <v>2229</v>
      </c>
      <c r="C4438" s="152" t="s">
        <v>59</v>
      </c>
      <c r="D4438" s="152" t="s">
        <v>31</v>
      </c>
      <c r="E4438" s="150"/>
      <c r="F4438" s="153" t="n">
        <f aca="false">(SUMPRODUCT($E4439:$E4449,F4439:F4449))*1</f>
        <v>26.96571</v>
      </c>
      <c r="G4438" s="153" t="n">
        <f aca="false">(SUMPRODUCT($E4439:$E4449,G4439:G4449))*1</f>
        <v>3.20711341464</v>
      </c>
    </row>
    <row r="4439" customFormat="false" ht="21" hidden="false" customHeight="false" outlineLevel="0" collapsed="false">
      <c r="A4439" s="154" t="n">
        <v>37370</v>
      </c>
      <c r="B4439" s="155" t="s">
        <v>1443</v>
      </c>
      <c r="C4439" s="148" t="str">
        <f aca="false">VLOOKUP($A4439,INSUMOS_AUX!$A$3:$H$813,3,0)</f>
        <v>MAT.</v>
      </c>
      <c r="D4439" s="156" t="s">
        <v>1444</v>
      </c>
      <c r="E4439" s="154" t="n">
        <v>0.1882</v>
      </c>
      <c r="F4439" s="149" t="n">
        <f aca="false">IF(C4439="MAT.",VLOOKUP(A4439,INSUMOS_AUX!$A$3:$H$813,6,0),0)</f>
        <v>3.32</v>
      </c>
      <c r="G4439" s="149" t="n">
        <f aca="false">IF(C4439="M.O.",VLOOKUP(A4439,INSUMOS_AUX!A:F,6,0),0)</f>
        <v>0</v>
      </c>
    </row>
    <row r="4440" customFormat="false" ht="21" hidden="false" customHeight="false" outlineLevel="0" collapsed="false">
      <c r="A4440" s="154" t="n">
        <v>43485</v>
      </c>
      <c r="B4440" s="155" t="s">
        <v>1481</v>
      </c>
      <c r="C4440" s="148" t="str">
        <f aca="false">VLOOKUP($A4440,INSUMOS_AUX!$A$3:$H$813,3,0)</f>
        <v>MAT.</v>
      </c>
      <c r="D4440" s="156" t="s">
        <v>1444</v>
      </c>
      <c r="E4440" s="154" t="n">
        <v>0.1882</v>
      </c>
      <c r="F4440" s="149" t="n">
        <f aca="false">IF(C4440="MAT.",VLOOKUP(A4440,INSUMOS_AUX!$A$3:$H$813,6,0),0)</f>
        <v>1.13</v>
      </c>
      <c r="G4440" s="149" t="n">
        <f aca="false">IF(C4440="M.O.",VLOOKUP(A4440,INSUMOS_AUX!A:F,6,0),0)</f>
        <v>0</v>
      </c>
    </row>
    <row r="4441" customFormat="false" ht="21" hidden="false" customHeight="false" outlineLevel="0" collapsed="false">
      <c r="A4441" s="154" t="n">
        <v>37372</v>
      </c>
      <c r="B4441" s="155" t="s">
        <v>1446</v>
      </c>
      <c r="C4441" s="148" t="str">
        <f aca="false">VLOOKUP($A4441,INSUMOS_AUX!$A$3:$H$813,3,0)</f>
        <v>MAT.</v>
      </c>
      <c r="D4441" s="156" t="s">
        <v>1444</v>
      </c>
      <c r="E4441" s="154" t="n">
        <v>0.1882</v>
      </c>
      <c r="F4441" s="149" t="n">
        <f aca="false">IF(C4441="MAT.",VLOOKUP(A4441,INSUMOS_AUX!$A$3:$H$813,6,0),0)</f>
        <v>1.43</v>
      </c>
      <c r="G4441" s="149" t="n">
        <f aca="false">IF(C4441="M.O.",VLOOKUP(A4441,INSUMOS_AUX!A:F,6,0),0)</f>
        <v>0</v>
      </c>
    </row>
    <row r="4442" customFormat="false" ht="21" hidden="false" customHeight="false" outlineLevel="0" collapsed="false">
      <c r="A4442" s="154" t="n">
        <v>43461</v>
      </c>
      <c r="B4442" s="155" t="s">
        <v>1482</v>
      </c>
      <c r="C4442" s="148" t="s">
        <v>59</v>
      </c>
      <c r="D4442" s="156" t="s">
        <v>1444</v>
      </c>
      <c r="E4442" s="154" t="n">
        <v>0.1882</v>
      </c>
      <c r="F4442" s="149" t="n">
        <f aca="false">IF(C4442="MAT.",VLOOKUP(A4442,INSUMOS_AUX!$A$3:$H$813,6,0),0)</f>
        <v>0</v>
      </c>
      <c r="G4442" s="149" t="n">
        <f aca="false">IF(C4442="M.O.",VLOOKUP(A4442,INSUMOS_AUX!A:F,6,0),0)</f>
        <v>0</v>
      </c>
    </row>
    <row r="4443" customFormat="false" ht="21" hidden="false" customHeight="false" outlineLevel="0" collapsed="false">
      <c r="A4443" s="154" t="n">
        <v>37373</v>
      </c>
      <c r="B4443" s="155" t="s">
        <v>1448</v>
      </c>
      <c r="C4443" s="148" t="str">
        <f aca="false">VLOOKUP($A4443,INSUMOS_AUX!$A$3:$H$813,3,0)</f>
        <v>MAT.</v>
      </c>
      <c r="D4443" s="156" t="s">
        <v>1444</v>
      </c>
      <c r="E4443" s="154" t="n">
        <v>0.1882</v>
      </c>
      <c r="F4443" s="149" t="n">
        <f aca="false">IF(C4443="MAT.",VLOOKUP(A4443,INSUMOS_AUX!$A$3:$H$813,6,0),0)</f>
        <v>0.08</v>
      </c>
      <c r="G4443" s="149" t="n">
        <f aca="false">IF(C4443="M.O.",VLOOKUP(A4443,INSUMOS_AUX!A:F,6,0),0)</f>
        <v>0</v>
      </c>
    </row>
    <row r="4444" customFormat="false" ht="21" hidden="false" customHeight="false" outlineLevel="0" collapsed="false">
      <c r="A4444" s="154" t="n">
        <v>37371</v>
      </c>
      <c r="B4444" s="155" t="s">
        <v>1449</v>
      </c>
      <c r="C4444" s="148" t="str">
        <f aca="false">VLOOKUP($A4444,INSUMOS_AUX!$A$3:$H$813,3,0)</f>
        <v>MAT.</v>
      </c>
      <c r="D4444" s="156" t="s">
        <v>1444</v>
      </c>
      <c r="E4444" s="154" t="n">
        <v>0.1882</v>
      </c>
      <c r="F4444" s="149" t="n">
        <f aca="false">IF(C4444="MAT.",VLOOKUP(A4444,INSUMOS_AUX!$A$3:$H$813,6,0),0)</f>
        <v>0.59</v>
      </c>
      <c r="G4444" s="149" t="n">
        <f aca="false">IF(C4444="M.O.",VLOOKUP(A4444,INSUMOS_AUX!A:F,6,0),0)</f>
        <v>0</v>
      </c>
    </row>
    <row r="4445" customFormat="false" ht="21" hidden="false" customHeight="false" outlineLevel="0" collapsed="false">
      <c r="A4445" s="154" t="n">
        <v>298</v>
      </c>
      <c r="B4445" s="155" t="s">
        <v>2230</v>
      </c>
      <c r="C4445" s="148" t="str">
        <f aca="false">VLOOKUP($A4445,INSUMOS_AUX!$A$3:$H$813,3,0)</f>
        <v>MAT.</v>
      </c>
      <c r="D4445" s="156" t="s">
        <v>31</v>
      </c>
      <c r="E4445" s="154" t="n">
        <v>2</v>
      </c>
      <c r="F4445" s="149" t="n">
        <f aca="false">IF(C4445="MAT.",VLOOKUP(A4445,INSUMOS_AUX!$A$3:$H$813,6,0),0)</f>
        <v>2.7</v>
      </c>
      <c r="G4445" s="149" t="n">
        <f aca="false">IF(C4445="M.O.",VLOOKUP(A4445,INSUMOS_AUX!A:F,6,0),0)</f>
        <v>0</v>
      </c>
    </row>
    <row r="4446" customFormat="false" ht="15" hidden="false" customHeight="false" outlineLevel="0" collapsed="false">
      <c r="A4446" s="154" t="n">
        <v>20150</v>
      </c>
      <c r="B4446" s="155" t="s">
        <v>2231</v>
      </c>
      <c r="C4446" s="148" t="str">
        <f aca="false">VLOOKUP($A4446,INSUMOS_AUX!$A$3:$H$813,3,0)</f>
        <v>MAT.</v>
      </c>
      <c r="D4446" s="156" t="s">
        <v>31</v>
      </c>
      <c r="E4446" s="154" t="n">
        <v>1</v>
      </c>
      <c r="F4446" s="149" t="n">
        <f aca="false">IF(C4446="MAT.",VLOOKUP(A4446,INSUMOS_AUX!$A$3:$H$813,6,0),0)</f>
        <v>18.38</v>
      </c>
      <c r="G4446" s="149" t="n">
        <f aca="false">IF(C4446="M.O.",VLOOKUP(A4446,INSUMOS_AUX!A:F,6,0),0)</f>
        <v>0</v>
      </c>
    </row>
    <row r="4447" customFormat="false" ht="31.5" hidden="false" customHeight="false" outlineLevel="0" collapsed="false">
      <c r="A4447" s="154" t="n">
        <v>20078</v>
      </c>
      <c r="B4447" s="155" t="s">
        <v>2123</v>
      </c>
      <c r="C4447" s="148" t="str">
        <f aca="false">VLOOKUP($A4447,INSUMOS_AUX!$A$3:$H$813,3,0)</f>
        <v>MAT.</v>
      </c>
      <c r="D4447" s="156" t="s">
        <v>31</v>
      </c>
      <c r="E4447" s="154" t="n">
        <v>0.075</v>
      </c>
      <c r="F4447" s="149" t="n">
        <f aca="false">IF(C4447="MAT.",VLOOKUP(A4447,INSUMOS_AUX!$A$3:$H$813,6,0),0)</f>
        <v>26.04</v>
      </c>
      <c r="G4447" s="149" t="n">
        <f aca="false">IF(C4447="M.O.",VLOOKUP(A4447,INSUMOS_AUX!A:F,6,0),0)</f>
        <v>0</v>
      </c>
    </row>
    <row r="4448" customFormat="false" ht="15" hidden="false" customHeight="false" outlineLevel="0" collapsed="false">
      <c r="A4448" s="154" t="n">
        <v>246</v>
      </c>
      <c r="B4448" s="155" t="s">
        <v>1752</v>
      </c>
      <c r="C4448" s="148" t="str">
        <f aca="false">VLOOKUP($A4448,INSUMOS_AUX!$A$3:$H$813,3,0)</f>
        <v>M.O.</v>
      </c>
      <c r="D4448" s="156" t="s">
        <v>1444</v>
      </c>
      <c r="E4448" s="154" t="n">
        <v>0.095791918</v>
      </c>
      <c r="F4448" s="149" t="n">
        <f aca="false">IF(C4448="MAT.",VLOOKUP(A4448,INSUMOS_AUX!$A$3:$H$813,6,0),0)</f>
        <v>0</v>
      </c>
      <c r="G4448" s="149" t="n">
        <f aca="false">IF(C4448="M.O.",VLOOKUP(A4448,INSUMOS_AUX!A:F,6,0),0)</f>
        <v>13.26</v>
      </c>
    </row>
    <row r="4449" customFormat="false" ht="15" hidden="false" customHeight="false" outlineLevel="0" collapsed="false">
      <c r="A4449" s="154" t="n">
        <v>2696</v>
      </c>
      <c r="B4449" s="155" t="s">
        <v>1483</v>
      </c>
      <c r="C4449" s="148" t="str">
        <f aca="false">VLOOKUP($A4449,INSUMOS_AUX!$A$3:$H$813,3,0)</f>
        <v>M.O.</v>
      </c>
      <c r="D4449" s="156" t="s">
        <v>1444</v>
      </c>
      <c r="E4449" s="154" t="n">
        <v>0.095791918</v>
      </c>
      <c r="F4449" s="149" t="n">
        <f aca="false">IF(C4449="MAT.",VLOOKUP(A4449,INSUMOS_AUX!$A$3:$H$813,6,0),0)</f>
        <v>0</v>
      </c>
      <c r="G4449" s="149" t="n">
        <f aca="false">IF(C4449="M.O.",VLOOKUP(A4449,INSUMOS_AUX!A:F,6,0),0)</f>
        <v>20.22</v>
      </c>
    </row>
    <row r="4450" customFormat="false" ht="31.5" hidden="false" customHeight="false" outlineLevel="0" collapsed="false">
      <c r="A4450" s="150" t="n">
        <v>89584</v>
      </c>
      <c r="B4450" s="151" t="s">
        <v>2232</v>
      </c>
      <c r="C4450" s="152" t="s">
        <v>59</v>
      </c>
      <c r="D4450" s="152" t="s">
        <v>31</v>
      </c>
      <c r="E4450" s="150"/>
      <c r="F4450" s="153" t="n">
        <f aca="false">(SUMPRODUCT($E4451:$E4461,F4451:F4461))*1</f>
        <v>33.628294</v>
      </c>
      <c r="G4450" s="153" t="n">
        <f aca="false">(SUMPRODUCT($E4451:$E4461,G4451:G4461))*1</f>
        <v>9.30096972216</v>
      </c>
    </row>
    <row r="4451" customFormat="false" ht="21" hidden="false" customHeight="false" outlineLevel="0" collapsed="false">
      <c r="A4451" s="154" t="n">
        <v>37370</v>
      </c>
      <c r="B4451" s="155" t="s">
        <v>1443</v>
      </c>
      <c r="C4451" s="148" t="str">
        <f aca="false">VLOOKUP($A4451,INSUMOS_AUX!$A$3:$H$813,3,0)</f>
        <v>MAT.</v>
      </c>
      <c r="D4451" s="156" t="s">
        <v>1444</v>
      </c>
      <c r="E4451" s="154" t="n">
        <v>0.5458</v>
      </c>
      <c r="F4451" s="149" t="n">
        <f aca="false">IF(C4451="MAT.",VLOOKUP(A4451,INSUMOS_AUX!$A$3:$H$813,6,0),0)</f>
        <v>3.32</v>
      </c>
      <c r="G4451" s="149" t="n">
        <f aca="false">IF(C4451="M.O.",VLOOKUP(A4451,INSUMOS_AUX!A:F,6,0),0)</f>
        <v>0</v>
      </c>
    </row>
    <row r="4452" customFormat="false" ht="21" hidden="false" customHeight="false" outlineLevel="0" collapsed="false">
      <c r="A4452" s="154" t="n">
        <v>43485</v>
      </c>
      <c r="B4452" s="155" t="s">
        <v>1481</v>
      </c>
      <c r="C4452" s="148" t="str">
        <f aca="false">VLOOKUP($A4452,INSUMOS_AUX!$A$3:$H$813,3,0)</f>
        <v>MAT.</v>
      </c>
      <c r="D4452" s="156" t="s">
        <v>1444</v>
      </c>
      <c r="E4452" s="154" t="n">
        <v>0.5458</v>
      </c>
      <c r="F4452" s="149" t="n">
        <f aca="false">IF(C4452="MAT.",VLOOKUP(A4452,INSUMOS_AUX!$A$3:$H$813,6,0),0)</f>
        <v>1.13</v>
      </c>
      <c r="G4452" s="149" t="n">
        <f aca="false">IF(C4452="M.O.",VLOOKUP(A4452,INSUMOS_AUX!A:F,6,0),0)</f>
        <v>0</v>
      </c>
    </row>
    <row r="4453" customFormat="false" ht="21" hidden="false" customHeight="false" outlineLevel="0" collapsed="false">
      <c r="A4453" s="154" t="n">
        <v>37372</v>
      </c>
      <c r="B4453" s="155" t="s">
        <v>1446</v>
      </c>
      <c r="C4453" s="148" t="s">
        <v>59</v>
      </c>
      <c r="D4453" s="156" t="s">
        <v>1444</v>
      </c>
      <c r="E4453" s="154" t="n">
        <v>0.5458</v>
      </c>
      <c r="F4453" s="149" t="n">
        <f aca="false">IF(C4453="MAT.",VLOOKUP(A4453,INSUMOS_AUX!$A$3:$H$813,6,0),0)</f>
        <v>0</v>
      </c>
      <c r="G4453" s="149" t="n">
        <f aca="false">IF(C4453="M.O.",VLOOKUP(A4453,INSUMOS_AUX!A:F,6,0),0)</f>
        <v>0</v>
      </c>
    </row>
    <row r="4454" customFormat="false" ht="21" hidden="false" customHeight="false" outlineLevel="0" collapsed="false">
      <c r="A4454" s="154" t="n">
        <v>43461</v>
      </c>
      <c r="B4454" s="155" t="s">
        <v>1482</v>
      </c>
      <c r="C4454" s="148" t="str">
        <f aca="false">VLOOKUP($A4454,INSUMOS_AUX!$A$3:$H$813,3,0)</f>
        <v>MAT.</v>
      </c>
      <c r="D4454" s="156" t="s">
        <v>1444</v>
      </c>
      <c r="E4454" s="154" t="n">
        <v>0.5458</v>
      </c>
      <c r="F4454" s="149" t="n">
        <f aca="false">IF(C4454="MAT.",VLOOKUP(A4454,INSUMOS_AUX!$A$3:$H$813,6,0),0)</f>
        <v>0.31</v>
      </c>
      <c r="G4454" s="149" t="n">
        <f aca="false">IF(C4454="M.O.",VLOOKUP(A4454,INSUMOS_AUX!A:F,6,0),0)</f>
        <v>0</v>
      </c>
    </row>
    <row r="4455" customFormat="false" ht="21" hidden="false" customHeight="false" outlineLevel="0" collapsed="false">
      <c r="A4455" s="154" t="n">
        <v>37373</v>
      </c>
      <c r="B4455" s="155" t="s">
        <v>1448</v>
      </c>
      <c r="C4455" s="148" t="str">
        <f aca="false">VLOOKUP($A4455,INSUMOS_AUX!$A$3:$H$813,3,0)</f>
        <v>MAT.</v>
      </c>
      <c r="D4455" s="156" t="s">
        <v>1444</v>
      </c>
      <c r="E4455" s="154" t="n">
        <v>0.5458</v>
      </c>
      <c r="F4455" s="149" t="n">
        <f aca="false">IF(C4455="MAT.",VLOOKUP(A4455,INSUMOS_AUX!$A$3:$H$813,6,0),0)</f>
        <v>0.08</v>
      </c>
      <c r="G4455" s="149" t="n">
        <f aca="false">IF(C4455="M.O.",VLOOKUP(A4455,INSUMOS_AUX!A:F,6,0),0)</f>
        <v>0</v>
      </c>
    </row>
    <row r="4456" customFormat="false" ht="21" hidden="false" customHeight="false" outlineLevel="0" collapsed="false">
      <c r="A4456" s="154" t="n">
        <v>37371</v>
      </c>
      <c r="B4456" s="155" t="s">
        <v>1449</v>
      </c>
      <c r="C4456" s="148" t="str">
        <f aca="false">VLOOKUP($A4456,INSUMOS_AUX!$A$3:$H$813,3,0)</f>
        <v>MAT.</v>
      </c>
      <c r="D4456" s="156" t="s">
        <v>1444</v>
      </c>
      <c r="E4456" s="154" t="n">
        <v>0.5458</v>
      </c>
      <c r="F4456" s="149" t="n">
        <f aca="false">IF(C4456="MAT.",VLOOKUP(A4456,INSUMOS_AUX!$A$3:$H$813,6,0),0)</f>
        <v>0.59</v>
      </c>
      <c r="G4456" s="149" t="n">
        <f aca="false">IF(C4456="M.O.",VLOOKUP(A4456,INSUMOS_AUX!A:F,6,0),0)</f>
        <v>0</v>
      </c>
    </row>
    <row r="4457" customFormat="false" ht="21" hidden="false" customHeight="false" outlineLevel="0" collapsed="false">
      <c r="A4457" s="154" t="n">
        <v>299</v>
      </c>
      <c r="B4457" s="155" t="s">
        <v>2224</v>
      </c>
      <c r="C4457" s="148" t="str">
        <f aca="false">VLOOKUP($A4457,INSUMOS_AUX!$A$3:$H$813,3,0)</f>
        <v>MAT.</v>
      </c>
      <c r="D4457" s="156" t="s">
        <v>31</v>
      </c>
      <c r="E4457" s="154" t="n">
        <v>2</v>
      </c>
      <c r="F4457" s="149" t="n">
        <f aca="false">IF(C4457="MAT.",VLOOKUP(A4457,INSUMOS_AUX!$A$3:$H$813,6,0),0)</f>
        <v>3.52</v>
      </c>
      <c r="G4457" s="149" t="n">
        <f aca="false">IF(C4457="M.O.",VLOOKUP(A4457,INSUMOS_AUX!A:F,6,0),0)</f>
        <v>0</v>
      </c>
    </row>
    <row r="4458" customFormat="false" ht="15" hidden="false" customHeight="false" outlineLevel="0" collapsed="false">
      <c r="A4458" s="154" t="n">
        <v>20157</v>
      </c>
      <c r="B4458" s="155" t="s">
        <v>2233</v>
      </c>
      <c r="C4458" s="148" t="str">
        <f aca="false">VLOOKUP($A4458,INSUMOS_AUX!$A$3:$H$813,3,0)</f>
        <v>MAT.</v>
      </c>
      <c r="D4458" s="156" t="s">
        <v>31</v>
      </c>
      <c r="E4458" s="154" t="n">
        <v>1</v>
      </c>
      <c r="F4458" s="149" t="n">
        <f aca="false">IF(C4458="MAT.",VLOOKUP(A4458,INSUMOS_AUX!$A$3:$H$813,6,0),0)</f>
        <v>20.63</v>
      </c>
      <c r="G4458" s="149" t="n">
        <f aca="false">IF(C4458="M.O.",VLOOKUP(A4458,INSUMOS_AUX!A:F,6,0),0)</f>
        <v>0</v>
      </c>
    </row>
    <row r="4459" customFormat="false" ht="31.5" hidden="false" customHeight="false" outlineLevel="0" collapsed="false">
      <c r="A4459" s="154" t="n">
        <v>20078</v>
      </c>
      <c r="B4459" s="155" t="s">
        <v>2123</v>
      </c>
      <c r="C4459" s="148" t="str">
        <f aca="false">VLOOKUP($A4459,INSUMOS_AUX!$A$3:$H$813,3,0)</f>
        <v>MAT.</v>
      </c>
      <c r="D4459" s="156" t="s">
        <v>31</v>
      </c>
      <c r="E4459" s="154" t="n">
        <v>0.115</v>
      </c>
      <c r="F4459" s="149" t="n">
        <f aca="false">IF(C4459="MAT.",VLOOKUP(A4459,INSUMOS_AUX!$A$3:$H$813,6,0),0)</f>
        <v>26.04</v>
      </c>
      <c r="G4459" s="149" t="n">
        <f aca="false">IF(C4459="M.O.",VLOOKUP(A4459,INSUMOS_AUX!A:F,6,0),0)</f>
        <v>0</v>
      </c>
    </row>
    <row r="4460" customFormat="false" ht="15" hidden="false" customHeight="false" outlineLevel="0" collapsed="false">
      <c r="A4460" s="154" t="n">
        <v>246</v>
      </c>
      <c r="B4460" s="155" t="s">
        <v>1752</v>
      </c>
      <c r="C4460" s="148" t="str">
        <f aca="false">VLOOKUP($A4460,INSUMOS_AUX!$A$3:$H$813,3,0)</f>
        <v>M.O.</v>
      </c>
      <c r="D4460" s="156" t="s">
        <v>1444</v>
      </c>
      <c r="E4460" s="154" t="n">
        <v>0.277806742</v>
      </c>
      <c r="F4460" s="149" t="n">
        <f aca="false">IF(C4460="MAT.",VLOOKUP(A4460,INSUMOS_AUX!$A$3:$H$813,6,0),0)</f>
        <v>0</v>
      </c>
      <c r="G4460" s="149" t="n">
        <f aca="false">IF(C4460="M.O.",VLOOKUP(A4460,INSUMOS_AUX!A:F,6,0),0)</f>
        <v>13.26</v>
      </c>
    </row>
    <row r="4461" customFormat="false" ht="15" hidden="false" customHeight="false" outlineLevel="0" collapsed="false">
      <c r="A4461" s="154" t="n">
        <v>2696</v>
      </c>
      <c r="B4461" s="155" t="s">
        <v>1483</v>
      </c>
      <c r="C4461" s="148" t="str">
        <f aca="false">VLOOKUP($A4461,INSUMOS_AUX!$A$3:$H$813,3,0)</f>
        <v>M.O.</v>
      </c>
      <c r="D4461" s="156" t="s">
        <v>1444</v>
      </c>
      <c r="E4461" s="154" t="n">
        <v>0.277806742</v>
      </c>
      <c r="F4461" s="149" t="n">
        <f aca="false">IF(C4461="MAT.",VLOOKUP(A4461,INSUMOS_AUX!$A$3:$H$813,6,0),0)</f>
        <v>0</v>
      </c>
      <c r="G4461" s="149" t="n">
        <f aca="false">IF(C4461="M.O.",VLOOKUP(A4461,INSUMOS_AUX!A:F,6,0),0)</f>
        <v>20.22</v>
      </c>
    </row>
    <row r="4462" customFormat="false" ht="31.5" hidden="false" customHeight="false" outlineLevel="0" collapsed="false">
      <c r="A4462" s="150" t="n">
        <v>89590</v>
      </c>
      <c r="B4462" s="151" t="s">
        <v>2234</v>
      </c>
      <c r="C4462" s="152" t="s">
        <v>59</v>
      </c>
      <c r="D4462" s="152" t="s">
        <v>31</v>
      </c>
      <c r="E4462" s="150"/>
      <c r="F4462" s="153" t="n">
        <f aca="false">(SUMPRODUCT($E4463:$E4473,F4463:F4473))*1</f>
        <v>117.293236</v>
      </c>
      <c r="G4462" s="153" t="n">
        <f aca="false">(SUMPRODUCT($E4463:$E4473,G4463:G4473))*1</f>
        <v>16.06283264952</v>
      </c>
    </row>
    <row r="4463" customFormat="false" ht="21" hidden="false" customHeight="false" outlineLevel="0" collapsed="false">
      <c r="A4463" s="154" t="n">
        <v>37370</v>
      </c>
      <c r="B4463" s="155" t="s">
        <v>1443</v>
      </c>
      <c r="C4463" s="148" t="str">
        <f aca="false">VLOOKUP($A4463,INSUMOS_AUX!$A$3:$H$813,3,0)</f>
        <v>MAT.</v>
      </c>
      <c r="D4463" s="156" t="s">
        <v>1444</v>
      </c>
      <c r="E4463" s="154" t="n">
        <v>0.9426</v>
      </c>
      <c r="F4463" s="149" t="n">
        <f aca="false">IF(C4463="MAT.",VLOOKUP(A4463,INSUMOS_AUX!$A$3:$H$813,6,0),0)</f>
        <v>3.32</v>
      </c>
      <c r="G4463" s="149" t="n">
        <f aca="false">IF(C4463="M.O.",VLOOKUP(A4463,INSUMOS_AUX!A:F,6,0),0)</f>
        <v>0</v>
      </c>
    </row>
    <row r="4464" customFormat="false" ht="21" hidden="false" customHeight="false" outlineLevel="0" collapsed="false">
      <c r="A4464" s="154" t="n">
        <v>43485</v>
      </c>
      <c r="B4464" s="155" t="s">
        <v>1481</v>
      </c>
      <c r="C4464" s="148" t="str">
        <f aca="false">VLOOKUP($A4464,INSUMOS_AUX!$A$3:$H$813,3,0)</f>
        <v>MAT.</v>
      </c>
      <c r="D4464" s="156" t="s">
        <v>1444</v>
      </c>
      <c r="E4464" s="154" t="n">
        <v>0.9426</v>
      </c>
      <c r="F4464" s="149" t="n">
        <f aca="false">IF(C4464="MAT.",VLOOKUP(A4464,INSUMOS_AUX!$A$3:$H$813,6,0),0)</f>
        <v>1.13</v>
      </c>
      <c r="G4464" s="149" t="n">
        <f aca="false">IF(C4464="M.O.",VLOOKUP(A4464,INSUMOS_AUX!A:F,6,0),0)</f>
        <v>0</v>
      </c>
    </row>
    <row r="4465" customFormat="false" ht="21" hidden="false" customHeight="false" outlineLevel="0" collapsed="false">
      <c r="A4465" s="154" t="n">
        <v>37372</v>
      </c>
      <c r="B4465" s="155" t="s">
        <v>1446</v>
      </c>
      <c r="C4465" s="148" t="str">
        <f aca="false">VLOOKUP($A4465,INSUMOS_AUX!$A$3:$H$813,3,0)</f>
        <v>MAT.</v>
      </c>
      <c r="D4465" s="156" t="s">
        <v>1444</v>
      </c>
      <c r="E4465" s="154" t="n">
        <v>0.9426</v>
      </c>
      <c r="F4465" s="149" t="n">
        <f aca="false">IF(C4465="MAT.",VLOOKUP(A4465,INSUMOS_AUX!$A$3:$H$813,6,0),0)</f>
        <v>1.43</v>
      </c>
      <c r="G4465" s="149" t="n">
        <f aca="false">IF(C4465="M.O.",VLOOKUP(A4465,INSUMOS_AUX!A:F,6,0),0)</f>
        <v>0</v>
      </c>
    </row>
    <row r="4466" customFormat="false" ht="21" hidden="false" customHeight="false" outlineLevel="0" collapsed="false">
      <c r="A4466" s="154" t="n">
        <v>43461</v>
      </c>
      <c r="B4466" s="155" t="s">
        <v>1482</v>
      </c>
      <c r="C4466" s="148" t="str">
        <f aca="false">VLOOKUP($A4466,INSUMOS_AUX!$A$3:$H$813,3,0)</f>
        <v>MAT.</v>
      </c>
      <c r="D4466" s="156" t="s">
        <v>1444</v>
      </c>
      <c r="E4466" s="154" t="n">
        <v>0.9426</v>
      </c>
      <c r="F4466" s="149" t="n">
        <f aca="false">IF(C4466="MAT.",VLOOKUP(A4466,INSUMOS_AUX!$A$3:$H$813,6,0),0)</f>
        <v>0.31</v>
      </c>
      <c r="G4466" s="149" t="n">
        <f aca="false">IF(C4466="M.O.",VLOOKUP(A4466,INSUMOS_AUX!A:F,6,0),0)</f>
        <v>0</v>
      </c>
    </row>
    <row r="4467" customFormat="false" ht="21" hidden="false" customHeight="false" outlineLevel="0" collapsed="false">
      <c r="A4467" s="154" t="n">
        <v>37373</v>
      </c>
      <c r="B4467" s="155" t="s">
        <v>1448</v>
      </c>
      <c r="C4467" s="148" t="str">
        <f aca="false">VLOOKUP($A4467,INSUMOS_AUX!$A$3:$H$813,3,0)</f>
        <v>MAT.</v>
      </c>
      <c r="D4467" s="156" t="s">
        <v>1444</v>
      </c>
      <c r="E4467" s="154" t="n">
        <v>0.9426</v>
      </c>
      <c r="F4467" s="149" t="n">
        <f aca="false">IF(C4467="MAT.",VLOOKUP(A4467,INSUMOS_AUX!$A$3:$H$813,6,0),0)</f>
        <v>0.08</v>
      </c>
      <c r="G4467" s="149" t="n">
        <f aca="false">IF(C4467="M.O.",VLOOKUP(A4467,INSUMOS_AUX!A:F,6,0),0)</f>
        <v>0</v>
      </c>
    </row>
    <row r="4468" customFormat="false" ht="21" hidden="false" customHeight="false" outlineLevel="0" collapsed="false">
      <c r="A4468" s="154" t="n">
        <v>37371</v>
      </c>
      <c r="B4468" s="155" t="s">
        <v>1449</v>
      </c>
      <c r="C4468" s="148" t="str">
        <f aca="false">VLOOKUP($A4468,INSUMOS_AUX!$A$3:$H$813,3,0)</f>
        <v>MAT.</v>
      </c>
      <c r="D4468" s="156" t="s">
        <v>1444</v>
      </c>
      <c r="E4468" s="154" t="n">
        <v>0.9426</v>
      </c>
      <c r="F4468" s="149" t="n">
        <f aca="false">IF(C4468="MAT.",VLOOKUP(A4468,INSUMOS_AUX!$A$3:$H$813,6,0),0)</f>
        <v>0.59</v>
      </c>
      <c r="G4468" s="149" t="n">
        <f aca="false">IF(C4468="M.O.",VLOOKUP(A4468,INSUMOS_AUX!A:F,6,0),0)</f>
        <v>0</v>
      </c>
    </row>
    <row r="4469" customFormat="false" ht="21" hidden="false" customHeight="false" outlineLevel="0" collapsed="false">
      <c r="A4469" s="154" t="n">
        <v>300</v>
      </c>
      <c r="B4469" s="155" t="s">
        <v>2227</v>
      </c>
      <c r="C4469" s="148" t="str">
        <f aca="false">VLOOKUP($A4469,INSUMOS_AUX!$A$3:$H$813,3,0)</f>
        <v>MAT.</v>
      </c>
      <c r="D4469" s="156" t="s">
        <v>31</v>
      </c>
      <c r="E4469" s="154" t="n">
        <v>2</v>
      </c>
      <c r="F4469" s="149" t="n">
        <f aca="false">IF(C4469="MAT.",VLOOKUP(A4469,INSUMOS_AUX!$A$3:$H$813,6,0),0)</f>
        <v>12.18</v>
      </c>
      <c r="G4469" s="149" t="n">
        <f aca="false">IF(C4469="M.O.",VLOOKUP(A4469,INSUMOS_AUX!A:F,6,0),0)</f>
        <v>0</v>
      </c>
    </row>
    <row r="4470" customFormat="false" ht="15" hidden="false" customHeight="false" outlineLevel="0" collapsed="false">
      <c r="A4470" s="154" t="n">
        <v>20158</v>
      </c>
      <c r="B4470" s="155" t="s">
        <v>2235</v>
      </c>
      <c r="C4470" s="148" t="str">
        <f aca="false">VLOOKUP($A4470,INSUMOS_AUX!$A$3:$H$813,3,0)</f>
        <v>MAT.</v>
      </c>
      <c r="D4470" s="156" t="s">
        <v>31</v>
      </c>
      <c r="E4470" s="154" t="n">
        <v>1</v>
      </c>
      <c r="F4470" s="149" t="n">
        <f aca="false">IF(C4470="MAT.",VLOOKUP(A4470,INSUMOS_AUX!$A$3:$H$813,6,0),0)</f>
        <v>81.91</v>
      </c>
      <c r="G4470" s="149" t="n">
        <f aca="false">IF(C4470="M.O.",VLOOKUP(A4470,INSUMOS_AUX!A:F,6,0),0)</f>
        <v>0</v>
      </c>
    </row>
    <row r="4471" customFormat="false" ht="31.5" hidden="false" customHeight="false" outlineLevel="0" collapsed="false">
      <c r="A4471" s="154" t="n">
        <v>20078</v>
      </c>
      <c r="B4471" s="155" t="s">
        <v>2123</v>
      </c>
      <c r="C4471" s="148" t="str">
        <f aca="false">VLOOKUP($A4471,INSUMOS_AUX!$A$3:$H$813,3,0)</f>
        <v>MAT.</v>
      </c>
      <c r="D4471" s="156" t="s">
        <v>31</v>
      </c>
      <c r="E4471" s="154" t="n">
        <v>0.175</v>
      </c>
      <c r="F4471" s="149" t="n">
        <f aca="false">IF(C4471="MAT.",VLOOKUP(A4471,INSUMOS_AUX!$A$3:$H$813,6,0),0)</f>
        <v>26.04</v>
      </c>
      <c r="G4471" s="149" t="n">
        <f aca="false">IF(C4471="M.O.",VLOOKUP(A4471,INSUMOS_AUX!A:F,6,0),0)</f>
        <v>0</v>
      </c>
    </row>
    <row r="4472" customFormat="false" ht="15" hidden="false" customHeight="false" outlineLevel="0" collapsed="false">
      <c r="A4472" s="154" t="n">
        <v>246</v>
      </c>
      <c r="B4472" s="155" t="s">
        <v>1752</v>
      </c>
      <c r="C4472" s="148" t="str">
        <f aca="false">VLOOKUP($A4472,INSUMOS_AUX!$A$3:$H$813,3,0)</f>
        <v>M.O.</v>
      </c>
      <c r="D4472" s="156" t="s">
        <v>1444</v>
      </c>
      <c r="E4472" s="154" t="n">
        <v>0.479773974</v>
      </c>
      <c r="F4472" s="149" t="n">
        <f aca="false">IF(C4472="MAT.",VLOOKUP(A4472,INSUMOS_AUX!$A$3:$H$813,6,0),0)</f>
        <v>0</v>
      </c>
      <c r="G4472" s="149" t="n">
        <f aca="false">IF(C4472="M.O.",VLOOKUP(A4472,INSUMOS_AUX!A:F,6,0),0)</f>
        <v>13.26</v>
      </c>
    </row>
    <row r="4473" customFormat="false" ht="15" hidden="false" customHeight="false" outlineLevel="0" collapsed="false">
      <c r="A4473" s="154" t="n">
        <v>2696</v>
      </c>
      <c r="B4473" s="155" t="s">
        <v>1483</v>
      </c>
      <c r="C4473" s="148" t="str">
        <f aca="false">VLOOKUP($A4473,INSUMOS_AUX!$A$3:$H$813,3,0)</f>
        <v>M.O.</v>
      </c>
      <c r="D4473" s="156" t="s">
        <v>1444</v>
      </c>
      <c r="E4473" s="154" t="n">
        <v>0.479773974</v>
      </c>
      <c r="F4473" s="149" t="n">
        <f aca="false">IF(C4473="MAT.",VLOOKUP(A4473,INSUMOS_AUX!$A$3:$H$813,6,0),0)</f>
        <v>0</v>
      </c>
      <c r="G4473" s="149" t="n">
        <f aca="false">IF(C4473="M.O.",VLOOKUP(A4473,INSUMOS_AUX!A:F,6,0),0)</f>
        <v>20.22</v>
      </c>
    </row>
    <row r="4474" customFormat="false" ht="31.5" hidden="false" customHeight="false" outlineLevel="0" collapsed="false">
      <c r="A4474" s="150" t="n">
        <v>89567</v>
      </c>
      <c r="B4474" s="151" t="s">
        <v>2236</v>
      </c>
      <c r="C4474" s="152" t="s">
        <v>59</v>
      </c>
      <c r="D4474" s="152" t="s">
        <v>31</v>
      </c>
      <c r="E4474" s="150"/>
      <c r="F4474" s="153" t="n">
        <f aca="false">(SUMPRODUCT($E4475:$E4485,F4475:F4485))*1</f>
        <v>74.987624</v>
      </c>
      <c r="G4474" s="153" t="n">
        <f aca="false">(SUMPRODUCT($E4475:$E4485,G4475:G4485))*1</f>
        <v>5.85187431768</v>
      </c>
    </row>
    <row r="4475" customFormat="false" ht="21" hidden="false" customHeight="false" outlineLevel="0" collapsed="false">
      <c r="A4475" s="154" t="n">
        <v>37370</v>
      </c>
      <c r="B4475" s="155" t="s">
        <v>1443</v>
      </c>
      <c r="C4475" s="148" t="str">
        <f aca="false">VLOOKUP($A4475,INSUMOS_AUX!$A$3:$H$813,3,0)</f>
        <v>MAT.</v>
      </c>
      <c r="D4475" s="156" t="s">
        <v>1444</v>
      </c>
      <c r="E4475" s="154" t="n">
        <v>0.3434</v>
      </c>
      <c r="F4475" s="149" t="n">
        <f aca="false">IF(C4475="MAT.",VLOOKUP(A4475,INSUMOS_AUX!$A$3:$H$813,6,0),0)</f>
        <v>3.32</v>
      </c>
      <c r="G4475" s="149" t="n">
        <f aca="false">IF(C4475="M.O.",VLOOKUP(A4475,INSUMOS_AUX!A:F,6,0),0)</f>
        <v>0</v>
      </c>
    </row>
    <row r="4476" customFormat="false" ht="21" hidden="false" customHeight="false" outlineLevel="0" collapsed="false">
      <c r="A4476" s="154" t="n">
        <v>43485</v>
      </c>
      <c r="B4476" s="155" t="s">
        <v>1481</v>
      </c>
      <c r="C4476" s="148" t="str">
        <f aca="false">VLOOKUP($A4476,INSUMOS_AUX!$A$3:$H$813,3,0)</f>
        <v>MAT.</v>
      </c>
      <c r="D4476" s="156" t="s">
        <v>1444</v>
      </c>
      <c r="E4476" s="154" t="n">
        <v>0.3434</v>
      </c>
      <c r="F4476" s="149" t="n">
        <f aca="false">IF(C4476="MAT.",VLOOKUP(A4476,INSUMOS_AUX!$A$3:$H$813,6,0),0)</f>
        <v>1.13</v>
      </c>
      <c r="G4476" s="149" t="n">
        <f aca="false">IF(C4476="M.O.",VLOOKUP(A4476,INSUMOS_AUX!A:F,6,0),0)</f>
        <v>0</v>
      </c>
    </row>
    <row r="4477" customFormat="false" ht="21" hidden="false" customHeight="false" outlineLevel="0" collapsed="false">
      <c r="A4477" s="154" t="n">
        <v>37372</v>
      </c>
      <c r="B4477" s="155" t="s">
        <v>1446</v>
      </c>
      <c r="C4477" s="148" t="str">
        <f aca="false">VLOOKUP($A4477,INSUMOS_AUX!$A$3:$H$813,3,0)</f>
        <v>MAT.</v>
      </c>
      <c r="D4477" s="156" t="s">
        <v>1444</v>
      </c>
      <c r="E4477" s="154" t="n">
        <v>0.3434</v>
      </c>
      <c r="F4477" s="149" t="n">
        <f aca="false">IF(C4477="MAT.",VLOOKUP(A4477,INSUMOS_AUX!$A$3:$H$813,6,0),0)</f>
        <v>1.43</v>
      </c>
      <c r="G4477" s="149" t="n">
        <f aca="false">IF(C4477="M.O.",VLOOKUP(A4477,INSUMOS_AUX!A:F,6,0),0)</f>
        <v>0</v>
      </c>
    </row>
    <row r="4478" customFormat="false" ht="21" hidden="false" customHeight="false" outlineLevel="0" collapsed="false">
      <c r="A4478" s="154" t="n">
        <v>43461</v>
      </c>
      <c r="B4478" s="155" t="s">
        <v>1482</v>
      </c>
      <c r="C4478" s="148" t="str">
        <f aca="false">VLOOKUP($A4478,INSUMOS_AUX!$A$3:$H$813,3,0)</f>
        <v>MAT.</v>
      </c>
      <c r="D4478" s="156" t="s">
        <v>1444</v>
      </c>
      <c r="E4478" s="154" t="n">
        <v>0.3434</v>
      </c>
      <c r="F4478" s="149" t="n">
        <f aca="false">IF(C4478="MAT.",VLOOKUP(A4478,INSUMOS_AUX!$A$3:$H$813,6,0),0)</f>
        <v>0.31</v>
      </c>
      <c r="G4478" s="149" t="n">
        <f aca="false">IF(C4478="M.O.",VLOOKUP(A4478,INSUMOS_AUX!A:F,6,0),0)</f>
        <v>0</v>
      </c>
    </row>
    <row r="4479" customFormat="false" ht="21" hidden="false" customHeight="false" outlineLevel="0" collapsed="false">
      <c r="A4479" s="154" t="n">
        <v>37373</v>
      </c>
      <c r="B4479" s="155" t="s">
        <v>1448</v>
      </c>
      <c r="C4479" s="148" t="str">
        <f aca="false">VLOOKUP($A4479,INSUMOS_AUX!$A$3:$H$813,3,0)</f>
        <v>MAT.</v>
      </c>
      <c r="D4479" s="156" t="s">
        <v>1444</v>
      </c>
      <c r="E4479" s="154" t="n">
        <v>0.3434</v>
      </c>
      <c r="F4479" s="149" t="n">
        <f aca="false">IF(C4479="MAT.",VLOOKUP(A4479,INSUMOS_AUX!$A$3:$H$813,6,0),0)</f>
        <v>0.08</v>
      </c>
      <c r="G4479" s="149" t="n">
        <f aca="false">IF(C4479="M.O.",VLOOKUP(A4479,INSUMOS_AUX!A:F,6,0),0)</f>
        <v>0</v>
      </c>
    </row>
    <row r="4480" customFormat="false" ht="21" hidden="false" customHeight="false" outlineLevel="0" collapsed="false">
      <c r="A4480" s="154" t="n">
        <v>37371</v>
      </c>
      <c r="B4480" s="155" t="s">
        <v>1449</v>
      </c>
      <c r="C4480" s="148" t="str">
        <f aca="false">VLOOKUP($A4480,INSUMOS_AUX!$A$3:$H$813,3,0)</f>
        <v>MAT.</v>
      </c>
      <c r="D4480" s="156" t="s">
        <v>1444</v>
      </c>
      <c r="E4480" s="154" t="n">
        <v>0.3434</v>
      </c>
      <c r="F4480" s="149" t="n">
        <f aca="false">IF(C4480="MAT.",VLOOKUP(A4480,INSUMOS_AUX!$A$3:$H$813,6,0),0)</f>
        <v>0.59</v>
      </c>
      <c r="G4480" s="149" t="n">
        <f aca="false">IF(C4480="M.O.",VLOOKUP(A4480,INSUMOS_AUX!A:F,6,0),0)</f>
        <v>0</v>
      </c>
    </row>
    <row r="4481" customFormat="false" ht="21" hidden="false" customHeight="false" outlineLevel="0" collapsed="false">
      <c r="A4481" s="154" t="n">
        <v>299</v>
      </c>
      <c r="B4481" s="155" t="s">
        <v>2224</v>
      </c>
      <c r="C4481" s="148" t="str">
        <f aca="false">VLOOKUP($A4481,INSUMOS_AUX!$A$3:$H$813,3,0)</f>
        <v>MAT.</v>
      </c>
      <c r="D4481" s="156" t="s">
        <v>31</v>
      </c>
      <c r="E4481" s="154" t="n">
        <v>3</v>
      </c>
      <c r="F4481" s="149" t="n">
        <f aca="false">IF(C4481="MAT.",VLOOKUP(A4481,INSUMOS_AUX!$A$3:$H$813,6,0),0)</f>
        <v>3.52</v>
      </c>
      <c r="G4481" s="149" t="n">
        <f aca="false">IF(C4481="M.O.",VLOOKUP(A4481,INSUMOS_AUX!A:F,6,0),0)</f>
        <v>0</v>
      </c>
    </row>
    <row r="4482" customFormat="false" ht="21" hidden="false" customHeight="false" outlineLevel="0" collapsed="false">
      <c r="A4482" s="154" t="n">
        <v>20144</v>
      </c>
      <c r="B4482" s="155" t="s">
        <v>2237</v>
      </c>
      <c r="C4482" s="148" t="str">
        <f aca="false">VLOOKUP($A4482,INSUMOS_AUX!$A$3:$H$813,3,0)</f>
        <v>MAT.</v>
      </c>
      <c r="D4482" s="156" t="s">
        <v>31</v>
      </c>
      <c r="E4482" s="154" t="n">
        <v>1</v>
      </c>
      <c r="F4482" s="149" t="n">
        <f aca="false">IF(C4482="MAT.",VLOOKUP(A4482,INSUMOS_AUX!$A$3:$H$813,6,0),0)</f>
        <v>57.58</v>
      </c>
      <c r="G4482" s="149" t="n">
        <f aca="false">IF(C4482="M.O.",VLOOKUP(A4482,INSUMOS_AUX!A:F,6,0),0)</f>
        <v>0</v>
      </c>
    </row>
    <row r="4483" customFormat="false" ht="31.5" hidden="false" customHeight="false" outlineLevel="0" collapsed="false">
      <c r="A4483" s="154" t="n">
        <v>20078</v>
      </c>
      <c r="B4483" s="155" t="s">
        <v>2123</v>
      </c>
      <c r="C4483" s="148" t="str">
        <f aca="false">VLOOKUP($A4483,INSUMOS_AUX!$A$3:$H$813,3,0)</f>
        <v>MAT.</v>
      </c>
      <c r="D4483" s="156" t="s">
        <v>31</v>
      </c>
      <c r="E4483" s="154" t="n">
        <v>0.1725</v>
      </c>
      <c r="F4483" s="149" t="n">
        <f aca="false">IF(C4483="MAT.",VLOOKUP(A4483,INSUMOS_AUX!$A$3:$H$813,6,0),0)</f>
        <v>26.04</v>
      </c>
      <c r="G4483" s="149" t="n">
        <f aca="false">IF(C4483="M.O.",VLOOKUP(A4483,INSUMOS_AUX!A:F,6,0),0)</f>
        <v>0</v>
      </c>
    </row>
    <row r="4484" customFormat="false" ht="15" hidden="false" customHeight="false" outlineLevel="0" collapsed="false">
      <c r="A4484" s="154" t="n">
        <v>246</v>
      </c>
      <c r="B4484" s="155" t="s">
        <v>1752</v>
      </c>
      <c r="C4484" s="148" t="str">
        <f aca="false">VLOOKUP($A4484,INSUMOS_AUX!$A$3:$H$813,3,0)</f>
        <v>M.O.</v>
      </c>
      <c r="D4484" s="156" t="s">
        <v>1444</v>
      </c>
      <c r="E4484" s="154" t="n">
        <v>0.174787166</v>
      </c>
      <c r="F4484" s="149" t="n">
        <f aca="false">IF(C4484="MAT.",VLOOKUP(A4484,INSUMOS_AUX!$A$3:$H$813,6,0),0)</f>
        <v>0</v>
      </c>
      <c r="G4484" s="149" t="n">
        <f aca="false">IF(C4484="M.O.",VLOOKUP(A4484,INSUMOS_AUX!A:F,6,0),0)</f>
        <v>13.26</v>
      </c>
    </row>
    <row r="4485" customFormat="false" ht="15" hidden="false" customHeight="false" outlineLevel="0" collapsed="false">
      <c r="A4485" s="154" t="n">
        <v>2696</v>
      </c>
      <c r="B4485" s="155" t="s">
        <v>1483</v>
      </c>
      <c r="C4485" s="148" t="str">
        <f aca="false">VLOOKUP($A4485,INSUMOS_AUX!$A$3:$H$813,3,0)</f>
        <v>M.O.</v>
      </c>
      <c r="D4485" s="156" t="s">
        <v>1444</v>
      </c>
      <c r="E4485" s="154" t="n">
        <v>0.174787166</v>
      </c>
      <c r="F4485" s="149" t="n">
        <f aca="false">IF(C4485="MAT.",VLOOKUP(A4485,INSUMOS_AUX!$A$3:$H$813,6,0),0)</f>
        <v>0</v>
      </c>
      <c r="G4485" s="149" t="n">
        <f aca="false">IF(C4485="M.O.",VLOOKUP(A4485,INSUMOS_AUX!A:F,6,0),0)</f>
        <v>20.22</v>
      </c>
    </row>
    <row r="4486" customFormat="false" ht="31.5" hidden="false" customHeight="false" outlineLevel="0" collapsed="false">
      <c r="A4486" s="150" t="n">
        <v>104176</v>
      </c>
      <c r="B4486" s="151" t="s">
        <v>2238</v>
      </c>
      <c r="C4486" s="152" t="s">
        <v>59</v>
      </c>
      <c r="D4486" s="152" t="s">
        <v>31</v>
      </c>
      <c r="E4486" s="150"/>
      <c r="F4486" s="153" t="n">
        <f aca="false">(SUMPRODUCT($E4487:$E4497,F4487:F4497))*1</f>
        <v>242.383596</v>
      </c>
      <c r="G4486" s="153" t="n">
        <f aca="false">(SUMPRODUCT($E4487:$E4497,G4487:G4497))*1</f>
        <v>11.81962733472</v>
      </c>
    </row>
    <row r="4487" customFormat="false" ht="21" hidden="false" customHeight="false" outlineLevel="0" collapsed="false">
      <c r="A4487" s="154" t="n">
        <v>37370</v>
      </c>
      <c r="B4487" s="155" t="s">
        <v>1443</v>
      </c>
      <c r="C4487" s="148" t="str">
        <f aca="false">VLOOKUP($A4487,INSUMOS_AUX!$A$3:$H$813,3,0)</f>
        <v>MAT.</v>
      </c>
      <c r="D4487" s="156" t="s">
        <v>1444</v>
      </c>
      <c r="E4487" s="154" t="n">
        <v>0.6936</v>
      </c>
      <c r="F4487" s="149" t="n">
        <f aca="false">IF(C4487="MAT.",VLOOKUP(A4487,INSUMOS_AUX!$A$3:$H$813,6,0),0)</f>
        <v>3.32</v>
      </c>
      <c r="G4487" s="149" t="n">
        <f aca="false">IF(C4487="M.O.",VLOOKUP(A4487,INSUMOS_AUX!A:F,6,0),0)</f>
        <v>0</v>
      </c>
    </row>
    <row r="4488" customFormat="false" ht="21" hidden="false" customHeight="false" outlineLevel="0" collapsed="false">
      <c r="A4488" s="154" t="n">
        <v>43485</v>
      </c>
      <c r="B4488" s="155" t="s">
        <v>1481</v>
      </c>
      <c r="C4488" s="148" t="str">
        <f aca="false">VLOOKUP($A4488,INSUMOS_AUX!$A$3:$H$813,3,0)</f>
        <v>MAT.</v>
      </c>
      <c r="D4488" s="156" t="s">
        <v>1444</v>
      </c>
      <c r="E4488" s="154" t="n">
        <v>0.6936</v>
      </c>
      <c r="F4488" s="149" t="n">
        <f aca="false">IF(C4488="MAT.",VLOOKUP(A4488,INSUMOS_AUX!$A$3:$H$813,6,0),0)</f>
        <v>1.13</v>
      </c>
      <c r="G4488" s="149" t="n">
        <f aca="false">IF(C4488="M.O.",VLOOKUP(A4488,INSUMOS_AUX!A:F,6,0),0)</f>
        <v>0</v>
      </c>
    </row>
    <row r="4489" customFormat="false" ht="21" hidden="false" customHeight="false" outlineLevel="0" collapsed="false">
      <c r="A4489" s="154" t="n">
        <v>37372</v>
      </c>
      <c r="B4489" s="155" t="s">
        <v>1446</v>
      </c>
      <c r="C4489" s="148" t="str">
        <f aca="false">VLOOKUP($A4489,INSUMOS_AUX!$A$3:$H$813,3,0)</f>
        <v>MAT.</v>
      </c>
      <c r="D4489" s="156" t="s">
        <v>1444</v>
      </c>
      <c r="E4489" s="154" t="n">
        <v>0.6936</v>
      </c>
      <c r="F4489" s="149" t="n">
        <f aca="false">IF(C4489="MAT.",VLOOKUP(A4489,INSUMOS_AUX!$A$3:$H$813,6,0),0)</f>
        <v>1.43</v>
      </c>
      <c r="G4489" s="149" t="n">
        <f aca="false">IF(C4489="M.O.",VLOOKUP(A4489,INSUMOS_AUX!A:F,6,0),0)</f>
        <v>0</v>
      </c>
    </row>
    <row r="4490" customFormat="false" ht="21" hidden="false" customHeight="false" outlineLevel="0" collapsed="false">
      <c r="A4490" s="154" t="n">
        <v>43461</v>
      </c>
      <c r="B4490" s="155" t="s">
        <v>1482</v>
      </c>
      <c r="C4490" s="148" t="str">
        <f aca="false">VLOOKUP($A4490,INSUMOS_AUX!$A$3:$H$813,3,0)</f>
        <v>MAT.</v>
      </c>
      <c r="D4490" s="156" t="s">
        <v>1444</v>
      </c>
      <c r="E4490" s="154" t="n">
        <v>0.6936</v>
      </c>
      <c r="F4490" s="149" t="n">
        <f aca="false">IF(C4490="MAT.",VLOOKUP(A4490,INSUMOS_AUX!$A$3:$H$813,6,0),0)</f>
        <v>0.31</v>
      </c>
      <c r="G4490" s="149" t="n">
        <f aca="false">IF(C4490="M.O.",VLOOKUP(A4490,INSUMOS_AUX!A:F,6,0),0)</f>
        <v>0</v>
      </c>
    </row>
    <row r="4491" customFormat="false" ht="21" hidden="false" customHeight="false" outlineLevel="0" collapsed="false">
      <c r="A4491" s="154" t="n">
        <v>37373</v>
      </c>
      <c r="B4491" s="155" t="s">
        <v>1448</v>
      </c>
      <c r="C4491" s="148" t="str">
        <f aca="false">VLOOKUP($A4491,INSUMOS_AUX!$A$3:$H$813,3,0)</f>
        <v>MAT.</v>
      </c>
      <c r="D4491" s="156" t="s">
        <v>1444</v>
      </c>
      <c r="E4491" s="154" t="n">
        <v>0.6936</v>
      </c>
      <c r="F4491" s="149" t="n">
        <f aca="false">IF(C4491="MAT.",VLOOKUP(A4491,INSUMOS_AUX!$A$3:$H$813,6,0),0)</f>
        <v>0.08</v>
      </c>
      <c r="G4491" s="149" t="n">
        <f aca="false">IF(C4491="M.O.",VLOOKUP(A4491,INSUMOS_AUX!A:F,6,0),0)</f>
        <v>0</v>
      </c>
    </row>
    <row r="4492" customFormat="false" ht="21" hidden="false" customHeight="false" outlineLevel="0" collapsed="false">
      <c r="A4492" s="154" t="n">
        <v>37371</v>
      </c>
      <c r="B4492" s="155" t="s">
        <v>1449</v>
      </c>
      <c r="C4492" s="148" t="str">
        <f aca="false">VLOOKUP($A4492,INSUMOS_AUX!$A$3:$H$813,3,0)</f>
        <v>MAT.</v>
      </c>
      <c r="D4492" s="156" t="s">
        <v>1444</v>
      </c>
      <c r="E4492" s="154" t="n">
        <v>0.6936</v>
      </c>
      <c r="F4492" s="149" t="n">
        <f aca="false">IF(C4492="MAT.",VLOOKUP(A4492,INSUMOS_AUX!$A$3:$H$813,6,0),0)</f>
        <v>0.59</v>
      </c>
      <c r="G4492" s="149" t="n">
        <f aca="false">IF(C4492="M.O.",VLOOKUP(A4492,INSUMOS_AUX!A:F,6,0),0)</f>
        <v>0</v>
      </c>
    </row>
    <row r="4493" customFormat="false" ht="21" hidden="false" customHeight="false" outlineLevel="0" collapsed="false">
      <c r="A4493" s="154" t="n">
        <v>300</v>
      </c>
      <c r="B4493" s="155" t="s">
        <v>2227</v>
      </c>
      <c r="C4493" s="148" t="str">
        <f aca="false">VLOOKUP($A4493,INSUMOS_AUX!$A$3:$H$813,3,0)</f>
        <v>MAT.</v>
      </c>
      <c r="D4493" s="156" t="s">
        <v>31</v>
      </c>
      <c r="E4493" s="154" t="n">
        <v>3</v>
      </c>
      <c r="F4493" s="149" t="n">
        <f aca="false">IF(C4493="MAT.",VLOOKUP(A4493,INSUMOS_AUX!$A$3:$H$813,6,0),0)</f>
        <v>12.18</v>
      </c>
      <c r="G4493" s="149" t="n">
        <f aca="false">IF(C4493="M.O.",VLOOKUP(A4493,INSUMOS_AUX!A:F,6,0),0)</f>
        <v>0</v>
      </c>
    </row>
    <row r="4494" customFormat="false" ht="21" hidden="false" customHeight="false" outlineLevel="0" collapsed="false">
      <c r="A4494" s="154" t="n">
        <v>20146</v>
      </c>
      <c r="B4494" s="155" t="s">
        <v>2239</v>
      </c>
      <c r="C4494" s="148" t="str">
        <f aca="false">VLOOKUP($A4494,INSUMOS_AUX!$A$3:$H$813,3,0)</f>
        <v>MAT.</v>
      </c>
      <c r="D4494" s="156" t="s">
        <v>31</v>
      </c>
      <c r="E4494" s="154" t="n">
        <v>1</v>
      </c>
      <c r="F4494" s="149" t="n">
        <f aca="false">IF(C4494="MAT.",VLOOKUP(A4494,INSUMOS_AUX!$A$3:$H$813,6,0),0)</f>
        <v>194.25</v>
      </c>
      <c r="G4494" s="149" t="n">
        <f aca="false">IF(C4494="M.O.",VLOOKUP(A4494,INSUMOS_AUX!A:F,6,0),0)</f>
        <v>0</v>
      </c>
    </row>
    <row r="4495" customFormat="false" ht="31.5" hidden="false" customHeight="false" outlineLevel="0" collapsed="false">
      <c r="A4495" s="154" t="n">
        <v>20078</v>
      </c>
      <c r="B4495" s="155" t="s">
        <v>2123</v>
      </c>
      <c r="C4495" s="148" t="str">
        <f aca="false">VLOOKUP($A4495,INSUMOS_AUX!$A$3:$H$813,3,0)</f>
        <v>MAT.</v>
      </c>
      <c r="D4495" s="156" t="s">
        <v>31</v>
      </c>
      <c r="E4495" s="154" t="n">
        <v>0.2625</v>
      </c>
      <c r="F4495" s="149" t="n">
        <f aca="false">IF(C4495="MAT.",VLOOKUP(A4495,INSUMOS_AUX!$A$3:$H$813,6,0),0)</f>
        <v>26.04</v>
      </c>
      <c r="G4495" s="149" t="n">
        <f aca="false">IF(C4495="M.O.",VLOOKUP(A4495,INSUMOS_AUX!A:F,6,0),0)</f>
        <v>0</v>
      </c>
    </row>
    <row r="4496" customFormat="false" ht="15" hidden="false" customHeight="false" outlineLevel="0" collapsed="false">
      <c r="A4496" s="154" t="n">
        <v>246</v>
      </c>
      <c r="B4496" s="155" t="s">
        <v>1752</v>
      </c>
      <c r="C4496" s="148" t="str">
        <f aca="false">VLOOKUP($A4496,INSUMOS_AUX!$A$3:$H$813,3,0)</f>
        <v>M.O.</v>
      </c>
      <c r="D4496" s="156" t="s">
        <v>1444</v>
      </c>
      <c r="E4496" s="154" t="n">
        <v>0.353035464</v>
      </c>
      <c r="F4496" s="149" t="n">
        <f aca="false">IF(C4496="MAT.",VLOOKUP(A4496,INSUMOS_AUX!$A$3:$H$813,6,0),0)</f>
        <v>0</v>
      </c>
      <c r="G4496" s="149" t="n">
        <f aca="false">IF(C4496="M.O.",VLOOKUP(A4496,INSUMOS_AUX!A:F,6,0),0)</f>
        <v>13.26</v>
      </c>
    </row>
    <row r="4497" customFormat="false" ht="15" hidden="false" customHeight="false" outlineLevel="0" collapsed="false">
      <c r="A4497" s="154" t="n">
        <v>2696</v>
      </c>
      <c r="B4497" s="155" t="s">
        <v>1483</v>
      </c>
      <c r="C4497" s="148" t="str">
        <f aca="false">VLOOKUP($A4497,INSUMOS_AUX!$A$3:$H$813,3,0)</f>
        <v>M.O.</v>
      </c>
      <c r="D4497" s="156" t="s">
        <v>1444</v>
      </c>
      <c r="E4497" s="154" t="n">
        <v>0.353035464</v>
      </c>
      <c r="F4497" s="149" t="n">
        <f aca="false">IF(C4497="MAT.",VLOOKUP(A4497,INSUMOS_AUX!$A$3:$H$813,6,0),0)</f>
        <v>0</v>
      </c>
      <c r="G4497" s="149" t="n">
        <f aca="false">IF(C4497="M.O.",VLOOKUP(A4497,INSUMOS_AUX!A:F,6,0),0)</f>
        <v>20.22</v>
      </c>
    </row>
    <row r="4498" customFormat="false" ht="31.5" hidden="false" customHeight="false" outlineLevel="0" collapsed="false">
      <c r="A4498" s="150" t="n">
        <v>104174</v>
      </c>
      <c r="B4498" s="151" t="s">
        <v>2240</v>
      </c>
      <c r="C4498" s="152" t="s">
        <v>59</v>
      </c>
      <c r="D4498" s="152" t="s">
        <v>31</v>
      </c>
      <c r="E4498" s="150"/>
      <c r="F4498" s="153" t="n">
        <f aca="false">(SUMPRODUCT($E4499:$E4510,F4499:F4510))*1</f>
        <v>180.395888</v>
      </c>
      <c r="G4498" s="153" t="n">
        <f aca="false">(SUMPRODUCT($E4499:$E4510,G4499:G4510))*1</f>
        <v>10.83465839016</v>
      </c>
    </row>
    <row r="4499" customFormat="false" ht="21" hidden="false" customHeight="false" outlineLevel="0" collapsed="false">
      <c r="A4499" s="154" t="n">
        <v>37370</v>
      </c>
      <c r="B4499" s="155" t="s">
        <v>1443</v>
      </c>
      <c r="C4499" s="148" t="str">
        <f aca="false">VLOOKUP($A4499,INSUMOS_AUX!$A$3:$H$813,3,0)</f>
        <v>MAT.</v>
      </c>
      <c r="D4499" s="156" t="s">
        <v>1444</v>
      </c>
      <c r="E4499" s="154" t="n">
        <v>0.6358</v>
      </c>
      <c r="F4499" s="149" t="n">
        <f aca="false">IF(C4499="MAT.",VLOOKUP(A4499,INSUMOS_AUX!$A$3:$H$813,6,0),0)</f>
        <v>3.32</v>
      </c>
      <c r="G4499" s="149" t="n">
        <f aca="false">IF(C4499="M.O.",VLOOKUP(A4499,INSUMOS_AUX!A:F,6,0),0)</f>
        <v>0</v>
      </c>
    </row>
    <row r="4500" customFormat="false" ht="21" hidden="false" customHeight="false" outlineLevel="0" collapsed="false">
      <c r="A4500" s="154" t="n">
        <v>43485</v>
      </c>
      <c r="B4500" s="155" t="s">
        <v>1481</v>
      </c>
      <c r="C4500" s="148" t="str">
        <f aca="false">VLOOKUP($A4500,INSUMOS_AUX!$A$3:$H$813,3,0)</f>
        <v>MAT.</v>
      </c>
      <c r="D4500" s="156" t="s">
        <v>1444</v>
      </c>
      <c r="E4500" s="154" t="n">
        <v>0.6358</v>
      </c>
      <c r="F4500" s="149" t="n">
        <f aca="false">IF(C4500="MAT.",VLOOKUP(A4500,INSUMOS_AUX!$A$3:$H$813,6,0),0)</f>
        <v>1.13</v>
      </c>
      <c r="G4500" s="149" t="n">
        <f aca="false">IF(C4500="M.O.",VLOOKUP(A4500,INSUMOS_AUX!A:F,6,0),0)</f>
        <v>0</v>
      </c>
    </row>
    <row r="4501" customFormat="false" ht="21" hidden="false" customHeight="false" outlineLevel="0" collapsed="false">
      <c r="A4501" s="154" t="n">
        <v>37372</v>
      </c>
      <c r="B4501" s="155" t="s">
        <v>1446</v>
      </c>
      <c r="C4501" s="148" t="str">
        <f aca="false">VLOOKUP($A4501,INSUMOS_AUX!$A$3:$H$813,3,0)</f>
        <v>MAT.</v>
      </c>
      <c r="D4501" s="156" t="s">
        <v>1444</v>
      </c>
      <c r="E4501" s="154" t="n">
        <v>0.6358</v>
      </c>
      <c r="F4501" s="149" t="n">
        <f aca="false">IF(C4501="MAT.",VLOOKUP(A4501,INSUMOS_AUX!$A$3:$H$813,6,0),0)</f>
        <v>1.43</v>
      </c>
      <c r="G4501" s="149" t="n">
        <f aca="false">IF(C4501="M.O.",VLOOKUP(A4501,INSUMOS_AUX!A:F,6,0),0)</f>
        <v>0</v>
      </c>
    </row>
    <row r="4502" customFormat="false" ht="21" hidden="false" customHeight="false" outlineLevel="0" collapsed="false">
      <c r="A4502" s="154" t="n">
        <v>43461</v>
      </c>
      <c r="B4502" s="155" t="s">
        <v>1482</v>
      </c>
      <c r="C4502" s="148" t="str">
        <f aca="false">VLOOKUP($A4502,INSUMOS_AUX!$A$3:$H$813,3,0)</f>
        <v>MAT.</v>
      </c>
      <c r="D4502" s="156" t="s">
        <v>1444</v>
      </c>
      <c r="E4502" s="154" t="n">
        <v>0.6358</v>
      </c>
      <c r="F4502" s="149" t="n">
        <f aca="false">IF(C4502="MAT.",VLOOKUP(A4502,INSUMOS_AUX!$A$3:$H$813,6,0),0)</f>
        <v>0.31</v>
      </c>
      <c r="G4502" s="149" t="n">
        <f aca="false">IF(C4502="M.O.",VLOOKUP(A4502,INSUMOS_AUX!A:F,6,0),0)</f>
        <v>0</v>
      </c>
    </row>
    <row r="4503" customFormat="false" ht="21" hidden="false" customHeight="false" outlineLevel="0" collapsed="false">
      <c r="A4503" s="154" t="n">
        <v>37373</v>
      </c>
      <c r="B4503" s="155" t="s">
        <v>1448</v>
      </c>
      <c r="C4503" s="148" t="str">
        <f aca="false">VLOOKUP($A4503,INSUMOS_AUX!$A$3:$H$813,3,0)</f>
        <v>MAT.</v>
      </c>
      <c r="D4503" s="156" t="s">
        <v>1444</v>
      </c>
      <c r="E4503" s="154" t="n">
        <v>0.6358</v>
      </c>
      <c r="F4503" s="149" t="n">
        <f aca="false">IF(C4503="MAT.",VLOOKUP(A4503,INSUMOS_AUX!$A$3:$H$813,6,0),0)</f>
        <v>0.08</v>
      </c>
      <c r="G4503" s="149" t="n">
        <f aca="false">IF(C4503="M.O.",VLOOKUP(A4503,INSUMOS_AUX!A:F,6,0),0)</f>
        <v>0</v>
      </c>
    </row>
    <row r="4504" customFormat="false" ht="21" hidden="false" customHeight="false" outlineLevel="0" collapsed="false">
      <c r="A4504" s="154" t="n">
        <v>37371</v>
      </c>
      <c r="B4504" s="155" t="s">
        <v>1449</v>
      </c>
      <c r="C4504" s="148" t="str">
        <f aca="false">VLOOKUP($A4504,INSUMOS_AUX!$A$3:$H$813,3,0)</f>
        <v>MAT.</v>
      </c>
      <c r="D4504" s="156" t="s">
        <v>1444</v>
      </c>
      <c r="E4504" s="154" t="n">
        <v>0.6358</v>
      </c>
      <c r="F4504" s="149" t="n">
        <f aca="false">IF(C4504="MAT.",VLOOKUP(A4504,INSUMOS_AUX!$A$3:$H$813,6,0),0)</f>
        <v>0.59</v>
      </c>
      <c r="G4504" s="149" t="n">
        <f aca="false">IF(C4504="M.O.",VLOOKUP(A4504,INSUMOS_AUX!A:F,6,0),0)</f>
        <v>0</v>
      </c>
    </row>
    <row r="4505" customFormat="false" ht="21" hidden="false" customHeight="false" outlineLevel="0" collapsed="false">
      <c r="A4505" s="154" t="n">
        <v>299</v>
      </c>
      <c r="B4505" s="155" t="s">
        <v>2224</v>
      </c>
      <c r="C4505" s="148" t="str">
        <f aca="false">VLOOKUP($A4505,INSUMOS_AUX!$A$3:$H$813,3,0)</f>
        <v>MAT.</v>
      </c>
      <c r="D4505" s="156" t="s">
        <v>31</v>
      </c>
      <c r="E4505" s="154" t="n">
        <v>1</v>
      </c>
      <c r="F4505" s="149" t="n">
        <f aca="false">IF(C4505="MAT.",VLOOKUP(A4505,INSUMOS_AUX!$A$3:$H$813,6,0),0)</f>
        <v>3.52</v>
      </c>
      <c r="G4505" s="149" t="n">
        <f aca="false">IF(C4505="M.O.",VLOOKUP(A4505,INSUMOS_AUX!A:F,6,0),0)</f>
        <v>0</v>
      </c>
    </row>
    <row r="4506" customFormat="false" ht="21" hidden="false" customHeight="false" outlineLevel="0" collapsed="false">
      <c r="A4506" s="154" t="n">
        <v>300</v>
      </c>
      <c r="B4506" s="155" t="s">
        <v>2227</v>
      </c>
      <c r="C4506" s="148" t="str">
        <f aca="false">VLOOKUP($A4506,INSUMOS_AUX!$A$3:$H$813,3,0)</f>
        <v>MAT.</v>
      </c>
      <c r="D4506" s="156" t="s">
        <v>31</v>
      </c>
      <c r="E4506" s="154" t="n">
        <v>2</v>
      </c>
      <c r="F4506" s="149" t="n">
        <f aca="false">IF(C4506="MAT.",VLOOKUP(A4506,INSUMOS_AUX!$A$3:$H$813,6,0),0)</f>
        <v>12.18</v>
      </c>
      <c r="G4506" s="149" t="n">
        <f aca="false">IF(C4506="M.O.",VLOOKUP(A4506,INSUMOS_AUX!A:F,6,0),0)</f>
        <v>0</v>
      </c>
    </row>
    <row r="4507" customFormat="false" ht="21" hidden="false" customHeight="false" outlineLevel="0" collapsed="false">
      <c r="A4507" s="154" t="n">
        <v>20145</v>
      </c>
      <c r="B4507" s="155" t="s">
        <v>2241</v>
      </c>
      <c r="C4507" s="148" t="str">
        <f aca="false">VLOOKUP($A4507,INSUMOS_AUX!$A$3:$H$813,3,0)</f>
        <v>MAT.</v>
      </c>
      <c r="D4507" s="156" t="s">
        <v>31</v>
      </c>
      <c r="E4507" s="154" t="n">
        <v>1</v>
      </c>
      <c r="F4507" s="149" t="n">
        <f aca="false">IF(C4507="MAT.",VLOOKUP(A4507,INSUMOS_AUX!$A$3:$H$813,6,0),0)</f>
        <v>142.1</v>
      </c>
      <c r="G4507" s="149" t="n">
        <f aca="false">IF(C4507="M.O.",VLOOKUP(A4507,INSUMOS_AUX!A:F,6,0),0)</f>
        <v>0</v>
      </c>
    </row>
    <row r="4508" customFormat="false" ht="31.5" hidden="false" customHeight="false" outlineLevel="0" collapsed="false">
      <c r="A4508" s="154" t="n">
        <v>20078</v>
      </c>
      <c r="B4508" s="155" t="s">
        <v>2123</v>
      </c>
      <c r="C4508" s="148" t="str">
        <f aca="false">VLOOKUP($A4508,INSUMOS_AUX!$A$3:$H$813,3,0)</f>
        <v>MAT.</v>
      </c>
      <c r="D4508" s="156" t="s">
        <v>31</v>
      </c>
      <c r="E4508" s="154" t="n">
        <v>0.2325</v>
      </c>
      <c r="F4508" s="149" t="n">
        <f aca="false">IF(C4508="MAT.",VLOOKUP(A4508,INSUMOS_AUX!$A$3:$H$813,6,0),0)</f>
        <v>26.04</v>
      </c>
      <c r="G4508" s="149" t="n">
        <f aca="false">IF(C4508="M.O.",VLOOKUP(A4508,INSUMOS_AUX!A:F,6,0),0)</f>
        <v>0</v>
      </c>
    </row>
    <row r="4509" customFormat="false" ht="15" hidden="false" customHeight="false" outlineLevel="0" collapsed="false">
      <c r="A4509" s="154" t="n">
        <v>246</v>
      </c>
      <c r="B4509" s="155" t="s">
        <v>1752</v>
      </c>
      <c r="C4509" s="148" t="str">
        <f aca="false">VLOOKUP($A4509,INSUMOS_AUX!$A$3:$H$813,3,0)</f>
        <v>M.O.</v>
      </c>
      <c r="D4509" s="156" t="s">
        <v>1444</v>
      </c>
      <c r="E4509" s="154" t="n">
        <v>0.323615842</v>
      </c>
      <c r="F4509" s="149" t="n">
        <f aca="false">IF(C4509="MAT.",VLOOKUP(A4509,INSUMOS_AUX!$A$3:$H$813,6,0),0)</f>
        <v>0</v>
      </c>
      <c r="G4509" s="149" t="n">
        <f aca="false">IF(C4509="M.O.",VLOOKUP(A4509,INSUMOS_AUX!A:F,6,0),0)</f>
        <v>13.26</v>
      </c>
    </row>
    <row r="4510" customFormat="false" ht="15" hidden="false" customHeight="false" outlineLevel="0" collapsed="false">
      <c r="A4510" s="154" t="n">
        <v>2696</v>
      </c>
      <c r="B4510" s="155" t="s">
        <v>1483</v>
      </c>
      <c r="C4510" s="148" t="str">
        <f aca="false">VLOOKUP($A4510,INSUMOS_AUX!$A$3:$H$813,3,0)</f>
        <v>M.O.</v>
      </c>
      <c r="D4510" s="156" t="s">
        <v>1444</v>
      </c>
      <c r="E4510" s="154" t="n">
        <v>0.323615842</v>
      </c>
      <c r="F4510" s="149" t="n">
        <f aca="false">IF(C4510="MAT.",VLOOKUP(A4510,INSUMOS_AUX!$A$3:$H$813,6,0),0)</f>
        <v>0</v>
      </c>
      <c r="G4510" s="149" t="n">
        <f aca="false">IF(C4510="M.O.",VLOOKUP(A4510,INSUMOS_AUX!A:F,6,0),0)</f>
        <v>20.22</v>
      </c>
    </row>
    <row r="4511" customFormat="false" ht="31.5" hidden="false" customHeight="false" outlineLevel="0" collapsed="false">
      <c r="A4511" s="150" t="n">
        <v>89554</v>
      </c>
      <c r="B4511" s="151" t="s">
        <v>2242</v>
      </c>
      <c r="C4511" s="152" t="s">
        <v>59</v>
      </c>
      <c r="D4511" s="152" t="s">
        <v>31</v>
      </c>
      <c r="E4511" s="150"/>
      <c r="F4511" s="153" t="n">
        <f aca="false">(SUMPRODUCT($E4512:$E4525,F4512:F4525))*1</f>
        <v>21.595421</v>
      </c>
      <c r="G4511" s="153" t="n">
        <f aca="false">(SUMPRODUCT($E4512:$E4525,G4512:G4525))*1</f>
        <v>2.92423306032</v>
      </c>
    </row>
    <row r="4512" customFormat="false" ht="21" hidden="false" customHeight="false" outlineLevel="0" collapsed="false">
      <c r="A4512" s="154" t="n">
        <v>37370</v>
      </c>
      <c r="B4512" s="155" t="s">
        <v>1443</v>
      </c>
      <c r="C4512" s="148" t="str">
        <f aca="false">VLOOKUP($A4512,INSUMOS_AUX!$A$3:$H$813,3,0)</f>
        <v>MAT.</v>
      </c>
      <c r="D4512" s="156" t="s">
        <v>1444</v>
      </c>
      <c r="E4512" s="154" t="n">
        <v>0.1716</v>
      </c>
      <c r="F4512" s="149" t="n">
        <f aca="false">IF(C4512="MAT.",VLOOKUP(A4512,INSUMOS_AUX!$A$3:$H$813,6,0),0)</f>
        <v>3.32</v>
      </c>
      <c r="G4512" s="149" t="n">
        <f aca="false">IF(C4512="M.O.",VLOOKUP(A4512,INSUMOS_AUX!A:F,6,0),0)</f>
        <v>0</v>
      </c>
    </row>
    <row r="4513" customFormat="false" ht="21" hidden="false" customHeight="false" outlineLevel="0" collapsed="false">
      <c r="A4513" s="154" t="n">
        <v>43485</v>
      </c>
      <c r="B4513" s="155" t="s">
        <v>1481</v>
      </c>
      <c r="C4513" s="148" t="str">
        <f aca="false">VLOOKUP($A4513,INSUMOS_AUX!$A$3:$H$813,3,0)</f>
        <v>MAT.</v>
      </c>
      <c r="D4513" s="156" t="s">
        <v>1444</v>
      </c>
      <c r="E4513" s="154" t="n">
        <v>0.1716</v>
      </c>
      <c r="F4513" s="149" t="n">
        <f aca="false">IF(C4513="MAT.",VLOOKUP(A4513,INSUMOS_AUX!$A$3:$H$813,6,0),0)</f>
        <v>1.13</v>
      </c>
      <c r="G4513" s="149" t="n">
        <f aca="false">IF(C4513="M.O.",VLOOKUP(A4513,INSUMOS_AUX!A:F,6,0),0)</f>
        <v>0</v>
      </c>
    </row>
    <row r="4514" customFormat="false" ht="21" hidden="false" customHeight="false" outlineLevel="0" collapsed="false">
      <c r="A4514" s="154" t="n">
        <v>37372</v>
      </c>
      <c r="B4514" s="155" t="s">
        <v>1446</v>
      </c>
      <c r="C4514" s="148" t="str">
        <f aca="false">VLOOKUP($A4514,INSUMOS_AUX!$A$3:$H$813,3,0)</f>
        <v>MAT.</v>
      </c>
      <c r="D4514" s="156" t="s">
        <v>1444</v>
      </c>
      <c r="E4514" s="154" t="n">
        <v>0.1716</v>
      </c>
      <c r="F4514" s="149" t="n">
        <f aca="false">IF(C4514="MAT.",VLOOKUP(A4514,INSUMOS_AUX!$A$3:$H$813,6,0),0)</f>
        <v>1.43</v>
      </c>
      <c r="G4514" s="149" t="n">
        <f aca="false">IF(C4514="M.O.",VLOOKUP(A4514,INSUMOS_AUX!A:F,6,0),0)</f>
        <v>0</v>
      </c>
    </row>
    <row r="4515" customFormat="false" ht="21" hidden="false" customHeight="false" outlineLevel="0" collapsed="false">
      <c r="A4515" s="154" t="n">
        <v>43461</v>
      </c>
      <c r="B4515" s="155" t="s">
        <v>1482</v>
      </c>
      <c r="C4515" s="148" t="str">
        <f aca="false">VLOOKUP($A4515,INSUMOS_AUX!$A$3:$H$813,3,0)</f>
        <v>MAT.</v>
      </c>
      <c r="D4515" s="156" t="s">
        <v>1444</v>
      </c>
      <c r="E4515" s="154" t="n">
        <v>0.1716</v>
      </c>
      <c r="F4515" s="149" t="n">
        <f aca="false">IF(C4515="MAT.",VLOOKUP(A4515,INSUMOS_AUX!$A$3:$H$813,6,0),0)</f>
        <v>0.31</v>
      </c>
      <c r="G4515" s="149" t="n">
        <f aca="false">IF(C4515="M.O.",VLOOKUP(A4515,INSUMOS_AUX!A:F,6,0),0)</f>
        <v>0</v>
      </c>
    </row>
    <row r="4516" customFormat="false" ht="21" hidden="false" customHeight="false" outlineLevel="0" collapsed="false">
      <c r="A4516" s="154" t="n">
        <v>37373</v>
      </c>
      <c r="B4516" s="155" t="s">
        <v>1448</v>
      </c>
      <c r="C4516" s="148" t="str">
        <f aca="false">VLOOKUP($A4516,INSUMOS_AUX!$A$3:$H$813,3,0)</f>
        <v>MAT.</v>
      </c>
      <c r="D4516" s="156" t="s">
        <v>1444</v>
      </c>
      <c r="E4516" s="154" t="n">
        <v>0.1716</v>
      </c>
      <c r="F4516" s="149" t="n">
        <f aca="false">IF(C4516="MAT.",VLOOKUP(A4516,INSUMOS_AUX!$A$3:$H$813,6,0),0)</f>
        <v>0.08</v>
      </c>
      <c r="G4516" s="149" t="n">
        <f aca="false">IF(C4516="M.O.",VLOOKUP(A4516,INSUMOS_AUX!A:F,6,0),0)</f>
        <v>0</v>
      </c>
    </row>
    <row r="4517" customFormat="false" ht="21" hidden="false" customHeight="false" outlineLevel="0" collapsed="false">
      <c r="A4517" s="154" t="n">
        <v>37371</v>
      </c>
      <c r="B4517" s="155" t="s">
        <v>1449</v>
      </c>
      <c r="C4517" s="148" t="str">
        <f aca="false">VLOOKUP($A4517,INSUMOS_AUX!$A$3:$H$813,3,0)</f>
        <v>MAT.</v>
      </c>
      <c r="D4517" s="156" t="s">
        <v>1444</v>
      </c>
      <c r="E4517" s="154" t="n">
        <v>0.1716</v>
      </c>
      <c r="F4517" s="149" t="n">
        <f aca="false">IF(C4517="MAT.",VLOOKUP(A4517,INSUMOS_AUX!$A$3:$H$813,6,0),0)</f>
        <v>0.59</v>
      </c>
      <c r="G4517" s="149" t="n">
        <f aca="false">IF(C4517="M.O.",VLOOKUP(A4517,INSUMOS_AUX!A:F,6,0),0)</f>
        <v>0</v>
      </c>
    </row>
    <row r="4518" customFormat="false" ht="15" hidden="false" customHeight="false" outlineLevel="0" collapsed="false">
      <c r="A4518" s="154" t="n">
        <v>122</v>
      </c>
      <c r="B4518" s="155" t="s">
        <v>2097</v>
      </c>
      <c r="C4518" s="148" t="str">
        <f aca="false">VLOOKUP($A4518,INSUMOS_AUX!$A$3:$H$813,3,0)</f>
        <v>MAT.</v>
      </c>
      <c r="D4518" s="156" t="s">
        <v>31</v>
      </c>
      <c r="E4518" s="154" t="n">
        <v>0.0245</v>
      </c>
      <c r="F4518" s="149" t="n">
        <f aca="false">IF(C4518="MAT.",VLOOKUP(A4518,INSUMOS_AUX!$A$3:$H$813,6,0),0)</f>
        <v>63.09</v>
      </c>
      <c r="G4518" s="149" t="n">
        <f aca="false">IF(C4518="M.O.",VLOOKUP(A4518,INSUMOS_AUX!A:F,6,0),0)</f>
        <v>0</v>
      </c>
    </row>
    <row r="4519" customFormat="false" ht="21" hidden="false" customHeight="false" outlineLevel="0" collapsed="false">
      <c r="A4519" s="154" t="n">
        <v>299</v>
      </c>
      <c r="B4519" s="155" t="s">
        <v>2224</v>
      </c>
      <c r="C4519" s="148" t="s">
        <v>59</v>
      </c>
      <c r="D4519" s="156" t="s">
        <v>31</v>
      </c>
      <c r="E4519" s="154" t="n">
        <v>1</v>
      </c>
      <c r="F4519" s="149" t="n">
        <f aca="false">IF(C4519="MAT.",VLOOKUP(A4519,INSUMOS_AUX!$A$3:$H$813,6,0),0)</f>
        <v>0</v>
      </c>
      <c r="G4519" s="149" t="n">
        <f aca="false">IF(C4519="M.O.",VLOOKUP(A4519,INSUMOS_AUX!A:F,6,0),0)</f>
        <v>0</v>
      </c>
    </row>
    <row r="4520" customFormat="false" ht="15" hidden="false" customHeight="false" outlineLevel="0" collapsed="false">
      <c r="A4520" s="154" t="n">
        <v>38383</v>
      </c>
      <c r="B4520" s="155" t="s">
        <v>2093</v>
      </c>
      <c r="C4520" s="148" t="str">
        <f aca="false">VLOOKUP($A4520,INSUMOS_AUX!$A$3:$H$813,3,0)</f>
        <v>MAT.</v>
      </c>
      <c r="D4520" s="156" t="s">
        <v>31</v>
      </c>
      <c r="E4520" s="154" t="n">
        <v>0.036</v>
      </c>
      <c r="F4520" s="149" t="n">
        <f aca="false">IF(C4520="MAT.",VLOOKUP(A4520,INSUMOS_AUX!$A$3:$H$813,6,0),0)</f>
        <v>2.39</v>
      </c>
      <c r="G4520" s="149" t="n">
        <f aca="false">IF(C4520="M.O.",VLOOKUP(A4520,INSUMOS_AUX!A:F,6,0),0)</f>
        <v>0</v>
      </c>
    </row>
    <row r="4521" customFormat="false" ht="15" hidden="false" customHeight="false" outlineLevel="0" collapsed="false">
      <c r="A4521" s="154" t="n">
        <v>20170</v>
      </c>
      <c r="B4521" s="155" t="s">
        <v>2243</v>
      </c>
      <c r="C4521" s="148" t="str">
        <f aca="false">VLOOKUP($A4521,INSUMOS_AUX!$A$3:$H$813,3,0)</f>
        <v>MAT.</v>
      </c>
      <c r="D4521" s="156" t="s">
        <v>31</v>
      </c>
      <c r="E4521" s="154" t="n">
        <v>1</v>
      </c>
      <c r="F4521" s="149" t="n">
        <f aca="false">IF(C4521="MAT.",VLOOKUP(A4521,INSUMOS_AUX!$A$3:$H$813,6,0),0)</f>
        <v>14.43</v>
      </c>
      <c r="G4521" s="149" t="n">
        <f aca="false">IF(C4521="M.O.",VLOOKUP(A4521,INSUMOS_AUX!A:F,6,0),0)</f>
        <v>0</v>
      </c>
    </row>
    <row r="4522" customFormat="false" ht="31.5" hidden="false" customHeight="false" outlineLevel="0" collapsed="false">
      <c r="A4522" s="154" t="n">
        <v>20078</v>
      </c>
      <c r="B4522" s="155" t="s">
        <v>2123</v>
      </c>
      <c r="C4522" s="148" t="str">
        <f aca="false">VLOOKUP($A4522,INSUMOS_AUX!$A$3:$H$813,3,0)</f>
        <v>MAT.</v>
      </c>
      <c r="D4522" s="156" t="s">
        <v>31</v>
      </c>
      <c r="E4522" s="154" t="n">
        <v>0.0575</v>
      </c>
      <c r="F4522" s="149" t="n">
        <f aca="false">IF(C4522="MAT.",VLOOKUP(A4522,INSUMOS_AUX!$A$3:$H$813,6,0),0)</f>
        <v>26.04</v>
      </c>
      <c r="G4522" s="149" t="n">
        <f aca="false">IF(C4522="M.O.",VLOOKUP(A4522,INSUMOS_AUX!A:F,6,0),0)</f>
        <v>0</v>
      </c>
    </row>
    <row r="4523" customFormat="false" ht="21" hidden="false" customHeight="false" outlineLevel="0" collapsed="false">
      <c r="A4523" s="154" t="n">
        <v>20083</v>
      </c>
      <c r="B4523" s="155" t="s">
        <v>2095</v>
      </c>
      <c r="C4523" s="148" t="str">
        <f aca="false">VLOOKUP($A4523,INSUMOS_AUX!$A$3:$H$813,3,0)</f>
        <v>MAT.</v>
      </c>
      <c r="D4523" s="156" t="s">
        <v>31</v>
      </c>
      <c r="E4523" s="154" t="n">
        <v>0.04</v>
      </c>
      <c r="F4523" s="149" t="n">
        <f aca="false">IF(C4523="MAT.",VLOOKUP(A4523,INSUMOS_AUX!$A$3:$H$813,6,0),0)</f>
        <v>71.48</v>
      </c>
      <c r="G4523" s="149" t="n">
        <f aca="false">IF(C4523="M.O.",VLOOKUP(A4523,INSUMOS_AUX!A:F,6,0),0)</f>
        <v>0</v>
      </c>
    </row>
    <row r="4524" customFormat="false" ht="15" hidden="false" customHeight="false" outlineLevel="0" collapsed="false">
      <c r="A4524" s="154" t="n">
        <v>246</v>
      </c>
      <c r="B4524" s="155" t="s">
        <v>1752</v>
      </c>
      <c r="C4524" s="148" t="str">
        <f aca="false">VLOOKUP($A4524,INSUMOS_AUX!$A$3:$H$813,3,0)</f>
        <v>M.O.</v>
      </c>
      <c r="D4524" s="156" t="s">
        <v>1444</v>
      </c>
      <c r="E4524" s="154" t="n">
        <v>0.087342684</v>
      </c>
      <c r="F4524" s="149" t="n">
        <f aca="false">IF(C4524="MAT.",VLOOKUP(A4524,INSUMOS_AUX!$A$3:$H$813,6,0),0)</f>
        <v>0</v>
      </c>
      <c r="G4524" s="149" t="n">
        <f aca="false">IF(C4524="M.O.",VLOOKUP(A4524,INSUMOS_AUX!A:F,6,0),0)</f>
        <v>13.26</v>
      </c>
    </row>
    <row r="4525" customFormat="false" ht="15" hidden="false" customHeight="false" outlineLevel="0" collapsed="false">
      <c r="A4525" s="154" t="n">
        <v>2696</v>
      </c>
      <c r="B4525" s="155" t="s">
        <v>1483</v>
      </c>
      <c r="C4525" s="148" t="str">
        <f aca="false">VLOOKUP($A4525,INSUMOS_AUX!$A$3:$H$813,3,0)</f>
        <v>M.O.</v>
      </c>
      <c r="D4525" s="156" t="s">
        <v>1444</v>
      </c>
      <c r="E4525" s="154" t="n">
        <v>0.087342684</v>
      </c>
      <c r="F4525" s="149" t="n">
        <f aca="false">IF(C4525="MAT.",VLOOKUP(A4525,INSUMOS_AUX!$A$3:$H$813,6,0),0)</f>
        <v>0</v>
      </c>
      <c r="G4525" s="149" t="n">
        <f aca="false">IF(C4525="M.O.",VLOOKUP(A4525,INSUMOS_AUX!A:F,6,0),0)</f>
        <v>20.22</v>
      </c>
    </row>
    <row r="4526" customFormat="false" ht="31.5" hidden="false" customHeight="false" outlineLevel="0" collapsed="false">
      <c r="A4526" s="150" t="n">
        <v>104170</v>
      </c>
      <c r="B4526" s="151" t="s">
        <v>2244</v>
      </c>
      <c r="C4526" s="152" t="s">
        <v>59</v>
      </c>
      <c r="D4526" s="152" t="s">
        <v>31</v>
      </c>
      <c r="E4526" s="150"/>
      <c r="F4526" s="153" t="n">
        <f aca="false">(SUMPRODUCT($E4527:$E4539,F4527:F4539))*1</f>
        <v>63.942102</v>
      </c>
      <c r="G4526" s="153" t="n">
        <f aca="false">(SUMPRODUCT($E4527:$E4539,G4527:G4539))*1</f>
        <v>5.90981366736</v>
      </c>
    </row>
    <row r="4527" customFormat="false" ht="21" hidden="false" customHeight="false" outlineLevel="0" collapsed="false">
      <c r="A4527" s="154" t="n">
        <v>37370</v>
      </c>
      <c r="B4527" s="155" t="s">
        <v>1443</v>
      </c>
      <c r="C4527" s="148" t="str">
        <f aca="false">VLOOKUP($A4527,INSUMOS_AUX!$A$3:$H$813,3,0)</f>
        <v>MAT.</v>
      </c>
      <c r="D4527" s="156" t="s">
        <v>1444</v>
      </c>
      <c r="E4527" s="154" t="n">
        <v>0.3468</v>
      </c>
      <c r="F4527" s="149" t="n">
        <f aca="false">IF(C4527="MAT.",VLOOKUP(A4527,INSUMOS_AUX!$A$3:$H$813,6,0),0)</f>
        <v>3.32</v>
      </c>
      <c r="G4527" s="149" t="n">
        <f aca="false">IF(C4527="M.O.",VLOOKUP(A4527,INSUMOS_AUX!A:F,6,0),0)</f>
        <v>0</v>
      </c>
    </row>
    <row r="4528" customFormat="false" ht="21" hidden="false" customHeight="false" outlineLevel="0" collapsed="false">
      <c r="A4528" s="154" t="n">
        <v>43485</v>
      </c>
      <c r="B4528" s="155" t="s">
        <v>1481</v>
      </c>
      <c r="C4528" s="148" t="str">
        <f aca="false">VLOOKUP($A4528,INSUMOS_AUX!$A$3:$H$813,3,0)</f>
        <v>MAT.</v>
      </c>
      <c r="D4528" s="156" t="s">
        <v>1444</v>
      </c>
      <c r="E4528" s="154" t="n">
        <v>0.3468</v>
      </c>
      <c r="F4528" s="149" t="n">
        <f aca="false">IF(C4528="MAT.",VLOOKUP(A4528,INSUMOS_AUX!$A$3:$H$813,6,0),0)</f>
        <v>1.13</v>
      </c>
      <c r="G4528" s="149" t="n">
        <f aca="false">IF(C4528="M.O.",VLOOKUP(A4528,INSUMOS_AUX!A:F,6,0),0)</f>
        <v>0</v>
      </c>
    </row>
    <row r="4529" customFormat="false" ht="21" hidden="false" customHeight="false" outlineLevel="0" collapsed="false">
      <c r="A4529" s="154" t="n">
        <v>37372</v>
      </c>
      <c r="B4529" s="155" t="s">
        <v>1446</v>
      </c>
      <c r="C4529" s="148" t="str">
        <f aca="false">VLOOKUP($A4529,INSUMOS_AUX!$A$3:$H$813,3,0)</f>
        <v>MAT.</v>
      </c>
      <c r="D4529" s="156" t="s">
        <v>1444</v>
      </c>
      <c r="E4529" s="154" t="n">
        <v>0.3468</v>
      </c>
      <c r="F4529" s="149" t="n">
        <f aca="false">IF(C4529="MAT.",VLOOKUP(A4529,INSUMOS_AUX!$A$3:$H$813,6,0),0)</f>
        <v>1.43</v>
      </c>
      <c r="G4529" s="149" t="n">
        <f aca="false">IF(C4529="M.O.",VLOOKUP(A4529,INSUMOS_AUX!A:F,6,0),0)</f>
        <v>0</v>
      </c>
    </row>
    <row r="4530" customFormat="false" ht="21" hidden="false" customHeight="false" outlineLevel="0" collapsed="false">
      <c r="A4530" s="154" t="n">
        <v>43461</v>
      </c>
      <c r="B4530" s="155" t="s">
        <v>1482</v>
      </c>
      <c r="C4530" s="148" t="str">
        <f aca="false">VLOOKUP($A4530,INSUMOS_AUX!$A$3:$H$813,3,0)</f>
        <v>MAT.</v>
      </c>
      <c r="D4530" s="156" t="s">
        <v>1444</v>
      </c>
      <c r="E4530" s="154" t="n">
        <v>0.3468</v>
      </c>
      <c r="F4530" s="149" t="n">
        <f aca="false">IF(C4530="MAT.",VLOOKUP(A4530,INSUMOS_AUX!$A$3:$H$813,6,0),0)</f>
        <v>0.31</v>
      </c>
      <c r="G4530" s="149" t="n">
        <f aca="false">IF(C4530="M.O.",VLOOKUP(A4530,INSUMOS_AUX!A:F,6,0),0)</f>
        <v>0</v>
      </c>
    </row>
    <row r="4531" customFormat="false" ht="21" hidden="false" customHeight="false" outlineLevel="0" collapsed="false">
      <c r="A4531" s="154" t="n">
        <v>37373</v>
      </c>
      <c r="B4531" s="155" t="s">
        <v>1448</v>
      </c>
      <c r="C4531" s="148" t="str">
        <f aca="false">VLOOKUP($A4531,INSUMOS_AUX!$A$3:$H$813,3,0)</f>
        <v>MAT.</v>
      </c>
      <c r="D4531" s="156" t="s">
        <v>1444</v>
      </c>
      <c r="E4531" s="154" t="n">
        <v>0.3468</v>
      </c>
      <c r="F4531" s="149" t="n">
        <f aca="false">IF(C4531="MAT.",VLOOKUP(A4531,INSUMOS_AUX!$A$3:$H$813,6,0),0)</f>
        <v>0.08</v>
      </c>
      <c r="G4531" s="149" t="n">
        <f aca="false">IF(C4531="M.O.",VLOOKUP(A4531,INSUMOS_AUX!A:F,6,0),0)</f>
        <v>0</v>
      </c>
    </row>
    <row r="4532" customFormat="false" ht="21" hidden="false" customHeight="false" outlineLevel="0" collapsed="false">
      <c r="A4532" s="154" t="n">
        <v>37371</v>
      </c>
      <c r="B4532" s="155" t="s">
        <v>1449</v>
      </c>
      <c r="C4532" s="148" t="str">
        <f aca="false">VLOOKUP($A4532,INSUMOS_AUX!$A$3:$H$813,3,0)</f>
        <v>MAT.</v>
      </c>
      <c r="D4532" s="156" t="s">
        <v>1444</v>
      </c>
      <c r="E4532" s="154" t="n">
        <v>0.3468</v>
      </c>
      <c r="F4532" s="149" t="n">
        <f aca="false">IF(C4532="MAT.",VLOOKUP(A4532,INSUMOS_AUX!$A$3:$H$813,6,0),0)</f>
        <v>0.59</v>
      </c>
      <c r="G4532" s="149" t="n">
        <f aca="false">IF(C4532="M.O.",VLOOKUP(A4532,INSUMOS_AUX!A:F,6,0),0)</f>
        <v>0</v>
      </c>
    </row>
    <row r="4533" customFormat="false" ht="15" hidden="false" customHeight="false" outlineLevel="0" collapsed="false">
      <c r="A4533" s="154" t="n">
        <v>122</v>
      </c>
      <c r="B4533" s="155" t="s">
        <v>2097</v>
      </c>
      <c r="C4533" s="148" t="str">
        <f aca="false">VLOOKUP($A4533,INSUMOS_AUX!$A$3:$H$813,3,0)</f>
        <v>MAT.</v>
      </c>
      <c r="D4533" s="156" t="s">
        <v>31</v>
      </c>
      <c r="E4533" s="154" t="n">
        <v>0.0306</v>
      </c>
      <c r="F4533" s="149" t="n">
        <f aca="false">IF(C4533="MAT.",VLOOKUP(A4533,INSUMOS_AUX!$A$3:$H$813,6,0),0)</f>
        <v>63.09</v>
      </c>
      <c r="G4533" s="149" t="n">
        <f aca="false">IF(C4533="M.O.",VLOOKUP(A4533,INSUMOS_AUX!A:F,6,0),0)</f>
        <v>0</v>
      </c>
    </row>
    <row r="4534" customFormat="false" ht="21" hidden="false" customHeight="false" outlineLevel="0" collapsed="false">
      <c r="A4534" s="154" t="n">
        <v>300</v>
      </c>
      <c r="B4534" s="155" t="s">
        <v>2227</v>
      </c>
      <c r="C4534" s="148" t="str">
        <f aca="false">VLOOKUP($A4534,INSUMOS_AUX!$A$3:$H$813,3,0)</f>
        <v>MAT.</v>
      </c>
      <c r="D4534" s="156" t="s">
        <v>31</v>
      </c>
      <c r="E4534" s="154" t="n">
        <v>1</v>
      </c>
      <c r="F4534" s="149" t="n">
        <f aca="false">IF(C4534="MAT.",VLOOKUP(A4534,INSUMOS_AUX!$A$3:$H$813,6,0),0)</f>
        <v>12.18</v>
      </c>
      <c r="G4534" s="149" t="n">
        <f aca="false">IF(C4534="M.O.",VLOOKUP(A4534,INSUMOS_AUX!A:F,6,0),0)</f>
        <v>0</v>
      </c>
    </row>
    <row r="4535" customFormat="false" ht="15" hidden="false" customHeight="false" outlineLevel="0" collapsed="false">
      <c r="A4535" s="154" t="n">
        <v>20171</v>
      </c>
      <c r="B4535" s="155" t="s">
        <v>2245</v>
      </c>
      <c r="C4535" s="148" t="str">
        <f aca="false">VLOOKUP($A4535,INSUMOS_AUX!$A$3:$H$813,3,0)</f>
        <v>MAT.</v>
      </c>
      <c r="D4535" s="156" t="s">
        <v>31</v>
      </c>
      <c r="E4535" s="154" t="n">
        <v>1</v>
      </c>
      <c r="F4535" s="149" t="n">
        <f aca="false">IF(C4535="MAT.",VLOOKUP(A4535,INSUMOS_AUX!$A$3:$H$813,6,0),0)</f>
        <v>41.6</v>
      </c>
      <c r="G4535" s="149" t="n">
        <f aca="false">IF(C4535="M.O.",VLOOKUP(A4535,INSUMOS_AUX!A:F,6,0),0)</f>
        <v>0</v>
      </c>
    </row>
    <row r="4536" customFormat="false" ht="31.5" hidden="false" customHeight="false" outlineLevel="0" collapsed="false">
      <c r="A4536" s="154" t="n">
        <v>20078</v>
      </c>
      <c r="B4536" s="155" t="s">
        <v>2123</v>
      </c>
      <c r="C4536" s="148" t="str">
        <f aca="false">VLOOKUP($A4536,INSUMOS_AUX!$A$3:$H$813,3,0)</f>
        <v>MAT.</v>
      </c>
      <c r="D4536" s="156" t="s">
        <v>31</v>
      </c>
      <c r="E4536" s="154" t="n">
        <v>0.0875</v>
      </c>
      <c r="F4536" s="149" t="n">
        <f aca="false">IF(C4536="MAT.",VLOOKUP(A4536,INSUMOS_AUX!$A$3:$H$813,6,0),0)</f>
        <v>26.04</v>
      </c>
      <c r="G4536" s="149" t="n">
        <f aca="false">IF(C4536="M.O.",VLOOKUP(A4536,INSUMOS_AUX!A:F,6,0),0)</f>
        <v>0</v>
      </c>
    </row>
    <row r="4537" customFormat="false" ht="21" hidden="false" customHeight="false" outlineLevel="0" collapsed="false">
      <c r="A4537" s="154" t="n">
        <v>20083</v>
      </c>
      <c r="B4537" s="155" t="s">
        <v>2095</v>
      </c>
      <c r="C4537" s="148" t="str">
        <f aca="false">VLOOKUP($A4537,INSUMOS_AUX!$A$3:$H$813,3,0)</f>
        <v>MAT.</v>
      </c>
      <c r="D4537" s="156" t="s">
        <v>31</v>
      </c>
      <c r="E4537" s="154" t="n">
        <v>0.05</v>
      </c>
      <c r="F4537" s="149" t="n">
        <f aca="false">IF(C4537="MAT.",VLOOKUP(A4537,INSUMOS_AUX!$A$3:$H$813,6,0),0)</f>
        <v>71.48</v>
      </c>
      <c r="G4537" s="149" t="n">
        <f aca="false">IF(C4537="M.O.",VLOOKUP(A4537,INSUMOS_AUX!A:F,6,0),0)</f>
        <v>0</v>
      </c>
    </row>
    <row r="4538" customFormat="false" ht="15" hidden="false" customHeight="false" outlineLevel="0" collapsed="false">
      <c r="A4538" s="154" t="n">
        <v>246</v>
      </c>
      <c r="B4538" s="155" t="s">
        <v>1752</v>
      </c>
      <c r="C4538" s="148" t="str">
        <f aca="false">VLOOKUP($A4538,INSUMOS_AUX!$A$3:$H$813,3,0)</f>
        <v>M.O.</v>
      </c>
      <c r="D4538" s="156" t="s">
        <v>1444</v>
      </c>
      <c r="E4538" s="154" t="n">
        <v>0.176517732</v>
      </c>
      <c r="F4538" s="149" t="n">
        <f aca="false">IF(C4538="MAT.",VLOOKUP(A4538,INSUMOS_AUX!$A$3:$H$813,6,0),0)</f>
        <v>0</v>
      </c>
      <c r="G4538" s="149" t="n">
        <f aca="false">IF(C4538="M.O.",VLOOKUP(A4538,INSUMOS_AUX!A:F,6,0),0)</f>
        <v>13.26</v>
      </c>
    </row>
    <row r="4539" customFormat="false" ht="15" hidden="false" customHeight="false" outlineLevel="0" collapsed="false">
      <c r="A4539" s="154" t="n">
        <v>2696</v>
      </c>
      <c r="B4539" s="155" t="s">
        <v>1483</v>
      </c>
      <c r="C4539" s="148" t="str">
        <f aca="false">VLOOKUP($A4539,INSUMOS_AUX!$A$3:$H$813,3,0)</f>
        <v>M.O.</v>
      </c>
      <c r="D4539" s="156" t="s">
        <v>1444</v>
      </c>
      <c r="E4539" s="154" t="n">
        <v>0.176517732</v>
      </c>
      <c r="F4539" s="149" t="n">
        <f aca="false">IF(C4539="MAT.",VLOOKUP(A4539,INSUMOS_AUX!$A$3:$H$813,6,0),0)</f>
        <v>0</v>
      </c>
      <c r="G4539" s="149" t="n">
        <f aca="false">IF(C4539="M.O.",VLOOKUP(A4539,INSUMOS_AUX!A:F,6,0),0)</f>
        <v>20.22</v>
      </c>
    </row>
    <row r="4540" customFormat="false" ht="31.5" hidden="false" customHeight="false" outlineLevel="0" collapsed="false">
      <c r="A4540" s="150" t="n">
        <v>89547</v>
      </c>
      <c r="B4540" s="151" t="s">
        <v>2246</v>
      </c>
      <c r="C4540" s="152" t="s">
        <v>59</v>
      </c>
      <c r="D4540" s="152" t="s">
        <v>31</v>
      </c>
      <c r="E4540" s="150"/>
      <c r="F4540" s="153" t="n">
        <f aca="false">(SUMPRODUCT($E4541:$E4554,F4541:F4554))*1</f>
        <v>20.070967</v>
      </c>
      <c r="G4540" s="153" t="n">
        <f aca="false">(SUMPRODUCT($E4541:$E4554,G4541:G4554))*1</f>
        <v>2.13693954408</v>
      </c>
    </row>
    <row r="4541" customFormat="false" ht="21" hidden="false" customHeight="false" outlineLevel="0" collapsed="false">
      <c r="A4541" s="154" t="n">
        <v>37370</v>
      </c>
      <c r="B4541" s="155" t="s">
        <v>1443</v>
      </c>
      <c r="C4541" s="148" t="str">
        <f aca="false">VLOOKUP($A4541,INSUMOS_AUX!$A$3:$H$813,3,0)</f>
        <v>MAT.</v>
      </c>
      <c r="D4541" s="156" t="s">
        <v>1444</v>
      </c>
      <c r="E4541" s="154" t="n">
        <v>0.1254</v>
      </c>
      <c r="F4541" s="149" t="n">
        <f aca="false">IF(C4541="MAT.",VLOOKUP(A4541,INSUMOS_AUX!$A$3:$H$813,6,0),0)</f>
        <v>3.32</v>
      </c>
      <c r="G4541" s="149" t="n">
        <f aca="false">IF(C4541="M.O.",VLOOKUP(A4541,INSUMOS_AUX!A:F,6,0),0)</f>
        <v>0</v>
      </c>
    </row>
    <row r="4542" customFormat="false" ht="21" hidden="false" customHeight="false" outlineLevel="0" collapsed="false">
      <c r="A4542" s="154" t="n">
        <v>43485</v>
      </c>
      <c r="B4542" s="155" t="s">
        <v>1481</v>
      </c>
      <c r="C4542" s="148" t="str">
        <f aca="false">VLOOKUP($A4542,INSUMOS_AUX!$A$3:$H$813,3,0)</f>
        <v>MAT.</v>
      </c>
      <c r="D4542" s="156" t="s">
        <v>1444</v>
      </c>
      <c r="E4542" s="154" t="n">
        <v>0.1254</v>
      </c>
      <c r="F4542" s="149" t="n">
        <f aca="false">IF(C4542="MAT.",VLOOKUP(A4542,INSUMOS_AUX!$A$3:$H$813,6,0),0)</f>
        <v>1.13</v>
      </c>
      <c r="G4542" s="149" t="n">
        <f aca="false">IF(C4542="M.O.",VLOOKUP(A4542,INSUMOS_AUX!A:F,6,0),0)</f>
        <v>0</v>
      </c>
    </row>
    <row r="4543" customFormat="false" ht="21" hidden="false" customHeight="false" outlineLevel="0" collapsed="false">
      <c r="A4543" s="154" t="n">
        <v>37372</v>
      </c>
      <c r="B4543" s="155" t="s">
        <v>1446</v>
      </c>
      <c r="C4543" s="148" t="str">
        <f aca="false">VLOOKUP($A4543,INSUMOS_AUX!$A$3:$H$813,3,0)</f>
        <v>MAT.</v>
      </c>
      <c r="D4543" s="156" t="s">
        <v>1444</v>
      </c>
      <c r="E4543" s="154" t="n">
        <v>0.1254</v>
      </c>
      <c r="F4543" s="149" t="n">
        <f aca="false">IF(C4543="MAT.",VLOOKUP(A4543,INSUMOS_AUX!$A$3:$H$813,6,0),0)</f>
        <v>1.43</v>
      </c>
      <c r="G4543" s="149" t="n">
        <f aca="false">IF(C4543="M.O.",VLOOKUP(A4543,INSUMOS_AUX!A:F,6,0),0)</f>
        <v>0</v>
      </c>
    </row>
    <row r="4544" customFormat="false" ht="21" hidden="false" customHeight="false" outlineLevel="0" collapsed="false">
      <c r="A4544" s="154" t="n">
        <v>43461</v>
      </c>
      <c r="B4544" s="155" t="s">
        <v>1482</v>
      </c>
      <c r="C4544" s="148" t="str">
        <f aca="false">VLOOKUP($A4544,INSUMOS_AUX!$A$3:$H$813,3,0)</f>
        <v>MAT.</v>
      </c>
      <c r="D4544" s="156" t="s">
        <v>1444</v>
      </c>
      <c r="E4544" s="154" t="n">
        <v>0.1254</v>
      </c>
      <c r="F4544" s="149" t="n">
        <f aca="false">IF(C4544="MAT.",VLOOKUP(A4544,INSUMOS_AUX!$A$3:$H$813,6,0),0)</f>
        <v>0.31</v>
      </c>
      <c r="G4544" s="149" t="n">
        <f aca="false">IF(C4544="M.O.",VLOOKUP(A4544,INSUMOS_AUX!A:F,6,0),0)</f>
        <v>0</v>
      </c>
    </row>
    <row r="4545" customFormat="false" ht="21" hidden="false" customHeight="false" outlineLevel="0" collapsed="false">
      <c r="A4545" s="154" t="n">
        <v>37373</v>
      </c>
      <c r="B4545" s="155" t="s">
        <v>1448</v>
      </c>
      <c r="C4545" s="148" t="str">
        <f aca="false">VLOOKUP($A4545,INSUMOS_AUX!$A$3:$H$813,3,0)</f>
        <v>MAT.</v>
      </c>
      <c r="D4545" s="156" t="s">
        <v>1444</v>
      </c>
      <c r="E4545" s="154" t="n">
        <v>0.1254</v>
      </c>
      <c r="F4545" s="149" t="n">
        <f aca="false">IF(C4545="MAT.",VLOOKUP(A4545,INSUMOS_AUX!$A$3:$H$813,6,0),0)</f>
        <v>0.08</v>
      </c>
      <c r="G4545" s="149" t="n">
        <f aca="false">IF(C4545="M.O.",VLOOKUP(A4545,INSUMOS_AUX!A:F,6,0),0)</f>
        <v>0</v>
      </c>
    </row>
    <row r="4546" customFormat="false" ht="21" hidden="false" customHeight="false" outlineLevel="0" collapsed="false">
      <c r="A4546" s="154" t="n">
        <v>37371</v>
      </c>
      <c r="B4546" s="155" t="s">
        <v>1449</v>
      </c>
      <c r="C4546" s="148" t="str">
        <f aca="false">VLOOKUP($A4546,INSUMOS_AUX!$A$3:$H$813,3,0)</f>
        <v>MAT.</v>
      </c>
      <c r="D4546" s="156" t="s">
        <v>1444</v>
      </c>
      <c r="E4546" s="154" t="n">
        <v>0.1254</v>
      </c>
      <c r="F4546" s="149" t="n">
        <f aca="false">IF(C4546="MAT.",VLOOKUP(A4546,INSUMOS_AUX!$A$3:$H$813,6,0),0)</f>
        <v>0.59</v>
      </c>
      <c r="G4546" s="149" t="n">
        <f aca="false">IF(C4546="M.O.",VLOOKUP(A4546,INSUMOS_AUX!A:F,6,0),0)</f>
        <v>0</v>
      </c>
    </row>
    <row r="4547" customFormat="false" ht="15" hidden="false" customHeight="false" outlineLevel="0" collapsed="false">
      <c r="A4547" s="154" t="n">
        <v>122</v>
      </c>
      <c r="B4547" s="155" t="s">
        <v>2097</v>
      </c>
      <c r="C4547" s="148" t="str">
        <f aca="false">VLOOKUP($A4547,INSUMOS_AUX!$A$3:$H$813,3,0)</f>
        <v>MAT.</v>
      </c>
      <c r="D4547" s="156" t="s">
        <v>31</v>
      </c>
      <c r="E4547" s="154" t="n">
        <v>0.0167</v>
      </c>
      <c r="F4547" s="149" t="n">
        <f aca="false">IF(C4547="MAT.",VLOOKUP(A4547,INSUMOS_AUX!$A$3:$H$813,6,0),0)</f>
        <v>63.09</v>
      </c>
      <c r="G4547" s="149" t="n">
        <f aca="false">IF(C4547="M.O.",VLOOKUP(A4547,INSUMOS_AUX!A:F,6,0),0)</f>
        <v>0</v>
      </c>
    </row>
    <row r="4548" customFormat="false" ht="21" hidden="false" customHeight="false" outlineLevel="0" collapsed="false">
      <c r="A4548" s="154" t="n">
        <v>298</v>
      </c>
      <c r="B4548" s="155" t="s">
        <v>2230</v>
      </c>
      <c r="C4548" s="148" t="str">
        <f aca="false">VLOOKUP($A4548,INSUMOS_AUX!$A$3:$H$813,3,0)</f>
        <v>MAT.</v>
      </c>
      <c r="D4548" s="156" t="s">
        <v>31</v>
      </c>
      <c r="E4548" s="154" t="n">
        <v>1</v>
      </c>
      <c r="F4548" s="149" t="n">
        <f aca="false">IF(C4548="MAT.",VLOOKUP(A4548,INSUMOS_AUX!$A$3:$H$813,6,0),0)</f>
        <v>2.7</v>
      </c>
      <c r="G4548" s="149" t="n">
        <f aca="false">IF(C4548="M.O.",VLOOKUP(A4548,INSUMOS_AUX!A:F,6,0),0)</f>
        <v>0</v>
      </c>
    </row>
    <row r="4549" customFormat="false" ht="15" hidden="false" customHeight="false" outlineLevel="0" collapsed="false">
      <c r="A4549" s="154" t="n">
        <v>38383</v>
      </c>
      <c r="B4549" s="155" t="s">
        <v>2093</v>
      </c>
      <c r="C4549" s="148" t="str">
        <f aca="false">VLOOKUP($A4549,INSUMOS_AUX!$A$3:$H$813,3,0)</f>
        <v>MAT.</v>
      </c>
      <c r="D4549" s="156" t="s">
        <v>31</v>
      </c>
      <c r="E4549" s="154" t="n">
        <v>0.026</v>
      </c>
      <c r="F4549" s="149" t="n">
        <f aca="false">IF(C4549="MAT.",VLOOKUP(A4549,INSUMOS_AUX!$A$3:$H$813,6,0),0)</f>
        <v>2.39</v>
      </c>
      <c r="G4549" s="149" t="n">
        <f aca="false">IF(C4549="M.O.",VLOOKUP(A4549,INSUMOS_AUX!A:F,6,0),0)</f>
        <v>0</v>
      </c>
    </row>
    <row r="4550" customFormat="false" ht="15" hidden="false" customHeight="false" outlineLevel="0" collapsed="false">
      <c r="A4550" s="154" t="n">
        <v>20169</v>
      </c>
      <c r="B4550" s="155" t="s">
        <v>2247</v>
      </c>
      <c r="C4550" s="148" t="str">
        <f aca="false">VLOOKUP($A4550,INSUMOS_AUX!$A$3:$H$813,3,0)</f>
        <v>MAT.</v>
      </c>
      <c r="D4550" s="156" t="s">
        <v>31</v>
      </c>
      <c r="E4550" s="154" t="n">
        <v>1</v>
      </c>
      <c r="F4550" s="149" t="n">
        <f aca="false">IF(C4550="MAT.",VLOOKUP(A4550,INSUMOS_AUX!$A$3:$H$813,6,0),0)</f>
        <v>12.56</v>
      </c>
      <c r="G4550" s="149" t="n">
        <f aca="false">IF(C4550="M.O.",VLOOKUP(A4550,INSUMOS_AUX!A:F,6,0),0)</f>
        <v>0</v>
      </c>
    </row>
    <row r="4551" customFormat="false" ht="31.5" hidden="false" customHeight="false" outlineLevel="0" collapsed="false">
      <c r="A4551" s="154" t="n">
        <v>20078</v>
      </c>
      <c r="B4551" s="155" t="s">
        <v>2123</v>
      </c>
      <c r="C4551" s="148" t="str">
        <f aca="false">VLOOKUP($A4551,INSUMOS_AUX!$A$3:$H$813,3,0)</f>
        <v>MAT.</v>
      </c>
      <c r="D4551" s="156" t="s">
        <v>31</v>
      </c>
      <c r="E4551" s="154" t="n">
        <v>0.0375</v>
      </c>
      <c r="F4551" s="149" t="n">
        <f aca="false">IF(C4551="MAT.",VLOOKUP(A4551,INSUMOS_AUX!$A$3:$H$813,6,0),0)</f>
        <v>26.04</v>
      </c>
      <c r="G4551" s="149" t="n">
        <f aca="false">IF(C4551="M.O.",VLOOKUP(A4551,INSUMOS_AUX!A:F,6,0),0)</f>
        <v>0</v>
      </c>
    </row>
    <row r="4552" customFormat="false" ht="21" hidden="false" customHeight="false" outlineLevel="0" collapsed="false">
      <c r="A4552" s="154" t="n">
        <v>20083</v>
      </c>
      <c r="B4552" s="155" t="s">
        <v>2095</v>
      </c>
      <c r="C4552" s="148" t="str">
        <f aca="false">VLOOKUP($A4552,INSUMOS_AUX!$A$3:$H$813,3,0)</f>
        <v>MAT.</v>
      </c>
      <c r="D4552" s="156" t="s">
        <v>31</v>
      </c>
      <c r="E4552" s="154" t="n">
        <v>0.026</v>
      </c>
      <c r="F4552" s="149" t="n">
        <f aca="false">IF(C4552="MAT.",VLOOKUP(A4552,INSUMOS_AUX!$A$3:$H$813,6,0),0)</f>
        <v>71.48</v>
      </c>
      <c r="G4552" s="149" t="n">
        <f aca="false">IF(C4552="M.O.",VLOOKUP(A4552,INSUMOS_AUX!A:F,6,0),0)</f>
        <v>0</v>
      </c>
    </row>
    <row r="4553" customFormat="false" ht="15" hidden="false" customHeight="false" outlineLevel="0" collapsed="false">
      <c r="A4553" s="154" t="n">
        <v>246</v>
      </c>
      <c r="B4553" s="155" t="s">
        <v>1752</v>
      </c>
      <c r="C4553" s="148" t="str">
        <f aca="false">VLOOKUP($A4553,INSUMOS_AUX!$A$3:$H$813,3,0)</f>
        <v>M.O.</v>
      </c>
      <c r="D4553" s="156" t="s">
        <v>1444</v>
      </c>
      <c r="E4553" s="154" t="n">
        <v>0.063827346</v>
      </c>
      <c r="F4553" s="149" t="n">
        <f aca="false">IF(C4553="MAT.",VLOOKUP(A4553,INSUMOS_AUX!$A$3:$H$813,6,0),0)</f>
        <v>0</v>
      </c>
      <c r="G4553" s="149" t="n">
        <f aca="false">IF(C4553="M.O.",VLOOKUP(A4553,INSUMOS_AUX!A:F,6,0),0)</f>
        <v>13.26</v>
      </c>
    </row>
    <row r="4554" customFormat="false" ht="15" hidden="false" customHeight="false" outlineLevel="0" collapsed="false">
      <c r="A4554" s="154" t="n">
        <v>2696</v>
      </c>
      <c r="B4554" s="155" t="s">
        <v>1483</v>
      </c>
      <c r="C4554" s="148" t="str">
        <f aca="false">VLOOKUP($A4554,INSUMOS_AUX!$A$3:$H$813,3,0)</f>
        <v>M.O.</v>
      </c>
      <c r="D4554" s="156" t="s">
        <v>1444</v>
      </c>
      <c r="E4554" s="154" t="n">
        <v>0.063827346</v>
      </c>
      <c r="F4554" s="149" t="n">
        <f aca="false">IF(C4554="MAT.",VLOOKUP(A4554,INSUMOS_AUX!$A$3:$H$813,6,0),0)</f>
        <v>0</v>
      </c>
      <c r="G4554" s="149" t="n">
        <f aca="false">IF(C4554="M.O.",VLOOKUP(A4554,INSUMOS_AUX!A:F,6,0),0)</f>
        <v>20.22</v>
      </c>
    </row>
    <row r="4555" customFormat="false" ht="31.5" hidden="false" customHeight="false" outlineLevel="0" collapsed="false">
      <c r="A4555" s="150" t="n">
        <v>89557</v>
      </c>
      <c r="B4555" s="151" t="s">
        <v>2248</v>
      </c>
      <c r="C4555" s="152" t="s">
        <v>59</v>
      </c>
      <c r="D4555" s="152" t="s">
        <v>31</v>
      </c>
      <c r="E4555" s="150"/>
      <c r="F4555" s="153" t="n">
        <f aca="false">(SUMPRODUCT($E4556:$E4567,F4556:F4567))*1</f>
        <v>29.293196</v>
      </c>
      <c r="G4555" s="153" t="n">
        <f aca="false">(SUMPRODUCT($E4556:$E4567,G4556:G4567))*1</f>
        <v>2.53229040072</v>
      </c>
    </row>
    <row r="4556" customFormat="false" ht="21" hidden="false" customHeight="false" outlineLevel="0" collapsed="false">
      <c r="A4556" s="154" t="n">
        <v>37370</v>
      </c>
      <c r="B4556" s="155" t="s">
        <v>1443</v>
      </c>
      <c r="C4556" s="148" t="str">
        <f aca="false">VLOOKUP($A4556,INSUMOS_AUX!$A$3:$H$813,3,0)</f>
        <v>MAT.</v>
      </c>
      <c r="D4556" s="156" t="s">
        <v>1444</v>
      </c>
      <c r="E4556" s="154" t="n">
        <v>0.1486</v>
      </c>
      <c r="F4556" s="149" t="n">
        <f aca="false">IF(C4556="MAT.",VLOOKUP(A4556,INSUMOS_AUX!$A$3:$H$813,6,0),0)</f>
        <v>3.32</v>
      </c>
      <c r="G4556" s="149" t="n">
        <f aca="false">IF(C4556="M.O.",VLOOKUP(A4556,INSUMOS_AUX!A:F,6,0),0)</f>
        <v>0</v>
      </c>
    </row>
    <row r="4557" customFormat="false" ht="21" hidden="false" customHeight="false" outlineLevel="0" collapsed="false">
      <c r="A4557" s="154" t="n">
        <v>43485</v>
      </c>
      <c r="B4557" s="155" t="s">
        <v>1481</v>
      </c>
      <c r="C4557" s="148" t="str">
        <f aca="false">VLOOKUP($A4557,INSUMOS_AUX!$A$3:$H$813,3,0)</f>
        <v>MAT.</v>
      </c>
      <c r="D4557" s="156" t="s">
        <v>1444</v>
      </c>
      <c r="E4557" s="154" t="n">
        <v>0.1486</v>
      </c>
      <c r="F4557" s="149" t="n">
        <f aca="false">IF(C4557="MAT.",VLOOKUP(A4557,INSUMOS_AUX!$A$3:$H$813,6,0),0)</f>
        <v>1.13</v>
      </c>
      <c r="G4557" s="149" t="n">
        <f aca="false">IF(C4557="M.O.",VLOOKUP(A4557,INSUMOS_AUX!A:F,6,0),0)</f>
        <v>0</v>
      </c>
    </row>
    <row r="4558" customFormat="false" ht="21" hidden="false" customHeight="false" outlineLevel="0" collapsed="false">
      <c r="A4558" s="154" t="n">
        <v>37372</v>
      </c>
      <c r="B4558" s="155" t="s">
        <v>1446</v>
      </c>
      <c r="C4558" s="148" t="str">
        <f aca="false">VLOOKUP($A4558,INSUMOS_AUX!$A$3:$H$813,3,0)</f>
        <v>MAT.</v>
      </c>
      <c r="D4558" s="156" t="s">
        <v>1444</v>
      </c>
      <c r="E4558" s="154" t="n">
        <v>0.1486</v>
      </c>
      <c r="F4558" s="149" t="n">
        <f aca="false">IF(C4558="MAT.",VLOOKUP(A4558,INSUMOS_AUX!$A$3:$H$813,6,0),0)</f>
        <v>1.43</v>
      </c>
      <c r="G4558" s="149" t="n">
        <f aca="false">IF(C4558="M.O.",VLOOKUP(A4558,INSUMOS_AUX!A:F,6,0),0)</f>
        <v>0</v>
      </c>
    </row>
    <row r="4559" customFormat="false" ht="21" hidden="false" customHeight="false" outlineLevel="0" collapsed="false">
      <c r="A4559" s="154" t="n">
        <v>43461</v>
      </c>
      <c r="B4559" s="155" t="s">
        <v>1482</v>
      </c>
      <c r="C4559" s="148" t="str">
        <f aca="false">VLOOKUP($A4559,INSUMOS_AUX!$A$3:$H$813,3,0)</f>
        <v>MAT.</v>
      </c>
      <c r="D4559" s="156" t="s">
        <v>1444</v>
      </c>
      <c r="E4559" s="154" t="n">
        <v>0.1486</v>
      </c>
      <c r="F4559" s="149" t="n">
        <f aca="false">IF(C4559="MAT.",VLOOKUP(A4559,INSUMOS_AUX!$A$3:$H$813,6,0),0)</f>
        <v>0.31</v>
      </c>
      <c r="G4559" s="149" t="n">
        <f aca="false">IF(C4559="M.O.",VLOOKUP(A4559,INSUMOS_AUX!A:F,6,0),0)</f>
        <v>0</v>
      </c>
    </row>
    <row r="4560" customFormat="false" ht="21" hidden="false" customHeight="false" outlineLevel="0" collapsed="false">
      <c r="A4560" s="154" t="n">
        <v>37373</v>
      </c>
      <c r="B4560" s="155" t="s">
        <v>1448</v>
      </c>
      <c r="C4560" s="148" t="str">
        <f aca="false">VLOOKUP($A4560,INSUMOS_AUX!$A$3:$H$813,3,0)</f>
        <v>MAT.</v>
      </c>
      <c r="D4560" s="156" t="s">
        <v>1444</v>
      </c>
      <c r="E4560" s="154" t="n">
        <v>0.1486</v>
      </c>
      <c r="F4560" s="149" t="n">
        <f aca="false">IF(C4560="MAT.",VLOOKUP(A4560,INSUMOS_AUX!$A$3:$H$813,6,0),0)</f>
        <v>0.08</v>
      </c>
      <c r="G4560" s="149" t="n">
        <f aca="false">IF(C4560="M.O.",VLOOKUP(A4560,INSUMOS_AUX!A:F,6,0),0)</f>
        <v>0</v>
      </c>
    </row>
    <row r="4561" customFormat="false" ht="21" hidden="false" customHeight="false" outlineLevel="0" collapsed="false">
      <c r="A4561" s="154" t="n">
        <v>37371</v>
      </c>
      <c r="B4561" s="155" t="s">
        <v>1449</v>
      </c>
      <c r="C4561" s="148" t="str">
        <f aca="false">VLOOKUP($A4561,INSUMOS_AUX!$A$3:$H$813,3,0)</f>
        <v>MAT.</v>
      </c>
      <c r="D4561" s="156" t="s">
        <v>1444</v>
      </c>
      <c r="E4561" s="154" t="n">
        <v>0.1486</v>
      </c>
      <c r="F4561" s="149" t="n">
        <f aca="false">IF(C4561="MAT.",VLOOKUP(A4561,INSUMOS_AUX!$A$3:$H$813,6,0),0)</f>
        <v>0.59</v>
      </c>
      <c r="G4561" s="149" t="n">
        <f aca="false">IF(C4561="M.O.",VLOOKUP(A4561,INSUMOS_AUX!A:F,6,0),0)</f>
        <v>0</v>
      </c>
    </row>
    <row r="4562" customFormat="false" ht="21" hidden="false" customHeight="false" outlineLevel="0" collapsed="false">
      <c r="A4562" s="154" t="n">
        <v>299</v>
      </c>
      <c r="B4562" s="155" t="s">
        <v>2224</v>
      </c>
      <c r="C4562" s="148" t="str">
        <f aca="false">VLOOKUP($A4562,INSUMOS_AUX!$A$3:$H$813,3,0)</f>
        <v>MAT.</v>
      </c>
      <c r="D4562" s="156" t="s">
        <v>31</v>
      </c>
      <c r="E4562" s="154" t="n">
        <v>1</v>
      </c>
      <c r="F4562" s="149" t="n">
        <f aca="false">IF(C4562="MAT.",VLOOKUP(A4562,INSUMOS_AUX!$A$3:$H$813,6,0),0)</f>
        <v>3.52</v>
      </c>
      <c r="G4562" s="149" t="n">
        <f aca="false">IF(C4562="M.O.",VLOOKUP(A4562,INSUMOS_AUX!A:F,6,0),0)</f>
        <v>0</v>
      </c>
    </row>
    <row r="4563" customFormat="false" ht="21" hidden="false" customHeight="false" outlineLevel="0" collapsed="false">
      <c r="A4563" s="154" t="n">
        <v>298</v>
      </c>
      <c r="B4563" s="155" t="s">
        <v>2230</v>
      </c>
      <c r="C4563" s="148" t="str">
        <f aca="false">VLOOKUP($A4563,INSUMOS_AUX!$A$3:$H$813,3,0)</f>
        <v>MAT.</v>
      </c>
      <c r="D4563" s="156" t="s">
        <v>31</v>
      </c>
      <c r="E4563" s="154" t="n">
        <v>1</v>
      </c>
      <c r="F4563" s="149" t="n">
        <f aca="false">IF(C4563="MAT.",VLOOKUP(A4563,INSUMOS_AUX!$A$3:$H$813,6,0),0)</f>
        <v>2.7</v>
      </c>
      <c r="G4563" s="149" t="n">
        <f aca="false">IF(C4563="M.O.",VLOOKUP(A4563,INSUMOS_AUX!A:F,6,0),0)</f>
        <v>0</v>
      </c>
    </row>
    <row r="4564" customFormat="false" ht="31.5" hidden="false" customHeight="false" outlineLevel="0" collapsed="false">
      <c r="A4564" s="154" t="n">
        <v>20078</v>
      </c>
      <c r="B4564" s="155" t="s">
        <v>2123</v>
      </c>
      <c r="C4564" s="148" t="str">
        <f aca="false">VLOOKUP($A4564,INSUMOS_AUX!$A$3:$H$813,3,0)</f>
        <v>MAT.</v>
      </c>
      <c r="D4564" s="156" t="s">
        <v>31</v>
      </c>
      <c r="E4564" s="154" t="n">
        <v>0.095</v>
      </c>
      <c r="F4564" s="149" t="n">
        <f aca="false">IF(C4564="MAT.",VLOOKUP(A4564,INSUMOS_AUX!$A$3:$H$813,6,0),0)</f>
        <v>26.04</v>
      </c>
      <c r="G4564" s="149" t="n">
        <f aca="false">IF(C4564="M.O.",VLOOKUP(A4564,INSUMOS_AUX!A:F,6,0),0)</f>
        <v>0</v>
      </c>
    </row>
    <row r="4565" customFormat="false" ht="21" hidden="false" customHeight="false" outlineLevel="0" collapsed="false">
      <c r="A4565" s="154" t="n">
        <v>20046</v>
      </c>
      <c r="B4565" s="155" t="s">
        <v>2249</v>
      </c>
      <c r="C4565" s="148" t="str">
        <f aca="false">VLOOKUP($A4565,INSUMOS_AUX!$A$3:$H$813,3,0)</f>
        <v>MAT.</v>
      </c>
      <c r="D4565" s="156" t="s">
        <v>31</v>
      </c>
      <c r="E4565" s="154" t="n">
        <v>1</v>
      </c>
      <c r="F4565" s="149" t="n">
        <f aca="false">IF(C4565="MAT.",VLOOKUP(A4565,INSUMOS_AUX!$A$3:$H$813,6,0),0)</f>
        <v>19.58</v>
      </c>
      <c r="G4565" s="149" t="n">
        <f aca="false">IF(C4565="M.O.",VLOOKUP(A4565,INSUMOS_AUX!A:F,6,0),0)</f>
        <v>0</v>
      </c>
    </row>
    <row r="4566" customFormat="false" ht="15" hidden="false" customHeight="false" outlineLevel="0" collapsed="false">
      <c r="A4566" s="154" t="n">
        <v>246</v>
      </c>
      <c r="B4566" s="155" t="s">
        <v>1752</v>
      </c>
      <c r="C4566" s="148" t="str">
        <f aca="false">VLOOKUP($A4566,INSUMOS_AUX!$A$3:$H$813,3,0)</f>
        <v>M.O.</v>
      </c>
      <c r="D4566" s="156" t="s">
        <v>1444</v>
      </c>
      <c r="E4566" s="154" t="n">
        <v>0.075635914</v>
      </c>
      <c r="F4566" s="149" t="n">
        <f aca="false">IF(C4566="MAT.",VLOOKUP(A4566,INSUMOS_AUX!$A$3:$H$813,6,0),0)</f>
        <v>0</v>
      </c>
      <c r="G4566" s="149" t="n">
        <f aca="false">IF(C4566="M.O.",VLOOKUP(A4566,INSUMOS_AUX!A:F,6,0),0)</f>
        <v>13.26</v>
      </c>
    </row>
    <row r="4567" customFormat="false" ht="15" hidden="false" customHeight="false" outlineLevel="0" collapsed="false">
      <c r="A4567" s="154" t="n">
        <v>2696</v>
      </c>
      <c r="B4567" s="155" t="s">
        <v>1483</v>
      </c>
      <c r="C4567" s="148" t="str">
        <f aca="false">VLOOKUP($A4567,INSUMOS_AUX!$A$3:$H$813,3,0)</f>
        <v>M.O.</v>
      </c>
      <c r="D4567" s="156" t="s">
        <v>1444</v>
      </c>
      <c r="E4567" s="154" t="n">
        <v>0.075635914</v>
      </c>
      <c r="F4567" s="149" t="n">
        <f aca="false">IF(C4567="MAT.",VLOOKUP(A4567,INSUMOS_AUX!$A$3:$H$813,6,0),0)</f>
        <v>0</v>
      </c>
      <c r="G4567" s="149" t="n">
        <f aca="false">IF(C4567="M.O.",VLOOKUP(A4567,INSUMOS_AUX!A:F,6,0),0)</f>
        <v>20.22</v>
      </c>
    </row>
    <row r="4568" customFormat="false" ht="31.5" hidden="false" customHeight="false" outlineLevel="0" collapsed="false">
      <c r="A4568" s="150" t="n">
        <v>104173</v>
      </c>
      <c r="B4568" s="151" t="s">
        <v>2250</v>
      </c>
      <c r="C4568" s="152" t="s">
        <v>59</v>
      </c>
      <c r="D4568" s="152" t="s">
        <v>31</v>
      </c>
      <c r="E4568" s="150"/>
      <c r="F4568" s="153" t="n">
        <f aca="false">(SUMPRODUCT($E4569:$E4580,F4569:F4580))*1</f>
        <v>76.502696</v>
      </c>
      <c r="G4568" s="153" t="n">
        <f aca="false">(SUMPRODUCT($E4569:$E4580,G4569:G4580))*1</f>
        <v>5.17364310672</v>
      </c>
    </row>
    <row r="4569" customFormat="false" ht="21" hidden="false" customHeight="false" outlineLevel="0" collapsed="false">
      <c r="A4569" s="154" t="n">
        <v>37370</v>
      </c>
      <c r="B4569" s="155" t="s">
        <v>1443</v>
      </c>
      <c r="C4569" s="148" t="str">
        <f aca="false">VLOOKUP($A4569,INSUMOS_AUX!$A$3:$H$813,3,0)</f>
        <v>MAT.</v>
      </c>
      <c r="D4569" s="156" t="s">
        <v>1444</v>
      </c>
      <c r="E4569" s="154" t="n">
        <v>0.3036</v>
      </c>
      <c r="F4569" s="149" t="n">
        <f aca="false">IF(C4569="MAT.",VLOOKUP(A4569,INSUMOS_AUX!$A$3:$H$813,6,0),0)</f>
        <v>3.32</v>
      </c>
      <c r="G4569" s="149" t="n">
        <f aca="false">IF(C4569="M.O.",VLOOKUP(A4569,INSUMOS_AUX!A:F,6,0),0)</f>
        <v>0</v>
      </c>
    </row>
    <row r="4570" customFormat="false" ht="21" hidden="false" customHeight="false" outlineLevel="0" collapsed="false">
      <c r="A4570" s="154" t="n">
        <v>43485</v>
      </c>
      <c r="B4570" s="155" t="s">
        <v>1481</v>
      </c>
      <c r="C4570" s="148" t="str">
        <f aca="false">VLOOKUP($A4570,INSUMOS_AUX!$A$3:$H$813,3,0)</f>
        <v>MAT.</v>
      </c>
      <c r="D4570" s="156" t="s">
        <v>1444</v>
      </c>
      <c r="E4570" s="154" t="n">
        <v>0.3036</v>
      </c>
      <c r="F4570" s="149" t="n">
        <f aca="false">IF(C4570="MAT.",VLOOKUP(A4570,INSUMOS_AUX!$A$3:$H$813,6,0),0)</f>
        <v>1.13</v>
      </c>
      <c r="G4570" s="149" t="n">
        <f aca="false">IF(C4570="M.O.",VLOOKUP(A4570,INSUMOS_AUX!A:F,6,0),0)</f>
        <v>0</v>
      </c>
    </row>
    <row r="4571" customFormat="false" ht="21" hidden="false" customHeight="false" outlineLevel="0" collapsed="false">
      <c r="A4571" s="154" t="n">
        <v>37372</v>
      </c>
      <c r="B4571" s="155" t="s">
        <v>1446</v>
      </c>
      <c r="C4571" s="148" t="str">
        <f aca="false">VLOOKUP($A4571,INSUMOS_AUX!$A$3:$H$813,3,0)</f>
        <v>MAT.</v>
      </c>
      <c r="D4571" s="156" t="s">
        <v>1444</v>
      </c>
      <c r="E4571" s="154" t="n">
        <v>0.3036</v>
      </c>
      <c r="F4571" s="149" t="n">
        <f aca="false">IF(C4571="MAT.",VLOOKUP(A4571,INSUMOS_AUX!$A$3:$H$813,6,0),0)</f>
        <v>1.43</v>
      </c>
      <c r="G4571" s="149" t="n">
        <f aca="false">IF(C4571="M.O.",VLOOKUP(A4571,INSUMOS_AUX!A:F,6,0),0)</f>
        <v>0</v>
      </c>
    </row>
    <row r="4572" customFormat="false" ht="21" hidden="false" customHeight="false" outlineLevel="0" collapsed="false">
      <c r="A4572" s="154" t="n">
        <v>43461</v>
      </c>
      <c r="B4572" s="155" t="s">
        <v>1482</v>
      </c>
      <c r="C4572" s="148" t="str">
        <f aca="false">VLOOKUP($A4572,INSUMOS_AUX!$A$3:$H$813,3,0)</f>
        <v>MAT.</v>
      </c>
      <c r="D4572" s="156" t="s">
        <v>1444</v>
      </c>
      <c r="E4572" s="154" t="n">
        <v>0.3036</v>
      </c>
      <c r="F4572" s="149" t="n">
        <f aca="false">IF(C4572="MAT.",VLOOKUP(A4572,INSUMOS_AUX!$A$3:$H$813,6,0),0)</f>
        <v>0.31</v>
      </c>
      <c r="G4572" s="149" t="n">
        <f aca="false">IF(C4572="M.O.",VLOOKUP(A4572,INSUMOS_AUX!A:F,6,0),0)</f>
        <v>0</v>
      </c>
    </row>
    <row r="4573" customFormat="false" ht="21" hidden="false" customHeight="false" outlineLevel="0" collapsed="false">
      <c r="A4573" s="154" t="n">
        <v>37373</v>
      </c>
      <c r="B4573" s="155" t="s">
        <v>1448</v>
      </c>
      <c r="C4573" s="148" t="str">
        <f aca="false">VLOOKUP($A4573,INSUMOS_AUX!$A$3:$H$813,3,0)</f>
        <v>MAT.</v>
      </c>
      <c r="D4573" s="156" t="s">
        <v>1444</v>
      </c>
      <c r="E4573" s="154" t="n">
        <v>0.3036</v>
      </c>
      <c r="F4573" s="149" t="n">
        <f aca="false">IF(C4573="MAT.",VLOOKUP(A4573,INSUMOS_AUX!$A$3:$H$813,6,0),0)</f>
        <v>0.08</v>
      </c>
      <c r="G4573" s="149" t="n">
        <f aca="false">IF(C4573="M.O.",VLOOKUP(A4573,INSUMOS_AUX!A:F,6,0),0)</f>
        <v>0</v>
      </c>
    </row>
    <row r="4574" customFormat="false" ht="21" hidden="false" customHeight="false" outlineLevel="0" collapsed="false">
      <c r="A4574" s="154" t="n">
        <v>37371</v>
      </c>
      <c r="B4574" s="155" t="s">
        <v>1449</v>
      </c>
      <c r="C4574" s="148" t="str">
        <f aca="false">VLOOKUP($A4574,INSUMOS_AUX!$A$3:$H$813,3,0)</f>
        <v>MAT.</v>
      </c>
      <c r="D4574" s="156" t="s">
        <v>1444</v>
      </c>
      <c r="E4574" s="154" t="n">
        <v>0.3036</v>
      </c>
      <c r="F4574" s="149" t="n">
        <f aca="false">IF(C4574="MAT.",VLOOKUP(A4574,INSUMOS_AUX!$A$3:$H$813,6,0),0)</f>
        <v>0.59</v>
      </c>
      <c r="G4574" s="149" t="n">
        <f aca="false">IF(C4574="M.O.",VLOOKUP(A4574,INSUMOS_AUX!A:F,6,0),0)</f>
        <v>0</v>
      </c>
    </row>
    <row r="4575" customFormat="false" ht="21" hidden="false" customHeight="false" outlineLevel="0" collapsed="false">
      <c r="A4575" s="154" t="n">
        <v>299</v>
      </c>
      <c r="B4575" s="155" t="s">
        <v>2224</v>
      </c>
      <c r="C4575" s="148" t="str">
        <f aca="false">VLOOKUP($A4575,INSUMOS_AUX!$A$3:$H$813,3,0)</f>
        <v>MAT.</v>
      </c>
      <c r="D4575" s="156" t="s">
        <v>31</v>
      </c>
      <c r="E4575" s="154" t="n">
        <v>1</v>
      </c>
      <c r="F4575" s="149" t="n">
        <f aca="false">IF(C4575="MAT.",VLOOKUP(A4575,INSUMOS_AUX!$A$3:$H$813,6,0),0)</f>
        <v>3.52</v>
      </c>
      <c r="G4575" s="149" t="n">
        <f aca="false">IF(C4575="M.O.",VLOOKUP(A4575,INSUMOS_AUX!A:F,6,0),0)</f>
        <v>0</v>
      </c>
    </row>
    <row r="4576" customFormat="false" ht="21" hidden="false" customHeight="false" outlineLevel="0" collapsed="false">
      <c r="A4576" s="154" t="n">
        <v>300</v>
      </c>
      <c r="B4576" s="155" t="s">
        <v>2227</v>
      </c>
      <c r="C4576" s="148" t="str">
        <f aca="false">VLOOKUP($A4576,INSUMOS_AUX!$A$3:$H$813,3,0)</f>
        <v>MAT.</v>
      </c>
      <c r="D4576" s="156" t="s">
        <v>31</v>
      </c>
      <c r="E4576" s="154" t="n">
        <v>1</v>
      </c>
      <c r="F4576" s="149" t="n">
        <f aca="false">IF(C4576="MAT.",VLOOKUP(A4576,INSUMOS_AUX!$A$3:$H$813,6,0),0)</f>
        <v>12.18</v>
      </c>
      <c r="G4576" s="149" t="n">
        <f aca="false">IF(C4576="M.O.",VLOOKUP(A4576,INSUMOS_AUX!A:F,6,0),0)</f>
        <v>0</v>
      </c>
    </row>
    <row r="4577" customFormat="false" ht="31.5" hidden="false" customHeight="false" outlineLevel="0" collapsed="false">
      <c r="A4577" s="154" t="n">
        <v>20078</v>
      </c>
      <c r="B4577" s="155" t="s">
        <v>2123</v>
      </c>
      <c r="C4577" s="148" t="s">
        <v>59</v>
      </c>
      <c r="D4577" s="156" t="s">
        <v>31</v>
      </c>
      <c r="E4577" s="154" t="n">
        <v>0.145</v>
      </c>
      <c r="F4577" s="149" t="n">
        <f aca="false">IF(C4577="MAT.",VLOOKUP(A4577,INSUMOS_AUX!$A$3:$H$813,6,0),0)</f>
        <v>0</v>
      </c>
      <c r="G4577" s="149" t="n">
        <f aca="false">IF(C4577="M.O.",VLOOKUP(A4577,INSUMOS_AUX!A:F,6,0),0)</f>
        <v>0</v>
      </c>
    </row>
    <row r="4578" customFormat="false" ht="21" hidden="false" customHeight="false" outlineLevel="0" collapsed="false">
      <c r="A4578" s="154" t="n">
        <v>20047</v>
      </c>
      <c r="B4578" s="155" t="s">
        <v>2251</v>
      </c>
      <c r="C4578" s="148" t="str">
        <f aca="false">VLOOKUP($A4578,INSUMOS_AUX!$A$3:$H$813,3,0)</f>
        <v>MAT.</v>
      </c>
      <c r="D4578" s="156" t="s">
        <v>31</v>
      </c>
      <c r="E4578" s="154" t="n">
        <v>1</v>
      </c>
      <c r="F4578" s="149" t="n">
        <f aca="false">IF(C4578="MAT.",VLOOKUP(A4578,INSUMOS_AUX!$A$3:$H$813,6,0),0)</f>
        <v>58.72</v>
      </c>
      <c r="G4578" s="149" t="n">
        <f aca="false">IF(C4578="M.O.",VLOOKUP(A4578,INSUMOS_AUX!A:F,6,0),0)</f>
        <v>0</v>
      </c>
    </row>
    <row r="4579" customFormat="false" ht="15" hidden="false" customHeight="false" outlineLevel="0" collapsed="false">
      <c r="A4579" s="154" t="n">
        <v>246</v>
      </c>
      <c r="B4579" s="155" t="s">
        <v>1752</v>
      </c>
      <c r="C4579" s="148" t="str">
        <f aca="false">VLOOKUP($A4579,INSUMOS_AUX!$A$3:$H$813,3,0)</f>
        <v>M.O.</v>
      </c>
      <c r="D4579" s="156" t="s">
        <v>1444</v>
      </c>
      <c r="E4579" s="154" t="n">
        <v>0.154529364</v>
      </c>
      <c r="F4579" s="149" t="n">
        <f aca="false">IF(C4579="MAT.",VLOOKUP(A4579,INSUMOS_AUX!$A$3:$H$813,6,0),0)</f>
        <v>0</v>
      </c>
      <c r="G4579" s="149" t="n">
        <f aca="false">IF(C4579="M.O.",VLOOKUP(A4579,INSUMOS_AUX!A:F,6,0),0)</f>
        <v>13.26</v>
      </c>
    </row>
    <row r="4580" customFormat="false" ht="15" hidden="false" customHeight="false" outlineLevel="0" collapsed="false">
      <c r="A4580" s="154" t="n">
        <v>2696</v>
      </c>
      <c r="B4580" s="155" t="s">
        <v>1483</v>
      </c>
      <c r="C4580" s="148" t="str">
        <f aca="false">VLOOKUP($A4580,INSUMOS_AUX!$A$3:$H$813,3,0)</f>
        <v>M.O.</v>
      </c>
      <c r="D4580" s="156" t="s">
        <v>1444</v>
      </c>
      <c r="E4580" s="154" t="n">
        <v>0.154529364</v>
      </c>
      <c r="F4580" s="149" t="n">
        <f aca="false">IF(C4580="MAT.",VLOOKUP(A4580,INSUMOS_AUX!$A$3:$H$813,6,0),0)</f>
        <v>0</v>
      </c>
      <c r="G4580" s="149" t="n">
        <f aca="false">IF(C4580="M.O.",VLOOKUP(A4580,INSUMOS_AUX!A:F,6,0),0)</f>
        <v>20.22</v>
      </c>
    </row>
    <row r="4581" customFormat="false" ht="31.5" hidden="false" customHeight="false" outlineLevel="0" collapsed="false">
      <c r="A4581" s="150" t="n">
        <v>89578</v>
      </c>
      <c r="B4581" s="151" t="s">
        <v>2252</v>
      </c>
      <c r="C4581" s="152" t="s">
        <v>59</v>
      </c>
      <c r="D4581" s="152" t="s">
        <v>1455</v>
      </c>
      <c r="E4581" s="150"/>
      <c r="F4581" s="153" t="n">
        <f aca="false">(SUMPRODUCT($E4582:$E4591,F4582:F4591))*1</f>
        <v>32.023355</v>
      </c>
      <c r="G4581" s="153" t="n">
        <f aca="false">(SUMPRODUCT($E4582:$E4591,G4582:G4591))*1</f>
        <v>2.58341335632</v>
      </c>
    </row>
    <row r="4582" customFormat="false" ht="21" hidden="false" customHeight="false" outlineLevel="0" collapsed="false">
      <c r="A4582" s="154" t="n">
        <v>37370</v>
      </c>
      <c r="B4582" s="155" t="s">
        <v>1443</v>
      </c>
      <c r="C4582" s="148" t="str">
        <f aca="false">VLOOKUP($A4582,INSUMOS_AUX!$A$3:$H$813,3,0)</f>
        <v>MAT.</v>
      </c>
      <c r="D4582" s="156" t="s">
        <v>1444</v>
      </c>
      <c r="E4582" s="154" t="n">
        <v>0.1516</v>
      </c>
      <c r="F4582" s="149" t="n">
        <f aca="false">IF(C4582="MAT.",VLOOKUP(A4582,INSUMOS_AUX!$A$3:$H$813,6,0),0)</f>
        <v>3.32</v>
      </c>
      <c r="G4582" s="149" t="n">
        <f aca="false">IF(C4582="M.O.",VLOOKUP(A4582,INSUMOS_AUX!A:F,6,0),0)</f>
        <v>0</v>
      </c>
    </row>
    <row r="4583" customFormat="false" ht="21" hidden="false" customHeight="false" outlineLevel="0" collapsed="false">
      <c r="A4583" s="154" t="n">
        <v>43485</v>
      </c>
      <c r="B4583" s="155" t="s">
        <v>1481</v>
      </c>
      <c r="C4583" s="148" t="str">
        <f aca="false">VLOOKUP($A4583,INSUMOS_AUX!$A$3:$H$813,3,0)</f>
        <v>MAT.</v>
      </c>
      <c r="D4583" s="156" t="s">
        <v>1444</v>
      </c>
      <c r="E4583" s="154" t="n">
        <v>0.1516</v>
      </c>
      <c r="F4583" s="149" t="n">
        <f aca="false">IF(C4583="MAT.",VLOOKUP(A4583,INSUMOS_AUX!$A$3:$H$813,6,0),0)</f>
        <v>1.13</v>
      </c>
      <c r="G4583" s="149" t="n">
        <f aca="false">IF(C4583="M.O.",VLOOKUP(A4583,INSUMOS_AUX!A:F,6,0),0)</f>
        <v>0</v>
      </c>
    </row>
    <row r="4584" customFormat="false" ht="21" hidden="false" customHeight="false" outlineLevel="0" collapsed="false">
      <c r="A4584" s="154" t="n">
        <v>37372</v>
      </c>
      <c r="B4584" s="155" t="s">
        <v>1446</v>
      </c>
      <c r="C4584" s="148" t="str">
        <f aca="false">VLOOKUP($A4584,INSUMOS_AUX!$A$3:$H$813,3,0)</f>
        <v>MAT.</v>
      </c>
      <c r="D4584" s="156" t="s">
        <v>1444</v>
      </c>
      <c r="E4584" s="154" t="n">
        <v>0.1516</v>
      </c>
      <c r="F4584" s="149" t="n">
        <f aca="false">IF(C4584="MAT.",VLOOKUP(A4584,INSUMOS_AUX!$A$3:$H$813,6,0),0)</f>
        <v>1.43</v>
      </c>
      <c r="G4584" s="149" t="n">
        <f aca="false">IF(C4584="M.O.",VLOOKUP(A4584,INSUMOS_AUX!A:F,6,0),0)</f>
        <v>0</v>
      </c>
    </row>
    <row r="4585" customFormat="false" ht="21" hidden="false" customHeight="false" outlineLevel="0" collapsed="false">
      <c r="A4585" s="154" t="n">
        <v>43461</v>
      </c>
      <c r="B4585" s="155" t="s">
        <v>1482</v>
      </c>
      <c r="C4585" s="148" t="str">
        <f aca="false">VLOOKUP($A4585,INSUMOS_AUX!$A$3:$H$813,3,0)</f>
        <v>MAT.</v>
      </c>
      <c r="D4585" s="156" t="s">
        <v>1444</v>
      </c>
      <c r="E4585" s="154" t="n">
        <v>0.1516</v>
      </c>
      <c r="F4585" s="149" t="n">
        <f aca="false">IF(C4585="MAT.",VLOOKUP(A4585,INSUMOS_AUX!$A$3:$H$813,6,0),0)</f>
        <v>0.31</v>
      </c>
      <c r="G4585" s="149" t="n">
        <f aca="false">IF(C4585="M.O.",VLOOKUP(A4585,INSUMOS_AUX!A:F,6,0),0)</f>
        <v>0</v>
      </c>
    </row>
    <row r="4586" customFormat="false" ht="21" hidden="false" customHeight="false" outlineLevel="0" collapsed="false">
      <c r="A4586" s="154" t="n">
        <v>37373</v>
      </c>
      <c r="B4586" s="155" t="s">
        <v>1448</v>
      </c>
      <c r="C4586" s="148" t="str">
        <f aca="false">VLOOKUP($A4586,INSUMOS_AUX!$A$3:$H$813,3,0)</f>
        <v>MAT.</v>
      </c>
      <c r="D4586" s="156" t="s">
        <v>1444</v>
      </c>
      <c r="E4586" s="154" t="n">
        <v>0.1516</v>
      </c>
      <c r="F4586" s="149" t="n">
        <f aca="false">IF(C4586="MAT.",VLOOKUP(A4586,INSUMOS_AUX!$A$3:$H$813,6,0),0)</f>
        <v>0.08</v>
      </c>
      <c r="G4586" s="149" t="n">
        <f aca="false">IF(C4586="M.O.",VLOOKUP(A4586,INSUMOS_AUX!A:F,6,0),0)</f>
        <v>0</v>
      </c>
    </row>
    <row r="4587" customFormat="false" ht="21" hidden="false" customHeight="false" outlineLevel="0" collapsed="false">
      <c r="A4587" s="154" t="n">
        <v>37371</v>
      </c>
      <c r="B4587" s="155" t="s">
        <v>1449</v>
      </c>
      <c r="C4587" s="148" t="str">
        <f aca="false">VLOOKUP($A4587,INSUMOS_AUX!$A$3:$H$813,3,0)</f>
        <v>MAT.</v>
      </c>
      <c r="D4587" s="156" t="s">
        <v>1444</v>
      </c>
      <c r="E4587" s="154" t="n">
        <v>0.1516</v>
      </c>
      <c r="F4587" s="149" t="n">
        <f aca="false">IF(C4587="MAT.",VLOOKUP(A4587,INSUMOS_AUX!$A$3:$H$813,6,0),0)</f>
        <v>0.59</v>
      </c>
      <c r="G4587" s="149" t="n">
        <f aca="false">IF(C4587="M.O.",VLOOKUP(A4587,INSUMOS_AUX!A:F,6,0),0)</f>
        <v>0</v>
      </c>
    </row>
    <row r="4588" customFormat="false" ht="15" hidden="false" customHeight="false" outlineLevel="0" collapsed="false">
      <c r="A4588" s="154" t="n">
        <v>38383</v>
      </c>
      <c r="B4588" s="155" t="s">
        <v>2093</v>
      </c>
      <c r="C4588" s="148" t="str">
        <f aca="false">VLOOKUP($A4588,INSUMOS_AUX!$A$3:$H$813,3,0)</f>
        <v>MAT.</v>
      </c>
      <c r="D4588" s="156" t="s">
        <v>31</v>
      </c>
      <c r="E4588" s="154" t="n">
        <v>0.042</v>
      </c>
      <c r="F4588" s="149" t="n">
        <f aca="false">IF(C4588="MAT.",VLOOKUP(A4588,INSUMOS_AUX!$A$3:$H$813,6,0),0)</f>
        <v>2.39</v>
      </c>
      <c r="G4588" s="149" t="n">
        <f aca="false">IF(C4588="M.O.",VLOOKUP(A4588,INSUMOS_AUX!A:F,6,0),0)</f>
        <v>0</v>
      </c>
    </row>
    <row r="4589" customFormat="false" ht="21" hidden="false" customHeight="false" outlineLevel="0" collapsed="false">
      <c r="A4589" s="154" t="n">
        <v>9841</v>
      </c>
      <c r="B4589" s="155" t="s">
        <v>2253</v>
      </c>
      <c r="C4589" s="148" t="str">
        <f aca="false">VLOOKUP($A4589,INSUMOS_AUX!$A$3:$H$813,3,0)</f>
        <v>MAT.</v>
      </c>
      <c r="D4589" s="156" t="s">
        <v>1455</v>
      </c>
      <c r="E4589" s="154" t="n">
        <v>1.0353</v>
      </c>
      <c r="F4589" s="149" t="n">
        <f aca="false">IF(C4589="MAT.",VLOOKUP(A4589,INSUMOS_AUX!$A$3:$H$813,6,0),0)</f>
        <v>29.83</v>
      </c>
      <c r="G4589" s="149" t="n">
        <f aca="false">IF(C4589="M.O.",VLOOKUP(A4589,INSUMOS_AUX!A:F,6,0),0)</f>
        <v>0</v>
      </c>
    </row>
    <row r="4590" customFormat="false" ht="15" hidden="false" customHeight="false" outlineLevel="0" collapsed="false">
      <c r="A4590" s="154" t="n">
        <v>246</v>
      </c>
      <c r="B4590" s="155" t="s">
        <v>1752</v>
      </c>
      <c r="C4590" s="148" t="str">
        <f aca="false">VLOOKUP($A4590,INSUMOS_AUX!$A$3:$H$813,3,0)</f>
        <v>M.O.</v>
      </c>
      <c r="D4590" s="156" t="s">
        <v>1444</v>
      </c>
      <c r="E4590" s="154" t="n">
        <v>0.077162884</v>
      </c>
      <c r="F4590" s="149" t="n">
        <f aca="false">IF(C4590="MAT.",VLOOKUP(A4590,INSUMOS_AUX!$A$3:$H$813,6,0),0)</f>
        <v>0</v>
      </c>
      <c r="G4590" s="149" t="n">
        <f aca="false">IF(C4590="M.O.",VLOOKUP(A4590,INSUMOS_AUX!A:F,6,0),0)</f>
        <v>13.26</v>
      </c>
    </row>
    <row r="4591" customFormat="false" ht="15" hidden="false" customHeight="false" outlineLevel="0" collapsed="false">
      <c r="A4591" s="154" t="n">
        <v>2696</v>
      </c>
      <c r="B4591" s="155" t="s">
        <v>1483</v>
      </c>
      <c r="C4591" s="148" t="str">
        <f aca="false">VLOOKUP($A4591,INSUMOS_AUX!$A$3:$H$813,3,0)</f>
        <v>M.O.</v>
      </c>
      <c r="D4591" s="156" t="s">
        <v>1444</v>
      </c>
      <c r="E4591" s="154" t="n">
        <v>0.077162884</v>
      </c>
      <c r="F4591" s="149" t="n">
        <f aca="false">IF(C4591="MAT.",VLOOKUP(A4591,INSUMOS_AUX!$A$3:$H$813,6,0),0)</f>
        <v>0</v>
      </c>
      <c r="G4591" s="149" t="n">
        <f aca="false">IF(C4591="M.O.",VLOOKUP(A4591,INSUMOS_AUX!A:F,6,0),0)</f>
        <v>20.22</v>
      </c>
    </row>
    <row r="4592" customFormat="false" ht="31.5" hidden="false" customHeight="false" outlineLevel="0" collapsed="false">
      <c r="A4592" s="150" t="n">
        <v>89580</v>
      </c>
      <c r="B4592" s="151" t="s">
        <v>2254</v>
      </c>
      <c r="C4592" s="152" t="s">
        <v>59</v>
      </c>
      <c r="D4592" s="152" t="s">
        <v>1455</v>
      </c>
      <c r="E4592" s="150"/>
      <c r="F4592" s="153" t="n">
        <f aca="false">(SUMPRODUCT($E4593:$E4602,F4593:F4602))*1</f>
        <v>66.908837</v>
      </c>
      <c r="G4592" s="153" t="n">
        <f aca="false">(SUMPRODUCT($E4593:$E4602,G4593:G4602))*1</f>
        <v>4.46132992536</v>
      </c>
    </row>
    <row r="4593" customFormat="false" ht="21" hidden="false" customHeight="false" outlineLevel="0" collapsed="false">
      <c r="A4593" s="154" t="n">
        <v>37370</v>
      </c>
      <c r="B4593" s="155" t="s">
        <v>1443</v>
      </c>
      <c r="C4593" s="148" t="str">
        <f aca="false">VLOOKUP($A4593,INSUMOS_AUX!$A$3:$H$813,3,0)</f>
        <v>MAT.</v>
      </c>
      <c r="D4593" s="156" t="s">
        <v>1444</v>
      </c>
      <c r="E4593" s="154" t="n">
        <v>0.2618</v>
      </c>
      <c r="F4593" s="149" t="n">
        <f aca="false">IF(C4593="MAT.",VLOOKUP(A4593,INSUMOS_AUX!$A$3:$H$813,6,0),0)</f>
        <v>3.32</v>
      </c>
      <c r="G4593" s="149" t="n">
        <f aca="false">IF(C4593="M.O.",VLOOKUP(A4593,INSUMOS_AUX!A:F,6,0),0)</f>
        <v>0</v>
      </c>
    </row>
    <row r="4594" customFormat="false" ht="21" hidden="false" customHeight="false" outlineLevel="0" collapsed="false">
      <c r="A4594" s="154" t="n">
        <v>43485</v>
      </c>
      <c r="B4594" s="155" t="s">
        <v>1481</v>
      </c>
      <c r="C4594" s="148" t="s">
        <v>59</v>
      </c>
      <c r="D4594" s="156" t="s">
        <v>1444</v>
      </c>
      <c r="E4594" s="154" t="n">
        <v>0.2618</v>
      </c>
      <c r="F4594" s="149" t="n">
        <f aca="false">IF(C4594="MAT.",VLOOKUP(A4594,INSUMOS_AUX!$A$3:$H$813,6,0),0)</f>
        <v>0</v>
      </c>
      <c r="G4594" s="149" t="n">
        <f aca="false">IF(C4594="M.O.",VLOOKUP(A4594,INSUMOS_AUX!A:F,6,0),0)</f>
        <v>0</v>
      </c>
    </row>
    <row r="4595" customFormat="false" ht="21" hidden="false" customHeight="false" outlineLevel="0" collapsed="false">
      <c r="A4595" s="154" t="n">
        <v>37372</v>
      </c>
      <c r="B4595" s="155" t="s">
        <v>1446</v>
      </c>
      <c r="C4595" s="148" t="str">
        <f aca="false">VLOOKUP($A4595,INSUMOS_AUX!$A$3:$H$813,3,0)</f>
        <v>MAT.</v>
      </c>
      <c r="D4595" s="156" t="s">
        <v>1444</v>
      </c>
      <c r="E4595" s="154" t="n">
        <v>0.2618</v>
      </c>
      <c r="F4595" s="149" t="n">
        <f aca="false">IF(C4595="MAT.",VLOOKUP(A4595,INSUMOS_AUX!$A$3:$H$813,6,0),0)</f>
        <v>1.43</v>
      </c>
      <c r="G4595" s="149" t="n">
        <f aca="false">IF(C4595="M.O.",VLOOKUP(A4595,INSUMOS_AUX!A:F,6,0),0)</f>
        <v>0</v>
      </c>
    </row>
    <row r="4596" customFormat="false" ht="21" hidden="false" customHeight="false" outlineLevel="0" collapsed="false">
      <c r="A4596" s="154" t="n">
        <v>43461</v>
      </c>
      <c r="B4596" s="155" t="s">
        <v>1482</v>
      </c>
      <c r="C4596" s="148" t="str">
        <f aca="false">VLOOKUP($A4596,INSUMOS_AUX!$A$3:$H$813,3,0)</f>
        <v>MAT.</v>
      </c>
      <c r="D4596" s="156" t="s">
        <v>1444</v>
      </c>
      <c r="E4596" s="154" t="n">
        <v>0.2618</v>
      </c>
      <c r="F4596" s="149" t="n">
        <f aca="false">IF(C4596="MAT.",VLOOKUP(A4596,INSUMOS_AUX!$A$3:$H$813,6,0),0)</f>
        <v>0.31</v>
      </c>
      <c r="G4596" s="149" t="n">
        <f aca="false">IF(C4596="M.O.",VLOOKUP(A4596,INSUMOS_AUX!A:F,6,0),0)</f>
        <v>0</v>
      </c>
    </row>
    <row r="4597" customFormat="false" ht="21" hidden="false" customHeight="false" outlineLevel="0" collapsed="false">
      <c r="A4597" s="154" t="n">
        <v>37373</v>
      </c>
      <c r="B4597" s="155" t="s">
        <v>1448</v>
      </c>
      <c r="C4597" s="148" t="str">
        <f aca="false">VLOOKUP($A4597,INSUMOS_AUX!$A$3:$H$813,3,0)</f>
        <v>MAT.</v>
      </c>
      <c r="D4597" s="156" t="s">
        <v>1444</v>
      </c>
      <c r="E4597" s="154" t="n">
        <v>0.2618</v>
      </c>
      <c r="F4597" s="149" t="n">
        <f aca="false">IF(C4597="MAT.",VLOOKUP(A4597,INSUMOS_AUX!$A$3:$H$813,6,0),0)</f>
        <v>0.08</v>
      </c>
      <c r="G4597" s="149" t="n">
        <f aca="false">IF(C4597="M.O.",VLOOKUP(A4597,INSUMOS_AUX!A:F,6,0),0)</f>
        <v>0</v>
      </c>
    </row>
    <row r="4598" customFormat="false" ht="21" hidden="false" customHeight="false" outlineLevel="0" collapsed="false">
      <c r="A4598" s="154" t="n">
        <v>37371</v>
      </c>
      <c r="B4598" s="155" t="s">
        <v>1449</v>
      </c>
      <c r="C4598" s="148" t="str">
        <f aca="false">VLOOKUP($A4598,INSUMOS_AUX!$A$3:$H$813,3,0)</f>
        <v>MAT.</v>
      </c>
      <c r="D4598" s="156" t="s">
        <v>1444</v>
      </c>
      <c r="E4598" s="154" t="n">
        <v>0.2618</v>
      </c>
      <c r="F4598" s="149" t="n">
        <f aca="false">IF(C4598="MAT.",VLOOKUP(A4598,INSUMOS_AUX!$A$3:$H$813,6,0),0)</f>
        <v>0.59</v>
      </c>
      <c r="G4598" s="149" t="n">
        <f aca="false">IF(C4598="M.O.",VLOOKUP(A4598,INSUMOS_AUX!A:F,6,0),0)</f>
        <v>0</v>
      </c>
    </row>
    <row r="4599" customFormat="false" ht="15" hidden="false" customHeight="false" outlineLevel="0" collapsed="false">
      <c r="A4599" s="154" t="n">
        <v>38383</v>
      </c>
      <c r="B4599" s="155" t="s">
        <v>2093</v>
      </c>
      <c r="C4599" s="148" t="str">
        <f aca="false">VLOOKUP($A4599,INSUMOS_AUX!$A$3:$H$813,3,0)</f>
        <v>MAT.</v>
      </c>
      <c r="D4599" s="156" t="s">
        <v>31</v>
      </c>
      <c r="E4599" s="154" t="n">
        <v>0.073</v>
      </c>
      <c r="F4599" s="149" t="n">
        <f aca="false">IF(C4599="MAT.",VLOOKUP(A4599,INSUMOS_AUX!$A$3:$H$813,6,0),0)</f>
        <v>2.39</v>
      </c>
      <c r="G4599" s="149" t="n">
        <f aca="false">IF(C4599="M.O.",VLOOKUP(A4599,INSUMOS_AUX!A:F,6,0),0)</f>
        <v>0</v>
      </c>
    </row>
    <row r="4600" customFormat="false" ht="21" hidden="false" customHeight="false" outlineLevel="0" collapsed="false">
      <c r="A4600" s="154" t="n">
        <v>9840</v>
      </c>
      <c r="B4600" s="155" t="s">
        <v>2255</v>
      </c>
      <c r="C4600" s="148" t="str">
        <f aca="false">VLOOKUP($A4600,INSUMOS_AUX!$A$3:$H$813,3,0)</f>
        <v>MAT.</v>
      </c>
      <c r="D4600" s="156" t="s">
        <v>1455</v>
      </c>
      <c r="E4600" s="154" t="n">
        <v>1.0353</v>
      </c>
      <c r="F4600" s="149" t="n">
        <f aca="false">IF(C4600="MAT.",VLOOKUP(A4600,INSUMOS_AUX!$A$3:$H$813,6,0),0)</f>
        <v>63.01</v>
      </c>
      <c r="G4600" s="149" t="n">
        <f aca="false">IF(C4600="M.O.",VLOOKUP(A4600,INSUMOS_AUX!A:F,6,0),0)</f>
        <v>0</v>
      </c>
    </row>
    <row r="4601" customFormat="false" ht="15" hidden="false" customHeight="false" outlineLevel="0" collapsed="false">
      <c r="A4601" s="154" t="n">
        <v>246</v>
      </c>
      <c r="B4601" s="155" t="s">
        <v>1752</v>
      </c>
      <c r="C4601" s="148" t="str">
        <f aca="false">VLOOKUP($A4601,INSUMOS_AUX!$A$3:$H$813,3,0)</f>
        <v>M.O.</v>
      </c>
      <c r="D4601" s="156" t="s">
        <v>1444</v>
      </c>
      <c r="E4601" s="154" t="n">
        <v>0.133253582</v>
      </c>
      <c r="F4601" s="149" t="n">
        <f aca="false">IF(C4601="MAT.",VLOOKUP(A4601,INSUMOS_AUX!$A$3:$H$813,6,0),0)</f>
        <v>0</v>
      </c>
      <c r="G4601" s="149" t="n">
        <f aca="false">IF(C4601="M.O.",VLOOKUP(A4601,INSUMOS_AUX!A:F,6,0),0)</f>
        <v>13.26</v>
      </c>
    </row>
    <row r="4602" customFormat="false" ht="15" hidden="false" customHeight="false" outlineLevel="0" collapsed="false">
      <c r="A4602" s="154" t="n">
        <v>2696</v>
      </c>
      <c r="B4602" s="155" t="s">
        <v>1483</v>
      </c>
      <c r="C4602" s="148" t="str">
        <f aca="false">VLOOKUP($A4602,INSUMOS_AUX!$A$3:$H$813,3,0)</f>
        <v>M.O.</v>
      </c>
      <c r="D4602" s="156" t="s">
        <v>1444</v>
      </c>
      <c r="E4602" s="154" t="n">
        <v>0.133253582</v>
      </c>
      <c r="F4602" s="149" t="n">
        <f aca="false">IF(C4602="MAT.",VLOOKUP(A4602,INSUMOS_AUX!$A$3:$H$813,6,0),0)</f>
        <v>0</v>
      </c>
      <c r="G4602" s="149" t="n">
        <f aca="false">IF(C4602="M.O.",VLOOKUP(A4602,INSUMOS_AUX!A:F,6,0),0)</f>
        <v>20.22</v>
      </c>
    </row>
    <row r="4603" customFormat="false" ht="21" hidden="false" customHeight="false" outlineLevel="0" collapsed="false">
      <c r="A4603" s="150" t="n">
        <v>89511</v>
      </c>
      <c r="B4603" s="151" t="s">
        <v>2256</v>
      </c>
      <c r="C4603" s="152" t="s">
        <v>59</v>
      </c>
      <c r="D4603" s="152" t="s">
        <v>1455</v>
      </c>
      <c r="E4603" s="150"/>
      <c r="F4603" s="153" t="n">
        <f aca="false">(SUMPRODUCT($E4604:$E4613,F4604:F4613))*1</f>
        <v>4.071265</v>
      </c>
      <c r="G4603" s="153" t="n">
        <f aca="false">(SUMPRODUCT($E4604:$E4613,G4604:G4613))*1</f>
        <v>10.01669110056</v>
      </c>
    </row>
    <row r="4604" customFormat="false" ht="21" hidden="false" customHeight="false" outlineLevel="0" collapsed="false">
      <c r="A4604" s="154" t="n">
        <v>37370</v>
      </c>
      <c r="B4604" s="155" t="s">
        <v>1443</v>
      </c>
      <c r="C4604" s="148" t="str">
        <f aca="false">VLOOKUP($A4604,INSUMOS_AUX!$A$3:$H$813,3,0)</f>
        <v>MAT.</v>
      </c>
      <c r="D4604" s="156" t="s">
        <v>1444</v>
      </c>
      <c r="E4604" s="154" t="n">
        <v>0.5878</v>
      </c>
      <c r="F4604" s="149" t="n">
        <f aca="false">IF(C4604="MAT.",VLOOKUP(A4604,INSUMOS_AUX!$A$3:$H$813,6,0),0)</f>
        <v>3.32</v>
      </c>
      <c r="G4604" s="149" t="n">
        <f aca="false">IF(C4604="M.O.",VLOOKUP(A4604,INSUMOS_AUX!A:F,6,0),0)</f>
        <v>0</v>
      </c>
    </row>
    <row r="4605" customFormat="false" ht="21" hidden="false" customHeight="false" outlineLevel="0" collapsed="false">
      <c r="A4605" s="154" t="n">
        <v>43485</v>
      </c>
      <c r="B4605" s="155" t="s">
        <v>1481</v>
      </c>
      <c r="C4605" s="148" t="str">
        <f aca="false">VLOOKUP($A4605,INSUMOS_AUX!$A$3:$H$813,3,0)</f>
        <v>MAT.</v>
      </c>
      <c r="D4605" s="156" t="s">
        <v>1444</v>
      </c>
      <c r="E4605" s="154" t="n">
        <v>0.5878</v>
      </c>
      <c r="F4605" s="149" t="n">
        <f aca="false">IF(C4605="MAT.",VLOOKUP(A4605,INSUMOS_AUX!$A$3:$H$813,6,0),0)</f>
        <v>1.13</v>
      </c>
      <c r="G4605" s="149" t="n">
        <f aca="false">IF(C4605="M.O.",VLOOKUP(A4605,INSUMOS_AUX!A:F,6,0),0)</f>
        <v>0</v>
      </c>
    </row>
    <row r="4606" customFormat="false" ht="21" hidden="false" customHeight="false" outlineLevel="0" collapsed="false">
      <c r="A4606" s="154" t="n">
        <v>37372</v>
      </c>
      <c r="B4606" s="155" t="s">
        <v>1446</v>
      </c>
      <c r="C4606" s="148" t="str">
        <f aca="false">VLOOKUP($A4606,INSUMOS_AUX!$A$3:$H$813,3,0)</f>
        <v>MAT.</v>
      </c>
      <c r="D4606" s="156" t="s">
        <v>1444</v>
      </c>
      <c r="E4606" s="154" t="n">
        <v>0.5878</v>
      </c>
      <c r="F4606" s="149" t="n">
        <f aca="false">IF(C4606="MAT.",VLOOKUP(A4606,INSUMOS_AUX!$A$3:$H$813,6,0),0)</f>
        <v>1.43</v>
      </c>
      <c r="G4606" s="149" t="n">
        <f aca="false">IF(C4606="M.O.",VLOOKUP(A4606,INSUMOS_AUX!A:F,6,0),0)</f>
        <v>0</v>
      </c>
    </row>
    <row r="4607" customFormat="false" ht="21" hidden="false" customHeight="false" outlineLevel="0" collapsed="false">
      <c r="A4607" s="154" t="n">
        <v>43461</v>
      </c>
      <c r="B4607" s="155" t="s">
        <v>1482</v>
      </c>
      <c r="C4607" s="148" t="str">
        <f aca="false">VLOOKUP($A4607,INSUMOS_AUX!$A$3:$H$813,3,0)</f>
        <v>MAT.</v>
      </c>
      <c r="D4607" s="156" t="s">
        <v>1444</v>
      </c>
      <c r="E4607" s="154" t="n">
        <v>0.5878</v>
      </c>
      <c r="F4607" s="149" t="n">
        <f aca="false">IF(C4607="MAT.",VLOOKUP(A4607,INSUMOS_AUX!$A$3:$H$813,6,0),0)</f>
        <v>0.31</v>
      </c>
      <c r="G4607" s="149" t="n">
        <f aca="false">IF(C4607="M.O.",VLOOKUP(A4607,INSUMOS_AUX!A:F,6,0),0)</f>
        <v>0</v>
      </c>
    </row>
    <row r="4608" customFormat="false" ht="21" hidden="false" customHeight="false" outlineLevel="0" collapsed="false">
      <c r="A4608" s="154" t="n">
        <v>37373</v>
      </c>
      <c r="B4608" s="155" t="s">
        <v>1448</v>
      </c>
      <c r="C4608" s="148" t="str">
        <f aca="false">VLOOKUP($A4608,INSUMOS_AUX!$A$3:$H$813,3,0)</f>
        <v>MAT.</v>
      </c>
      <c r="D4608" s="156" t="s">
        <v>1444</v>
      </c>
      <c r="E4608" s="154" t="n">
        <v>0.5878</v>
      </c>
      <c r="F4608" s="149" t="n">
        <f aca="false">IF(C4608="MAT.",VLOOKUP(A4608,INSUMOS_AUX!$A$3:$H$813,6,0),0)</f>
        <v>0.08</v>
      </c>
      <c r="G4608" s="149" t="n">
        <f aca="false">IF(C4608="M.O.",VLOOKUP(A4608,INSUMOS_AUX!A:F,6,0),0)</f>
        <v>0</v>
      </c>
    </row>
    <row r="4609" customFormat="false" ht="21" hidden="false" customHeight="false" outlineLevel="0" collapsed="false">
      <c r="A4609" s="154" t="n">
        <v>37371</v>
      </c>
      <c r="B4609" s="155" t="s">
        <v>1449</v>
      </c>
      <c r="C4609" s="148" t="str">
        <f aca="false">VLOOKUP($A4609,INSUMOS_AUX!$A$3:$H$813,3,0)</f>
        <v>MAT.</v>
      </c>
      <c r="D4609" s="156" t="s">
        <v>1444</v>
      </c>
      <c r="E4609" s="154" t="n">
        <v>0.5878</v>
      </c>
      <c r="F4609" s="149" t="n">
        <f aca="false">IF(C4609="MAT.",VLOOKUP(A4609,INSUMOS_AUX!$A$3:$H$813,6,0),0)</f>
        <v>0.59</v>
      </c>
      <c r="G4609" s="149" t="n">
        <f aca="false">IF(C4609="M.O.",VLOOKUP(A4609,INSUMOS_AUX!A:F,6,0),0)</f>
        <v>0</v>
      </c>
    </row>
    <row r="4610" customFormat="false" ht="15" hidden="false" customHeight="false" outlineLevel="0" collapsed="false">
      <c r="A4610" s="154" t="n">
        <v>38383</v>
      </c>
      <c r="B4610" s="155" t="s">
        <v>2093</v>
      </c>
      <c r="C4610" s="148" t="str">
        <f aca="false">VLOOKUP($A4610,INSUMOS_AUX!$A$3:$H$813,3,0)</f>
        <v>MAT.</v>
      </c>
      <c r="D4610" s="156" t="s">
        <v>31</v>
      </c>
      <c r="E4610" s="154" t="n">
        <v>0.0163</v>
      </c>
      <c r="F4610" s="149" t="n">
        <f aca="false">IF(C4610="MAT.",VLOOKUP(A4610,INSUMOS_AUX!$A$3:$H$813,6,0),0)</f>
        <v>2.39</v>
      </c>
      <c r="G4610" s="149" t="n">
        <f aca="false">IF(C4610="M.O.",VLOOKUP(A4610,INSUMOS_AUX!A:F,6,0),0)</f>
        <v>0</v>
      </c>
    </row>
    <row r="4611" customFormat="false" ht="21" hidden="false" customHeight="false" outlineLevel="0" collapsed="false">
      <c r="A4611" s="154" t="n">
        <v>9839</v>
      </c>
      <c r="B4611" s="155" t="s">
        <v>2257</v>
      </c>
      <c r="C4611" s="148" t="s">
        <v>59</v>
      </c>
      <c r="D4611" s="156" t="s">
        <v>1455</v>
      </c>
      <c r="E4611" s="154" t="n">
        <v>1.0353</v>
      </c>
      <c r="F4611" s="149" t="n">
        <f aca="false">IF(C4611="MAT.",VLOOKUP(A4611,INSUMOS_AUX!$A$3:$H$813,6,0),0)</f>
        <v>0</v>
      </c>
      <c r="G4611" s="149" t="n">
        <f aca="false">IF(C4611="M.O.",VLOOKUP(A4611,INSUMOS_AUX!A:F,6,0),0)</f>
        <v>0</v>
      </c>
    </row>
    <row r="4612" customFormat="false" ht="15" hidden="false" customHeight="false" outlineLevel="0" collapsed="false">
      <c r="A4612" s="154" t="n">
        <v>246</v>
      </c>
      <c r="B4612" s="155" t="s">
        <v>1752</v>
      </c>
      <c r="C4612" s="148" t="str">
        <f aca="false">VLOOKUP($A4612,INSUMOS_AUX!$A$3:$H$813,3,0)</f>
        <v>M.O.</v>
      </c>
      <c r="D4612" s="156" t="s">
        <v>1444</v>
      </c>
      <c r="E4612" s="154" t="n">
        <v>0.299184322</v>
      </c>
      <c r="F4612" s="149" t="n">
        <f aca="false">IF(C4612="MAT.",VLOOKUP(A4612,INSUMOS_AUX!$A$3:$H$813,6,0),0)</f>
        <v>0</v>
      </c>
      <c r="G4612" s="149" t="n">
        <f aca="false">IF(C4612="M.O.",VLOOKUP(A4612,INSUMOS_AUX!A:F,6,0),0)</f>
        <v>13.26</v>
      </c>
    </row>
    <row r="4613" customFormat="false" ht="15" hidden="false" customHeight="false" outlineLevel="0" collapsed="false">
      <c r="A4613" s="154" t="n">
        <v>2696</v>
      </c>
      <c r="B4613" s="155" t="s">
        <v>1483</v>
      </c>
      <c r="C4613" s="148" t="str">
        <f aca="false">VLOOKUP($A4613,INSUMOS_AUX!$A$3:$H$813,3,0)</f>
        <v>M.O.</v>
      </c>
      <c r="D4613" s="156" t="s">
        <v>1444</v>
      </c>
      <c r="E4613" s="154" t="n">
        <v>0.299184322</v>
      </c>
      <c r="F4613" s="149" t="n">
        <f aca="false">IF(C4613="MAT.",VLOOKUP(A4613,INSUMOS_AUX!$A$3:$H$813,6,0),0)</f>
        <v>0</v>
      </c>
      <c r="G4613" s="149" t="n">
        <f aca="false">IF(C4613="M.O.",VLOOKUP(A4613,INSUMOS_AUX!A:F,6,0),0)</f>
        <v>20.22</v>
      </c>
    </row>
    <row r="4614" customFormat="false" ht="21" hidden="false" customHeight="false" outlineLevel="0" collapsed="false">
      <c r="A4614" s="150" t="s">
        <v>798</v>
      </c>
      <c r="B4614" s="151" t="s">
        <v>2258</v>
      </c>
      <c r="C4614" s="152" t="s">
        <v>59</v>
      </c>
      <c r="D4614" s="152" t="s">
        <v>1455</v>
      </c>
      <c r="E4614" s="150"/>
      <c r="F4614" s="153" t="n">
        <f aca="false">(SUMPRODUCT($E4615:$E4631,F4615:F4631))*1</f>
        <v>24.2453023715659</v>
      </c>
      <c r="G4614" s="153" t="n">
        <f aca="false">(SUMPRODUCT($E4615:$E4631,G4615:G4631))*1</f>
        <v>4.0780071395936</v>
      </c>
    </row>
    <row r="4615" customFormat="false" ht="21" hidden="false" customHeight="false" outlineLevel="0" collapsed="false">
      <c r="A4615" s="154" t="n">
        <v>37370</v>
      </c>
      <c r="B4615" s="155" t="s">
        <v>1443</v>
      </c>
      <c r="C4615" s="148" t="str">
        <f aca="false">VLOOKUP($A4615,INSUMOS_AUX!$A$3:$H$813,3,0)</f>
        <v>MAT.</v>
      </c>
      <c r="D4615" s="156" t="s">
        <v>1444</v>
      </c>
      <c r="E4615" s="154" t="n">
        <v>0.26905619</v>
      </c>
      <c r="F4615" s="149" t="n">
        <f aca="false">IF(C4615="MAT.",VLOOKUP(A4615,INSUMOS_AUX!$A$3:$H$813,6,0),0)</f>
        <v>3.32</v>
      </c>
      <c r="G4615" s="149" t="n">
        <f aca="false">IF(C4615="M.O.",VLOOKUP(A4615,INSUMOS_AUX!A:F,6,0),0)</f>
        <v>0</v>
      </c>
    </row>
    <row r="4616" customFormat="false" ht="21" hidden="false" customHeight="false" outlineLevel="0" collapsed="false">
      <c r="A4616" s="154" t="n">
        <v>43488</v>
      </c>
      <c r="B4616" s="155" t="s">
        <v>1445</v>
      </c>
      <c r="C4616" s="148" t="str">
        <f aca="false">VLOOKUP($A4616,INSUMOS_AUX!$A$3:$H$813,3,0)</f>
        <v>MAT.</v>
      </c>
      <c r="D4616" s="156" t="s">
        <v>1444</v>
      </c>
      <c r="E4616" s="154" t="n">
        <v>0.005878098</v>
      </c>
      <c r="F4616" s="149" t="n">
        <f aca="false">IF(C4616="MAT.",VLOOKUP(A4616,INSUMOS_AUX!$A$3:$H$813,6,0),0)</f>
        <v>0.89</v>
      </c>
      <c r="G4616" s="149" t="n">
        <f aca="false">IF(C4616="M.O.",VLOOKUP(A4616,INSUMOS_AUX!A:F,6,0),0)</f>
        <v>0</v>
      </c>
    </row>
    <row r="4617" customFormat="false" ht="21" hidden="false" customHeight="false" outlineLevel="0" collapsed="false">
      <c r="A4617" s="154" t="n">
        <v>43489</v>
      </c>
      <c r="B4617" s="155" t="s">
        <v>1456</v>
      </c>
      <c r="C4617" s="148" t="str">
        <f aca="false">VLOOKUP($A4617,INSUMOS_AUX!$A$3:$H$813,3,0)</f>
        <v>MAT.</v>
      </c>
      <c r="D4617" s="156" t="s">
        <v>1444</v>
      </c>
      <c r="E4617" s="154" t="n">
        <v>0.0643</v>
      </c>
      <c r="F4617" s="149" t="n">
        <f aca="false">IF(C4617="MAT.",VLOOKUP(A4617,INSUMOS_AUX!$A$3:$H$813,6,0),0)</f>
        <v>1.31</v>
      </c>
      <c r="G4617" s="149" t="n">
        <f aca="false">IF(C4617="M.O.",VLOOKUP(A4617,INSUMOS_AUX!A:F,6,0),0)</f>
        <v>0</v>
      </c>
    </row>
    <row r="4618" customFormat="false" ht="21" hidden="false" customHeight="false" outlineLevel="0" collapsed="false">
      <c r="A4618" s="154" t="n">
        <v>43491</v>
      </c>
      <c r="B4618" s="155" t="s">
        <v>1457</v>
      </c>
      <c r="C4618" s="148" t="str">
        <f aca="false">VLOOKUP($A4618,INSUMOS_AUX!$A$3:$H$813,3,0)</f>
        <v>MAT.</v>
      </c>
      <c r="D4618" s="156" t="s">
        <v>1444</v>
      </c>
      <c r="E4618" s="154" t="n">
        <v>0.19887809</v>
      </c>
      <c r="F4618" s="149" t="n">
        <f aca="false">IF(C4618="MAT.",VLOOKUP(A4618,INSUMOS_AUX!$A$3:$H$813,6,0),0)</f>
        <v>1.39</v>
      </c>
      <c r="G4618" s="149" t="n">
        <f aca="false">IF(C4618="M.O.",VLOOKUP(A4618,INSUMOS_AUX!A:F,6,0),0)</f>
        <v>0</v>
      </c>
    </row>
    <row r="4619" customFormat="false" ht="21" hidden="false" customHeight="false" outlineLevel="0" collapsed="false">
      <c r="A4619" s="154" t="n">
        <v>37372</v>
      </c>
      <c r="B4619" s="155" t="s">
        <v>1446</v>
      </c>
      <c r="C4619" s="148" t="str">
        <f aca="false">VLOOKUP($A4619,INSUMOS_AUX!$A$3:$H$813,3,0)</f>
        <v>MAT.</v>
      </c>
      <c r="D4619" s="156" t="s">
        <v>1444</v>
      </c>
      <c r="E4619" s="154" t="n">
        <v>0.26905619</v>
      </c>
      <c r="F4619" s="149" t="n">
        <f aca="false">IF(C4619="MAT.",VLOOKUP(A4619,INSUMOS_AUX!$A$3:$H$813,6,0),0)</f>
        <v>1.43</v>
      </c>
      <c r="G4619" s="149" t="n">
        <f aca="false">IF(C4619="M.O.",VLOOKUP(A4619,INSUMOS_AUX!A:F,6,0),0)</f>
        <v>0</v>
      </c>
    </row>
    <row r="4620" customFormat="false" ht="21" hidden="false" customHeight="false" outlineLevel="0" collapsed="false">
      <c r="A4620" s="154" t="n">
        <v>43464</v>
      </c>
      <c r="B4620" s="155" t="s">
        <v>1447</v>
      </c>
      <c r="C4620" s="148" t="str">
        <f aca="false">VLOOKUP($A4620,INSUMOS_AUX!$A$3:$H$813,3,0)</f>
        <v>MAT.</v>
      </c>
      <c r="D4620" s="156" t="s">
        <v>1444</v>
      </c>
      <c r="E4620" s="154" t="n">
        <v>0.005878098</v>
      </c>
      <c r="F4620" s="149" t="n">
        <f aca="false">IF(C4620="MAT.",VLOOKUP(A4620,INSUMOS_AUX!$A$3:$H$813,6,0),0)</f>
        <v>0.01</v>
      </c>
      <c r="G4620" s="149" t="n">
        <f aca="false">IF(C4620="M.O.",VLOOKUP(A4620,INSUMOS_AUX!A:F,6,0),0)</f>
        <v>0</v>
      </c>
    </row>
    <row r="4621" customFormat="false" ht="21" hidden="false" customHeight="false" outlineLevel="0" collapsed="false">
      <c r="A4621" s="154" t="n">
        <v>43465</v>
      </c>
      <c r="B4621" s="155" t="s">
        <v>1458</v>
      </c>
      <c r="C4621" s="148" t="str">
        <f aca="false">VLOOKUP($A4621,INSUMOS_AUX!$A$3:$H$813,3,0)</f>
        <v>MAT.</v>
      </c>
      <c r="D4621" s="156" t="s">
        <v>1444</v>
      </c>
      <c r="E4621" s="154" t="n">
        <v>0.0643</v>
      </c>
      <c r="F4621" s="149" t="n">
        <f aca="false">IF(C4621="MAT.",VLOOKUP(A4621,INSUMOS_AUX!$A$3:$H$813,6,0),0)</f>
        <v>0.78</v>
      </c>
      <c r="G4621" s="149" t="n">
        <f aca="false">IF(C4621="M.O.",VLOOKUP(A4621,INSUMOS_AUX!A:F,6,0),0)</f>
        <v>0</v>
      </c>
    </row>
    <row r="4622" customFormat="false" ht="21" hidden="false" customHeight="false" outlineLevel="0" collapsed="false">
      <c r="A4622" s="154" t="n">
        <v>43467</v>
      </c>
      <c r="B4622" s="155" t="s">
        <v>1459</v>
      </c>
      <c r="C4622" s="148" t="str">
        <f aca="false">VLOOKUP($A4622,INSUMOS_AUX!$A$3:$H$813,3,0)</f>
        <v>MAT.</v>
      </c>
      <c r="D4622" s="156" t="s">
        <v>1444</v>
      </c>
      <c r="E4622" s="154" t="n">
        <v>0.19887809</v>
      </c>
      <c r="F4622" s="149" t="n">
        <f aca="false">IF(C4622="MAT.",VLOOKUP(A4622,INSUMOS_AUX!$A$3:$H$813,6,0),0)</f>
        <v>0.61</v>
      </c>
      <c r="G4622" s="149" t="n">
        <f aca="false">IF(C4622="M.O.",VLOOKUP(A4622,INSUMOS_AUX!A:F,6,0),0)</f>
        <v>0</v>
      </c>
    </row>
    <row r="4623" customFormat="false" ht="21" hidden="false" customHeight="false" outlineLevel="0" collapsed="false">
      <c r="A4623" s="154" t="n">
        <v>37373</v>
      </c>
      <c r="B4623" s="155" t="s">
        <v>1448</v>
      </c>
      <c r="C4623" s="148" t="s">
        <v>59</v>
      </c>
      <c r="D4623" s="156" t="s">
        <v>1444</v>
      </c>
      <c r="E4623" s="154" t="n">
        <v>0.26905619</v>
      </c>
      <c r="F4623" s="149" t="n">
        <f aca="false">IF(C4623="MAT.",VLOOKUP(A4623,INSUMOS_AUX!$A$3:$H$813,6,0),0)</f>
        <v>0</v>
      </c>
      <c r="G4623" s="149" t="n">
        <f aca="false">IF(C4623="M.O.",VLOOKUP(A4623,INSUMOS_AUX!A:F,6,0),0)</f>
        <v>0</v>
      </c>
    </row>
    <row r="4624" customFormat="false" ht="21" hidden="false" customHeight="false" outlineLevel="0" collapsed="false">
      <c r="A4624" s="154" t="n">
        <v>37371</v>
      </c>
      <c r="B4624" s="155" t="s">
        <v>1449</v>
      </c>
      <c r="C4624" s="148" t="str">
        <f aca="false">VLOOKUP($A4624,INSUMOS_AUX!$A$3:$H$813,3,0)</f>
        <v>MAT.</v>
      </c>
      <c r="D4624" s="156" t="s">
        <v>1444</v>
      </c>
      <c r="E4624" s="154" t="n">
        <v>0.26905619</v>
      </c>
      <c r="F4624" s="149" t="n">
        <f aca="false">IF(C4624="MAT.",VLOOKUP(A4624,INSUMOS_AUX!$A$3:$H$813,6,0),0)</f>
        <v>0.59</v>
      </c>
      <c r="G4624" s="149" t="n">
        <f aca="false">IF(C4624="M.O.",VLOOKUP(A4624,INSUMOS_AUX!A:F,6,0),0)</f>
        <v>0</v>
      </c>
    </row>
    <row r="4625" customFormat="false" ht="52.5" hidden="false" customHeight="false" outlineLevel="0" collapsed="false">
      <c r="A4625" s="154" t="n">
        <v>36531</v>
      </c>
      <c r="B4625" s="155" t="s">
        <v>1493</v>
      </c>
      <c r="C4625" s="148" t="str">
        <f aca="false">VLOOKUP($A4625,INSUMOS_AUX!$A$3:$H$813,3,0)</f>
        <v>MAT.</v>
      </c>
      <c r="D4625" s="156" t="s">
        <v>31</v>
      </c>
      <c r="E4625" s="154" t="n">
        <v>6.095289384E-007</v>
      </c>
      <c r="F4625" s="149" t="n">
        <f aca="false">IF(C4625="MAT.",VLOOKUP(A4625,INSUMOS_AUX!$A$3:$H$813,6,0),0)</f>
        <v>466463.38</v>
      </c>
      <c r="G4625" s="149" t="n">
        <f aca="false">IF(C4625="M.O.",VLOOKUP(A4625,INSUMOS_AUX!A:F,6,0),0)</f>
        <v>0</v>
      </c>
    </row>
    <row r="4626" customFormat="false" ht="21" hidden="false" customHeight="false" outlineLevel="0" collapsed="false">
      <c r="A4626" s="154" t="n">
        <v>4021</v>
      </c>
      <c r="B4626" s="155" t="s">
        <v>2259</v>
      </c>
      <c r="C4626" s="148" t="str">
        <f aca="false">VLOOKUP($A4626,INSUMOS_AUX!$A$3:$H$813,3,0)</f>
        <v>MAT.</v>
      </c>
      <c r="D4626" s="156" t="s">
        <v>1477</v>
      </c>
      <c r="E4626" s="154" t="n">
        <v>1.29375</v>
      </c>
      <c r="F4626" s="149" t="n">
        <f aca="false">IF(C4626="MAT.",VLOOKUP(A4626,INSUMOS_AUX!$A$3:$H$813,6,0),0)</f>
        <v>7.98</v>
      </c>
      <c r="G4626" s="149" t="n">
        <f aca="false">IF(C4626="M.O.",VLOOKUP(A4626,INSUMOS_AUX!A:F,6,0),0)</f>
        <v>0</v>
      </c>
    </row>
    <row r="4627" customFormat="false" ht="15" hidden="false" customHeight="false" outlineLevel="0" collapsed="false">
      <c r="A4627" s="154" t="n">
        <v>4221</v>
      </c>
      <c r="B4627" s="155" t="s">
        <v>1451</v>
      </c>
      <c r="C4627" s="148" t="str">
        <f aca="false">VLOOKUP($A4627,INSUMOS_AUX!$A$3:$H$813,3,0)</f>
        <v>MAT.</v>
      </c>
      <c r="D4627" s="156" t="s">
        <v>1452</v>
      </c>
      <c r="E4627" s="154" t="n">
        <v>0.0235622484</v>
      </c>
      <c r="F4627" s="149" t="n">
        <f aca="false">IF(C4627="MAT.",VLOOKUP(A4627,INSUMOS_AUX!$A$3:$H$813,6,0),0)</f>
        <v>6.28</v>
      </c>
      <c r="G4627" s="149" t="n">
        <f aca="false">IF(C4627="M.O.",VLOOKUP(A4627,INSUMOS_AUX!A:F,6,0),0)</f>
        <v>0</v>
      </c>
    </row>
    <row r="4628" customFormat="false" ht="21" hidden="false" customHeight="false" outlineLevel="0" collapsed="false">
      <c r="A4628" s="154" t="n">
        <v>4718</v>
      </c>
      <c r="B4628" s="155" t="s">
        <v>1577</v>
      </c>
      <c r="C4628" s="148" t="str">
        <f aca="false">VLOOKUP($A4628,INSUMOS_AUX!$A$3:$H$813,3,0)</f>
        <v>MAT.</v>
      </c>
      <c r="D4628" s="156" t="s">
        <v>1442</v>
      </c>
      <c r="E4628" s="154" t="n">
        <v>0.099</v>
      </c>
      <c r="F4628" s="149" t="n">
        <f aca="false">IF(C4628="MAT.",VLOOKUP(A4628,INSUMOS_AUX!$A$3:$H$813,6,0),0)</f>
        <v>116.31</v>
      </c>
      <c r="G4628" s="149" t="n">
        <f aca="false">IF(C4628="M.O.",VLOOKUP(A4628,INSUMOS_AUX!A:F,6,0),0)</f>
        <v>0</v>
      </c>
    </row>
    <row r="4629" customFormat="false" ht="15" hidden="false" customHeight="false" outlineLevel="0" collapsed="false">
      <c r="A4629" s="154" t="n">
        <v>4234</v>
      </c>
      <c r="B4629" s="155" t="s">
        <v>1475</v>
      </c>
      <c r="C4629" s="148" t="str">
        <f aca="false">VLOOKUP($A4629,INSUMOS_AUX!$A$3:$H$813,3,0)</f>
        <v>M.O.</v>
      </c>
      <c r="D4629" s="156" t="s">
        <v>1444</v>
      </c>
      <c r="E4629" s="154" t="n">
        <v>0.00594593125092</v>
      </c>
      <c r="F4629" s="149" t="n">
        <f aca="false">IF(C4629="MAT.",VLOOKUP(A4629,INSUMOS_AUX!$A$3:$H$813,6,0),0)</f>
        <v>0</v>
      </c>
      <c r="G4629" s="149" t="n">
        <f aca="false">IF(C4629="M.O.",VLOOKUP(A4629,INSUMOS_AUX!A:F,6,0),0)</f>
        <v>20.22</v>
      </c>
    </row>
    <row r="4630" customFormat="false" ht="15" hidden="false" customHeight="false" outlineLevel="0" collapsed="false">
      <c r="A4630" s="154" t="n">
        <v>4750</v>
      </c>
      <c r="B4630" s="155" t="s">
        <v>1463</v>
      </c>
      <c r="C4630" s="148" t="str">
        <f aca="false">VLOOKUP($A4630,INSUMOS_AUX!$A$3:$H$813,3,0)</f>
        <v>M.O.</v>
      </c>
      <c r="D4630" s="156" t="s">
        <v>1444</v>
      </c>
      <c r="E4630" s="154" t="n">
        <v>0.06566316</v>
      </c>
      <c r="F4630" s="149" t="n">
        <f aca="false">IF(C4630="MAT.",VLOOKUP(A4630,INSUMOS_AUX!$A$3:$H$813,6,0),0)</f>
        <v>0</v>
      </c>
      <c r="G4630" s="149" t="n">
        <f aca="false">IF(C4630="M.O.",VLOOKUP(A4630,INSUMOS_AUX!A:F,6,0),0)</f>
        <v>20.22</v>
      </c>
    </row>
    <row r="4631" customFormat="false" ht="15" hidden="false" customHeight="false" outlineLevel="0" collapsed="false">
      <c r="A4631" s="154" t="n">
        <v>6111</v>
      </c>
      <c r="B4631" s="155" t="s">
        <v>1464</v>
      </c>
      <c r="C4631" s="148" t="str">
        <f aca="false">VLOOKUP($A4631,INSUMOS_AUX!$A$3:$H$813,3,0)</f>
        <v>M.O.</v>
      </c>
      <c r="D4631" s="156" t="s">
        <v>1444</v>
      </c>
      <c r="E4631" s="154" t="n">
        <v>0.20309431</v>
      </c>
      <c r="F4631" s="149" t="n">
        <f aca="false">IF(C4631="MAT.",VLOOKUP(A4631,INSUMOS_AUX!$A$3:$H$813,6,0),0)</f>
        <v>0</v>
      </c>
      <c r="G4631" s="149" t="n">
        <f aca="false">IF(C4631="M.O.",VLOOKUP(A4631,INSUMOS_AUX!A:F,6,0),0)</f>
        <v>12.95</v>
      </c>
    </row>
    <row r="4632" customFormat="false" ht="31.5" hidden="false" customHeight="false" outlineLevel="0" collapsed="false">
      <c r="A4632" s="150" t="n">
        <v>89827</v>
      </c>
      <c r="B4632" s="151" t="s">
        <v>2260</v>
      </c>
      <c r="C4632" s="152" t="s">
        <v>59</v>
      </c>
      <c r="D4632" s="152" t="s">
        <v>31</v>
      </c>
      <c r="E4632" s="150"/>
      <c r="F4632" s="153" t="n">
        <f aca="false">(SUMPRODUCT($E4633:$E4643,F4633:F4643))*1</f>
        <v>17.999302</v>
      </c>
      <c r="G4632" s="153" t="n">
        <f aca="false">(SUMPRODUCT($E4633:$E4643,G4633:G4643))*1</f>
        <v>1.55754604728</v>
      </c>
    </row>
    <row r="4633" customFormat="false" ht="21" hidden="false" customHeight="false" outlineLevel="0" collapsed="false">
      <c r="A4633" s="154" t="n">
        <v>37370</v>
      </c>
      <c r="B4633" s="155" t="s">
        <v>1443</v>
      </c>
      <c r="C4633" s="148" t="str">
        <f aca="false">VLOOKUP($A4633,INSUMOS_AUX!$A$3:$H$813,3,0)</f>
        <v>MAT.</v>
      </c>
      <c r="D4633" s="156" t="s">
        <v>1444</v>
      </c>
      <c r="E4633" s="154" t="n">
        <v>0.0914</v>
      </c>
      <c r="F4633" s="149" t="n">
        <f aca="false">IF(C4633="MAT.",VLOOKUP(A4633,INSUMOS_AUX!$A$3:$H$813,6,0),0)</f>
        <v>3.32</v>
      </c>
      <c r="G4633" s="149" t="n">
        <f aca="false">IF(C4633="M.O.",VLOOKUP(A4633,INSUMOS_AUX!A:F,6,0),0)</f>
        <v>0</v>
      </c>
    </row>
    <row r="4634" customFormat="false" ht="21" hidden="false" customHeight="false" outlineLevel="0" collapsed="false">
      <c r="A4634" s="154" t="n">
        <v>43485</v>
      </c>
      <c r="B4634" s="155" t="s">
        <v>1481</v>
      </c>
      <c r="C4634" s="148" t="str">
        <f aca="false">VLOOKUP($A4634,INSUMOS_AUX!$A$3:$H$813,3,0)</f>
        <v>MAT.</v>
      </c>
      <c r="D4634" s="156" t="s">
        <v>1444</v>
      </c>
      <c r="E4634" s="154" t="n">
        <v>0.0914</v>
      </c>
      <c r="F4634" s="149" t="n">
        <f aca="false">IF(C4634="MAT.",VLOOKUP(A4634,INSUMOS_AUX!$A$3:$H$813,6,0),0)</f>
        <v>1.13</v>
      </c>
      <c r="G4634" s="149" t="n">
        <f aca="false">IF(C4634="M.O.",VLOOKUP(A4634,INSUMOS_AUX!A:F,6,0),0)</f>
        <v>0</v>
      </c>
    </row>
    <row r="4635" customFormat="false" ht="21" hidden="false" customHeight="false" outlineLevel="0" collapsed="false">
      <c r="A4635" s="154" t="n">
        <v>37372</v>
      </c>
      <c r="B4635" s="155" t="s">
        <v>1446</v>
      </c>
      <c r="C4635" s="148" t="s">
        <v>59</v>
      </c>
      <c r="D4635" s="156" t="s">
        <v>1444</v>
      </c>
      <c r="E4635" s="154" t="n">
        <v>0.0914</v>
      </c>
      <c r="F4635" s="149" t="n">
        <f aca="false">IF(C4635="MAT.",VLOOKUP(A4635,INSUMOS_AUX!$A$3:$H$813,6,0),0)</f>
        <v>0</v>
      </c>
      <c r="G4635" s="149" t="n">
        <f aca="false">IF(C4635="M.O.",VLOOKUP(A4635,INSUMOS_AUX!A:F,6,0),0)</f>
        <v>0</v>
      </c>
    </row>
    <row r="4636" customFormat="false" ht="21" hidden="false" customHeight="false" outlineLevel="0" collapsed="false">
      <c r="A4636" s="154" t="n">
        <v>43461</v>
      </c>
      <c r="B4636" s="155" t="s">
        <v>1482</v>
      </c>
      <c r="C4636" s="148" t="str">
        <f aca="false">VLOOKUP($A4636,INSUMOS_AUX!$A$3:$H$813,3,0)</f>
        <v>MAT.</v>
      </c>
      <c r="D4636" s="156" t="s">
        <v>1444</v>
      </c>
      <c r="E4636" s="154" t="n">
        <v>0.0914</v>
      </c>
      <c r="F4636" s="149" t="n">
        <f aca="false">IF(C4636="MAT.",VLOOKUP(A4636,INSUMOS_AUX!$A$3:$H$813,6,0),0)</f>
        <v>0.31</v>
      </c>
      <c r="G4636" s="149" t="n">
        <f aca="false">IF(C4636="M.O.",VLOOKUP(A4636,INSUMOS_AUX!A:F,6,0),0)</f>
        <v>0</v>
      </c>
    </row>
    <row r="4637" customFormat="false" ht="21" hidden="false" customHeight="false" outlineLevel="0" collapsed="false">
      <c r="A4637" s="154" t="n">
        <v>37373</v>
      </c>
      <c r="B4637" s="155" t="s">
        <v>1448</v>
      </c>
      <c r="C4637" s="148" t="str">
        <f aca="false">VLOOKUP($A4637,INSUMOS_AUX!$A$3:$H$813,3,0)</f>
        <v>MAT.</v>
      </c>
      <c r="D4637" s="156" t="s">
        <v>1444</v>
      </c>
      <c r="E4637" s="154" t="n">
        <v>0.0914</v>
      </c>
      <c r="F4637" s="149" t="n">
        <f aca="false">IF(C4637="MAT.",VLOOKUP(A4637,INSUMOS_AUX!$A$3:$H$813,6,0),0)</f>
        <v>0.08</v>
      </c>
      <c r="G4637" s="149" t="n">
        <f aca="false">IF(C4637="M.O.",VLOOKUP(A4637,INSUMOS_AUX!A:F,6,0),0)</f>
        <v>0</v>
      </c>
    </row>
    <row r="4638" customFormat="false" ht="21" hidden="false" customHeight="false" outlineLevel="0" collapsed="false">
      <c r="A4638" s="154" t="n">
        <v>37371</v>
      </c>
      <c r="B4638" s="155" t="s">
        <v>1449</v>
      </c>
      <c r="C4638" s="148" t="str">
        <f aca="false">VLOOKUP($A4638,INSUMOS_AUX!$A$3:$H$813,3,0)</f>
        <v>MAT.</v>
      </c>
      <c r="D4638" s="156" t="s">
        <v>1444</v>
      </c>
      <c r="E4638" s="154" t="n">
        <v>0.0914</v>
      </c>
      <c r="F4638" s="149" t="n">
        <f aca="false">IF(C4638="MAT.",VLOOKUP(A4638,INSUMOS_AUX!$A$3:$H$813,6,0),0)</f>
        <v>0.59</v>
      </c>
      <c r="G4638" s="149" t="n">
        <f aca="false">IF(C4638="M.O.",VLOOKUP(A4638,INSUMOS_AUX!A:F,6,0),0)</f>
        <v>0</v>
      </c>
    </row>
    <row r="4639" customFormat="false" ht="15" hidden="false" customHeight="false" outlineLevel="0" collapsed="false">
      <c r="A4639" s="154" t="n">
        <v>296</v>
      </c>
      <c r="B4639" s="155" t="s">
        <v>2121</v>
      </c>
      <c r="C4639" s="148" t="str">
        <f aca="false">VLOOKUP($A4639,INSUMOS_AUX!$A$3:$H$813,3,0)</f>
        <v>MAT.</v>
      </c>
      <c r="D4639" s="156" t="s">
        <v>31</v>
      </c>
      <c r="E4639" s="154" t="n">
        <v>3</v>
      </c>
      <c r="F4639" s="149" t="n">
        <f aca="false">IF(C4639="MAT.",VLOOKUP(A4639,INSUMOS_AUX!$A$3:$H$813,6,0),0)</f>
        <v>1.69</v>
      </c>
      <c r="G4639" s="149" t="n">
        <f aca="false">IF(C4639="M.O.",VLOOKUP(A4639,INSUMOS_AUX!A:F,6,0),0)</f>
        <v>0</v>
      </c>
    </row>
    <row r="4640" customFormat="false" ht="21" hidden="false" customHeight="false" outlineLevel="0" collapsed="false">
      <c r="A4640" s="154" t="n">
        <v>3662</v>
      </c>
      <c r="B4640" s="155" t="s">
        <v>2261</v>
      </c>
      <c r="C4640" s="148" t="str">
        <f aca="false">VLOOKUP($A4640,INSUMOS_AUX!$A$3:$H$813,3,0)</f>
        <v>MAT.</v>
      </c>
      <c r="D4640" s="156" t="s">
        <v>31</v>
      </c>
      <c r="E4640" s="154" t="n">
        <v>1</v>
      </c>
      <c r="F4640" s="149" t="n">
        <f aca="false">IF(C4640="MAT.",VLOOKUP(A4640,INSUMOS_AUX!$A$3:$H$813,6,0),0)</f>
        <v>10.48</v>
      </c>
      <c r="G4640" s="149" t="n">
        <f aca="false">IF(C4640="M.O.",VLOOKUP(A4640,INSUMOS_AUX!A:F,6,0),0)</f>
        <v>0</v>
      </c>
    </row>
    <row r="4641" customFormat="false" ht="31.5" hidden="false" customHeight="false" outlineLevel="0" collapsed="false">
      <c r="A4641" s="154" t="n">
        <v>20078</v>
      </c>
      <c r="B4641" s="155" t="s">
        <v>2123</v>
      </c>
      <c r="C4641" s="148" t="str">
        <f aca="false">VLOOKUP($A4641,INSUMOS_AUX!$A$3:$H$813,3,0)</f>
        <v>MAT.</v>
      </c>
      <c r="D4641" s="156" t="s">
        <v>31</v>
      </c>
      <c r="E4641" s="154" t="n">
        <v>0.075</v>
      </c>
      <c r="F4641" s="149" t="n">
        <f aca="false">IF(C4641="MAT.",VLOOKUP(A4641,INSUMOS_AUX!$A$3:$H$813,6,0),0)</f>
        <v>26.04</v>
      </c>
      <c r="G4641" s="149" t="n">
        <f aca="false">IF(C4641="M.O.",VLOOKUP(A4641,INSUMOS_AUX!A:F,6,0),0)</f>
        <v>0</v>
      </c>
    </row>
    <row r="4642" customFormat="false" ht="15" hidden="false" customHeight="false" outlineLevel="0" collapsed="false">
      <c r="A4642" s="154" t="n">
        <v>246</v>
      </c>
      <c r="B4642" s="155" t="s">
        <v>1752</v>
      </c>
      <c r="C4642" s="148" t="str">
        <f aca="false">VLOOKUP($A4642,INSUMOS_AUX!$A$3:$H$813,3,0)</f>
        <v>M.O.</v>
      </c>
      <c r="D4642" s="156" t="s">
        <v>1444</v>
      </c>
      <c r="E4642" s="154" t="n">
        <v>0.046521686</v>
      </c>
      <c r="F4642" s="149" t="n">
        <f aca="false">IF(C4642="MAT.",VLOOKUP(A4642,INSUMOS_AUX!$A$3:$H$813,6,0),0)</f>
        <v>0</v>
      </c>
      <c r="G4642" s="149" t="n">
        <f aca="false">IF(C4642="M.O.",VLOOKUP(A4642,INSUMOS_AUX!A:F,6,0),0)</f>
        <v>13.26</v>
      </c>
    </row>
    <row r="4643" customFormat="false" ht="15" hidden="false" customHeight="false" outlineLevel="0" collapsed="false">
      <c r="A4643" s="154" t="n">
        <v>2696</v>
      </c>
      <c r="B4643" s="155" t="s">
        <v>1483</v>
      </c>
      <c r="C4643" s="148" t="str">
        <f aca="false">VLOOKUP($A4643,INSUMOS_AUX!$A$3:$H$813,3,0)</f>
        <v>M.O.</v>
      </c>
      <c r="D4643" s="156" t="s">
        <v>1444</v>
      </c>
      <c r="E4643" s="154" t="n">
        <v>0.046521686</v>
      </c>
      <c r="F4643" s="149" t="n">
        <f aca="false">IF(C4643="MAT.",VLOOKUP(A4643,INSUMOS_AUX!$A$3:$H$813,6,0),0)</f>
        <v>0</v>
      </c>
      <c r="G4643" s="149" t="n">
        <f aca="false">IF(C4643="M.O.",VLOOKUP(A4643,INSUMOS_AUX!A:F,6,0),0)</f>
        <v>20.22</v>
      </c>
    </row>
    <row r="4644" customFormat="false" ht="31.5" hidden="false" customHeight="false" outlineLevel="0" collapsed="false">
      <c r="A4644" s="150" t="n">
        <v>89549</v>
      </c>
      <c r="B4644" s="151" t="s">
        <v>2262</v>
      </c>
      <c r="C4644" s="152" t="s">
        <v>59</v>
      </c>
      <c r="D4644" s="152" t="s">
        <v>31</v>
      </c>
      <c r="E4644" s="150"/>
      <c r="F4644" s="153" t="n">
        <f aca="false">(SUMPRODUCT($E4645:$E4656,F4645:F4656))*1</f>
        <v>17.017876</v>
      </c>
      <c r="G4644" s="153" t="n">
        <f aca="false">(SUMPRODUCT($E4645:$E4656,G4645:G4656))*1</f>
        <v>1.75862967264</v>
      </c>
    </row>
    <row r="4645" customFormat="false" ht="21" hidden="false" customHeight="false" outlineLevel="0" collapsed="false">
      <c r="A4645" s="154" t="n">
        <v>37370</v>
      </c>
      <c r="B4645" s="155" t="s">
        <v>1443</v>
      </c>
      <c r="C4645" s="148" t="str">
        <f aca="false">VLOOKUP($A4645,INSUMOS_AUX!$A$3:$H$813,3,0)</f>
        <v>MAT.</v>
      </c>
      <c r="D4645" s="156" t="s">
        <v>1444</v>
      </c>
      <c r="E4645" s="154" t="n">
        <v>0.1032</v>
      </c>
      <c r="F4645" s="149" t="n">
        <f aca="false">IF(C4645="MAT.",VLOOKUP(A4645,INSUMOS_AUX!$A$3:$H$813,6,0),0)</f>
        <v>3.32</v>
      </c>
      <c r="G4645" s="149" t="n">
        <f aca="false">IF(C4645="M.O.",VLOOKUP(A4645,INSUMOS_AUX!A:F,6,0),0)</f>
        <v>0</v>
      </c>
    </row>
    <row r="4646" customFormat="false" ht="21" hidden="false" customHeight="false" outlineLevel="0" collapsed="false">
      <c r="A4646" s="154" t="n">
        <v>43485</v>
      </c>
      <c r="B4646" s="155" t="s">
        <v>1481</v>
      </c>
      <c r="C4646" s="148" t="str">
        <f aca="false">VLOOKUP($A4646,INSUMOS_AUX!$A$3:$H$813,3,0)</f>
        <v>MAT.</v>
      </c>
      <c r="D4646" s="156" t="s">
        <v>1444</v>
      </c>
      <c r="E4646" s="154" t="n">
        <v>0.1032</v>
      </c>
      <c r="F4646" s="149" t="n">
        <f aca="false">IF(C4646="MAT.",VLOOKUP(A4646,INSUMOS_AUX!$A$3:$H$813,6,0),0)</f>
        <v>1.13</v>
      </c>
      <c r="G4646" s="149" t="n">
        <f aca="false">IF(C4646="M.O.",VLOOKUP(A4646,INSUMOS_AUX!A:F,6,0),0)</f>
        <v>0</v>
      </c>
    </row>
    <row r="4647" customFormat="false" ht="21" hidden="false" customHeight="false" outlineLevel="0" collapsed="false">
      <c r="A4647" s="154" t="n">
        <v>37372</v>
      </c>
      <c r="B4647" s="155" t="s">
        <v>1446</v>
      </c>
      <c r="C4647" s="148" t="s">
        <v>59</v>
      </c>
      <c r="D4647" s="156" t="s">
        <v>1444</v>
      </c>
      <c r="E4647" s="154" t="n">
        <v>0.1032</v>
      </c>
      <c r="F4647" s="149" t="n">
        <f aca="false">IF(C4647="MAT.",VLOOKUP(A4647,INSUMOS_AUX!$A$3:$H$813,6,0),0)</f>
        <v>0</v>
      </c>
      <c r="G4647" s="149" t="n">
        <f aca="false">IF(C4647="M.O.",VLOOKUP(A4647,INSUMOS_AUX!A:F,6,0),0)</f>
        <v>0</v>
      </c>
    </row>
    <row r="4648" customFormat="false" ht="21" hidden="false" customHeight="false" outlineLevel="0" collapsed="false">
      <c r="A4648" s="154" t="n">
        <v>43461</v>
      </c>
      <c r="B4648" s="155" t="s">
        <v>1482</v>
      </c>
      <c r="C4648" s="148" t="str">
        <f aca="false">VLOOKUP($A4648,INSUMOS_AUX!$A$3:$H$813,3,0)</f>
        <v>MAT.</v>
      </c>
      <c r="D4648" s="156" t="s">
        <v>1444</v>
      </c>
      <c r="E4648" s="154" t="n">
        <v>0.1032</v>
      </c>
      <c r="F4648" s="149" t="n">
        <f aca="false">IF(C4648="MAT.",VLOOKUP(A4648,INSUMOS_AUX!$A$3:$H$813,6,0),0)</f>
        <v>0.31</v>
      </c>
      <c r="G4648" s="149" t="n">
        <f aca="false">IF(C4648="M.O.",VLOOKUP(A4648,INSUMOS_AUX!A:F,6,0),0)</f>
        <v>0</v>
      </c>
    </row>
    <row r="4649" customFormat="false" ht="21" hidden="false" customHeight="false" outlineLevel="0" collapsed="false">
      <c r="A4649" s="154" t="n">
        <v>37373</v>
      </c>
      <c r="B4649" s="155" t="s">
        <v>1448</v>
      </c>
      <c r="C4649" s="148" t="str">
        <f aca="false">VLOOKUP($A4649,INSUMOS_AUX!$A$3:$H$813,3,0)</f>
        <v>MAT.</v>
      </c>
      <c r="D4649" s="156" t="s">
        <v>1444</v>
      </c>
      <c r="E4649" s="154" t="n">
        <v>0.1032</v>
      </c>
      <c r="F4649" s="149" t="n">
        <f aca="false">IF(C4649="MAT.",VLOOKUP(A4649,INSUMOS_AUX!$A$3:$H$813,6,0),0)</f>
        <v>0.08</v>
      </c>
      <c r="G4649" s="149" t="n">
        <f aca="false">IF(C4649="M.O.",VLOOKUP(A4649,INSUMOS_AUX!A:F,6,0),0)</f>
        <v>0</v>
      </c>
    </row>
    <row r="4650" customFormat="false" ht="21" hidden="false" customHeight="false" outlineLevel="0" collapsed="false">
      <c r="A4650" s="154" t="n">
        <v>37371</v>
      </c>
      <c r="B4650" s="155" t="s">
        <v>1449</v>
      </c>
      <c r="C4650" s="148" t="str">
        <f aca="false">VLOOKUP($A4650,INSUMOS_AUX!$A$3:$H$813,3,0)</f>
        <v>MAT.</v>
      </c>
      <c r="D4650" s="156" t="s">
        <v>1444</v>
      </c>
      <c r="E4650" s="154" t="n">
        <v>0.1032</v>
      </c>
      <c r="F4650" s="149" t="n">
        <f aca="false">IF(C4650="MAT.",VLOOKUP(A4650,INSUMOS_AUX!$A$3:$H$813,6,0),0)</f>
        <v>0.59</v>
      </c>
      <c r="G4650" s="149" t="n">
        <f aca="false">IF(C4650="M.O.",VLOOKUP(A4650,INSUMOS_AUX!A:F,6,0),0)</f>
        <v>0</v>
      </c>
    </row>
    <row r="4651" customFormat="false" ht="21" hidden="false" customHeight="false" outlineLevel="0" collapsed="false">
      <c r="A4651" s="154" t="n">
        <v>20085</v>
      </c>
      <c r="B4651" s="155" t="s">
        <v>2263</v>
      </c>
      <c r="C4651" s="148" t="str">
        <f aca="false">VLOOKUP($A4651,INSUMOS_AUX!$A$3:$H$813,3,0)</f>
        <v>MAT.</v>
      </c>
      <c r="D4651" s="156" t="s">
        <v>31</v>
      </c>
      <c r="E4651" s="154" t="n">
        <v>1</v>
      </c>
      <c r="F4651" s="149" t="n">
        <f aca="false">IF(C4651="MAT.",VLOOKUP(A4651,INSUMOS_AUX!$A$3:$H$813,6,0),0)</f>
        <v>2.22</v>
      </c>
      <c r="G4651" s="149" t="n">
        <f aca="false">IF(C4651="M.O.",VLOOKUP(A4651,INSUMOS_AUX!A:F,6,0),0)</f>
        <v>0</v>
      </c>
    </row>
    <row r="4652" customFormat="false" ht="21" hidden="false" customHeight="false" outlineLevel="0" collapsed="false">
      <c r="A4652" s="154" t="n">
        <v>298</v>
      </c>
      <c r="B4652" s="155" t="s">
        <v>2230</v>
      </c>
      <c r="C4652" s="148" t="str">
        <f aca="false">VLOOKUP($A4652,INSUMOS_AUX!$A$3:$H$813,3,0)</f>
        <v>MAT.</v>
      </c>
      <c r="D4652" s="156" t="s">
        <v>31</v>
      </c>
      <c r="E4652" s="154" t="n">
        <v>1</v>
      </c>
      <c r="F4652" s="149" t="n">
        <f aca="false">IF(C4652="MAT.",VLOOKUP(A4652,INSUMOS_AUX!$A$3:$H$813,6,0),0)</f>
        <v>2.7</v>
      </c>
      <c r="G4652" s="149" t="n">
        <f aca="false">IF(C4652="M.O.",VLOOKUP(A4652,INSUMOS_AUX!A:F,6,0),0)</f>
        <v>0</v>
      </c>
    </row>
    <row r="4653" customFormat="false" ht="31.5" hidden="false" customHeight="false" outlineLevel="0" collapsed="false">
      <c r="A4653" s="154" t="n">
        <v>20078</v>
      </c>
      <c r="B4653" s="155" t="s">
        <v>2123</v>
      </c>
      <c r="C4653" s="148" t="str">
        <f aca="false">VLOOKUP($A4653,INSUMOS_AUX!$A$3:$H$813,3,0)</f>
        <v>MAT.</v>
      </c>
      <c r="D4653" s="156" t="s">
        <v>31</v>
      </c>
      <c r="E4653" s="154" t="n">
        <v>0.0625</v>
      </c>
      <c r="F4653" s="149" t="n">
        <f aca="false">IF(C4653="MAT.",VLOOKUP(A4653,INSUMOS_AUX!$A$3:$H$813,6,0),0)</f>
        <v>26.04</v>
      </c>
      <c r="G4653" s="149" t="n">
        <f aca="false">IF(C4653="M.O.",VLOOKUP(A4653,INSUMOS_AUX!A:F,6,0),0)</f>
        <v>0</v>
      </c>
    </row>
    <row r="4654" customFormat="false" ht="21" hidden="false" customHeight="false" outlineLevel="0" collapsed="false">
      <c r="A4654" s="154" t="n">
        <v>20045</v>
      </c>
      <c r="B4654" s="155" t="s">
        <v>2264</v>
      </c>
      <c r="C4654" s="148" t="str">
        <f aca="false">VLOOKUP($A4654,INSUMOS_AUX!$A$3:$H$813,3,0)</f>
        <v>MAT.</v>
      </c>
      <c r="D4654" s="156" t="s">
        <v>31</v>
      </c>
      <c r="E4654" s="154" t="n">
        <v>1</v>
      </c>
      <c r="F4654" s="149" t="n">
        <f aca="false">IF(C4654="MAT.",VLOOKUP(A4654,INSUMOS_AUX!$A$3:$H$813,6,0),0)</f>
        <v>9.91</v>
      </c>
      <c r="G4654" s="149" t="n">
        <f aca="false">IF(C4654="M.O.",VLOOKUP(A4654,INSUMOS_AUX!A:F,6,0),0)</f>
        <v>0</v>
      </c>
    </row>
    <row r="4655" customFormat="false" ht="15" hidden="false" customHeight="false" outlineLevel="0" collapsed="false">
      <c r="A4655" s="154" t="n">
        <v>246</v>
      </c>
      <c r="B4655" s="155" t="s">
        <v>1752</v>
      </c>
      <c r="C4655" s="148" t="str">
        <f aca="false">VLOOKUP($A4655,INSUMOS_AUX!$A$3:$H$813,3,0)</f>
        <v>M.O.</v>
      </c>
      <c r="D4655" s="156" t="s">
        <v>1444</v>
      </c>
      <c r="E4655" s="154" t="n">
        <v>0.052527768</v>
      </c>
      <c r="F4655" s="149" t="n">
        <f aca="false">IF(C4655="MAT.",VLOOKUP(A4655,INSUMOS_AUX!$A$3:$H$813,6,0),0)</f>
        <v>0</v>
      </c>
      <c r="G4655" s="149" t="n">
        <f aca="false">IF(C4655="M.O.",VLOOKUP(A4655,INSUMOS_AUX!A:F,6,0),0)</f>
        <v>13.26</v>
      </c>
    </row>
    <row r="4656" customFormat="false" ht="15" hidden="false" customHeight="false" outlineLevel="0" collapsed="false">
      <c r="A4656" s="154" t="n">
        <v>2696</v>
      </c>
      <c r="B4656" s="155" t="s">
        <v>1483</v>
      </c>
      <c r="C4656" s="148" t="str">
        <f aca="false">VLOOKUP($A4656,INSUMOS_AUX!$A$3:$H$813,3,0)</f>
        <v>M.O.</v>
      </c>
      <c r="D4656" s="156" t="s">
        <v>1444</v>
      </c>
      <c r="E4656" s="154" t="n">
        <v>0.052527768</v>
      </c>
      <c r="F4656" s="149" t="n">
        <f aca="false">IF(C4656="MAT.",VLOOKUP(A4656,INSUMOS_AUX!$A$3:$H$813,6,0),0)</f>
        <v>0</v>
      </c>
      <c r="G4656" s="149" t="n">
        <f aca="false">IF(C4656="M.O.",VLOOKUP(A4656,INSUMOS_AUX!A:F,6,0),0)</f>
        <v>20.22</v>
      </c>
    </row>
    <row r="4657" customFormat="false" ht="31.5" hidden="false" customHeight="false" outlineLevel="0" collapsed="false">
      <c r="A4657" s="150" t="n">
        <v>104348</v>
      </c>
      <c r="B4657" s="151" t="s">
        <v>2265</v>
      </c>
      <c r="C4657" s="152" t="s">
        <v>59</v>
      </c>
      <c r="D4657" s="152" t="s">
        <v>31</v>
      </c>
      <c r="E4657" s="150"/>
      <c r="F4657" s="153" t="n">
        <f aca="false">(SUMPRODUCT($E4658:$E4669,F4658:F4669))*1</f>
        <v>11.096601</v>
      </c>
      <c r="G4657" s="153" t="n">
        <f aca="false">(SUMPRODUCT($E4658:$E4669,G4658:G4669))*1</f>
        <v>0.38853446256</v>
      </c>
    </row>
    <row r="4658" customFormat="false" ht="21" hidden="false" customHeight="false" outlineLevel="0" collapsed="false">
      <c r="A4658" s="154" t="n">
        <v>37370</v>
      </c>
      <c r="B4658" s="155" t="s">
        <v>1443</v>
      </c>
      <c r="C4658" s="148" t="str">
        <f aca="false">VLOOKUP($A4658,INSUMOS_AUX!$A$3:$H$813,3,0)</f>
        <v>MAT.</v>
      </c>
      <c r="D4658" s="156" t="s">
        <v>1444</v>
      </c>
      <c r="E4658" s="154" t="n">
        <v>0.0228</v>
      </c>
      <c r="F4658" s="149" t="n">
        <f aca="false">IF(C4658="MAT.",VLOOKUP(A4658,INSUMOS_AUX!$A$3:$H$813,6,0),0)</f>
        <v>3.32</v>
      </c>
      <c r="G4658" s="149" t="n">
        <f aca="false">IF(C4658="M.O.",VLOOKUP(A4658,INSUMOS_AUX!A:F,6,0),0)</f>
        <v>0</v>
      </c>
    </row>
    <row r="4659" customFormat="false" ht="21" hidden="false" customHeight="false" outlineLevel="0" collapsed="false">
      <c r="A4659" s="154" t="n">
        <v>43485</v>
      </c>
      <c r="B4659" s="155" t="s">
        <v>1481</v>
      </c>
      <c r="C4659" s="148" t="s">
        <v>59</v>
      </c>
      <c r="D4659" s="156" t="s">
        <v>1444</v>
      </c>
      <c r="E4659" s="154" t="n">
        <v>0.0228</v>
      </c>
      <c r="F4659" s="149" t="n">
        <f aca="false">IF(C4659="MAT.",VLOOKUP(A4659,INSUMOS_AUX!$A$3:$H$813,6,0),0)</f>
        <v>0</v>
      </c>
      <c r="G4659" s="149" t="n">
        <f aca="false">IF(C4659="M.O.",VLOOKUP(A4659,INSUMOS_AUX!A:F,6,0),0)</f>
        <v>0</v>
      </c>
    </row>
    <row r="4660" customFormat="false" ht="21" hidden="false" customHeight="false" outlineLevel="0" collapsed="false">
      <c r="A4660" s="154" t="n">
        <v>37372</v>
      </c>
      <c r="B4660" s="155" t="s">
        <v>1446</v>
      </c>
      <c r="C4660" s="148" t="str">
        <f aca="false">VLOOKUP($A4660,INSUMOS_AUX!$A$3:$H$813,3,0)</f>
        <v>MAT.</v>
      </c>
      <c r="D4660" s="156" t="s">
        <v>1444</v>
      </c>
      <c r="E4660" s="154" t="n">
        <v>0.0228</v>
      </c>
      <c r="F4660" s="149" t="n">
        <f aca="false">IF(C4660="MAT.",VLOOKUP(A4660,INSUMOS_AUX!$A$3:$H$813,6,0),0)</f>
        <v>1.43</v>
      </c>
      <c r="G4660" s="149" t="n">
        <f aca="false">IF(C4660="M.O.",VLOOKUP(A4660,INSUMOS_AUX!A:F,6,0),0)</f>
        <v>0</v>
      </c>
    </row>
    <row r="4661" customFormat="false" ht="21" hidden="false" customHeight="false" outlineLevel="0" collapsed="false">
      <c r="A4661" s="154" t="n">
        <v>43461</v>
      </c>
      <c r="B4661" s="155" t="s">
        <v>1482</v>
      </c>
      <c r="C4661" s="148" t="str">
        <f aca="false">VLOOKUP($A4661,INSUMOS_AUX!$A$3:$H$813,3,0)</f>
        <v>MAT.</v>
      </c>
      <c r="D4661" s="156" t="s">
        <v>1444</v>
      </c>
      <c r="E4661" s="154" t="n">
        <v>0.0228</v>
      </c>
      <c r="F4661" s="149" t="n">
        <f aca="false">IF(C4661="MAT.",VLOOKUP(A4661,INSUMOS_AUX!$A$3:$H$813,6,0),0)</f>
        <v>0.31</v>
      </c>
      <c r="G4661" s="149" t="n">
        <f aca="false">IF(C4661="M.O.",VLOOKUP(A4661,INSUMOS_AUX!A:F,6,0),0)</f>
        <v>0</v>
      </c>
    </row>
    <row r="4662" customFormat="false" ht="21" hidden="false" customHeight="false" outlineLevel="0" collapsed="false">
      <c r="A4662" s="154" t="n">
        <v>37373</v>
      </c>
      <c r="B4662" s="155" t="s">
        <v>1448</v>
      </c>
      <c r="C4662" s="148" t="str">
        <f aca="false">VLOOKUP($A4662,INSUMOS_AUX!$A$3:$H$813,3,0)</f>
        <v>MAT.</v>
      </c>
      <c r="D4662" s="156" t="s">
        <v>1444</v>
      </c>
      <c r="E4662" s="154" t="n">
        <v>0.0228</v>
      </c>
      <c r="F4662" s="149" t="n">
        <f aca="false">IF(C4662="MAT.",VLOOKUP(A4662,INSUMOS_AUX!$A$3:$H$813,6,0),0)</f>
        <v>0.08</v>
      </c>
      <c r="G4662" s="149" t="n">
        <f aca="false">IF(C4662="M.O.",VLOOKUP(A4662,INSUMOS_AUX!A:F,6,0),0)</f>
        <v>0</v>
      </c>
    </row>
    <row r="4663" customFormat="false" ht="21" hidden="false" customHeight="false" outlineLevel="0" collapsed="false">
      <c r="A4663" s="154" t="n">
        <v>37371</v>
      </c>
      <c r="B4663" s="155" t="s">
        <v>1449</v>
      </c>
      <c r="C4663" s="148" t="str">
        <f aca="false">VLOOKUP($A4663,INSUMOS_AUX!$A$3:$H$813,3,0)</f>
        <v>MAT.</v>
      </c>
      <c r="D4663" s="156" t="s">
        <v>1444</v>
      </c>
      <c r="E4663" s="154" t="n">
        <v>0.0228</v>
      </c>
      <c r="F4663" s="149" t="n">
        <f aca="false">IF(C4663="MAT.",VLOOKUP(A4663,INSUMOS_AUX!$A$3:$H$813,6,0),0)</f>
        <v>0.59</v>
      </c>
      <c r="G4663" s="149" t="n">
        <f aca="false">IF(C4663="M.O.",VLOOKUP(A4663,INSUMOS_AUX!A:F,6,0),0)</f>
        <v>0</v>
      </c>
    </row>
    <row r="4664" customFormat="false" ht="15" hidden="false" customHeight="false" outlineLevel="0" collapsed="false">
      <c r="A4664" s="154" t="n">
        <v>122</v>
      </c>
      <c r="B4664" s="155" t="s">
        <v>2097</v>
      </c>
      <c r="C4664" s="148" t="str">
        <f aca="false">VLOOKUP($A4664,INSUMOS_AUX!$A$3:$H$813,3,0)</f>
        <v>MAT.</v>
      </c>
      <c r="D4664" s="156" t="s">
        <v>31</v>
      </c>
      <c r="E4664" s="154" t="n">
        <v>0.0073</v>
      </c>
      <c r="F4664" s="149" t="n">
        <f aca="false">IF(C4664="MAT.",VLOOKUP(A4664,INSUMOS_AUX!$A$3:$H$813,6,0),0)</f>
        <v>63.09</v>
      </c>
      <c r="G4664" s="149" t="n">
        <f aca="false">IF(C4664="M.O.",VLOOKUP(A4664,INSUMOS_AUX!A:F,6,0),0)</f>
        <v>0</v>
      </c>
    </row>
    <row r="4665" customFormat="false" ht="15" hidden="false" customHeight="false" outlineLevel="0" collapsed="false">
      <c r="A4665" s="154" t="n">
        <v>38383</v>
      </c>
      <c r="B4665" s="155" t="s">
        <v>2093</v>
      </c>
      <c r="C4665" s="148" t="str">
        <f aca="false">VLOOKUP($A4665,INSUMOS_AUX!$A$3:$H$813,3,0)</f>
        <v>MAT.</v>
      </c>
      <c r="D4665" s="156" t="s">
        <v>31</v>
      </c>
      <c r="E4665" s="154" t="n">
        <v>0.008</v>
      </c>
      <c r="F4665" s="149" t="n">
        <f aca="false">IF(C4665="MAT.",VLOOKUP(A4665,INSUMOS_AUX!$A$3:$H$813,6,0),0)</f>
        <v>2.39</v>
      </c>
      <c r="G4665" s="149" t="n">
        <f aca="false">IF(C4665="M.O.",VLOOKUP(A4665,INSUMOS_AUX!A:F,6,0),0)</f>
        <v>0</v>
      </c>
    </row>
    <row r="4666" customFormat="false" ht="21" hidden="false" customHeight="false" outlineLevel="0" collapsed="false">
      <c r="A4666" s="154" t="n">
        <v>20083</v>
      </c>
      <c r="B4666" s="155" t="s">
        <v>2095</v>
      </c>
      <c r="C4666" s="148" t="str">
        <f aca="false">VLOOKUP($A4666,INSUMOS_AUX!$A$3:$H$813,3,0)</f>
        <v>MAT.</v>
      </c>
      <c r="D4666" s="156" t="s">
        <v>31</v>
      </c>
      <c r="E4666" s="154" t="n">
        <v>0.011</v>
      </c>
      <c r="F4666" s="149" t="n">
        <f aca="false">IF(C4666="MAT.",VLOOKUP(A4666,INSUMOS_AUX!$A$3:$H$813,6,0),0)</f>
        <v>71.48</v>
      </c>
      <c r="G4666" s="149" t="n">
        <f aca="false">IF(C4666="M.O.",VLOOKUP(A4666,INSUMOS_AUX!A:F,6,0),0)</f>
        <v>0</v>
      </c>
    </row>
    <row r="4667" customFormat="false" ht="15" hidden="false" customHeight="false" outlineLevel="0" collapsed="false">
      <c r="A4667" s="154" t="n">
        <v>39319</v>
      </c>
      <c r="B4667" s="155" t="s">
        <v>2266</v>
      </c>
      <c r="C4667" s="148" t="str">
        <f aca="false">VLOOKUP($A4667,INSUMOS_AUX!$A$3:$H$813,3,0)</f>
        <v>MAT.</v>
      </c>
      <c r="D4667" s="156" t="s">
        <v>31</v>
      </c>
      <c r="E4667" s="154" t="n">
        <v>1</v>
      </c>
      <c r="F4667" s="149" t="n">
        <f aca="false">IF(C4667="MAT.",VLOOKUP(A4667,INSUMOS_AUX!$A$3:$H$813,6,0),0)</f>
        <v>9.7</v>
      </c>
      <c r="G4667" s="149" t="n">
        <f aca="false">IF(C4667="M.O.",VLOOKUP(A4667,INSUMOS_AUX!A:F,6,0),0)</f>
        <v>0</v>
      </c>
    </row>
    <row r="4668" customFormat="false" ht="15" hidden="false" customHeight="false" outlineLevel="0" collapsed="false">
      <c r="A4668" s="154" t="n">
        <v>246</v>
      </c>
      <c r="B4668" s="155" t="s">
        <v>1752</v>
      </c>
      <c r="C4668" s="148" t="str">
        <f aca="false">VLOOKUP($A4668,INSUMOS_AUX!$A$3:$H$813,3,0)</f>
        <v>M.O.</v>
      </c>
      <c r="D4668" s="156" t="s">
        <v>1444</v>
      </c>
      <c r="E4668" s="154" t="n">
        <v>0.011604972</v>
      </c>
      <c r="F4668" s="149" t="n">
        <f aca="false">IF(C4668="MAT.",VLOOKUP(A4668,INSUMOS_AUX!$A$3:$H$813,6,0),0)</f>
        <v>0</v>
      </c>
      <c r="G4668" s="149" t="n">
        <f aca="false">IF(C4668="M.O.",VLOOKUP(A4668,INSUMOS_AUX!A:F,6,0),0)</f>
        <v>13.26</v>
      </c>
    </row>
    <row r="4669" customFormat="false" ht="15" hidden="false" customHeight="false" outlineLevel="0" collapsed="false">
      <c r="A4669" s="154" t="n">
        <v>2696</v>
      </c>
      <c r="B4669" s="155" t="s">
        <v>1483</v>
      </c>
      <c r="C4669" s="148" t="str">
        <f aca="false">VLOOKUP($A4669,INSUMOS_AUX!$A$3:$H$813,3,0)</f>
        <v>M.O.</v>
      </c>
      <c r="D4669" s="156" t="s">
        <v>1444</v>
      </c>
      <c r="E4669" s="154" t="n">
        <v>0.011604972</v>
      </c>
      <c r="F4669" s="149" t="n">
        <f aca="false">IF(C4669="MAT.",VLOOKUP(A4669,INSUMOS_AUX!$A$3:$H$813,6,0),0)</f>
        <v>0</v>
      </c>
      <c r="G4669" s="149" t="n">
        <f aca="false">IF(C4669="M.O.",VLOOKUP(A4669,INSUMOS_AUX!A:F,6,0),0)</f>
        <v>20.22</v>
      </c>
    </row>
    <row r="4670" customFormat="false" ht="31.5" hidden="false" customHeight="false" outlineLevel="0" collapsed="false">
      <c r="A4670" s="150" t="n">
        <v>104351</v>
      </c>
      <c r="B4670" s="151" t="s">
        <v>2267</v>
      </c>
      <c r="C4670" s="152" t="s">
        <v>59</v>
      </c>
      <c r="D4670" s="152" t="s">
        <v>31</v>
      </c>
      <c r="E4670" s="150"/>
      <c r="F4670" s="153" t="n">
        <f aca="false">(SUMPRODUCT($E4671:$E4682,F4671:F4682))*1</f>
        <v>21.932825</v>
      </c>
      <c r="G4670" s="153" t="n">
        <f aca="false">(SUMPRODUCT($E4671:$E4682,G4671:G4682))*1</f>
        <v>1.42803455976</v>
      </c>
    </row>
    <row r="4671" customFormat="false" ht="21" hidden="false" customHeight="false" outlineLevel="0" collapsed="false">
      <c r="A4671" s="154" t="n">
        <v>37370</v>
      </c>
      <c r="B4671" s="155" t="s">
        <v>1443</v>
      </c>
      <c r="C4671" s="148" t="s">
        <v>59</v>
      </c>
      <c r="D4671" s="156" t="s">
        <v>1444</v>
      </c>
      <c r="E4671" s="154" t="n">
        <v>0.0838</v>
      </c>
      <c r="F4671" s="149" t="n">
        <f aca="false">IF(C4671="MAT.",VLOOKUP(A4671,INSUMOS_AUX!$A$3:$H$813,6,0),0)</f>
        <v>0</v>
      </c>
      <c r="G4671" s="149" t="n">
        <f aca="false">IF(C4671="M.O.",VLOOKUP(A4671,INSUMOS_AUX!A:F,6,0),0)</f>
        <v>0</v>
      </c>
    </row>
    <row r="4672" customFormat="false" ht="21" hidden="false" customHeight="false" outlineLevel="0" collapsed="false">
      <c r="A4672" s="154" t="n">
        <v>43485</v>
      </c>
      <c r="B4672" s="155" t="s">
        <v>1481</v>
      </c>
      <c r="C4672" s="148" t="str">
        <f aca="false">VLOOKUP($A4672,INSUMOS_AUX!$A$3:$H$813,3,0)</f>
        <v>MAT.</v>
      </c>
      <c r="D4672" s="156" t="s">
        <v>1444</v>
      </c>
      <c r="E4672" s="154" t="n">
        <v>0.0838</v>
      </c>
      <c r="F4672" s="149" t="n">
        <f aca="false">IF(C4672="MAT.",VLOOKUP(A4672,INSUMOS_AUX!$A$3:$H$813,6,0),0)</f>
        <v>1.13</v>
      </c>
      <c r="G4672" s="149" t="n">
        <f aca="false">IF(C4672="M.O.",VLOOKUP(A4672,INSUMOS_AUX!A:F,6,0),0)</f>
        <v>0</v>
      </c>
    </row>
    <row r="4673" customFormat="false" ht="21" hidden="false" customHeight="false" outlineLevel="0" collapsed="false">
      <c r="A4673" s="154" t="n">
        <v>37372</v>
      </c>
      <c r="B4673" s="155" t="s">
        <v>1446</v>
      </c>
      <c r="C4673" s="148" t="str">
        <f aca="false">VLOOKUP($A4673,INSUMOS_AUX!$A$3:$H$813,3,0)</f>
        <v>MAT.</v>
      </c>
      <c r="D4673" s="156" t="s">
        <v>1444</v>
      </c>
      <c r="E4673" s="154" t="n">
        <v>0.0838</v>
      </c>
      <c r="F4673" s="149" t="n">
        <f aca="false">IF(C4673="MAT.",VLOOKUP(A4673,INSUMOS_AUX!$A$3:$H$813,6,0),0)</f>
        <v>1.43</v>
      </c>
      <c r="G4673" s="149" t="n">
        <f aca="false">IF(C4673="M.O.",VLOOKUP(A4673,INSUMOS_AUX!A:F,6,0),0)</f>
        <v>0</v>
      </c>
    </row>
    <row r="4674" customFormat="false" ht="21" hidden="false" customHeight="false" outlineLevel="0" collapsed="false">
      <c r="A4674" s="154" t="n">
        <v>43461</v>
      </c>
      <c r="B4674" s="155" t="s">
        <v>1482</v>
      </c>
      <c r="C4674" s="148" t="str">
        <f aca="false">VLOOKUP($A4674,INSUMOS_AUX!$A$3:$H$813,3,0)</f>
        <v>MAT.</v>
      </c>
      <c r="D4674" s="156" t="s">
        <v>1444</v>
      </c>
      <c r="E4674" s="154" t="n">
        <v>0.0838</v>
      </c>
      <c r="F4674" s="149" t="n">
        <f aca="false">IF(C4674="MAT.",VLOOKUP(A4674,INSUMOS_AUX!$A$3:$H$813,6,0),0)</f>
        <v>0.31</v>
      </c>
      <c r="G4674" s="149" t="n">
        <f aca="false">IF(C4674="M.O.",VLOOKUP(A4674,INSUMOS_AUX!A:F,6,0),0)</f>
        <v>0</v>
      </c>
    </row>
    <row r="4675" customFormat="false" ht="21" hidden="false" customHeight="false" outlineLevel="0" collapsed="false">
      <c r="A4675" s="154" t="n">
        <v>37373</v>
      </c>
      <c r="B4675" s="155" t="s">
        <v>1448</v>
      </c>
      <c r="C4675" s="148" t="str">
        <f aca="false">VLOOKUP($A4675,INSUMOS_AUX!$A$3:$H$813,3,0)</f>
        <v>MAT.</v>
      </c>
      <c r="D4675" s="156" t="s">
        <v>1444</v>
      </c>
      <c r="E4675" s="154" t="n">
        <v>0.0838</v>
      </c>
      <c r="F4675" s="149" t="n">
        <f aca="false">IF(C4675="MAT.",VLOOKUP(A4675,INSUMOS_AUX!$A$3:$H$813,6,0),0)</f>
        <v>0.08</v>
      </c>
      <c r="G4675" s="149" t="n">
        <f aca="false">IF(C4675="M.O.",VLOOKUP(A4675,INSUMOS_AUX!A:F,6,0),0)</f>
        <v>0</v>
      </c>
    </row>
    <row r="4676" customFormat="false" ht="21" hidden="false" customHeight="false" outlineLevel="0" collapsed="false">
      <c r="A4676" s="154" t="n">
        <v>37371</v>
      </c>
      <c r="B4676" s="155" t="s">
        <v>1449</v>
      </c>
      <c r="C4676" s="148" t="str">
        <f aca="false">VLOOKUP($A4676,INSUMOS_AUX!$A$3:$H$813,3,0)</f>
        <v>MAT.</v>
      </c>
      <c r="D4676" s="156" t="s">
        <v>1444</v>
      </c>
      <c r="E4676" s="154" t="n">
        <v>0.0838</v>
      </c>
      <c r="F4676" s="149" t="n">
        <f aca="false">IF(C4676="MAT.",VLOOKUP(A4676,INSUMOS_AUX!$A$3:$H$813,6,0),0)</f>
        <v>0.59</v>
      </c>
      <c r="G4676" s="149" t="n">
        <f aca="false">IF(C4676="M.O.",VLOOKUP(A4676,INSUMOS_AUX!A:F,6,0),0)</f>
        <v>0</v>
      </c>
    </row>
    <row r="4677" customFormat="false" ht="15" hidden="false" customHeight="false" outlineLevel="0" collapsed="false">
      <c r="A4677" s="154" t="n">
        <v>122</v>
      </c>
      <c r="B4677" s="155" t="s">
        <v>2097</v>
      </c>
      <c r="C4677" s="148" t="str">
        <f aca="false">VLOOKUP($A4677,INSUMOS_AUX!$A$3:$H$813,3,0)</f>
        <v>MAT.</v>
      </c>
      <c r="D4677" s="156" t="s">
        <v>31</v>
      </c>
      <c r="E4677" s="154" t="n">
        <v>0.0167</v>
      </c>
      <c r="F4677" s="149" t="n">
        <f aca="false">IF(C4677="MAT.",VLOOKUP(A4677,INSUMOS_AUX!$A$3:$H$813,6,0),0)</f>
        <v>63.09</v>
      </c>
      <c r="G4677" s="149" t="n">
        <f aca="false">IF(C4677="M.O.",VLOOKUP(A4677,INSUMOS_AUX!A:F,6,0),0)</f>
        <v>0</v>
      </c>
    </row>
    <row r="4678" customFormat="false" ht="15" hidden="false" customHeight="false" outlineLevel="0" collapsed="false">
      <c r="A4678" s="154" t="n">
        <v>38383</v>
      </c>
      <c r="B4678" s="155" t="s">
        <v>2093</v>
      </c>
      <c r="C4678" s="148" t="str">
        <f aca="false">VLOOKUP($A4678,INSUMOS_AUX!$A$3:$H$813,3,0)</f>
        <v>MAT.</v>
      </c>
      <c r="D4678" s="156" t="s">
        <v>31</v>
      </c>
      <c r="E4678" s="154" t="n">
        <v>0.031</v>
      </c>
      <c r="F4678" s="149" t="n">
        <f aca="false">IF(C4678="MAT.",VLOOKUP(A4678,INSUMOS_AUX!$A$3:$H$813,6,0),0)</f>
        <v>2.39</v>
      </c>
      <c r="G4678" s="149" t="n">
        <f aca="false">IF(C4678="M.O.",VLOOKUP(A4678,INSUMOS_AUX!A:F,6,0),0)</f>
        <v>0</v>
      </c>
    </row>
    <row r="4679" customFormat="false" ht="21" hidden="false" customHeight="false" outlineLevel="0" collapsed="false">
      <c r="A4679" s="154" t="n">
        <v>20083</v>
      </c>
      <c r="B4679" s="155" t="s">
        <v>2095</v>
      </c>
      <c r="C4679" s="148" t="str">
        <f aca="false">VLOOKUP($A4679,INSUMOS_AUX!$A$3:$H$813,3,0)</f>
        <v>MAT.</v>
      </c>
      <c r="D4679" s="156" t="s">
        <v>31</v>
      </c>
      <c r="E4679" s="154" t="n">
        <v>0.026</v>
      </c>
      <c r="F4679" s="149" t="n">
        <f aca="false">IF(C4679="MAT.",VLOOKUP(A4679,INSUMOS_AUX!$A$3:$H$813,6,0),0)</f>
        <v>71.48</v>
      </c>
      <c r="G4679" s="149" t="n">
        <f aca="false">IF(C4679="M.O.",VLOOKUP(A4679,INSUMOS_AUX!A:F,6,0),0)</f>
        <v>0</v>
      </c>
    </row>
    <row r="4680" customFormat="false" ht="15" hidden="false" customHeight="false" outlineLevel="0" collapsed="false">
      <c r="A4680" s="154" t="n">
        <v>39320</v>
      </c>
      <c r="B4680" s="155" t="s">
        <v>2268</v>
      </c>
      <c r="C4680" s="148" t="str">
        <f aca="false">VLOOKUP($A4680,INSUMOS_AUX!$A$3:$H$813,3,0)</f>
        <v>MAT.</v>
      </c>
      <c r="D4680" s="156" t="s">
        <v>31</v>
      </c>
      <c r="E4680" s="154" t="n">
        <v>1</v>
      </c>
      <c r="F4680" s="149" t="n">
        <f aca="false">IF(C4680="MAT.",VLOOKUP(A4680,INSUMOS_AUX!$A$3:$H$813,6,0),0)</f>
        <v>18.65</v>
      </c>
      <c r="G4680" s="149" t="n">
        <f aca="false">IF(C4680="M.O.",VLOOKUP(A4680,INSUMOS_AUX!A:F,6,0),0)</f>
        <v>0</v>
      </c>
    </row>
    <row r="4681" customFormat="false" ht="15" hidden="false" customHeight="false" outlineLevel="0" collapsed="false">
      <c r="A4681" s="154" t="n">
        <v>246</v>
      </c>
      <c r="B4681" s="155" t="s">
        <v>1752</v>
      </c>
      <c r="C4681" s="148" t="str">
        <f aca="false">VLOOKUP($A4681,INSUMOS_AUX!$A$3:$H$813,3,0)</f>
        <v>M.O.</v>
      </c>
      <c r="D4681" s="156" t="s">
        <v>1444</v>
      </c>
      <c r="E4681" s="154" t="n">
        <v>0.042653362</v>
      </c>
      <c r="F4681" s="149" t="n">
        <f aca="false">IF(C4681="MAT.",VLOOKUP(A4681,INSUMOS_AUX!$A$3:$H$813,6,0),0)</f>
        <v>0</v>
      </c>
      <c r="G4681" s="149" t="n">
        <f aca="false">IF(C4681="M.O.",VLOOKUP(A4681,INSUMOS_AUX!A:F,6,0),0)</f>
        <v>13.26</v>
      </c>
    </row>
    <row r="4682" customFormat="false" ht="15" hidden="false" customHeight="false" outlineLevel="0" collapsed="false">
      <c r="A4682" s="154" t="n">
        <v>2696</v>
      </c>
      <c r="B4682" s="155" t="s">
        <v>1483</v>
      </c>
      <c r="C4682" s="148" t="str">
        <f aca="false">VLOOKUP($A4682,INSUMOS_AUX!$A$3:$H$813,3,0)</f>
        <v>M.O.</v>
      </c>
      <c r="D4682" s="156" t="s">
        <v>1444</v>
      </c>
      <c r="E4682" s="154" t="n">
        <v>0.042653362</v>
      </c>
      <c r="F4682" s="149" t="n">
        <f aca="false">IF(C4682="MAT.",VLOOKUP(A4682,INSUMOS_AUX!$A$3:$H$813,6,0),0)</f>
        <v>0</v>
      </c>
      <c r="G4682" s="149" t="n">
        <f aca="false">IF(C4682="M.O.",VLOOKUP(A4682,INSUMOS_AUX!A:F,6,0),0)</f>
        <v>20.22</v>
      </c>
    </row>
    <row r="4683" customFormat="false" ht="31.5" hidden="false" customHeight="false" outlineLevel="0" collapsed="false">
      <c r="A4683" s="150" t="n">
        <v>89829</v>
      </c>
      <c r="B4683" s="151" t="s">
        <v>2269</v>
      </c>
      <c r="C4683" s="152" t="s">
        <v>59</v>
      </c>
      <c r="D4683" s="152" t="s">
        <v>31</v>
      </c>
      <c r="E4683" s="150"/>
      <c r="F4683" s="153" t="n">
        <f aca="false">(SUMPRODUCT($E4684:$E4694,F4684:F4694))*1</f>
        <v>30.348972</v>
      </c>
      <c r="G4683" s="153" t="n">
        <f aca="false">(SUMPRODUCT($E4684:$E4694,G4684:G4694))*1</f>
        <v>5.71213823904</v>
      </c>
    </row>
    <row r="4684" customFormat="false" ht="21" hidden="false" customHeight="false" outlineLevel="0" collapsed="false">
      <c r="A4684" s="154" t="n">
        <v>37370</v>
      </c>
      <c r="B4684" s="155" t="s">
        <v>1443</v>
      </c>
      <c r="C4684" s="148" t="str">
        <f aca="false">VLOOKUP($A4684,INSUMOS_AUX!$A$3:$H$813,3,0)</f>
        <v>MAT.</v>
      </c>
      <c r="D4684" s="156" t="s">
        <v>1444</v>
      </c>
      <c r="E4684" s="154" t="n">
        <v>0.3352</v>
      </c>
      <c r="F4684" s="149" t="n">
        <f aca="false">IF(C4684="MAT.",VLOOKUP(A4684,INSUMOS_AUX!$A$3:$H$813,6,0),0)</f>
        <v>3.32</v>
      </c>
      <c r="G4684" s="149" t="n">
        <f aca="false">IF(C4684="M.O.",VLOOKUP(A4684,INSUMOS_AUX!A:F,6,0),0)</f>
        <v>0</v>
      </c>
    </row>
    <row r="4685" customFormat="false" ht="21" hidden="false" customHeight="false" outlineLevel="0" collapsed="false">
      <c r="A4685" s="154" t="n">
        <v>43485</v>
      </c>
      <c r="B4685" s="155" t="s">
        <v>1481</v>
      </c>
      <c r="C4685" s="148" t="str">
        <f aca="false">VLOOKUP($A4685,INSUMOS_AUX!$A$3:$H$813,3,0)</f>
        <v>MAT.</v>
      </c>
      <c r="D4685" s="156" t="s">
        <v>1444</v>
      </c>
      <c r="E4685" s="154" t="n">
        <v>0.3352</v>
      </c>
      <c r="F4685" s="149" t="n">
        <f aca="false">IF(C4685="MAT.",VLOOKUP(A4685,INSUMOS_AUX!$A$3:$H$813,6,0),0)</f>
        <v>1.13</v>
      </c>
      <c r="G4685" s="149" t="n">
        <f aca="false">IF(C4685="M.O.",VLOOKUP(A4685,INSUMOS_AUX!A:F,6,0),0)</f>
        <v>0</v>
      </c>
    </row>
    <row r="4686" customFormat="false" ht="21" hidden="false" customHeight="false" outlineLevel="0" collapsed="false">
      <c r="A4686" s="154" t="n">
        <v>37372</v>
      </c>
      <c r="B4686" s="155" t="s">
        <v>1446</v>
      </c>
      <c r="C4686" s="148" t="str">
        <f aca="false">VLOOKUP($A4686,INSUMOS_AUX!$A$3:$H$813,3,0)</f>
        <v>MAT.</v>
      </c>
      <c r="D4686" s="156" t="s">
        <v>1444</v>
      </c>
      <c r="E4686" s="154" t="n">
        <v>0.3352</v>
      </c>
      <c r="F4686" s="149" t="n">
        <f aca="false">IF(C4686="MAT.",VLOOKUP(A4686,INSUMOS_AUX!$A$3:$H$813,6,0),0)</f>
        <v>1.43</v>
      </c>
      <c r="G4686" s="149" t="n">
        <f aca="false">IF(C4686="M.O.",VLOOKUP(A4686,INSUMOS_AUX!A:F,6,0),0)</f>
        <v>0</v>
      </c>
    </row>
    <row r="4687" customFormat="false" ht="21" hidden="false" customHeight="false" outlineLevel="0" collapsed="false">
      <c r="A4687" s="154" t="n">
        <v>43461</v>
      </c>
      <c r="B4687" s="155" t="s">
        <v>1482</v>
      </c>
      <c r="C4687" s="148" t="str">
        <f aca="false">VLOOKUP($A4687,INSUMOS_AUX!$A$3:$H$813,3,0)</f>
        <v>MAT.</v>
      </c>
      <c r="D4687" s="156" t="s">
        <v>1444</v>
      </c>
      <c r="E4687" s="154" t="n">
        <v>0.3352</v>
      </c>
      <c r="F4687" s="149" t="n">
        <f aca="false">IF(C4687="MAT.",VLOOKUP(A4687,INSUMOS_AUX!$A$3:$H$813,6,0),0)</f>
        <v>0.31</v>
      </c>
      <c r="G4687" s="149" t="n">
        <f aca="false">IF(C4687="M.O.",VLOOKUP(A4687,INSUMOS_AUX!A:F,6,0),0)</f>
        <v>0</v>
      </c>
    </row>
    <row r="4688" customFormat="false" ht="21" hidden="false" customHeight="false" outlineLevel="0" collapsed="false">
      <c r="A4688" s="154" t="n">
        <v>37373</v>
      </c>
      <c r="B4688" s="155" t="s">
        <v>1448</v>
      </c>
      <c r="C4688" s="148" t="str">
        <f aca="false">VLOOKUP($A4688,INSUMOS_AUX!$A$3:$H$813,3,0)</f>
        <v>MAT.</v>
      </c>
      <c r="D4688" s="156" t="s">
        <v>1444</v>
      </c>
      <c r="E4688" s="154" t="n">
        <v>0.3352</v>
      </c>
      <c r="F4688" s="149" t="n">
        <f aca="false">IF(C4688="MAT.",VLOOKUP(A4688,INSUMOS_AUX!$A$3:$H$813,6,0),0)</f>
        <v>0.08</v>
      </c>
      <c r="G4688" s="149" t="n">
        <f aca="false">IF(C4688="M.O.",VLOOKUP(A4688,INSUMOS_AUX!A:F,6,0),0)</f>
        <v>0</v>
      </c>
    </row>
    <row r="4689" customFormat="false" ht="21" hidden="false" customHeight="false" outlineLevel="0" collapsed="false">
      <c r="A4689" s="154" t="n">
        <v>37371</v>
      </c>
      <c r="B4689" s="155" t="s">
        <v>1449</v>
      </c>
      <c r="C4689" s="148" t="str">
        <f aca="false">VLOOKUP($A4689,INSUMOS_AUX!$A$3:$H$813,3,0)</f>
        <v>MAT.</v>
      </c>
      <c r="D4689" s="156" t="s">
        <v>1444</v>
      </c>
      <c r="E4689" s="154" t="n">
        <v>0.3352</v>
      </c>
      <c r="F4689" s="149" t="n">
        <f aca="false">IF(C4689="MAT.",VLOOKUP(A4689,INSUMOS_AUX!$A$3:$H$813,6,0),0)</f>
        <v>0.59</v>
      </c>
      <c r="G4689" s="149" t="n">
        <f aca="false">IF(C4689="M.O.",VLOOKUP(A4689,INSUMOS_AUX!A:F,6,0),0)</f>
        <v>0</v>
      </c>
    </row>
    <row r="4690" customFormat="false" ht="15" hidden="false" customHeight="false" outlineLevel="0" collapsed="false">
      <c r="A4690" s="154" t="n">
        <v>297</v>
      </c>
      <c r="B4690" s="155" t="s">
        <v>2130</v>
      </c>
      <c r="C4690" s="148" t="str">
        <f aca="false">VLOOKUP($A4690,INSUMOS_AUX!$A$3:$H$813,3,0)</f>
        <v>MAT.</v>
      </c>
      <c r="D4690" s="156" t="s">
        <v>31</v>
      </c>
      <c r="E4690" s="154" t="n">
        <v>3</v>
      </c>
      <c r="F4690" s="149" t="n">
        <f aca="false">IF(C4690="MAT.",VLOOKUP(A4690,INSUMOS_AUX!$A$3:$H$813,6,0),0)</f>
        <v>2.49</v>
      </c>
      <c r="G4690" s="149" t="n">
        <f aca="false">IF(C4690="M.O.",VLOOKUP(A4690,INSUMOS_AUX!A:F,6,0),0)</f>
        <v>0</v>
      </c>
    </row>
    <row r="4691" customFormat="false" ht="31.5" hidden="false" customHeight="false" outlineLevel="0" collapsed="false">
      <c r="A4691" s="154" t="n">
        <v>20078</v>
      </c>
      <c r="B4691" s="155" t="s">
        <v>2123</v>
      </c>
      <c r="C4691" s="148" t="str">
        <f aca="false">VLOOKUP($A4691,INSUMOS_AUX!$A$3:$H$813,3,0)</f>
        <v>MAT.</v>
      </c>
      <c r="D4691" s="156" t="s">
        <v>31</v>
      </c>
      <c r="E4691" s="154" t="n">
        <v>0.1125</v>
      </c>
      <c r="F4691" s="149" t="n">
        <f aca="false">IF(C4691="MAT.",VLOOKUP(A4691,INSUMOS_AUX!$A$3:$H$813,6,0),0)</f>
        <v>26.04</v>
      </c>
      <c r="G4691" s="149" t="n">
        <f aca="false">IF(C4691="M.O.",VLOOKUP(A4691,INSUMOS_AUX!A:F,6,0),0)</f>
        <v>0</v>
      </c>
    </row>
    <row r="4692" customFormat="false" ht="21" hidden="false" customHeight="false" outlineLevel="0" collapsed="false">
      <c r="A4692" s="154" t="n">
        <v>11658</v>
      </c>
      <c r="B4692" s="155" t="s">
        <v>2270</v>
      </c>
      <c r="C4692" s="148" t="str">
        <f aca="false">VLOOKUP($A4692,INSUMOS_AUX!$A$3:$H$813,3,0)</f>
        <v>MAT.</v>
      </c>
      <c r="D4692" s="156" t="s">
        <v>31</v>
      </c>
      <c r="E4692" s="154" t="n">
        <v>1</v>
      </c>
      <c r="F4692" s="149" t="n">
        <f aca="false">IF(C4692="MAT.",VLOOKUP(A4692,INSUMOS_AUX!$A$3:$H$813,6,0),0)</f>
        <v>17.65</v>
      </c>
      <c r="G4692" s="149" t="n">
        <f aca="false">IF(C4692="M.O.",VLOOKUP(A4692,INSUMOS_AUX!A:F,6,0),0)</f>
        <v>0</v>
      </c>
    </row>
    <row r="4693" customFormat="false" ht="15" hidden="false" customHeight="false" outlineLevel="0" collapsed="false">
      <c r="A4693" s="154" t="n">
        <v>246</v>
      </c>
      <c r="B4693" s="155" t="s">
        <v>1752</v>
      </c>
      <c r="C4693" s="148" t="str">
        <f aca="false">VLOOKUP($A4693,INSUMOS_AUX!$A$3:$H$813,3,0)</f>
        <v>M.O.</v>
      </c>
      <c r="D4693" s="156" t="s">
        <v>1444</v>
      </c>
      <c r="E4693" s="154" t="n">
        <v>0.170613448</v>
      </c>
      <c r="F4693" s="149" t="n">
        <f aca="false">IF(C4693="MAT.",VLOOKUP(A4693,INSUMOS_AUX!$A$3:$H$813,6,0),0)</f>
        <v>0</v>
      </c>
      <c r="G4693" s="149" t="n">
        <f aca="false">IF(C4693="M.O.",VLOOKUP(A4693,INSUMOS_AUX!A:F,6,0),0)</f>
        <v>13.26</v>
      </c>
    </row>
    <row r="4694" customFormat="false" ht="15" hidden="false" customHeight="false" outlineLevel="0" collapsed="false">
      <c r="A4694" s="154" t="n">
        <v>2696</v>
      </c>
      <c r="B4694" s="155" t="s">
        <v>1483</v>
      </c>
      <c r="C4694" s="148" t="str">
        <f aca="false">VLOOKUP($A4694,INSUMOS_AUX!$A$3:$H$813,3,0)</f>
        <v>M.O.</v>
      </c>
      <c r="D4694" s="156" t="s">
        <v>1444</v>
      </c>
      <c r="E4694" s="154" t="n">
        <v>0.170613448</v>
      </c>
      <c r="F4694" s="149" t="n">
        <f aca="false">IF(C4694="MAT.",VLOOKUP(A4694,INSUMOS_AUX!$A$3:$H$813,6,0),0)</f>
        <v>0</v>
      </c>
      <c r="G4694" s="149" t="n">
        <f aca="false">IF(C4694="M.O.",VLOOKUP(A4694,INSUMOS_AUX!A:F,6,0),0)</f>
        <v>20.22</v>
      </c>
    </row>
    <row r="4695" customFormat="false" ht="21" hidden="false" customHeight="false" outlineLevel="0" collapsed="false">
      <c r="A4695" s="150" t="n">
        <v>94499</v>
      </c>
      <c r="B4695" s="151" t="s">
        <v>2271</v>
      </c>
      <c r="C4695" s="152" t="s">
        <v>59</v>
      </c>
      <c r="D4695" s="152" t="s">
        <v>31</v>
      </c>
      <c r="E4695" s="150"/>
      <c r="F4695" s="153" t="n">
        <f aca="false">(SUMPRODUCT($E4696:$E4705,F4696:F4705))*1</f>
        <v>263.610214</v>
      </c>
      <c r="G4695" s="153" t="n">
        <f aca="false">(SUMPRODUCT($E4696:$E4705,G4696:G4705))*1</f>
        <v>15.49366374384</v>
      </c>
    </row>
    <row r="4696" customFormat="false" ht="21" hidden="false" customHeight="false" outlineLevel="0" collapsed="false">
      <c r="A4696" s="154" t="n">
        <v>37370</v>
      </c>
      <c r="B4696" s="155" t="s">
        <v>1443</v>
      </c>
      <c r="C4696" s="148" t="str">
        <f aca="false">VLOOKUP($A4696,INSUMOS_AUX!$A$3:$H$813,3,0)</f>
        <v>MAT.</v>
      </c>
      <c r="D4696" s="156" t="s">
        <v>1444</v>
      </c>
      <c r="E4696" s="154" t="n">
        <v>0.9092</v>
      </c>
      <c r="F4696" s="149" t="n">
        <f aca="false">IF(C4696="MAT.",VLOOKUP(A4696,INSUMOS_AUX!$A$3:$H$813,6,0),0)</f>
        <v>3.32</v>
      </c>
      <c r="G4696" s="149" t="n">
        <f aca="false">IF(C4696="M.O.",VLOOKUP(A4696,INSUMOS_AUX!A:F,6,0),0)</f>
        <v>0</v>
      </c>
    </row>
    <row r="4697" customFormat="false" ht="21" hidden="false" customHeight="false" outlineLevel="0" collapsed="false">
      <c r="A4697" s="154" t="n">
        <v>43485</v>
      </c>
      <c r="B4697" s="155" t="s">
        <v>1481</v>
      </c>
      <c r="C4697" s="148" t="str">
        <f aca="false">VLOOKUP($A4697,INSUMOS_AUX!$A$3:$H$813,3,0)</f>
        <v>MAT.</v>
      </c>
      <c r="D4697" s="156" t="s">
        <v>1444</v>
      </c>
      <c r="E4697" s="154" t="n">
        <v>0.9092</v>
      </c>
      <c r="F4697" s="149" t="n">
        <f aca="false">IF(C4697="MAT.",VLOOKUP(A4697,INSUMOS_AUX!$A$3:$H$813,6,0),0)</f>
        <v>1.13</v>
      </c>
      <c r="G4697" s="149" t="n">
        <f aca="false">IF(C4697="M.O.",VLOOKUP(A4697,INSUMOS_AUX!A:F,6,0),0)</f>
        <v>0</v>
      </c>
    </row>
    <row r="4698" customFormat="false" ht="21" hidden="false" customHeight="false" outlineLevel="0" collapsed="false">
      <c r="A4698" s="154" t="n">
        <v>37372</v>
      </c>
      <c r="B4698" s="155" t="s">
        <v>1446</v>
      </c>
      <c r="C4698" s="148" t="str">
        <f aca="false">VLOOKUP($A4698,INSUMOS_AUX!$A$3:$H$813,3,0)</f>
        <v>MAT.</v>
      </c>
      <c r="D4698" s="156" t="s">
        <v>1444</v>
      </c>
      <c r="E4698" s="154" t="n">
        <v>0.9092</v>
      </c>
      <c r="F4698" s="149" t="n">
        <f aca="false">IF(C4698="MAT.",VLOOKUP(A4698,INSUMOS_AUX!$A$3:$H$813,6,0),0)</f>
        <v>1.43</v>
      </c>
      <c r="G4698" s="149" t="n">
        <f aca="false">IF(C4698="M.O.",VLOOKUP(A4698,INSUMOS_AUX!A:F,6,0),0)</f>
        <v>0</v>
      </c>
    </row>
    <row r="4699" customFormat="false" ht="21" hidden="false" customHeight="false" outlineLevel="0" collapsed="false">
      <c r="A4699" s="154" t="n">
        <v>43461</v>
      </c>
      <c r="B4699" s="155" t="s">
        <v>1482</v>
      </c>
      <c r="C4699" s="148" t="str">
        <f aca="false">VLOOKUP($A4699,INSUMOS_AUX!$A$3:$H$813,3,0)</f>
        <v>MAT.</v>
      </c>
      <c r="D4699" s="156" t="s">
        <v>1444</v>
      </c>
      <c r="E4699" s="154" t="n">
        <v>0.9092</v>
      </c>
      <c r="F4699" s="149" t="n">
        <f aca="false">IF(C4699="MAT.",VLOOKUP(A4699,INSUMOS_AUX!$A$3:$H$813,6,0),0)</f>
        <v>0.31</v>
      </c>
      <c r="G4699" s="149" t="n">
        <f aca="false">IF(C4699="M.O.",VLOOKUP(A4699,INSUMOS_AUX!A:F,6,0),0)</f>
        <v>0</v>
      </c>
    </row>
    <row r="4700" customFormat="false" ht="21" hidden="false" customHeight="false" outlineLevel="0" collapsed="false">
      <c r="A4700" s="154" t="n">
        <v>37373</v>
      </c>
      <c r="B4700" s="155" t="s">
        <v>1448</v>
      </c>
      <c r="C4700" s="148" t="str">
        <f aca="false">VLOOKUP($A4700,INSUMOS_AUX!$A$3:$H$813,3,0)</f>
        <v>MAT.</v>
      </c>
      <c r="D4700" s="156" t="s">
        <v>1444</v>
      </c>
      <c r="E4700" s="154" t="n">
        <v>0.9092</v>
      </c>
      <c r="F4700" s="149" t="n">
        <f aca="false">IF(C4700="MAT.",VLOOKUP(A4700,INSUMOS_AUX!$A$3:$H$813,6,0),0)</f>
        <v>0.08</v>
      </c>
      <c r="G4700" s="149" t="n">
        <f aca="false">IF(C4700="M.O.",VLOOKUP(A4700,INSUMOS_AUX!A:F,6,0),0)</f>
        <v>0</v>
      </c>
    </row>
    <row r="4701" customFormat="false" ht="21" hidden="false" customHeight="false" outlineLevel="0" collapsed="false">
      <c r="A4701" s="154" t="n">
        <v>37371</v>
      </c>
      <c r="B4701" s="155" t="s">
        <v>1449</v>
      </c>
      <c r="C4701" s="148" t="str">
        <f aca="false">VLOOKUP($A4701,INSUMOS_AUX!$A$3:$H$813,3,0)</f>
        <v>MAT.</v>
      </c>
      <c r="D4701" s="156" t="s">
        <v>1444</v>
      </c>
      <c r="E4701" s="154" t="n">
        <v>0.9092</v>
      </c>
      <c r="F4701" s="149" t="n">
        <f aca="false">IF(C4701="MAT.",VLOOKUP(A4701,INSUMOS_AUX!$A$3:$H$813,6,0),0)</f>
        <v>0.59</v>
      </c>
      <c r="G4701" s="149" t="n">
        <f aca="false">IF(C4701="M.O.",VLOOKUP(A4701,INSUMOS_AUX!A:F,6,0),0)</f>
        <v>0</v>
      </c>
    </row>
    <row r="4702" customFormat="false" ht="15" hidden="false" customHeight="false" outlineLevel="0" collapsed="false">
      <c r="A4702" s="154" t="n">
        <v>3148</v>
      </c>
      <c r="B4702" s="155" t="s">
        <v>2085</v>
      </c>
      <c r="C4702" s="148" t="str">
        <f aca="false">VLOOKUP($A4702,INSUMOS_AUX!$A$3:$H$813,3,0)</f>
        <v>MAT.</v>
      </c>
      <c r="D4702" s="156" t="s">
        <v>31</v>
      </c>
      <c r="E4702" s="154" t="n">
        <v>0.0302</v>
      </c>
      <c r="F4702" s="149" t="n">
        <f aca="false">IF(C4702="MAT.",VLOOKUP(A4702,INSUMOS_AUX!$A$3:$H$813,6,0),0)</f>
        <v>14.01</v>
      </c>
      <c r="G4702" s="149" t="n">
        <f aca="false">IF(C4702="M.O.",VLOOKUP(A4702,INSUMOS_AUX!A:F,6,0),0)</f>
        <v>0</v>
      </c>
    </row>
    <row r="4703" customFormat="false" ht="15" hidden="false" customHeight="false" outlineLevel="0" collapsed="false">
      <c r="A4703" s="154" t="n">
        <v>6011</v>
      </c>
      <c r="B4703" s="155" t="s">
        <v>2272</v>
      </c>
      <c r="C4703" s="148" t="str">
        <f aca="false">VLOOKUP($A4703,INSUMOS_AUX!$A$3:$H$813,3,0)</f>
        <v>MAT.</v>
      </c>
      <c r="D4703" s="156" t="s">
        <v>31</v>
      </c>
      <c r="E4703" s="154" t="n">
        <v>1</v>
      </c>
      <c r="F4703" s="149" t="n">
        <f aca="false">IF(C4703="MAT.",VLOOKUP(A4703,INSUMOS_AUX!$A$3:$H$813,6,0),0)</f>
        <v>256.95</v>
      </c>
      <c r="G4703" s="149" t="n">
        <f aca="false">IF(C4703="M.O.",VLOOKUP(A4703,INSUMOS_AUX!A:F,6,0),0)</f>
        <v>0</v>
      </c>
    </row>
    <row r="4704" customFormat="false" ht="15" hidden="false" customHeight="false" outlineLevel="0" collapsed="false">
      <c r="A4704" s="154" t="n">
        <v>246</v>
      </c>
      <c r="B4704" s="155" t="s">
        <v>1752</v>
      </c>
      <c r="C4704" s="148" t="str">
        <f aca="false">VLOOKUP($A4704,INSUMOS_AUX!$A$3:$H$813,3,0)</f>
        <v>M.O.</v>
      </c>
      <c r="D4704" s="156" t="s">
        <v>1444</v>
      </c>
      <c r="E4704" s="154" t="n">
        <v>0.462773708</v>
      </c>
      <c r="F4704" s="149" t="n">
        <f aca="false">IF(C4704="MAT.",VLOOKUP(A4704,INSUMOS_AUX!$A$3:$H$813,6,0),0)</f>
        <v>0</v>
      </c>
      <c r="G4704" s="149" t="n">
        <f aca="false">IF(C4704="M.O.",VLOOKUP(A4704,INSUMOS_AUX!A:F,6,0),0)</f>
        <v>13.26</v>
      </c>
    </row>
    <row r="4705" customFormat="false" ht="15" hidden="false" customHeight="false" outlineLevel="0" collapsed="false">
      <c r="A4705" s="154" t="n">
        <v>2696</v>
      </c>
      <c r="B4705" s="155" t="s">
        <v>1483</v>
      </c>
      <c r="C4705" s="148" t="str">
        <f aca="false">VLOOKUP($A4705,INSUMOS_AUX!$A$3:$H$813,3,0)</f>
        <v>M.O.</v>
      </c>
      <c r="D4705" s="156" t="s">
        <v>1444</v>
      </c>
      <c r="E4705" s="154" t="n">
        <v>0.462773708</v>
      </c>
      <c r="F4705" s="149" t="n">
        <f aca="false">IF(C4705="MAT.",VLOOKUP(A4705,INSUMOS_AUX!$A$3:$H$813,6,0),0)</f>
        <v>0</v>
      </c>
      <c r="G4705" s="149" t="n">
        <f aca="false">IF(C4705="M.O.",VLOOKUP(A4705,INSUMOS_AUX!A:F,6,0),0)</f>
        <v>20.22</v>
      </c>
    </row>
    <row r="4706" customFormat="false" ht="31.5" hidden="false" customHeight="false" outlineLevel="0" collapsed="false">
      <c r="A4706" s="150" t="n">
        <v>94794</v>
      </c>
      <c r="B4706" s="151" t="s">
        <v>2273</v>
      </c>
      <c r="C4706" s="152" t="s">
        <v>59</v>
      </c>
      <c r="D4706" s="152" t="s">
        <v>31</v>
      </c>
      <c r="E4706" s="150"/>
      <c r="F4706" s="153" t="n">
        <f aca="false">(SUMPRODUCT($E4707:$E4716,F4707:F4716))*1</f>
        <v>145.149036</v>
      </c>
      <c r="G4706" s="153" t="n">
        <f aca="false">(SUMPRODUCT($E4707:$E4716,G4707:G4716))*1</f>
        <v>12.75688152072</v>
      </c>
    </row>
    <row r="4707" customFormat="false" ht="21" hidden="false" customHeight="false" outlineLevel="0" collapsed="false">
      <c r="A4707" s="154" t="n">
        <v>37370</v>
      </c>
      <c r="B4707" s="155" t="s">
        <v>1443</v>
      </c>
      <c r="C4707" s="148" t="s">
        <v>59</v>
      </c>
      <c r="D4707" s="156" t="s">
        <v>1444</v>
      </c>
      <c r="E4707" s="154" t="n">
        <v>0.7486</v>
      </c>
      <c r="F4707" s="149" t="n">
        <f aca="false">IF(C4707="MAT.",VLOOKUP(A4707,INSUMOS_AUX!$A$3:$H$813,6,0),0)</f>
        <v>0</v>
      </c>
      <c r="G4707" s="149" t="n">
        <f aca="false">IF(C4707="M.O.",VLOOKUP(A4707,INSUMOS_AUX!A:F,6,0),0)</f>
        <v>0</v>
      </c>
    </row>
    <row r="4708" customFormat="false" ht="21" hidden="false" customHeight="false" outlineLevel="0" collapsed="false">
      <c r="A4708" s="154" t="n">
        <v>43485</v>
      </c>
      <c r="B4708" s="155" t="s">
        <v>1481</v>
      </c>
      <c r="C4708" s="148" t="str">
        <f aca="false">VLOOKUP($A4708,INSUMOS_AUX!$A$3:$H$813,3,0)</f>
        <v>MAT.</v>
      </c>
      <c r="D4708" s="156" t="s">
        <v>1444</v>
      </c>
      <c r="E4708" s="154" t="n">
        <v>0.7486</v>
      </c>
      <c r="F4708" s="149" t="n">
        <f aca="false">IF(C4708="MAT.",VLOOKUP(A4708,INSUMOS_AUX!$A$3:$H$813,6,0),0)</f>
        <v>1.13</v>
      </c>
      <c r="G4708" s="149" t="n">
        <f aca="false">IF(C4708="M.O.",VLOOKUP(A4708,INSUMOS_AUX!A:F,6,0),0)</f>
        <v>0</v>
      </c>
    </row>
    <row r="4709" customFormat="false" ht="21" hidden="false" customHeight="false" outlineLevel="0" collapsed="false">
      <c r="A4709" s="154" t="n">
        <v>37372</v>
      </c>
      <c r="B4709" s="155" t="s">
        <v>1446</v>
      </c>
      <c r="C4709" s="148" t="str">
        <f aca="false">VLOOKUP($A4709,INSUMOS_AUX!$A$3:$H$813,3,0)</f>
        <v>MAT.</v>
      </c>
      <c r="D4709" s="156" t="s">
        <v>1444</v>
      </c>
      <c r="E4709" s="154" t="n">
        <v>0.7486</v>
      </c>
      <c r="F4709" s="149" t="n">
        <f aca="false">IF(C4709="MAT.",VLOOKUP(A4709,INSUMOS_AUX!$A$3:$H$813,6,0),0)</f>
        <v>1.43</v>
      </c>
      <c r="G4709" s="149" t="n">
        <f aca="false">IF(C4709="M.O.",VLOOKUP(A4709,INSUMOS_AUX!A:F,6,0),0)</f>
        <v>0</v>
      </c>
    </row>
    <row r="4710" customFormat="false" ht="21" hidden="false" customHeight="false" outlineLevel="0" collapsed="false">
      <c r="A4710" s="154" t="n">
        <v>43461</v>
      </c>
      <c r="B4710" s="155" t="s">
        <v>1482</v>
      </c>
      <c r="C4710" s="148" t="str">
        <f aca="false">VLOOKUP($A4710,INSUMOS_AUX!$A$3:$H$813,3,0)</f>
        <v>MAT.</v>
      </c>
      <c r="D4710" s="156" t="s">
        <v>1444</v>
      </c>
      <c r="E4710" s="154" t="n">
        <v>0.7486</v>
      </c>
      <c r="F4710" s="149" t="n">
        <f aca="false">IF(C4710="MAT.",VLOOKUP(A4710,INSUMOS_AUX!$A$3:$H$813,6,0),0)</f>
        <v>0.31</v>
      </c>
      <c r="G4710" s="149" t="n">
        <f aca="false">IF(C4710="M.O.",VLOOKUP(A4710,INSUMOS_AUX!A:F,6,0),0)</f>
        <v>0</v>
      </c>
    </row>
    <row r="4711" customFormat="false" ht="21" hidden="false" customHeight="false" outlineLevel="0" collapsed="false">
      <c r="A4711" s="154" t="n">
        <v>37373</v>
      </c>
      <c r="B4711" s="155" t="s">
        <v>1448</v>
      </c>
      <c r="C4711" s="148" t="str">
        <f aca="false">VLOOKUP($A4711,INSUMOS_AUX!$A$3:$H$813,3,0)</f>
        <v>MAT.</v>
      </c>
      <c r="D4711" s="156" t="s">
        <v>1444</v>
      </c>
      <c r="E4711" s="154" t="n">
        <v>0.7486</v>
      </c>
      <c r="F4711" s="149" t="n">
        <f aca="false">IF(C4711="MAT.",VLOOKUP(A4711,INSUMOS_AUX!$A$3:$H$813,6,0),0)</f>
        <v>0.08</v>
      </c>
      <c r="G4711" s="149" t="n">
        <f aca="false">IF(C4711="M.O.",VLOOKUP(A4711,INSUMOS_AUX!A:F,6,0),0)</f>
        <v>0</v>
      </c>
    </row>
    <row r="4712" customFormat="false" ht="21" hidden="false" customHeight="false" outlineLevel="0" collapsed="false">
      <c r="A4712" s="154" t="n">
        <v>37371</v>
      </c>
      <c r="B4712" s="155" t="s">
        <v>1449</v>
      </c>
      <c r="C4712" s="148" t="str">
        <f aca="false">VLOOKUP($A4712,INSUMOS_AUX!$A$3:$H$813,3,0)</f>
        <v>MAT.</v>
      </c>
      <c r="D4712" s="156" t="s">
        <v>1444</v>
      </c>
      <c r="E4712" s="154" t="n">
        <v>0.7486</v>
      </c>
      <c r="F4712" s="149" t="n">
        <f aca="false">IF(C4712="MAT.",VLOOKUP(A4712,INSUMOS_AUX!$A$3:$H$813,6,0),0)</f>
        <v>0.59</v>
      </c>
      <c r="G4712" s="149" t="n">
        <f aca="false">IF(C4712="M.O.",VLOOKUP(A4712,INSUMOS_AUX!A:F,6,0),0)</f>
        <v>0</v>
      </c>
    </row>
    <row r="4713" customFormat="false" ht="15" hidden="false" customHeight="false" outlineLevel="0" collapsed="false">
      <c r="A4713" s="154" t="n">
        <v>3148</v>
      </c>
      <c r="B4713" s="155" t="s">
        <v>2085</v>
      </c>
      <c r="C4713" s="148" t="str">
        <f aca="false">VLOOKUP($A4713,INSUMOS_AUX!$A$3:$H$813,3,0)</f>
        <v>MAT.</v>
      </c>
      <c r="D4713" s="156" t="s">
        <v>31</v>
      </c>
      <c r="E4713" s="154" t="n">
        <v>0.0192</v>
      </c>
      <c r="F4713" s="149" t="n">
        <f aca="false">IF(C4713="MAT.",VLOOKUP(A4713,INSUMOS_AUX!$A$3:$H$813,6,0),0)</f>
        <v>14.01</v>
      </c>
      <c r="G4713" s="149" t="n">
        <f aca="false">IF(C4713="M.O.",VLOOKUP(A4713,INSUMOS_AUX!A:F,6,0),0)</f>
        <v>0</v>
      </c>
    </row>
    <row r="4714" customFormat="false" ht="21" hidden="false" customHeight="false" outlineLevel="0" collapsed="false">
      <c r="A4714" s="154" t="n">
        <v>6015</v>
      </c>
      <c r="B4714" s="155" t="s">
        <v>2274</v>
      </c>
      <c r="C4714" s="148" t="str">
        <f aca="false">VLOOKUP($A4714,INSUMOS_AUX!$A$3:$H$813,3,0)</f>
        <v>MAT.</v>
      </c>
      <c r="D4714" s="156" t="s">
        <v>31</v>
      </c>
      <c r="E4714" s="154" t="n">
        <v>1</v>
      </c>
      <c r="F4714" s="149" t="n">
        <f aca="false">IF(C4714="MAT.",VLOOKUP(A4714,INSUMOS_AUX!$A$3:$H$813,6,0),0)</f>
        <v>142.23</v>
      </c>
      <c r="G4714" s="149" t="n">
        <f aca="false">IF(C4714="M.O.",VLOOKUP(A4714,INSUMOS_AUX!A:F,6,0),0)</f>
        <v>0</v>
      </c>
    </row>
    <row r="4715" customFormat="false" ht="15" hidden="false" customHeight="false" outlineLevel="0" collapsed="false">
      <c r="A4715" s="154" t="n">
        <v>246</v>
      </c>
      <c r="B4715" s="155" t="s">
        <v>1752</v>
      </c>
      <c r="C4715" s="148" t="str">
        <f aca="false">VLOOKUP($A4715,INSUMOS_AUX!$A$3:$H$813,3,0)</f>
        <v>M.O.</v>
      </c>
      <c r="D4715" s="156" t="s">
        <v>1444</v>
      </c>
      <c r="E4715" s="154" t="n">
        <v>0.381029914</v>
      </c>
      <c r="F4715" s="149" t="n">
        <f aca="false">IF(C4715="MAT.",VLOOKUP(A4715,INSUMOS_AUX!$A$3:$H$813,6,0),0)</f>
        <v>0</v>
      </c>
      <c r="G4715" s="149" t="n">
        <f aca="false">IF(C4715="M.O.",VLOOKUP(A4715,INSUMOS_AUX!A:F,6,0),0)</f>
        <v>13.26</v>
      </c>
    </row>
    <row r="4716" customFormat="false" ht="15" hidden="false" customHeight="false" outlineLevel="0" collapsed="false">
      <c r="A4716" s="154" t="n">
        <v>2696</v>
      </c>
      <c r="B4716" s="155" t="s">
        <v>1483</v>
      </c>
      <c r="C4716" s="148" t="str">
        <f aca="false">VLOOKUP($A4716,INSUMOS_AUX!$A$3:$H$813,3,0)</f>
        <v>M.O.</v>
      </c>
      <c r="D4716" s="156" t="s">
        <v>1444</v>
      </c>
      <c r="E4716" s="154" t="n">
        <v>0.381029914</v>
      </c>
      <c r="F4716" s="149" t="n">
        <f aca="false">IF(C4716="MAT.",VLOOKUP(A4716,INSUMOS_AUX!$A$3:$H$813,6,0),0)</f>
        <v>0</v>
      </c>
      <c r="G4716" s="149" t="n">
        <f aca="false">IF(C4716="M.O.",VLOOKUP(A4716,INSUMOS_AUX!A:F,6,0),0)</f>
        <v>20.22</v>
      </c>
    </row>
    <row r="4717" customFormat="false" ht="21" hidden="false" customHeight="false" outlineLevel="0" collapsed="false">
      <c r="A4717" s="150" t="n">
        <v>94490</v>
      </c>
      <c r="B4717" s="151" t="s">
        <v>2275</v>
      </c>
      <c r="C4717" s="152" t="s">
        <v>59</v>
      </c>
      <c r="D4717" s="152" t="s">
        <v>31</v>
      </c>
      <c r="E4717" s="150"/>
      <c r="F4717" s="153" t="n">
        <f aca="false">(SUMPRODUCT($E4718:$E4729,F4718:F4729))*1</f>
        <v>26.85515</v>
      </c>
      <c r="G4717" s="153" t="n">
        <f aca="false">(SUMPRODUCT($E4718:$E4729,G4718:G4729))*1</f>
        <v>2.7095166468</v>
      </c>
    </row>
    <row r="4718" customFormat="false" ht="21" hidden="false" customHeight="false" outlineLevel="0" collapsed="false">
      <c r="A4718" s="154" t="n">
        <v>37370</v>
      </c>
      <c r="B4718" s="155" t="s">
        <v>1443</v>
      </c>
      <c r="C4718" s="148" t="str">
        <f aca="false">VLOOKUP($A4718,INSUMOS_AUX!$A$3:$H$813,3,0)</f>
        <v>MAT.</v>
      </c>
      <c r="D4718" s="156" t="s">
        <v>1444</v>
      </c>
      <c r="E4718" s="154" t="n">
        <v>0.159</v>
      </c>
      <c r="F4718" s="149" t="n">
        <f aca="false">IF(C4718="MAT.",VLOOKUP(A4718,INSUMOS_AUX!$A$3:$H$813,6,0),0)</f>
        <v>3.32</v>
      </c>
      <c r="G4718" s="149" t="n">
        <f aca="false">IF(C4718="M.O.",VLOOKUP(A4718,INSUMOS_AUX!A:F,6,0),0)</f>
        <v>0</v>
      </c>
    </row>
    <row r="4719" customFormat="false" ht="21" hidden="false" customHeight="false" outlineLevel="0" collapsed="false">
      <c r="A4719" s="154" t="n">
        <v>43485</v>
      </c>
      <c r="B4719" s="155" t="s">
        <v>1481</v>
      </c>
      <c r="C4719" s="148" t="str">
        <f aca="false">VLOOKUP($A4719,INSUMOS_AUX!$A$3:$H$813,3,0)</f>
        <v>MAT.</v>
      </c>
      <c r="D4719" s="156" t="s">
        <v>1444</v>
      </c>
      <c r="E4719" s="154" t="n">
        <v>0.159</v>
      </c>
      <c r="F4719" s="149" t="n">
        <f aca="false">IF(C4719="MAT.",VLOOKUP(A4719,INSUMOS_AUX!$A$3:$H$813,6,0),0)</f>
        <v>1.13</v>
      </c>
      <c r="G4719" s="149" t="n">
        <f aca="false">IF(C4719="M.O.",VLOOKUP(A4719,INSUMOS_AUX!A:F,6,0),0)</f>
        <v>0</v>
      </c>
    </row>
    <row r="4720" customFormat="false" ht="21" hidden="false" customHeight="false" outlineLevel="0" collapsed="false">
      <c r="A4720" s="154" t="n">
        <v>37372</v>
      </c>
      <c r="B4720" s="155" t="s">
        <v>1446</v>
      </c>
      <c r="C4720" s="148" t="s">
        <v>59</v>
      </c>
      <c r="D4720" s="156" t="s">
        <v>1444</v>
      </c>
      <c r="E4720" s="154" t="n">
        <v>0.159</v>
      </c>
      <c r="F4720" s="149" t="n">
        <f aca="false">IF(C4720="MAT.",VLOOKUP(A4720,INSUMOS_AUX!$A$3:$H$813,6,0),0)</f>
        <v>0</v>
      </c>
      <c r="G4720" s="149" t="n">
        <f aca="false">IF(C4720="M.O.",VLOOKUP(A4720,INSUMOS_AUX!A:F,6,0),0)</f>
        <v>0</v>
      </c>
    </row>
    <row r="4721" customFormat="false" ht="21" hidden="false" customHeight="false" outlineLevel="0" collapsed="false">
      <c r="A4721" s="154" t="n">
        <v>43461</v>
      </c>
      <c r="B4721" s="155" t="s">
        <v>1482</v>
      </c>
      <c r="C4721" s="148" t="str">
        <f aca="false">VLOOKUP($A4721,INSUMOS_AUX!$A$3:$H$813,3,0)</f>
        <v>MAT.</v>
      </c>
      <c r="D4721" s="156" t="s">
        <v>1444</v>
      </c>
      <c r="E4721" s="154" t="n">
        <v>0.159</v>
      </c>
      <c r="F4721" s="149" t="n">
        <f aca="false">IF(C4721="MAT.",VLOOKUP(A4721,INSUMOS_AUX!$A$3:$H$813,6,0),0)</f>
        <v>0.31</v>
      </c>
      <c r="G4721" s="149" t="n">
        <f aca="false">IF(C4721="M.O.",VLOOKUP(A4721,INSUMOS_AUX!A:F,6,0),0)</f>
        <v>0</v>
      </c>
    </row>
    <row r="4722" customFormat="false" ht="21" hidden="false" customHeight="false" outlineLevel="0" collapsed="false">
      <c r="A4722" s="154" t="n">
        <v>37373</v>
      </c>
      <c r="B4722" s="155" t="s">
        <v>1448</v>
      </c>
      <c r="C4722" s="148" t="str">
        <f aca="false">VLOOKUP($A4722,INSUMOS_AUX!$A$3:$H$813,3,0)</f>
        <v>MAT.</v>
      </c>
      <c r="D4722" s="156" t="s">
        <v>1444</v>
      </c>
      <c r="E4722" s="154" t="n">
        <v>0.159</v>
      </c>
      <c r="F4722" s="149" t="n">
        <f aca="false">IF(C4722="MAT.",VLOOKUP(A4722,INSUMOS_AUX!$A$3:$H$813,6,0),0)</f>
        <v>0.08</v>
      </c>
      <c r="G4722" s="149" t="n">
        <f aca="false">IF(C4722="M.O.",VLOOKUP(A4722,INSUMOS_AUX!A:F,6,0),0)</f>
        <v>0</v>
      </c>
    </row>
    <row r="4723" customFormat="false" ht="21" hidden="false" customHeight="false" outlineLevel="0" collapsed="false">
      <c r="A4723" s="154" t="n">
        <v>37371</v>
      </c>
      <c r="B4723" s="155" t="s">
        <v>1449</v>
      </c>
      <c r="C4723" s="148" t="str">
        <f aca="false">VLOOKUP($A4723,INSUMOS_AUX!$A$3:$H$813,3,0)</f>
        <v>MAT.</v>
      </c>
      <c r="D4723" s="156" t="s">
        <v>1444</v>
      </c>
      <c r="E4723" s="154" t="n">
        <v>0.159</v>
      </c>
      <c r="F4723" s="149" t="n">
        <f aca="false">IF(C4723="MAT.",VLOOKUP(A4723,INSUMOS_AUX!$A$3:$H$813,6,0),0)</f>
        <v>0.59</v>
      </c>
      <c r="G4723" s="149" t="n">
        <f aca="false">IF(C4723="M.O.",VLOOKUP(A4723,INSUMOS_AUX!A:F,6,0),0)</f>
        <v>0</v>
      </c>
    </row>
    <row r="4724" customFormat="false" ht="15" hidden="false" customHeight="false" outlineLevel="0" collapsed="false">
      <c r="A4724" s="154" t="n">
        <v>20080</v>
      </c>
      <c r="B4724" s="155" t="s">
        <v>2092</v>
      </c>
      <c r="C4724" s="148" t="str">
        <f aca="false">VLOOKUP($A4724,INSUMOS_AUX!$A$3:$H$813,3,0)</f>
        <v>MAT.</v>
      </c>
      <c r="D4724" s="156" t="s">
        <v>31</v>
      </c>
      <c r="E4724" s="154" t="n">
        <v>0.04</v>
      </c>
      <c r="F4724" s="149" t="n">
        <f aca="false">IF(C4724="MAT.",VLOOKUP(A4724,INSUMOS_AUX!$A$3:$H$813,6,0),0)</f>
        <v>20.59</v>
      </c>
      <c r="G4724" s="149" t="n">
        <f aca="false">IF(C4724="M.O.",VLOOKUP(A4724,INSUMOS_AUX!A:F,6,0),0)</f>
        <v>0</v>
      </c>
    </row>
    <row r="4725" customFormat="false" ht="15" hidden="false" customHeight="false" outlineLevel="0" collapsed="false">
      <c r="A4725" s="154" t="n">
        <v>38383</v>
      </c>
      <c r="B4725" s="155" t="s">
        <v>2093</v>
      </c>
      <c r="C4725" s="148" t="str">
        <f aca="false">VLOOKUP($A4725,INSUMOS_AUX!$A$3:$H$813,3,0)</f>
        <v>MAT.</v>
      </c>
      <c r="D4725" s="156" t="s">
        <v>31</v>
      </c>
      <c r="E4725" s="154" t="n">
        <v>0.008</v>
      </c>
      <c r="F4725" s="149" t="n">
        <f aca="false">IF(C4725="MAT.",VLOOKUP(A4725,INSUMOS_AUX!$A$3:$H$813,6,0),0)</f>
        <v>2.39</v>
      </c>
      <c r="G4725" s="149" t="n">
        <f aca="false">IF(C4725="M.O.",VLOOKUP(A4725,INSUMOS_AUX!A:F,6,0),0)</f>
        <v>0</v>
      </c>
    </row>
    <row r="4726" customFormat="false" ht="21" hidden="false" customHeight="false" outlineLevel="0" collapsed="false">
      <c r="A4726" s="154" t="n">
        <v>11675</v>
      </c>
      <c r="B4726" s="155" t="s">
        <v>2276</v>
      </c>
      <c r="C4726" s="148" t="str">
        <f aca="false">VLOOKUP($A4726,INSUMOS_AUX!$A$3:$H$813,3,0)</f>
        <v>MAT.</v>
      </c>
      <c r="D4726" s="156" t="s">
        <v>31</v>
      </c>
      <c r="E4726" s="154" t="n">
        <v>1</v>
      </c>
      <c r="F4726" s="149" t="n">
        <f aca="false">IF(C4726="MAT.",VLOOKUP(A4726,INSUMOS_AUX!$A$3:$H$813,6,0),0)</f>
        <v>24.47</v>
      </c>
      <c r="G4726" s="149" t="n">
        <f aca="false">IF(C4726="M.O.",VLOOKUP(A4726,INSUMOS_AUX!A:F,6,0),0)</f>
        <v>0</v>
      </c>
    </row>
    <row r="4727" customFormat="false" ht="21" hidden="false" customHeight="false" outlineLevel="0" collapsed="false">
      <c r="A4727" s="154" t="n">
        <v>20083</v>
      </c>
      <c r="B4727" s="155" t="s">
        <v>2095</v>
      </c>
      <c r="C4727" s="148" t="str">
        <f aca="false">VLOOKUP($A4727,INSUMOS_AUX!$A$3:$H$813,3,0)</f>
        <v>MAT.</v>
      </c>
      <c r="D4727" s="156" t="s">
        <v>31</v>
      </c>
      <c r="E4727" s="154" t="n">
        <v>0.0095</v>
      </c>
      <c r="F4727" s="149" t="n">
        <f aca="false">IF(C4727="MAT.",VLOOKUP(A4727,INSUMOS_AUX!$A$3:$H$813,6,0),0)</f>
        <v>71.48</v>
      </c>
      <c r="G4727" s="149" t="n">
        <f aca="false">IF(C4727="M.O.",VLOOKUP(A4727,INSUMOS_AUX!A:F,6,0),0)</f>
        <v>0</v>
      </c>
    </row>
    <row r="4728" customFormat="false" ht="15" hidden="false" customHeight="false" outlineLevel="0" collapsed="false">
      <c r="A4728" s="154" t="n">
        <v>246</v>
      </c>
      <c r="B4728" s="155" t="s">
        <v>1752</v>
      </c>
      <c r="C4728" s="148" t="str">
        <f aca="false">VLOOKUP($A4728,INSUMOS_AUX!$A$3:$H$813,3,0)</f>
        <v>M.O.</v>
      </c>
      <c r="D4728" s="156" t="s">
        <v>1444</v>
      </c>
      <c r="E4728" s="154" t="n">
        <v>0.08092941</v>
      </c>
      <c r="F4728" s="149" t="n">
        <f aca="false">IF(C4728="MAT.",VLOOKUP(A4728,INSUMOS_AUX!$A$3:$H$813,6,0),0)</f>
        <v>0</v>
      </c>
      <c r="G4728" s="149" t="n">
        <f aca="false">IF(C4728="M.O.",VLOOKUP(A4728,INSUMOS_AUX!A:F,6,0),0)</f>
        <v>13.26</v>
      </c>
    </row>
    <row r="4729" customFormat="false" ht="15" hidden="false" customHeight="false" outlineLevel="0" collapsed="false">
      <c r="A4729" s="154" t="n">
        <v>2696</v>
      </c>
      <c r="B4729" s="155" t="s">
        <v>1483</v>
      </c>
      <c r="C4729" s="148" t="str">
        <f aca="false">VLOOKUP($A4729,INSUMOS_AUX!$A$3:$H$813,3,0)</f>
        <v>M.O.</v>
      </c>
      <c r="D4729" s="156" t="s">
        <v>1444</v>
      </c>
      <c r="E4729" s="154" t="n">
        <v>0.08092941</v>
      </c>
      <c r="F4729" s="149" t="n">
        <f aca="false">IF(C4729="MAT.",VLOOKUP(A4729,INSUMOS_AUX!$A$3:$H$813,6,0),0)</f>
        <v>0</v>
      </c>
      <c r="G4729" s="149" t="n">
        <f aca="false">IF(C4729="M.O.",VLOOKUP(A4729,INSUMOS_AUX!A:F,6,0),0)</f>
        <v>20.22</v>
      </c>
    </row>
    <row r="4730" customFormat="false" ht="21" hidden="false" customHeight="false" outlineLevel="0" collapsed="false">
      <c r="A4730" s="150" t="n">
        <v>94492</v>
      </c>
      <c r="B4730" s="151" t="s">
        <v>2277</v>
      </c>
      <c r="C4730" s="152" t="s">
        <v>59</v>
      </c>
      <c r="D4730" s="152" t="s">
        <v>31</v>
      </c>
      <c r="E4730" s="150"/>
      <c r="F4730" s="153" t="n">
        <f aca="false">(SUMPRODUCT($E4731:$E4742,F4731:F4742))*1</f>
        <v>38.12036</v>
      </c>
      <c r="G4730" s="153" t="n">
        <f aca="false">(SUMPRODUCT($E4731:$E4742,G4731:G4742))*1</f>
        <v>3.86148724632</v>
      </c>
    </row>
    <row r="4731" customFormat="false" ht="21" hidden="false" customHeight="false" outlineLevel="0" collapsed="false">
      <c r="A4731" s="154" t="n">
        <v>37370</v>
      </c>
      <c r="B4731" s="155" t="s">
        <v>1443</v>
      </c>
      <c r="C4731" s="148" t="str">
        <f aca="false">VLOOKUP($A4731,INSUMOS_AUX!$A$3:$H$813,3,0)</f>
        <v>MAT.</v>
      </c>
      <c r="D4731" s="156" t="s">
        <v>1444</v>
      </c>
      <c r="E4731" s="154" t="n">
        <v>0.2266</v>
      </c>
      <c r="F4731" s="149" t="n">
        <f aca="false">IF(C4731="MAT.",VLOOKUP(A4731,INSUMOS_AUX!$A$3:$H$813,6,0),0)</f>
        <v>3.32</v>
      </c>
      <c r="G4731" s="149" t="n">
        <f aca="false">IF(C4731="M.O.",VLOOKUP(A4731,INSUMOS_AUX!A:F,6,0),0)</f>
        <v>0</v>
      </c>
    </row>
    <row r="4732" customFormat="false" ht="21" hidden="false" customHeight="false" outlineLevel="0" collapsed="false">
      <c r="A4732" s="154" t="n">
        <v>43485</v>
      </c>
      <c r="B4732" s="155" t="s">
        <v>1481</v>
      </c>
      <c r="C4732" s="148" t="str">
        <f aca="false">VLOOKUP($A4732,INSUMOS_AUX!$A$3:$H$813,3,0)</f>
        <v>MAT.</v>
      </c>
      <c r="D4732" s="156" t="s">
        <v>1444</v>
      </c>
      <c r="E4732" s="154" t="n">
        <v>0.2266</v>
      </c>
      <c r="F4732" s="149" t="n">
        <f aca="false">IF(C4732="MAT.",VLOOKUP(A4732,INSUMOS_AUX!$A$3:$H$813,6,0),0)</f>
        <v>1.13</v>
      </c>
      <c r="G4732" s="149" t="n">
        <f aca="false">IF(C4732="M.O.",VLOOKUP(A4732,INSUMOS_AUX!A:F,6,0),0)</f>
        <v>0</v>
      </c>
    </row>
    <row r="4733" customFormat="false" ht="21" hidden="false" customHeight="false" outlineLevel="0" collapsed="false">
      <c r="A4733" s="154" t="n">
        <v>37372</v>
      </c>
      <c r="B4733" s="155" t="s">
        <v>1446</v>
      </c>
      <c r="C4733" s="148" t="str">
        <f aca="false">VLOOKUP($A4733,INSUMOS_AUX!$A$3:$H$813,3,0)</f>
        <v>MAT.</v>
      </c>
      <c r="D4733" s="156" t="s">
        <v>1444</v>
      </c>
      <c r="E4733" s="154" t="n">
        <v>0.2266</v>
      </c>
      <c r="F4733" s="149" t="n">
        <f aca="false">IF(C4733="MAT.",VLOOKUP(A4733,INSUMOS_AUX!$A$3:$H$813,6,0),0)</f>
        <v>1.43</v>
      </c>
      <c r="G4733" s="149" t="n">
        <f aca="false">IF(C4733="M.O.",VLOOKUP(A4733,INSUMOS_AUX!A:F,6,0),0)</f>
        <v>0</v>
      </c>
    </row>
    <row r="4734" customFormat="false" ht="21" hidden="false" customHeight="false" outlineLevel="0" collapsed="false">
      <c r="A4734" s="154" t="n">
        <v>43461</v>
      </c>
      <c r="B4734" s="155" t="s">
        <v>1482</v>
      </c>
      <c r="C4734" s="148" t="str">
        <f aca="false">VLOOKUP($A4734,INSUMOS_AUX!$A$3:$H$813,3,0)</f>
        <v>MAT.</v>
      </c>
      <c r="D4734" s="156" t="s">
        <v>1444</v>
      </c>
      <c r="E4734" s="154" t="n">
        <v>0.2266</v>
      </c>
      <c r="F4734" s="149" t="n">
        <f aca="false">IF(C4734="MAT.",VLOOKUP(A4734,INSUMOS_AUX!$A$3:$H$813,6,0),0)</f>
        <v>0.31</v>
      </c>
      <c r="G4734" s="149" t="n">
        <f aca="false">IF(C4734="M.O.",VLOOKUP(A4734,INSUMOS_AUX!A:F,6,0),0)</f>
        <v>0</v>
      </c>
    </row>
    <row r="4735" customFormat="false" ht="21" hidden="false" customHeight="false" outlineLevel="0" collapsed="false">
      <c r="A4735" s="154" t="n">
        <v>37373</v>
      </c>
      <c r="B4735" s="155" t="s">
        <v>1448</v>
      </c>
      <c r="C4735" s="148" t="s">
        <v>59</v>
      </c>
      <c r="D4735" s="156" t="s">
        <v>1444</v>
      </c>
      <c r="E4735" s="154" t="n">
        <v>0.2266</v>
      </c>
      <c r="F4735" s="149" t="n">
        <f aca="false">IF(C4735="MAT.",VLOOKUP(A4735,INSUMOS_AUX!$A$3:$H$813,6,0),0)</f>
        <v>0</v>
      </c>
      <c r="G4735" s="149" t="n">
        <f aca="false">IF(C4735="M.O.",VLOOKUP(A4735,INSUMOS_AUX!A:F,6,0),0)</f>
        <v>0</v>
      </c>
    </row>
    <row r="4736" customFormat="false" ht="21" hidden="false" customHeight="false" outlineLevel="0" collapsed="false">
      <c r="A4736" s="154" t="n">
        <v>37371</v>
      </c>
      <c r="B4736" s="155" t="s">
        <v>1449</v>
      </c>
      <c r="C4736" s="148" t="str">
        <f aca="false">VLOOKUP($A4736,INSUMOS_AUX!$A$3:$H$813,3,0)</f>
        <v>MAT.</v>
      </c>
      <c r="D4736" s="156" t="s">
        <v>1444</v>
      </c>
      <c r="E4736" s="154" t="n">
        <v>0.2266</v>
      </c>
      <c r="F4736" s="149" t="n">
        <f aca="false">IF(C4736="MAT.",VLOOKUP(A4736,INSUMOS_AUX!$A$3:$H$813,6,0),0)</f>
        <v>0.59</v>
      </c>
      <c r="G4736" s="149" t="n">
        <f aca="false">IF(C4736="M.O.",VLOOKUP(A4736,INSUMOS_AUX!A:F,6,0),0)</f>
        <v>0</v>
      </c>
    </row>
    <row r="4737" customFormat="false" ht="15" hidden="false" customHeight="false" outlineLevel="0" collapsed="false">
      <c r="A4737" s="154" t="n">
        <v>20080</v>
      </c>
      <c r="B4737" s="155" t="s">
        <v>2092</v>
      </c>
      <c r="C4737" s="148" t="str">
        <f aca="false">VLOOKUP($A4737,INSUMOS_AUX!$A$3:$H$813,3,0)</f>
        <v>MAT.</v>
      </c>
      <c r="D4737" s="156" t="s">
        <v>31</v>
      </c>
      <c r="E4737" s="154" t="n">
        <v>0.0714</v>
      </c>
      <c r="F4737" s="149" t="n">
        <f aca="false">IF(C4737="MAT.",VLOOKUP(A4737,INSUMOS_AUX!$A$3:$H$813,6,0),0)</f>
        <v>20.59</v>
      </c>
      <c r="G4737" s="149" t="n">
        <f aca="false">IF(C4737="M.O.",VLOOKUP(A4737,INSUMOS_AUX!A:F,6,0),0)</f>
        <v>0</v>
      </c>
    </row>
    <row r="4738" customFormat="false" ht="15" hidden="false" customHeight="false" outlineLevel="0" collapsed="false">
      <c r="A4738" s="154" t="n">
        <v>38383</v>
      </c>
      <c r="B4738" s="155" t="s">
        <v>2093</v>
      </c>
      <c r="C4738" s="148" t="str">
        <f aca="false">VLOOKUP($A4738,INSUMOS_AUX!$A$3:$H$813,3,0)</f>
        <v>MAT.</v>
      </c>
      <c r="D4738" s="156" t="s">
        <v>31</v>
      </c>
      <c r="E4738" s="154" t="n">
        <v>0.0114</v>
      </c>
      <c r="F4738" s="149" t="n">
        <f aca="false">IF(C4738="MAT.",VLOOKUP(A4738,INSUMOS_AUX!$A$3:$H$813,6,0),0)</f>
        <v>2.39</v>
      </c>
      <c r="G4738" s="149" t="n">
        <f aca="false">IF(C4738="M.O.",VLOOKUP(A4738,INSUMOS_AUX!A:F,6,0),0)</f>
        <v>0</v>
      </c>
    </row>
    <row r="4739" customFormat="false" ht="21" hidden="false" customHeight="false" outlineLevel="0" collapsed="false">
      <c r="A4739" s="154" t="n">
        <v>11677</v>
      </c>
      <c r="B4739" s="155" t="s">
        <v>2278</v>
      </c>
      <c r="C4739" s="148" t="str">
        <f aca="false">VLOOKUP($A4739,INSUMOS_AUX!$A$3:$H$813,3,0)</f>
        <v>MAT.</v>
      </c>
      <c r="D4739" s="156" t="s">
        <v>31</v>
      </c>
      <c r="E4739" s="154" t="n">
        <v>1</v>
      </c>
      <c r="F4739" s="149" t="n">
        <f aca="false">IF(C4739="MAT.",VLOOKUP(A4739,INSUMOS_AUX!$A$3:$H$813,6,0),0)</f>
        <v>33.8</v>
      </c>
      <c r="G4739" s="149" t="n">
        <f aca="false">IF(C4739="M.O.",VLOOKUP(A4739,INSUMOS_AUX!A:F,6,0),0)</f>
        <v>0</v>
      </c>
    </row>
    <row r="4740" customFormat="false" ht="21" hidden="false" customHeight="false" outlineLevel="0" collapsed="false">
      <c r="A4740" s="154" t="n">
        <v>20083</v>
      </c>
      <c r="B4740" s="155" t="s">
        <v>2095</v>
      </c>
      <c r="C4740" s="148" t="str">
        <f aca="false">VLOOKUP($A4740,INSUMOS_AUX!$A$3:$H$813,3,0)</f>
        <v>MAT.</v>
      </c>
      <c r="D4740" s="156" t="s">
        <v>31</v>
      </c>
      <c r="E4740" s="154" t="n">
        <v>0.018</v>
      </c>
      <c r="F4740" s="149" t="n">
        <f aca="false">IF(C4740="MAT.",VLOOKUP(A4740,INSUMOS_AUX!$A$3:$H$813,6,0),0)</f>
        <v>71.48</v>
      </c>
      <c r="G4740" s="149" t="n">
        <f aca="false">IF(C4740="M.O.",VLOOKUP(A4740,INSUMOS_AUX!A:F,6,0),0)</f>
        <v>0</v>
      </c>
    </row>
    <row r="4741" customFormat="false" ht="15" hidden="false" customHeight="false" outlineLevel="0" collapsed="false">
      <c r="A4741" s="154" t="n">
        <v>246</v>
      </c>
      <c r="B4741" s="155" t="s">
        <v>1752</v>
      </c>
      <c r="C4741" s="148" t="str">
        <f aca="false">VLOOKUP($A4741,INSUMOS_AUX!$A$3:$H$813,3,0)</f>
        <v>M.O.</v>
      </c>
      <c r="D4741" s="156" t="s">
        <v>1444</v>
      </c>
      <c r="E4741" s="154" t="n">
        <v>0.115337134</v>
      </c>
      <c r="F4741" s="149" t="n">
        <f aca="false">IF(C4741="MAT.",VLOOKUP(A4741,INSUMOS_AUX!$A$3:$H$813,6,0),0)</f>
        <v>0</v>
      </c>
      <c r="G4741" s="149" t="n">
        <f aca="false">IF(C4741="M.O.",VLOOKUP(A4741,INSUMOS_AUX!A:F,6,0),0)</f>
        <v>13.26</v>
      </c>
    </row>
    <row r="4742" customFormat="false" ht="15" hidden="false" customHeight="false" outlineLevel="0" collapsed="false">
      <c r="A4742" s="154" t="n">
        <v>2696</v>
      </c>
      <c r="B4742" s="155" t="s">
        <v>1483</v>
      </c>
      <c r="C4742" s="148" t="str">
        <f aca="false">VLOOKUP($A4742,INSUMOS_AUX!$A$3:$H$813,3,0)</f>
        <v>M.O.</v>
      </c>
      <c r="D4742" s="156" t="s">
        <v>1444</v>
      </c>
      <c r="E4742" s="154" t="n">
        <v>0.115337134</v>
      </c>
      <c r="F4742" s="149" t="n">
        <f aca="false">IF(C4742="MAT.",VLOOKUP(A4742,INSUMOS_AUX!$A$3:$H$813,6,0),0)</f>
        <v>0</v>
      </c>
      <c r="G4742" s="149" t="n">
        <f aca="false">IF(C4742="M.O.",VLOOKUP(A4742,INSUMOS_AUX!A:F,6,0),0)</f>
        <v>20.22</v>
      </c>
    </row>
    <row r="4743" customFormat="false" ht="21" hidden="false" customHeight="false" outlineLevel="0" collapsed="false">
      <c r="A4743" s="150" t="s">
        <v>827</v>
      </c>
      <c r="B4743" s="151" t="s">
        <v>2279</v>
      </c>
      <c r="C4743" s="152" t="s">
        <v>59</v>
      </c>
      <c r="D4743" s="152" t="s">
        <v>31</v>
      </c>
      <c r="E4743" s="150"/>
      <c r="F4743" s="153" t="n">
        <f aca="false">(SUMPRODUCT($E4744:$E4754,F4744:F4754))*1</f>
        <v>627.343998666667</v>
      </c>
      <c r="G4743" s="153" t="n">
        <f aca="false">(SUMPRODUCT($E4744:$E4754,G4744:G4754))*1</f>
        <v>11.58105354192</v>
      </c>
    </row>
    <row r="4744" customFormat="false" ht="21" hidden="false" customHeight="false" outlineLevel="0" collapsed="false">
      <c r="A4744" s="154" t="n">
        <v>37370</v>
      </c>
      <c r="B4744" s="155" t="s">
        <v>1443</v>
      </c>
      <c r="C4744" s="148" t="str">
        <f aca="false">VLOOKUP($A4744,INSUMOS_AUX!$A$3:$H$813,3,0)</f>
        <v>MAT.</v>
      </c>
      <c r="D4744" s="156" t="s">
        <v>1444</v>
      </c>
      <c r="E4744" s="154" t="n">
        <v>0.6796</v>
      </c>
      <c r="F4744" s="149" t="n">
        <f aca="false">IF(C4744="MAT.",VLOOKUP(A4744,INSUMOS_AUX!$A$3:$H$813,6,0),0)</f>
        <v>3.32</v>
      </c>
      <c r="G4744" s="149" t="n">
        <f aca="false">IF(C4744="M.O.",VLOOKUP(A4744,INSUMOS_AUX!A:F,6,0),0)</f>
        <v>0</v>
      </c>
    </row>
    <row r="4745" customFormat="false" ht="21" hidden="false" customHeight="false" outlineLevel="0" collapsed="false">
      <c r="A4745" s="154" t="n">
        <v>43485</v>
      </c>
      <c r="B4745" s="155" t="s">
        <v>1481</v>
      </c>
      <c r="C4745" s="148" t="str">
        <f aca="false">VLOOKUP($A4745,INSUMOS_AUX!$A$3:$H$813,3,0)</f>
        <v>MAT.</v>
      </c>
      <c r="D4745" s="156" t="s">
        <v>1444</v>
      </c>
      <c r="E4745" s="154" t="n">
        <v>0.6796</v>
      </c>
      <c r="F4745" s="149" t="n">
        <f aca="false">IF(C4745="MAT.",VLOOKUP(A4745,INSUMOS_AUX!$A$3:$H$813,6,0),0)</f>
        <v>1.13</v>
      </c>
      <c r="G4745" s="149" t="n">
        <f aca="false">IF(C4745="M.O.",VLOOKUP(A4745,INSUMOS_AUX!A:F,6,0),0)</f>
        <v>0</v>
      </c>
    </row>
    <row r="4746" customFormat="false" ht="21" hidden="false" customHeight="false" outlineLevel="0" collapsed="false">
      <c r="A4746" s="154" t="n">
        <v>37372</v>
      </c>
      <c r="B4746" s="155" t="s">
        <v>1446</v>
      </c>
      <c r="C4746" s="148" t="str">
        <f aca="false">VLOOKUP($A4746,INSUMOS_AUX!$A$3:$H$813,3,0)</f>
        <v>MAT.</v>
      </c>
      <c r="D4746" s="156" t="s">
        <v>1444</v>
      </c>
      <c r="E4746" s="154" t="n">
        <v>0.6796</v>
      </c>
      <c r="F4746" s="149" t="n">
        <f aca="false">IF(C4746="MAT.",VLOOKUP(A4746,INSUMOS_AUX!$A$3:$H$813,6,0),0)</f>
        <v>1.43</v>
      </c>
      <c r="G4746" s="149" t="n">
        <f aca="false">IF(C4746="M.O.",VLOOKUP(A4746,INSUMOS_AUX!A:F,6,0),0)</f>
        <v>0</v>
      </c>
    </row>
    <row r="4747" customFormat="false" ht="21" hidden="false" customHeight="false" outlineLevel="0" collapsed="false">
      <c r="A4747" s="154" t="n">
        <v>43461</v>
      </c>
      <c r="B4747" s="155" t="s">
        <v>1482</v>
      </c>
      <c r="C4747" s="148" t="str">
        <f aca="false">VLOOKUP($A4747,INSUMOS_AUX!$A$3:$H$813,3,0)</f>
        <v>MAT.</v>
      </c>
      <c r="D4747" s="156" t="s">
        <v>1444</v>
      </c>
      <c r="E4747" s="154" t="n">
        <v>0.6796</v>
      </c>
      <c r="F4747" s="149" t="n">
        <f aca="false">IF(C4747="MAT.",VLOOKUP(A4747,INSUMOS_AUX!$A$3:$H$813,6,0),0)</f>
        <v>0.31</v>
      </c>
      <c r="G4747" s="149" t="n">
        <f aca="false">IF(C4747="M.O.",VLOOKUP(A4747,INSUMOS_AUX!A:F,6,0),0)</f>
        <v>0</v>
      </c>
    </row>
    <row r="4748" customFormat="false" ht="21" hidden="false" customHeight="false" outlineLevel="0" collapsed="false">
      <c r="A4748" s="154" t="n">
        <v>37373</v>
      </c>
      <c r="B4748" s="155" t="s">
        <v>1448</v>
      </c>
      <c r="C4748" s="148" t="str">
        <f aca="false">VLOOKUP($A4748,INSUMOS_AUX!$A$3:$H$813,3,0)</f>
        <v>MAT.</v>
      </c>
      <c r="D4748" s="156" t="s">
        <v>1444</v>
      </c>
      <c r="E4748" s="154" t="n">
        <v>0.6796</v>
      </c>
      <c r="F4748" s="149" t="n">
        <f aca="false">IF(C4748="MAT.",VLOOKUP(A4748,INSUMOS_AUX!$A$3:$H$813,6,0),0)</f>
        <v>0.08</v>
      </c>
      <c r="G4748" s="149" t="n">
        <f aca="false">IF(C4748="M.O.",VLOOKUP(A4748,INSUMOS_AUX!A:F,6,0),0)</f>
        <v>0</v>
      </c>
    </row>
    <row r="4749" customFormat="false" ht="21" hidden="false" customHeight="false" outlineLevel="0" collapsed="false">
      <c r="A4749" s="154" t="n">
        <v>37371</v>
      </c>
      <c r="B4749" s="155" t="s">
        <v>1449</v>
      </c>
      <c r="C4749" s="148" t="s">
        <v>59</v>
      </c>
      <c r="D4749" s="156" t="s">
        <v>1444</v>
      </c>
      <c r="E4749" s="154" t="n">
        <v>0.6796</v>
      </c>
      <c r="F4749" s="149" t="n">
        <f aca="false">IF(C4749="MAT.",VLOOKUP(A4749,INSUMOS_AUX!$A$3:$H$813,6,0),0)</f>
        <v>0</v>
      </c>
      <c r="G4749" s="149" t="n">
        <f aca="false">IF(C4749="M.O.",VLOOKUP(A4749,INSUMOS_AUX!A:F,6,0),0)</f>
        <v>0</v>
      </c>
    </row>
    <row r="4750" customFormat="false" ht="15" hidden="false" customHeight="false" outlineLevel="0" collapsed="false">
      <c r="A4750" s="154" t="n">
        <v>3148</v>
      </c>
      <c r="B4750" s="155" t="s">
        <v>2085</v>
      </c>
      <c r="C4750" s="148" t="str">
        <f aca="false">VLOOKUP($A4750,INSUMOS_AUX!$A$3:$H$813,3,0)</f>
        <v>MAT.</v>
      </c>
      <c r="D4750" s="156" t="s">
        <v>31</v>
      </c>
      <c r="E4750" s="154" t="n">
        <v>0.024</v>
      </c>
      <c r="F4750" s="149" t="n">
        <f aca="false">IF(C4750="MAT.",VLOOKUP(A4750,INSUMOS_AUX!$A$3:$H$813,6,0),0)</f>
        <v>14.01</v>
      </c>
      <c r="G4750" s="149" t="n">
        <f aca="false">IF(C4750="M.O.",VLOOKUP(A4750,INSUMOS_AUX!A:F,6,0),0)</f>
        <v>0</v>
      </c>
    </row>
    <row r="4751" customFormat="false" ht="15" hidden="false" customHeight="false" outlineLevel="0" collapsed="false">
      <c r="A4751" s="154" t="n">
        <v>11747</v>
      </c>
      <c r="B4751" s="155" t="s">
        <v>2280</v>
      </c>
      <c r="C4751" s="148" t="str">
        <f aca="false">VLOOKUP($A4751,INSUMOS_AUX!$A$3:$H$813,3,0)</f>
        <v>MAT.</v>
      </c>
      <c r="D4751" s="156" t="s">
        <v>31</v>
      </c>
      <c r="E4751" s="154" t="n">
        <v>1</v>
      </c>
      <c r="F4751" s="149" t="n">
        <f aca="false">IF(C4751="MAT.",VLOOKUP(A4751,INSUMOS_AUX!$A$3:$H$813,6,0),0)</f>
        <v>200.87</v>
      </c>
      <c r="G4751" s="149" t="n">
        <f aca="false">IF(C4751="M.O.",VLOOKUP(A4751,INSUMOS_AUX!A:F,6,0),0)</f>
        <v>0</v>
      </c>
    </row>
    <row r="4752" customFormat="false" ht="15" hidden="false" customHeight="false" outlineLevel="0" collapsed="false">
      <c r="A4752" s="154" t="s">
        <v>2281</v>
      </c>
      <c r="B4752" s="155" t="s">
        <v>2282</v>
      </c>
      <c r="C4752" s="148" t="str">
        <f aca="false">VLOOKUP($A4752,INSUMOS_AUX!$A$3:$H$813,3,0)</f>
        <v>MAT.</v>
      </c>
      <c r="D4752" s="156" t="s">
        <v>31</v>
      </c>
      <c r="E4752" s="154" t="n">
        <v>1</v>
      </c>
      <c r="F4752" s="149" t="n">
        <f aca="false">IF(C4752="MAT.",VLOOKUP(A4752,INSUMOS_AUX!$A$3:$H$813,6,0),0)</f>
        <v>421.876666666667</v>
      </c>
      <c r="G4752" s="149" t="n">
        <f aca="false">IF(C4752="M.O.",VLOOKUP(A4752,INSUMOS_AUX!A:F,6,0),0)</f>
        <v>0</v>
      </c>
    </row>
    <row r="4753" customFormat="false" ht="15" hidden="false" customHeight="false" outlineLevel="0" collapsed="false">
      <c r="A4753" s="154" t="n">
        <v>246</v>
      </c>
      <c r="B4753" s="155" t="s">
        <v>1752</v>
      </c>
      <c r="C4753" s="148" t="str">
        <f aca="false">VLOOKUP($A4753,INSUMOS_AUX!$A$3:$H$813,3,0)</f>
        <v>M.O.</v>
      </c>
      <c r="D4753" s="156" t="s">
        <v>1444</v>
      </c>
      <c r="E4753" s="154" t="n">
        <v>0.345909604</v>
      </c>
      <c r="F4753" s="149" t="n">
        <f aca="false">IF(C4753="MAT.",VLOOKUP(A4753,INSUMOS_AUX!$A$3:$H$813,6,0),0)</f>
        <v>0</v>
      </c>
      <c r="G4753" s="149" t="n">
        <f aca="false">IF(C4753="M.O.",VLOOKUP(A4753,INSUMOS_AUX!A:F,6,0),0)</f>
        <v>13.26</v>
      </c>
    </row>
    <row r="4754" customFormat="false" ht="15" hidden="false" customHeight="false" outlineLevel="0" collapsed="false">
      <c r="A4754" s="154" t="n">
        <v>2696</v>
      </c>
      <c r="B4754" s="155" t="s">
        <v>1483</v>
      </c>
      <c r="C4754" s="148" t="str">
        <f aca="false">VLOOKUP($A4754,INSUMOS_AUX!$A$3:$H$813,3,0)</f>
        <v>M.O.</v>
      </c>
      <c r="D4754" s="156" t="s">
        <v>1444</v>
      </c>
      <c r="E4754" s="154" t="n">
        <v>0.345909604</v>
      </c>
      <c r="F4754" s="149" t="n">
        <f aca="false">IF(C4754="MAT.",VLOOKUP(A4754,INSUMOS_AUX!$A$3:$H$813,6,0),0)</f>
        <v>0</v>
      </c>
      <c r="G4754" s="149" t="n">
        <f aca="false">IF(C4754="M.O.",VLOOKUP(A4754,INSUMOS_AUX!A:F,6,0),0)</f>
        <v>20.22</v>
      </c>
    </row>
    <row r="4755" customFormat="false" ht="21" hidden="false" customHeight="false" outlineLevel="0" collapsed="false">
      <c r="A4755" s="150" t="n">
        <v>103018</v>
      </c>
      <c r="B4755" s="151" t="s">
        <v>2283</v>
      </c>
      <c r="C4755" s="152" t="s">
        <v>59</v>
      </c>
      <c r="D4755" s="152" t="s">
        <v>31</v>
      </c>
      <c r="E4755" s="150"/>
      <c r="F4755" s="153" t="n">
        <f aca="false">(SUMPRODUCT($E4756:$E4765,F4756:F4765))*1</f>
        <v>221.464296</v>
      </c>
      <c r="G4755" s="153" t="n">
        <f aca="false">(SUMPRODUCT($E4756:$E4765,G4756:G4765))*1</f>
        <v>16.51624501344</v>
      </c>
    </row>
    <row r="4756" customFormat="false" ht="21" hidden="false" customHeight="false" outlineLevel="0" collapsed="false">
      <c r="A4756" s="154" t="n">
        <v>37370</v>
      </c>
      <c r="B4756" s="155" t="s">
        <v>1443</v>
      </c>
      <c r="C4756" s="148" t="str">
        <f aca="false">VLOOKUP($A4756,INSUMOS_AUX!$A$3:$H$813,3,0)</f>
        <v>MAT.</v>
      </c>
      <c r="D4756" s="156" t="s">
        <v>1444</v>
      </c>
      <c r="E4756" s="154" t="n">
        <v>1.6048</v>
      </c>
      <c r="F4756" s="149" t="n">
        <f aca="false">IF(C4756="MAT.",VLOOKUP(A4756,INSUMOS_AUX!$A$3:$H$813,6,0),0)</f>
        <v>3.32</v>
      </c>
      <c r="G4756" s="149" t="n">
        <f aca="false">IF(C4756="M.O.",VLOOKUP(A4756,INSUMOS_AUX!A:F,6,0),0)</f>
        <v>0</v>
      </c>
    </row>
    <row r="4757" customFormat="false" ht="21" hidden="false" customHeight="false" outlineLevel="0" collapsed="false">
      <c r="A4757" s="154" t="n">
        <v>43485</v>
      </c>
      <c r="B4757" s="155" t="s">
        <v>1481</v>
      </c>
      <c r="C4757" s="148" t="str">
        <f aca="false">VLOOKUP($A4757,INSUMOS_AUX!$A$3:$H$813,3,0)</f>
        <v>MAT.</v>
      </c>
      <c r="D4757" s="156" t="s">
        <v>1444</v>
      </c>
      <c r="E4757" s="154" t="n">
        <v>1.6048</v>
      </c>
      <c r="F4757" s="149" t="n">
        <f aca="false">IF(C4757="MAT.",VLOOKUP(A4757,INSUMOS_AUX!$A$3:$H$813,6,0),0)</f>
        <v>1.13</v>
      </c>
      <c r="G4757" s="149" t="n">
        <f aca="false">IF(C4757="M.O.",VLOOKUP(A4757,INSUMOS_AUX!A:F,6,0),0)</f>
        <v>0</v>
      </c>
    </row>
    <row r="4758" customFormat="false" ht="21" hidden="false" customHeight="false" outlineLevel="0" collapsed="false">
      <c r="A4758" s="154" t="n">
        <v>37372</v>
      </c>
      <c r="B4758" s="155" t="s">
        <v>1446</v>
      </c>
      <c r="C4758" s="148" t="str">
        <f aca="false">VLOOKUP($A4758,INSUMOS_AUX!$A$3:$H$813,3,0)</f>
        <v>MAT.</v>
      </c>
      <c r="D4758" s="156" t="s">
        <v>1444</v>
      </c>
      <c r="E4758" s="154" t="n">
        <v>1.6048</v>
      </c>
      <c r="F4758" s="149" t="n">
        <f aca="false">IF(C4758="MAT.",VLOOKUP(A4758,INSUMOS_AUX!$A$3:$H$813,6,0),0)</f>
        <v>1.43</v>
      </c>
      <c r="G4758" s="149" t="n">
        <f aca="false">IF(C4758="M.O.",VLOOKUP(A4758,INSUMOS_AUX!A:F,6,0),0)</f>
        <v>0</v>
      </c>
    </row>
    <row r="4759" customFormat="false" ht="21" hidden="false" customHeight="false" outlineLevel="0" collapsed="false">
      <c r="A4759" s="154" t="n">
        <v>43461</v>
      </c>
      <c r="B4759" s="155" t="s">
        <v>1482</v>
      </c>
      <c r="C4759" s="148" t="str">
        <f aca="false">VLOOKUP($A4759,INSUMOS_AUX!$A$3:$H$813,3,0)</f>
        <v>MAT.</v>
      </c>
      <c r="D4759" s="156" t="s">
        <v>1444</v>
      </c>
      <c r="E4759" s="154" t="n">
        <v>1.6048</v>
      </c>
      <c r="F4759" s="149" t="n">
        <f aca="false">IF(C4759="MAT.",VLOOKUP(A4759,INSUMOS_AUX!$A$3:$H$813,6,0),0)</f>
        <v>0.31</v>
      </c>
      <c r="G4759" s="149" t="n">
        <f aca="false">IF(C4759="M.O.",VLOOKUP(A4759,INSUMOS_AUX!A:F,6,0),0)</f>
        <v>0</v>
      </c>
    </row>
    <row r="4760" customFormat="false" ht="21" hidden="false" customHeight="false" outlineLevel="0" collapsed="false">
      <c r="A4760" s="154" t="n">
        <v>37373</v>
      </c>
      <c r="B4760" s="155" t="s">
        <v>1448</v>
      </c>
      <c r="C4760" s="148" t="str">
        <f aca="false">VLOOKUP($A4760,INSUMOS_AUX!$A$3:$H$813,3,0)</f>
        <v>MAT.</v>
      </c>
      <c r="D4760" s="156" t="s">
        <v>1444</v>
      </c>
      <c r="E4760" s="154" t="n">
        <v>1.6048</v>
      </c>
      <c r="F4760" s="149" t="n">
        <f aca="false">IF(C4760="MAT.",VLOOKUP(A4760,INSUMOS_AUX!$A$3:$H$813,6,0),0)</f>
        <v>0.08</v>
      </c>
      <c r="G4760" s="149" t="n">
        <f aca="false">IF(C4760="M.O.",VLOOKUP(A4760,INSUMOS_AUX!A:F,6,0),0)</f>
        <v>0</v>
      </c>
    </row>
    <row r="4761" customFormat="false" ht="21" hidden="false" customHeight="false" outlineLevel="0" collapsed="false">
      <c r="A4761" s="154" t="n">
        <v>37371</v>
      </c>
      <c r="B4761" s="155" t="s">
        <v>1449</v>
      </c>
      <c r="C4761" s="148" t="str">
        <f aca="false">VLOOKUP($A4761,INSUMOS_AUX!$A$3:$H$813,3,0)</f>
        <v>MAT.</v>
      </c>
      <c r="D4761" s="156" t="s">
        <v>1444</v>
      </c>
      <c r="E4761" s="154" t="n">
        <v>1.6048</v>
      </c>
      <c r="F4761" s="149" t="n">
        <f aca="false">IF(C4761="MAT.",VLOOKUP(A4761,INSUMOS_AUX!$A$3:$H$813,6,0),0)</f>
        <v>0.59</v>
      </c>
      <c r="G4761" s="149" t="n">
        <f aca="false">IF(C4761="M.O.",VLOOKUP(A4761,INSUMOS_AUX!A:F,6,0),0)</f>
        <v>0</v>
      </c>
    </row>
    <row r="4762" customFormat="false" ht="15" hidden="false" customHeight="false" outlineLevel="0" collapsed="false">
      <c r="A4762" s="154" t="n">
        <v>3148</v>
      </c>
      <c r="B4762" s="155" t="s">
        <v>2085</v>
      </c>
      <c r="C4762" s="148" t="str">
        <f aca="false">VLOOKUP($A4762,INSUMOS_AUX!$A$3:$H$813,3,0)</f>
        <v>MAT.</v>
      </c>
      <c r="D4762" s="156" t="s">
        <v>31</v>
      </c>
      <c r="E4762" s="154" t="n">
        <v>0.0168</v>
      </c>
      <c r="F4762" s="149" t="n">
        <f aca="false">IF(C4762="MAT.",VLOOKUP(A4762,INSUMOS_AUX!$A$3:$H$813,6,0),0)</f>
        <v>14.01</v>
      </c>
      <c r="G4762" s="149" t="n">
        <f aca="false">IF(C4762="M.O.",VLOOKUP(A4762,INSUMOS_AUX!A:F,6,0),0)</f>
        <v>0</v>
      </c>
    </row>
    <row r="4763" customFormat="false" ht="21" hidden="false" customHeight="false" outlineLevel="0" collapsed="false">
      <c r="A4763" s="154" t="n">
        <v>11781</v>
      </c>
      <c r="B4763" s="155" t="s">
        <v>2284</v>
      </c>
      <c r="C4763" s="148" t="str">
        <f aca="false">VLOOKUP($A4763,INSUMOS_AUX!$A$3:$H$813,3,0)</f>
        <v>MAT.</v>
      </c>
      <c r="D4763" s="156" t="s">
        <v>31</v>
      </c>
      <c r="E4763" s="154" t="n">
        <v>1</v>
      </c>
      <c r="F4763" s="149" t="n">
        <f aca="false">IF(C4763="MAT.",VLOOKUP(A4763,INSUMOS_AUX!$A$3:$H$813,6,0),0)</f>
        <v>210.22</v>
      </c>
      <c r="G4763" s="149" t="n">
        <f aca="false">IF(C4763="M.O.",VLOOKUP(A4763,INSUMOS_AUX!A:F,6,0),0)</f>
        <v>0</v>
      </c>
    </row>
    <row r="4764" customFormat="false" ht="15" hidden="false" customHeight="false" outlineLevel="0" collapsed="false">
      <c r="A4764" s="154" t="n">
        <v>246</v>
      </c>
      <c r="B4764" s="155" t="s">
        <v>1752</v>
      </c>
      <c r="C4764" s="148" t="s">
        <v>59</v>
      </c>
      <c r="D4764" s="156" t="s">
        <v>1444</v>
      </c>
      <c r="E4764" s="154" t="n">
        <v>0.816827152</v>
      </c>
      <c r="F4764" s="149" t="n">
        <f aca="false">IF(C4764="MAT.",VLOOKUP(A4764,INSUMOS_AUX!$A$3:$H$813,6,0),0)</f>
        <v>0</v>
      </c>
      <c r="G4764" s="149" t="n">
        <f aca="false">IF(C4764="M.O.",VLOOKUP(A4764,INSUMOS_AUX!A:F,6,0),0)</f>
        <v>0</v>
      </c>
    </row>
    <row r="4765" customFormat="false" ht="15" hidden="false" customHeight="false" outlineLevel="0" collapsed="false">
      <c r="A4765" s="154" t="n">
        <v>2696</v>
      </c>
      <c r="B4765" s="155" t="s">
        <v>1483</v>
      </c>
      <c r="C4765" s="148" t="str">
        <f aca="false">VLOOKUP($A4765,INSUMOS_AUX!$A$3:$H$813,3,0)</f>
        <v>M.O.</v>
      </c>
      <c r="D4765" s="156" t="s">
        <v>1444</v>
      </c>
      <c r="E4765" s="154" t="n">
        <v>0.816827152</v>
      </c>
      <c r="F4765" s="149" t="n">
        <f aca="false">IF(C4765="MAT.",VLOOKUP(A4765,INSUMOS_AUX!$A$3:$H$813,6,0),0)</f>
        <v>0</v>
      </c>
      <c r="G4765" s="149" t="n">
        <f aca="false">IF(C4765="M.O.",VLOOKUP(A4765,INSUMOS_AUX!A:F,6,0),0)</f>
        <v>20.22</v>
      </c>
    </row>
    <row r="4766" customFormat="false" ht="21" hidden="false" customHeight="false" outlineLevel="0" collapsed="false">
      <c r="A4766" s="150" t="n">
        <v>99620</v>
      </c>
      <c r="B4766" s="151" t="s">
        <v>2285</v>
      </c>
      <c r="C4766" s="152" t="s">
        <v>59</v>
      </c>
      <c r="D4766" s="152" t="s">
        <v>31</v>
      </c>
      <c r="E4766" s="150"/>
      <c r="F4766" s="153" t="n">
        <f aca="false">(SUMPRODUCT($E4767:$E4776,F4767:F4776))*1</f>
        <v>137.972352</v>
      </c>
      <c r="G4766" s="153" t="n">
        <f aca="false">(SUMPRODUCT($E4767:$E4776,G4767:G4776))*1</f>
        <v>5.0611726044</v>
      </c>
    </row>
    <row r="4767" customFormat="false" ht="21" hidden="false" customHeight="false" outlineLevel="0" collapsed="false">
      <c r="A4767" s="154" t="n">
        <v>37370</v>
      </c>
      <c r="B4767" s="155" t="s">
        <v>1443</v>
      </c>
      <c r="C4767" s="148" t="str">
        <f aca="false">VLOOKUP($A4767,INSUMOS_AUX!$A$3:$H$813,3,0)</f>
        <v>MAT.</v>
      </c>
      <c r="D4767" s="156" t="s">
        <v>1444</v>
      </c>
      <c r="E4767" s="154" t="n">
        <v>0.297</v>
      </c>
      <c r="F4767" s="149" t="n">
        <f aca="false">IF(C4767="MAT.",VLOOKUP(A4767,INSUMOS_AUX!$A$3:$H$813,6,0),0)</f>
        <v>3.32</v>
      </c>
      <c r="G4767" s="149" t="n">
        <f aca="false">IF(C4767="M.O.",VLOOKUP(A4767,INSUMOS_AUX!A:F,6,0),0)</f>
        <v>0</v>
      </c>
    </row>
    <row r="4768" customFormat="false" ht="21" hidden="false" customHeight="false" outlineLevel="0" collapsed="false">
      <c r="A4768" s="154" t="n">
        <v>43485</v>
      </c>
      <c r="B4768" s="155" t="s">
        <v>1481</v>
      </c>
      <c r="C4768" s="148" t="str">
        <f aca="false">VLOOKUP($A4768,INSUMOS_AUX!$A$3:$H$813,3,0)</f>
        <v>MAT.</v>
      </c>
      <c r="D4768" s="156" t="s">
        <v>1444</v>
      </c>
      <c r="E4768" s="154" t="n">
        <v>0.297</v>
      </c>
      <c r="F4768" s="149" t="n">
        <f aca="false">IF(C4768="MAT.",VLOOKUP(A4768,INSUMOS_AUX!$A$3:$H$813,6,0),0)</f>
        <v>1.13</v>
      </c>
      <c r="G4768" s="149" t="n">
        <f aca="false">IF(C4768="M.O.",VLOOKUP(A4768,INSUMOS_AUX!A:F,6,0),0)</f>
        <v>0</v>
      </c>
    </row>
    <row r="4769" customFormat="false" ht="21" hidden="false" customHeight="false" outlineLevel="0" collapsed="false">
      <c r="A4769" s="154" t="n">
        <v>37372</v>
      </c>
      <c r="B4769" s="155" t="s">
        <v>1446</v>
      </c>
      <c r="C4769" s="148" t="str">
        <f aca="false">VLOOKUP($A4769,INSUMOS_AUX!$A$3:$H$813,3,0)</f>
        <v>MAT.</v>
      </c>
      <c r="D4769" s="156" t="s">
        <v>1444</v>
      </c>
      <c r="E4769" s="154" t="n">
        <v>0.297</v>
      </c>
      <c r="F4769" s="149" t="n">
        <f aca="false">IF(C4769="MAT.",VLOOKUP(A4769,INSUMOS_AUX!$A$3:$H$813,6,0),0)</f>
        <v>1.43</v>
      </c>
      <c r="G4769" s="149" t="n">
        <f aca="false">IF(C4769="M.O.",VLOOKUP(A4769,INSUMOS_AUX!A:F,6,0),0)</f>
        <v>0</v>
      </c>
    </row>
    <row r="4770" customFormat="false" ht="21" hidden="false" customHeight="false" outlineLevel="0" collapsed="false">
      <c r="A4770" s="154" t="n">
        <v>43461</v>
      </c>
      <c r="B4770" s="155" t="s">
        <v>1482</v>
      </c>
      <c r="C4770" s="148" t="str">
        <f aca="false">VLOOKUP($A4770,INSUMOS_AUX!$A$3:$H$813,3,0)</f>
        <v>MAT.</v>
      </c>
      <c r="D4770" s="156" t="s">
        <v>1444</v>
      </c>
      <c r="E4770" s="154" t="n">
        <v>0.297</v>
      </c>
      <c r="F4770" s="149" t="n">
        <f aca="false">IF(C4770="MAT.",VLOOKUP(A4770,INSUMOS_AUX!$A$3:$H$813,6,0),0)</f>
        <v>0.31</v>
      </c>
      <c r="G4770" s="149" t="n">
        <f aca="false">IF(C4770="M.O.",VLOOKUP(A4770,INSUMOS_AUX!A:F,6,0),0)</f>
        <v>0</v>
      </c>
    </row>
    <row r="4771" customFormat="false" ht="21" hidden="false" customHeight="false" outlineLevel="0" collapsed="false">
      <c r="A4771" s="154" t="n">
        <v>37373</v>
      </c>
      <c r="B4771" s="155" t="s">
        <v>1448</v>
      </c>
      <c r="C4771" s="148" t="str">
        <f aca="false">VLOOKUP($A4771,INSUMOS_AUX!$A$3:$H$813,3,0)</f>
        <v>MAT.</v>
      </c>
      <c r="D4771" s="156" t="s">
        <v>1444</v>
      </c>
      <c r="E4771" s="154" t="n">
        <v>0.297</v>
      </c>
      <c r="F4771" s="149" t="n">
        <f aca="false">IF(C4771="MAT.",VLOOKUP(A4771,INSUMOS_AUX!$A$3:$H$813,6,0),0)</f>
        <v>0.08</v>
      </c>
      <c r="G4771" s="149" t="n">
        <f aca="false">IF(C4771="M.O.",VLOOKUP(A4771,INSUMOS_AUX!A:F,6,0),0)</f>
        <v>0</v>
      </c>
    </row>
    <row r="4772" customFormat="false" ht="21" hidden="false" customHeight="false" outlineLevel="0" collapsed="false">
      <c r="A4772" s="154" t="n">
        <v>37371</v>
      </c>
      <c r="B4772" s="155" t="s">
        <v>1449</v>
      </c>
      <c r="C4772" s="148" t="str">
        <f aca="false">VLOOKUP($A4772,INSUMOS_AUX!$A$3:$H$813,3,0)</f>
        <v>MAT.</v>
      </c>
      <c r="D4772" s="156" t="s">
        <v>1444</v>
      </c>
      <c r="E4772" s="154" t="n">
        <v>0.297</v>
      </c>
      <c r="F4772" s="149" t="n">
        <f aca="false">IF(C4772="MAT.",VLOOKUP(A4772,INSUMOS_AUX!$A$3:$H$813,6,0),0)</f>
        <v>0.59</v>
      </c>
      <c r="G4772" s="149" t="n">
        <f aca="false">IF(C4772="M.O.",VLOOKUP(A4772,INSUMOS_AUX!A:F,6,0),0)</f>
        <v>0</v>
      </c>
    </row>
    <row r="4773" customFormat="false" ht="15" hidden="false" customHeight="false" outlineLevel="0" collapsed="false">
      <c r="A4773" s="154" t="n">
        <v>3148</v>
      </c>
      <c r="B4773" s="155" t="s">
        <v>2085</v>
      </c>
      <c r="C4773" s="148" t="str">
        <f aca="false">VLOOKUP($A4773,INSUMOS_AUX!$A$3:$H$813,3,0)</f>
        <v>MAT.</v>
      </c>
      <c r="D4773" s="156" t="s">
        <v>31</v>
      </c>
      <c r="E4773" s="154" t="n">
        <v>0.0132</v>
      </c>
      <c r="F4773" s="149" t="n">
        <f aca="false">IF(C4773="MAT.",VLOOKUP(A4773,INSUMOS_AUX!$A$3:$H$813,6,0),0)</f>
        <v>14.01</v>
      </c>
      <c r="G4773" s="149" t="n">
        <f aca="false">IF(C4773="M.O.",VLOOKUP(A4773,INSUMOS_AUX!A:F,6,0),0)</f>
        <v>0</v>
      </c>
    </row>
    <row r="4774" customFormat="false" ht="21" hidden="false" customHeight="false" outlineLevel="0" collapsed="false">
      <c r="A4774" s="154" t="n">
        <v>10410</v>
      </c>
      <c r="B4774" s="155" t="s">
        <v>2286</v>
      </c>
      <c r="C4774" s="148" t="str">
        <f aca="false">VLOOKUP($A4774,INSUMOS_AUX!$A$3:$H$813,3,0)</f>
        <v>MAT.</v>
      </c>
      <c r="D4774" s="156" t="s">
        <v>31</v>
      </c>
      <c r="E4774" s="154" t="n">
        <v>1</v>
      </c>
      <c r="F4774" s="149" t="n">
        <f aca="false">IF(C4774="MAT.",VLOOKUP(A4774,INSUMOS_AUX!$A$3:$H$813,6,0),0)</f>
        <v>135.75</v>
      </c>
      <c r="G4774" s="149" t="n">
        <f aca="false">IF(C4774="M.O.",VLOOKUP(A4774,INSUMOS_AUX!A:F,6,0),0)</f>
        <v>0</v>
      </c>
    </row>
    <row r="4775" customFormat="false" ht="15" hidden="false" customHeight="false" outlineLevel="0" collapsed="false">
      <c r="A4775" s="154" t="n">
        <v>246</v>
      </c>
      <c r="B4775" s="155" t="s">
        <v>1752</v>
      </c>
      <c r="C4775" s="148" t="str">
        <f aca="false">VLOOKUP($A4775,INSUMOS_AUX!$A$3:$H$813,3,0)</f>
        <v>M.O.</v>
      </c>
      <c r="D4775" s="156" t="s">
        <v>1444</v>
      </c>
      <c r="E4775" s="154" t="n">
        <v>0.15117003</v>
      </c>
      <c r="F4775" s="149" t="n">
        <f aca="false">IF(C4775="MAT.",VLOOKUP(A4775,INSUMOS_AUX!$A$3:$H$813,6,0),0)</f>
        <v>0</v>
      </c>
      <c r="G4775" s="149" t="n">
        <f aca="false">IF(C4775="M.O.",VLOOKUP(A4775,INSUMOS_AUX!A:F,6,0),0)</f>
        <v>13.26</v>
      </c>
    </row>
    <row r="4776" customFormat="false" ht="15" hidden="false" customHeight="false" outlineLevel="0" collapsed="false">
      <c r="A4776" s="154" t="n">
        <v>2696</v>
      </c>
      <c r="B4776" s="155" t="s">
        <v>1483</v>
      </c>
      <c r="C4776" s="148" t="str">
        <f aca="false">VLOOKUP($A4776,INSUMOS_AUX!$A$3:$H$813,3,0)</f>
        <v>M.O.</v>
      </c>
      <c r="D4776" s="156" t="s">
        <v>1444</v>
      </c>
      <c r="E4776" s="154" t="n">
        <v>0.15117003</v>
      </c>
      <c r="F4776" s="149" t="n">
        <f aca="false">IF(C4776="MAT.",VLOOKUP(A4776,INSUMOS_AUX!$A$3:$H$813,6,0),0)</f>
        <v>0</v>
      </c>
      <c r="G4776" s="149" t="n">
        <f aca="false">IF(C4776="M.O.",VLOOKUP(A4776,INSUMOS_AUX!A:F,6,0),0)</f>
        <v>20.22</v>
      </c>
    </row>
    <row r="4777" customFormat="false" ht="31.5" hidden="false" customHeight="false" outlineLevel="0" collapsed="false">
      <c r="A4777" s="150" t="n">
        <v>94704</v>
      </c>
      <c r="B4777" s="151" t="s">
        <v>2287</v>
      </c>
      <c r="C4777" s="152" t="s">
        <v>59</v>
      </c>
      <c r="D4777" s="152" t="s">
        <v>31</v>
      </c>
      <c r="E4777" s="150"/>
      <c r="F4777" s="153" t="n">
        <f aca="false">(SUMPRODUCT($E4778:$E4788,F4778:F4788))*1</f>
        <v>21.186163</v>
      </c>
      <c r="G4777" s="153" t="n">
        <f aca="false">(SUMPRODUCT($E4778:$E4788,G4778:G4788))*1</f>
        <v>4.68627093</v>
      </c>
    </row>
    <row r="4778" customFormat="false" ht="21" hidden="false" customHeight="false" outlineLevel="0" collapsed="false">
      <c r="A4778" s="154" t="n">
        <v>37370</v>
      </c>
      <c r="B4778" s="155" t="s">
        <v>1443</v>
      </c>
      <c r="C4778" s="148" t="str">
        <f aca="false">VLOOKUP($A4778,INSUMOS_AUX!$A$3:$H$813,3,0)</f>
        <v>MAT.</v>
      </c>
      <c r="D4778" s="156" t="s">
        <v>1444</v>
      </c>
      <c r="E4778" s="154" t="n">
        <v>0.275</v>
      </c>
      <c r="F4778" s="149" t="n">
        <f aca="false">IF(C4778="MAT.",VLOOKUP(A4778,INSUMOS_AUX!$A$3:$H$813,6,0),0)</f>
        <v>3.32</v>
      </c>
      <c r="G4778" s="149" t="n">
        <f aca="false">IF(C4778="M.O.",VLOOKUP(A4778,INSUMOS_AUX!A:F,6,0),0)</f>
        <v>0</v>
      </c>
    </row>
    <row r="4779" customFormat="false" ht="21" hidden="false" customHeight="false" outlineLevel="0" collapsed="false">
      <c r="A4779" s="154" t="n">
        <v>43485</v>
      </c>
      <c r="B4779" s="155" t="s">
        <v>1481</v>
      </c>
      <c r="C4779" s="148" t="str">
        <f aca="false">VLOOKUP($A4779,INSUMOS_AUX!$A$3:$H$813,3,0)</f>
        <v>MAT.</v>
      </c>
      <c r="D4779" s="156" t="s">
        <v>1444</v>
      </c>
      <c r="E4779" s="154" t="n">
        <v>0.275</v>
      </c>
      <c r="F4779" s="149" t="n">
        <f aca="false">IF(C4779="MAT.",VLOOKUP(A4779,INSUMOS_AUX!$A$3:$H$813,6,0),0)</f>
        <v>1.13</v>
      </c>
      <c r="G4779" s="149" t="n">
        <f aca="false">IF(C4779="M.O.",VLOOKUP(A4779,INSUMOS_AUX!A:F,6,0),0)</f>
        <v>0</v>
      </c>
    </row>
    <row r="4780" customFormat="false" ht="21" hidden="false" customHeight="false" outlineLevel="0" collapsed="false">
      <c r="A4780" s="154" t="n">
        <v>37372</v>
      </c>
      <c r="B4780" s="155" t="s">
        <v>1446</v>
      </c>
      <c r="C4780" s="148" t="str">
        <f aca="false">VLOOKUP($A4780,INSUMOS_AUX!$A$3:$H$813,3,0)</f>
        <v>MAT.</v>
      </c>
      <c r="D4780" s="156" t="s">
        <v>1444</v>
      </c>
      <c r="E4780" s="154" t="n">
        <v>0.275</v>
      </c>
      <c r="F4780" s="149" t="n">
        <f aca="false">IF(C4780="MAT.",VLOOKUP(A4780,INSUMOS_AUX!$A$3:$H$813,6,0),0)</f>
        <v>1.43</v>
      </c>
      <c r="G4780" s="149" t="n">
        <f aca="false">IF(C4780="M.O.",VLOOKUP(A4780,INSUMOS_AUX!A:F,6,0),0)</f>
        <v>0</v>
      </c>
    </row>
    <row r="4781" customFormat="false" ht="21" hidden="false" customHeight="false" outlineLevel="0" collapsed="false">
      <c r="A4781" s="154" t="n">
        <v>43461</v>
      </c>
      <c r="B4781" s="155" t="s">
        <v>1482</v>
      </c>
      <c r="C4781" s="148" t="str">
        <f aca="false">VLOOKUP($A4781,INSUMOS_AUX!$A$3:$H$813,3,0)</f>
        <v>MAT.</v>
      </c>
      <c r="D4781" s="156" t="s">
        <v>1444</v>
      </c>
      <c r="E4781" s="154" t="n">
        <v>0.275</v>
      </c>
      <c r="F4781" s="149" t="n">
        <f aca="false">IF(C4781="MAT.",VLOOKUP(A4781,INSUMOS_AUX!$A$3:$H$813,6,0),0)</f>
        <v>0.31</v>
      </c>
      <c r="G4781" s="149" t="n">
        <f aca="false">IF(C4781="M.O.",VLOOKUP(A4781,INSUMOS_AUX!A:F,6,0),0)</f>
        <v>0</v>
      </c>
    </row>
    <row r="4782" customFormat="false" ht="21" hidden="false" customHeight="false" outlineLevel="0" collapsed="false">
      <c r="A4782" s="154" t="n">
        <v>37373</v>
      </c>
      <c r="B4782" s="155" t="s">
        <v>1448</v>
      </c>
      <c r="C4782" s="148" t="str">
        <f aca="false">VLOOKUP($A4782,INSUMOS_AUX!$A$3:$H$813,3,0)</f>
        <v>MAT.</v>
      </c>
      <c r="D4782" s="156" t="s">
        <v>1444</v>
      </c>
      <c r="E4782" s="154" t="n">
        <v>0.275</v>
      </c>
      <c r="F4782" s="149" t="n">
        <f aca="false">IF(C4782="MAT.",VLOOKUP(A4782,INSUMOS_AUX!$A$3:$H$813,6,0),0)</f>
        <v>0.08</v>
      </c>
      <c r="G4782" s="149" t="n">
        <f aca="false">IF(C4782="M.O.",VLOOKUP(A4782,INSUMOS_AUX!A:F,6,0),0)</f>
        <v>0</v>
      </c>
    </row>
    <row r="4783" customFormat="false" ht="21" hidden="false" customHeight="false" outlineLevel="0" collapsed="false">
      <c r="A4783" s="154" t="n">
        <v>37371</v>
      </c>
      <c r="B4783" s="155" t="s">
        <v>1449</v>
      </c>
      <c r="C4783" s="148" t="str">
        <f aca="false">VLOOKUP($A4783,INSUMOS_AUX!$A$3:$H$813,3,0)</f>
        <v>MAT.</v>
      </c>
      <c r="D4783" s="156" t="s">
        <v>1444</v>
      </c>
      <c r="E4783" s="154" t="n">
        <v>0.275</v>
      </c>
      <c r="F4783" s="149" t="n">
        <f aca="false">IF(C4783="MAT.",VLOOKUP(A4783,INSUMOS_AUX!$A$3:$H$813,6,0),0)</f>
        <v>0.59</v>
      </c>
      <c r="G4783" s="149" t="n">
        <f aca="false">IF(C4783="M.O.",VLOOKUP(A4783,INSUMOS_AUX!A:F,6,0),0)</f>
        <v>0</v>
      </c>
    </row>
    <row r="4784" customFormat="false" ht="21" hidden="false" customHeight="false" outlineLevel="0" collapsed="false">
      <c r="A4784" s="154" t="n">
        <v>97</v>
      </c>
      <c r="B4784" s="155" t="s">
        <v>2288</v>
      </c>
      <c r="C4784" s="148" t="str">
        <f aca="false">VLOOKUP($A4784,INSUMOS_AUX!$A$3:$H$813,3,0)</f>
        <v>MAT.</v>
      </c>
      <c r="D4784" s="156" t="s">
        <v>31</v>
      </c>
      <c r="E4784" s="154" t="n">
        <v>1</v>
      </c>
      <c r="F4784" s="149" t="n">
        <f aca="false">IF(C4784="MAT.",VLOOKUP(A4784,INSUMOS_AUX!$A$3:$H$813,6,0),0)</f>
        <v>18.61</v>
      </c>
      <c r="G4784" s="149" t="n">
        <f aca="false">IF(C4784="M.O.",VLOOKUP(A4784,INSUMOS_AUX!A:F,6,0),0)</f>
        <v>0</v>
      </c>
    </row>
    <row r="4785" customFormat="false" ht="15" hidden="false" customHeight="false" outlineLevel="0" collapsed="false">
      <c r="A4785" s="154" t="n">
        <v>122</v>
      </c>
      <c r="B4785" s="155" t="s">
        <v>2097</v>
      </c>
      <c r="C4785" s="148" t="str">
        <f aca="false">VLOOKUP($A4785,INSUMOS_AUX!$A$3:$H$813,3,0)</f>
        <v>MAT.</v>
      </c>
      <c r="D4785" s="156" t="s">
        <v>31</v>
      </c>
      <c r="E4785" s="154" t="n">
        <v>0.0047</v>
      </c>
      <c r="F4785" s="149" t="n">
        <f aca="false">IF(C4785="MAT.",VLOOKUP(A4785,INSUMOS_AUX!$A$3:$H$813,6,0),0)</f>
        <v>63.09</v>
      </c>
      <c r="G4785" s="149" t="n">
        <f aca="false">IF(C4785="M.O.",VLOOKUP(A4785,INSUMOS_AUX!A:F,6,0),0)</f>
        <v>0</v>
      </c>
    </row>
    <row r="4786" customFormat="false" ht="21" hidden="false" customHeight="false" outlineLevel="0" collapsed="false">
      <c r="A4786" s="154" t="n">
        <v>20083</v>
      </c>
      <c r="B4786" s="155" t="s">
        <v>2095</v>
      </c>
      <c r="C4786" s="148" t="str">
        <f aca="false">VLOOKUP($A4786,INSUMOS_AUX!$A$3:$H$813,3,0)</f>
        <v>MAT.</v>
      </c>
      <c r="D4786" s="156" t="s">
        <v>31</v>
      </c>
      <c r="E4786" s="154" t="n">
        <v>0.0055</v>
      </c>
      <c r="F4786" s="149" t="n">
        <f aca="false">IF(C4786="MAT.",VLOOKUP(A4786,INSUMOS_AUX!$A$3:$H$813,6,0),0)</f>
        <v>71.48</v>
      </c>
      <c r="G4786" s="149" t="n">
        <f aca="false">IF(C4786="M.O.",VLOOKUP(A4786,INSUMOS_AUX!A:F,6,0),0)</f>
        <v>0</v>
      </c>
    </row>
    <row r="4787" customFormat="false" ht="15" hidden="false" customHeight="false" outlineLevel="0" collapsed="false">
      <c r="A4787" s="154" t="n">
        <v>246</v>
      </c>
      <c r="B4787" s="155" t="s">
        <v>1752</v>
      </c>
      <c r="C4787" s="148" t="str">
        <f aca="false">VLOOKUP($A4787,INSUMOS_AUX!$A$3:$H$813,3,0)</f>
        <v>M.O.</v>
      </c>
      <c r="D4787" s="156" t="s">
        <v>1444</v>
      </c>
      <c r="E4787" s="154" t="n">
        <v>0.13997225</v>
      </c>
      <c r="F4787" s="149" t="n">
        <f aca="false">IF(C4787="MAT.",VLOOKUP(A4787,INSUMOS_AUX!$A$3:$H$813,6,0),0)</f>
        <v>0</v>
      </c>
      <c r="G4787" s="149" t="n">
        <f aca="false">IF(C4787="M.O.",VLOOKUP(A4787,INSUMOS_AUX!A:F,6,0),0)</f>
        <v>13.26</v>
      </c>
    </row>
    <row r="4788" customFormat="false" ht="15" hidden="false" customHeight="false" outlineLevel="0" collapsed="false">
      <c r="A4788" s="154" t="n">
        <v>2696</v>
      </c>
      <c r="B4788" s="155" t="s">
        <v>1483</v>
      </c>
      <c r="C4788" s="148" t="str">
        <f aca="false">VLOOKUP($A4788,INSUMOS_AUX!$A$3:$H$813,3,0)</f>
        <v>M.O.</v>
      </c>
      <c r="D4788" s="156" t="s">
        <v>1444</v>
      </c>
      <c r="E4788" s="154" t="n">
        <v>0.13997225</v>
      </c>
      <c r="F4788" s="149" t="n">
        <f aca="false">IF(C4788="MAT.",VLOOKUP(A4788,INSUMOS_AUX!$A$3:$H$813,6,0),0)</f>
        <v>0</v>
      </c>
      <c r="G4788" s="149" t="n">
        <f aca="false">IF(C4788="M.O.",VLOOKUP(A4788,INSUMOS_AUX!A:F,6,0),0)</f>
        <v>20.22</v>
      </c>
    </row>
    <row r="4789" customFormat="false" ht="31.5" hidden="false" customHeight="false" outlineLevel="0" collapsed="false">
      <c r="A4789" s="150" t="n">
        <v>94706</v>
      </c>
      <c r="B4789" s="151" t="s">
        <v>2289</v>
      </c>
      <c r="C4789" s="152" t="s">
        <v>59</v>
      </c>
      <c r="D4789" s="152" t="s">
        <v>31</v>
      </c>
      <c r="E4789" s="150"/>
      <c r="F4789" s="153" t="n">
        <f aca="false">(SUMPRODUCT($E4790:$E4801,F4790:F4801))*1</f>
        <v>28.694436</v>
      </c>
      <c r="G4789" s="153" t="n">
        <f aca="false">(SUMPRODUCT($E4790:$E4801,G4790:G4801))*1</f>
        <v>1.98696665856</v>
      </c>
    </row>
    <row r="4790" customFormat="false" ht="21" hidden="false" customHeight="false" outlineLevel="0" collapsed="false">
      <c r="A4790" s="154" t="n">
        <v>37370</v>
      </c>
      <c r="B4790" s="155" t="s">
        <v>1443</v>
      </c>
      <c r="C4790" s="148" t="s">
        <v>59</v>
      </c>
      <c r="D4790" s="156" t="s">
        <v>1444</v>
      </c>
      <c r="E4790" s="154" t="n">
        <v>0.2944</v>
      </c>
      <c r="F4790" s="149" t="n">
        <f aca="false">IF(C4790="MAT.",VLOOKUP(A4790,INSUMOS_AUX!$A$3:$H$813,6,0),0)</f>
        <v>0</v>
      </c>
      <c r="G4790" s="149" t="n">
        <f aca="false">IF(C4790="M.O.",VLOOKUP(A4790,INSUMOS_AUX!A:F,6,0),0)</f>
        <v>0</v>
      </c>
    </row>
    <row r="4791" customFormat="false" ht="21" hidden="false" customHeight="false" outlineLevel="0" collapsed="false">
      <c r="A4791" s="154" t="n">
        <v>43485</v>
      </c>
      <c r="B4791" s="155" t="s">
        <v>1481</v>
      </c>
      <c r="C4791" s="148" t="str">
        <f aca="false">VLOOKUP($A4791,INSUMOS_AUX!$A$3:$H$813,3,0)</f>
        <v>MAT.</v>
      </c>
      <c r="D4791" s="156" t="s">
        <v>1444</v>
      </c>
      <c r="E4791" s="154" t="n">
        <v>0.2944</v>
      </c>
      <c r="F4791" s="149" t="n">
        <f aca="false">IF(C4791="MAT.",VLOOKUP(A4791,INSUMOS_AUX!$A$3:$H$813,6,0),0)</f>
        <v>1.13</v>
      </c>
      <c r="G4791" s="149" t="n">
        <f aca="false">IF(C4791="M.O.",VLOOKUP(A4791,INSUMOS_AUX!A:F,6,0),0)</f>
        <v>0</v>
      </c>
    </row>
    <row r="4792" customFormat="false" ht="21" hidden="false" customHeight="false" outlineLevel="0" collapsed="false">
      <c r="A4792" s="154" t="n">
        <v>37372</v>
      </c>
      <c r="B4792" s="155" t="s">
        <v>1446</v>
      </c>
      <c r="C4792" s="148" t="str">
        <f aca="false">VLOOKUP($A4792,INSUMOS_AUX!$A$3:$H$813,3,0)</f>
        <v>MAT.</v>
      </c>
      <c r="D4792" s="156" t="s">
        <v>1444</v>
      </c>
      <c r="E4792" s="154" t="n">
        <v>0.2944</v>
      </c>
      <c r="F4792" s="149" t="n">
        <f aca="false">IF(C4792="MAT.",VLOOKUP(A4792,INSUMOS_AUX!$A$3:$H$813,6,0),0)</f>
        <v>1.43</v>
      </c>
      <c r="G4792" s="149" t="n">
        <f aca="false">IF(C4792="M.O.",VLOOKUP(A4792,INSUMOS_AUX!A:F,6,0),0)</f>
        <v>0</v>
      </c>
    </row>
    <row r="4793" customFormat="false" ht="21" hidden="false" customHeight="false" outlineLevel="0" collapsed="false">
      <c r="A4793" s="154" t="n">
        <v>43461</v>
      </c>
      <c r="B4793" s="155" t="s">
        <v>1482</v>
      </c>
      <c r="C4793" s="148" t="str">
        <f aca="false">VLOOKUP($A4793,INSUMOS_AUX!$A$3:$H$813,3,0)</f>
        <v>MAT.</v>
      </c>
      <c r="D4793" s="156" t="s">
        <v>1444</v>
      </c>
      <c r="E4793" s="154" t="n">
        <v>0.2944</v>
      </c>
      <c r="F4793" s="149" t="n">
        <f aca="false">IF(C4793="MAT.",VLOOKUP(A4793,INSUMOS_AUX!$A$3:$H$813,6,0),0)</f>
        <v>0.31</v>
      </c>
      <c r="G4793" s="149" t="n">
        <f aca="false">IF(C4793="M.O.",VLOOKUP(A4793,INSUMOS_AUX!A:F,6,0),0)</f>
        <v>0</v>
      </c>
    </row>
    <row r="4794" customFormat="false" ht="21" hidden="false" customHeight="false" outlineLevel="0" collapsed="false">
      <c r="A4794" s="154" t="n">
        <v>37373</v>
      </c>
      <c r="B4794" s="155" t="s">
        <v>1448</v>
      </c>
      <c r="C4794" s="148" t="str">
        <f aca="false">VLOOKUP($A4794,INSUMOS_AUX!$A$3:$H$813,3,0)</f>
        <v>MAT.</v>
      </c>
      <c r="D4794" s="156" t="s">
        <v>1444</v>
      </c>
      <c r="E4794" s="154" t="n">
        <v>0.2944</v>
      </c>
      <c r="F4794" s="149" t="n">
        <f aca="false">IF(C4794="MAT.",VLOOKUP(A4794,INSUMOS_AUX!$A$3:$H$813,6,0),0)</f>
        <v>0.08</v>
      </c>
      <c r="G4794" s="149" t="n">
        <f aca="false">IF(C4794="M.O.",VLOOKUP(A4794,INSUMOS_AUX!A:F,6,0),0)</f>
        <v>0</v>
      </c>
    </row>
    <row r="4795" customFormat="false" ht="21" hidden="false" customHeight="false" outlineLevel="0" collapsed="false">
      <c r="A4795" s="154" t="n">
        <v>37371</v>
      </c>
      <c r="B4795" s="155" t="s">
        <v>1449</v>
      </c>
      <c r="C4795" s="148" t="str">
        <f aca="false">VLOOKUP($A4795,INSUMOS_AUX!$A$3:$H$813,3,0)</f>
        <v>MAT.</v>
      </c>
      <c r="D4795" s="156" t="s">
        <v>1444</v>
      </c>
      <c r="E4795" s="154" t="n">
        <v>0.2944</v>
      </c>
      <c r="F4795" s="149" t="n">
        <f aca="false">IF(C4795="MAT.",VLOOKUP(A4795,INSUMOS_AUX!$A$3:$H$813,6,0),0)</f>
        <v>0.59</v>
      </c>
      <c r="G4795" s="149" t="n">
        <f aca="false">IF(C4795="M.O.",VLOOKUP(A4795,INSUMOS_AUX!A:F,6,0),0)</f>
        <v>0</v>
      </c>
    </row>
    <row r="4796" customFormat="false" ht="21" hidden="false" customHeight="false" outlineLevel="0" collapsed="false">
      <c r="A4796" s="154" t="n">
        <v>99</v>
      </c>
      <c r="B4796" s="155" t="s">
        <v>2290</v>
      </c>
      <c r="C4796" s="148" t="str">
        <f aca="false">VLOOKUP($A4796,INSUMOS_AUX!$A$3:$H$813,3,0)</f>
        <v>MAT.</v>
      </c>
      <c r="D4796" s="156" t="s">
        <v>31</v>
      </c>
      <c r="E4796" s="154" t="n">
        <v>1</v>
      </c>
      <c r="F4796" s="149" t="n">
        <f aca="false">IF(C4796="MAT.",VLOOKUP(A4796,INSUMOS_AUX!$A$3:$H$813,6,0),0)</f>
        <v>26.33</v>
      </c>
      <c r="G4796" s="149" t="n">
        <f aca="false">IF(C4796="M.O.",VLOOKUP(A4796,INSUMOS_AUX!A:F,6,0),0)</f>
        <v>0</v>
      </c>
    </row>
    <row r="4797" customFormat="false" ht="15" hidden="false" customHeight="false" outlineLevel="0" collapsed="false">
      <c r="A4797" s="154" t="n">
        <v>122</v>
      </c>
      <c r="B4797" s="155" t="s">
        <v>2097</v>
      </c>
      <c r="C4797" s="148" t="str">
        <f aca="false">VLOOKUP($A4797,INSUMOS_AUX!$A$3:$H$813,3,0)</f>
        <v>MAT.</v>
      </c>
      <c r="D4797" s="156" t="s">
        <v>31</v>
      </c>
      <c r="E4797" s="154" t="n">
        <v>0.0082</v>
      </c>
      <c r="F4797" s="149" t="n">
        <f aca="false">IF(C4797="MAT.",VLOOKUP(A4797,INSUMOS_AUX!$A$3:$H$813,6,0),0)</f>
        <v>63.09</v>
      </c>
      <c r="G4797" s="149" t="n">
        <f aca="false">IF(C4797="M.O.",VLOOKUP(A4797,INSUMOS_AUX!A:F,6,0),0)</f>
        <v>0</v>
      </c>
    </row>
    <row r="4798" customFormat="false" ht="15" hidden="false" customHeight="false" outlineLevel="0" collapsed="false">
      <c r="A4798" s="154" t="n">
        <v>38383</v>
      </c>
      <c r="B4798" s="155" t="s">
        <v>2093</v>
      </c>
      <c r="C4798" s="148" t="str">
        <f aca="false">VLOOKUP($A4798,INSUMOS_AUX!$A$3:$H$813,3,0)</f>
        <v>MAT.</v>
      </c>
      <c r="D4798" s="156" t="s">
        <v>31</v>
      </c>
      <c r="E4798" s="154" t="n">
        <v>0.0078</v>
      </c>
      <c r="F4798" s="149" t="n">
        <f aca="false">IF(C4798="MAT.",VLOOKUP(A4798,INSUMOS_AUX!$A$3:$H$813,6,0),0)</f>
        <v>2.39</v>
      </c>
      <c r="G4798" s="149" t="n">
        <f aca="false">IF(C4798="M.O.",VLOOKUP(A4798,INSUMOS_AUX!A:F,6,0),0)</f>
        <v>0</v>
      </c>
    </row>
    <row r="4799" customFormat="false" ht="21" hidden="false" customHeight="false" outlineLevel="0" collapsed="false">
      <c r="A4799" s="154" t="n">
        <v>20083</v>
      </c>
      <c r="B4799" s="155" t="s">
        <v>2095</v>
      </c>
      <c r="C4799" s="148" t="str">
        <f aca="false">VLOOKUP($A4799,INSUMOS_AUX!$A$3:$H$813,3,0)</f>
        <v>MAT.</v>
      </c>
      <c r="D4799" s="156" t="s">
        <v>31</v>
      </c>
      <c r="E4799" s="154" t="n">
        <v>0.011</v>
      </c>
      <c r="F4799" s="149" t="n">
        <f aca="false">IF(C4799="MAT.",VLOOKUP(A4799,INSUMOS_AUX!$A$3:$H$813,6,0),0)</f>
        <v>71.48</v>
      </c>
      <c r="G4799" s="149" t="n">
        <f aca="false">IF(C4799="M.O.",VLOOKUP(A4799,INSUMOS_AUX!A:F,6,0),0)</f>
        <v>0</v>
      </c>
    </row>
    <row r="4800" customFormat="false" ht="15" hidden="false" customHeight="false" outlineLevel="0" collapsed="false">
      <c r="A4800" s="154" t="n">
        <v>246</v>
      </c>
      <c r="B4800" s="155" t="s">
        <v>1752</v>
      </c>
      <c r="C4800" s="148" t="str">
        <f aca="false">VLOOKUP($A4800,INSUMOS_AUX!$A$3:$H$813,3,0)</f>
        <v>M.O.</v>
      </c>
      <c r="D4800" s="156" t="s">
        <v>1444</v>
      </c>
      <c r="E4800" s="154" t="n">
        <v>0.149846656</v>
      </c>
      <c r="F4800" s="149" t="n">
        <f aca="false">IF(C4800="MAT.",VLOOKUP(A4800,INSUMOS_AUX!$A$3:$H$813,6,0),0)</f>
        <v>0</v>
      </c>
      <c r="G4800" s="149" t="n">
        <f aca="false">IF(C4800="M.O.",VLOOKUP(A4800,INSUMOS_AUX!A:F,6,0),0)</f>
        <v>13.26</v>
      </c>
    </row>
    <row r="4801" customFormat="false" ht="15" hidden="false" customHeight="false" outlineLevel="0" collapsed="false">
      <c r="A4801" s="154" t="n">
        <v>2696</v>
      </c>
      <c r="B4801" s="155" t="s">
        <v>1483</v>
      </c>
      <c r="C4801" s="148" t="s">
        <v>59</v>
      </c>
      <c r="D4801" s="156" t="s">
        <v>1444</v>
      </c>
      <c r="E4801" s="154" t="n">
        <v>0.149846656</v>
      </c>
      <c r="F4801" s="149" t="n">
        <f aca="false">IF(C4801="MAT.",VLOOKUP(A4801,INSUMOS_AUX!$A$3:$H$813,6,0),0)</f>
        <v>0</v>
      </c>
      <c r="G4801" s="149" t="n">
        <f aca="false">IF(C4801="M.O.",VLOOKUP(A4801,INSUMOS_AUX!A:F,6,0),0)</f>
        <v>0</v>
      </c>
    </row>
    <row r="4802" customFormat="false" ht="31.5" hidden="false" customHeight="false" outlineLevel="0" collapsed="false">
      <c r="A4802" s="150" t="n">
        <v>94713</v>
      </c>
      <c r="B4802" s="151" t="s">
        <v>2291</v>
      </c>
      <c r="C4802" s="152" t="s">
        <v>59</v>
      </c>
      <c r="D4802" s="152" t="s">
        <v>31</v>
      </c>
      <c r="E4802" s="150"/>
      <c r="F4802" s="153" t="n">
        <f aca="false">(SUMPRODUCT($E4803:$E4814,F4803:F4814))*1</f>
        <v>219.020739</v>
      </c>
      <c r="G4802" s="153" t="n">
        <f aca="false">(SUMPRODUCT($E4803:$E4814,G4803:G4814))*1</f>
        <v>9.29074513104</v>
      </c>
    </row>
    <row r="4803" customFormat="false" ht="21" hidden="false" customHeight="false" outlineLevel="0" collapsed="false">
      <c r="A4803" s="154" t="n">
        <v>37370</v>
      </c>
      <c r="B4803" s="155" t="s">
        <v>1443</v>
      </c>
      <c r="C4803" s="148" t="str">
        <f aca="false">VLOOKUP($A4803,INSUMOS_AUX!$A$3:$H$813,3,0)</f>
        <v>MAT.</v>
      </c>
      <c r="D4803" s="156" t="s">
        <v>1444</v>
      </c>
      <c r="E4803" s="154" t="n">
        <v>0.5452</v>
      </c>
      <c r="F4803" s="149" t="n">
        <f aca="false">IF(C4803="MAT.",VLOOKUP(A4803,INSUMOS_AUX!$A$3:$H$813,6,0),0)</f>
        <v>3.32</v>
      </c>
      <c r="G4803" s="149" t="n">
        <f aca="false">IF(C4803="M.O.",VLOOKUP(A4803,INSUMOS_AUX!A:F,6,0),0)</f>
        <v>0</v>
      </c>
    </row>
    <row r="4804" customFormat="false" ht="21" hidden="false" customHeight="false" outlineLevel="0" collapsed="false">
      <c r="A4804" s="154" t="n">
        <v>43485</v>
      </c>
      <c r="B4804" s="155" t="s">
        <v>1481</v>
      </c>
      <c r="C4804" s="148" t="str">
        <f aca="false">VLOOKUP($A4804,INSUMOS_AUX!$A$3:$H$813,3,0)</f>
        <v>MAT.</v>
      </c>
      <c r="D4804" s="156" t="s">
        <v>1444</v>
      </c>
      <c r="E4804" s="154" t="n">
        <v>0.5452</v>
      </c>
      <c r="F4804" s="149" t="n">
        <f aca="false">IF(C4804="MAT.",VLOOKUP(A4804,INSUMOS_AUX!$A$3:$H$813,6,0),0)</f>
        <v>1.13</v>
      </c>
      <c r="G4804" s="149" t="n">
        <f aca="false">IF(C4804="M.O.",VLOOKUP(A4804,INSUMOS_AUX!A:F,6,0),0)</f>
        <v>0</v>
      </c>
    </row>
    <row r="4805" customFormat="false" ht="21" hidden="false" customHeight="false" outlineLevel="0" collapsed="false">
      <c r="A4805" s="154" t="n">
        <v>37372</v>
      </c>
      <c r="B4805" s="155" t="s">
        <v>1446</v>
      </c>
      <c r="C4805" s="148" t="str">
        <f aca="false">VLOOKUP($A4805,INSUMOS_AUX!$A$3:$H$813,3,0)</f>
        <v>MAT.</v>
      </c>
      <c r="D4805" s="156" t="s">
        <v>1444</v>
      </c>
      <c r="E4805" s="154" t="n">
        <v>0.5452</v>
      </c>
      <c r="F4805" s="149" t="n">
        <f aca="false">IF(C4805="MAT.",VLOOKUP(A4805,INSUMOS_AUX!$A$3:$H$813,6,0),0)</f>
        <v>1.43</v>
      </c>
      <c r="G4805" s="149" t="n">
        <f aca="false">IF(C4805="M.O.",VLOOKUP(A4805,INSUMOS_AUX!A:F,6,0),0)</f>
        <v>0</v>
      </c>
    </row>
    <row r="4806" customFormat="false" ht="21" hidden="false" customHeight="false" outlineLevel="0" collapsed="false">
      <c r="A4806" s="154" t="n">
        <v>43461</v>
      </c>
      <c r="B4806" s="155" t="s">
        <v>1482</v>
      </c>
      <c r="C4806" s="148" t="str">
        <f aca="false">VLOOKUP($A4806,INSUMOS_AUX!$A$3:$H$813,3,0)</f>
        <v>MAT.</v>
      </c>
      <c r="D4806" s="156" t="s">
        <v>1444</v>
      </c>
      <c r="E4806" s="154" t="n">
        <v>0.5452</v>
      </c>
      <c r="F4806" s="149" t="n">
        <f aca="false">IF(C4806="MAT.",VLOOKUP(A4806,INSUMOS_AUX!$A$3:$H$813,6,0),0)</f>
        <v>0.31</v>
      </c>
      <c r="G4806" s="149" t="n">
        <f aca="false">IF(C4806="M.O.",VLOOKUP(A4806,INSUMOS_AUX!A:F,6,0),0)</f>
        <v>0</v>
      </c>
    </row>
    <row r="4807" customFormat="false" ht="21" hidden="false" customHeight="false" outlineLevel="0" collapsed="false">
      <c r="A4807" s="154" t="n">
        <v>37373</v>
      </c>
      <c r="B4807" s="155" t="s">
        <v>1448</v>
      </c>
      <c r="C4807" s="148" t="str">
        <f aca="false">VLOOKUP($A4807,INSUMOS_AUX!$A$3:$H$813,3,0)</f>
        <v>MAT.</v>
      </c>
      <c r="D4807" s="156" t="s">
        <v>1444</v>
      </c>
      <c r="E4807" s="154" t="n">
        <v>0.5452</v>
      </c>
      <c r="F4807" s="149" t="n">
        <f aca="false">IF(C4807="MAT.",VLOOKUP(A4807,INSUMOS_AUX!$A$3:$H$813,6,0),0)</f>
        <v>0.08</v>
      </c>
      <c r="G4807" s="149" t="n">
        <f aca="false">IF(C4807="M.O.",VLOOKUP(A4807,INSUMOS_AUX!A:F,6,0),0)</f>
        <v>0</v>
      </c>
    </row>
    <row r="4808" customFormat="false" ht="21" hidden="false" customHeight="false" outlineLevel="0" collapsed="false">
      <c r="A4808" s="154" t="n">
        <v>37371</v>
      </c>
      <c r="B4808" s="155" t="s">
        <v>1449</v>
      </c>
      <c r="C4808" s="148" t="str">
        <f aca="false">VLOOKUP($A4808,INSUMOS_AUX!$A$3:$H$813,3,0)</f>
        <v>MAT.</v>
      </c>
      <c r="D4808" s="156" t="s">
        <v>1444</v>
      </c>
      <c r="E4808" s="154" t="n">
        <v>0.5452</v>
      </c>
      <c r="F4808" s="149" t="n">
        <f aca="false">IF(C4808="MAT.",VLOOKUP(A4808,INSUMOS_AUX!$A$3:$H$813,6,0),0)</f>
        <v>0.59</v>
      </c>
      <c r="G4808" s="149" t="n">
        <f aca="false">IF(C4808="M.O.",VLOOKUP(A4808,INSUMOS_AUX!A:F,6,0),0)</f>
        <v>0</v>
      </c>
    </row>
    <row r="4809" customFormat="false" ht="21" hidden="false" customHeight="false" outlineLevel="0" collapsed="false">
      <c r="A4809" s="154" t="n">
        <v>83</v>
      </c>
      <c r="B4809" s="155" t="s">
        <v>2292</v>
      </c>
      <c r="C4809" s="148" t="str">
        <f aca="false">VLOOKUP($A4809,INSUMOS_AUX!$A$3:$H$813,3,0)</f>
        <v>MAT.</v>
      </c>
      <c r="D4809" s="156" t="s">
        <v>31</v>
      </c>
      <c r="E4809" s="154" t="n">
        <v>1</v>
      </c>
      <c r="F4809" s="149" t="n">
        <f aca="false">IF(C4809="MAT.",VLOOKUP(A4809,INSUMOS_AUX!$A$3:$H$813,6,0),0)</f>
        <v>214.43</v>
      </c>
      <c r="G4809" s="149" t="n">
        <f aca="false">IF(C4809="M.O.",VLOOKUP(A4809,INSUMOS_AUX!A:F,6,0),0)</f>
        <v>0</v>
      </c>
    </row>
    <row r="4810" customFormat="false" ht="15" hidden="false" customHeight="false" outlineLevel="0" collapsed="false">
      <c r="A4810" s="154" t="n">
        <v>122</v>
      </c>
      <c r="B4810" s="155" t="s">
        <v>2097</v>
      </c>
      <c r="C4810" s="148" t="str">
        <f aca="false">VLOOKUP($A4810,INSUMOS_AUX!$A$3:$H$813,3,0)</f>
        <v>MAT.</v>
      </c>
      <c r="D4810" s="156" t="s">
        <v>31</v>
      </c>
      <c r="E4810" s="154" t="n">
        <v>0.0129</v>
      </c>
      <c r="F4810" s="149" t="n">
        <f aca="false">IF(C4810="MAT.",VLOOKUP(A4810,INSUMOS_AUX!$A$3:$H$813,6,0),0)</f>
        <v>63.09</v>
      </c>
      <c r="G4810" s="149" t="n">
        <f aca="false">IF(C4810="M.O.",VLOOKUP(A4810,INSUMOS_AUX!A:F,6,0),0)</f>
        <v>0</v>
      </c>
    </row>
    <row r="4811" customFormat="false" ht="15" hidden="false" customHeight="false" outlineLevel="0" collapsed="false">
      <c r="A4811" s="154" t="n">
        <v>38383</v>
      </c>
      <c r="B4811" s="155" t="s">
        <v>2093</v>
      </c>
      <c r="C4811" s="148" t="str">
        <f aca="false">VLOOKUP($A4811,INSUMOS_AUX!$A$3:$H$813,3,0)</f>
        <v>MAT.</v>
      </c>
      <c r="D4811" s="156" t="s">
        <v>31</v>
      </c>
      <c r="E4811" s="154" t="n">
        <v>0.0154</v>
      </c>
      <c r="F4811" s="149" t="n">
        <f aca="false">IF(C4811="MAT.",VLOOKUP(A4811,INSUMOS_AUX!$A$3:$H$813,6,0),0)</f>
        <v>2.39</v>
      </c>
      <c r="G4811" s="149" t="n">
        <f aca="false">IF(C4811="M.O.",VLOOKUP(A4811,INSUMOS_AUX!A:F,6,0),0)</f>
        <v>0</v>
      </c>
    </row>
    <row r="4812" customFormat="false" ht="21" hidden="false" customHeight="false" outlineLevel="0" collapsed="false">
      <c r="A4812" s="154" t="n">
        <v>20083</v>
      </c>
      <c r="B4812" s="155" t="s">
        <v>2095</v>
      </c>
      <c r="C4812" s="148" t="s">
        <v>59</v>
      </c>
      <c r="D4812" s="156" t="s">
        <v>31</v>
      </c>
      <c r="E4812" s="154" t="n">
        <v>0.025</v>
      </c>
      <c r="F4812" s="149" t="n">
        <f aca="false">IF(C4812="MAT.",VLOOKUP(A4812,INSUMOS_AUX!$A$3:$H$813,6,0),0)</f>
        <v>0</v>
      </c>
      <c r="G4812" s="149" t="n">
        <f aca="false">IF(C4812="M.O.",VLOOKUP(A4812,INSUMOS_AUX!A:F,6,0),0)</f>
        <v>0</v>
      </c>
    </row>
    <row r="4813" customFormat="false" ht="15" hidden="false" customHeight="false" outlineLevel="0" collapsed="false">
      <c r="A4813" s="154" t="n">
        <v>246</v>
      </c>
      <c r="B4813" s="155" t="s">
        <v>1752</v>
      </c>
      <c r="C4813" s="148" t="str">
        <f aca="false">VLOOKUP($A4813,INSUMOS_AUX!$A$3:$H$813,3,0)</f>
        <v>M.O.</v>
      </c>
      <c r="D4813" s="156" t="s">
        <v>1444</v>
      </c>
      <c r="E4813" s="154" t="n">
        <v>0.277501348</v>
      </c>
      <c r="F4813" s="149" t="n">
        <f aca="false">IF(C4813="MAT.",VLOOKUP(A4813,INSUMOS_AUX!$A$3:$H$813,6,0),0)</f>
        <v>0</v>
      </c>
      <c r="G4813" s="149" t="n">
        <f aca="false">IF(C4813="M.O.",VLOOKUP(A4813,INSUMOS_AUX!A:F,6,0),0)</f>
        <v>13.26</v>
      </c>
    </row>
    <row r="4814" customFormat="false" ht="15" hidden="false" customHeight="false" outlineLevel="0" collapsed="false">
      <c r="A4814" s="154" t="n">
        <v>2696</v>
      </c>
      <c r="B4814" s="155" t="s">
        <v>1483</v>
      </c>
      <c r="C4814" s="148" t="str">
        <f aca="false">VLOOKUP($A4814,INSUMOS_AUX!$A$3:$H$813,3,0)</f>
        <v>M.O.</v>
      </c>
      <c r="D4814" s="156" t="s">
        <v>1444</v>
      </c>
      <c r="E4814" s="154" t="n">
        <v>0.277501348</v>
      </c>
      <c r="F4814" s="149" t="n">
        <f aca="false">IF(C4814="MAT.",VLOOKUP(A4814,INSUMOS_AUX!$A$3:$H$813,6,0),0)</f>
        <v>0</v>
      </c>
      <c r="G4814" s="149" t="n">
        <f aca="false">IF(C4814="M.O.",VLOOKUP(A4814,INSUMOS_AUX!A:F,6,0),0)</f>
        <v>20.22</v>
      </c>
    </row>
    <row r="4815" customFormat="false" ht="31.5" hidden="false" customHeight="false" outlineLevel="0" collapsed="false">
      <c r="A4815" s="150" t="n">
        <v>89429</v>
      </c>
      <c r="B4815" s="151" t="s">
        <v>2293</v>
      </c>
      <c r="C4815" s="152" t="s">
        <v>59</v>
      </c>
      <c r="D4815" s="152" t="s">
        <v>31</v>
      </c>
      <c r="E4815" s="150"/>
      <c r="F4815" s="153" t="n">
        <f aca="false">(SUMPRODUCT($E4816:$E4827,F4816:F4827))*1</f>
        <v>2.615487</v>
      </c>
      <c r="G4815" s="153" t="n">
        <f aca="false">(SUMPRODUCT($E4816:$E4827,G4816:G4827))*1</f>
        <v>2.87651830176</v>
      </c>
    </row>
    <row r="4816" customFormat="false" ht="21" hidden="false" customHeight="false" outlineLevel="0" collapsed="false">
      <c r="A4816" s="154" t="n">
        <v>37370</v>
      </c>
      <c r="B4816" s="155" t="s">
        <v>1443</v>
      </c>
      <c r="C4816" s="148" t="str">
        <f aca="false">VLOOKUP($A4816,INSUMOS_AUX!$A$3:$H$813,3,0)</f>
        <v>MAT.</v>
      </c>
      <c r="D4816" s="156" t="s">
        <v>1444</v>
      </c>
      <c r="E4816" s="154" t="n">
        <v>0.1688</v>
      </c>
      <c r="F4816" s="149" t="n">
        <f aca="false">IF(C4816="MAT.",VLOOKUP(A4816,INSUMOS_AUX!$A$3:$H$813,6,0),0)</f>
        <v>3.32</v>
      </c>
      <c r="G4816" s="149" t="n">
        <f aca="false">IF(C4816="M.O.",VLOOKUP(A4816,INSUMOS_AUX!A:F,6,0),0)</f>
        <v>0</v>
      </c>
    </row>
    <row r="4817" customFormat="false" ht="21" hidden="false" customHeight="false" outlineLevel="0" collapsed="false">
      <c r="A4817" s="154" t="n">
        <v>43485</v>
      </c>
      <c r="B4817" s="155" t="s">
        <v>1481</v>
      </c>
      <c r="C4817" s="148" t="str">
        <f aca="false">VLOOKUP($A4817,INSUMOS_AUX!$A$3:$H$813,3,0)</f>
        <v>MAT.</v>
      </c>
      <c r="D4817" s="156" t="s">
        <v>1444</v>
      </c>
      <c r="E4817" s="154" t="n">
        <v>0.1688</v>
      </c>
      <c r="F4817" s="149" t="n">
        <f aca="false">IF(C4817="MAT.",VLOOKUP(A4817,INSUMOS_AUX!$A$3:$H$813,6,0),0)</f>
        <v>1.13</v>
      </c>
      <c r="G4817" s="149" t="n">
        <f aca="false">IF(C4817="M.O.",VLOOKUP(A4817,INSUMOS_AUX!A:F,6,0),0)</f>
        <v>0</v>
      </c>
    </row>
    <row r="4818" customFormat="false" ht="21" hidden="false" customHeight="false" outlineLevel="0" collapsed="false">
      <c r="A4818" s="154" t="n">
        <v>37372</v>
      </c>
      <c r="B4818" s="155" t="s">
        <v>1446</v>
      </c>
      <c r="C4818" s="148" t="str">
        <f aca="false">VLOOKUP($A4818,INSUMOS_AUX!$A$3:$H$813,3,0)</f>
        <v>MAT.</v>
      </c>
      <c r="D4818" s="156" t="s">
        <v>1444</v>
      </c>
      <c r="E4818" s="154" t="n">
        <v>0.1688</v>
      </c>
      <c r="F4818" s="149" t="n">
        <f aca="false">IF(C4818="MAT.",VLOOKUP(A4818,INSUMOS_AUX!$A$3:$H$813,6,0),0)</f>
        <v>1.43</v>
      </c>
      <c r="G4818" s="149" t="n">
        <f aca="false">IF(C4818="M.O.",VLOOKUP(A4818,INSUMOS_AUX!A:F,6,0),0)</f>
        <v>0</v>
      </c>
    </row>
    <row r="4819" customFormat="false" ht="21" hidden="false" customHeight="false" outlineLevel="0" collapsed="false">
      <c r="A4819" s="154" t="n">
        <v>43461</v>
      </c>
      <c r="B4819" s="155" t="s">
        <v>1482</v>
      </c>
      <c r="C4819" s="148" t="str">
        <f aca="false">VLOOKUP($A4819,INSUMOS_AUX!$A$3:$H$813,3,0)</f>
        <v>MAT.</v>
      </c>
      <c r="D4819" s="156" t="s">
        <v>1444</v>
      </c>
      <c r="E4819" s="154" t="n">
        <v>0.1688</v>
      </c>
      <c r="F4819" s="149" t="n">
        <f aca="false">IF(C4819="MAT.",VLOOKUP(A4819,INSUMOS_AUX!$A$3:$H$813,6,0),0)</f>
        <v>0.31</v>
      </c>
      <c r="G4819" s="149" t="n">
        <f aca="false">IF(C4819="M.O.",VLOOKUP(A4819,INSUMOS_AUX!A:F,6,0),0)</f>
        <v>0</v>
      </c>
    </row>
    <row r="4820" customFormat="false" ht="21" hidden="false" customHeight="false" outlineLevel="0" collapsed="false">
      <c r="A4820" s="154" t="n">
        <v>37373</v>
      </c>
      <c r="B4820" s="155" t="s">
        <v>1448</v>
      </c>
      <c r="C4820" s="148" t="str">
        <f aca="false">VLOOKUP($A4820,INSUMOS_AUX!$A$3:$H$813,3,0)</f>
        <v>MAT.</v>
      </c>
      <c r="D4820" s="156" t="s">
        <v>1444</v>
      </c>
      <c r="E4820" s="154" t="n">
        <v>0.1688</v>
      </c>
      <c r="F4820" s="149" t="n">
        <f aca="false">IF(C4820="MAT.",VLOOKUP(A4820,INSUMOS_AUX!$A$3:$H$813,6,0),0)</f>
        <v>0.08</v>
      </c>
      <c r="G4820" s="149" t="n">
        <f aca="false">IF(C4820="M.O.",VLOOKUP(A4820,INSUMOS_AUX!A:F,6,0),0)</f>
        <v>0</v>
      </c>
    </row>
    <row r="4821" customFormat="false" ht="21" hidden="false" customHeight="false" outlineLevel="0" collapsed="false">
      <c r="A4821" s="154" t="n">
        <v>37371</v>
      </c>
      <c r="B4821" s="155" t="s">
        <v>1449</v>
      </c>
      <c r="C4821" s="148" t="str">
        <f aca="false">VLOOKUP($A4821,INSUMOS_AUX!$A$3:$H$813,3,0)</f>
        <v>MAT.</v>
      </c>
      <c r="D4821" s="156" t="s">
        <v>1444</v>
      </c>
      <c r="E4821" s="154" t="n">
        <v>0.1688</v>
      </c>
      <c r="F4821" s="149" t="n">
        <f aca="false">IF(C4821="MAT.",VLOOKUP(A4821,INSUMOS_AUX!$A$3:$H$813,6,0),0)</f>
        <v>0.59</v>
      </c>
      <c r="G4821" s="149" t="n">
        <f aca="false">IF(C4821="M.O.",VLOOKUP(A4821,INSUMOS_AUX!A:F,6,0),0)</f>
        <v>0</v>
      </c>
    </row>
    <row r="4822" customFormat="false" ht="21" hidden="false" customHeight="false" outlineLevel="0" collapsed="false">
      <c r="A4822" s="154" t="n">
        <v>65</v>
      </c>
      <c r="B4822" s="155" t="s">
        <v>2102</v>
      </c>
      <c r="C4822" s="148" t="str">
        <f aca="false">VLOOKUP($A4822,INSUMOS_AUX!$A$3:$H$813,3,0)</f>
        <v>MAT.</v>
      </c>
      <c r="D4822" s="156" t="s">
        <v>31</v>
      </c>
      <c r="E4822" s="154" t="n">
        <v>1</v>
      </c>
      <c r="F4822" s="149" t="n">
        <f aca="false">IF(C4822="MAT.",VLOOKUP(A4822,INSUMOS_AUX!$A$3:$H$813,6,0),0)</f>
        <v>0.89</v>
      </c>
      <c r="G4822" s="149" t="n">
        <f aca="false">IF(C4822="M.O.",VLOOKUP(A4822,INSUMOS_AUX!A:F,6,0),0)</f>
        <v>0</v>
      </c>
    </row>
    <row r="4823" customFormat="false" ht="15" hidden="false" customHeight="false" outlineLevel="0" collapsed="false">
      <c r="A4823" s="154" t="n">
        <v>122</v>
      </c>
      <c r="B4823" s="155" t="s">
        <v>2097</v>
      </c>
      <c r="C4823" s="148" t="s">
        <v>59</v>
      </c>
      <c r="D4823" s="156" t="s">
        <v>31</v>
      </c>
      <c r="E4823" s="154" t="n">
        <v>0.0059</v>
      </c>
      <c r="F4823" s="149" t="n">
        <f aca="false">IF(C4823="MAT.",VLOOKUP(A4823,INSUMOS_AUX!$A$3:$H$813,6,0),0)</f>
        <v>0</v>
      </c>
      <c r="G4823" s="149" t="n">
        <f aca="false">IF(C4823="M.O.",VLOOKUP(A4823,INSUMOS_AUX!A:F,6,0),0)</f>
        <v>0</v>
      </c>
    </row>
    <row r="4824" customFormat="false" ht="15" hidden="false" customHeight="false" outlineLevel="0" collapsed="false">
      <c r="A4824" s="154" t="n">
        <v>38383</v>
      </c>
      <c r="B4824" s="155" t="s">
        <v>2093</v>
      </c>
      <c r="C4824" s="148" t="str">
        <f aca="false">VLOOKUP($A4824,INSUMOS_AUX!$A$3:$H$813,3,0)</f>
        <v>MAT.</v>
      </c>
      <c r="D4824" s="156" t="s">
        <v>31</v>
      </c>
      <c r="E4824" s="154" t="n">
        <v>0.0281</v>
      </c>
      <c r="F4824" s="149" t="n">
        <f aca="false">IF(C4824="MAT.",VLOOKUP(A4824,INSUMOS_AUX!$A$3:$H$813,6,0),0)</f>
        <v>2.39</v>
      </c>
      <c r="G4824" s="149" t="n">
        <f aca="false">IF(C4824="M.O.",VLOOKUP(A4824,INSUMOS_AUX!A:F,6,0),0)</f>
        <v>0</v>
      </c>
    </row>
    <row r="4825" customFormat="false" ht="21" hidden="false" customHeight="false" outlineLevel="0" collapsed="false">
      <c r="A4825" s="154" t="n">
        <v>20083</v>
      </c>
      <c r="B4825" s="155" t="s">
        <v>2095</v>
      </c>
      <c r="C4825" s="148" t="str">
        <f aca="false">VLOOKUP($A4825,INSUMOS_AUX!$A$3:$H$813,3,0)</f>
        <v>MAT.</v>
      </c>
      <c r="D4825" s="156" t="s">
        <v>31</v>
      </c>
      <c r="E4825" s="154" t="n">
        <v>0.007</v>
      </c>
      <c r="F4825" s="149" t="n">
        <f aca="false">IF(C4825="MAT.",VLOOKUP(A4825,INSUMOS_AUX!$A$3:$H$813,6,0),0)</f>
        <v>71.48</v>
      </c>
      <c r="G4825" s="149" t="n">
        <f aca="false">IF(C4825="M.O.",VLOOKUP(A4825,INSUMOS_AUX!A:F,6,0),0)</f>
        <v>0</v>
      </c>
    </row>
    <row r="4826" customFormat="false" ht="15" hidden="false" customHeight="false" outlineLevel="0" collapsed="false">
      <c r="A4826" s="154" t="n">
        <v>246</v>
      </c>
      <c r="B4826" s="155" t="s">
        <v>1752</v>
      </c>
      <c r="C4826" s="148" t="str">
        <f aca="false">VLOOKUP($A4826,INSUMOS_AUX!$A$3:$H$813,3,0)</f>
        <v>M.O.</v>
      </c>
      <c r="D4826" s="156" t="s">
        <v>1444</v>
      </c>
      <c r="E4826" s="154" t="n">
        <v>0.085917512</v>
      </c>
      <c r="F4826" s="149" t="n">
        <f aca="false">IF(C4826="MAT.",VLOOKUP(A4826,INSUMOS_AUX!$A$3:$H$813,6,0),0)</f>
        <v>0</v>
      </c>
      <c r="G4826" s="149" t="n">
        <f aca="false">IF(C4826="M.O.",VLOOKUP(A4826,INSUMOS_AUX!A:F,6,0),0)</f>
        <v>13.26</v>
      </c>
    </row>
    <row r="4827" customFormat="false" ht="15" hidden="false" customHeight="false" outlineLevel="0" collapsed="false">
      <c r="A4827" s="154" t="n">
        <v>2696</v>
      </c>
      <c r="B4827" s="155" t="s">
        <v>1483</v>
      </c>
      <c r="C4827" s="148" t="str">
        <f aca="false">VLOOKUP($A4827,INSUMOS_AUX!$A$3:$H$813,3,0)</f>
        <v>M.O.</v>
      </c>
      <c r="D4827" s="156" t="s">
        <v>1444</v>
      </c>
      <c r="E4827" s="154" t="n">
        <v>0.085917512</v>
      </c>
      <c r="F4827" s="149" t="n">
        <f aca="false">IF(C4827="MAT.",VLOOKUP(A4827,INSUMOS_AUX!$A$3:$H$813,6,0),0)</f>
        <v>0</v>
      </c>
      <c r="G4827" s="149" t="n">
        <f aca="false">IF(C4827="M.O.",VLOOKUP(A4827,INSUMOS_AUX!A:F,6,0),0)</f>
        <v>20.22</v>
      </c>
    </row>
    <row r="4828" customFormat="false" ht="31.5" hidden="false" customHeight="false" outlineLevel="0" collapsed="false">
      <c r="A4828" s="150" t="n">
        <v>89553</v>
      </c>
      <c r="B4828" s="151" t="s">
        <v>2294</v>
      </c>
      <c r="C4828" s="152" t="s">
        <v>59</v>
      </c>
      <c r="D4828" s="152" t="s">
        <v>31</v>
      </c>
      <c r="E4828" s="150"/>
      <c r="F4828" s="153" t="n">
        <f aca="false">(SUMPRODUCT($E4829:$E4840,F4829:F4840))*1</f>
        <v>3.744006</v>
      </c>
      <c r="G4828" s="153" t="n">
        <f aca="false">(SUMPRODUCT($E4829:$E4840,G4829:G4840))*1</f>
        <v>1.78589524896</v>
      </c>
    </row>
    <row r="4829" customFormat="false" ht="21" hidden="false" customHeight="false" outlineLevel="0" collapsed="false">
      <c r="A4829" s="154" t="n">
        <v>37370</v>
      </c>
      <c r="B4829" s="155" t="s">
        <v>1443</v>
      </c>
      <c r="C4829" s="148" t="str">
        <f aca="false">VLOOKUP($A4829,INSUMOS_AUX!$A$3:$H$813,3,0)</f>
        <v>MAT.</v>
      </c>
      <c r="D4829" s="156" t="s">
        <v>1444</v>
      </c>
      <c r="E4829" s="154" t="n">
        <v>0.1048</v>
      </c>
      <c r="F4829" s="149" t="n">
        <f aca="false">IF(C4829="MAT.",VLOOKUP(A4829,INSUMOS_AUX!$A$3:$H$813,6,0),0)</f>
        <v>3.32</v>
      </c>
      <c r="G4829" s="149" t="n">
        <f aca="false">IF(C4829="M.O.",VLOOKUP(A4829,INSUMOS_AUX!A:F,6,0),0)</f>
        <v>0</v>
      </c>
    </row>
    <row r="4830" customFormat="false" ht="21" hidden="false" customHeight="false" outlineLevel="0" collapsed="false">
      <c r="A4830" s="154" t="n">
        <v>43485</v>
      </c>
      <c r="B4830" s="155" t="s">
        <v>1481</v>
      </c>
      <c r="C4830" s="148" t="str">
        <f aca="false">VLOOKUP($A4830,INSUMOS_AUX!$A$3:$H$813,3,0)</f>
        <v>MAT.</v>
      </c>
      <c r="D4830" s="156" t="s">
        <v>1444</v>
      </c>
      <c r="E4830" s="154" t="n">
        <v>0.1048</v>
      </c>
      <c r="F4830" s="149" t="n">
        <f aca="false">IF(C4830="MAT.",VLOOKUP(A4830,INSUMOS_AUX!$A$3:$H$813,6,0),0)</f>
        <v>1.13</v>
      </c>
      <c r="G4830" s="149" t="n">
        <f aca="false">IF(C4830="M.O.",VLOOKUP(A4830,INSUMOS_AUX!A:F,6,0),0)</f>
        <v>0</v>
      </c>
    </row>
    <row r="4831" customFormat="false" ht="21" hidden="false" customHeight="false" outlineLevel="0" collapsed="false">
      <c r="A4831" s="154" t="n">
        <v>37372</v>
      </c>
      <c r="B4831" s="155" t="s">
        <v>1446</v>
      </c>
      <c r="C4831" s="148" t="str">
        <f aca="false">VLOOKUP($A4831,INSUMOS_AUX!$A$3:$H$813,3,0)</f>
        <v>MAT.</v>
      </c>
      <c r="D4831" s="156" t="s">
        <v>1444</v>
      </c>
      <c r="E4831" s="154" t="n">
        <v>0.1048</v>
      </c>
      <c r="F4831" s="149" t="n">
        <f aca="false">IF(C4831="MAT.",VLOOKUP(A4831,INSUMOS_AUX!$A$3:$H$813,6,0),0)</f>
        <v>1.43</v>
      </c>
      <c r="G4831" s="149" t="n">
        <f aca="false">IF(C4831="M.O.",VLOOKUP(A4831,INSUMOS_AUX!A:F,6,0),0)</f>
        <v>0</v>
      </c>
    </row>
    <row r="4832" customFormat="false" ht="21" hidden="false" customHeight="false" outlineLevel="0" collapsed="false">
      <c r="A4832" s="154" t="n">
        <v>43461</v>
      </c>
      <c r="B4832" s="155" t="s">
        <v>1482</v>
      </c>
      <c r="C4832" s="148" t="str">
        <f aca="false">VLOOKUP($A4832,INSUMOS_AUX!$A$3:$H$813,3,0)</f>
        <v>MAT.</v>
      </c>
      <c r="D4832" s="156" t="s">
        <v>1444</v>
      </c>
      <c r="E4832" s="154" t="n">
        <v>0.1048</v>
      </c>
      <c r="F4832" s="149" t="n">
        <f aca="false">IF(C4832="MAT.",VLOOKUP(A4832,INSUMOS_AUX!$A$3:$H$813,6,0),0)</f>
        <v>0.31</v>
      </c>
      <c r="G4832" s="149" t="n">
        <f aca="false">IF(C4832="M.O.",VLOOKUP(A4832,INSUMOS_AUX!A:F,6,0),0)</f>
        <v>0</v>
      </c>
    </row>
    <row r="4833" customFormat="false" ht="21" hidden="false" customHeight="false" outlineLevel="0" collapsed="false">
      <c r="A4833" s="154" t="n">
        <v>37373</v>
      </c>
      <c r="B4833" s="155" t="s">
        <v>1448</v>
      </c>
      <c r="C4833" s="148" t="str">
        <f aca="false">VLOOKUP($A4833,INSUMOS_AUX!$A$3:$H$813,3,0)</f>
        <v>MAT.</v>
      </c>
      <c r="D4833" s="156" t="s">
        <v>1444</v>
      </c>
      <c r="E4833" s="154" t="n">
        <v>0.1048</v>
      </c>
      <c r="F4833" s="149" t="n">
        <f aca="false">IF(C4833="MAT.",VLOOKUP(A4833,INSUMOS_AUX!$A$3:$H$813,6,0),0)</f>
        <v>0.08</v>
      </c>
      <c r="G4833" s="149" t="n">
        <f aca="false">IF(C4833="M.O.",VLOOKUP(A4833,INSUMOS_AUX!A:F,6,0),0)</f>
        <v>0</v>
      </c>
    </row>
    <row r="4834" customFormat="false" ht="21" hidden="false" customHeight="false" outlineLevel="0" collapsed="false">
      <c r="A4834" s="154" t="n">
        <v>37371</v>
      </c>
      <c r="B4834" s="155" t="s">
        <v>1449</v>
      </c>
      <c r="C4834" s="148" t="str">
        <f aca="false">VLOOKUP($A4834,INSUMOS_AUX!$A$3:$H$813,3,0)</f>
        <v>MAT.</v>
      </c>
      <c r="D4834" s="156" t="s">
        <v>1444</v>
      </c>
      <c r="E4834" s="154" t="n">
        <v>0.1048</v>
      </c>
      <c r="F4834" s="149" t="n">
        <f aca="false">IF(C4834="MAT.",VLOOKUP(A4834,INSUMOS_AUX!$A$3:$H$813,6,0),0)</f>
        <v>0.59</v>
      </c>
      <c r="G4834" s="149" t="n">
        <f aca="false">IF(C4834="M.O.",VLOOKUP(A4834,INSUMOS_AUX!A:F,6,0),0)</f>
        <v>0</v>
      </c>
    </row>
    <row r="4835" customFormat="false" ht="21" hidden="false" customHeight="false" outlineLevel="0" collapsed="false">
      <c r="A4835" s="154" t="n">
        <v>108</v>
      </c>
      <c r="B4835" s="155" t="s">
        <v>2295</v>
      </c>
      <c r="C4835" s="148" t="str">
        <f aca="false">VLOOKUP($A4835,INSUMOS_AUX!$A$3:$H$813,3,0)</f>
        <v>MAT.</v>
      </c>
      <c r="D4835" s="156" t="s">
        <v>31</v>
      </c>
      <c r="E4835" s="154" t="n">
        <v>1</v>
      </c>
      <c r="F4835" s="149" t="n">
        <f aca="false">IF(C4835="MAT.",VLOOKUP(A4835,INSUMOS_AUX!$A$3:$H$813,6,0),0)</f>
        <v>1.8</v>
      </c>
      <c r="G4835" s="149" t="n">
        <f aca="false">IF(C4835="M.O.",VLOOKUP(A4835,INSUMOS_AUX!A:F,6,0),0)</f>
        <v>0</v>
      </c>
    </row>
    <row r="4836" customFormat="false" ht="15" hidden="false" customHeight="false" outlineLevel="0" collapsed="false">
      <c r="A4836" s="154" t="n">
        <v>122</v>
      </c>
      <c r="B4836" s="155" t="s">
        <v>2097</v>
      </c>
      <c r="C4836" s="148" t="str">
        <f aca="false">VLOOKUP($A4836,INSUMOS_AUX!$A$3:$H$813,3,0)</f>
        <v>MAT.</v>
      </c>
      <c r="D4836" s="156" t="s">
        <v>31</v>
      </c>
      <c r="E4836" s="154" t="n">
        <v>0.0082</v>
      </c>
      <c r="F4836" s="149" t="n">
        <f aca="false">IF(C4836="MAT.",VLOOKUP(A4836,INSUMOS_AUX!$A$3:$H$813,6,0),0)</f>
        <v>63.09</v>
      </c>
      <c r="G4836" s="149" t="n">
        <f aca="false">IF(C4836="M.O.",VLOOKUP(A4836,INSUMOS_AUX!A:F,6,0),0)</f>
        <v>0</v>
      </c>
    </row>
    <row r="4837" customFormat="false" ht="15" hidden="false" customHeight="false" outlineLevel="0" collapsed="false">
      <c r="A4837" s="154" t="n">
        <v>38383</v>
      </c>
      <c r="B4837" s="155" t="s">
        <v>2093</v>
      </c>
      <c r="C4837" s="148" t="str">
        <f aca="false">VLOOKUP($A4837,INSUMOS_AUX!$A$3:$H$813,3,0)</f>
        <v>MAT.</v>
      </c>
      <c r="D4837" s="156" t="s">
        <v>31</v>
      </c>
      <c r="E4837" s="154" t="n">
        <v>0.012</v>
      </c>
      <c r="F4837" s="149" t="n">
        <f aca="false">IF(C4837="MAT.",VLOOKUP(A4837,INSUMOS_AUX!$A$3:$H$813,6,0),0)</f>
        <v>2.39</v>
      </c>
      <c r="G4837" s="149" t="n">
        <f aca="false">IF(C4837="M.O.",VLOOKUP(A4837,INSUMOS_AUX!A:F,6,0),0)</f>
        <v>0</v>
      </c>
    </row>
    <row r="4838" customFormat="false" ht="21" hidden="false" customHeight="false" outlineLevel="0" collapsed="false">
      <c r="A4838" s="154" t="n">
        <v>20083</v>
      </c>
      <c r="B4838" s="155" t="s">
        <v>2095</v>
      </c>
      <c r="C4838" s="148" t="str">
        <f aca="false">VLOOKUP($A4838,INSUMOS_AUX!$A$3:$H$813,3,0)</f>
        <v>MAT.</v>
      </c>
      <c r="D4838" s="156" t="s">
        <v>31</v>
      </c>
      <c r="E4838" s="154" t="n">
        <v>0.0095</v>
      </c>
      <c r="F4838" s="149" t="n">
        <f aca="false">IF(C4838="MAT.",VLOOKUP(A4838,INSUMOS_AUX!$A$3:$H$813,6,0),0)</f>
        <v>71.48</v>
      </c>
      <c r="G4838" s="149" t="n">
        <f aca="false">IF(C4838="M.O.",VLOOKUP(A4838,INSUMOS_AUX!A:F,6,0),0)</f>
        <v>0</v>
      </c>
    </row>
    <row r="4839" customFormat="false" ht="15" hidden="false" customHeight="false" outlineLevel="0" collapsed="false">
      <c r="A4839" s="154" t="n">
        <v>246</v>
      </c>
      <c r="B4839" s="155" t="s">
        <v>1752</v>
      </c>
      <c r="C4839" s="148" t="str">
        <f aca="false">VLOOKUP($A4839,INSUMOS_AUX!$A$3:$H$813,3,0)</f>
        <v>M.O.</v>
      </c>
      <c r="D4839" s="156" t="s">
        <v>1444</v>
      </c>
      <c r="E4839" s="154" t="n">
        <v>0.053342152</v>
      </c>
      <c r="F4839" s="149" t="n">
        <f aca="false">IF(C4839="MAT.",VLOOKUP(A4839,INSUMOS_AUX!$A$3:$H$813,6,0),0)</f>
        <v>0</v>
      </c>
      <c r="G4839" s="149" t="n">
        <f aca="false">IF(C4839="M.O.",VLOOKUP(A4839,INSUMOS_AUX!A:F,6,0),0)</f>
        <v>13.26</v>
      </c>
    </row>
    <row r="4840" customFormat="false" ht="15" hidden="false" customHeight="false" outlineLevel="0" collapsed="false">
      <c r="A4840" s="154" t="n">
        <v>2696</v>
      </c>
      <c r="B4840" s="155" t="s">
        <v>1483</v>
      </c>
      <c r="C4840" s="148" t="str">
        <f aca="false">VLOOKUP($A4840,INSUMOS_AUX!$A$3:$H$813,3,0)</f>
        <v>M.O.</v>
      </c>
      <c r="D4840" s="156" t="s">
        <v>1444</v>
      </c>
      <c r="E4840" s="154" t="n">
        <v>0.053342152</v>
      </c>
      <c r="F4840" s="149" t="n">
        <f aca="false">IF(C4840="MAT.",VLOOKUP(A4840,INSUMOS_AUX!$A$3:$H$813,6,0),0)</f>
        <v>0</v>
      </c>
      <c r="G4840" s="149" t="n">
        <f aca="false">IF(C4840="M.O.",VLOOKUP(A4840,INSUMOS_AUX!A:F,6,0),0)</f>
        <v>20.22</v>
      </c>
    </row>
    <row r="4841" customFormat="false" ht="31.5" hidden="false" customHeight="false" outlineLevel="0" collapsed="false">
      <c r="A4841" s="150" t="n">
        <v>89596</v>
      </c>
      <c r="B4841" s="151" t="s">
        <v>2296</v>
      </c>
      <c r="C4841" s="152" t="s">
        <v>59</v>
      </c>
      <c r="D4841" s="152" t="s">
        <v>31</v>
      </c>
      <c r="E4841" s="150"/>
      <c r="F4841" s="153" t="n">
        <f aca="false">(SUMPRODUCT($E4842:$E4853,F4842:F4853))*1</f>
        <v>7.52018</v>
      </c>
      <c r="G4841" s="153" t="n">
        <f aca="false">(SUMPRODUCT($E4842:$E4853,G4842:G4853))*1</f>
        <v>0.9921334878</v>
      </c>
    </row>
    <row r="4842" customFormat="false" ht="21" hidden="false" customHeight="false" outlineLevel="0" collapsed="false">
      <c r="A4842" s="154" t="n">
        <v>37370</v>
      </c>
      <c r="B4842" s="155" t="s">
        <v>1443</v>
      </c>
      <c r="C4842" s="148" t="str">
        <f aca="false">VLOOKUP($A4842,INSUMOS_AUX!$A$3:$H$813,3,0)</f>
        <v>MAT.</v>
      </c>
      <c r="D4842" s="156" t="s">
        <v>1444</v>
      </c>
      <c r="E4842" s="154" t="n">
        <v>0.147</v>
      </c>
      <c r="F4842" s="149" t="n">
        <f aca="false">IF(C4842="MAT.",VLOOKUP(A4842,INSUMOS_AUX!$A$3:$H$813,6,0),0)</f>
        <v>3.32</v>
      </c>
      <c r="G4842" s="149" t="n">
        <f aca="false">IF(C4842="M.O.",VLOOKUP(A4842,INSUMOS_AUX!A:F,6,0),0)</f>
        <v>0</v>
      </c>
    </row>
    <row r="4843" customFormat="false" ht="21" hidden="false" customHeight="false" outlineLevel="0" collapsed="false">
      <c r="A4843" s="154" t="n">
        <v>43485</v>
      </c>
      <c r="B4843" s="155" t="s">
        <v>1481</v>
      </c>
      <c r="C4843" s="148" t="str">
        <f aca="false">VLOOKUP($A4843,INSUMOS_AUX!$A$3:$H$813,3,0)</f>
        <v>MAT.</v>
      </c>
      <c r="D4843" s="156" t="s">
        <v>1444</v>
      </c>
      <c r="E4843" s="154" t="n">
        <v>0.147</v>
      </c>
      <c r="F4843" s="149" t="n">
        <f aca="false">IF(C4843="MAT.",VLOOKUP(A4843,INSUMOS_AUX!$A$3:$H$813,6,0),0)</f>
        <v>1.13</v>
      </c>
      <c r="G4843" s="149" t="n">
        <f aca="false">IF(C4843="M.O.",VLOOKUP(A4843,INSUMOS_AUX!A:F,6,0),0)</f>
        <v>0</v>
      </c>
    </row>
    <row r="4844" customFormat="false" ht="21" hidden="false" customHeight="false" outlineLevel="0" collapsed="false">
      <c r="A4844" s="154" t="n">
        <v>37372</v>
      </c>
      <c r="B4844" s="155" t="s">
        <v>1446</v>
      </c>
      <c r="C4844" s="148" t="str">
        <f aca="false">VLOOKUP($A4844,INSUMOS_AUX!$A$3:$H$813,3,0)</f>
        <v>MAT.</v>
      </c>
      <c r="D4844" s="156" t="s">
        <v>1444</v>
      </c>
      <c r="E4844" s="154" t="n">
        <v>0.147</v>
      </c>
      <c r="F4844" s="149" t="n">
        <f aca="false">IF(C4844="MAT.",VLOOKUP(A4844,INSUMOS_AUX!$A$3:$H$813,6,0),0)</f>
        <v>1.43</v>
      </c>
      <c r="G4844" s="149" t="n">
        <f aca="false">IF(C4844="M.O.",VLOOKUP(A4844,INSUMOS_AUX!A:F,6,0),0)</f>
        <v>0</v>
      </c>
    </row>
    <row r="4845" customFormat="false" ht="21" hidden="false" customHeight="false" outlineLevel="0" collapsed="false">
      <c r="A4845" s="154" t="n">
        <v>43461</v>
      </c>
      <c r="B4845" s="155" t="s">
        <v>1482</v>
      </c>
      <c r="C4845" s="148" t="str">
        <f aca="false">VLOOKUP($A4845,INSUMOS_AUX!$A$3:$H$813,3,0)</f>
        <v>MAT.</v>
      </c>
      <c r="D4845" s="156" t="s">
        <v>1444</v>
      </c>
      <c r="E4845" s="154" t="n">
        <v>0.147</v>
      </c>
      <c r="F4845" s="149" t="n">
        <f aca="false">IF(C4845="MAT.",VLOOKUP(A4845,INSUMOS_AUX!$A$3:$H$813,6,0),0)</f>
        <v>0.31</v>
      </c>
      <c r="G4845" s="149" t="n">
        <f aca="false">IF(C4845="M.O.",VLOOKUP(A4845,INSUMOS_AUX!A:F,6,0),0)</f>
        <v>0</v>
      </c>
    </row>
    <row r="4846" customFormat="false" ht="21" hidden="false" customHeight="false" outlineLevel="0" collapsed="false">
      <c r="A4846" s="154" t="n">
        <v>37373</v>
      </c>
      <c r="B4846" s="155" t="s">
        <v>1448</v>
      </c>
      <c r="C4846" s="148" t="str">
        <f aca="false">VLOOKUP($A4846,INSUMOS_AUX!$A$3:$H$813,3,0)</f>
        <v>MAT.</v>
      </c>
      <c r="D4846" s="156" t="s">
        <v>1444</v>
      </c>
      <c r="E4846" s="154" t="n">
        <v>0.147</v>
      </c>
      <c r="F4846" s="149" t="n">
        <f aca="false">IF(C4846="MAT.",VLOOKUP(A4846,INSUMOS_AUX!$A$3:$H$813,6,0),0)</f>
        <v>0.08</v>
      </c>
      <c r="G4846" s="149" t="n">
        <f aca="false">IF(C4846="M.O.",VLOOKUP(A4846,INSUMOS_AUX!A:F,6,0),0)</f>
        <v>0</v>
      </c>
    </row>
    <row r="4847" customFormat="false" ht="21" hidden="false" customHeight="false" outlineLevel="0" collapsed="false">
      <c r="A4847" s="154" t="n">
        <v>37371</v>
      </c>
      <c r="B4847" s="155" t="s">
        <v>1449</v>
      </c>
      <c r="C4847" s="148" t="str">
        <f aca="false">VLOOKUP($A4847,INSUMOS_AUX!$A$3:$H$813,3,0)</f>
        <v>MAT.</v>
      </c>
      <c r="D4847" s="156" t="s">
        <v>1444</v>
      </c>
      <c r="E4847" s="154" t="n">
        <v>0.147</v>
      </c>
      <c r="F4847" s="149" t="n">
        <f aca="false">IF(C4847="MAT.",VLOOKUP(A4847,INSUMOS_AUX!$A$3:$H$813,6,0),0)</f>
        <v>0.59</v>
      </c>
      <c r="G4847" s="149" t="n">
        <f aca="false">IF(C4847="M.O.",VLOOKUP(A4847,INSUMOS_AUX!A:F,6,0),0)</f>
        <v>0</v>
      </c>
    </row>
    <row r="4848" customFormat="false" ht="21" hidden="false" customHeight="false" outlineLevel="0" collapsed="false">
      <c r="A4848" s="154" t="n">
        <v>112</v>
      </c>
      <c r="B4848" s="155" t="s">
        <v>2297</v>
      </c>
      <c r="C4848" s="148" t="str">
        <f aca="false">VLOOKUP($A4848,INSUMOS_AUX!$A$3:$H$813,3,0)</f>
        <v>MAT.</v>
      </c>
      <c r="D4848" s="156" t="s">
        <v>31</v>
      </c>
      <c r="E4848" s="154" t="n">
        <v>1</v>
      </c>
      <c r="F4848" s="149" t="n">
        <f aca="false">IF(C4848="MAT.",VLOOKUP(A4848,INSUMOS_AUX!$A$3:$H$813,6,0),0)</f>
        <v>4.48</v>
      </c>
      <c r="G4848" s="149" t="n">
        <f aca="false">IF(C4848="M.O.",VLOOKUP(A4848,INSUMOS_AUX!A:F,6,0),0)</f>
        <v>0</v>
      </c>
    </row>
    <row r="4849" customFormat="false" ht="15" hidden="false" customHeight="false" outlineLevel="0" collapsed="false">
      <c r="A4849" s="154" t="n">
        <v>122</v>
      </c>
      <c r="B4849" s="155" t="s">
        <v>2097</v>
      </c>
      <c r="C4849" s="148" t="str">
        <f aca="false">VLOOKUP($A4849,INSUMOS_AUX!$A$3:$H$813,3,0)</f>
        <v>MAT.</v>
      </c>
      <c r="D4849" s="156" t="s">
        <v>31</v>
      </c>
      <c r="E4849" s="154" t="n">
        <v>0.0129</v>
      </c>
      <c r="F4849" s="149" t="n">
        <f aca="false">IF(C4849="MAT.",VLOOKUP(A4849,INSUMOS_AUX!$A$3:$H$813,6,0),0)</f>
        <v>63.09</v>
      </c>
      <c r="G4849" s="149" t="n">
        <f aca="false">IF(C4849="M.O.",VLOOKUP(A4849,INSUMOS_AUX!A:F,6,0),0)</f>
        <v>0</v>
      </c>
    </row>
    <row r="4850" customFormat="false" ht="15" hidden="false" customHeight="false" outlineLevel="0" collapsed="false">
      <c r="A4850" s="154" t="n">
        <v>38383</v>
      </c>
      <c r="B4850" s="155" t="s">
        <v>2093</v>
      </c>
      <c r="C4850" s="148" t="str">
        <f aca="false">VLOOKUP($A4850,INSUMOS_AUX!$A$3:$H$813,3,0)</f>
        <v>MAT.</v>
      </c>
      <c r="D4850" s="156" t="s">
        <v>31</v>
      </c>
      <c r="E4850" s="154" t="n">
        <v>0.0161</v>
      </c>
      <c r="F4850" s="149" t="n">
        <f aca="false">IF(C4850="MAT.",VLOOKUP(A4850,INSUMOS_AUX!$A$3:$H$813,6,0),0)</f>
        <v>2.39</v>
      </c>
      <c r="G4850" s="149" t="n">
        <f aca="false">IF(C4850="M.O.",VLOOKUP(A4850,INSUMOS_AUX!A:F,6,0),0)</f>
        <v>0</v>
      </c>
    </row>
    <row r="4851" customFormat="false" ht="21" hidden="false" customHeight="false" outlineLevel="0" collapsed="false">
      <c r="A4851" s="154" t="n">
        <v>20083</v>
      </c>
      <c r="B4851" s="155" t="s">
        <v>2095</v>
      </c>
      <c r="C4851" s="148" t="str">
        <f aca="false">VLOOKUP($A4851,INSUMOS_AUX!$A$3:$H$813,3,0)</f>
        <v>MAT.</v>
      </c>
      <c r="D4851" s="156" t="s">
        <v>31</v>
      </c>
      <c r="E4851" s="154" t="n">
        <v>0.0165</v>
      </c>
      <c r="F4851" s="149" t="n">
        <f aca="false">IF(C4851="MAT.",VLOOKUP(A4851,INSUMOS_AUX!$A$3:$H$813,6,0),0)</f>
        <v>71.48</v>
      </c>
      <c r="G4851" s="149" t="n">
        <f aca="false">IF(C4851="M.O.",VLOOKUP(A4851,INSUMOS_AUX!A:F,6,0),0)</f>
        <v>0</v>
      </c>
    </row>
    <row r="4852" customFormat="false" ht="15" hidden="false" customHeight="false" outlineLevel="0" collapsed="false">
      <c r="A4852" s="154" t="n">
        <v>246</v>
      </c>
      <c r="B4852" s="155" t="s">
        <v>1752</v>
      </c>
      <c r="C4852" s="148" t="str">
        <f aca="false">VLOOKUP($A4852,INSUMOS_AUX!$A$3:$H$813,3,0)</f>
        <v>M.O.</v>
      </c>
      <c r="D4852" s="156" t="s">
        <v>1444</v>
      </c>
      <c r="E4852" s="154" t="n">
        <v>0.07482153</v>
      </c>
      <c r="F4852" s="149" t="n">
        <f aca="false">IF(C4852="MAT.",VLOOKUP(A4852,INSUMOS_AUX!$A$3:$H$813,6,0),0)</f>
        <v>0</v>
      </c>
      <c r="G4852" s="149" t="n">
        <f aca="false">IF(C4852="M.O.",VLOOKUP(A4852,INSUMOS_AUX!A:F,6,0),0)</f>
        <v>13.26</v>
      </c>
    </row>
    <row r="4853" customFormat="false" ht="15" hidden="false" customHeight="false" outlineLevel="0" collapsed="false">
      <c r="A4853" s="154" t="n">
        <v>2696</v>
      </c>
      <c r="B4853" s="155" t="s">
        <v>1483</v>
      </c>
      <c r="C4853" s="148" t="s">
        <v>59</v>
      </c>
      <c r="D4853" s="156" t="s">
        <v>1444</v>
      </c>
      <c r="E4853" s="154" t="n">
        <v>0.07482153</v>
      </c>
      <c r="F4853" s="149" t="n">
        <f aca="false">IF(C4853="MAT.",VLOOKUP(A4853,INSUMOS_AUX!$A$3:$H$813,6,0),0)</f>
        <v>0</v>
      </c>
      <c r="G4853" s="149" t="n">
        <f aca="false">IF(C4853="M.O.",VLOOKUP(A4853,INSUMOS_AUX!A:F,6,0),0)</f>
        <v>0</v>
      </c>
    </row>
    <row r="4854" customFormat="false" ht="31.5" hidden="false" customHeight="false" outlineLevel="0" collapsed="false">
      <c r="A4854" s="150" t="n">
        <v>89595</v>
      </c>
      <c r="B4854" s="151" t="s">
        <v>2298</v>
      </c>
      <c r="C4854" s="152" t="s">
        <v>59</v>
      </c>
      <c r="D4854" s="152" t="s">
        <v>31</v>
      </c>
      <c r="E4854" s="150"/>
      <c r="F4854" s="153" t="n">
        <f aca="false">(SUMPRODUCT($E4855:$E4866,F4855:F4866))*1</f>
        <v>11.458624</v>
      </c>
      <c r="G4854" s="153" t="n">
        <f aca="false">(SUMPRODUCT($E4855:$E4866,G4855:G4866))*1</f>
        <v>0.96108713376</v>
      </c>
    </row>
    <row r="4855" customFormat="false" ht="21" hidden="false" customHeight="false" outlineLevel="0" collapsed="false">
      <c r="A4855" s="154" t="n">
        <v>37370</v>
      </c>
      <c r="B4855" s="155" t="s">
        <v>1443</v>
      </c>
      <c r="C4855" s="148" t="str">
        <f aca="false">VLOOKUP($A4855,INSUMOS_AUX!$A$3:$H$813,3,0)</f>
        <v>MAT.</v>
      </c>
      <c r="D4855" s="156" t="s">
        <v>1444</v>
      </c>
      <c r="E4855" s="154" t="n">
        <v>0.1424</v>
      </c>
      <c r="F4855" s="149" t="n">
        <f aca="false">IF(C4855="MAT.",VLOOKUP(A4855,INSUMOS_AUX!$A$3:$H$813,6,0),0)</f>
        <v>3.32</v>
      </c>
      <c r="G4855" s="149" t="n">
        <f aca="false">IF(C4855="M.O.",VLOOKUP(A4855,INSUMOS_AUX!A:F,6,0),0)</f>
        <v>0</v>
      </c>
    </row>
    <row r="4856" customFormat="false" ht="21" hidden="false" customHeight="false" outlineLevel="0" collapsed="false">
      <c r="A4856" s="154" t="n">
        <v>43485</v>
      </c>
      <c r="B4856" s="155" t="s">
        <v>1481</v>
      </c>
      <c r="C4856" s="148" t="str">
        <f aca="false">VLOOKUP($A4856,INSUMOS_AUX!$A$3:$H$813,3,0)</f>
        <v>MAT.</v>
      </c>
      <c r="D4856" s="156" t="s">
        <v>1444</v>
      </c>
      <c r="E4856" s="154" t="n">
        <v>0.1424</v>
      </c>
      <c r="F4856" s="149" t="n">
        <f aca="false">IF(C4856="MAT.",VLOOKUP(A4856,INSUMOS_AUX!$A$3:$H$813,6,0),0)</f>
        <v>1.13</v>
      </c>
      <c r="G4856" s="149" t="n">
        <f aca="false">IF(C4856="M.O.",VLOOKUP(A4856,INSUMOS_AUX!A:F,6,0),0)</f>
        <v>0</v>
      </c>
    </row>
    <row r="4857" customFormat="false" ht="21" hidden="false" customHeight="false" outlineLevel="0" collapsed="false">
      <c r="A4857" s="154" t="n">
        <v>37372</v>
      </c>
      <c r="B4857" s="155" t="s">
        <v>1446</v>
      </c>
      <c r="C4857" s="148" t="str">
        <f aca="false">VLOOKUP($A4857,INSUMOS_AUX!$A$3:$H$813,3,0)</f>
        <v>MAT.</v>
      </c>
      <c r="D4857" s="156" t="s">
        <v>1444</v>
      </c>
      <c r="E4857" s="154" t="n">
        <v>0.1424</v>
      </c>
      <c r="F4857" s="149" t="n">
        <f aca="false">IF(C4857="MAT.",VLOOKUP(A4857,INSUMOS_AUX!$A$3:$H$813,6,0),0)</f>
        <v>1.43</v>
      </c>
      <c r="G4857" s="149" t="n">
        <f aca="false">IF(C4857="M.O.",VLOOKUP(A4857,INSUMOS_AUX!A:F,6,0),0)</f>
        <v>0</v>
      </c>
    </row>
    <row r="4858" customFormat="false" ht="21" hidden="false" customHeight="false" outlineLevel="0" collapsed="false">
      <c r="A4858" s="154" t="n">
        <v>43461</v>
      </c>
      <c r="B4858" s="155" t="s">
        <v>1482</v>
      </c>
      <c r="C4858" s="148" t="str">
        <f aca="false">VLOOKUP($A4858,INSUMOS_AUX!$A$3:$H$813,3,0)</f>
        <v>MAT.</v>
      </c>
      <c r="D4858" s="156" t="s">
        <v>1444</v>
      </c>
      <c r="E4858" s="154" t="n">
        <v>0.1424</v>
      </c>
      <c r="F4858" s="149" t="n">
        <f aca="false">IF(C4858="MAT.",VLOOKUP(A4858,INSUMOS_AUX!$A$3:$H$813,6,0),0)</f>
        <v>0.31</v>
      </c>
      <c r="G4858" s="149" t="n">
        <f aca="false">IF(C4858="M.O.",VLOOKUP(A4858,INSUMOS_AUX!A:F,6,0),0)</f>
        <v>0</v>
      </c>
    </row>
    <row r="4859" customFormat="false" ht="21" hidden="false" customHeight="false" outlineLevel="0" collapsed="false">
      <c r="A4859" s="154" t="n">
        <v>37373</v>
      </c>
      <c r="B4859" s="155" t="s">
        <v>1448</v>
      </c>
      <c r="C4859" s="148" t="str">
        <f aca="false">VLOOKUP($A4859,INSUMOS_AUX!$A$3:$H$813,3,0)</f>
        <v>MAT.</v>
      </c>
      <c r="D4859" s="156" t="s">
        <v>1444</v>
      </c>
      <c r="E4859" s="154" t="n">
        <v>0.1424</v>
      </c>
      <c r="F4859" s="149" t="n">
        <f aca="false">IF(C4859="MAT.",VLOOKUP(A4859,INSUMOS_AUX!$A$3:$H$813,6,0),0)</f>
        <v>0.08</v>
      </c>
      <c r="G4859" s="149" t="n">
        <f aca="false">IF(C4859="M.O.",VLOOKUP(A4859,INSUMOS_AUX!A:F,6,0),0)</f>
        <v>0</v>
      </c>
    </row>
    <row r="4860" customFormat="false" ht="21" hidden="false" customHeight="false" outlineLevel="0" collapsed="false">
      <c r="A4860" s="154" t="n">
        <v>37371</v>
      </c>
      <c r="B4860" s="155" t="s">
        <v>1449</v>
      </c>
      <c r="C4860" s="148" t="str">
        <f aca="false">VLOOKUP($A4860,INSUMOS_AUX!$A$3:$H$813,3,0)</f>
        <v>MAT.</v>
      </c>
      <c r="D4860" s="156" t="s">
        <v>1444</v>
      </c>
      <c r="E4860" s="154" t="n">
        <v>0.1424</v>
      </c>
      <c r="F4860" s="149" t="n">
        <f aca="false">IF(C4860="MAT.",VLOOKUP(A4860,INSUMOS_AUX!$A$3:$H$813,6,0),0)</f>
        <v>0.59</v>
      </c>
      <c r="G4860" s="149" t="n">
        <f aca="false">IF(C4860="M.O.",VLOOKUP(A4860,INSUMOS_AUX!A:F,6,0),0)</f>
        <v>0</v>
      </c>
    </row>
    <row r="4861" customFormat="false" ht="21" hidden="false" customHeight="false" outlineLevel="0" collapsed="false">
      <c r="A4861" s="154" t="n">
        <v>111</v>
      </c>
      <c r="B4861" s="155" t="s">
        <v>2299</v>
      </c>
      <c r="C4861" s="148" t="str">
        <f aca="false">VLOOKUP($A4861,INSUMOS_AUX!$A$3:$H$813,3,0)</f>
        <v>MAT.</v>
      </c>
      <c r="D4861" s="156" t="s">
        <v>31</v>
      </c>
      <c r="E4861" s="154" t="n">
        <v>1</v>
      </c>
      <c r="F4861" s="149" t="n">
        <f aca="false">IF(C4861="MAT.",VLOOKUP(A4861,INSUMOS_AUX!$A$3:$H$813,6,0),0)</f>
        <v>8.45</v>
      </c>
      <c r="G4861" s="149" t="n">
        <f aca="false">IF(C4861="M.O.",VLOOKUP(A4861,INSUMOS_AUX!A:F,6,0),0)</f>
        <v>0</v>
      </c>
    </row>
    <row r="4862" customFormat="false" ht="15" hidden="false" customHeight="false" outlineLevel="0" collapsed="false">
      <c r="A4862" s="154" t="n">
        <v>122</v>
      </c>
      <c r="B4862" s="155" t="s">
        <v>2097</v>
      </c>
      <c r="C4862" s="148" t="str">
        <f aca="false">VLOOKUP($A4862,INSUMOS_AUX!$A$3:$H$813,3,0)</f>
        <v>MAT.</v>
      </c>
      <c r="D4862" s="156" t="s">
        <v>31</v>
      </c>
      <c r="E4862" s="154" t="n">
        <v>0.0129</v>
      </c>
      <c r="F4862" s="149" t="n">
        <f aca="false">IF(C4862="MAT.",VLOOKUP(A4862,INSUMOS_AUX!$A$3:$H$813,6,0),0)</f>
        <v>63.09</v>
      </c>
      <c r="G4862" s="149" t="n">
        <f aca="false">IF(C4862="M.O.",VLOOKUP(A4862,INSUMOS_AUX!A:F,6,0),0)</f>
        <v>0</v>
      </c>
    </row>
    <row r="4863" customFormat="false" ht="15" hidden="false" customHeight="false" outlineLevel="0" collapsed="false">
      <c r="A4863" s="154" t="n">
        <v>38383</v>
      </c>
      <c r="B4863" s="155" t="s">
        <v>2093</v>
      </c>
      <c r="C4863" s="148" t="str">
        <f aca="false">VLOOKUP($A4863,INSUMOS_AUX!$A$3:$H$813,3,0)</f>
        <v>MAT.</v>
      </c>
      <c r="D4863" s="156" t="s">
        <v>31</v>
      </c>
      <c r="E4863" s="154" t="n">
        <v>0.0161</v>
      </c>
      <c r="F4863" s="149" t="n">
        <f aca="false">IF(C4863="MAT.",VLOOKUP(A4863,INSUMOS_AUX!$A$3:$H$813,6,0),0)</f>
        <v>2.39</v>
      </c>
      <c r="G4863" s="149" t="n">
        <f aca="false">IF(C4863="M.O.",VLOOKUP(A4863,INSUMOS_AUX!A:F,6,0),0)</f>
        <v>0</v>
      </c>
    </row>
    <row r="4864" customFormat="false" ht="21" hidden="false" customHeight="false" outlineLevel="0" collapsed="false">
      <c r="A4864" s="154" t="n">
        <v>20083</v>
      </c>
      <c r="B4864" s="155" t="s">
        <v>2095</v>
      </c>
      <c r="C4864" s="148" t="str">
        <f aca="false">VLOOKUP($A4864,INSUMOS_AUX!$A$3:$H$813,3,0)</f>
        <v>MAT.</v>
      </c>
      <c r="D4864" s="156" t="s">
        <v>31</v>
      </c>
      <c r="E4864" s="154" t="n">
        <v>0.0165</v>
      </c>
      <c r="F4864" s="149" t="n">
        <f aca="false">IF(C4864="MAT.",VLOOKUP(A4864,INSUMOS_AUX!$A$3:$H$813,6,0),0)</f>
        <v>71.48</v>
      </c>
      <c r="G4864" s="149" t="n">
        <f aca="false">IF(C4864="M.O.",VLOOKUP(A4864,INSUMOS_AUX!A:F,6,0),0)</f>
        <v>0</v>
      </c>
    </row>
    <row r="4865" customFormat="false" ht="15" hidden="false" customHeight="false" outlineLevel="0" collapsed="false">
      <c r="A4865" s="154" t="n">
        <v>246</v>
      </c>
      <c r="B4865" s="155" t="s">
        <v>1752</v>
      </c>
      <c r="C4865" s="148" t="str">
        <f aca="false">VLOOKUP($A4865,INSUMOS_AUX!$A$3:$H$813,3,0)</f>
        <v>M.O.</v>
      </c>
      <c r="D4865" s="156" t="s">
        <v>1444</v>
      </c>
      <c r="E4865" s="154" t="n">
        <v>0.072480176</v>
      </c>
      <c r="F4865" s="149" t="n">
        <f aca="false">IF(C4865="MAT.",VLOOKUP(A4865,INSUMOS_AUX!$A$3:$H$813,6,0),0)</f>
        <v>0</v>
      </c>
      <c r="G4865" s="149" t="n">
        <f aca="false">IF(C4865="M.O.",VLOOKUP(A4865,INSUMOS_AUX!A:F,6,0),0)</f>
        <v>13.26</v>
      </c>
    </row>
    <row r="4866" customFormat="false" ht="15" hidden="false" customHeight="false" outlineLevel="0" collapsed="false">
      <c r="A4866" s="154" t="n">
        <v>2696</v>
      </c>
      <c r="B4866" s="155" t="s">
        <v>1483</v>
      </c>
      <c r="C4866" s="148" t="s">
        <v>59</v>
      </c>
      <c r="D4866" s="156" t="s">
        <v>1444</v>
      </c>
      <c r="E4866" s="154" t="n">
        <v>0.072480176</v>
      </c>
      <c r="F4866" s="149" t="n">
        <f aca="false">IF(C4866="MAT.",VLOOKUP(A4866,INSUMOS_AUX!$A$3:$H$813,6,0),0)</f>
        <v>0</v>
      </c>
      <c r="G4866" s="149" t="n">
        <f aca="false">IF(C4866="M.O.",VLOOKUP(A4866,INSUMOS_AUX!A:F,6,0),0)</f>
        <v>0</v>
      </c>
    </row>
    <row r="4867" customFormat="false" ht="31.5" hidden="false" customHeight="false" outlineLevel="0" collapsed="false">
      <c r="A4867" s="150" t="n">
        <v>103957</v>
      </c>
      <c r="B4867" s="151" t="s">
        <v>2300</v>
      </c>
      <c r="C4867" s="152" t="s">
        <v>59</v>
      </c>
      <c r="D4867" s="152" t="s">
        <v>31</v>
      </c>
      <c r="E4867" s="150"/>
      <c r="F4867" s="153" t="n">
        <f aca="false">(SUMPRODUCT($E4868:$E4879,F4868:F4879))*1</f>
        <v>2.904006</v>
      </c>
      <c r="G4867" s="153" t="n">
        <f aca="false">(SUMPRODUCT($E4868:$E4879,G4868:G4879))*1</f>
        <v>0.70731693552</v>
      </c>
    </row>
    <row r="4868" customFormat="false" ht="21" hidden="false" customHeight="false" outlineLevel="0" collapsed="false">
      <c r="A4868" s="154" t="n">
        <v>37370</v>
      </c>
      <c r="B4868" s="155" t="s">
        <v>1443</v>
      </c>
      <c r="C4868" s="148" t="str">
        <f aca="false">VLOOKUP($A4868,INSUMOS_AUX!$A$3:$H$813,3,0)</f>
        <v>MAT.</v>
      </c>
      <c r="D4868" s="156" t="s">
        <v>1444</v>
      </c>
      <c r="E4868" s="154" t="n">
        <v>0.1048</v>
      </c>
      <c r="F4868" s="149" t="n">
        <f aca="false">IF(C4868="MAT.",VLOOKUP(A4868,INSUMOS_AUX!$A$3:$H$813,6,0),0)</f>
        <v>3.32</v>
      </c>
      <c r="G4868" s="149" t="n">
        <f aca="false">IF(C4868="M.O.",VLOOKUP(A4868,INSUMOS_AUX!A:F,6,0),0)</f>
        <v>0</v>
      </c>
    </row>
    <row r="4869" customFormat="false" ht="21" hidden="false" customHeight="false" outlineLevel="0" collapsed="false">
      <c r="A4869" s="154" t="n">
        <v>43485</v>
      </c>
      <c r="B4869" s="155" t="s">
        <v>1481</v>
      </c>
      <c r="C4869" s="148" t="str">
        <f aca="false">VLOOKUP($A4869,INSUMOS_AUX!$A$3:$H$813,3,0)</f>
        <v>MAT.</v>
      </c>
      <c r="D4869" s="156" t="s">
        <v>1444</v>
      </c>
      <c r="E4869" s="154" t="n">
        <v>0.1048</v>
      </c>
      <c r="F4869" s="149" t="n">
        <f aca="false">IF(C4869="MAT.",VLOOKUP(A4869,INSUMOS_AUX!$A$3:$H$813,6,0),0)</f>
        <v>1.13</v>
      </c>
      <c r="G4869" s="149" t="n">
        <f aca="false">IF(C4869="M.O.",VLOOKUP(A4869,INSUMOS_AUX!A:F,6,0),0)</f>
        <v>0</v>
      </c>
    </row>
    <row r="4870" customFormat="false" ht="21" hidden="false" customHeight="false" outlineLevel="0" collapsed="false">
      <c r="A4870" s="154" t="n">
        <v>37372</v>
      </c>
      <c r="B4870" s="155" t="s">
        <v>1446</v>
      </c>
      <c r="C4870" s="148" t="str">
        <f aca="false">VLOOKUP($A4870,INSUMOS_AUX!$A$3:$H$813,3,0)</f>
        <v>MAT.</v>
      </c>
      <c r="D4870" s="156" t="s">
        <v>1444</v>
      </c>
      <c r="E4870" s="154" t="n">
        <v>0.1048</v>
      </c>
      <c r="F4870" s="149" t="n">
        <f aca="false">IF(C4870="MAT.",VLOOKUP(A4870,INSUMOS_AUX!$A$3:$H$813,6,0),0)</f>
        <v>1.43</v>
      </c>
      <c r="G4870" s="149" t="n">
        <f aca="false">IF(C4870="M.O.",VLOOKUP(A4870,INSUMOS_AUX!A:F,6,0),0)</f>
        <v>0</v>
      </c>
    </row>
    <row r="4871" customFormat="false" ht="21" hidden="false" customHeight="false" outlineLevel="0" collapsed="false">
      <c r="A4871" s="154" t="n">
        <v>43461</v>
      </c>
      <c r="B4871" s="155" t="s">
        <v>1482</v>
      </c>
      <c r="C4871" s="148" t="str">
        <f aca="false">VLOOKUP($A4871,INSUMOS_AUX!$A$3:$H$813,3,0)</f>
        <v>MAT.</v>
      </c>
      <c r="D4871" s="156" t="s">
        <v>1444</v>
      </c>
      <c r="E4871" s="154" t="n">
        <v>0.1048</v>
      </c>
      <c r="F4871" s="149" t="n">
        <f aca="false">IF(C4871="MAT.",VLOOKUP(A4871,INSUMOS_AUX!$A$3:$H$813,6,0),0)</f>
        <v>0.31</v>
      </c>
      <c r="G4871" s="149" t="n">
        <f aca="false">IF(C4871="M.O.",VLOOKUP(A4871,INSUMOS_AUX!A:F,6,0),0)</f>
        <v>0</v>
      </c>
    </row>
    <row r="4872" customFormat="false" ht="21" hidden="false" customHeight="false" outlineLevel="0" collapsed="false">
      <c r="A4872" s="154" t="n">
        <v>37373</v>
      </c>
      <c r="B4872" s="155" t="s">
        <v>1448</v>
      </c>
      <c r="C4872" s="148" t="str">
        <f aca="false">VLOOKUP($A4872,INSUMOS_AUX!$A$3:$H$813,3,0)</f>
        <v>MAT.</v>
      </c>
      <c r="D4872" s="156" t="s">
        <v>1444</v>
      </c>
      <c r="E4872" s="154" t="n">
        <v>0.1048</v>
      </c>
      <c r="F4872" s="149" t="n">
        <f aca="false">IF(C4872="MAT.",VLOOKUP(A4872,INSUMOS_AUX!$A$3:$H$813,6,0),0)</f>
        <v>0.08</v>
      </c>
      <c r="G4872" s="149" t="n">
        <f aca="false">IF(C4872="M.O.",VLOOKUP(A4872,INSUMOS_AUX!A:F,6,0),0)</f>
        <v>0</v>
      </c>
    </row>
    <row r="4873" customFormat="false" ht="21" hidden="false" customHeight="false" outlineLevel="0" collapsed="false">
      <c r="A4873" s="154" t="n">
        <v>37371</v>
      </c>
      <c r="B4873" s="155" t="s">
        <v>1449</v>
      </c>
      <c r="C4873" s="148" t="str">
        <f aca="false">VLOOKUP($A4873,INSUMOS_AUX!$A$3:$H$813,3,0)</f>
        <v>MAT.</v>
      </c>
      <c r="D4873" s="156" t="s">
        <v>1444</v>
      </c>
      <c r="E4873" s="154" t="n">
        <v>0.1048</v>
      </c>
      <c r="F4873" s="149" t="n">
        <f aca="false">IF(C4873="MAT.",VLOOKUP(A4873,INSUMOS_AUX!$A$3:$H$813,6,0),0)</f>
        <v>0.59</v>
      </c>
      <c r="G4873" s="149" t="n">
        <f aca="false">IF(C4873="M.O.",VLOOKUP(A4873,INSUMOS_AUX!A:F,6,0),0)</f>
        <v>0</v>
      </c>
    </row>
    <row r="4874" customFormat="false" ht="15" hidden="false" customHeight="false" outlineLevel="0" collapsed="false">
      <c r="A4874" s="154" t="n">
        <v>122</v>
      </c>
      <c r="B4874" s="155" t="s">
        <v>2097</v>
      </c>
      <c r="C4874" s="148" t="str">
        <f aca="false">VLOOKUP($A4874,INSUMOS_AUX!$A$3:$H$813,3,0)</f>
        <v>MAT.</v>
      </c>
      <c r="D4874" s="156" t="s">
        <v>31</v>
      </c>
      <c r="E4874" s="154" t="n">
        <v>0.0082</v>
      </c>
      <c r="F4874" s="149" t="n">
        <f aca="false">IF(C4874="MAT.",VLOOKUP(A4874,INSUMOS_AUX!$A$3:$H$813,6,0),0)</f>
        <v>63.09</v>
      </c>
      <c r="G4874" s="149" t="n">
        <f aca="false">IF(C4874="M.O.",VLOOKUP(A4874,INSUMOS_AUX!A:F,6,0),0)</f>
        <v>0</v>
      </c>
    </row>
    <row r="4875" customFormat="false" ht="21" hidden="false" customHeight="false" outlineLevel="0" collapsed="false">
      <c r="A4875" s="154" t="n">
        <v>829</v>
      </c>
      <c r="B4875" s="155" t="s">
        <v>2301</v>
      </c>
      <c r="C4875" s="148" t="str">
        <f aca="false">VLOOKUP($A4875,INSUMOS_AUX!$A$3:$H$813,3,0)</f>
        <v>MAT.</v>
      </c>
      <c r="D4875" s="156" t="s">
        <v>31</v>
      </c>
      <c r="E4875" s="154" t="n">
        <v>1</v>
      </c>
      <c r="F4875" s="149" t="n">
        <f aca="false">IF(C4875="MAT.",VLOOKUP(A4875,INSUMOS_AUX!$A$3:$H$813,6,0),0)</f>
        <v>0.96</v>
      </c>
      <c r="G4875" s="149" t="n">
        <f aca="false">IF(C4875="M.O.",VLOOKUP(A4875,INSUMOS_AUX!A:F,6,0),0)</f>
        <v>0</v>
      </c>
    </row>
    <row r="4876" customFormat="false" ht="15" hidden="false" customHeight="false" outlineLevel="0" collapsed="false">
      <c r="A4876" s="154" t="n">
        <v>38383</v>
      </c>
      <c r="B4876" s="155" t="s">
        <v>2093</v>
      </c>
      <c r="C4876" s="148" t="str">
        <f aca="false">VLOOKUP($A4876,INSUMOS_AUX!$A$3:$H$813,3,0)</f>
        <v>MAT.</v>
      </c>
      <c r="D4876" s="156" t="s">
        <v>31</v>
      </c>
      <c r="E4876" s="154" t="n">
        <v>0.012</v>
      </c>
      <c r="F4876" s="149" t="n">
        <f aca="false">IF(C4876="MAT.",VLOOKUP(A4876,INSUMOS_AUX!$A$3:$H$813,6,0),0)</f>
        <v>2.39</v>
      </c>
      <c r="G4876" s="149" t="n">
        <f aca="false">IF(C4876="M.O.",VLOOKUP(A4876,INSUMOS_AUX!A:F,6,0),0)</f>
        <v>0</v>
      </c>
    </row>
    <row r="4877" customFormat="false" ht="21" hidden="false" customHeight="false" outlineLevel="0" collapsed="false">
      <c r="A4877" s="154" t="n">
        <v>20083</v>
      </c>
      <c r="B4877" s="155" t="s">
        <v>2095</v>
      </c>
      <c r="C4877" s="148" t="str">
        <f aca="false">VLOOKUP($A4877,INSUMOS_AUX!$A$3:$H$813,3,0)</f>
        <v>MAT.</v>
      </c>
      <c r="D4877" s="156" t="s">
        <v>31</v>
      </c>
      <c r="E4877" s="154" t="n">
        <v>0.0095</v>
      </c>
      <c r="F4877" s="149" t="n">
        <f aca="false">IF(C4877="MAT.",VLOOKUP(A4877,INSUMOS_AUX!$A$3:$H$813,6,0),0)</f>
        <v>71.48</v>
      </c>
      <c r="G4877" s="149" t="n">
        <f aca="false">IF(C4877="M.O.",VLOOKUP(A4877,INSUMOS_AUX!A:F,6,0),0)</f>
        <v>0</v>
      </c>
    </row>
    <row r="4878" customFormat="false" ht="15" hidden="false" customHeight="false" outlineLevel="0" collapsed="false">
      <c r="A4878" s="154" t="n">
        <v>246</v>
      </c>
      <c r="B4878" s="155" t="s">
        <v>1752</v>
      </c>
      <c r="C4878" s="148" t="str">
        <f aca="false">VLOOKUP($A4878,INSUMOS_AUX!$A$3:$H$813,3,0)</f>
        <v>M.O.</v>
      </c>
      <c r="D4878" s="156" t="s">
        <v>1444</v>
      </c>
      <c r="E4878" s="154" t="n">
        <v>0.053342152</v>
      </c>
      <c r="F4878" s="149" t="n">
        <f aca="false">IF(C4878="MAT.",VLOOKUP(A4878,INSUMOS_AUX!$A$3:$H$813,6,0),0)</f>
        <v>0</v>
      </c>
      <c r="G4878" s="149" t="n">
        <f aca="false">IF(C4878="M.O.",VLOOKUP(A4878,INSUMOS_AUX!A:F,6,0),0)</f>
        <v>13.26</v>
      </c>
    </row>
    <row r="4879" customFormat="false" ht="15" hidden="false" customHeight="false" outlineLevel="0" collapsed="false">
      <c r="A4879" s="154" t="n">
        <v>2696</v>
      </c>
      <c r="B4879" s="155" t="s">
        <v>1483</v>
      </c>
      <c r="C4879" s="148" t="s">
        <v>59</v>
      </c>
      <c r="D4879" s="156" t="s">
        <v>1444</v>
      </c>
      <c r="E4879" s="154" t="n">
        <v>0.053342152</v>
      </c>
      <c r="F4879" s="149" t="n">
        <f aca="false">IF(C4879="MAT.",VLOOKUP(A4879,INSUMOS_AUX!$A$3:$H$813,6,0),0)</f>
        <v>0</v>
      </c>
      <c r="G4879" s="149" t="n">
        <f aca="false">IF(C4879="M.O.",VLOOKUP(A4879,INSUMOS_AUX!A:F,6,0),0)</f>
        <v>0</v>
      </c>
    </row>
    <row r="4880" customFormat="false" ht="31.5" hidden="false" customHeight="false" outlineLevel="0" collapsed="false">
      <c r="A4880" s="150" t="n">
        <v>103999</v>
      </c>
      <c r="B4880" s="151" t="s">
        <v>2302</v>
      </c>
      <c r="C4880" s="152" t="s">
        <v>59</v>
      </c>
      <c r="D4880" s="152" t="s">
        <v>31</v>
      </c>
      <c r="E4880" s="150"/>
      <c r="F4880" s="153" t="n">
        <f aca="false">(SUMPRODUCT($E4881:$E4892,F4881:F4892))*1</f>
        <v>7.844792</v>
      </c>
      <c r="G4880" s="153" t="n">
        <f aca="false">(SUMPRODUCT($E4881:$E4892,G4881:G4892))*1</f>
        <v>1.64410692264</v>
      </c>
    </row>
    <row r="4881" customFormat="false" ht="21" hidden="false" customHeight="false" outlineLevel="0" collapsed="false">
      <c r="A4881" s="154" t="n">
        <v>37370</v>
      </c>
      <c r="B4881" s="155" t="s">
        <v>1443</v>
      </c>
      <c r="C4881" s="148" t="str">
        <f aca="false">VLOOKUP($A4881,INSUMOS_AUX!$A$3:$H$813,3,0)</f>
        <v>MAT.</v>
      </c>
      <c r="D4881" s="156" t="s">
        <v>1444</v>
      </c>
      <c r="E4881" s="154" t="n">
        <v>0.2436</v>
      </c>
      <c r="F4881" s="149" t="n">
        <f aca="false">IF(C4881="MAT.",VLOOKUP(A4881,INSUMOS_AUX!$A$3:$H$813,6,0),0)</f>
        <v>3.32</v>
      </c>
      <c r="G4881" s="149" t="n">
        <f aca="false">IF(C4881="M.O.",VLOOKUP(A4881,INSUMOS_AUX!A:F,6,0),0)</f>
        <v>0</v>
      </c>
    </row>
    <row r="4882" customFormat="false" ht="21" hidden="false" customHeight="false" outlineLevel="0" collapsed="false">
      <c r="A4882" s="154" t="n">
        <v>43485</v>
      </c>
      <c r="B4882" s="155" t="s">
        <v>1481</v>
      </c>
      <c r="C4882" s="148" t="str">
        <f aca="false">VLOOKUP($A4882,INSUMOS_AUX!$A$3:$H$813,3,0)</f>
        <v>MAT.</v>
      </c>
      <c r="D4882" s="156" t="s">
        <v>1444</v>
      </c>
      <c r="E4882" s="154" t="n">
        <v>0.2436</v>
      </c>
      <c r="F4882" s="149" t="n">
        <f aca="false">IF(C4882="MAT.",VLOOKUP(A4882,INSUMOS_AUX!$A$3:$H$813,6,0),0)</f>
        <v>1.13</v>
      </c>
      <c r="G4882" s="149" t="n">
        <f aca="false">IF(C4882="M.O.",VLOOKUP(A4882,INSUMOS_AUX!A:F,6,0),0)</f>
        <v>0</v>
      </c>
    </row>
    <row r="4883" customFormat="false" ht="21" hidden="false" customHeight="false" outlineLevel="0" collapsed="false">
      <c r="A4883" s="154" t="n">
        <v>37372</v>
      </c>
      <c r="B4883" s="155" t="s">
        <v>1446</v>
      </c>
      <c r="C4883" s="148" t="str">
        <f aca="false">VLOOKUP($A4883,INSUMOS_AUX!$A$3:$H$813,3,0)</f>
        <v>MAT.</v>
      </c>
      <c r="D4883" s="156" t="s">
        <v>1444</v>
      </c>
      <c r="E4883" s="154" t="n">
        <v>0.2436</v>
      </c>
      <c r="F4883" s="149" t="n">
        <f aca="false">IF(C4883="MAT.",VLOOKUP(A4883,INSUMOS_AUX!$A$3:$H$813,6,0),0)</f>
        <v>1.43</v>
      </c>
      <c r="G4883" s="149" t="n">
        <f aca="false">IF(C4883="M.O.",VLOOKUP(A4883,INSUMOS_AUX!A:F,6,0),0)</f>
        <v>0</v>
      </c>
    </row>
    <row r="4884" customFormat="false" ht="21" hidden="false" customHeight="false" outlineLevel="0" collapsed="false">
      <c r="A4884" s="154" t="n">
        <v>43461</v>
      </c>
      <c r="B4884" s="155" t="s">
        <v>1482</v>
      </c>
      <c r="C4884" s="148" t="str">
        <f aca="false">VLOOKUP($A4884,INSUMOS_AUX!$A$3:$H$813,3,0)</f>
        <v>MAT.</v>
      </c>
      <c r="D4884" s="156" t="s">
        <v>1444</v>
      </c>
      <c r="E4884" s="154" t="n">
        <v>0.2436</v>
      </c>
      <c r="F4884" s="149" t="n">
        <f aca="false">IF(C4884="MAT.",VLOOKUP(A4884,INSUMOS_AUX!$A$3:$H$813,6,0),0)</f>
        <v>0.31</v>
      </c>
      <c r="G4884" s="149" t="n">
        <f aca="false">IF(C4884="M.O.",VLOOKUP(A4884,INSUMOS_AUX!A:F,6,0),0)</f>
        <v>0</v>
      </c>
    </row>
    <row r="4885" customFormat="false" ht="21" hidden="false" customHeight="false" outlineLevel="0" collapsed="false">
      <c r="A4885" s="154" t="n">
        <v>37373</v>
      </c>
      <c r="B4885" s="155" t="s">
        <v>1448</v>
      </c>
      <c r="C4885" s="148" t="str">
        <f aca="false">VLOOKUP($A4885,INSUMOS_AUX!$A$3:$H$813,3,0)</f>
        <v>MAT.</v>
      </c>
      <c r="D4885" s="156" t="s">
        <v>1444</v>
      </c>
      <c r="E4885" s="154" t="n">
        <v>0.2436</v>
      </c>
      <c r="F4885" s="149" t="n">
        <f aca="false">IF(C4885="MAT.",VLOOKUP(A4885,INSUMOS_AUX!$A$3:$H$813,6,0),0)</f>
        <v>0.08</v>
      </c>
      <c r="G4885" s="149" t="n">
        <f aca="false">IF(C4885="M.O.",VLOOKUP(A4885,INSUMOS_AUX!A:F,6,0),0)</f>
        <v>0</v>
      </c>
    </row>
    <row r="4886" customFormat="false" ht="21" hidden="false" customHeight="false" outlineLevel="0" collapsed="false">
      <c r="A4886" s="154" t="n">
        <v>37371</v>
      </c>
      <c r="B4886" s="155" t="s">
        <v>1449</v>
      </c>
      <c r="C4886" s="148" t="str">
        <f aca="false">VLOOKUP($A4886,INSUMOS_AUX!$A$3:$H$813,3,0)</f>
        <v>MAT.</v>
      </c>
      <c r="D4886" s="156" t="s">
        <v>1444</v>
      </c>
      <c r="E4886" s="154" t="n">
        <v>0.2436</v>
      </c>
      <c r="F4886" s="149" t="n">
        <f aca="false">IF(C4886="MAT.",VLOOKUP(A4886,INSUMOS_AUX!$A$3:$H$813,6,0),0)</f>
        <v>0.59</v>
      </c>
      <c r="G4886" s="149" t="n">
        <f aca="false">IF(C4886="M.O.",VLOOKUP(A4886,INSUMOS_AUX!A:F,6,0),0)</f>
        <v>0</v>
      </c>
    </row>
    <row r="4887" customFormat="false" ht="15" hidden="false" customHeight="false" outlineLevel="0" collapsed="false">
      <c r="A4887" s="154" t="n">
        <v>122</v>
      </c>
      <c r="B4887" s="155" t="s">
        <v>2097</v>
      </c>
      <c r="C4887" s="148" t="str">
        <f aca="false">VLOOKUP($A4887,INSUMOS_AUX!$A$3:$H$813,3,0)</f>
        <v>MAT.</v>
      </c>
      <c r="D4887" s="156" t="s">
        <v>31</v>
      </c>
      <c r="E4887" s="154" t="n">
        <v>0.0118</v>
      </c>
      <c r="F4887" s="149" t="n">
        <f aca="false">IF(C4887="MAT.",VLOOKUP(A4887,INSUMOS_AUX!$A$3:$H$813,6,0),0)</f>
        <v>63.09</v>
      </c>
      <c r="G4887" s="149" t="n">
        <f aca="false">IF(C4887="M.O.",VLOOKUP(A4887,INSUMOS_AUX!A:F,6,0),0)</f>
        <v>0</v>
      </c>
    </row>
    <row r="4888" customFormat="false" ht="21" hidden="false" customHeight="false" outlineLevel="0" collapsed="false">
      <c r="A4888" s="154" t="n">
        <v>813</v>
      </c>
      <c r="B4888" s="155" t="s">
        <v>2303</v>
      </c>
      <c r="C4888" s="148" t="str">
        <f aca="false">VLOOKUP($A4888,INSUMOS_AUX!$A$3:$H$813,3,0)</f>
        <v>MAT.</v>
      </c>
      <c r="D4888" s="156" t="s">
        <v>31</v>
      </c>
      <c r="E4888" s="154" t="n">
        <v>1</v>
      </c>
      <c r="F4888" s="149" t="n">
        <f aca="false">IF(C4888="MAT.",VLOOKUP(A4888,INSUMOS_AUX!$A$3:$H$813,6,0),0)</f>
        <v>4.26</v>
      </c>
      <c r="G4888" s="149" t="n">
        <f aca="false">IF(C4888="M.O.",VLOOKUP(A4888,INSUMOS_AUX!A:F,6,0),0)</f>
        <v>0</v>
      </c>
    </row>
    <row r="4889" customFormat="false" ht="15" hidden="false" customHeight="false" outlineLevel="0" collapsed="false">
      <c r="A4889" s="154" t="n">
        <v>38383</v>
      </c>
      <c r="B4889" s="155" t="s">
        <v>2093</v>
      </c>
      <c r="C4889" s="148" t="str">
        <f aca="false">VLOOKUP($A4889,INSUMOS_AUX!$A$3:$H$813,3,0)</f>
        <v>MAT.</v>
      </c>
      <c r="D4889" s="156" t="s">
        <v>31</v>
      </c>
      <c r="E4889" s="154" t="n">
        <v>0.0406</v>
      </c>
      <c r="F4889" s="149" t="n">
        <f aca="false">IF(C4889="MAT.",VLOOKUP(A4889,INSUMOS_AUX!$A$3:$H$813,6,0),0)</f>
        <v>2.39</v>
      </c>
      <c r="G4889" s="149" t="n">
        <f aca="false">IF(C4889="M.O.",VLOOKUP(A4889,INSUMOS_AUX!A:F,6,0),0)</f>
        <v>0</v>
      </c>
    </row>
    <row r="4890" customFormat="false" ht="21" hidden="false" customHeight="false" outlineLevel="0" collapsed="false">
      <c r="A4890" s="154" t="n">
        <v>20083</v>
      </c>
      <c r="B4890" s="155" t="s">
        <v>2095</v>
      </c>
      <c r="C4890" s="148" t="str">
        <f aca="false">VLOOKUP($A4890,INSUMOS_AUX!$A$3:$H$813,3,0)</f>
        <v>MAT.</v>
      </c>
      <c r="D4890" s="156" t="s">
        <v>31</v>
      </c>
      <c r="E4890" s="154" t="n">
        <v>0.015</v>
      </c>
      <c r="F4890" s="149" t="n">
        <f aca="false">IF(C4890="MAT.",VLOOKUP(A4890,INSUMOS_AUX!$A$3:$H$813,6,0),0)</f>
        <v>71.48</v>
      </c>
      <c r="G4890" s="149" t="n">
        <f aca="false">IF(C4890="M.O.",VLOOKUP(A4890,INSUMOS_AUX!A:F,6,0),0)</f>
        <v>0</v>
      </c>
    </row>
    <row r="4891" customFormat="false" ht="15" hidden="false" customHeight="false" outlineLevel="0" collapsed="false">
      <c r="A4891" s="154" t="n">
        <v>246</v>
      </c>
      <c r="B4891" s="155" t="s">
        <v>1752</v>
      </c>
      <c r="C4891" s="148" t="str">
        <f aca="false">VLOOKUP($A4891,INSUMOS_AUX!$A$3:$H$813,3,0)</f>
        <v>M.O.</v>
      </c>
      <c r="D4891" s="156" t="s">
        <v>1444</v>
      </c>
      <c r="E4891" s="154" t="n">
        <v>0.123989964</v>
      </c>
      <c r="F4891" s="149" t="n">
        <f aca="false">IF(C4891="MAT.",VLOOKUP(A4891,INSUMOS_AUX!$A$3:$H$813,6,0),0)</f>
        <v>0</v>
      </c>
      <c r="G4891" s="149" t="n">
        <f aca="false">IF(C4891="M.O.",VLOOKUP(A4891,INSUMOS_AUX!A:F,6,0),0)</f>
        <v>13.26</v>
      </c>
    </row>
    <row r="4892" customFormat="false" ht="15" hidden="false" customHeight="false" outlineLevel="0" collapsed="false">
      <c r="A4892" s="154" t="n">
        <v>2696</v>
      </c>
      <c r="B4892" s="155" t="s">
        <v>1483</v>
      </c>
      <c r="C4892" s="148" t="s">
        <v>59</v>
      </c>
      <c r="D4892" s="156" t="s">
        <v>1444</v>
      </c>
      <c r="E4892" s="154" t="n">
        <v>0.123989964</v>
      </c>
      <c r="F4892" s="149" t="n">
        <f aca="false">IF(C4892="MAT.",VLOOKUP(A4892,INSUMOS_AUX!$A$3:$H$813,6,0),0)</f>
        <v>0</v>
      </c>
      <c r="G4892" s="149" t="n">
        <f aca="false">IF(C4892="M.O.",VLOOKUP(A4892,INSUMOS_AUX!A:F,6,0),0)</f>
        <v>0</v>
      </c>
    </row>
    <row r="4893" customFormat="false" ht="31.5" hidden="false" customHeight="false" outlineLevel="0" collapsed="false">
      <c r="A4893" s="150" t="n">
        <v>103972</v>
      </c>
      <c r="B4893" s="151" t="s">
        <v>2304</v>
      </c>
      <c r="C4893" s="152" t="s">
        <v>59</v>
      </c>
      <c r="D4893" s="152" t="s">
        <v>31</v>
      </c>
      <c r="E4893" s="150"/>
      <c r="F4893" s="153" t="n">
        <f aca="false">(SUMPRODUCT($E4894:$E4905,F4894:F4905))*1</f>
        <v>24.336495</v>
      </c>
      <c r="G4893" s="153" t="n">
        <f aca="false">(SUMPRODUCT($E4894:$E4905,G4894:G4905))*1</f>
        <v>2.1303980046</v>
      </c>
    </row>
    <row r="4894" customFormat="false" ht="21" hidden="false" customHeight="false" outlineLevel="0" collapsed="false">
      <c r="A4894" s="154" t="n">
        <v>37370</v>
      </c>
      <c r="B4894" s="155" t="s">
        <v>1443</v>
      </c>
      <c r="C4894" s="148" t="str">
        <f aca="false">VLOOKUP($A4894,INSUMOS_AUX!$A$3:$H$813,3,0)</f>
        <v>MAT.</v>
      </c>
      <c r="D4894" s="156" t="s">
        <v>1444</v>
      </c>
      <c r="E4894" s="154" t="n">
        <v>0.207</v>
      </c>
      <c r="F4894" s="149" t="n">
        <f aca="false">IF(C4894="MAT.",VLOOKUP(A4894,INSUMOS_AUX!$A$3:$H$813,6,0),0)</f>
        <v>3.32</v>
      </c>
      <c r="G4894" s="149" t="n">
        <f aca="false">IF(C4894="M.O.",VLOOKUP(A4894,INSUMOS_AUX!A:F,6,0),0)</f>
        <v>0</v>
      </c>
    </row>
    <row r="4895" customFormat="false" ht="21" hidden="false" customHeight="false" outlineLevel="0" collapsed="false">
      <c r="A4895" s="154" t="n">
        <v>43485</v>
      </c>
      <c r="B4895" s="155" t="s">
        <v>1481</v>
      </c>
      <c r="C4895" s="148" t="str">
        <f aca="false">VLOOKUP($A4895,INSUMOS_AUX!$A$3:$H$813,3,0)</f>
        <v>MAT.</v>
      </c>
      <c r="D4895" s="156" t="s">
        <v>1444</v>
      </c>
      <c r="E4895" s="154" t="n">
        <v>0.207</v>
      </c>
      <c r="F4895" s="149" t="n">
        <f aca="false">IF(C4895="MAT.",VLOOKUP(A4895,INSUMOS_AUX!$A$3:$H$813,6,0),0)</f>
        <v>1.13</v>
      </c>
      <c r="G4895" s="149" t="n">
        <f aca="false">IF(C4895="M.O.",VLOOKUP(A4895,INSUMOS_AUX!A:F,6,0),0)</f>
        <v>0</v>
      </c>
    </row>
    <row r="4896" customFormat="false" ht="21" hidden="false" customHeight="false" outlineLevel="0" collapsed="false">
      <c r="A4896" s="154" t="n">
        <v>37372</v>
      </c>
      <c r="B4896" s="155" t="s">
        <v>1446</v>
      </c>
      <c r="C4896" s="148" t="str">
        <f aca="false">VLOOKUP($A4896,INSUMOS_AUX!$A$3:$H$813,3,0)</f>
        <v>MAT.</v>
      </c>
      <c r="D4896" s="156" t="s">
        <v>1444</v>
      </c>
      <c r="E4896" s="154" t="n">
        <v>0.207</v>
      </c>
      <c r="F4896" s="149" t="n">
        <f aca="false">IF(C4896="MAT.",VLOOKUP(A4896,INSUMOS_AUX!$A$3:$H$813,6,0),0)</f>
        <v>1.43</v>
      </c>
      <c r="G4896" s="149" t="n">
        <f aca="false">IF(C4896="M.O.",VLOOKUP(A4896,INSUMOS_AUX!A:F,6,0),0)</f>
        <v>0</v>
      </c>
    </row>
    <row r="4897" customFormat="false" ht="21" hidden="false" customHeight="false" outlineLevel="0" collapsed="false">
      <c r="A4897" s="154" t="n">
        <v>43461</v>
      </c>
      <c r="B4897" s="155" t="s">
        <v>1482</v>
      </c>
      <c r="C4897" s="148" t="str">
        <f aca="false">VLOOKUP($A4897,INSUMOS_AUX!$A$3:$H$813,3,0)</f>
        <v>MAT.</v>
      </c>
      <c r="D4897" s="156" t="s">
        <v>1444</v>
      </c>
      <c r="E4897" s="154" t="n">
        <v>0.207</v>
      </c>
      <c r="F4897" s="149" t="n">
        <f aca="false">IF(C4897="MAT.",VLOOKUP(A4897,INSUMOS_AUX!$A$3:$H$813,6,0),0)</f>
        <v>0.31</v>
      </c>
      <c r="G4897" s="149" t="n">
        <f aca="false">IF(C4897="M.O.",VLOOKUP(A4897,INSUMOS_AUX!A:F,6,0),0)</f>
        <v>0</v>
      </c>
    </row>
    <row r="4898" customFormat="false" ht="21" hidden="false" customHeight="false" outlineLevel="0" collapsed="false">
      <c r="A4898" s="154" t="n">
        <v>37373</v>
      </c>
      <c r="B4898" s="155" t="s">
        <v>1448</v>
      </c>
      <c r="C4898" s="148" t="str">
        <f aca="false">VLOOKUP($A4898,INSUMOS_AUX!$A$3:$H$813,3,0)</f>
        <v>MAT.</v>
      </c>
      <c r="D4898" s="156" t="s">
        <v>1444</v>
      </c>
      <c r="E4898" s="154" t="n">
        <v>0.207</v>
      </c>
      <c r="F4898" s="149" t="n">
        <f aca="false">IF(C4898="MAT.",VLOOKUP(A4898,INSUMOS_AUX!$A$3:$H$813,6,0),0)</f>
        <v>0.08</v>
      </c>
      <c r="G4898" s="149" t="n">
        <f aca="false">IF(C4898="M.O.",VLOOKUP(A4898,INSUMOS_AUX!A:F,6,0),0)</f>
        <v>0</v>
      </c>
    </row>
    <row r="4899" customFormat="false" ht="21" hidden="false" customHeight="false" outlineLevel="0" collapsed="false">
      <c r="A4899" s="154" t="n">
        <v>37371</v>
      </c>
      <c r="B4899" s="155" t="s">
        <v>1449</v>
      </c>
      <c r="C4899" s="148" t="str">
        <f aca="false">VLOOKUP($A4899,INSUMOS_AUX!$A$3:$H$813,3,0)</f>
        <v>MAT.</v>
      </c>
      <c r="D4899" s="156" t="s">
        <v>1444</v>
      </c>
      <c r="E4899" s="154" t="n">
        <v>0.207</v>
      </c>
      <c r="F4899" s="149" t="n">
        <f aca="false">IF(C4899="MAT.",VLOOKUP(A4899,INSUMOS_AUX!$A$3:$H$813,6,0),0)</f>
        <v>0.59</v>
      </c>
      <c r="G4899" s="149" t="n">
        <f aca="false">IF(C4899="M.O.",VLOOKUP(A4899,INSUMOS_AUX!A:F,6,0),0)</f>
        <v>0</v>
      </c>
    </row>
    <row r="4900" customFormat="false" ht="15" hidden="false" customHeight="false" outlineLevel="0" collapsed="false">
      <c r="A4900" s="154" t="n">
        <v>122</v>
      </c>
      <c r="B4900" s="155" t="s">
        <v>2097</v>
      </c>
      <c r="C4900" s="148" t="str">
        <f aca="false">VLOOKUP($A4900,INSUMOS_AUX!$A$3:$H$813,3,0)</f>
        <v>MAT.</v>
      </c>
      <c r="D4900" s="156" t="s">
        <v>31</v>
      </c>
      <c r="E4900" s="154" t="n">
        <v>0.0212</v>
      </c>
      <c r="F4900" s="149" t="n">
        <f aca="false">IF(C4900="MAT.",VLOOKUP(A4900,INSUMOS_AUX!$A$3:$H$813,6,0),0)</f>
        <v>63.09</v>
      </c>
      <c r="G4900" s="149" t="n">
        <f aca="false">IF(C4900="M.O.",VLOOKUP(A4900,INSUMOS_AUX!A:F,6,0),0)</f>
        <v>0</v>
      </c>
    </row>
    <row r="4901" customFormat="false" ht="21" hidden="false" customHeight="false" outlineLevel="0" collapsed="false">
      <c r="A4901" s="154" t="n">
        <v>821</v>
      </c>
      <c r="B4901" s="155" t="s">
        <v>2305</v>
      </c>
      <c r="C4901" s="148" t="str">
        <f aca="false">VLOOKUP($A4901,INSUMOS_AUX!$A$3:$H$813,3,0)</f>
        <v>MAT.</v>
      </c>
      <c r="D4901" s="156" t="s">
        <v>31</v>
      </c>
      <c r="E4901" s="154" t="n">
        <v>1</v>
      </c>
      <c r="F4901" s="149" t="n">
        <f aca="false">IF(C4901="MAT.",VLOOKUP(A4901,INSUMOS_AUX!$A$3:$H$813,6,0),0)</f>
        <v>18.95</v>
      </c>
      <c r="G4901" s="149" t="n">
        <f aca="false">IF(C4901="M.O.",VLOOKUP(A4901,INSUMOS_AUX!A:F,6,0),0)</f>
        <v>0</v>
      </c>
    </row>
    <row r="4902" customFormat="false" ht="15" hidden="false" customHeight="false" outlineLevel="0" collapsed="false">
      <c r="A4902" s="154" t="n">
        <v>38383</v>
      </c>
      <c r="B4902" s="155" t="s">
        <v>2093</v>
      </c>
      <c r="C4902" s="148" t="str">
        <f aca="false">VLOOKUP($A4902,INSUMOS_AUX!$A$3:$H$813,3,0)</f>
        <v>MAT.</v>
      </c>
      <c r="D4902" s="156" t="s">
        <v>31</v>
      </c>
      <c r="E4902" s="154" t="n">
        <v>0.0233</v>
      </c>
      <c r="F4902" s="149" t="n">
        <f aca="false">IF(C4902="MAT.",VLOOKUP(A4902,INSUMOS_AUX!$A$3:$H$813,6,0),0)</f>
        <v>2.39</v>
      </c>
      <c r="G4902" s="149" t="n">
        <f aca="false">IF(C4902="M.O.",VLOOKUP(A4902,INSUMOS_AUX!A:F,6,0),0)</f>
        <v>0</v>
      </c>
    </row>
    <row r="4903" customFormat="false" ht="21" hidden="false" customHeight="false" outlineLevel="0" collapsed="false">
      <c r="A4903" s="154" t="n">
        <v>20083</v>
      </c>
      <c r="B4903" s="155" t="s">
        <v>2095</v>
      </c>
      <c r="C4903" s="148" t="str">
        <f aca="false">VLOOKUP($A4903,INSUMOS_AUX!$A$3:$H$813,3,0)</f>
        <v>MAT.</v>
      </c>
      <c r="D4903" s="156" t="s">
        <v>31</v>
      </c>
      <c r="E4903" s="154" t="n">
        <v>0.036</v>
      </c>
      <c r="F4903" s="149" t="n">
        <f aca="false">IF(C4903="MAT.",VLOOKUP(A4903,INSUMOS_AUX!$A$3:$H$813,6,0),0)</f>
        <v>71.48</v>
      </c>
      <c r="G4903" s="149" t="n">
        <f aca="false">IF(C4903="M.O.",VLOOKUP(A4903,INSUMOS_AUX!A:F,6,0),0)</f>
        <v>0</v>
      </c>
    </row>
    <row r="4904" customFormat="false" ht="15" hidden="false" customHeight="false" outlineLevel="0" collapsed="false">
      <c r="A4904" s="154" t="n">
        <v>246</v>
      </c>
      <c r="B4904" s="155" t="s">
        <v>1752</v>
      </c>
      <c r="C4904" s="148" t="s">
        <v>59</v>
      </c>
      <c r="D4904" s="156" t="s">
        <v>1444</v>
      </c>
      <c r="E4904" s="154" t="n">
        <v>0.10536093</v>
      </c>
      <c r="F4904" s="149" t="n">
        <f aca="false">IF(C4904="MAT.",VLOOKUP(A4904,INSUMOS_AUX!$A$3:$H$813,6,0),0)</f>
        <v>0</v>
      </c>
      <c r="G4904" s="149" t="n">
        <f aca="false">IF(C4904="M.O.",VLOOKUP(A4904,INSUMOS_AUX!A:F,6,0),0)</f>
        <v>0</v>
      </c>
    </row>
    <row r="4905" customFormat="false" ht="15" hidden="false" customHeight="false" outlineLevel="0" collapsed="false">
      <c r="A4905" s="154" t="n">
        <v>2696</v>
      </c>
      <c r="B4905" s="155" t="s">
        <v>1483</v>
      </c>
      <c r="C4905" s="148" t="str">
        <f aca="false">VLOOKUP($A4905,INSUMOS_AUX!$A$3:$H$813,3,0)</f>
        <v>M.O.</v>
      </c>
      <c r="D4905" s="156" t="s">
        <v>1444</v>
      </c>
      <c r="E4905" s="154" t="n">
        <v>0.10536093</v>
      </c>
      <c r="F4905" s="149" t="n">
        <f aca="false">IF(C4905="MAT.",VLOOKUP(A4905,INSUMOS_AUX!$A$3:$H$813,6,0),0)</f>
        <v>0</v>
      </c>
      <c r="G4905" s="149" t="n">
        <f aca="false">IF(C4905="M.O.",VLOOKUP(A4905,INSUMOS_AUX!A:F,6,0),0)</f>
        <v>20.22</v>
      </c>
    </row>
    <row r="4906" customFormat="false" ht="31.5" hidden="false" customHeight="false" outlineLevel="0" collapsed="false">
      <c r="A4906" s="150" t="n">
        <v>89409</v>
      </c>
      <c r="B4906" s="151" t="s">
        <v>2306</v>
      </c>
      <c r="C4906" s="152" t="s">
        <v>59</v>
      </c>
      <c r="D4906" s="152" t="s">
        <v>31</v>
      </c>
      <c r="E4906" s="150"/>
      <c r="F4906" s="153" t="n">
        <f aca="false">(SUMPRODUCT($E4907:$E4918,F4907:F4918))*1</f>
        <v>4.394327</v>
      </c>
      <c r="G4906" s="153" t="n">
        <f aca="false">(SUMPRODUCT($E4907:$E4918,G4907:G4918))*1</f>
        <v>4.63173977736</v>
      </c>
    </row>
    <row r="4907" customFormat="false" ht="21" hidden="false" customHeight="false" outlineLevel="0" collapsed="false">
      <c r="A4907" s="154" t="n">
        <v>37370</v>
      </c>
      <c r="B4907" s="155" t="s">
        <v>1443</v>
      </c>
      <c r="C4907" s="148" t="str">
        <f aca="false">VLOOKUP($A4907,INSUMOS_AUX!$A$3:$H$813,3,0)</f>
        <v>MAT.</v>
      </c>
      <c r="D4907" s="156" t="s">
        <v>1444</v>
      </c>
      <c r="E4907" s="154" t="n">
        <v>0.2718</v>
      </c>
      <c r="F4907" s="149" t="n">
        <f aca="false">IF(C4907="MAT.",VLOOKUP(A4907,INSUMOS_AUX!$A$3:$H$813,6,0),0)</f>
        <v>3.32</v>
      </c>
      <c r="G4907" s="149" t="n">
        <f aca="false">IF(C4907="M.O.",VLOOKUP(A4907,INSUMOS_AUX!A:F,6,0),0)</f>
        <v>0</v>
      </c>
    </row>
    <row r="4908" customFormat="false" ht="21" hidden="false" customHeight="false" outlineLevel="0" collapsed="false">
      <c r="A4908" s="154" t="n">
        <v>43485</v>
      </c>
      <c r="B4908" s="155" t="s">
        <v>1481</v>
      </c>
      <c r="C4908" s="148" t="str">
        <f aca="false">VLOOKUP($A4908,INSUMOS_AUX!$A$3:$H$813,3,0)</f>
        <v>MAT.</v>
      </c>
      <c r="D4908" s="156" t="s">
        <v>1444</v>
      </c>
      <c r="E4908" s="154" t="n">
        <v>0.2718</v>
      </c>
      <c r="F4908" s="149" t="n">
        <f aca="false">IF(C4908="MAT.",VLOOKUP(A4908,INSUMOS_AUX!$A$3:$H$813,6,0),0)</f>
        <v>1.13</v>
      </c>
      <c r="G4908" s="149" t="n">
        <f aca="false">IF(C4908="M.O.",VLOOKUP(A4908,INSUMOS_AUX!A:F,6,0),0)</f>
        <v>0</v>
      </c>
    </row>
    <row r="4909" customFormat="false" ht="21" hidden="false" customHeight="false" outlineLevel="0" collapsed="false">
      <c r="A4909" s="154" t="n">
        <v>37372</v>
      </c>
      <c r="B4909" s="155" t="s">
        <v>1446</v>
      </c>
      <c r="C4909" s="148" t="str">
        <f aca="false">VLOOKUP($A4909,INSUMOS_AUX!$A$3:$H$813,3,0)</f>
        <v>MAT.</v>
      </c>
      <c r="D4909" s="156" t="s">
        <v>1444</v>
      </c>
      <c r="E4909" s="154" t="n">
        <v>0.2718</v>
      </c>
      <c r="F4909" s="149" t="n">
        <f aca="false">IF(C4909="MAT.",VLOOKUP(A4909,INSUMOS_AUX!$A$3:$H$813,6,0),0)</f>
        <v>1.43</v>
      </c>
      <c r="G4909" s="149" t="n">
        <f aca="false">IF(C4909="M.O.",VLOOKUP(A4909,INSUMOS_AUX!A:F,6,0),0)</f>
        <v>0</v>
      </c>
    </row>
    <row r="4910" customFormat="false" ht="21" hidden="false" customHeight="false" outlineLevel="0" collapsed="false">
      <c r="A4910" s="154" t="n">
        <v>43461</v>
      </c>
      <c r="B4910" s="155" t="s">
        <v>1482</v>
      </c>
      <c r="C4910" s="148" t="str">
        <f aca="false">VLOOKUP($A4910,INSUMOS_AUX!$A$3:$H$813,3,0)</f>
        <v>MAT.</v>
      </c>
      <c r="D4910" s="156" t="s">
        <v>1444</v>
      </c>
      <c r="E4910" s="154" t="n">
        <v>0.2718</v>
      </c>
      <c r="F4910" s="149" t="n">
        <f aca="false">IF(C4910="MAT.",VLOOKUP(A4910,INSUMOS_AUX!$A$3:$H$813,6,0),0)</f>
        <v>0.31</v>
      </c>
      <c r="G4910" s="149" t="n">
        <f aca="false">IF(C4910="M.O.",VLOOKUP(A4910,INSUMOS_AUX!A:F,6,0),0)</f>
        <v>0</v>
      </c>
    </row>
    <row r="4911" customFormat="false" ht="21" hidden="false" customHeight="false" outlineLevel="0" collapsed="false">
      <c r="A4911" s="154" t="n">
        <v>37373</v>
      </c>
      <c r="B4911" s="155" t="s">
        <v>1448</v>
      </c>
      <c r="C4911" s="148" t="str">
        <f aca="false">VLOOKUP($A4911,INSUMOS_AUX!$A$3:$H$813,3,0)</f>
        <v>MAT.</v>
      </c>
      <c r="D4911" s="156" t="s">
        <v>1444</v>
      </c>
      <c r="E4911" s="154" t="n">
        <v>0.2718</v>
      </c>
      <c r="F4911" s="149" t="n">
        <f aca="false">IF(C4911="MAT.",VLOOKUP(A4911,INSUMOS_AUX!$A$3:$H$813,6,0),0)</f>
        <v>0.08</v>
      </c>
      <c r="G4911" s="149" t="n">
        <f aca="false">IF(C4911="M.O.",VLOOKUP(A4911,INSUMOS_AUX!A:F,6,0),0)</f>
        <v>0</v>
      </c>
    </row>
    <row r="4912" customFormat="false" ht="21" hidden="false" customHeight="false" outlineLevel="0" collapsed="false">
      <c r="A4912" s="154" t="n">
        <v>37371</v>
      </c>
      <c r="B4912" s="155" t="s">
        <v>1449</v>
      </c>
      <c r="C4912" s="148" t="str">
        <f aca="false">VLOOKUP($A4912,INSUMOS_AUX!$A$3:$H$813,3,0)</f>
        <v>MAT.</v>
      </c>
      <c r="D4912" s="156" t="s">
        <v>1444</v>
      </c>
      <c r="E4912" s="154" t="n">
        <v>0.2718</v>
      </c>
      <c r="F4912" s="149" t="n">
        <f aca="false">IF(C4912="MAT.",VLOOKUP(A4912,INSUMOS_AUX!$A$3:$H$813,6,0),0)</f>
        <v>0.59</v>
      </c>
      <c r="G4912" s="149" t="n">
        <f aca="false">IF(C4912="M.O.",VLOOKUP(A4912,INSUMOS_AUX!A:F,6,0),0)</f>
        <v>0</v>
      </c>
    </row>
    <row r="4913" customFormat="false" ht="15" hidden="false" customHeight="false" outlineLevel="0" collapsed="false">
      <c r="A4913" s="154" t="n">
        <v>122</v>
      </c>
      <c r="B4913" s="155" t="s">
        <v>2097</v>
      </c>
      <c r="C4913" s="148" t="str">
        <f aca="false">VLOOKUP($A4913,INSUMOS_AUX!$A$3:$H$813,3,0)</f>
        <v>MAT.</v>
      </c>
      <c r="D4913" s="156" t="s">
        <v>31</v>
      </c>
      <c r="E4913" s="154" t="n">
        <v>0.0071</v>
      </c>
      <c r="F4913" s="149" t="n">
        <f aca="false">IF(C4913="MAT.",VLOOKUP(A4913,INSUMOS_AUX!$A$3:$H$813,6,0),0)</f>
        <v>63.09</v>
      </c>
      <c r="G4913" s="149" t="n">
        <f aca="false">IF(C4913="M.O.",VLOOKUP(A4913,INSUMOS_AUX!A:F,6,0),0)</f>
        <v>0</v>
      </c>
    </row>
    <row r="4914" customFormat="false" ht="21" hidden="false" customHeight="false" outlineLevel="0" collapsed="false">
      <c r="A4914" s="154" t="n">
        <v>3500</v>
      </c>
      <c r="B4914" s="155" t="s">
        <v>2104</v>
      </c>
      <c r="C4914" s="148" t="str">
        <f aca="false">VLOOKUP($A4914,INSUMOS_AUX!$A$3:$H$813,3,0)</f>
        <v>MAT.</v>
      </c>
      <c r="D4914" s="156" t="s">
        <v>31</v>
      </c>
      <c r="E4914" s="154" t="n">
        <v>1</v>
      </c>
      <c r="F4914" s="149" t="n">
        <f aca="false">IF(C4914="MAT.",VLOOKUP(A4914,INSUMOS_AUX!$A$3:$H$813,6,0),0)</f>
        <v>1.51</v>
      </c>
      <c r="G4914" s="149" t="n">
        <f aca="false">IF(C4914="M.O.",VLOOKUP(A4914,INSUMOS_AUX!A:F,6,0),0)</f>
        <v>0</v>
      </c>
    </row>
    <row r="4915" customFormat="false" ht="15" hidden="false" customHeight="false" outlineLevel="0" collapsed="false">
      <c r="A4915" s="154" t="n">
        <v>38383</v>
      </c>
      <c r="B4915" s="155" t="s">
        <v>2093</v>
      </c>
      <c r="C4915" s="148" t="s">
        <v>59</v>
      </c>
      <c r="D4915" s="156" t="s">
        <v>31</v>
      </c>
      <c r="E4915" s="154" t="n">
        <v>0.0302</v>
      </c>
      <c r="F4915" s="149" t="n">
        <f aca="false">IF(C4915="MAT.",VLOOKUP(A4915,INSUMOS_AUX!$A$3:$H$813,6,0),0)</f>
        <v>0</v>
      </c>
      <c r="G4915" s="149" t="n">
        <f aca="false">IF(C4915="M.O.",VLOOKUP(A4915,INSUMOS_AUX!A:F,6,0),0)</f>
        <v>0</v>
      </c>
    </row>
    <row r="4916" customFormat="false" ht="21" hidden="false" customHeight="false" outlineLevel="0" collapsed="false">
      <c r="A4916" s="154" t="n">
        <v>20083</v>
      </c>
      <c r="B4916" s="155" t="s">
        <v>2095</v>
      </c>
      <c r="C4916" s="148" t="str">
        <f aca="false">VLOOKUP($A4916,INSUMOS_AUX!$A$3:$H$813,3,0)</f>
        <v>MAT.</v>
      </c>
      <c r="D4916" s="156" t="s">
        <v>31</v>
      </c>
      <c r="E4916" s="154" t="n">
        <v>0.008</v>
      </c>
      <c r="F4916" s="149" t="n">
        <f aca="false">IF(C4916="MAT.",VLOOKUP(A4916,INSUMOS_AUX!$A$3:$H$813,6,0),0)</f>
        <v>71.48</v>
      </c>
      <c r="G4916" s="149" t="n">
        <f aca="false">IF(C4916="M.O.",VLOOKUP(A4916,INSUMOS_AUX!A:F,6,0),0)</f>
        <v>0</v>
      </c>
    </row>
    <row r="4917" customFormat="false" ht="15" hidden="false" customHeight="false" outlineLevel="0" collapsed="false">
      <c r="A4917" s="154" t="n">
        <v>246</v>
      </c>
      <c r="B4917" s="155" t="s">
        <v>1752</v>
      </c>
      <c r="C4917" s="148" t="str">
        <f aca="false">VLOOKUP($A4917,INSUMOS_AUX!$A$3:$H$813,3,0)</f>
        <v>M.O.</v>
      </c>
      <c r="D4917" s="156" t="s">
        <v>1444</v>
      </c>
      <c r="E4917" s="154" t="n">
        <v>0.138343482</v>
      </c>
      <c r="F4917" s="149" t="n">
        <f aca="false">IF(C4917="MAT.",VLOOKUP(A4917,INSUMOS_AUX!$A$3:$H$813,6,0),0)</f>
        <v>0</v>
      </c>
      <c r="G4917" s="149" t="n">
        <f aca="false">IF(C4917="M.O.",VLOOKUP(A4917,INSUMOS_AUX!A:F,6,0),0)</f>
        <v>13.26</v>
      </c>
    </row>
    <row r="4918" customFormat="false" ht="15" hidden="false" customHeight="false" outlineLevel="0" collapsed="false">
      <c r="A4918" s="154" t="n">
        <v>2696</v>
      </c>
      <c r="B4918" s="155" t="s">
        <v>1483</v>
      </c>
      <c r="C4918" s="148" t="str">
        <f aca="false">VLOOKUP($A4918,INSUMOS_AUX!$A$3:$H$813,3,0)</f>
        <v>M.O.</v>
      </c>
      <c r="D4918" s="156" t="s">
        <v>1444</v>
      </c>
      <c r="E4918" s="154" t="n">
        <v>0.138343482</v>
      </c>
      <c r="F4918" s="149" t="n">
        <f aca="false">IF(C4918="MAT.",VLOOKUP(A4918,INSUMOS_AUX!$A$3:$H$813,6,0),0)</f>
        <v>0</v>
      </c>
      <c r="G4918" s="149" t="n">
        <f aca="false">IF(C4918="M.O.",VLOOKUP(A4918,INSUMOS_AUX!A:F,6,0),0)</f>
        <v>20.22</v>
      </c>
    </row>
    <row r="4919" customFormat="false" ht="21" hidden="false" customHeight="false" outlineLevel="0" collapsed="false">
      <c r="A4919" s="150" t="n">
        <v>89502</v>
      </c>
      <c r="B4919" s="151" t="s">
        <v>2307</v>
      </c>
      <c r="C4919" s="152" t="s">
        <v>59</v>
      </c>
      <c r="D4919" s="152" t="s">
        <v>31</v>
      </c>
      <c r="E4919" s="150"/>
      <c r="F4919" s="153" t="n">
        <f aca="false">(SUMPRODUCT($E4920:$E4931,F4920:F4931))*1</f>
        <v>10.881782</v>
      </c>
      <c r="G4919" s="153" t="n">
        <f aca="false">(SUMPRODUCT($E4920:$E4931,G4920:G4931))*1</f>
        <v>4.33181843784</v>
      </c>
    </row>
    <row r="4920" customFormat="false" ht="21" hidden="false" customHeight="false" outlineLevel="0" collapsed="false">
      <c r="A4920" s="154" t="n">
        <v>37370</v>
      </c>
      <c r="B4920" s="155" t="s">
        <v>1443</v>
      </c>
      <c r="C4920" s="148" t="str">
        <f aca="false">VLOOKUP($A4920,INSUMOS_AUX!$A$3:$H$813,3,0)</f>
        <v>MAT.</v>
      </c>
      <c r="D4920" s="156" t="s">
        <v>1444</v>
      </c>
      <c r="E4920" s="154" t="n">
        <v>0.2542</v>
      </c>
      <c r="F4920" s="149" t="n">
        <f aca="false">IF(C4920="MAT.",VLOOKUP(A4920,INSUMOS_AUX!$A$3:$H$813,6,0),0)</f>
        <v>3.32</v>
      </c>
      <c r="G4920" s="149" t="n">
        <f aca="false">IF(C4920="M.O.",VLOOKUP(A4920,INSUMOS_AUX!A:F,6,0),0)</f>
        <v>0</v>
      </c>
    </row>
    <row r="4921" customFormat="false" ht="21" hidden="false" customHeight="false" outlineLevel="0" collapsed="false">
      <c r="A4921" s="154" t="n">
        <v>43485</v>
      </c>
      <c r="B4921" s="155" t="s">
        <v>1481</v>
      </c>
      <c r="C4921" s="148" t="str">
        <f aca="false">VLOOKUP($A4921,INSUMOS_AUX!$A$3:$H$813,3,0)</f>
        <v>MAT.</v>
      </c>
      <c r="D4921" s="156" t="s">
        <v>1444</v>
      </c>
      <c r="E4921" s="154" t="n">
        <v>0.2542</v>
      </c>
      <c r="F4921" s="149" t="n">
        <f aca="false">IF(C4921="MAT.",VLOOKUP(A4921,INSUMOS_AUX!$A$3:$H$813,6,0),0)</f>
        <v>1.13</v>
      </c>
      <c r="G4921" s="149" t="n">
        <f aca="false">IF(C4921="M.O.",VLOOKUP(A4921,INSUMOS_AUX!A:F,6,0),0)</f>
        <v>0</v>
      </c>
    </row>
    <row r="4922" customFormat="false" ht="21" hidden="false" customHeight="false" outlineLevel="0" collapsed="false">
      <c r="A4922" s="154" t="n">
        <v>37372</v>
      </c>
      <c r="B4922" s="155" t="s">
        <v>1446</v>
      </c>
      <c r="C4922" s="148" t="str">
        <f aca="false">VLOOKUP($A4922,INSUMOS_AUX!$A$3:$H$813,3,0)</f>
        <v>MAT.</v>
      </c>
      <c r="D4922" s="156" t="s">
        <v>1444</v>
      </c>
      <c r="E4922" s="154" t="n">
        <v>0.2542</v>
      </c>
      <c r="F4922" s="149" t="n">
        <f aca="false">IF(C4922="MAT.",VLOOKUP(A4922,INSUMOS_AUX!$A$3:$H$813,6,0),0)</f>
        <v>1.43</v>
      </c>
      <c r="G4922" s="149" t="n">
        <f aca="false">IF(C4922="M.O.",VLOOKUP(A4922,INSUMOS_AUX!A:F,6,0),0)</f>
        <v>0</v>
      </c>
    </row>
    <row r="4923" customFormat="false" ht="21" hidden="false" customHeight="false" outlineLevel="0" collapsed="false">
      <c r="A4923" s="154" t="n">
        <v>43461</v>
      </c>
      <c r="B4923" s="155" t="s">
        <v>1482</v>
      </c>
      <c r="C4923" s="148" t="str">
        <f aca="false">VLOOKUP($A4923,INSUMOS_AUX!$A$3:$H$813,3,0)</f>
        <v>MAT.</v>
      </c>
      <c r="D4923" s="156" t="s">
        <v>1444</v>
      </c>
      <c r="E4923" s="154" t="n">
        <v>0.2542</v>
      </c>
      <c r="F4923" s="149" t="n">
        <f aca="false">IF(C4923="MAT.",VLOOKUP(A4923,INSUMOS_AUX!$A$3:$H$813,6,0),0)</f>
        <v>0.31</v>
      </c>
      <c r="G4923" s="149" t="n">
        <f aca="false">IF(C4923="M.O.",VLOOKUP(A4923,INSUMOS_AUX!A:F,6,0),0)</f>
        <v>0</v>
      </c>
    </row>
    <row r="4924" customFormat="false" ht="21" hidden="false" customHeight="false" outlineLevel="0" collapsed="false">
      <c r="A4924" s="154" t="n">
        <v>37373</v>
      </c>
      <c r="B4924" s="155" t="s">
        <v>1448</v>
      </c>
      <c r="C4924" s="148" t="str">
        <f aca="false">VLOOKUP($A4924,INSUMOS_AUX!$A$3:$H$813,3,0)</f>
        <v>MAT.</v>
      </c>
      <c r="D4924" s="156" t="s">
        <v>1444</v>
      </c>
      <c r="E4924" s="154" t="n">
        <v>0.2542</v>
      </c>
      <c r="F4924" s="149" t="n">
        <f aca="false">IF(C4924="MAT.",VLOOKUP(A4924,INSUMOS_AUX!$A$3:$H$813,6,0),0)</f>
        <v>0.08</v>
      </c>
      <c r="G4924" s="149" t="n">
        <f aca="false">IF(C4924="M.O.",VLOOKUP(A4924,INSUMOS_AUX!A:F,6,0),0)</f>
        <v>0</v>
      </c>
    </row>
    <row r="4925" customFormat="false" ht="21" hidden="false" customHeight="false" outlineLevel="0" collapsed="false">
      <c r="A4925" s="154" t="n">
        <v>37371</v>
      </c>
      <c r="B4925" s="155" t="s">
        <v>1449</v>
      </c>
      <c r="C4925" s="148" t="str">
        <f aca="false">VLOOKUP($A4925,INSUMOS_AUX!$A$3:$H$813,3,0)</f>
        <v>MAT.</v>
      </c>
      <c r="D4925" s="156" t="s">
        <v>1444</v>
      </c>
      <c r="E4925" s="154" t="n">
        <v>0.2542</v>
      </c>
      <c r="F4925" s="149" t="n">
        <f aca="false">IF(C4925="MAT.",VLOOKUP(A4925,INSUMOS_AUX!$A$3:$H$813,6,0),0)</f>
        <v>0.59</v>
      </c>
      <c r="G4925" s="149" t="n">
        <f aca="false">IF(C4925="M.O.",VLOOKUP(A4925,INSUMOS_AUX!A:F,6,0),0)</f>
        <v>0</v>
      </c>
    </row>
    <row r="4926" customFormat="false" ht="15" hidden="false" customHeight="false" outlineLevel="0" collapsed="false">
      <c r="A4926" s="154" t="n">
        <v>122</v>
      </c>
      <c r="B4926" s="155" t="s">
        <v>2097</v>
      </c>
      <c r="C4926" s="148" t="s">
        <v>59</v>
      </c>
      <c r="D4926" s="156" t="s">
        <v>31</v>
      </c>
      <c r="E4926" s="154" t="n">
        <v>0.0165</v>
      </c>
      <c r="F4926" s="149" t="n">
        <f aca="false">IF(C4926="MAT.",VLOOKUP(A4926,INSUMOS_AUX!$A$3:$H$813,6,0),0)</f>
        <v>0</v>
      </c>
      <c r="G4926" s="149" t="n">
        <f aca="false">IF(C4926="M.O.",VLOOKUP(A4926,INSUMOS_AUX!A:F,6,0),0)</f>
        <v>0</v>
      </c>
    </row>
    <row r="4927" customFormat="false" ht="21" hidden="false" customHeight="false" outlineLevel="0" collapsed="false">
      <c r="A4927" s="154" t="n">
        <v>3503</v>
      </c>
      <c r="B4927" s="155" t="s">
        <v>2308</v>
      </c>
      <c r="C4927" s="148" t="str">
        <f aca="false">VLOOKUP($A4927,INSUMOS_AUX!$A$3:$H$813,3,0)</f>
        <v>MAT.</v>
      </c>
      <c r="D4927" s="156" t="s">
        <v>31</v>
      </c>
      <c r="E4927" s="154" t="n">
        <v>1</v>
      </c>
      <c r="F4927" s="149" t="n">
        <f aca="false">IF(C4927="MAT.",VLOOKUP(A4927,INSUMOS_AUX!$A$3:$H$813,6,0),0)</f>
        <v>7.52</v>
      </c>
      <c r="G4927" s="149" t="n">
        <f aca="false">IF(C4927="M.O.",VLOOKUP(A4927,INSUMOS_AUX!A:F,6,0),0)</f>
        <v>0</v>
      </c>
    </row>
    <row r="4928" customFormat="false" ht="15" hidden="false" customHeight="false" outlineLevel="0" collapsed="false">
      <c r="A4928" s="154" t="n">
        <v>38383</v>
      </c>
      <c r="B4928" s="155" t="s">
        <v>2093</v>
      </c>
      <c r="C4928" s="148" t="str">
        <f aca="false">VLOOKUP($A4928,INSUMOS_AUX!$A$3:$H$813,3,0)</f>
        <v>MAT.</v>
      </c>
      <c r="D4928" s="156" t="s">
        <v>31</v>
      </c>
      <c r="E4928" s="154" t="n">
        <v>0.019</v>
      </c>
      <c r="F4928" s="149" t="n">
        <f aca="false">IF(C4928="MAT.",VLOOKUP(A4928,INSUMOS_AUX!$A$3:$H$813,6,0),0)</f>
        <v>2.39</v>
      </c>
      <c r="G4928" s="149" t="n">
        <f aca="false">IF(C4928="M.O.",VLOOKUP(A4928,INSUMOS_AUX!A:F,6,0),0)</f>
        <v>0</v>
      </c>
    </row>
    <row r="4929" customFormat="false" ht="21" hidden="false" customHeight="false" outlineLevel="0" collapsed="false">
      <c r="A4929" s="154" t="n">
        <v>20083</v>
      </c>
      <c r="B4929" s="155" t="s">
        <v>2095</v>
      </c>
      <c r="C4929" s="148" t="str">
        <f aca="false">VLOOKUP($A4929,INSUMOS_AUX!$A$3:$H$813,3,0)</f>
        <v>MAT.</v>
      </c>
      <c r="D4929" s="156" t="s">
        <v>31</v>
      </c>
      <c r="E4929" s="154" t="n">
        <v>0.022</v>
      </c>
      <c r="F4929" s="149" t="n">
        <f aca="false">IF(C4929="MAT.",VLOOKUP(A4929,INSUMOS_AUX!$A$3:$H$813,6,0),0)</f>
        <v>71.48</v>
      </c>
      <c r="G4929" s="149" t="n">
        <f aca="false">IF(C4929="M.O.",VLOOKUP(A4929,INSUMOS_AUX!A:F,6,0),0)</f>
        <v>0</v>
      </c>
    </row>
    <row r="4930" customFormat="false" ht="15" hidden="false" customHeight="false" outlineLevel="0" collapsed="false">
      <c r="A4930" s="154" t="n">
        <v>246</v>
      </c>
      <c r="B4930" s="155" t="s">
        <v>1752</v>
      </c>
      <c r="C4930" s="148" t="str">
        <f aca="false">VLOOKUP($A4930,INSUMOS_AUX!$A$3:$H$813,3,0)</f>
        <v>M.O.</v>
      </c>
      <c r="D4930" s="156" t="s">
        <v>1444</v>
      </c>
      <c r="E4930" s="154" t="n">
        <v>0.129385258</v>
      </c>
      <c r="F4930" s="149" t="n">
        <f aca="false">IF(C4930="MAT.",VLOOKUP(A4930,INSUMOS_AUX!$A$3:$H$813,6,0),0)</f>
        <v>0</v>
      </c>
      <c r="G4930" s="149" t="n">
        <f aca="false">IF(C4930="M.O.",VLOOKUP(A4930,INSUMOS_AUX!A:F,6,0),0)</f>
        <v>13.26</v>
      </c>
    </row>
    <row r="4931" customFormat="false" ht="15" hidden="false" customHeight="false" outlineLevel="0" collapsed="false">
      <c r="A4931" s="154" t="n">
        <v>2696</v>
      </c>
      <c r="B4931" s="155" t="s">
        <v>1483</v>
      </c>
      <c r="C4931" s="148" t="str">
        <f aca="false">VLOOKUP($A4931,INSUMOS_AUX!$A$3:$H$813,3,0)</f>
        <v>M.O.</v>
      </c>
      <c r="D4931" s="156" t="s">
        <v>1444</v>
      </c>
      <c r="E4931" s="154" t="n">
        <v>0.129385258</v>
      </c>
      <c r="F4931" s="149" t="n">
        <f aca="false">IF(C4931="MAT.",VLOOKUP(A4931,INSUMOS_AUX!$A$3:$H$813,6,0),0)</f>
        <v>0</v>
      </c>
      <c r="G4931" s="149" t="n">
        <f aca="false">IF(C4931="M.O.",VLOOKUP(A4931,INSUMOS_AUX!A:F,6,0),0)</f>
        <v>20.22</v>
      </c>
    </row>
    <row r="4932" customFormat="false" ht="21" hidden="false" customHeight="false" outlineLevel="0" collapsed="false">
      <c r="A4932" s="150" t="n">
        <v>89515</v>
      </c>
      <c r="B4932" s="151" t="s">
        <v>2309</v>
      </c>
      <c r="C4932" s="152" t="s">
        <v>59</v>
      </c>
      <c r="D4932" s="152" t="s">
        <v>31</v>
      </c>
      <c r="E4932" s="150"/>
      <c r="F4932" s="153" t="n">
        <f aca="false">(SUMPRODUCT($E4933:$E4944,F4933:F4944))*1</f>
        <v>71.653809</v>
      </c>
      <c r="G4932" s="153" t="n">
        <f aca="false">(SUMPRODUCT($E4933:$E4944,G4933:G4944))*1</f>
        <v>6.29493993288</v>
      </c>
    </row>
    <row r="4933" customFormat="false" ht="21" hidden="false" customHeight="false" outlineLevel="0" collapsed="false">
      <c r="A4933" s="154" t="n">
        <v>37370</v>
      </c>
      <c r="B4933" s="155" t="s">
        <v>1443</v>
      </c>
      <c r="C4933" s="148" t="str">
        <f aca="false">VLOOKUP($A4933,INSUMOS_AUX!$A$3:$H$813,3,0)</f>
        <v>MAT.</v>
      </c>
      <c r="D4933" s="156" t="s">
        <v>1444</v>
      </c>
      <c r="E4933" s="154" t="n">
        <v>0.3694</v>
      </c>
      <c r="F4933" s="149" t="n">
        <f aca="false">IF(C4933="MAT.",VLOOKUP(A4933,INSUMOS_AUX!$A$3:$H$813,6,0),0)</f>
        <v>3.32</v>
      </c>
      <c r="G4933" s="149" t="n">
        <f aca="false">IF(C4933="M.O.",VLOOKUP(A4933,INSUMOS_AUX!A:F,6,0),0)</f>
        <v>0</v>
      </c>
    </row>
    <row r="4934" customFormat="false" ht="21" hidden="false" customHeight="false" outlineLevel="0" collapsed="false">
      <c r="A4934" s="154" t="n">
        <v>43485</v>
      </c>
      <c r="B4934" s="155" t="s">
        <v>1481</v>
      </c>
      <c r="C4934" s="148" t="str">
        <f aca="false">VLOOKUP($A4934,INSUMOS_AUX!$A$3:$H$813,3,0)</f>
        <v>MAT.</v>
      </c>
      <c r="D4934" s="156" t="s">
        <v>1444</v>
      </c>
      <c r="E4934" s="154" t="n">
        <v>0.3694</v>
      </c>
      <c r="F4934" s="149" t="n">
        <f aca="false">IF(C4934="MAT.",VLOOKUP(A4934,INSUMOS_AUX!$A$3:$H$813,6,0),0)</f>
        <v>1.13</v>
      </c>
      <c r="G4934" s="149" t="n">
        <f aca="false">IF(C4934="M.O.",VLOOKUP(A4934,INSUMOS_AUX!A:F,6,0),0)</f>
        <v>0</v>
      </c>
    </row>
    <row r="4935" customFormat="false" ht="21" hidden="false" customHeight="false" outlineLevel="0" collapsed="false">
      <c r="A4935" s="154" t="n">
        <v>37372</v>
      </c>
      <c r="B4935" s="155" t="s">
        <v>1446</v>
      </c>
      <c r="C4935" s="148" t="str">
        <f aca="false">VLOOKUP($A4935,INSUMOS_AUX!$A$3:$H$813,3,0)</f>
        <v>MAT.</v>
      </c>
      <c r="D4935" s="156" t="s">
        <v>1444</v>
      </c>
      <c r="E4935" s="154" t="n">
        <v>0.3694</v>
      </c>
      <c r="F4935" s="149" t="n">
        <f aca="false">IF(C4935="MAT.",VLOOKUP(A4935,INSUMOS_AUX!$A$3:$H$813,6,0),0)</f>
        <v>1.43</v>
      </c>
      <c r="G4935" s="149" t="n">
        <f aca="false">IF(C4935="M.O.",VLOOKUP(A4935,INSUMOS_AUX!A:F,6,0),0)</f>
        <v>0</v>
      </c>
    </row>
    <row r="4936" customFormat="false" ht="21" hidden="false" customHeight="false" outlineLevel="0" collapsed="false">
      <c r="A4936" s="154" t="n">
        <v>43461</v>
      </c>
      <c r="B4936" s="155" t="s">
        <v>1482</v>
      </c>
      <c r="C4936" s="148" t="str">
        <f aca="false">VLOOKUP($A4936,INSUMOS_AUX!$A$3:$H$813,3,0)</f>
        <v>MAT.</v>
      </c>
      <c r="D4936" s="156" t="s">
        <v>1444</v>
      </c>
      <c r="E4936" s="154" t="n">
        <v>0.3694</v>
      </c>
      <c r="F4936" s="149" t="n">
        <f aca="false">IF(C4936="MAT.",VLOOKUP(A4936,INSUMOS_AUX!$A$3:$H$813,6,0),0)</f>
        <v>0.31</v>
      </c>
      <c r="G4936" s="149" t="n">
        <f aca="false">IF(C4936="M.O.",VLOOKUP(A4936,INSUMOS_AUX!A:F,6,0),0)</f>
        <v>0</v>
      </c>
    </row>
    <row r="4937" customFormat="false" ht="21" hidden="false" customHeight="false" outlineLevel="0" collapsed="false">
      <c r="A4937" s="154" t="n">
        <v>37373</v>
      </c>
      <c r="B4937" s="155" t="s">
        <v>1448</v>
      </c>
      <c r="C4937" s="148" t="str">
        <f aca="false">VLOOKUP($A4937,INSUMOS_AUX!$A$3:$H$813,3,0)</f>
        <v>MAT.</v>
      </c>
      <c r="D4937" s="156" t="s">
        <v>1444</v>
      </c>
      <c r="E4937" s="154" t="n">
        <v>0.3694</v>
      </c>
      <c r="F4937" s="149" t="n">
        <f aca="false">IF(C4937="MAT.",VLOOKUP(A4937,INSUMOS_AUX!$A$3:$H$813,6,0),0)</f>
        <v>0.08</v>
      </c>
      <c r="G4937" s="149" t="n">
        <f aca="false">IF(C4937="M.O.",VLOOKUP(A4937,INSUMOS_AUX!A:F,6,0),0)</f>
        <v>0</v>
      </c>
    </row>
    <row r="4938" customFormat="false" ht="21" hidden="false" customHeight="false" outlineLevel="0" collapsed="false">
      <c r="A4938" s="154" t="n">
        <v>37371</v>
      </c>
      <c r="B4938" s="155" t="s">
        <v>1449</v>
      </c>
      <c r="C4938" s="148" t="str">
        <f aca="false">VLOOKUP($A4938,INSUMOS_AUX!$A$3:$H$813,3,0)</f>
        <v>MAT.</v>
      </c>
      <c r="D4938" s="156" t="s">
        <v>1444</v>
      </c>
      <c r="E4938" s="154" t="n">
        <v>0.3694</v>
      </c>
      <c r="F4938" s="149" t="n">
        <f aca="false">IF(C4938="MAT.",VLOOKUP(A4938,INSUMOS_AUX!$A$3:$H$813,6,0),0)</f>
        <v>0.59</v>
      </c>
      <c r="G4938" s="149" t="n">
        <f aca="false">IF(C4938="M.O.",VLOOKUP(A4938,INSUMOS_AUX!A:F,6,0),0)</f>
        <v>0</v>
      </c>
    </row>
    <row r="4939" customFormat="false" ht="15" hidden="false" customHeight="false" outlineLevel="0" collapsed="false">
      <c r="A4939" s="154" t="n">
        <v>122</v>
      </c>
      <c r="B4939" s="155" t="s">
        <v>2097</v>
      </c>
      <c r="C4939" s="148" t="s">
        <v>59</v>
      </c>
      <c r="D4939" s="156" t="s">
        <v>31</v>
      </c>
      <c r="E4939" s="154" t="n">
        <v>0.0259</v>
      </c>
      <c r="F4939" s="149" t="n">
        <f aca="false">IF(C4939="MAT.",VLOOKUP(A4939,INSUMOS_AUX!$A$3:$H$813,6,0),0)</f>
        <v>0</v>
      </c>
      <c r="G4939" s="149" t="n">
        <f aca="false">IF(C4939="M.O.",VLOOKUP(A4939,INSUMOS_AUX!A:F,6,0),0)</f>
        <v>0</v>
      </c>
    </row>
    <row r="4940" customFormat="false" ht="21" hidden="false" customHeight="false" outlineLevel="0" collapsed="false">
      <c r="A4940" s="154" t="n">
        <v>3478</v>
      </c>
      <c r="B4940" s="155" t="s">
        <v>2310</v>
      </c>
      <c r="C4940" s="148" t="str">
        <f aca="false">VLOOKUP($A4940,INSUMOS_AUX!$A$3:$H$813,3,0)</f>
        <v>MAT.</v>
      </c>
      <c r="D4940" s="156" t="s">
        <v>31</v>
      </c>
      <c r="E4940" s="154" t="n">
        <v>1</v>
      </c>
      <c r="F4940" s="149" t="n">
        <f aca="false">IF(C4940="MAT.",VLOOKUP(A4940,INSUMOS_AUX!$A$3:$H$813,6,0),0)</f>
        <v>65.48</v>
      </c>
      <c r="G4940" s="149" t="n">
        <f aca="false">IF(C4940="M.O.",VLOOKUP(A4940,INSUMOS_AUX!A:F,6,0),0)</f>
        <v>0</v>
      </c>
    </row>
    <row r="4941" customFormat="false" ht="15" hidden="false" customHeight="false" outlineLevel="0" collapsed="false">
      <c r="A4941" s="154" t="n">
        <v>38383</v>
      </c>
      <c r="B4941" s="155" t="s">
        <v>2093</v>
      </c>
      <c r="C4941" s="148" t="str">
        <f aca="false">VLOOKUP($A4941,INSUMOS_AUX!$A$3:$H$813,3,0)</f>
        <v>MAT.</v>
      </c>
      <c r="D4941" s="156" t="s">
        <v>31</v>
      </c>
      <c r="E4941" s="154" t="n">
        <v>0.0275</v>
      </c>
      <c r="F4941" s="149" t="n">
        <f aca="false">IF(C4941="MAT.",VLOOKUP(A4941,INSUMOS_AUX!$A$3:$H$813,6,0),0)</f>
        <v>2.39</v>
      </c>
      <c r="G4941" s="149" t="n">
        <f aca="false">IF(C4941="M.O.",VLOOKUP(A4941,INSUMOS_AUX!A:F,6,0),0)</f>
        <v>0</v>
      </c>
    </row>
    <row r="4942" customFormat="false" ht="21" hidden="false" customHeight="false" outlineLevel="0" collapsed="false">
      <c r="A4942" s="154" t="n">
        <v>20083</v>
      </c>
      <c r="B4942" s="155" t="s">
        <v>2095</v>
      </c>
      <c r="C4942" s="148" t="str">
        <f aca="false">VLOOKUP($A4942,INSUMOS_AUX!$A$3:$H$813,3,0)</f>
        <v>MAT.</v>
      </c>
      <c r="D4942" s="156" t="s">
        <v>31</v>
      </c>
      <c r="E4942" s="154" t="n">
        <v>0.05</v>
      </c>
      <c r="F4942" s="149" t="n">
        <f aca="false">IF(C4942="MAT.",VLOOKUP(A4942,INSUMOS_AUX!$A$3:$H$813,6,0),0)</f>
        <v>71.48</v>
      </c>
      <c r="G4942" s="149" t="n">
        <f aca="false">IF(C4942="M.O.",VLOOKUP(A4942,INSUMOS_AUX!A:F,6,0),0)</f>
        <v>0</v>
      </c>
    </row>
    <row r="4943" customFormat="false" ht="15" hidden="false" customHeight="false" outlineLevel="0" collapsed="false">
      <c r="A4943" s="154" t="n">
        <v>246</v>
      </c>
      <c r="B4943" s="155" t="s">
        <v>1752</v>
      </c>
      <c r="C4943" s="148" t="str">
        <f aca="false">VLOOKUP($A4943,INSUMOS_AUX!$A$3:$H$813,3,0)</f>
        <v>M.O.</v>
      </c>
      <c r="D4943" s="156" t="s">
        <v>1444</v>
      </c>
      <c r="E4943" s="154" t="n">
        <v>0.188020906</v>
      </c>
      <c r="F4943" s="149" t="n">
        <f aca="false">IF(C4943="MAT.",VLOOKUP(A4943,INSUMOS_AUX!$A$3:$H$813,6,0),0)</f>
        <v>0</v>
      </c>
      <c r="G4943" s="149" t="n">
        <f aca="false">IF(C4943="M.O.",VLOOKUP(A4943,INSUMOS_AUX!A:F,6,0),0)</f>
        <v>13.26</v>
      </c>
    </row>
    <row r="4944" customFormat="false" ht="15" hidden="false" customHeight="false" outlineLevel="0" collapsed="false">
      <c r="A4944" s="154" t="n">
        <v>2696</v>
      </c>
      <c r="B4944" s="155" t="s">
        <v>1483</v>
      </c>
      <c r="C4944" s="148" t="str">
        <f aca="false">VLOOKUP($A4944,INSUMOS_AUX!$A$3:$H$813,3,0)</f>
        <v>M.O.</v>
      </c>
      <c r="D4944" s="156" t="s">
        <v>1444</v>
      </c>
      <c r="E4944" s="154" t="n">
        <v>0.188020906</v>
      </c>
      <c r="F4944" s="149" t="n">
        <f aca="false">IF(C4944="MAT.",VLOOKUP(A4944,INSUMOS_AUX!$A$3:$H$813,6,0),0)</f>
        <v>0</v>
      </c>
      <c r="G4944" s="149" t="n">
        <f aca="false">IF(C4944="M.O.",VLOOKUP(A4944,INSUMOS_AUX!A:F,6,0),0)</f>
        <v>20.22</v>
      </c>
    </row>
    <row r="4945" customFormat="false" ht="31.5" hidden="false" customHeight="false" outlineLevel="0" collapsed="false">
      <c r="A4945" s="150" t="n">
        <v>89408</v>
      </c>
      <c r="B4945" s="151" t="s">
        <v>2311</v>
      </c>
      <c r="C4945" s="152" t="s">
        <v>59</v>
      </c>
      <c r="D4945" s="152" t="s">
        <v>31</v>
      </c>
      <c r="E4945" s="150"/>
      <c r="F4945" s="153" t="n">
        <f aca="false">(SUMPRODUCT($E4946:$E4957,F4946:F4957))*1</f>
        <v>3.238566</v>
      </c>
      <c r="G4945" s="153" t="n">
        <f aca="false">(SUMPRODUCT($E4946:$E4957,G4946:G4957))*1</f>
        <v>4.63173977736</v>
      </c>
    </row>
    <row r="4946" customFormat="false" ht="21" hidden="false" customHeight="false" outlineLevel="0" collapsed="false">
      <c r="A4946" s="154" t="n">
        <v>37370</v>
      </c>
      <c r="B4946" s="155" t="s">
        <v>1443</v>
      </c>
      <c r="C4946" s="148" t="str">
        <f aca="false">VLOOKUP($A4946,INSUMOS_AUX!$A$3:$H$813,3,0)</f>
        <v>MAT.</v>
      </c>
      <c r="D4946" s="156" t="s">
        <v>1444</v>
      </c>
      <c r="E4946" s="154" t="n">
        <v>0.2718</v>
      </c>
      <c r="F4946" s="149" t="n">
        <f aca="false">IF(C4946="MAT.",VLOOKUP(A4946,INSUMOS_AUX!$A$3:$H$813,6,0),0)</f>
        <v>3.32</v>
      </c>
      <c r="G4946" s="149" t="n">
        <f aca="false">IF(C4946="M.O.",VLOOKUP(A4946,INSUMOS_AUX!A:F,6,0),0)</f>
        <v>0</v>
      </c>
    </row>
    <row r="4947" customFormat="false" ht="21" hidden="false" customHeight="false" outlineLevel="0" collapsed="false">
      <c r="A4947" s="154" t="n">
        <v>43485</v>
      </c>
      <c r="B4947" s="155" t="s">
        <v>1481</v>
      </c>
      <c r="C4947" s="148" t="str">
        <f aca="false">VLOOKUP($A4947,INSUMOS_AUX!$A$3:$H$813,3,0)</f>
        <v>MAT.</v>
      </c>
      <c r="D4947" s="156" t="s">
        <v>1444</v>
      </c>
      <c r="E4947" s="154" t="n">
        <v>0.2718</v>
      </c>
      <c r="F4947" s="149" t="n">
        <f aca="false">IF(C4947="MAT.",VLOOKUP(A4947,INSUMOS_AUX!$A$3:$H$813,6,0),0)</f>
        <v>1.13</v>
      </c>
      <c r="G4947" s="149" t="n">
        <f aca="false">IF(C4947="M.O.",VLOOKUP(A4947,INSUMOS_AUX!A:F,6,0),0)</f>
        <v>0</v>
      </c>
    </row>
    <row r="4948" customFormat="false" ht="21" hidden="false" customHeight="false" outlineLevel="0" collapsed="false">
      <c r="A4948" s="154" t="n">
        <v>37372</v>
      </c>
      <c r="B4948" s="155" t="s">
        <v>1446</v>
      </c>
      <c r="C4948" s="148" t="str">
        <f aca="false">VLOOKUP($A4948,INSUMOS_AUX!$A$3:$H$813,3,0)</f>
        <v>MAT.</v>
      </c>
      <c r="D4948" s="156" t="s">
        <v>1444</v>
      </c>
      <c r="E4948" s="154" t="n">
        <v>0.2718</v>
      </c>
      <c r="F4948" s="149" t="n">
        <f aca="false">IF(C4948="MAT.",VLOOKUP(A4948,INSUMOS_AUX!$A$3:$H$813,6,0),0)</f>
        <v>1.43</v>
      </c>
      <c r="G4948" s="149" t="n">
        <f aca="false">IF(C4948="M.O.",VLOOKUP(A4948,INSUMOS_AUX!A:F,6,0),0)</f>
        <v>0</v>
      </c>
    </row>
    <row r="4949" customFormat="false" ht="21" hidden="false" customHeight="false" outlineLevel="0" collapsed="false">
      <c r="A4949" s="154" t="n">
        <v>43461</v>
      </c>
      <c r="B4949" s="155" t="s">
        <v>1482</v>
      </c>
      <c r="C4949" s="148" t="str">
        <f aca="false">VLOOKUP($A4949,INSUMOS_AUX!$A$3:$H$813,3,0)</f>
        <v>MAT.</v>
      </c>
      <c r="D4949" s="156" t="s">
        <v>1444</v>
      </c>
      <c r="E4949" s="154" t="n">
        <v>0.2718</v>
      </c>
      <c r="F4949" s="149" t="n">
        <f aca="false">IF(C4949="MAT.",VLOOKUP(A4949,INSUMOS_AUX!$A$3:$H$813,6,0),0)</f>
        <v>0.31</v>
      </c>
      <c r="G4949" s="149" t="n">
        <f aca="false">IF(C4949="M.O.",VLOOKUP(A4949,INSUMOS_AUX!A:F,6,0),0)</f>
        <v>0</v>
      </c>
    </row>
    <row r="4950" customFormat="false" ht="21" hidden="false" customHeight="false" outlineLevel="0" collapsed="false">
      <c r="A4950" s="154" t="n">
        <v>37373</v>
      </c>
      <c r="B4950" s="155" t="s">
        <v>1448</v>
      </c>
      <c r="C4950" s="148" t="str">
        <f aca="false">VLOOKUP($A4950,INSUMOS_AUX!$A$3:$H$813,3,0)</f>
        <v>MAT.</v>
      </c>
      <c r="D4950" s="156" t="s">
        <v>1444</v>
      </c>
      <c r="E4950" s="154" t="n">
        <v>0.2718</v>
      </c>
      <c r="F4950" s="149" t="n">
        <f aca="false">IF(C4950="MAT.",VLOOKUP(A4950,INSUMOS_AUX!$A$3:$H$813,6,0),0)</f>
        <v>0.08</v>
      </c>
      <c r="G4950" s="149" t="n">
        <f aca="false">IF(C4950="M.O.",VLOOKUP(A4950,INSUMOS_AUX!A:F,6,0),0)</f>
        <v>0</v>
      </c>
    </row>
    <row r="4951" customFormat="false" ht="21" hidden="false" customHeight="false" outlineLevel="0" collapsed="false">
      <c r="A4951" s="154" t="n">
        <v>37371</v>
      </c>
      <c r="B4951" s="155" t="s">
        <v>1449</v>
      </c>
      <c r="C4951" s="148" t="str">
        <f aca="false">VLOOKUP($A4951,INSUMOS_AUX!$A$3:$H$813,3,0)</f>
        <v>MAT.</v>
      </c>
      <c r="D4951" s="156" t="s">
        <v>1444</v>
      </c>
      <c r="E4951" s="154" t="n">
        <v>0.2718</v>
      </c>
      <c r="F4951" s="149" t="n">
        <f aca="false">IF(C4951="MAT.",VLOOKUP(A4951,INSUMOS_AUX!$A$3:$H$813,6,0),0)</f>
        <v>0.59</v>
      </c>
      <c r="G4951" s="149" t="n">
        <f aca="false">IF(C4951="M.O.",VLOOKUP(A4951,INSUMOS_AUX!A:F,6,0),0)</f>
        <v>0</v>
      </c>
    </row>
    <row r="4952" customFormat="false" ht="15" hidden="false" customHeight="false" outlineLevel="0" collapsed="false">
      <c r="A4952" s="154" t="n">
        <v>122</v>
      </c>
      <c r="B4952" s="155" t="s">
        <v>2097</v>
      </c>
      <c r="C4952" s="148" t="s">
        <v>59</v>
      </c>
      <c r="D4952" s="156" t="s">
        <v>31</v>
      </c>
      <c r="E4952" s="154" t="n">
        <v>0.0071</v>
      </c>
      <c r="F4952" s="149" t="n">
        <f aca="false">IF(C4952="MAT.",VLOOKUP(A4952,INSUMOS_AUX!$A$3:$H$813,6,0),0)</f>
        <v>0</v>
      </c>
      <c r="G4952" s="149" t="n">
        <f aca="false">IF(C4952="M.O.",VLOOKUP(A4952,INSUMOS_AUX!A:F,6,0),0)</f>
        <v>0</v>
      </c>
    </row>
    <row r="4953" customFormat="false" ht="21" hidden="false" customHeight="false" outlineLevel="0" collapsed="false">
      <c r="A4953" s="154" t="n">
        <v>3529</v>
      </c>
      <c r="B4953" s="155" t="s">
        <v>2106</v>
      </c>
      <c r="C4953" s="148" t="str">
        <f aca="false">VLOOKUP($A4953,INSUMOS_AUX!$A$3:$H$813,3,0)</f>
        <v>MAT.</v>
      </c>
      <c r="D4953" s="156" t="s">
        <v>31</v>
      </c>
      <c r="E4953" s="154" t="n">
        <v>1</v>
      </c>
      <c r="F4953" s="149" t="n">
        <f aca="false">IF(C4953="MAT.",VLOOKUP(A4953,INSUMOS_AUX!$A$3:$H$813,6,0),0)</f>
        <v>0.73</v>
      </c>
      <c r="G4953" s="149" t="n">
        <f aca="false">IF(C4953="M.O.",VLOOKUP(A4953,INSUMOS_AUX!A:F,6,0),0)</f>
        <v>0</v>
      </c>
    </row>
    <row r="4954" customFormat="false" ht="15" hidden="false" customHeight="false" outlineLevel="0" collapsed="false">
      <c r="A4954" s="154" t="n">
        <v>38383</v>
      </c>
      <c r="B4954" s="155" t="s">
        <v>2093</v>
      </c>
      <c r="C4954" s="148" t="str">
        <f aca="false">VLOOKUP($A4954,INSUMOS_AUX!$A$3:$H$813,3,0)</f>
        <v>MAT.</v>
      </c>
      <c r="D4954" s="156" t="s">
        <v>31</v>
      </c>
      <c r="E4954" s="154" t="n">
        <v>0.0302</v>
      </c>
      <c r="F4954" s="149" t="n">
        <f aca="false">IF(C4954="MAT.",VLOOKUP(A4954,INSUMOS_AUX!$A$3:$H$813,6,0),0)</f>
        <v>2.39</v>
      </c>
      <c r="G4954" s="149" t="n">
        <f aca="false">IF(C4954="M.O.",VLOOKUP(A4954,INSUMOS_AUX!A:F,6,0),0)</f>
        <v>0</v>
      </c>
    </row>
    <row r="4955" customFormat="false" ht="21" hidden="false" customHeight="false" outlineLevel="0" collapsed="false">
      <c r="A4955" s="154" t="n">
        <v>20083</v>
      </c>
      <c r="B4955" s="155" t="s">
        <v>2095</v>
      </c>
      <c r="C4955" s="148" t="str">
        <f aca="false">VLOOKUP($A4955,INSUMOS_AUX!$A$3:$H$813,3,0)</f>
        <v>MAT.</v>
      </c>
      <c r="D4955" s="156" t="s">
        <v>31</v>
      </c>
      <c r="E4955" s="154" t="n">
        <v>0.008</v>
      </c>
      <c r="F4955" s="149" t="n">
        <f aca="false">IF(C4955="MAT.",VLOOKUP(A4955,INSUMOS_AUX!$A$3:$H$813,6,0),0)</f>
        <v>71.48</v>
      </c>
      <c r="G4955" s="149" t="n">
        <f aca="false">IF(C4955="M.O.",VLOOKUP(A4955,INSUMOS_AUX!A:F,6,0),0)</f>
        <v>0</v>
      </c>
    </row>
    <row r="4956" customFormat="false" ht="15" hidden="false" customHeight="false" outlineLevel="0" collapsed="false">
      <c r="A4956" s="154" t="n">
        <v>246</v>
      </c>
      <c r="B4956" s="155" t="s">
        <v>1752</v>
      </c>
      <c r="C4956" s="148" t="str">
        <f aca="false">VLOOKUP($A4956,INSUMOS_AUX!$A$3:$H$813,3,0)</f>
        <v>M.O.</v>
      </c>
      <c r="D4956" s="156" t="s">
        <v>1444</v>
      </c>
      <c r="E4956" s="154" t="n">
        <v>0.138343482</v>
      </c>
      <c r="F4956" s="149" t="n">
        <f aca="false">IF(C4956="MAT.",VLOOKUP(A4956,INSUMOS_AUX!$A$3:$H$813,6,0),0)</f>
        <v>0</v>
      </c>
      <c r="G4956" s="149" t="n">
        <f aca="false">IF(C4956="M.O.",VLOOKUP(A4956,INSUMOS_AUX!A:F,6,0),0)</f>
        <v>13.26</v>
      </c>
    </row>
    <row r="4957" customFormat="false" ht="15" hidden="false" customHeight="false" outlineLevel="0" collapsed="false">
      <c r="A4957" s="154" t="n">
        <v>2696</v>
      </c>
      <c r="B4957" s="155" t="s">
        <v>1483</v>
      </c>
      <c r="C4957" s="148" t="str">
        <f aca="false">VLOOKUP($A4957,INSUMOS_AUX!$A$3:$H$813,3,0)</f>
        <v>M.O.</v>
      </c>
      <c r="D4957" s="156" t="s">
        <v>1444</v>
      </c>
      <c r="E4957" s="154" t="n">
        <v>0.138343482</v>
      </c>
      <c r="F4957" s="149" t="n">
        <f aca="false">IF(C4957="MAT.",VLOOKUP(A4957,INSUMOS_AUX!$A$3:$H$813,6,0),0)</f>
        <v>0</v>
      </c>
      <c r="G4957" s="149" t="n">
        <f aca="false">IF(C4957="M.O.",VLOOKUP(A4957,INSUMOS_AUX!A:F,6,0),0)</f>
        <v>20.22</v>
      </c>
    </row>
    <row r="4958" customFormat="false" ht="31.5" hidden="false" customHeight="false" outlineLevel="0" collapsed="false">
      <c r="A4958" s="150" t="n">
        <v>89413</v>
      </c>
      <c r="B4958" s="151" t="s">
        <v>2312</v>
      </c>
      <c r="C4958" s="152" t="s">
        <v>59</v>
      </c>
      <c r="D4958" s="152" t="s">
        <v>31</v>
      </c>
      <c r="E4958" s="150"/>
      <c r="F4958" s="153" t="n">
        <f aca="false">(SUMPRODUCT($E4959:$E4970,F4959:F4970))*1</f>
        <v>5.9281</v>
      </c>
      <c r="G4958" s="153" t="n">
        <f aca="false">(SUMPRODUCT($E4959:$E4970,G4959:G4970))*1</f>
        <v>5.52468740184</v>
      </c>
    </row>
    <row r="4959" customFormat="false" ht="21" hidden="false" customHeight="false" outlineLevel="0" collapsed="false">
      <c r="A4959" s="154" t="n">
        <v>37370</v>
      </c>
      <c r="B4959" s="155" t="s">
        <v>1443</v>
      </c>
      <c r="C4959" s="148" t="str">
        <f aca="false">VLOOKUP($A4959,INSUMOS_AUX!$A$3:$H$813,3,0)</f>
        <v>MAT.</v>
      </c>
      <c r="D4959" s="156" t="s">
        <v>1444</v>
      </c>
      <c r="E4959" s="154" t="n">
        <v>0.3242</v>
      </c>
      <c r="F4959" s="149" t="n">
        <f aca="false">IF(C4959="MAT.",VLOOKUP(A4959,INSUMOS_AUX!$A$3:$H$813,6,0),0)</f>
        <v>3.32</v>
      </c>
      <c r="G4959" s="149" t="n">
        <f aca="false">IF(C4959="M.O.",VLOOKUP(A4959,INSUMOS_AUX!A:F,6,0),0)</f>
        <v>0</v>
      </c>
    </row>
    <row r="4960" customFormat="false" ht="21" hidden="false" customHeight="false" outlineLevel="0" collapsed="false">
      <c r="A4960" s="154" t="n">
        <v>43485</v>
      </c>
      <c r="B4960" s="155" t="s">
        <v>1481</v>
      </c>
      <c r="C4960" s="148" t="str">
        <f aca="false">VLOOKUP($A4960,INSUMOS_AUX!$A$3:$H$813,3,0)</f>
        <v>MAT.</v>
      </c>
      <c r="D4960" s="156" t="s">
        <v>1444</v>
      </c>
      <c r="E4960" s="154" t="n">
        <v>0.3242</v>
      </c>
      <c r="F4960" s="149" t="n">
        <f aca="false">IF(C4960="MAT.",VLOOKUP(A4960,INSUMOS_AUX!$A$3:$H$813,6,0),0)</f>
        <v>1.13</v>
      </c>
      <c r="G4960" s="149" t="n">
        <f aca="false">IF(C4960="M.O.",VLOOKUP(A4960,INSUMOS_AUX!A:F,6,0),0)</f>
        <v>0</v>
      </c>
    </row>
    <row r="4961" customFormat="false" ht="21" hidden="false" customHeight="false" outlineLevel="0" collapsed="false">
      <c r="A4961" s="154" t="n">
        <v>37372</v>
      </c>
      <c r="B4961" s="155" t="s">
        <v>1446</v>
      </c>
      <c r="C4961" s="148" t="str">
        <f aca="false">VLOOKUP($A4961,INSUMOS_AUX!$A$3:$H$813,3,0)</f>
        <v>MAT.</v>
      </c>
      <c r="D4961" s="156" t="s">
        <v>1444</v>
      </c>
      <c r="E4961" s="154" t="n">
        <v>0.3242</v>
      </c>
      <c r="F4961" s="149" t="n">
        <f aca="false">IF(C4961="MAT.",VLOOKUP(A4961,INSUMOS_AUX!$A$3:$H$813,6,0),0)</f>
        <v>1.43</v>
      </c>
      <c r="G4961" s="149" t="n">
        <f aca="false">IF(C4961="M.O.",VLOOKUP(A4961,INSUMOS_AUX!A:F,6,0),0)</f>
        <v>0</v>
      </c>
    </row>
    <row r="4962" customFormat="false" ht="21" hidden="false" customHeight="false" outlineLevel="0" collapsed="false">
      <c r="A4962" s="154" t="n">
        <v>43461</v>
      </c>
      <c r="B4962" s="155" t="s">
        <v>1482</v>
      </c>
      <c r="C4962" s="148" t="str">
        <f aca="false">VLOOKUP($A4962,INSUMOS_AUX!$A$3:$H$813,3,0)</f>
        <v>MAT.</v>
      </c>
      <c r="D4962" s="156" t="s">
        <v>1444</v>
      </c>
      <c r="E4962" s="154" t="n">
        <v>0.3242</v>
      </c>
      <c r="F4962" s="149" t="n">
        <f aca="false">IF(C4962="MAT.",VLOOKUP(A4962,INSUMOS_AUX!$A$3:$H$813,6,0),0)</f>
        <v>0.31</v>
      </c>
      <c r="G4962" s="149" t="n">
        <f aca="false">IF(C4962="M.O.",VLOOKUP(A4962,INSUMOS_AUX!A:F,6,0),0)</f>
        <v>0</v>
      </c>
    </row>
    <row r="4963" customFormat="false" ht="21" hidden="false" customHeight="false" outlineLevel="0" collapsed="false">
      <c r="A4963" s="154" t="n">
        <v>37373</v>
      </c>
      <c r="B4963" s="155" t="s">
        <v>1448</v>
      </c>
      <c r="C4963" s="148" t="str">
        <f aca="false">VLOOKUP($A4963,INSUMOS_AUX!$A$3:$H$813,3,0)</f>
        <v>MAT.</v>
      </c>
      <c r="D4963" s="156" t="s">
        <v>1444</v>
      </c>
      <c r="E4963" s="154" t="n">
        <v>0.3242</v>
      </c>
      <c r="F4963" s="149" t="n">
        <f aca="false">IF(C4963="MAT.",VLOOKUP(A4963,INSUMOS_AUX!$A$3:$H$813,6,0),0)</f>
        <v>0.08</v>
      </c>
      <c r="G4963" s="149" t="n">
        <f aca="false">IF(C4963="M.O.",VLOOKUP(A4963,INSUMOS_AUX!A:F,6,0),0)</f>
        <v>0</v>
      </c>
    </row>
    <row r="4964" customFormat="false" ht="21" hidden="false" customHeight="false" outlineLevel="0" collapsed="false">
      <c r="A4964" s="154" t="n">
        <v>37371</v>
      </c>
      <c r="B4964" s="155" t="s">
        <v>1449</v>
      </c>
      <c r="C4964" s="148" t="s">
        <v>59</v>
      </c>
      <c r="D4964" s="156" t="s">
        <v>1444</v>
      </c>
      <c r="E4964" s="154" t="n">
        <v>0.3242</v>
      </c>
      <c r="F4964" s="149" t="n">
        <f aca="false">IF(C4964="MAT.",VLOOKUP(A4964,INSUMOS_AUX!$A$3:$H$813,6,0),0)</f>
        <v>0</v>
      </c>
      <c r="G4964" s="149" t="n">
        <f aca="false">IF(C4964="M.O.",VLOOKUP(A4964,INSUMOS_AUX!A:F,6,0),0)</f>
        <v>0</v>
      </c>
    </row>
    <row r="4965" customFormat="false" ht="15" hidden="false" customHeight="false" outlineLevel="0" collapsed="false">
      <c r="A4965" s="154" t="n">
        <v>122</v>
      </c>
      <c r="B4965" s="155" t="s">
        <v>2097</v>
      </c>
      <c r="C4965" s="148" t="str">
        <f aca="false">VLOOKUP($A4965,INSUMOS_AUX!$A$3:$H$813,3,0)</f>
        <v>MAT.</v>
      </c>
      <c r="D4965" s="156" t="s">
        <v>31</v>
      </c>
      <c r="E4965" s="154" t="n">
        <v>0.0094</v>
      </c>
      <c r="F4965" s="149" t="n">
        <f aca="false">IF(C4965="MAT.",VLOOKUP(A4965,INSUMOS_AUX!$A$3:$H$813,6,0),0)</f>
        <v>63.09</v>
      </c>
      <c r="G4965" s="149" t="n">
        <f aca="false">IF(C4965="M.O.",VLOOKUP(A4965,INSUMOS_AUX!A:F,6,0),0)</f>
        <v>0</v>
      </c>
    </row>
    <row r="4966" customFormat="false" ht="21" hidden="false" customHeight="false" outlineLevel="0" collapsed="false">
      <c r="A4966" s="154" t="n">
        <v>3536</v>
      </c>
      <c r="B4966" s="155" t="s">
        <v>2313</v>
      </c>
      <c r="C4966" s="148" t="str">
        <f aca="false">VLOOKUP($A4966,INSUMOS_AUX!$A$3:$H$813,3,0)</f>
        <v>MAT.</v>
      </c>
      <c r="D4966" s="156" t="s">
        <v>31</v>
      </c>
      <c r="E4966" s="154" t="n">
        <v>1</v>
      </c>
      <c r="F4966" s="149" t="n">
        <f aca="false">IF(C4966="MAT.",VLOOKUP(A4966,INSUMOS_AUX!$A$3:$H$813,6,0),0)</f>
        <v>2.43</v>
      </c>
      <c r="G4966" s="149" t="n">
        <f aca="false">IF(C4966="M.O.",VLOOKUP(A4966,INSUMOS_AUX!A:F,6,0),0)</f>
        <v>0</v>
      </c>
    </row>
    <row r="4967" customFormat="false" ht="15" hidden="false" customHeight="false" outlineLevel="0" collapsed="false">
      <c r="A4967" s="154" t="n">
        <v>38383</v>
      </c>
      <c r="B4967" s="155" t="s">
        <v>2093</v>
      </c>
      <c r="C4967" s="148" t="str">
        <f aca="false">VLOOKUP($A4967,INSUMOS_AUX!$A$3:$H$813,3,0)</f>
        <v>MAT.</v>
      </c>
      <c r="D4967" s="156" t="s">
        <v>31</v>
      </c>
      <c r="E4967" s="154" t="n">
        <v>0.036</v>
      </c>
      <c r="F4967" s="149" t="n">
        <f aca="false">IF(C4967="MAT.",VLOOKUP(A4967,INSUMOS_AUX!$A$3:$H$813,6,0),0)</f>
        <v>2.39</v>
      </c>
      <c r="G4967" s="149" t="n">
        <f aca="false">IF(C4967="M.O.",VLOOKUP(A4967,INSUMOS_AUX!A:F,6,0),0)</f>
        <v>0</v>
      </c>
    </row>
    <row r="4968" customFormat="false" ht="21" hidden="false" customHeight="false" outlineLevel="0" collapsed="false">
      <c r="A4968" s="154" t="n">
        <v>20083</v>
      </c>
      <c r="B4968" s="155" t="s">
        <v>2095</v>
      </c>
      <c r="C4968" s="148" t="str">
        <f aca="false">VLOOKUP($A4968,INSUMOS_AUX!$A$3:$H$813,3,0)</f>
        <v>MAT.</v>
      </c>
      <c r="D4968" s="156" t="s">
        <v>31</v>
      </c>
      <c r="E4968" s="154" t="n">
        <v>0.011</v>
      </c>
      <c r="F4968" s="149" t="n">
        <f aca="false">IF(C4968="MAT.",VLOOKUP(A4968,INSUMOS_AUX!$A$3:$H$813,6,0),0)</f>
        <v>71.48</v>
      </c>
      <c r="G4968" s="149" t="n">
        <f aca="false">IF(C4968="M.O.",VLOOKUP(A4968,INSUMOS_AUX!A:F,6,0),0)</f>
        <v>0</v>
      </c>
    </row>
    <row r="4969" customFormat="false" ht="15" hidden="false" customHeight="false" outlineLevel="0" collapsed="false">
      <c r="A4969" s="154" t="n">
        <v>246</v>
      </c>
      <c r="B4969" s="155" t="s">
        <v>1752</v>
      </c>
      <c r="C4969" s="148" t="str">
        <f aca="false">VLOOKUP($A4969,INSUMOS_AUX!$A$3:$H$813,3,0)</f>
        <v>M.O.</v>
      </c>
      <c r="D4969" s="156" t="s">
        <v>1444</v>
      </c>
      <c r="E4969" s="154" t="n">
        <v>0.165014558</v>
      </c>
      <c r="F4969" s="149" t="n">
        <f aca="false">IF(C4969="MAT.",VLOOKUP(A4969,INSUMOS_AUX!$A$3:$H$813,6,0),0)</f>
        <v>0</v>
      </c>
      <c r="G4969" s="149" t="n">
        <f aca="false">IF(C4969="M.O.",VLOOKUP(A4969,INSUMOS_AUX!A:F,6,0),0)</f>
        <v>13.26</v>
      </c>
    </row>
    <row r="4970" customFormat="false" ht="15" hidden="false" customHeight="false" outlineLevel="0" collapsed="false">
      <c r="A4970" s="154" t="n">
        <v>2696</v>
      </c>
      <c r="B4970" s="155" t="s">
        <v>1483</v>
      </c>
      <c r="C4970" s="148" t="str">
        <f aca="false">VLOOKUP($A4970,INSUMOS_AUX!$A$3:$H$813,3,0)</f>
        <v>M.O.</v>
      </c>
      <c r="D4970" s="156" t="s">
        <v>1444</v>
      </c>
      <c r="E4970" s="154" t="n">
        <v>0.165014558</v>
      </c>
      <c r="F4970" s="149" t="n">
        <f aca="false">IF(C4970="MAT.",VLOOKUP(A4970,INSUMOS_AUX!$A$3:$H$813,6,0),0)</f>
        <v>0</v>
      </c>
      <c r="G4970" s="149" t="n">
        <f aca="false">IF(C4970="M.O.",VLOOKUP(A4970,INSUMOS_AUX!A:F,6,0),0)</f>
        <v>20.22</v>
      </c>
    </row>
    <row r="4971" customFormat="false" ht="31.5" hidden="false" customHeight="false" outlineLevel="0" collapsed="false">
      <c r="A4971" s="150" t="n">
        <v>103984</v>
      </c>
      <c r="B4971" s="151" t="s">
        <v>2314</v>
      </c>
      <c r="C4971" s="152" t="s">
        <v>59</v>
      </c>
      <c r="D4971" s="152" t="s">
        <v>31</v>
      </c>
      <c r="E4971" s="150"/>
      <c r="F4971" s="153" t="n">
        <f aca="false">(SUMPRODUCT($E4972:$E4983,F4972:F4983))*1</f>
        <v>10.750575</v>
      </c>
      <c r="G4971" s="153" t="n">
        <f aca="false">(SUMPRODUCT($E4972:$E4983,G4972:G4983))*1</f>
        <v>7.81840400976</v>
      </c>
    </row>
    <row r="4972" customFormat="false" ht="21" hidden="false" customHeight="false" outlineLevel="0" collapsed="false">
      <c r="A4972" s="154" t="n">
        <v>37370</v>
      </c>
      <c r="B4972" s="155" t="s">
        <v>1443</v>
      </c>
      <c r="C4972" s="148" t="str">
        <f aca="false">VLOOKUP($A4972,INSUMOS_AUX!$A$3:$H$813,3,0)</f>
        <v>MAT.</v>
      </c>
      <c r="D4972" s="156" t="s">
        <v>1444</v>
      </c>
      <c r="E4972" s="154" t="n">
        <v>0.4588</v>
      </c>
      <c r="F4972" s="149" t="n">
        <f aca="false">IF(C4972="MAT.",VLOOKUP(A4972,INSUMOS_AUX!$A$3:$H$813,6,0),0)</f>
        <v>3.32</v>
      </c>
      <c r="G4972" s="149" t="n">
        <f aca="false">IF(C4972="M.O.",VLOOKUP(A4972,INSUMOS_AUX!A:F,6,0),0)</f>
        <v>0</v>
      </c>
    </row>
    <row r="4973" customFormat="false" ht="21" hidden="false" customHeight="false" outlineLevel="0" collapsed="false">
      <c r="A4973" s="154" t="n">
        <v>43485</v>
      </c>
      <c r="B4973" s="155" t="s">
        <v>1481</v>
      </c>
      <c r="C4973" s="148" t="str">
        <f aca="false">VLOOKUP($A4973,INSUMOS_AUX!$A$3:$H$813,3,0)</f>
        <v>MAT.</v>
      </c>
      <c r="D4973" s="156" t="s">
        <v>1444</v>
      </c>
      <c r="E4973" s="154" t="n">
        <v>0.4588</v>
      </c>
      <c r="F4973" s="149" t="n">
        <f aca="false">IF(C4973="MAT.",VLOOKUP(A4973,INSUMOS_AUX!$A$3:$H$813,6,0),0)</f>
        <v>1.13</v>
      </c>
      <c r="G4973" s="149" t="n">
        <f aca="false">IF(C4973="M.O.",VLOOKUP(A4973,INSUMOS_AUX!A:F,6,0),0)</f>
        <v>0</v>
      </c>
    </row>
    <row r="4974" customFormat="false" ht="21" hidden="false" customHeight="false" outlineLevel="0" collapsed="false">
      <c r="A4974" s="154" t="n">
        <v>37372</v>
      </c>
      <c r="B4974" s="155" t="s">
        <v>1446</v>
      </c>
      <c r="C4974" s="148" t="str">
        <f aca="false">VLOOKUP($A4974,INSUMOS_AUX!$A$3:$H$813,3,0)</f>
        <v>MAT.</v>
      </c>
      <c r="D4974" s="156" t="s">
        <v>1444</v>
      </c>
      <c r="E4974" s="154" t="n">
        <v>0.4588</v>
      </c>
      <c r="F4974" s="149" t="n">
        <f aca="false">IF(C4974="MAT.",VLOOKUP(A4974,INSUMOS_AUX!$A$3:$H$813,6,0),0)</f>
        <v>1.43</v>
      </c>
      <c r="G4974" s="149" t="n">
        <f aca="false">IF(C4974="M.O.",VLOOKUP(A4974,INSUMOS_AUX!A:F,6,0),0)</f>
        <v>0</v>
      </c>
    </row>
    <row r="4975" customFormat="false" ht="21" hidden="false" customHeight="false" outlineLevel="0" collapsed="false">
      <c r="A4975" s="154" t="n">
        <v>43461</v>
      </c>
      <c r="B4975" s="155" t="s">
        <v>1482</v>
      </c>
      <c r="C4975" s="148" t="s">
        <v>59</v>
      </c>
      <c r="D4975" s="156" t="s">
        <v>1444</v>
      </c>
      <c r="E4975" s="154" t="n">
        <v>0.4588</v>
      </c>
      <c r="F4975" s="149" t="n">
        <f aca="false">IF(C4975="MAT.",VLOOKUP(A4975,INSUMOS_AUX!$A$3:$H$813,6,0),0)</f>
        <v>0</v>
      </c>
      <c r="G4975" s="149" t="n">
        <f aca="false">IF(C4975="M.O.",VLOOKUP(A4975,INSUMOS_AUX!A:F,6,0),0)</f>
        <v>0</v>
      </c>
    </row>
    <row r="4976" customFormat="false" ht="21" hidden="false" customHeight="false" outlineLevel="0" collapsed="false">
      <c r="A4976" s="154" t="n">
        <v>37373</v>
      </c>
      <c r="B4976" s="155" t="s">
        <v>1448</v>
      </c>
      <c r="C4976" s="148" t="str">
        <f aca="false">VLOOKUP($A4976,INSUMOS_AUX!$A$3:$H$813,3,0)</f>
        <v>MAT.</v>
      </c>
      <c r="D4976" s="156" t="s">
        <v>1444</v>
      </c>
      <c r="E4976" s="154" t="n">
        <v>0.4588</v>
      </c>
      <c r="F4976" s="149" t="n">
        <f aca="false">IF(C4976="MAT.",VLOOKUP(A4976,INSUMOS_AUX!$A$3:$H$813,6,0),0)</f>
        <v>0.08</v>
      </c>
      <c r="G4976" s="149" t="n">
        <f aca="false">IF(C4976="M.O.",VLOOKUP(A4976,INSUMOS_AUX!A:F,6,0),0)</f>
        <v>0</v>
      </c>
    </row>
    <row r="4977" customFormat="false" ht="21" hidden="false" customHeight="false" outlineLevel="0" collapsed="false">
      <c r="A4977" s="154" t="n">
        <v>37371</v>
      </c>
      <c r="B4977" s="155" t="s">
        <v>1449</v>
      </c>
      <c r="C4977" s="148" t="str">
        <f aca="false">VLOOKUP($A4977,INSUMOS_AUX!$A$3:$H$813,3,0)</f>
        <v>MAT.</v>
      </c>
      <c r="D4977" s="156" t="s">
        <v>1444</v>
      </c>
      <c r="E4977" s="154" t="n">
        <v>0.4588</v>
      </c>
      <c r="F4977" s="149" t="n">
        <f aca="false">IF(C4977="MAT.",VLOOKUP(A4977,INSUMOS_AUX!$A$3:$H$813,6,0),0)</f>
        <v>0.59</v>
      </c>
      <c r="G4977" s="149" t="n">
        <f aca="false">IF(C4977="M.O.",VLOOKUP(A4977,INSUMOS_AUX!A:F,6,0),0)</f>
        <v>0</v>
      </c>
    </row>
    <row r="4978" customFormat="false" ht="15" hidden="false" customHeight="false" outlineLevel="0" collapsed="false">
      <c r="A4978" s="154" t="n">
        <v>122</v>
      </c>
      <c r="B4978" s="155" t="s">
        <v>2097</v>
      </c>
      <c r="C4978" s="148" t="str">
        <f aca="false">VLOOKUP($A4978,INSUMOS_AUX!$A$3:$H$813,3,0)</f>
        <v>MAT.</v>
      </c>
      <c r="D4978" s="156" t="s">
        <v>31</v>
      </c>
      <c r="E4978" s="154" t="n">
        <v>0.0165</v>
      </c>
      <c r="F4978" s="149" t="n">
        <f aca="false">IF(C4978="MAT.",VLOOKUP(A4978,INSUMOS_AUX!$A$3:$H$813,6,0),0)</f>
        <v>63.09</v>
      </c>
      <c r="G4978" s="149" t="n">
        <f aca="false">IF(C4978="M.O.",VLOOKUP(A4978,INSUMOS_AUX!A:F,6,0),0)</f>
        <v>0</v>
      </c>
    </row>
    <row r="4979" customFormat="false" ht="21" hidden="false" customHeight="false" outlineLevel="0" collapsed="false">
      <c r="A4979" s="154" t="n">
        <v>3540</v>
      </c>
      <c r="B4979" s="155" t="s">
        <v>2315</v>
      </c>
      <c r="C4979" s="148" t="str">
        <f aca="false">VLOOKUP($A4979,INSUMOS_AUX!$A$3:$H$813,3,0)</f>
        <v>MAT.</v>
      </c>
      <c r="D4979" s="156" t="s">
        <v>31</v>
      </c>
      <c r="E4979" s="154" t="n">
        <v>1</v>
      </c>
      <c r="F4979" s="149" t="n">
        <f aca="false">IF(C4979="MAT.",VLOOKUP(A4979,INSUMOS_AUX!$A$3:$H$813,6,0),0)</f>
        <v>5.01</v>
      </c>
      <c r="G4979" s="149" t="n">
        <f aca="false">IF(C4979="M.O.",VLOOKUP(A4979,INSUMOS_AUX!A:F,6,0),0)</f>
        <v>0</v>
      </c>
    </row>
    <row r="4980" customFormat="false" ht="15" hidden="false" customHeight="false" outlineLevel="0" collapsed="false">
      <c r="A4980" s="154" t="n">
        <v>38383</v>
      </c>
      <c r="B4980" s="155" t="s">
        <v>2093</v>
      </c>
      <c r="C4980" s="148" t="str">
        <f aca="false">VLOOKUP($A4980,INSUMOS_AUX!$A$3:$H$813,3,0)</f>
        <v>MAT.</v>
      </c>
      <c r="D4980" s="156" t="s">
        <v>31</v>
      </c>
      <c r="E4980" s="154" t="n">
        <v>0.051</v>
      </c>
      <c r="F4980" s="149" t="n">
        <f aca="false">IF(C4980="MAT.",VLOOKUP(A4980,INSUMOS_AUX!$A$3:$H$813,6,0),0)</f>
        <v>2.39</v>
      </c>
      <c r="G4980" s="149" t="n">
        <f aca="false">IF(C4980="M.O.",VLOOKUP(A4980,INSUMOS_AUX!A:F,6,0),0)</f>
        <v>0</v>
      </c>
    </row>
    <row r="4981" customFormat="false" ht="21" hidden="false" customHeight="false" outlineLevel="0" collapsed="false">
      <c r="A4981" s="154" t="n">
        <v>20083</v>
      </c>
      <c r="B4981" s="155" t="s">
        <v>2095</v>
      </c>
      <c r="C4981" s="148" t="str">
        <f aca="false">VLOOKUP($A4981,INSUMOS_AUX!$A$3:$H$813,3,0)</f>
        <v>MAT.</v>
      </c>
      <c r="D4981" s="156" t="s">
        <v>31</v>
      </c>
      <c r="E4981" s="154" t="n">
        <v>0.022</v>
      </c>
      <c r="F4981" s="149" t="n">
        <f aca="false">IF(C4981="MAT.",VLOOKUP(A4981,INSUMOS_AUX!$A$3:$H$813,6,0),0)</f>
        <v>71.48</v>
      </c>
      <c r="G4981" s="149" t="n">
        <f aca="false">IF(C4981="M.O.",VLOOKUP(A4981,INSUMOS_AUX!A:F,6,0),0)</f>
        <v>0</v>
      </c>
    </row>
    <row r="4982" customFormat="false" ht="15" hidden="false" customHeight="false" outlineLevel="0" collapsed="false">
      <c r="A4982" s="154" t="n">
        <v>246</v>
      </c>
      <c r="B4982" s="155" t="s">
        <v>1752</v>
      </c>
      <c r="C4982" s="148" t="str">
        <f aca="false">VLOOKUP($A4982,INSUMOS_AUX!$A$3:$H$813,3,0)</f>
        <v>M.O.</v>
      </c>
      <c r="D4982" s="156" t="s">
        <v>1444</v>
      </c>
      <c r="E4982" s="154" t="n">
        <v>0.233524612</v>
      </c>
      <c r="F4982" s="149" t="n">
        <f aca="false">IF(C4982="MAT.",VLOOKUP(A4982,INSUMOS_AUX!$A$3:$H$813,6,0),0)</f>
        <v>0</v>
      </c>
      <c r="G4982" s="149" t="n">
        <f aca="false">IF(C4982="M.O.",VLOOKUP(A4982,INSUMOS_AUX!A:F,6,0),0)</f>
        <v>13.26</v>
      </c>
    </row>
    <row r="4983" customFormat="false" ht="15" hidden="false" customHeight="false" outlineLevel="0" collapsed="false">
      <c r="A4983" s="154" t="n">
        <v>2696</v>
      </c>
      <c r="B4983" s="155" t="s">
        <v>1483</v>
      </c>
      <c r="C4983" s="148" t="str">
        <f aca="false">VLOOKUP($A4983,INSUMOS_AUX!$A$3:$H$813,3,0)</f>
        <v>M.O.</v>
      </c>
      <c r="D4983" s="156" t="s">
        <v>1444</v>
      </c>
      <c r="E4983" s="154" t="n">
        <v>0.233524612</v>
      </c>
      <c r="F4983" s="149" t="n">
        <f aca="false">IF(C4983="MAT.",VLOOKUP(A4983,INSUMOS_AUX!$A$3:$H$813,6,0),0)</f>
        <v>0</v>
      </c>
      <c r="G4983" s="149" t="n">
        <f aca="false">IF(C4983="M.O.",VLOOKUP(A4983,INSUMOS_AUX!A:F,6,0),0)</f>
        <v>20.22</v>
      </c>
    </row>
    <row r="4984" customFormat="false" ht="21" hidden="false" customHeight="false" outlineLevel="0" collapsed="false">
      <c r="A4984" s="150" t="n">
        <v>89513</v>
      </c>
      <c r="B4984" s="151" t="s">
        <v>2316</v>
      </c>
      <c r="C4984" s="152" t="s">
        <v>59</v>
      </c>
      <c r="D4984" s="152" t="s">
        <v>31</v>
      </c>
      <c r="E4984" s="150"/>
      <c r="F4984" s="153" t="n">
        <f aca="false">(SUMPRODUCT($E4985:$E4996,F4985:F4996))*1</f>
        <v>93.110418</v>
      </c>
      <c r="G4984" s="153" t="n">
        <f aca="false">(SUMPRODUCT($E4985:$E4996,G4985:G4996))*1</f>
        <v>6.29493993288</v>
      </c>
    </row>
    <row r="4985" customFormat="false" ht="21" hidden="false" customHeight="false" outlineLevel="0" collapsed="false">
      <c r="A4985" s="154" t="n">
        <v>37370</v>
      </c>
      <c r="B4985" s="155" t="s">
        <v>1443</v>
      </c>
      <c r="C4985" s="148" t="str">
        <f aca="false">VLOOKUP($A4985,INSUMOS_AUX!$A$3:$H$813,3,0)</f>
        <v>MAT.</v>
      </c>
      <c r="D4985" s="156" t="s">
        <v>1444</v>
      </c>
      <c r="E4985" s="154" t="n">
        <v>0.3694</v>
      </c>
      <c r="F4985" s="149" t="n">
        <f aca="false">IF(C4985="MAT.",VLOOKUP(A4985,INSUMOS_AUX!$A$3:$H$813,6,0),0)</f>
        <v>3.32</v>
      </c>
      <c r="G4985" s="149" t="n">
        <f aca="false">IF(C4985="M.O.",VLOOKUP(A4985,INSUMOS_AUX!A:F,6,0),0)</f>
        <v>0</v>
      </c>
    </row>
    <row r="4986" customFormat="false" ht="21" hidden="false" customHeight="false" outlineLevel="0" collapsed="false">
      <c r="A4986" s="154" t="n">
        <v>43485</v>
      </c>
      <c r="B4986" s="155" t="s">
        <v>1481</v>
      </c>
      <c r="C4986" s="148" t="s">
        <v>59</v>
      </c>
      <c r="D4986" s="156" t="s">
        <v>1444</v>
      </c>
      <c r="E4986" s="154" t="n">
        <v>0.3694</v>
      </c>
      <c r="F4986" s="149" t="n">
        <f aca="false">IF(C4986="MAT.",VLOOKUP(A4986,INSUMOS_AUX!$A$3:$H$813,6,0),0)</f>
        <v>0</v>
      </c>
      <c r="G4986" s="149" t="n">
        <f aca="false">IF(C4986="M.O.",VLOOKUP(A4986,INSUMOS_AUX!A:F,6,0),0)</f>
        <v>0</v>
      </c>
    </row>
    <row r="4987" customFormat="false" ht="21" hidden="false" customHeight="false" outlineLevel="0" collapsed="false">
      <c r="A4987" s="154" t="n">
        <v>37372</v>
      </c>
      <c r="B4987" s="155" t="s">
        <v>1446</v>
      </c>
      <c r="C4987" s="148" t="str">
        <f aca="false">VLOOKUP($A4987,INSUMOS_AUX!$A$3:$H$813,3,0)</f>
        <v>MAT.</v>
      </c>
      <c r="D4987" s="156" t="s">
        <v>1444</v>
      </c>
      <c r="E4987" s="154" t="n">
        <v>0.3694</v>
      </c>
      <c r="F4987" s="149" t="n">
        <f aca="false">IF(C4987="MAT.",VLOOKUP(A4987,INSUMOS_AUX!$A$3:$H$813,6,0),0)</f>
        <v>1.43</v>
      </c>
      <c r="G4987" s="149" t="n">
        <f aca="false">IF(C4987="M.O.",VLOOKUP(A4987,INSUMOS_AUX!A:F,6,0),0)</f>
        <v>0</v>
      </c>
    </row>
    <row r="4988" customFormat="false" ht="21" hidden="false" customHeight="false" outlineLevel="0" collapsed="false">
      <c r="A4988" s="154" t="n">
        <v>43461</v>
      </c>
      <c r="B4988" s="155" t="s">
        <v>1482</v>
      </c>
      <c r="C4988" s="148" t="str">
        <f aca="false">VLOOKUP($A4988,INSUMOS_AUX!$A$3:$H$813,3,0)</f>
        <v>MAT.</v>
      </c>
      <c r="D4988" s="156" t="s">
        <v>1444</v>
      </c>
      <c r="E4988" s="154" t="n">
        <v>0.3694</v>
      </c>
      <c r="F4988" s="149" t="n">
        <f aca="false">IF(C4988="MAT.",VLOOKUP(A4988,INSUMOS_AUX!$A$3:$H$813,6,0),0)</f>
        <v>0.31</v>
      </c>
      <c r="G4988" s="149" t="n">
        <f aca="false">IF(C4988="M.O.",VLOOKUP(A4988,INSUMOS_AUX!A:F,6,0),0)</f>
        <v>0</v>
      </c>
    </row>
    <row r="4989" customFormat="false" ht="21" hidden="false" customHeight="false" outlineLevel="0" collapsed="false">
      <c r="A4989" s="154" t="n">
        <v>37373</v>
      </c>
      <c r="B4989" s="155" t="s">
        <v>1448</v>
      </c>
      <c r="C4989" s="148" t="str">
        <f aca="false">VLOOKUP($A4989,INSUMOS_AUX!$A$3:$H$813,3,0)</f>
        <v>MAT.</v>
      </c>
      <c r="D4989" s="156" t="s">
        <v>1444</v>
      </c>
      <c r="E4989" s="154" t="n">
        <v>0.3694</v>
      </c>
      <c r="F4989" s="149" t="n">
        <f aca="false">IF(C4989="MAT.",VLOOKUP(A4989,INSUMOS_AUX!$A$3:$H$813,6,0),0)</f>
        <v>0.08</v>
      </c>
      <c r="G4989" s="149" t="n">
        <f aca="false">IF(C4989="M.O.",VLOOKUP(A4989,INSUMOS_AUX!A:F,6,0),0)</f>
        <v>0</v>
      </c>
    </row>
    <row r="4990" customFormat="false" ht="21" hidden="false" customHeight="false" outlineLevel="0" collapsed="false">
      <c r="A4990" s="154" t="n">
        <v>37371</v>
      </c>
      <c r="B4990" s="155" t="s">
        <v>1449</v>
      </c>
      <c r="C4990" s="148" t="str">
        <f aca="false">VLOOKUP($A4990,INSUMOS_AUX!$A$3:$H$813,3,0)</f>
        <v>MAT.</v>
      </c>
      <c r="D4990" s="156" t="s">
        <v>1444</v>
      </c>
      <c r="E4990" s="154" t="n">
        <v>0.3694</v>
      </c>
      <c r="F4990" s="149" t="n">
        <f aca="false">IF(C4990="MAT.",VLOOKUP(A4990,INSUMOS_AUX!$A$3:$H$813,6,0),0)</f>
        <v>0.59</v>
      </c>
      <c r="G4990" s="149" t="n">
        <f aca="false">IF(C4990="M.O.",VLOOKUP(A4990,INSUMOS_AUX!A:F,6,0),0)</f>
        <v>0</v>
      </c>
    </row>
    <row r="4991" customFormat="false" ht="15" hidden="false" customHeight="false" outlineLevel="0" collapsed="false">
      <c r="A4991" s="154" t="n">
        <v>122</v>
      </c>
      <c r="B4991" s="155" t="s">
        <v>2097</v>
      </c>
      <c r="C4991" s="148" t="str">
        <f aca="false">VLOOKUP($A4991,INSUMOS_AUX!$A$3:$H$813,3,0)</f>
        <v>MAT.</v>
      </c>
      <c r="D4991" s="156" t="s">
        <v>31</v>
      </c>
      <c r="E4991" s="154" t="n">
        <v>0.0259</v>
      </c>
      <c r="F4991" s="149" t="n">
        <f aca="false">IF(C4991="MAT.",VLOOKUP(A4991,INSUMOS_AUX!$A$3:$H$813,6,0),0)</f>
        <v>63.09</v>
      </c>
      <c r="G4991" s="149" t="n">
        <f aca="false">IF(C4991="M.O.",VLOOKUP(A4991,INSUMOS_AUX!A:F,6,0),0)</f>
        <v>0</v>
      </c>
    </row>
    <row r="4992" customFormat="false" ht="21" hidden="false" customHeight="false" outlineLevel="0" collapsed="false">
      <c r="A4992" s="154" t="n">
        <v>3511</v>
      </c>
      <c r="B4992" s="155" t="s">
        <v>2317</v>
      </c>
      <c r="C4992" s="148" t="str">
        <f aca="false">VLOOKUP($A4992,INSUMOS_AUX!$A$3:$H$813,3,0)</f>
        <v>MAT.</v>
      </c>
      <c r="D4992" s="156" t="s">
        <v>31</v>
      </c>
      <c r="E4992" s="154" t="n">
        <v>1</v>
      </c>
      <c r="F4992" s="149" t="n">
        <f aca="false">IF(C4992="MAT.",VLOOKUP(A4992,INSUMOS_AUX!$A$3:$H$813,6,0),0)</f>
        <v>85.72</v>
      </c>
      <c r="G4992" s="149" t="n">
        <f aca="false">IF(C4992="M.O.",VLOOKUP(A4992,INSUMOS_AUX!A:F,6,0),0)</f>
        <v>0</v>
      </c>
    </row>
    <row r="4993" customFormat="false" ht="15" hidden="false" customHeight="false" outlineLevel="0" collapsed="false">
      <c r="A4993" s="154" t="n">
        <v>38383</v>
      </c>
      <c r="B4993" s="155" t="s">
        <v>2093</v>
      </c>
      <c r="C4993" s="148" t="str">
        <f aca="false">VLOOKUP($A4993,INSUMOS_AUX!$A$3:$H$813,3,0)</f>
        <v>MAT.</v>
      </c>
      <c r="D4993" s="156" t="s">
        <v>31</v>
      </c>
      <c r="E4993" s="154" t="n">
        <v>0.0275</v>
      </c>
      <c r="F4993" s="149" t="n">
        <f aca="false">IF(C4993="MAT.",VLOOKUP(A4993,INSUMOS_AUX!$A$3:$H$813,6,0),0)</f>
        <v>2.39</v>
      </c>
      <c r="G4993" s="149" t="n">
        <f aca="false">IF(C4993="M.O.",VLOOKUP(A4993,INSUMOS_AUX!A:F,6,0),0)</f>
        <v>0</v>
      </c>
    </row>
    <row r="4994" customFormat="false" ht="21" hidden="false" customHeight="false" outlineLevel="0" collapsed="false">
      <c r="A4994" s="154" t="n">
        <v>20083</v>
      </c>
      <c r="B4994" s="155" t="s">
        <v>2095</v>
      </c>
      <c r="C4994" s="148" t="str">
        <f aca="false">VLOOKUP($A4994,INSUMOS_AUX!$A$3:$H$813,3,0)</f>
        <v>MAT.</v>
      </c>
      <c r="D4994" s="156" t="s">
        <v>31</v>
      </c>
      <c r="E4994" s="154" t="n">
        <v>0.05</v>
      </c>
      <c r="F4994" s="149" t="n">
        <f aca="false">IF(C4994="MAT.",VLOOKUP(A4994,INSUMOS_AUX!$A$3:$H$813,6,0),0)</f>
        <v>71.48</v>
      </c>
      <c r="G4994" s="149" t="n">
        <f aca="false">IF(C4994="M.O.",VLOOKUP(A4994,INSUMOS_AUX!A:F,6,0),0)</f>
        <v>0</v>
      </c>
    </row>
    <row r="4995" customFormat="false" ht="15" hidden="false" customHeight="false" outlineLevel="0" collapsed="false">
      <c r="A4995" s="154" t="n">
        <v>246</v>
      </c>
      <c r="B4995" s="155" t="s">
        <v>1752</v>
      </c>
      <c r="C4995" s="148" t="str">
        <f aca="false">VLOOKUP($A4995,INSUMOS_AUX!$A$3:$H$813,3,0)</f>
        <v>M.O.</v>
      </c>
      <c r="D4995" s="156" t="s">
        <v>1444</v>
      </c>
      <c r="E4995" s="154" t="n">
        <v>0.188020906</v>
      </c>
      <c r="F4995" s="149" t="n">
        <f aca="false">IF(C4995="MAT.",VLOOKUP(A4995,INSUMOS_AUX!$A$3:$H$813,6,0),0)</f>
        <v>0</v>
      </c>
      <c r="G4995" s="149" t="n">
        <f aca="false">IF(C4995="M.O.",VLOOKUP(A4995,INSUMOS_AUX!A:F,6,0),0)</f>
        <v>13.26</v>
      </c>
    </row>
    <row r="4996" customFormat="false" ht="15" hidden="false" customHeight="false" outlineLevel="0" collapsed="false">
      <c r="A4996" s="154" t="n">
        <v>2696</v>
      </c>
      <c r="B4996" s="155" t="s">
        <v>1483</v>
      </c>
      <c r="C4996" s="148" t="str">
        <f aca="false">VLOOKUP($A4996,INSUMOS_AUX!$A$3:$H$813,3,0)</f>
        <v>M.O.</v>
      </c>
      <c r="D4996" s="156" t="s">
        <v>1444</v>
      </c>
      <c r="E4996" s="154" t="n">
        <v>0.188020906</v>
      </c>
      <c r="F4996" s="149" t="n">
        <f aca="false">IF(C4996="MAT.",VLOOKUP(A4996,INSUMOS_AUX!$A$3:$H$813,6,0),0)</f>
        <v>0</v>
      </c>
      <c r="G4996" s="149" t="n">
        <f aca="false">IF(C4996="M.O.",VLOOKUP(A4996,INSUMOS_AUX!A:F,6,0),0)</f>
        <v>20.22</v>
      </c>
    </row>
    <row r="4997" customFormat="false" ht="21" hidden="false" customHeight="false" outlineLevel="0" collapsed="false">
      <c r="A4997" s="150" t="n">
        <v>103995</v>
      </c>
      <c r="B4997" s="151" t="s">
        <v>2318</v>
      </c>
      <c r="C4997" s="152" t="s">
        <v>59</v>
      </c>
      <c r="D4997" s="152" t="s">
        <v>31</v>
      </c>
      <c r="E4997" s="150"/>
      <c r="F4997" s="153" t="n">
        <f aca="false">(SUMPRODUCT($E4998:$E5009,F4998:F5009))*1</f>
        <v>8.198675</v>
      </c>
      <c r="G4997" s="153" t="n">
        <f aca="false">(SUMPRODUCT($E4998:$E5009,G4998:G5009))*1</f>
        <v>5.2145414712</v>
      </c>
    </row>
    <row r="4998" customFormat="false" ht="21" hidden="false" customHeight="false" outlineLevel="0" collapsed="false">
      <c r="A4998" s="154" t="n">
        <v>37370</v>
      </c>
      <c r="B4998" s="155" t="s">
        <v>1443</v>
      </c>
      <c r="C4998" s="148" t="s">
        <v>59</v>
      </c>
      <c r="D4998" s="156" t="s">
        <v>1444</v>
      </c>
      <c r="E4998" s="154" t="n">
        <v>0.306</v>
      </c>
      <c r="F4998" s="149" t="n">
        <f aca="false">IF(C4998="MAT.",VLOOKUP(A4998,INSUMOS_AUX!$A$3:$H$813,6,0),0)</f>
        <v>0</v>
      </c>
      <c r="G4998" s="149" t="n">
        <f aca="false">IF(C4998="M.O.",VLOOKUP(A4998,INSUMOS_AUX!A:F,6,0),0)</f>
        <v>0</v>
      </c>
    </row>
    <row r="4999" customFormat="false" ht="21" hidden="false" customHeight="false" outlineLevel="0" collapsed="false">
      <c r="A4999" s="154" t="n">
        <v>43485</v>
      </c>
      <c r="B4999" s="155" t="s">
        <v>1481</v>
      </c>
      <c r="C4999" s="148" t="str">
        <f aca="false">VLOOKUP($A4999,INSUMOS_AUX!$A$3:$H$813,3,0)</f>
        <v>MAT.</v>
      </c>
      <c r="D4999" s="156" t="s">
        <v>1444</v>
      </c>
      <c r="E4999" s="154" t="n">
        <v>0.306</v>
      </c>
      <c r="F4999" s="149" t="n">
        <f aca="false">IF(C4999="MAT.",VLOOKUP(A4999,INSUMOS_AUX!$A$3:$H$813,6,0),0)</f>
        <v>1.13</v>
      </c>
      <c r="G4999" s="149" t="n">
        <f aca="false">IF(C4999="M.O.",VLOOKUP(A4999,INSUMOS_AUX!A:F,6,0),0)</f>
        <v>0</v>
      </c>
    </row>
    <row r="5000" customFormat="false" ht="21" hidden="false" customHeight="false" outlineLevel="0" collapsed="false">
      <c r="A5000" s="154" t="n">
        <v>37372</v>
      </c>
      <c r="B5000" s="155" t="s">
        <v>1446</v>
      </c>
      <c r="C5000" s="148" t="str">
        <f aca="false">VLOOKUP($A5000,INSUMOS_AUX!$A$3:$H$813,3,0)</f>
        <v>MAT.</v>
      </c>
      <c r="D5000" s="156" t="s">
        <v>1444</v>
      </c>
      <c r="E5000" s="154" t="n">
        <v>0.306</v>
      </c>
      <c r="F5000" s="149" t="n">
        <f aca="false">IF(C5000="MAT.",VLOOKUP(A5000,INSUMOS_AUX!$A$3:$H$813,6,0),0)</f>
        <v>1.43</v>
      </c>
      <c r="G5000" s="149" t="n">
        <f aca="false">IF(C5000="M.O.",VLOOKUP(A5000,INSUMOS_AUX!A:F,6,0),0)</f>
        <v>0</v>
      </c>
    </row>
    <row r="5001" customFormat="false" ht="21" hidden="false" customHeight="false" outlineLevel="0" collapsed="false">
      <c r="A5001" s="154" t="n">
        <v>43461</v>
      </c>
      <c r="B5001" s="155" t="s">
        <v>1482</v>
      </c>
      <c r="C5001" s="148" t="str">
        <f aca="false">VLOOKUP($A5001,INSUMOS_AUX!$A$3:$H$813,3,0)</f>
        <v>MAT.</v>
      </c>
      <c r="D5001" s="156" t="s">
        <v>1444</v>
      </c>
      <c r="E5001" s="154" t="n">
        <v>0.306</v>
      </c>
      <c r="F5001" s="149" t="n">
        <f aca="false">IF(C5001="MAT.",VLOOKUP(A5001,INSUMOS_AUX!$A$3:$H$813,6,0),0)</f>
        <v>0.31</v>
      </c>
      <c r="G5001" s="149" t="n">
        <f aca="false">IF(C5001="M.O.",VLOOKUP(A5001,INSUMOS_AUX!A:F,6,0),0)</f>
        <v>0</v>
      </c>
    </row>
    <row r="5002" customFormat="false" ht="21" hidden="false" customHeight="false" outlineLevel="0" collapsed="false">
      <c r="A5002" s="154" t="n">
        <v>37373</v>
      </c>
      <c r="B5002" s="155" t="s">
        <v>1448</v>
      </c>
      <c r="C5002" s="148" t="str">
        <f aca="false">VLOOKUP($A5002,INSUMOS_AUX!$A$3:$H$813,3,0)</f>
        <v>MAT.</v>
      </c>
      <c r="D5002" s="156" t="s">
        <v>1444</v>
      </c>
      <c r="E5002" s="154" t="n">
        <v>0.306</v>
      </c>
      <c r="F5002" s="149" t="n">
        <f aca="false">IF(C5002="MAT.",VLOOKUP(A5002,INSUMOS_AUX!$A$3:$H$813,6,0),0)</f>
        <v>0.08</v>
      </c>
      <c r="G5002" s="149" t="n">
        <f aca="false">IF(C5002="M.O.",VLOOKUP(A5002,INSUMOS_AUX!A:F,6,0),0)</f>
        <v>0</v>
      </c>
    </row>
    <row r="5003" customFormat="false" ht="21" hidden="false" customHeight="false" outlineLevel="0" collapsed="false">
      <c r="A5003" s="154" t="n">
        <v>37371</v>
      </c>
      <c r="B5003" s="155" t="s">
        <v>1449</v>
      </c>
      <c r="C5003" s="148" t="str">
        <f aca="false">VLOOKUP($A5003,INSUMOS_AUX!$A$3:$H$813,3,0)</f>
        <v>MAT.</v>
      </c>
      <c r="D5003" s="156" t="s">
        <v>1444</v>
      </c>
      <c r="E5003" s="154" t="n">
        <v>0.306</v>
      </c>
      <c r="F5003" s="149" t="n">
        <f aca="false">IF(C5003="MAT.",VLOOKUP(A5003,INSUMOS_AUX!$A$3:$H$813,6,0),0)</f>
        <v>0.59</v>
      </c>
      <c r="G5003" s="149" t="n">
        <f aca="false">IF(C5003="M.O.",VLOOKUP(A5003,INSUMOS_AUX!A:F,6,0),0)</f>
        <v>0</v>
      </c>
    </row>
    <row r="5004" customFormat="false" ht="15" hidden="false" customHeight="false" outlineLevel="0" collapsed="false">
      <c r="A5004" s="154" t="n">
        <v>122</v>
      </c>
      <c r="B5004" s="155" t="s">
        <v>2097</v>
      </c>
      <c r="C5004" s="148" t="str">
        <f aca="false">VLOOKUP($A5004,INSUMOS_AUX!$A$3:$H$813,3,0)</f>
        <v>MAT.</v>
      </c>
      <c r="D5004" s="156" t="s">
        <v>31</v>
      </c>
      <c r="E5004" s="154" t="n">
        <v>0.0165</v>
      </c>
      <c r="F5004" s="149" t="n">
        <f aca="false">IF(C5004="MAT.",VLOOKUP(A5004,INSUMOS_AUX!$A$3:$H$813,6,0),0)</f>
        <v>63.09</v>
      </c>
      <c r="G5004" s="149" t="n">
        <f aca="false">IF(C5004="M.O.",VLOOKUP(A5004,INSUMOS_AUX!A:F,6,0),0)</f>
        <v>0</v>
      </c>
    </row>
    <row r="5005" customFormat="false" ht="15" hidden="false" customHeight="false" outlineLevel="0" collapsed="false">
      <c r="A5005" s="154" t="n">
        <v>38383</v>
      </c>
      <c r="B5005" s="155" t="s">
        <v>2093</v>
      </c>
      <c r="C5005" s="148" t="str">
        <f aca="false">VLOOKUP($A5005,INSUMOS_AUX!$A$3:$H$813,3,0)</f>
        <v>MAT.</v>
      </c>
      <c r="D5005" s="156" t="s">
        <v>31</v>
      </c>
      <c r="E5005" s="154" t="n">
        <v>0.051</v>
      </c>
      <c r="F5005" s="149" t="n">
        <f aca="false">IF(C5005="MAT.",VLOOKUP(A5005,INSUMOS_AUX!$A$3:$H$813,6,0),0)</f>
        <v>2.39</v>
      </c>
      <c r="G5005" s="149" t="n">
        <f aca="false">IF(C5005="M.O.",VLOOKUP(A5005,INSUMOS_AUX!A:F,6,0),0)</f>
        <v>0</v>
      </c>
    </row>
    <row r="5006" customFormat="false" ht="15" hidden="false" customHeight="false" outlineLevel="0" collapsed="false">
      <c r="A5006" s="154" t="n">
        <v>3863</v>
      </c>
      <c r="B5006" s="155" t="s">
        <v>2319</v>
      </c>
      <c r="C5006" s="148" t="str">
        <f aca="false">VLOOKUP($A5006,INSUMOS_AUX!$A$3:$H$813,3,0)</f>
        <v>MAT.</v>
      </c>
      <c r="D5006" s="156" t="s">
        <v>31</v>
      </c>
      <c r="E5006" s="154" t="n">
        <v>1</v>
      </c>
      <c r="F5006" s="149" t="n">
        <f aca="false">IF(C5006="MAT.",VLOOKUP(A5006,INSUMOS_AUX!$A$3:$H$813,6,0),0)</f>
        <v>4.38</v>
      </c>
      <c r="G5006" s="149" t="n">
        <f aca="false">IF(C5006="M.O.",VLOOKUP(A5006,INSUMOS_AUX!A:F,6,0),0)</f>
        <v>0</v>
      </c>
    </row>
    <row r="5007" customFormat="false" ht="21" hidden="false" customHeight="false" outlineLevel="0" collapsed="false">
      <c r="A5007" s="154" t="n">
        <v>20083</v>
      </c>
      <c r="B5007" s="155" t="s">
        <v>2095</v>
      </c>
      <c r="C5007" s="148" t="str">
        <f aca="false">VLOOKUP($A5007,INSUMOS_AUX!$A$3:$H$813,3,0)</f>
        <v>MAT.</v>
      </c>
      <c r="D5007" s="156" t="s">
        <v>31</v>
      </c>
      <c r="E5007" s="154" t="n">
        <v>0.022</v>
      </c>
      <c r="F5007" s="149" t="n">
        <f aca="false">IF(C5007="MAT.",VLOOKUP(A5007,INSUMOS_AUX!$A$3:$H$813,6,0),0)</f>
        <v>71.48</v>
      </c>
      <c r="G5007" s="149" t="n">
        <f aca="false">IF(C5007="M.O.",VLOOKUP(A5007,INSUMOS_AUX!A:F,6,0),0)</f>
        <v>0</v>
      </c>
    </row>
    <row r="5008" customFormat="false" ht="15" hidden="false" customHeight="false" outlineLevel="0" collapsed="false">
      <c r="A5008" s="154" t="n">
        <v>246</v>
      </c>
      <c r="B5008" s="155" t="s">
        <v>1752</v>
      </c>
      <c r="C5008" s="148" t="str">
        <f aca="false">VLOOKUP($A5008,INSUMOS_AUX!$A$3:$H$813,3,0)</f>
        <v>M.O.</v>
      </c>
      <c r="D5008" s="156" t="s">
        <v>1444</v>
      </c>
      <c r="E5008" s="154" t="n">
        <v>0.15575094</v>
      </c>
      <c r="F5008" s="149" t="n">
        <f aca="false">IF(C5008="MAT.",VLOOKUP(A5008,INSUMOS_AUX!$A$3:$H$813,6,0),0)</f>
        <v>0</v>
      </c>
      <c r="G5008" s="149" t="n">
        <f aca="false">IF(C5008="M.O.",VLOOKUP(A5008,INSUMOS_AUX!A:F,6,0),0)</f>
        <v>13.26</v>
      </c>
    </row>
    <row r="5009" customFormat="false" ht="15" hidden="false" customHeight="false" outlineLevel="0" collapsed="false">
      <c r="A5009" s="154" t="n">
        <v>2696</v>
      </c>
      <c r="B5009" s="155" t="s">
        <v>1483</v>
      </c>
      <c r="C5009" s="148" t="str">
        <f aca="false">VLOOKUP($A5009,INSUMOS_AUX!$A$3:$H$813,3,0)</f>
        <v>M.O.</v>
      </c>
      <c r="D5009" s="156" t="s">
        <v>1444</v>
      </c>
      <c r="E5009" s="154" t="n">
        <v>0.15575094</v>
      </c>
      <c r="F5009" s="149" t="n">
        <f aca="false">IF(C5009="MAT.",VLOOKUP(A5009,INSUMOS_AUX!$A$3:$H$813,6,0),0)</f>
        <v>0</v>
      </c>
      <c r="G5009" s="149" t="n">
        <f aca="false">IF(C5009="M.O.",VLOOKUP(A5009,INSUMOS_AUX!A:F,6,0),0)</f>
        <v>20.22</v>
      </c>
    </row>
    <row r="5010" customFormat="false" ht="21" hidden="false" customHeight="false" outlineLevel="0" collapsed="false">
      <c r="A5010" s="150" t="n">
        <v>89611</v>
      </c>
      <c r="B5010" s="151" t="s">
        <v>2320</v>
      </c>
      <c r="C5010" s="152" t="s">
        <v>59</v>
      </c>
      <c r="D5010" s="152" t="s">
        <v>31</v>
      </c>
      <c r="E5010" s="150"/>
      <c r="F5010" s="153" t="n">
        <f aca="false">(SUMPRODUCT($E5011:$E5022,F5011:F5022))*1</f>
        <v>25.750348</v>
      </c>
      <c r="G5010" s="153" t="n">
        <f aca="false">(SUMPRODUCT($E5011:$E5022,G5011:G5022))*1</f>
        <v>4.17163317696</v>
      </c>
    </row>
    <row r="5011" customFormat="false" ht="21" hidden="false" customHeight="false" outlineLevel="0" collapsed="false">
      <c r="A5011" s="154" t="n">
        <v>37370</v>
      </c>
      <c r="B5011" s="155" t="s">
        <v>1443</v>
      </c>
      <c r="C5011" s="148" t="s">
        <v>59</v>
      </c>
      <c r="D5011" s="156" t="s">
        <v>1444</v>
      </c>
      <c r="E5011" s="154" t="n">
        <v>0.2448</v>
      </c>
      <c r="F5011" s="149" t="n">
        <f aca="false">IF(C5011="MAT.",VLOOKUP(A5011,INSUMOS_AUX!$A$3:$H$813,6,0),0)</f>
        <v>0</v>
      </c>
      <c r="G5011" s="149" t="n">
        <f aca="false">IF(C5011="M.O.",VLOOKUP(A5011,INSUMOS_AUX!A:F,6,0),0)</f>
        <v>0</v>
      </c>
    </row>
    <row r="5012" customFormat="false" ht="21" hidden="false" customHeight="false" outlineLevel="0" collapsed="false">
      <c r="A5012" s="154" t="n">
        <v>43485</v>
      </c>
      <c r="B5012" s="155" t="s">
        <v>1481</v>
      </c>
      <c r="C5012" s="148" t="str">
        <f aca="false">VLOOKUP($A5012,INSUMOS_AUX!$A$3:$H$813,3,0)</f>
        <v>MAT.</v>
      </c>
      <c r="D5012" s="156" t="s">
        <v>1444</v>
      </c>
      <c r="E5012" s="154" t="n">
        <v>0.2448</v>
      </c>
      <c r="F5012" s="149" t="n">
        <f aca="false">IF(C5012="MAT.",VLOOKUP(A5012,INSUMOS_AUX!$A$3:$H$813,6,0),0)</f>
        <v>1.13</v>
      </c>
      <c r="G5012" s="149" t="n">
        <f aca="false">IF(C5012="M.O.",VLOOKUP(A5012,INSUMOS_AUX!A:F,6,0),0)</f>
        <v>0</v>
      </c>
    </row>
    <row r="5013" customFormat="false" ht="21" hidden="false" customHeight="false" outlineLevel="0" collapsed="false">
      <c r="A5013" s="154" t="n">
        <v>37372</v>
      </c>
      <c r="B5013" s="155" t="s">
        <v>1446</v>
      </c>
      <c r="C5013" s="148" t="str">
        <f aca="false">VLOOKUP($A5013,INSUMOS_AUX!$A$3:$H$813,3,0)</f>
        <v>MAT.</v>
      </c>
      <c r="D5013" s="156" t="s">
        <v>1444</v>
      </c>
      <c r="E5013" s="154" t="n">
        <v>0.2448</v>
      </c>
      <c r="F5013" s="149" t="n">
        <f aca="false">IF(C5013="MAT.",VLOOKUP(A5013,INSUMOS_AUX!$A$3:$H$813,6,0),0)</f>
        <v>1.43</v>
      </c>
      <c r="G5013" s="149" t="n">
        <f aca="false">IF(C5013="M.O.",VLOOKUP(A5013,INSUMOS_AUX!A:F,6,0),0)</f>
        <v>0</v>
      </c>
    </row>
    <row r="5014" customFormat="false" ht="21" hidden="false" customHeight="false" outlineLevel="0" collapsed="false">
      <c r="A5014" s="154" t="n">
        <v>43461</v>
      </c>
      <c r="B5014" s="155" t="s">
        <v>1482</v>
      </c>
      <c r="C5014" s="148" t="str">
        <f aca="false">VLOOKUP($A5014,INSUMOS_AUX!$A$3:$H$813,3,0)</f>
        <v>MAT.</v>
      </c>
      <c r="D5014" s="156" t="s">
        <v>1444</v>
      </c>
      <c r="E5014" s="154" t="n">
        <v>0.2448</v>
      </c>
      <c r="F5014" s="149" t="n">
        <f aca="false">IF(C5014="MAT.",VLOOKUP(A5014,INSUMOS_AUX!$A$3:$H$813,6,0),0)</f>
        <v>0.31</v>
      </c>
      <c r="G5014" s="149" t="n">
        <f aca="false">IF(C5014="M.O.",VLOOKUP(A5014,INSUMOS_AUX!A:F,6,0),0)</f>
        <v>0</v>
      </c>
    </row>
    <row r="5015" customFormat="false" ht="21" hidden="false" customHeight="false" outlineLevel="0" collapsed="false">
      <c r="A5015" s="154" t="n">
        <v>37373</v>
      </c>
      <c r="B5015" s="155" t="s">
        <v>1448</v>
      </c>
      <c r="C5015" s="148" t="str">
        <f aca="false">VLOOKUP($A5015,INSUMOS_AUX!$A$3:$H$813,3,0)</f>
        <v>MAT.</v>
      </c>
      <c r="D5015" s="156" t="s">
        <v>1444</v>
      </c>
      <c r="E5015" s="154" t="n">
        <v>0.2448</v>
      </c>
      <c r="F5015" s="149" t="n">
        <f aca="false">IF(C5015="MAT.",VLOOKUP(A5015,INSUMOS_AUX!$A$3:$H$813,6,0),0)</f>
        <v>0.08</v>
      </c>
      <c r="G5015" s="149" t="n">
        <f aca="false">IF(C5015="M.O.",VLOOKUP(A5015,INSUMOS_AUX!A:F,6,0),0)</f>
        <v>0</v>
      </c>
    </row>
    <row r="5016" customFormat="false" ht="21" hidden="false" customHeight="false" outlineLevel="0" collapsed="false">
      <c r="A5016" s="154" t="n">
        <v>37371</v>
      </c>
      <c r="B5016" s="155" t="s">
        <v>1449</v>
      </c>
      <c r="C5016" s="148" t="str">
        <f aca="false">VLOOKUP($A5016,INSUMOS_AUX!$A$3:$H$813,3,0)</f>
        <v>MAT.</v>
      </c>
      <c r="D5016" s="156" t="s">
        <v>1444</v>
      </c>
      <c r="E5016" s="154" t="n">
        <v>0.2448</v>
      </c>
      <c r="F5016" s="149" t="n">
        <f aca="false">IF(C5016="MAT.",VLOOKUP(A5016,INSUMOS_AUX!$A$3:$H$813,6,0),0)</f>
        <v>0.59</v>
      </c>
      <c r="G5016" s="149" t="n">
        <f aca="false">IF(C5016="M.O.",VLOOKUP(A5016,INSUMOS_AUX!A:F,6,0),0)</f>
        <v>0</v>
      </c>
    </row>
    <row r="5017" customFormat="false" ht="15" hidden="false" customHeight="false" outlineLevel="0" collapsed="false">
      <c r="A5017" s="154" t="n">
        <v>122</v>
      </c>
      <c r="B5017" s="155" t="s">
        <v>2097</v>
      </c>
      <c r="C5017" s="148" t="str">
        <f aca="false">VLOOKUP($A5017,INSUMOS_AUX!$A$3:$H$813,3,0)</f>
        <v>MAT.</v>
      </c>
      <c r="D5017" s="156" t="s">
        <v>31</v>
      </c>
      <c r="E5017" s="154" t="n">
        <v>0.0259</v>
      </c>
      <c r="F5017" s="149" t="n">
        <f aca="false">IF(C5017="MAT.",VLOOKUP(A5017,INSUMOS_AUX!$A$3:$H$813,6,0),0)</f>
        <v>63.09</v>
      </c>
      <c r="G5017" s="149" t="n">
        <f aca="false">IF(C5017="M.O.",VLOOKUP(A5017,INSUMOS_AUX!A:F,6,0),0)</f>
        <v>0</v>
      </c>
    </row>
    <row r="5018" customFormat="false" ht="15" hidden="false" customHeight="false" outlineLevel="0" collapsed="false">
      <c r="A5018" s="154" t="n">
        <v>38383</v>
      </c>
      <c r="B5018" s="155" t="s">
        <v>2093</v>
      </c>
      <c r="C5018" s="148" t="str">
        <f aca="false">VLOOKUP($A5018,INSUMOS_AUX!$A$3:$H$813,3,0)</f>
        <v>MAT.</v>
      </c>
      <c r="D5018" s="156" t="s">
        <v>31</v>
      </c>
      <c r="E5018" s="154" t="n">
        <v>0.0275</v>
      </c>
      <c r="F5018" s="149" t="n">
        <f aca="false">IF(C5018="MAT.",VLOOKUP(A5018,INSUMOS_AUX!$A$3:$H$813,6,0),0)</f>
        <v>2.39</v>
      </c>
      <c r="G5018" s="149" t="n">
        <f aca="false">IF(C5018="M.O.",VLOOKUP(A5018,INSUMOS_AUX!A:F,6,0),0)</f>
        <v>0</v>
      </c>
    </row>
    <row r="5019" customFormat="false" ht="15" hidden="false" customHeight="false" outlineLevel="0" collapsed="false">
      <c r="A5019" s="154" t="n">
        <v>3865</v>
      </c>
      <c r="B5019" s="155" t="s">
        <v>2321</v>
      </c>
      <c r="C5019" s="148" t="str">
        <f aca="false">VLOOKUP($A5019,INSUMOS_AUX!$A$3:$H$813,3,0)</f>
        <v>MAT.</v>
      </c>
      <c r="D5019" s="156" t="s">
        <v>31</v>
      </c>
      <c r="E5019" s="154" t="n">
        <v>1</v>
      </c>
      <c r="F5019" s="149" t="n">
        <f aca="false">IF(C5019="MAT.",VLOOKUP(A5019,INSUMOS_AUX!$A$3:$H$813,6,0),0)</f>
        <v>19.61</v>
      </c>
      <c r="G5019" s="149" t="n">
        <f aca="false">IF(C5019="M.O.",VLOOKUP(A5019,INSUMOS_AUX!A:F,6,0),0)</f>
        <v>0</v>
      </c>
    </row>
    <row r="5020" customFormat="false" ht="21" hidden="false" customHeight="false" outlineLevel="0" collapsed="false">
      <c r="A5020" s="154" t="n">
        <v>20083</v>
      </c>
      <c r="B5020" s="155" t="s">
        <v>2095</v>
      </c>
      <c r="C5020" s="148" t="str">
        <f aca="false">VLOOKUP($A5020,INSUMOS_AUX!$A$3:$H$813,3,0)</f>
        <v>MAT.</v>
      </c>
      <c r="D5020" s="156" t="s">
        <v>31</v>
      </c>
      <c r="E5020" s="154" t="n">
        <v>0.05</v>
      </c>
      <c r="F5020" s="149" t="n">
        <f aca="false">IF(C5020="MAT.",VLOOKUP(A5020,INSUMOS_AUX!$A$3:$H$813,6,0),0)</f>
        <v>71.48</v>
      </c>
      <c r="G5020" s="149" t="n">
        <f aca="false">IF(C5020="M.O.",VLOOKUP(A5020,INSUMOS_AUX!A:F,6,0),0)</f>
        <v>0</v>
      </c>
    </row>
    <row r="5021" customFormat="false" ht="15" hidden="false" customHeight="false" outlineLevel="0" collapsed="false">
      <c r="A5021" s="154" t="n">
        <v>246</v>
      </c>
      <c r="B5021" s="155" t="s">
        <v>1752</v>
      </c>
      <c r="C5021" s="148" t="str">
        <f aca="false">VLOOKUP($A5021,INSUMOS_AUX!$A$3:$H$813,3,0)</f>
        <v>M.O.</v>
      </c>
      <c r="D5021" s="156" t="s">
        <v>1444</v>
      </c>
      <c r="E5021" s="154" t="n">
        <v>0.124600752</v>
      </c>
      <c r="F5021" s="149" t="n">
        <f aca="false">IF(C5021="MAT.",VLOOKUP(A5021,INSUMOS_AUX!$A$3:$H$813,6,0),0)</f>
        <v>0</v>
      </c>
      <c r="G5021" s="149" t="n">
        <f aca="false">IF(C5021="M.O.",VLOOKUP(A5021,INSUMOS_AUX!A:F,6,0),0)</f>
        <v>13.26</v>
      </c>
    </row>
    <row r="5022" customFormat="false" ht="15" hidden="false" customHeight="false" outlineLevel="0" collapsed="false">
      <c r="A5022" s="154" t="n">
        <v>2696</v>
      </c>
      <c r="B5022" s="155" t="s">
        <v>1483</v>
      </c>
      <c r="C5022" s="148" t="str">
        <f aca="false">VLOOKUP($A5022,INSUMOS_AUX!$A$3:$H$813,3,0)</f>
        <v>M.O.</v>
      </c>
      <c r="D5022" s="156" t="s">
        <v>1444</v>
      </c>
      <c r="E5022" s="154" t="n">
        <v>0.124600752</v>
      </c>
      <c r="F5022" s="149" t="n">
        <f aca="false">IF(C5022="MAT.",VLOOKUP(A5022,INSUMOS_AUX!$A$3:$H$813,6,0),0)</f>
        <v>0</v>
      </c>
      <c r="G5022" s="149" t="n">
        <f aca="false">IF(C5022="M.O.",VLOOKUP(A5022,INSUMOS_AUX!A:F,6,0),0)</f>
        <v>20.22</v>
      </c>
    </row>
    <row r="5023" customFormat="false" ht="21" hidden="false" customHeight="false" outlineLevel="0" collapsed="false">
      <c r="A5023" s="150" t="n">
        <v>89402</v>
      </c>
      <c r="B5023" s="151" t="s">
        <v>2322</v>
      </c>
      <c r="C5023" s="152" t="s">
        <v>59</v>
      </c>
      <c r="D5023" s="152" t="s">
        <v>1455</v>
      </c>
      <c r="E5023" s="150"/>
      <c r="F5023" s="153" t="n">
        <f aca="false">(SUMPRODUCT($E5024:$E5033,F5024:F5033))*1</f>
        <v>5.586899</v>
      </c>
      <c r="G5023" s="153" t="n">
        <f aca="false">(SUMPRODUCT($E5024:$E5033,G5024:G5033))*1</f>
        <v>5.40540050544</v>
      </c>
    </row>
    <row r="5024" customFormat="false" ht="21" hidden="false" customHeight="false" outlineLevel="0" collapsed="false">
      <c r="A5024" s="154" t="n">
        <v>37370</v>
      </c>
      <c r="B5024" s="155" t="s">
        <v>1443</v>
      </c>
      <c r="C5024" s="148" t="s">
        <v>59</v>
      </c>
      <c r="D5024" s="156" t="s">
        <v>1444</v>
      </c>
      <c r="E5024" s="154" t="n">
        <v>0.3172</v>
      </c>
      <c r="F5024" s="149" t="n">
        <f aca="false">IF(C5024="MAT.",VLOOKUP(A5024,INSUMOS_AUX!$A$3:$H$813,6,0),0)</f>
        <v>0</v>
      </c>
      <c r="G5024" s="149" t="n">
        <f aca="false">IF(C5024="M.O.",VLOOKUP(A5024,INSUMOS_AUX!A:F,6,0),0)</f>
        <v>0</v>
      </c>
    </row>
    <row r="5025" customFormat="false" ht="21" hidden="false" customHeight="false" outlineLevel="0" collapsed="false">
      <c r="A5025" s="154" t="n">
        <v>43485</v>
      </c>
      <c r="B5025" s="155" t="s">
        <v>1481</v>
      </c>
      <c r="C5025" s="148" t="str">
        <f aca="false">VLOOKUP($A5025,INSUMOS_AUX!$A$3:$H$813,3,0)</f>
        <v>MAT.</v>
      </c>
      <c r="D5025" s="156" t="s">
        <v>1444</v>
      </c>
      <c r="E5025" s="154" t="n">
        <v>0.3172</v>
      </c>
      <c r="F5025" s="149" t="n">
        <f aca="false">IF(C5025="MAT.",VLOOKUP(A5025,INSUMOS_AUX!$A$3:$H$813,6,0),0)</f>
        <v>1.13</v>
      </c>
      <c r="G5025" s="149" t="n">
        <f aca="false">IF(C5025="M.O.",VLOOKUP(A5025,INSUMOS_AUX!A:F,6,0),0)</f>
        <v>0</v>
      </c>
    </row>
    <row r="5026" customFormat="false" ht="21" hidden="false" customHeight="false" outlineLevel="0" collapsed="false">
      <c r="A5026" s="154" t="n">
        <v>37372</v>
      </c>
      <c r="B5026" s="155" t="s">
        <v>1446</v>
      </c>
      <c r="C5026" s="148" t="str">
        <f aca="false">VLOOKUP($A5026,INSUMOS_AUX!$A$3:$H$813,3,0)</f>
        <v>MAT.</v>
      </c>
      <c r="D5026" s="156" t="s">
        <v>1444</v>
      </c>
      <c r="E5026" s="154" t="n">
        <v>0.3172</v>
      </c>
      <c r="F5026" s="149" t="n">
        <f aca="false">IF(C5026="MAT.",VLOOKUP(A5026,INSUMOS_AUX!$A$3:$H$813,6,0),0)</f>
        <v>1.43</v>
      </c>
      <c r="G5026" s="149" t="n">
        <f aca="false">IF(C5026="M.O.",VLOOKUP(A5026,INSUMOS_AUX!A:F,6,0),0)</f>
        <v>0</v>
      </c>
    </row>
    <row r="5027" customFormat="false" ht="21" hidden="false" customHeight="false" outlineLevel="0" collapsed="false">
      <c r="A5027" s="154" t="n">
        <v>43461</v>
      </c>
      <c r="B5027" s="155" t="s">
        <v>1482</v>
      </c>
      <c r="C5027" s="148" t="str">
        <f aca="false">VLOOKUP($A5027,INSUMOS_AUX!$A$3:$H$813,3,0)</f>
        <v>MAT.</v>
      </c>
      <c r="D5027" s="156" t="s">
        <v>1444</v>
      </c>
      <c r="E5027" s="154" t="n">
        <v>0.3172</v>
      </c>
      <c r="F5027" s="149" t="n">
        <f aca="false">IF(C5027="MAT.",VLOOKUP(A5027,INSUMOS_AUX!$A$3:$H$813,6,0),0)</f>
        <v>0.31</v>
      </c>
      <c r="G5027" s="149" t="n">
        <f aca="false">IF(C5027="M.O.",VLOOKUP(A5027,INSUMOS_AUX!A:F,6,0),0)</f>
        <v>0</v>
      </c>
    </row>
    <row r="5028" customFormat="false" ht="21" hidden="false" customHeight="false" outlineLevel="0" collapsed="false">
      <c r="A5028" s="154" t="n">
        <v>37373</v>
      </c>
      <c r="B5028" s="155" t="s">
        <v>1448</v>
      </c>
      <c r="C5028" s="148" t="str">
        <f aca="false">VLOOKUP($A5028,INSUMOS_AUX!$A$3:$H$813,3,0)</f>
        <v>MAT.</v>
      </c>
      <c r="D5028" s="156" t="s">
        <v>1444</v>
      </c>
      <c r="E5028" s="154" t="n">
        <v>0.3172</v>
      </c>
      <c r="F5028" s="149" t="n">
        <f aca="false">IF(C5028="MAT.",VLOOKUP(A5028,INSUMOS_AUX!$A$3:$H$813,6,0),0)</f>
        <v>0.08</v>
      </c>
      <c r="G5028" s="149" t="n">
        <f aca="false">IF(C5028="M.O.",VLOOKUP(A5028,INSUMOS_AUX!A:F,6,0),0)</f>
        <v>0</v>
      </c>
    </row>
    <row r="5029" customFormat="false" ht="21" hidden="false" customHeight="false" outlineLevel="0" collapsed="false">
      <c r="A5029" s="154" t="n">
        <v>37371</v>
      </c>
      <c r="B5029" s="155" t="s">
        <v>1449</v>
      </c>
      <c r="C5029" s="148" t="str">
        <f aca="false">VLOOKUP($A5029,INSUMOS_AUX!$A$3:$H$813,3,0)</f>
        <v>MAT.</v>
      </c>
      <c r="D5029" s="156" t="s">
        <v>1444</v>
      </c>
      <c r="E5029" s="154" t="n">
        <v>0.3172</v>
      </c>
      <c r="F5029" s="149" t="n">
        <f aca="false">IF(C5029="MAT.",VLOOKUP(A5029,INSUMOS_AUX!$A$3:$H$813,6,0),0)</f>
        <v>0.59</v>
      </c>
      <c r="G5029" s="149" t="n">
        <f aca="false">IF(C5029="M.O.",VLOOKUP(A5029,INSUMOS_AUX!A:F,6,0),0)</f>
        <v>0</v>
      </c>
    </row>
    <row r="5030" customFormat="false" ht="15" hidden="false" customHeight="false" outlineLevel="0" collapsed="false">
      <c r="A5030" s="154" t="n">
        <v>38383</v>
      </c>
      <c r="B5030" s="155" t="s">
        <v>2093</v>
      </c>
      <c r="C5030" s="148" t="str">
        <f aca="false">VLOOKUP($A5030,INSUMOS_AUX!$A$3:$H$813,3,0)</f>
        <v>MAT.</v>
      </c>
      <c r="D5030" s="156" t="s">
        <v>31</v>
      </c>
      <c r="E5030" s="154" t="n">
        <v>0.037</v>
      </c>
      <c r="F5030" s="149" t="n">
        <f aca="false">IF(C5030="MAT.",VLOOKUP(A5030,INSUMOS_AUX!$A$3:$H$813,6,0),0)</f>
        <v>2.39</v>
      </c>
      <c r="G5030" s="149" t="n">
        <f aca="false">IF(C5030="M.O.",VLOOKUP(A5030,INSUMOS_AUX!A:F,6,0),0)</f>
        <v>0</v>
      </c>
    </row>
    <row r="5031" customFormat="false" ht="15" hidden="false" customHeight="false" outlineLevel="0" collapsed="false">
      <c r="A5031" s="154" t="n">
        <v>9868</v>
      </c>
      <c r="B5031" s="155" t="s">
        <v>2108</v>
      </c>
      <c r="C5031" s="148" t="str">
        <f aca="false">VLOOKUP($A5031,INSUMOS_AUX!$A$3:$H$813,3,0)</f>
        <v>MAT.</v>
      </c>
      <c r="D5031" s="156" t="s">
        <v>1455</v>
      </c>
      <c r="E5031" s="154" t="n">
        <v>1.0493</v>
      </c>
      <c r="F5031" s="149" t="n">
        <f aca="false">IF(C5031="MAT.",VLOOKUP(A5031,INSUMOS_AUX!$A$3:$H$813,6,0),0)</f>
        <v>4.17</v>
      </c>
      <c r="G5031" s="149" t="n">
        <f aca="false">IF(C5031="M.O.",VLOOKUP(A5031,INSUMOS_AUX!A:F,6,0),0)</f>
        <v>0</v>
      </c>
    </row>
    <row r="5032" customFormat="false" ht="15" hidden="false" customHeight="false" outlineLevel="0" collapsed="false">
      <c r="A5032" s="154" t="n">
        <v>246</v>
      </c>
      <c r="B5032" s="155" t="s">
        <v>1752</v>
      </c>
      <c r="C5032" s="148" t="str">
        <f aca="false">VLOOKUP($A5032,INSUMOS_AUX!$A$3:$H$813,3,0)</f>
        <v>M.O.</v>
      </c>
      <c r="D5032" s="156" t="s">
        <v>1444</v>
      </c>
      <c r="E5032" s="154" t="n">
        <v>0.161451628</v>
      </c>
      <c r="F5032" s="149" t="n">
        <f aca="false">IF(C5032="MAT.",VLOOKUP(A5032,INSUMOS_AUX!$A$3:$H$813,6,0),0)</f>
        <v>0</v>
      </c>
      <c r="G5032" s="149" t="n">
        <f aca="false">IF(C5032="M.O.",VLOOKUP(A5032,INSUMOS_AUX!A:F,6,0),0)</f>
        <v>13.26</v>
      </c>
    </row>
    <row r="5033" customFormat="false" ht="15" hidden="false" customHeight="false" outlineLevel="0" collapsed="false">
      <c r="A5033" s="154" t="n">
        <v>2696</v>
      </c>
      <c r="B5033" s="155" t="s">
        <v>1483</v>
      </c>
      <c r="C5033" s="148" t="str">
        <f aca="false">VLOOKUP($A5033,INSUMOS_AUX!$A$3:$H$813,3,0)</f>
        <v>M.O.</v>
      </c>
      <c r="D5033" s="156" t="s">
        <v>1444</v>
      </c>
      <c r="E5033" s="154" t="n">
        <v>0.161451628</v>
      </c>
      <c r="F5033" s="149" t="n">
        <f aca="false">IF(C5033="MAT.",VLOOKUP(A5033,INSUMOS_AUX!$A$3:$H$813,6,0),0)</f>
        <v>0</v>
      </c>
      <c r="G5033" s="149" t="n">
        <f aca="false">IF(C5033="M.O.",VLOOKUP(A5033,INSUMOS_AUX!A:F,6,0),0)</f>
        <v>20.22</v>
      </c>
    </row>
    <row r="5034" customFormat="false" ht="21" hidden="false" customHeight="false" outlineLevel="0" collapsed="false">
      <c r="A5034" s="150" t="n">
        <v>89403</v>
      </c>
      <c r="B5034" s="151" t="s">
        <v>2323</v>
      </c>
      <c r="C5034" s="152" t="s">
        <v>59</v>
      </c>
      <c r="D5034" s="152" t="s">
        <v>1455</v>
      </c>
      <c r="E5034" s="150"/>
      <c r="F5034" s="153" t="n">
        <f aca="false">(SUMPRODUCT($E5035:$E5044,F5035:F5044))*1</f>
        <v>11.602725</v>
      </c>
      <c r="G5034" s="153" t="n">
        <f aca="false">(SUMPRODUCT($E5035:$E5044,G5035:G5044))*1</f>
        <v>6.44490060264</v>
      </c>
    </row>
    <row r="5035" customFormat="false" ht="21" hidden="false" customHeight="false" outlineLevel="0" collapsed="false">
      <c r="A5035" s="154" t="n">
        <v>37370</v>
      </c>
      <c r="B5035" s="155" t="s">
        <v>1443</v>
      </c>
      <c r="C5035" s="148" t="str">
        <f aca="false">VLOOKUP($A5035,INSUMOS_AUX!$A$3:$H$813,3,0)</f>
        <v>MAT.</v>
      </c>
      <c r="D5035" s="156" t="s">
        <v>1444</v>
      </c>
      <c r="E5035" s="154" t="n">
        <v>0.3782</v>
      </c>
      <c r="F5035" s="149" t="n">
        <f aca="false">IF(C5035="MAT.",VLOOKUP(A5035,INSUMOS_AUX!$A$3:$H$813,6,0),0)</f>
        <v>3.32</v>
      </c>
      <c r="G5035" s="149" t="n">
        <f aca="false">IF(C5035="M.O.",VLOOKUP(A5035,INSUMOS_AUX!A:F,6,0),0)</f>
        <v>0</v>
      </c>
    </row>
    <row r="5036" customFormat="false" ht="21" hidden="false" customHeight="false" outlineLevel="0" collapsed="false">
      <c r="A5036" s="154" t="n">
        <v>43485</v>
      </c>
      <c r="B5036" s="155" t="s">
        <v>1481</v>
      </c>
      <c r="C5036" s="148" t="str">
        <f aca="false">VLOOKUP($A5036,INSUMOS_AUX!$A$3:$H$813,3,0)</f>
        <v>MAT.</v>
      </c>
      <c r="D5036" s="156" t="s">
        <v>1444</v>
      </c>
      <c r="E5036" s="154" t="n">
        <v>0.3782</v>
      </c>
      <c r="F5036" s="149" t="n">
        <f aca="false">IF(C5036="MAT.",VLOOKUP(A5036,INSUMOS_AUX!$A$3:$H$813,6,0),0)</f>
        <v>1.13</v>
      </c>
      <c r="G5036" s="149" t="n">
        <f aca="false">IF(C5036="M.O.",VLOOKUP(A5036,INSUMOS_AUX!A:F,6,0),0)</f>
        <v>0</v>
      </c>
    </row>
    <row r="5037" customFormat="false" ht="21" hidden="false" customHeight="false" outlineLevel="0" collapsed="false">
      <c r="A5037" s="154" t="n">
        <v>37372</v>
      </c>
      <c r="B5037" s="155" t="s">
        <v>1446</v>
      </c>
      <c r="C5037" s="148" t="s">
        <v>59</v>
      </c>
      <c r="D5037" s="156" t="s">
        <v>1444</v>
      </c>
      <c r="E5037" s="154" t="n">
        <v>0.3782</v>
      </c>
      <c r="F5037" s="149" t="n">
        <f aca="false">IF(C5037="MAT.",VLOOKUP(A5037,INSUMOS_AUX!$A$3:$H$813,6,0),0)</f>
        <v>0</v>
      </c>
      <c r="G5037" s="149" t="n">
        <f aca="false">IF(C5037="M.O.",VLOOKUP(A5037,INSUMOS_AUX!A:F,6,0),0)</f>
        <v>0</v>
      </c>
    </row>
    <row r="5038" customFormat="false" ht="21" hidden="false" customHeight="false" outlineLevel="0" collapsed="false">
      <c r="A5038" s="154" t="n">
        <v>43461</v>
      </c>
      <c r="B5038" s="155" t="s">
        <v>1482</v>
      </c>
      <c r="C5038" s="148" t="str">
        <f aca="false">VLOOKUP($A5038,INSUMOS_AUX!$A$3:$H$813,3,0)</f>
        <v>MAT.</v>
      </c>
      <c r="D5038" s="156" t="s">
        <v>1444</v>
      </c>
      <c r="E5038" s="154" t="n">
        <v>0.3782</v>
      </c>
      <c r="F5038" s="149" t="n">
        <f aca="false">IF(C5038="MAT.",VLOOKUP(A5038,INSUMOS_AUX!$A$3:$H$813,6,0),0)</f>
        <v>0.31</v>
      </c>
      <c r="G5038" s="149" t="n">
        <f aca="false">IF(C5038="M.O.",VLOOKUP(A5038,INSUMOS_AUX!A:F,6,0),0)</f>
        <v>0</v>
      </c>
    </row>
    <row r="5039" customFormat="false" ht="21" hidden="false" customHeight="false" outlineLevel="0" collapsed="false">
      <c r="A5039" s="154" t="n">
        <v>37373</v>
      </c>
      <c r="B5039" s="155" t="s">
        <v>1448</v>
      </c>
      <c r="C5039" s="148" t="str">
        <f aca="false">VLOOKUP($A5039,INSUMOS_AUX!$A$3:$H$813,3,0)</f>
        <v>MAT.</v>
      </c>
      <c r="D5039" s="156" t="s">
        <v>1444</v>
      </c>
      <c r="E5039" s="154" t="n">
        <v>0.3782</v>
      </c>
      <c r="F5039" s="149" t="n">
        <f aca="false">IF(C5039="MAT.",VLOOKUP(A5039,INSUMOS_AUX!$A$3:$H$813,6,0),0)</f>
        <v>0.08</v>
      </c>
      <c r="G5039" s="149" t="n">
        <f aca="false">IF(C5039="M.O.",VLOOKUP(A5039,INSUMOS_AUX!A:F,6,0),0)</f>
        <v>0</v>
      </c>
    </row>
    <row r="5040" customFormat="false" ht="21" hidden="false" customHeight="false" outlineLevel="0" collapsed="false">
      <c r="A5040" s="154" t="n">
        <v>37371</v>
      </c>
      <c r="B5040" s="155" t="s">
        <v>1449</v>
      </c>
      <c r="C5040" s="148" t="str">
        <f aca="false">VLOOKUP($A5040,INSUMOS_AUX!$A$3:$H$813,3,0)</f>
        <v>MAT.</v>
      </c>
      <c r="D5040" s="156" t="s">
        <v>1444</v>
      </c>
      <c r="E5040" s="154" t="n">
        <v>0.3782</v>
      </c>
      <c r="F5040" s="149" t="n">
        <f aca="false">IF(C5040="MAT.",VLOOKUP(A5040,INSUMOS_AUX!$A$3:$H$813,6,0),0)</f>
        <v>0.59</v>
      </c>
      <c r="G5040" s="149" t="n">
        <f aca="false">IF(C5040="M.O.",VLOOKUP(A5040,INSUMOS_AUX!A:F,6,0),0)</f>
        <v>0</v>
      </c>
    </row>
    <row r="5041" customFormat="false" ht="15" hidden="false" customHeight="false" outlineLevel="0" collapsed="false">
      <c r="A5041" s="154" t="n">
        <v>38383</v>
      </c>
      <c r="B5041" s="155" t="s">
        <v>2093</v>
      </c>
      <c r="C5041" s="148" t="str">
        <f aca="false">VLOOKUP($A5041,INSUMOS_AUX!$A$3:$H$813,3,0)</f>
        <v>MAT.</v>
      </c>
      <c r="D5041" s="156" t="s">
        <v>31</v>
      </c>
      <c r="E5041" s="154" t="n">
        <v>0.0441</v>
      </c>
      <c r="F5041" s="149" t="n">
        <f aca="false">IF(C5041="MAT.",VLOOKUP(A5041,INSUMOS_AUX!$A$3:$H$813,6,0),0)</f>
        <v>2.39</v>
      </c>
      <c r="G5041" s="149" t="n">
        <f aca="false">IF(C5041="M.O.",VLOOKUP(A5041,INSUMOS_AUX!A:F,6,0),0)</f>
        <v>0</v>
      </c>
    </row>
    <row r="5042" customFormat="false" ht="15" hidden="false" customHeight="false" outlineLevel="0" collapsed="false">
      <c r="A5042" s="154" t="n">
        <v>9869</v>
      </c>
      <c r="B5042" s="155" t="s">
        <v>2324</v>
      </c>
      <c r="C5042" s="148" t="str">
        <f aca="false">VLOOKUP($A5042,INSUMOS_AUX!$A$3:$H$813,3,0)</f>
        <v>MAT.</v>
      </c>
      <c r="D5042" s="156" t="s">
        <v>1455</v>
      </c>
      <c r="E5042" s="154" t="n">
        <v>1.0493</v>
      </c>
      <c r="F5042" s="149" t="n">
        <f aca="false">IF(C5042="MAT.",VLOOKUP(A5042,INSUMOS_AUX!$A$3:$H$813,6,0),0)</f>
        <v>9</v>
      </c>
      <c r="G5042" s="149" t="n">
        <f aca="false">IF(C5042="M.O.",VLOOKUP(A5042,INSUMOS_AUX!A:F,6,0),0)</f>
        <v>0</v>
      </c>
    </row>
    <row r="5043" customFormat="false" ht="15" hidden="false" customHeight="false" outlineLevel="0" collapsed="false">
      <c r="A5043" s="154" t="n">
        <v>246</v>
      </c>
      <c r="B5043" s="155" t="s">
        <v>1752</v>
      </c>
      <c r="C5043" s="148" t="str">
        <f aca="false">VLOOKUP($A5043,INSUMOS_AUX!$A$3:$H$813,3,0)</f>
        <v>M.O.</v>
      </c>
      <c r="D5043" s="156" t="s">
        <v>1444</v>
      </c>
      <c r="E5043" s="154" t="n">
        <v>0.192500018</v>
      </c>
      <c r="F5043" s="149" t="n">
        <f aca="false">IF(C5043="MAT.",VLOOKUP(A5043,INSUMOS_AUX!$A$3:$H$813,6,0),0)</f>
        <v>0</v>
      </c>
      <c r="G5043" s="149" t="n">
        <f aca="false">IF(C5043="M.O.",VLOOKUP(A5043,INSUMOS_AUX!A:F,6,0),0)</f>
        <v>13.26</v>
      </c>
    </row>
    <row r="5044" customFormat="false" ht="15" hidden="false" customHeight="false" outlineLevel="0" collapsed="false">
      <c r="A5044" s="154" t="n">
        <v>2696</v>
      </c>
      <c r="B5044" s="155" t="s">
        <v>1483</v>
      </c>
      <c r="C5044" s="148" t="str">
        <f aca="false">VLOOKUP($A5044,INSUMOS_AUX!$A$3:$H$813,3,0)</f>
        <v>M.O.</v>
      </c>
      <c r="D5044" s="156" t="s">
        <v>1444</v>
      </c>
      <c r="E5044" s="154" t="n">
        <v>0.192500018</v>
      </c>
      <c r="F5044" s="149" t="n">
        <f aca="false">IF(C5044="MAT.",VLOOKUP(A5044,INSUMOS_AUX!$A$3:$H$813,6,0),0)</f>
        <v>0</v>
      </c>
      <c r="G5044" s="149" t="n">
        <f aca="false">IF(C5044="M.O.",VLOOKUP(A5044,INSUMOS_AUX!A:F,6,0),0)</f>
        <v>20.22</v>
      </c>
    </row>
    <row r="5045" customFormat="false" ht="21" hidden="false" customHeight="false" outlineLevel="0" collapsed="false">
      <c r="A5045" s="150" t="n">
        <v>89448</v>
      </c>
      <c r="B5045" s="151" t="s">
        <v>2325</v>
      </c>
      <c r="C5045" s="152" t="s">
        <v>59</v>
      </c>
      <c r="D5045" s="152" t="s">
        <v>1455</v>
      </c>
      <c r="E5045" s="150"/>
      <c r="F5045" s="153" t="n">
        <f aca="false">(SUMPRODUCT($E5046:$E5055,F5046:F5055))*1</f>
        <v>15.224775</v>
      </c>
      <c r="G5045" s="153" t="n">
        <f aca="false">(SUMPRODUCT($E5046:$E5055,G5046:G5055))*1</f>
        <v>0.96111156528</v>
      </c>
    </row>
    <row r="5046" customFormat="false" ht="21" hidden="false" customHeight="false" outlineLevel="0" collapsed="false">
      <c r="A5046" s="154" t="n">
        <v>37370</v>
      </c>
      <c r="B5046" s="155" t="s">
        <v>1443</v>
      </c>
      <c r="C5046" s="148" t="str">
        <f aca="false">VLOOKUP($A5046,INSUMOS_AUX!$A$3:$H$813,3,0)</f>
        <v>MAT.</v>
      </c>
      <c r="D5046" s="156" t="s">
        <v>1444</v>
      </c>
      <c r="E5046" s="154" t="n">
        <v>0.0564</v>
      </c>
      <c r="F5046" s="149" t="n">
        <f aca="false">IF(C5046="MAT.",VLOOKUP(A5046,INSUMOS_AUX!$A$3:$H$813,6,0),0)</f>
        <v>3.32</v>
      </c>
      <c r="G5046" s="149" t="n">
        <f aca="false">IF(C5046="M.O.",VLOOKUP(A5046,INSUMOS_AUX!A:F,6,0),0)</f>
        <v>0</v>
      </c>
    </row>
    <row r="5047" customFormat="false" ht="21" hidden="false" customHeight="false" outlineLevel="0" collapsed="false">
      <c r="A5047" s="154" t="n">
        <v>43485</v>
      </c>
      <c r="B5047" s="155" t="s">
        <v>1481</v>
      </c>
      <c r="C5047" s="148" t="str">
        <f aca="false">VLOOKUP($A5047,INSUMOS_AUX!$A$3:$H$813,3,0)</f>
        <v>MAT.</v>
      </c>
      <c r="D5047" s="156" t="s">
        <v>1444</v>
      </c>
      <c r="E5047" s="154" t="n">
        <v>0.0564</v>
      </c>
      <c r="F5047" s="149" t="n">
        <f aca="false">IF(C5047="MAT.",VLOOKUP(A5047,INSUMOS_AUX!$A$3:$H$813,6,0),0)</f>
        <v>1.13</v>
      </c>
      <c r="G5047" s="149" t="n">
        <f aca="false">IF(C5047="M.O.",VLOOKUP(A5047,INSUMOS_AUX!A:F,6,0),0)</f>
        <v>0</v>
      </c>
    </row>
    <row r="5048" customFormat="false" ht="21" hidden="false" customHeight="false" outlineLevel="0" collapsed="false">
      <c r="A5048" s="154" t="n">
        <v>37372</v>
      </c>
      <c r="B5048" s="155" t="s">
        <v>1446</v>
      </c>
      <c r="C5048" s="148" t="str">
        <f aca="false">VLOOKUP($A5048,INSUMOS_AUX!$A$3:$H$813,3,0)</f>
        <v>MAT.</v>
      </c>
      <c r="D5048" s="156" t="s">
        <v>1444</v>
      </c>
      <c r="E5048" s="154" t="n">
        <v>0.0564</v>
      </c>
      <c r="F5048" s="149" t="n">
        <f aca="false">IF(C5048="MAT.",VLOOKUP(A5048,INSUMOS_AUX!$A$3:$H$813,6,0),0)</f>
        <v>1.43</v>
      </c>
      <c r="G5048" s="149" t="n">
        <f aca="false">IF(C5048="M.O.",VLOOKUP(A5048,INSUMOS_AUX!A:F,6,0),0)</f>
        <v>0</v>
      </c>
    </row>
    <row r="5049" customFormat="false" ht="21" hidden="false" customHeight="false" outlineLevel="0" collapsed="false">
      <c r="A5049" s="154" t="n">
        <v>43461</v>
      </c>
      <c r="B5049" s="155" t="s">
        <v>1482</v>
      </c>
      <c r="C5049" s="148" t="str">
        <f aca="false">VLOOKUP($A5049,INSUMOS_AUX!$A$3:$H$813,3,0)</f>
        <v>MAT.</v>
      </c>
      <c r="D5049" s="156" t="s">
        <v>1444</v>
      </c>
      <c r="E5049" s="154" t="n">
        <v>0.0564</v>
      </c>
      <c r="F5049" s="149" t="n">
        <f aca="false">IF(C5049="MAT.",VLOOKUP(A5049,INSUMOS_AUX!$A$3:$H$813,6,0),0)</f>
        <v>0.31</v>
      </c>
      <c r="G5049" s="149" t="n">
        <f aca="false">IF(C5049="M.O.",VLOOKUP(A5049,INSUMOS_AUX!A:F,6,0),0)</f>
        <v>0</v>
      </c>
    </row>
    <row r="5050" customFormat="false" ht="21" hidden="false" customHeight="false" outlineLevel="0" collapsed="false">
      <c r="A5050" s="154" t="n">
        <v>37373</v>
      </c>
      <c r="B5050" s="155" t="s">
        <v>1448</v>
      </c>
      <c r="C5050" s="148" t="s">
        <v>59</v>
      </c>
      <c r="D5050" s="156" t="s">
        <v>1444</v>
      </c>
      <c r="E5050" s="154" t="n">
        <v>0.0564</v>
      </c>
      <c r="F5050" s="149" t="n">
        <f aca="false">IF(C5050="MAT.",VLOOKUP(A5050,INSUMOS_AUX!$A$3:$H$813,6,0),0)</f>
        <v>0</v>
      </c>
      <c r="G5050" s="149" t="n">
        <f aca="false">IF(C5050="M.O.",VLOOKUP(A5050,INSUMOS_AUX!A:F,6,0),0)</f>
        <v>0</v>
      </c>
    </row>
    <row r="5051" customFormat="false" ht="21" hidden="false" customHeight="false" outlineLevel="0" collapsed="false">
      <c r="A5051" s="154" t="n">
        <v>37371</v>
      </c>
      <c r="B5051" s="155" t="s">
        <v>1449</v>
      </c>
      <c r="C5051" s="148" t="str">
        <f aca="false">VLOOKUP($A5051,INSUMOS_AUX!$A$3:$H$813,3,0)</f>
        <v>MAT.</v>
      </c>
      <c r="D5051" s="156" t="s">
        <v>1444</v>
      </c>
      <c r="E5051" s="154" t="n">
        <v>0.0564</v>
      </c>
      <c r="F5051" s="149" t="n">
        <f aca="false">IF(C5051="MAT.",VLOOKUP(A5051,INSUMOS_AUX!$A$3:$H$813,6,0),0)</f>
        <v>0.59</v>
      </c>
      <c r="G5051" s="149" t="n">
        <f aca="false">IF(C5051="M.O.",VLOOKUP(A5051,INSUMOS_AUX!A:F,6,0),0)</f>
        <v>0</v>
      </c>
    </row>
    <row r="5052" customFormat="false" ht="15" hidden="false" customHeight="false" outlineLevel="0" collapsed="false">
      <c r="A5052" s="154" t="n">
        <v>38383</v>
      </c>
      <c r="B5052" s="155" t="s">
        <v>2093</v>
      </c>
      <c r="C5052" s="148" t="str">
        <f aca="false">VLOOKUP($A5052,INSUMOS_AUX!$A$3:$H$813,3,0)</f>
        <v>MAT.</v>
      </c>
      <c r="D5052" s="156" t="s">
        <v>31</v>
      </c>
      <c r="E5052" s="154" t="n">
        <v>0.0066</v>
      </c>
      <c r="F5052" s="149" t="n">
        <f aca="false">IF(C5052="MAT.",VLOOKUP(A5052,INSUMOS_AUX!$A$3:$H$813,6,0),0)</f>
        <v>2.39</v>
      </c>
      <c r="G5052" s="149" t="n">
        <f aca="false">IF(C5052="M.O.",VLOOKUP(A5052,INSUMOS_AUX!A:F,6,0),0)</f>
        <v>0</v>
      </c>
    </row>
    <row r="5053" customFormat="false" ht="15" hidden="false" customHeight="false" outlineLevel="0" collapsed="false">
      <c r="A5053" s="154" t="n">
        <v>9874</v>
      </c>
      <c r="B5053" s="155" t="s">
        <v>2326</v>
      </c>
      <c r="C5053" s="148" t="str">
        <f aca="false">VLOOKUP($A5053,INSUMOS_AUX!$A$3:$H$813,3,0)</f>
        <v>MAT.</v>
      </c>
      <c r="D5053" s="156" t="s">
        <v>1455</v>
      </c>
      <c r="E5053" s="154" t="n">
        <v>1.0493</v>
      </c>
      <c r="F5053" s="149" t="n">
        <f aca="false">IF(C5053="MAT.",VLOOKUP(A5053,INSUMOS_AUX!$A$3:$H$813,6,0),0)</f>
        <v>14.13</v>
      </c>
      <c r="G5053" s="149" t="n">
        <f aca="false">IF(C5053="M.O.",VLOOKUP(A5053,INSUMOS_AUX!A:F,6,0),0)</f>
        <v>0</v>
      </c>
    </row>
    <row r="5054" customFormat="false" ht="15" hidden="false" customHeight="false" outlineLevel="0" collapsed="false">
      <c r="A5054" s="154" t="n">
        <v>246</v>
      </c>
      <c r="B5054" s="155" t="s">
        <v>1752</v>
      </c>
      <c r="C5054" s="148" t="str">
        <f aca="false">VLOOKUP($A5054,INSUMOS_AUX!$A$3:$H$813,3,0)</f>
        <v>M.O.</v>
      </c>
      <c r="D5054" s="156" t="s">
        <v>1444</v>
      </c>
      <c r="E5054" s="154" t="n">
        <v>0.028707036</v>
      </c>
      <c r="F5054" s="149" t="n">
        <f aca="false">IF(C5054="MAT.",VLOOKUP(A5054,INSUMOS_AUX!$A$3:$H$813,6,0),0)</f>
        <v>0</v>
      </c>
      <c r="G5054" s="149" t="n">
        <f aca="false">IF(C5054="M.O.",VLOOKUP(A5054,INSUMOS_AUX!A:F,6,0),0)</f>
        <v>13.26</v>
      </c>
    </row>
    <row r="5055" customFormat="false" ht="15" hidden="false" customHeight="false" outlineLevel="0" collapsed="false">
      <c r="A5055" s="154" t="n">
        <v>2696</v>
      </c>
      <c r="B5055" s="155" t="s">
        <v>1483</v>
      </c>
      <c r="C5055" s="148" t="str">
        <f aca="false">VLOOKUP($A5055,INSUMOS_AUX!$A$3:$H$813,3,0)</f>
        <v>M.O.</v>
      </c>
      <c r="D5055" s="156" t="s">
        <v>1444</v>
      </c>
      <c r="E5055" s="154" t="n">
        <v>0.028707036</v>
      </c>
      <c r="F5055" s="149" t="n">
        <f aca="false">IF(C5055="MAT.",VLOOKUP(A5055,INSUMOS_AUX!$A$3:$H$813,6,0),0)</f>
        <v>0</v>
      </c>
      <c r="G5055" s="149" t="n">
        <f aca="false">IF(C5055="M.O.",VLOOKUP(A5055,INSUMOS_AUX!A:F,6,0),0)</f>
        <v>20.22</v>
      </c>
    </row>
    <row r="5056" customFormat="false" ht="21" hidden="false" customHeight="false" outlineLevel="0" collapsed="false">
      <c r="A5056" s="150" t="n">
        <v>103979</v>
      </c>
      <c r="B5056" s="151" t="s">
        <v>2327</v>
      </c>
      <c r="C5056" s="152" t="s">
        <v>59</v>
      </c>
      <c r="D5056" s="152" t="s">
        <v>1455</v>
      </c>
      <c r="E5056" s="150"/>
      <c r="F5056" s="153" t="n">
        <f aca="false">(SUMPRODUCT($E5057:$E5066,F5057:F5066))*1</f>
        <v>19.936994</v>
      </c>
      <c r="G5056" s="153" t="n">
        <f aca="false">(SUMPRODUCT($E5057:$E5066,G5057:G5066))*1</f>
        <v>9.12374347608</v>
      </c>
    </row>
    <row r="5057" customFormat="false" ht="21" hidden="false" customHeight="false" outlineLevel="0" collapsed="false">
      <c r="A5057" s="154" t="n">
        <v>37370</v>
      </c>
      <c r="B5057" s="155" t="s">
        <v>1443</v>
      </c>
      <c r="C5057" s="148" t="str">
        <f aca="false">VLOOKUP($A5057,INSUMOS_AUX!$A$3:$H$813,3,0)</f>
        <v>MAT.</v>
      </c>
      <c r="D5057" s="156" t="s">
        <v>1444</v>
      </c>
      <c r="E5057" s="154" t="n">
        <v>0.5354</v>
      </c>
      <c r="F5057" s="149" t="n">
        <f aca="false">IF(C5057="MAT.",VLOOKUP(A5057,INSUMOS_AUX!$A$3:$H$813,6,0),0)</f>
        <v>3.32</v>
      </c>
      <c r="G5057" s="149" t="n">
        <f aca="false">IF(C5057="M.O.",VLOOKUP(A5057,INSUMOS_AUX!A:F,6,0),0)</f>
        <v>0</v>
      </c>
    </row>
    <row r="5058" customFormat="false" ht="21" hidden="false" customHeight="false" outlineLevel="0" collapsed="false">
      <c r="A5058" s="154" t="n">
        <v>43485</v>
      </c>
      <c r="B5058" s="155" t="s">
        <v>1481</v>
      </c>
      <c r="C5058" s="148" t="str">
        <f aca="false">VLOOKUP($A5058,INSUMOS_AUX!$A$3:$H$813,3,0)</f>
        <v>MAT.</v>
      </c>
      <c r="D5058" s="156" t="s">
        <v>1444</v>
      </c>
      <c r="E5058" s="154" t="n">
        <v>0.5354</v>
      </c>
      <c r="F5058" s="149" t="n">
        <f aca="false">IF(C5058="MAT.",VLOOKUP(A5058,INSUMOS_AUX!$A$3:$H$813,6,0),0)</f>
        <v>1.13</v>
      </c>
      <c r="G5058" s="149" t="n">
        <f aca="false">IF(C5058="M.O.",VLOOKUP(A5058,INSUMOS_AUX!A:F,6,0),0)</f>
        <v>0</v>
      </c>
    </row>
    <row r="5059" customFormat="false" ht="21" hidden="false" customHeight="false" outlineLevel="0" collapsed="false">
      <c r="A5059" s="154" t="n">
        <v>37372</v>
      </c>
      <c r="B5059" s="155" t="s">
        <v>1446</v>
      </c>
      <c r="C5059" s="148" t="str">
        <f aca="false">VLOOKUP($A5059,INSUMOS_AUX!$A$3:$H$813,3,0)</f>
        <v>MAT.</v>
      </c>
      <c r="D5059" s="156" t="s">
        <v>1444</v>
      </c>
      <c r="E5059" s="154" t="n">
        <v>0.5354</v>
      </c>
      <c r="F5059" s="149" t="n">
        <f aca="false">IF(C5059="MAT.",VLOOKUP(A5059,INSUMOS_AUX!$A$3:$H$813,6,0),0)</f>
        <v>1.43</v>
      </c>
      <c r="G5059" s="149" t="n">
        <f aca="false">IF(C5059="M.O.",VLOOKUP(A5059,INSUMOS_AUX!A:F,6,0),0)</f>
        <v>0</v>
      </c>
    </row>
    <row r="5060" customFormat="false" ht="21" hidden="false" customHeight="false" outlineLevel="0" collapsed="false">
      <c r="A5060" s="154" t="n">
        <v>43461</v>
      </c>
      <c r="B5060" s="155" t="s">
        <v>1482</v>
      </c>
      <c r="C5060" s="148" t="str">
        <f aca="false">VLOOKUP($A5060,INSUMOS_AUX!$A$3:$H$813,3,0)</f>
        <v>MAT.</v>
      </c>
      <c r="D5060" s="156" t="s">
        <v>1444</v>
      </c>
      <c r="E5060" s="154" t="n">
        <v>0.5354</v>
      </c>
      <c r="F5060" s="149" t="n">
        <f aca="false">IF(C5060="MAT.",VLOOKUP(A5060,INSUMOS_AUX!$A$3:$H$813,6,0),0)</f>
        <v>0.31</v>
      </c>
      <c r="G5060" s="149" t="n">
        <f aca="false">IF(C5060="M.O.",VLOOKUP(A5060,INSUMOS_AUX!A:F,6,0),0)</f>
        <v>0</v>
      </c>
    </row>
    <row r="5061" customFormat="false" ht="21" hidden="false" customHeight="false" outlineLevel="0" collapsed="false">
      <c r="A5061" s="154" t="n">
        <v>37373</v>
      </c>
      <c r="B5061" s="155" t="s">
        <v>1448</v>
      </c>
      <c r="C5061" s="148" t="str">
        <f aca="false">VLOOKUP($A5061,INSUMOS_AUX!$A$3:$H$813,3,0)</f>
        <v>MAT.</v>
      </c>
      <c r="D5061" s="156" t="s">
        <v>1444</v>
      </c>
      <c r="E5061" s="154" t="n">
        <v>0.5354</v>
      </c>
      <c r="F5061" s="149" t="n">
        <f aca="false">IF(C5061="MAT.",VLOOKUP(A5061,INSUMOS_AUX!$A$3:$H$813,6,0),0)</f>
        <v>0.08</v>
      </c>
      <c r="G5061" s="149" t="n">
        <f aca="false">IF(C5061="M.O.",VLOOKUP(A5061,INSUMOS_AUX!A:F,6,0),0)</f>
        <v>0</v>
      </c>
    </row>
    <row r="5062" customFormat="false" ht="21" hidden="false" customHeight="false" outlineLevel="0" collapsed="false">
      <c r="A5062" s="154" t="n">
        <v>37371</v>
      </c>
      <c r="B5062" s="155" t="s">
        <v>1449</v>
      </c>
      <c r="C5062" s="148" t="str">
        <f aca="false">VLOOKUP($A5062,INSUMOS_AUX!$A$3:$H$813,3,0)</f>
        <v>MAT.</v>
      </c>
      <c r="D5062" s="156" t="s">
        <v>1444</v>
      </c>
      <c r="E5062" s="154" t="n">
        <v>0.5354</v>
      </c>
      <c r="F5062" s="149" t="n">
        <f aca="false">IF(C5062="MAT.",VLOOKUP(A5062,INSUMOS_AUX!$A$3:$H$813,6,0),0)</f>
        <v>0.59</v>
      </c>
      <c r="G5062" s="149" t="n">
        <f aca="false">IF(C5062="M.O.",VLOOKUP(A5062,INSUMOS_AUX!A:F,6,0),0)</f>
        <v>0</v>
      </c>
    </row>
    <row r="5063" customFormat="false" ht="15" hidden="false" customHeight="false" outlineLevel="0" collapsed="false">
      <c r="A5063" s="154" t="n">
        <v>38383</v>
      </c>
      <c r="B5063" s="155" t="s">
        <v>2093</v>
      </c>
      <c r="C5063" s="148" t="s">
        <v>59</v>
      </c>
      <c r="D5063" s="156" t="s">
        <v>31</v>
      </c>
      <c r="E5063" s="154" t="n">
        <v>0.0312</v>
      </c>
      <c r="F5063" s="149" t="n">
        <f aca="false">IF(C5063="MAT.",VLOOKUP(A5063,INSUMOS_AUX!$A$3:$H$813,6,0),0)</f>
        <v>0</v>
      </c>
      <c r="G5063" s="149" t="n">
        <f aca="false">IF(C5063="M.O.",VLOOKUP(A5063,INSUMOS_AUX!A:F,6,0),0)</f>
        <v>0</v>
      </c>
    </row>
    <row r="5064" customFormat="false" ht="15" hidden="false" customHeight="false" outlineLevel="0" collapsed="false">
      <c r="A5064" s="154" t="n">
        <v>9875</v>
      </c>
      <c r="B5064" s="155" t="s">
        <v>2328</v>
      </c>
      <c r="C5064" s="148" t="str">
        <f aca="false">VLOOKUP($A5064,INSUMOS_AUX!$A$3:$H$813,3,0)</f>
        <v>MAT.</v>
      </c>
      <c r="D5064" s="156" t="s">
        <v>1455</v>
      </c>
      <c r="E5064" s="154" t="n">
        <v>1.0493</v>
      </c>
      <c r="F5064" s="149" t="n">
        <f aca="false">IF(C5064="MAT.",VLOOKUP(A5064,INSUMOS_AUX!$A$3:$H$813,6,0),0)</f>
        <v>15.5</v>
      </c>
      <c r="G5064" s="149" t="n">
        <f aca="false">IF(C5064="M.O.",VLOOKUP(A5064,INSUMOS_AUX!A:F,6,0),0)</f>
        <v>0</v>
      </c>
    </row>
    <row r="5065" customFormat="false" ht="15" hidden="false" customHeight="false" outlineLevel="0" collapsed="false">
      <c r="A5065" s="154" t="n">
        <v>246</v>
      </c>
      <c r="B5065" s="155" t="s">
        <v>1752</v>
      </c>
      <c r="C5065" s="148" t="str">
        <f aca="false">VLOOKUP($A5065,INSUMOS_AUX!$A$3:$H$813,3,0)</f>
        <v>M.O.</v>
      </c>
      <c r="D5065" s="156" t="s">
        <v>1444</v>
      </c>
      <c r="E5065" s="154" t="n">
        <v>0.272513246</v>
      </c>
      <c r="F5065" s="149" t="n">
        <f aca="false">IF(C5065="MAT.",VLOOKUP(A5065,INSUMOS_AUX!$A$3:$H$813,6,0),0)</f>
        <v>0</v>
      </c>
      <c r="G5065" s="149" t="n">
        <f aca="false">IF(C5065="M.O.",VLOOKUP(A5065,INSUMOS_AUX!A:F,6,0),0)</f>
        <v>13.26</v>
      </c>
    </row>
    <row r="5066" customFormat="false" ht="15" hidden="false" customHeight="false" outlineLevel="0" collapsed="false">
      <c r="A5066" s="154" t="n">
        <v>2696</v>
      </c>
      <c r="B5066" s="155" t="s">
        <v>1483</v>
      </c>
      <c r="C5066" s="148" t="str">
        <f aca="false">VLOOKUP($A5066,INSUMOS_AUX!$A$3:$H$813,3,0)</f>
        <v>M.O.</v>
      </c>
      <c r="D5066" s="156" t="s">
        <v>1444</v>
      </c>
      <c r="E5066" s="154" t="n">
        <v>0.272513246</v>
      </c>
      <c r="F5066" s="149" t="n">
        <f aca="false">IF(C5066="MAT.",VLOOKUP(A5066,INSUMOS_AUX!$A$3:$H$813,6,0),0)</f>
        <v>0</v>
      </c>
      <c r="G5066" s="149" t="n">
        <f aca="false">IF(C5066="M.O.",VLOOKUP(A5066,INSUMOS_AUX!A:F,6,0),0)</f>
        <v>20.22</v>
      </c>
    </row>
    <row r="5067" customFormat="false" ht="21" hidden="false" customHeight="false" outlineLevel="0" collapsed="false">
      <c r="A5067" s="150" t="n">
        <v>89451</v>
      </c>
      <c r="B5067" s="151" t="s">
        <v>2329</v>
      </c>
      <c r="C5067" s="152" t="s">
        <v>59</v>
      </c>
      <c r="D5067" s="152" t="s">
        <v>1455</v>
      </c>
      <c r="E5067" s="150"/>
      <c r="F5067" s="153" t="n">
        <f aca="false">(SUMPRODUCT($E5068:$E5077,F5068:F5077))*1</f>
        <v>45.038178</v>
      </c>
      <c r="G5067" s="153" t="n">
        <f aca="false">(SUMPRODUCT($E5068:$E5077,G5068:G5077))*1</f>
        <v>1.01682764664</v>
      </c>
    </row>
    <row r="5068" customFormat="false" ht="21" hidden="false" customHeight="false" outlineLevel="0" collapsed="false">
      <c r="A5068" s="154" t="n">
        <v>37370</v>
      </c>
      <c r="B5068" s="155" t="s">
        <v>1443</v>
      </c>
      <c r="C5068" s="148" t="str">
        <f aca="false">VLOOKUP($A5068,INSUMOS_AUX!$A$3:$H$813,3,0)</f>
        <v>MAT.</v>
      </c>
      <c r="D5068" s="156" t="s">
        <v>1444</v>
      </c>
      <c r="E5068" s="154" t="n">
        <v>0.0988</v>
      </c>
      <c r="F5068" s="149" t="n">
        <f aca="false">IF(C5068="MAT.",VLOOKUP(A5068,INSUMOS_AUX!$A$3:$H$813,6,0),0)</f>
        <v>3.32</v>
      </c>
      <c r="G5068" s="149" t="n">
        <f aca="false">IF(C5068="M.O.",VLOOKUP(A5068,INSUMOS_AUX!A:F,6,0),0)</f>
        <v>0</v>
      </c>
    </row>
    <row r="5069" customFormat="false" ht="21" hidden="false" customHeight="false" outlineLevel="0" collapsed="false">
      <c r="A5069" s="154" t="n">
        <v>43485</v>
      </c>
      <c r="B5069" s="155" t="s">
        <v>1481</v>
      </c>
      <c r="C5069" s="148" t="str">
        <f aca="false">VLOOKUP($A5069,INSUMOS_AUX!$A$3:$H$813,3,0)</f>
        <v>MAT.</v>
      </c>
      <c r="D5069" s="156" t="s">
        <v>1444</v>
      </c>
      <c r="E5069" s="154" t="n">
        <v>0.0988</v>
      </c>
      <c r="F5069" s="149" t="n">
        <f aca="false">IF(C5069="MAT.",VLOOKUP(A5069,INSUMOS_AUX!$A$3:$H$813,6,0),0)</f>
        <v>1.13</v>
      </c>
      <c r="G5069" s="149" t="n">
        <f aca="false">IF(C5069="M.O.",VLOOKUP(A5069,INSUMOS_AUX!A:F,6,0),0)</f>
        <v>0</v>
      </c>
    </row>
    <row r="5070" customFormat="false" ht="21" hidden="false" customHeight="false" outlineLevel="0" collapsed="false">
      <c r="A5070" s="154" t="n">
        <v>37372</v>
      </c>
      <c r="B5070" s="155" t="s">
        <v>1446</v>
      </c>
      <c r="C5070" s="148" t="str">
        <f aca="false">VLOOKUP($A5070,INSUMOS_AUX!$A$3:$H$813,3,0)</f>
        <v>MAT.</v>
      </c>
      <c r="D5070" s="156" t="s">
        <v>1444</v>
      </c>
      <c r="E5070" s="154" t="n">
        <v>0.0988</v>
      </c>
      <c r="F5070" s="149" t="n">
        <f aca="false">IF(C5070="MAT.",VLOOKUP(A5070,INSUMOS_AUX!$A$3:$H$813,6,0),0)</f>
        <v>1.43</v>
      </c>
      <c r="G5070" s="149" t="n">
        <f aca="false">IF(C5070="M.O.",VLOOKUP(A5070,INSUMOS_AUX!A:F,6,0),0)</f>
        <v>0</v>
      </c>
    </row>
    <row r="5071" customFormat="false" ht="21" hidden="false" customHeight="false" outlineLevel="0" collapsed="false">
      <c r="A5071" s="154" t="n">
        <v>43461</v>
      </c>
      <c r="B5071" s="155" t="s">
        <v>1482</v>
      </c>
      <c r="C5071" s="148" t="str">
        <f aca="false">VLOOKUP($A5071,INSUMOS_AUX!$A$3:$H$813,3,0)</f>
        <v>MAT.</v>
      </c>
      <c r="D5071" s="156" t="s">
        <v>1444</v>
      </c>
      <c r="E5071" s="154" t="n">
        <v>0.0988</v>
      </c>
      <c r="F5071" s="149" t="n">
        <f aca="false">IF(C5071="MAT.",VLOOKUP(A5071,INSUMOS_AUX!$A$3:$H$813,6,0),0)</f>
        <v>0.31</v>
      </c>
      <c r="G5071" s="149" t="n">
        <f aca="false">IF(C5071="M.O.",VLOOKUP(A5071,INSUMOS_AUX!A:F,6,0),0)</f>
        <v>0</v>
      </c>
    </row>
    <row r="5072" customFormat="false" ht="21" hidden="false" customHeight="false" outlineLevel="0" collapsed="false">
      <c r="A5072" s="154" t="n">
        <v>37373</v>
      </c>
      <c r="B5072" s="155" t="s">
        <v>1448</v>
      </c>
      <c r="C5072" s="148" t="str">
        <f aca="false">VLOOKUP($A5072,INSUMOS_AUX!$A$3:$H$813,3,0)</f>
        <v>MAT.</v>
      </c>
      <c r="D5072" s="156" t="s">
        <v>1444</v>
      </c>
      <c r="E5072" s="154" t="n">
        <v>0.0988</v>
      </c>
      <c r="F5072" s="149" t="n">
        <f aca="false">IF(C5072="MAT.",VLOOKUP(A5072,INSUMOS_AUX!$A$3:$H$813,6,0),0)</f>
        <v>0.08</v>
      </c>
      <c r="G5072" s="149" t="n">
        <f aca="false">IF(C5072="M.O.",VLOOKUP(A5072,INSUMOS_AUX!A:F,6,0),0)</f>
        <v>0</v>
      </c>
    </row>
    <row r="5073" customFormat="false" ht="21" hidden="false" customHeight="false" outlineLevel="0" collapsed="false">
      <c r="A5073" s="154" t="n">
        <v>37371</v>
      </c>
      <c r="B5073" s="155" t="s">
        <v>1449</v>
      </c>
      <c r="C5073" s="148" t="str">
        <f aca="false">VLOOKUP($A5073,INSUMOS_AUX!$A$3:$H$813,3,0)</f>
        <v>MAT.</v>
      </c>
      <c r="D5073" s="156" t="s">
        <v>1444</v>
      </c>
      <c r="E5073" s="154" t="n">
        <v>0.0988</v>
      </c>
      <c r="F5073" s="149" t="n">
        <f aca="false">IF(C5073="MAT.",VLOOKUP(A5073,INSUMOS_AUX!$A$3:$H$813,6,0),0)</f>
        <v>0.59</v>
      </c>
      <c r="G5073" s="149" t="n">
        <f aca="false">IF(C5073="M.O.",VLOOKUP(A5073,INSUMOS_AUX!A:F,6,0),0)</f>
        <v>0</v>
      </c>
    </row>
    <row r="5074" customFormat="false" ht="15" hidden="false" customHeight="false" outlineLevel="0" collapsed="false">
      <c r="A5074" s="154" t="n">
        <v>38383</v>
      </c>
      <c r="B5074" s="155" t="s">
        <v>2093</v>
      </c>
      <c r="C5074" s="148" t="str">
        <f aca="false">VLOOKUP($A5074,INSUMOS_AUX!$A$3:$H$813,3,0)</f>
        <v>MAT.</v>
      </c>
      <c r="D5074" s="156" t="s">
        <v>31</v>
      </c>
      <c r="E5074" s="154" t="n">
        <v>0.0115</v>
      </c>
      <c r="F5074" s="149" t="n">
        <f aca="false">IF(C5074="MAT.",VLOOKUP(A5074,INSUMOS_AUX!$A$3:$H$813,6,0),0)</f>
        <v>2.39</v>
      </c>
      <c r="G5074" s="149" t="n">
        <f aca="false">IF(C5074="M.O.",VLOOKUP(A5074,INSUMOS_AUX!A:F,6,0),0)</f>
        <v>0</v>
      </c>
    </row>
    <row r="5075" customFormat="false" ht="15" hidden="false" customHeight="false" outlineLevel="0" collapsed="false">
      <c r="A5075" s="154" t="n">
        <v>9871</v>
      </c>
      <c r="B5075" s="155" t="s">
        <v>2330</v>
      </c>
      <c r="C5075" s="148" t="str">
        <f aca="false">VLOOKUP($A5075,INSUMOS_AUX!$A$3:$H$813,3,0)</f>
        <v>MAT.</v>
      </c>
      <c r="D5075" s="156" t="s">
        <v>1455</v>
      </c>
      <c r="E5075" s="154" t="n">
        <v>1.0493</v>
      </c>
      <c r="F5075" s="149" t="n">
        <f aca="false">IF(C5075="MAT.",VLOOKUP(A5075,INSUMOS_AUX!$A$3:$H$813,6,0),0)</f>
        <v>42.25</v>
      </c>
      <c r="G5075" s="149" t="n">
        <f aca="false">IF(C5075="M.O.",VLOOKUP(A5075,INSUMOS_AUX!A:F,6,0),0)</f>
        <v>0</v>
      </c>
    </row>
    <row r="5076" customFormat="false" ht="15" hidden="false" customHeight="false" outlineLevel="0" collapsed="false">
      <c r="A5076" s="154" t="n">
        <v>246</v>
      </c>
      <c r="B5076" s="155" t="s">
        <v>1752</v>
      </c>
      <c r="C5076" s="148" t="s">
        <v>59</v>
      </c>
      <c r="D5076" s="156" t="s">
        <v>1444</v>
      </c>
      <c r="E5076" s="154" t="n">
        <v>0.050288212</v>
      </c>
      <c r="F5076" s="149" t="n">
        <f aca="false">IF(C5076="MAT.",VLOOKUP(A5076,INSUMOS_AUX!$A$3:$H$813,6,0),0)</f>
        <v>0</v>
      </c>
      <c r="G5076" s="149" t="n">
        <f aca="false">IF(C5076="M.O.",VLOOKUP(A5076,INSUMOS_AUX!A:F,6,0),0)</f>
        <v>0</v>
      </c>
    </row>
    <row r="5077" customFormat="false" ht="15" hidden="false" customHeight="false" outlineLevel="0" collapsed="false">
      <c r="A5077" s="154" t="n">
        <v>2696</v>
      </c>
      <c r="B5077" s="155" t="s">
        <v>1483</v>
      </c>
      <c r="C5077" s="148" t="str">
        <f aca="false">VLOOKUP($A5077,INSUMOS_AUX!$A$3:$H$813,3,0)</f>
        <v>M.O.</v>
      </c>
      <c r="D5077" s="156" t="s">
        <v>1444</v>
      </c>
      <c r="E5077" s="154" t="n">
        <v>0.050288212</v>
      </c>
      <c r="F5077" s="149" t="n">
        <f aca="false">IF(C5077="MAT.",VLOOKUP(A5077,INSUMOS_AUX!$A$3:$H$813,6,0),0)</f>
        <v>0</v>
      </c>
      <c r="G5077" s="149" t="n">
        <f aca="false">IF(C5077="M.O.",VLOOKUP(A5077,INSUMOS_AUX!A:F,6,0),0)</f>
        <v>20.22</v>
      </c>
    </row>
    <row r="5078" customFormat="false" ht="21" hidden="false" customHeight="false" outlineLevel="0" collapsed="false">
      <c r="A5078" s="150" t="n">
        <v>89440</v>
      </c>
      <c r="B5078" s="151" t="s">
        <v>2331</v>
      </c>
      <c r="C5078" s="152" t="s">
        <v>59</v>
      </c>
      <c r="D5078" s="152" t="s">
        <v>31</v>
      </c>
      <c r="E5078" s="150"/>
      <c r="F5078" s="153" t="n">
        <f aca="false">(SUMPRODUCT($E5079:$E5090,F5079:F5090))*1</f>
        <v>5.330845</v>
      </c>
      <c r="G5078" s="153" t="n">
        <f aca="false">(SUMPRODUCT($E5079:$E5090,G5079:G5090))*1</f>
        <v>3.72974027472</v>
      </c>
    </row>
    <row r="5079" customFormat="false" ht="21" hidden="false" customHeight="false" outlineLevel="0" collapsed="false">
      <c r="A5079" s="154" t="n">
        <v>37370</v>
      </c>
      <c r="B5079" s="155" t="s">
        <v>1443</v>
      </c>
      <c r="C5079" s="148" t="str">
        <f aca="false">VLOOKUP($A5079,INSUMOS_AUX!$A$3:$H$813,3,0)</f>
        <v>MAT.</v>
      </c>
      <c r="D5079" s="156" t="s">
        <v>1444</v>
      </c>
      <c r="E5079" s="154" t="n">
        <v>0.3624</v>
      </c>
      <c r="F5079" s="149" t="n">
        <f aca="false">IF(C5079="MAT.",VLOOKUP(A5079,INSUMOS_AUX!$A$3:$H$813,6,0),0)</f>
        <v>3.32</v>
      </c>
      <c r="G5079" s="149" t="n">
        <f aca="false">IF(C5079="M.O.",VLOOKUP(A5079,INSUMOS_AUX!A:F,6,0),0)</f>
        <v>0</v>
      </c>
    </row>
    <row r="5080" customFormat="false" ht="21" hidden="false" customHeight="false" outlineLevel="0" collapsed="false">
      <c r="A5080" s="154" t="n">
        <v>43485</v>
      </c>
      <c r="B5080" s="155" t="s">
        <v>1481</v>
      </c>
      <c r="C5080" s="148" t="str">
        <f aca="false">VLOOKUP($A5080,INSUMOS_AUX!$A$3:$H$813,3,0)</f>
        <v>MAT.</v>
      </c>
      <c r="D5080" s="156" t="s">
        <v>1444</v>
      </c>
      <c r="E5080" s="154" t="n">
        <v>0.3624</v>
      </c>
      <c r="F5080" s="149" t="n">
        <f aca="false">IF(C5080="MAT.",VLOOKUP(A5080,INSUMOS_AUX!$A$3:$H$813,6,0),0)</f>
        <v>1.13</v>
      </c>
      <c r="G5080" s="149" t="n">
        <f aca="false">IF(C5080="M.O.",VLOOKUP(A5080,INSUMOS_AUX!A:F,6,0),0)</f>
        <v>0</v>
      </c>
    </row>
    <row r="5081" customFormat="false" ht="21" hidden="false" customHeight="false" outlineLevel="0" collapsed="false">
      <c r="A5081" s="154" t="n">
        <v>37372</v>
      </c>
      <c r="B5081" s="155" t="s">
        <v>1446</v>
      </c>
      <c r="C5081" s="148" t="str">
        <f aca="false">VLOOKUP($A5081,INSUMOS_AUX!$A$3:$H$813,3,0)</f>
        <v>MAT.</v>
      </c>
      <c r="D5081" s="156" t="s">
        <v>1444</v>
      </c>
      <c r="E5081" s="154" t="n">
        <v>0.3624</v>
      </c>
      <c r="F5081" s="149" t="n">
        <f aca="false">IF(C5081="MAT.",VLOOKUP(A5081,INSUMOS_AUX!$A$3:$H$813,6,0),0)</f>
        <v>1.43</v>
      </c>
      <c r="G5081" s="149" t="n">
        <f aca="false">IF(C5081="M.O.",VLOOKUP(A5081,INSUMOS_AUX!A:F,6,0),0)</f>
        <v>0</v>
      </c>
    </row>
    <row r="5082" customFormat="false" ht="21" hidden="false" customHeight="false" outlineLevel="0" collapsed="false">
      <c r="A5082" s="154" t="n">
        <v>43461</v>
      </c>
      <c r="B5082" s="155" t="s">
        <v>1482</v>
      </c>
      <c r="C5082" s="148" t="str">
        <f aca="false">VLOOKUP($A5082,INSUMOS_AUX!$A$3:$H$813,3,0)</f>
        <v>MAT.</v>
      </c>
      <c r="D5082" s="156" t="s">
        <v>1444</v>
      </c>
      <c r="E5082" s="154" t="n">
        <v>0.3624</v>
      </c>
      <c r="F5082" s="149" t="n">
        <f aca="false">IF(C5082="MAT.",VLOOKUP(A5082,INSUMOS_AUX!$A$3:$H$813,6,0),0)</f>
        <v>0.31</v>
      </c>
      <c r="G5082" s="149" t="n">
        <f aca="false">IF(C5082="M.O.",VLOOKUP(A5082,INSUMOS_AUX!A:F,6,0),0)</f>
        <v>0</v>
      </c>
    </row>
    <row r="5083" customFormat="false" ht="21" hidden="false" customHeight="false" outlineLevel="0" collapsed="false">
      <c r="A5083" s="154" t="n">
        <v>37373</v>
      </c>
      <c r="B5083" s="155" t="s">
        <v>1448</v>
      </c>
      <c r="C5083" s="148" t="str">
        <f aca="false">VLOOKUP($A5083,INSUMOS_AUX!$A$3:$H$813,3,0)</f>
        <v>MAT.</v>
      </c>
      <c r="D5083" s="156" t="s">
        <v>1444</v>
      </c>
      <c r="E5083" s="154" t="n">
        <v>0.3624</v>
      </c>
      <c r="F5083" s="149" t="n">
        <f aca="false">IF(C5083="MAT.",VLOOKUP(A5083,INSUMOS_AUX!$A$3:$H$813,6,0),0)</f>
        <v>0.08</v>
      </c>
      <c r="G5083" s="149" t="n">
        <f aca="false">IF(C5083="M.O.",VLOOKUP(A5083,INSUMOS_AUX!A:F,6,0),0)</f>
        <v>0</v>
      </c>
    </row>
    <row r="5084" customFormat="false" ht="21" hidden="false" customHeight="false" outlineLevel="0" collapsed="false">
      <c r="A5084" s="154" t="n">
        <v>37371</v>
      </c>
      <c r="B5084" s="155" t="s">
        <v>1449</v>
      </c>
      <c r="C5084" s="148" t="str">
        <f aca="false">VLOOKUP($A5084,INSUMOS_AUX!$A$3:$H$813,3,0)</f>
        <v>MAT.</v>
      </c>
      <c r="D5084" s="156" t="s">
        <v>1444</v>
      </c>
      <c r="E5084" s="154" t="n">
        <v>0.3624</v>
      </c>
      <c r="F5084" s="149" t="n">
        <f aca="false">IF(C5084="MAT.",VLOOKUP(A5084,INSUMOS_AUX!$A$3:$H$813,6,0),0)</f>
        <v>0.59</v>
      </c>
      <c r="G5084" s="149" t="n">
        <f aca="false">IF(C5084="M.O.",VLOOKUP(A5084,INSUMOS_AUX!A:F,6,0),0)</f>
        <v>0</v>
      </c>
    </row>
    <row r="5085" customFormat="false" ht="15" hidden="false" customHeight="false" outlineLevel="0" collapsed="false">
      <c r="A5085" s="154" t="n">
        <v>122</v>
      </c>
      <c r="B5085" s="155" t="s">
        <v>2097</v>
      </c>
      <c r="C5085" s="148" t="str">
        <f aca="false">VLOOKUP($A5085,INSUMOS_AUX!$A$3:$H$813,3,0)</f>
        <v>MAT.</v>
      </c>
      <c r="D5085" s="156" t="s">
        <v>31</v>
      </c>
      <c r="E5085" s="154" t="n">
        <v>0.0106</v>
      </c>
      <c r="F5085" s="149" t="n">
        <f aca="false">IF(C5085="MAT.",VLOOKUP(A5085,INSUMOS_AUX!$A$3:$H$813,6,0),0)</f>
        <v>63.09</v>
      </c>
      <c r="G5085" s="149" t="n">
        <f aca="false">IF(C5085="M.O.",VLOOKUP(A5085,INSUMOS_AUX!A:F,6,0),0)</f>
        <v>0</v>
      </c>
    </row>
    <row r="5086" customFormat="false" ht="15" hidden="false" customHeight="false" outlineLevel="0" collapsed="false">
      <c r="A5086" s="154" t="n">
        <v>38383</v>
      </c>
      <c r="B5086" s="155" t="s">
        <v>2093</v>
      </c>
      <c r="C5086" s="148" t="str">
        <f aca="false">VLOOKUP($A5086,INSUMOS_AUX!$A$3:$H$813,3,0)</f>
        <v>MAT.</v>
      </c>
      <c r="D5086" s="156" t="s">
        <v>31</v>
      </c>
      <c r="E5086" s="154" t="n">
        <v>0.0453</v>
      </c>
      <c r="F5086" s="149" t="n">
        <f aca="false">IF(C5086="MAT.",VLOOKUP(A5086,INSUMOS_AUX!$A$3:$H$813,6,0),0)</f>
        <v>2.39</v>
      </c>
      <c r="G5086" s="149" t="n">
        <f aca="false">IF(C5086="M.O.",VLOOKUP(A5086,INSUMOS_AUX!A:F,6,0),0)</f>
        <v>0</v>
      </c>
    </row>
    <row r="5087" customFormat="false" ht="21" hidden="false" customHeight="false" outlineLevel="0" collapsed="false">
      <c r="A5087" s="154" t="n">
        <v>20083</v>
      </c>
      <c r="B5087" s="155" t="s">
        <v>2095</v>
      </c>
      <c r="C5087" s="148" t="str">
        <f aca="false">VLOOKUP($A5087,INSUMOS_AUX!$A$3:$H$813,3,0)</f>
        <v>MAT.</v>
      </c>
      <c r="D5087" s="156" t="s">
        <v>31</v>
      </c>
      <c r="E5087" s="154" t="n">
        <v>0.012</v>
      </c>
      <c r="F5087" s="149" t="n">
        <f aca="false">IF(C5087="MAT.",VLOOKUP(A5087,INSUMOS_AUX!$A$3:$H$813,6,0),0)</f>
        <v>71.48</v>
      </c>
      <c r="G5087" s="149" t="n">
        <f aca="false">IF(C5087="M.O.",VLOOKUP(A5087,INSUMOS_AUX!A:F,6,0),0)</f>
        <v>0</v>
      </c>
    </row>
    <row r="5088" customFormat="false" ht="21" hidden="false" customHeight="false" outlineLevel="0" collapsed="false">
      <c r="A5088" s="154" t="n">
        <v>7139</v>
      </c>
      <c r="B5088" s="155" t="s">
        <v>2110</v>
      </c>
      <c r="C5088" s="148" t="str">
        <f aca="false">VLOOKUP($A5088,INSUMOS_AUX!$A$3:$H$813,3,0)</f>
        <v>MAT.</v>
      </c>
      <c r="D5088" s="156" t="s">
        <v>31</v>
      </c>
      <c r="E5088" s="154" t="n">
        <v>1</v>
      </c>
      <c r="F5088" s="149" t="n">
        <f aca="false">IF(C5088="MAT.",VLOOKUP(A5088,INSUMOS_AUX!$A$3:$H$813,6,0),0)</f>
        <v>1.21</v>
      </c>
      <c r="G5088" s="149" t="n">
        <f aca="false">IF(C5088="M.O.",VLOOKUP(A5088,INSUMOS_AUX!A:F,6,0),0)</f>
        <v>0</v>
      </c>
    </row>
    <row r="5089" customFormat="false" ht="15" hidden="false" customHeight="false" outlineLevel="0" collapsed="false">
      <c r="A5089" s="154" t="n">
        <v>246</v>
      </c>
      <c r="B5089" s="155" t="s">
        <v>1752</v>
      </c>
      <c r="C5089" s="148" t="s">
        <v>59</v>
      </c>
      <c r="D5089" s="156" t="s">
        <v>1444</v>
      </c>
      <c r="E5089" s="154" t="n">
        <v>0.184457976</v>
      </c>
      <c r="F5089" s="149" t="n">
        <f aca="false">IF(C5089="MAT.",VLOOKUP(A5089,INSUMOS_AUX!$A$3:$H$813,6,0),0)</f>
        <v>0</v>
      </c>
      <c r="G5089" s="149" t="n">
        <f aca="false">IF(C5089="M.O.",VLOOKUP(A5089,INSUMOS_AUX!A:F,6,0),0)</f>
        <v>0</v>
      </c>
    </row>
    <row r="5090" customFormat="false" ht="15" hidden="false" customHeight="false" outlineLevel="0" collapsed="false">
      <c r="A5090" s="154" t="n">
        <v>2696</v>
      </c>
      <c r="B5090" s="155" t="s">
        <v>1483</v>
      </c>
      <c r="C5090" s="148" t="str">
        <f aca="false">VLOOKUP($A5090,INSUMOS_AUX!$A$3:$H$813,3,0)</f>
        <v>M.O.</v>
      </c>
      <c r="D5090" s="156" t="s">
        <v>1444</v>
      </c>
      <c r="E5090" s="154" t="n">
        <v>0.184457976</v>
      </c>
      <c r="F5090" s="149" t="n">
        <f aca="false">IF(C5090="MAT.",VLOOKUP(A5090,INSUMOS_AUX!$A$3:$H$813,6,0),0)</f>
        <v>0</v>
      </c>
      <c r="G5090" s="149" t="n">
        <f aca="false">IF(C5090="M.O.",VLOOKUP(A5090,INSUMOS_AUX!A:F,6,0),0)</f>
        <v>20.22</v>
      </c>
    </row>
    <row r="5091" customFormat="false" ht="21" hidden="false" customHeight="false" outlineLevel="0" collapsed="false">
      <c r="A5091" s="150" t="n">
        <v>89443</v>
      </c>
      <c r="B5091" s="151" t="s">
        <v>2332</v>
      </c>
      <c r="C5091" s="152" t="s">
        <v>59</v>
      </c>
      <c r="D5091" s="152" t="s">
        <v>31</v>
      </c>
      <c r="E5091" s="150"/>
      <c r="F5091" s="153" t="n">
        <f aca="false">(SUMPRODUCT($E5092:$E5103,F5092:F5103))*1</f>
        <v>8.952941</v>
      </c>
      <c r="G5091" s="153" t="n">
        <f aca="false">(SUMPRODUCT($E5092:$E5103,G5092:G5103))*1</f>
        <v>4.44810636516</v>
      </c>
    </row>
    <row r="5092" customFormat="false" ht="21" hidden="false" customHeight="false" outlineLevel="0" collapsed="false">
      <c r="A5092" s="154" t="n">
        <v>37370</v>
      </c>
      <c r="B5092" s="155" t="s">
        <v>1443</v>
      </c>
      <c r="C5092" s="148" t="str">
        <f aca="false">VLOOKUP($A5092,INSUMOS_AUX!$A$3:$H$813,3,0)</f>
        <v>MAT.</v>
      </c>
      <c r="D5092" s="156" t="s">
        <v>1444</v>
      </c>
      <c r="E5092" s="154" t="n">
        <v>0.4322</v>
      </c>
      <c r="F5092" s="149" t="n">
        <f aca="false">IF(C5092="MAT.",VLOOKUP(A5092,INSUMOS_AUX!$A$3:$H$813,6,0),0)</f>
        <v>3.32</v>
      </c>
      <c r="G5092" s="149" t="n">
        <f aca="false">IF(C5092="M.O.",VLOOKUP(A5092,INSUMOS_AUX!A:F,6,0),0)</f>
        <v>0</v>
      </c>
    </row>
    <row r="5093" customFormat="false" ht="21" hidden="false" customHeight="false" outlineLevel="0" collapsed="false">
      <c r="A5093" s="154" t="n">
        <v>43485</v>
      </c>
      <c r="B5093" s="155" t="s">
        <v>1481</v>
      </c>
      <c r="C5093" s="148" t="str">
        <f aca="false">VLOOKUP($A5093,INSUMOS_AUX!$A$3:$H$813,3,0)</f>
        <v>MAT.</v>
      </c>
      <c r="D5093" s="156" t="s">
        <v>1444</v>
      </c>
      <c r="E5093" s="154" t="n">
        <v>0.4322</v>
      </c>
      <c r="F5093" s="149" t="n">
        <f aca="false">IF(C5093="MAT.",VLOOKUP(A5093,INSUMOS_AUX!$A$3:$H$813,6,0),0)</f>
        <v>1.13</v>
      </c>
      <c r="G5093" s="149" t="n">
        <f aca="false">IF(C5093="M.O.",VLOOKUP(A5093,INSUMOS_AUX!A:F,6,0),0)</f>
        <v>0</v>
      </c>
    </row>
    <row r="5094" customFormat="false" ht="21" hidden="false" customHeight="false" outlineLevel="0" collapsed="false">
      <c r="A5094" s="154" t="n">
        <v>37372</v>
      </c>
      <c r="B5094" s="155" t="s">
        <v>1446</v>
      </c>
      <c r="C5094" s="148" t="str">
        <f aca="false">VLOOKUP($A5094,INSUMOS_AUX!$A$3:$H$813,3,0)</f>
        <v>MAT.</v>
      </c>
      <c r="D5094" s="156" t="s">
        <v>1444</v>
      </c>
      <c r="E5094" s="154" t="n">
        <v>0.4322</v>
      </c>
      <c r="F5094" s="149" t="n">
        <f aca="false">IF(C5094="MAT.",VLOOKUP(A5094,INSUMOS_AUX!$A$3:$H$813,6,0),0)</f>
        <v>1.43</v>
      </c>
      <c r="G5094" s="149" t="n">
        <f aca="false">IF(C5094="M.O.",VLOOKUP(A5094,INSUMOS_AUX!A:F,6,0),0)</f>
        <v>0</v>
      </c>
    </row>
    <row r="5095" customFormat="false" ht="21" hidden="false" customHeight="false" outlineLevel="0" collapsed="false">
      <c r="A5095" s="154" t="n">
        <v>43461</v>
      </c>
      <c r="B5095" s="155" t="s">
        <v>1482</v>
      </c>
      <c r="C5095" s="148" t="str">
        <f aca="false">VLOOKUP($A5095,INSUMOS_AUX!$A$3:$H$813,3,0)</f>
        <v>MAT.</v>
      </c>
      <c r="D5095" s="156" t="s">
        <v>1444</v>
      </c>
      <c r="E5095" s="154" t="n">
        <v>0.4322</v>
      </c>
      <c r="F5095" s="149" t="n">
        <f aca="false">IF(C5095="MAT.",VLOOKUP(A5095,INSUMOS_AUX!$A$3:$H$813,6,0),0)</f>
        <v>0.31</v>
      </c>
      <c r="G5095" s="149" t="n">
        <f aca="false">IF(C5095="M.O.",VLOOKUP(A5095,INSUMOS_AUX!A:F,6,0),0)</f>
        <v>0</v>
      </c>
    </row>
    <row r="5096" customFormat="false" ht="21" hidden="false" customHeight="false" outlineLevel="0" collapsed="false">
      <c r="A5096" s="154" t="n">
        <v>37373</v>
      </c>
      <c r="B5096" s="155" t="s">
        <v>1448</v>
      </c>
      <c r="C5096" s="148" t="str">
        <f aca="false">VLOOKUP($A5096,INSUMOS_AUX!$A$3:$H$813,3,0)</f>
        <v>MAT.</v>
      </c>
      <c r="D5096" s="156" t="s">
        <v>1444</v>
      </c>
      <c r="E5096" s="154" t="n">
        <v>0.4322</v>
      </c>
      <c r="F5096" s="149" t="n">
        <f aca="false">IF(C5096="MAT.",VLOOKUP(A5096,INSUMOS_AUX!$A$3:$H$813,6,0),0)</f>
        <v>0.08</v>
      </c>
      <c r="G5096" s="149" t="n">
        <f aca="false">IF(C5096="M.O.",VLOOKUP(A5096,INSUMOS_AUX!A:F,6,0),0)</f>
        <v>0</v>
      </c>
    </row>
    <row r="5097" customFormat="false" ht="21" hidden="false" customHeight="false" outlineLevel="0" collapsed="false">
      <c r="A5097" s="154" t="n">
        <v>37371</v>
      </c>
      <c r="B5097" s="155" t="s">
        <v>1449</v>
      </c>
      <c r="C5097" s="148" t="str">
        <f aca="false">VLOOKUP($A5097,INSUMOS_AUX!$A$3:$H$813,3,0)</f>
        <v>MAT.</v>
      </c>
      <c r="D5097" s="156" t="s">
        <v>1444</v>
      </c>
      <c r="E5097" s="154" t="n">
        <v>0.4322</v>
      </c>
      <c r="F5097" s="149" t="n">
        <f aca="false">IF(C5097="MAT.",VLOOKUP(A5097,INSUMOS_AUX!$A$3:$H$813,6,0),0)</f>
        <v>0.59</v>
      </c>
      <c r="G5097" s="149" t="n">
        <f aca="false">IF(C5097="M.O.",VLOOKUP(A5097,INSUMOS_AUX!A:F,6,0),0)</f>
        <v>0</v>
      </c>
    </row>
    <row r="5098" customFormat="false" ht="15" hidden="false" customHeight="false" outlineLevel="0" collapsed="false">
      <c r="A5098" s="154" t="n">
        <v>122</v>
      </c>
      <c r="B5098" s="155" t="s">
        <v>2097</v>
      </c>
      <c r="C5098" s="148" t="str">
        <f aca="false">VLOOKUP($A5098,INSUMOS_AUX!$A$3:$H$813,3,0)</f>
        <v>MAT.</v>
      </c>
      <c r="D5098" s="156" t="s">
        <v>31</v>
      </c>
      <c r="E5098" s="154" t="n">
        <v>0.0141</v>
      </c>
      <c r="F5098" s="149" t="n">
        <f aca="false">IF(C5098="MAT.",VLOOKUP(A5098,INSUMOS_AUX!$A$3:$H$813,6,0),0)</f>
        <v>63.09</v>
      </c>
      <c r="G5098" s="149" t="n">
        <f aca="false">IF(C5098="M.O.",VLOOKUP(A5098,INSUMOS_AUX!A:F,6,0),0)</f>
        <v>0</v>
      </c>
    </row>
    <row r="5099" customFormat="false" ht="15" hidden="false" customHeight="false" outlineLevel="0" collapsed="false">
      <c r="A5099" s="154" t="n">
        <v>38383</v>
      </c>
      <c r="B5099" s="155" t="s">
        <v>2093</v>
      </c>
      <c r="C5099" s="148" t="str">
        <f aca="false">VLOOKUP($A5099,INSUMOS_AUX!$A$3:$H$813,3,0)</f>
        <v>MAT.</v>
      </c>
      <c r="D5099" s="156" t="s">
        <v>31</v>
      </c>
      <c r="E5099" s="154" t="n">
        <v>0.054</v>
      </c>
      <c r="F5099" s="149" t="n">
        <f aca="false">IF(C5099="MAT.",VLOOKUP(A5099,INSUMOS_AUX!$A$3:$H$813,6,0),0)</f>
        <v>2.39</v>
      </c>
      <c r="G5099" s="149" t="n">
        <f aca="false">IF(C5099="M.O.",VLOOKUP(A5099,INSUMOS_AUX!A:F,6,0),0)</f>
        <v>0</v>
      </c>
    </row>
    <row r="5100" customFormat="false" ht="21" hidden="false" customHeight="false" outlineLevel="0" collapsed="false">
      <c r="A5100" s="154" t="n">
        <v>20083</v>
      </c>
      <c r="B5100" s="155" t="s">
        <v>2095</v>
      </c>
      <c r="C5100" s="148" t="str">
        <f aca="false">VLOOKUP($A5100,INSUMOS_AUX!$A$3:$H$813,3,0)</f>
        <v>MAT.</v>
      </c>
      <c r="D5100" s="156" t="s">
        <v>31</v>
      </c>
      <c r="E5100" s="154" t="n">
        <v>0.0165</v>
      </c>
      <c r="F5100" s="149" t="n">
        <f aca="false">IF(C5100="MAT.",VLOOKUP(A5100,INSUMOS_AUX!$A$3:$H$813,6,0),0)</f>
        <v>71.48</v>
      </c>
      <c r="G5100" s="149" t="n">
        <f aca="false">IF(C5100="M.O.",VLOOKUP(A5100,INSUMOS_AUX!A:F,6,0),0)</f>
        <v>0</v>
      </c>
    </row>
    <row r="5101" customFormat="false" ht="21" hidden="false" customHeight="false" outlineLevel="0" collapsed="false">
      <c r="A5101" s="154" t="n">
        <v>7140</v>
      </c>
      <c r="B5101" s="155" t="s">
        <v>2333</v>
      </c>
      <c r="C5101" s="148" t="str">
        <f aca="false">VLOOKUP($A5101,INSUMOS_AUX!$A$3:$H$813,3,0)</f>
        <v>MAT.</v>
      </c>
      <c r="D5101" s="156" t="s">
        <v>31</v>
      </c>
      <c r="E5101" s="154" t="n">
        <v>1</v>
      </c>
      <c r="F5101" s="149" t="n">
        <f aca="false">IF(C5101="MAT.",VLOOKUP(A5101,INSUMOS_AUX!$A$3:$H$813,6,0),0)</f>
        <v>3.79</v>
      </c>
      <c r="G5101" s="149" t="n">
        <f aca="false">IF(C5101="M.O.",VLOOKUP(A5101,INSUMOS_AUX!A:F,6,0),0)</f>
        <v>0</v>
      </c>
    </row>
    <row r="5102" customFormat="false" ht="15" hidden="false" customHeight="false" outlineLevel="0" collapsed="false">
      <c r="A5102" s="154" t="n">
        <v>246</v>
      </c>
      <c r="B5102" s="155" t="s">
        <v>1752</v>
      </c>
      <c r="C5102" s="148" t="s">
        <v>59</v>
      </c>
      <c r="D5102" s="156" t="s">
        <v>1444</v>
      </c>
      <c r="E5102" s="154" t="n">
        <v>0.219985478</v>
      </c>
      <c r="F5102" s="149" t="n">
        <f aca="false">IF(C5102="MAT.",VLOOKUP(A5102,INSUMOS_AUX!$A$3:$H$813,6,0),0)</f>
        <v>0</v>
      </c>
      <c r="G5102" s="149" t="n">
        <f aca="false">IF(C5102="M.O.",VLOOKUP(A5102,INSUMOS_AUX!A:F,6,0),0)</f>
        <v>0</v>
      </c>
    </row>
    <row r="5103" customFormat="false" ht="15" hidden="false" customHeight="false" outlineLevel="0" collapsed="false">
      <c r="A5103" s="154" t="n">
        <v>2696</v>
      </c>
      <c r="B5103" s="155" t="s">
        <v>1483</v>
      </c>
      <c r="C5103" s="148" t="str">
        <f aca="false">VLOOKUP($A5103,INSUMOS_AUX!$A$3:$H$813,3,0)</f>
        <v>M.O.</v>
      </c>
      <c r="D5103" s="156" t="s">
        <v>1444</v>
      </c>
      <c r="E5103" s="154" t="n">
        <v>0.219985478</v>
      </c>
      <c r="F5103" s="149" t="n">
        <f aca="false">IF(C5103="MAT.",VLOOKUP(A5103,INSUMOS_AUX!$A$3:$H$813,6,0),0)</f>
        <v>0</v>
      </c>
      <c r="G5103" s="149" t="n">
        <f aca="false">IF(C5103="M.O.",VLOOKUP(A5103,INSUMOS_AUX!A:F,6,0),0)</f>
        <v>20.22</v>
      </c>
    </row>
    <row r="5104" customFormat="false" ht="21" hidden="false" customHeight="false" outlineLevel="0" collapsed="false">
      <c r="A5104" s="150" t="n">
        <v>104004</v>
      </c>
      <c r="B5104" s="151" t="s">
        <v>2334</v>
      </c>
      <c r="C5104" s="152" t="s">
        <v>59</v>
      </c>
      <c r="D5104" s="152" t="s">
        <v>31</v>
      </c>
      <c r="E5104" s="150"/>
      <c r="F5104" s="153" t="n">
        <f aca="false">(SUMPRODUCT($E5105:$E5116,F5105:F5116))*1</f>
        <v>17.976946</v>
      </c>
      <c r="G5104" s="153" t="n">
        <f aca="false">(SUMPRODUCT($E5105:$E5116,G5105:G5116))*1</f>
        <v>6.29650965804</v>
      </c>
    </row>
    <row r="5105" customFormat="false" ht="21" hidden="false" customHeight="false" outlineLevel="0" collapsed="false">
      <c r="A5105" s="154" t="n">
        <v>37370</v>
      </c>
      <c r="B5105" s="155" t="s">
        <v>1443</v>
      </c>
      <c r="C5105" s="148" t="str">
        <f aca="false">VLOOKUP($A5105,INSUMOS_AUX!$A$3:$H$813,3,0)</f>
        <v>MAT.</v>
      </c>
      <c r="D5105" s="156" t="s">
        <v>1444</v>
      </c>
      <c r="E5105" s="154" t="n">
        <v>0.6118</v>
      </c>
      <c r="F5105" s="149" t="n">
        <f aca="false">IF(C5105="MAT.",VLOOKUP(A5105,INSUMOS_AUX!$A$3:$H$813,6,0),0)</f>
        <v>3.32</v>
      </c>
      <c r="G5105" s="149" t="n">
        <f aca="false">IF(C5105="M.O.",VLOOKUP(A5105,INSUMOS_AUX!A:F,6,0),0)</f>
        <v>0</v>
      </c>
    </row>
    <row r="5106" customFormat="false" ht="21" hidden="false" customHeight="false" outlineLevel="0" collapsed="false">
      <c r="A5106" s="154" t="n">
        <v>43485</v>
      </c>
      <c r="B5106" s="155" t="s">
        <v>1481</v>
      </c>
      <c r="C5106" s="148" t="str">
        <f aca="false">VLOOKUP($A5106,INSUMOS_AUX!$A$3:$H$813,3,0)</f>
        <v>MAT.</v>
      </c>
      <c r="D5106" s="156" t="s">
        <v>1444</v>
      </c>
      <c r="E5106" s="154" t="n">
        <v>0.6118</v>
      </c>
      <c r="F5106" s="149" t="n">
        <f aca="false">IF(C5106="MAT.",VLOOKUP(A5106,INSUMOS_AUX!$A$3:$H$813,6,0),0)</f>
        <v>1.13</v>
      </c>
      <c r="G5106" s="149" t="n">
        <f aca="false">IF(C5106="M.O.",VLOOKUP(A5106,INSUMOS_AUX!A:F,6,0),0)</f>
        <v>0</v>
      </c>
    </row>
    <row r="5107" customFormat="false" ht="21" hidden="false" customHeight="false" outlineLevel="0" collapsed="false">
      <c r="A5107" s="154" t="n">
        <v>37372</v>
      </c>
      <c r="B5107" s="155" t="s">
        <v>1446</v>
      </c>
      <c r="C5107" s="148" t="str">
        <f aca="false">VLOOKUP($A5107,INSUMOS_AUX!$A$3:$H$813,3,0)</f>
        <v>MAT.</v>
      </c>
      <c r="D5107" s="156" t="s">
        <v>1444</v>
      </c>
      <c r="E5107" s="154" t="n">
        <v>0.6118</v>
      </c>
      <c r="F5107" s="149" t="n">
        <f aca="false">IF(C5107="MAT.",VLOOKUP(A5107,INSUMOS_AUX!$A$3:$H$813,6,0),0)</f>
        <v>1.43</v>
      </c>
      <c r="G5107" s="149" t="n">
        <f aca="false">IF(C5107="M.O.",VLOOKUP(A5107,INSUMOS_AUX!A:F,6,0),0)</f>
        <v>0</v>
      </c>
    </row>
    <row r="5108" customFormat="false" ht="21" hidden="false" customHeight="false" outlineLevel="0" collapsed="false">
      <c r="A5108" s="154" t="n">
        <v>43461</v>
      </c>
      <c r="B5108" s="155" t="s">
        <v>1482</v>
      </c>
      <c r="C5108" s="148" t="str">
        <f aca="false">VLOOKUP($A5108,INSUMOS_AUX!$A$3:$H$813,3,0)</f>
        <v>MAT.</v>
      </c>
      <c r="D5108" s="156" t="s">
        <v>1444</v>
      </c>
      <c r="E5108" s="154" t="n">
        <v>0.6118</v>
      </c>
      <c r="F5108" s="149" t="n">
        <f aca="false">IF(C5108="MAT.",VLOOKUP(A5108,INSUMOS_AUX!$A$3:$H$813,6,0),0)</f>
        <v>0.31</v>
      </c>
      <c r="G5108" s="149" t="n">
        <f aca="false">IF(C5108="M.O.",VLOOKUP(A5108,INSUMOS_AUX!A:F,6,0),0)</f>
        <v>0</v>
      </c>
    </row>
    <row r="5109" customFormat="false" ht="21" hidden="false" customHeight="false" outlineLevel="0" collapsed="false">
      <c r="A5109" s="154" t="n">
        <v>37373</v>
      </c>
      <c r="B5109" s="155" t="s">
        <v>1448</v>
      </c>
      <c r="C5109" s="148" t="str">
        <f aca="false">VLOOKUP($A5109,INSUMOS_AUX!$A$3:$H$813,3,0)</f>
        <v>MAT.</v>
      </c>
      <c r="D5109" s="156" t="s">
        <v>1444</v>
      </c>
      <c r="E5109" s="154" t="n">
        <v>0.6118</v>
      </c>
      <c r="F5109" s="149" t="n">
        <f aca="false">IF(C5109="MAT.",VLOOKUP(A5109,INSUMOS_AUX!$A$3:$H$813,6,0),0)</f>
        <v>0.08</v>
      </c>
      <c r="G5109" s="149" t="n">
        <f aca="false">IF(C5109="M.O.",VLOOKUP(A5109,INSUMOS_AUX!A:F,6,0),0)</f>
        <v>0</v>
      </c>
    </row>
    <row r="5110" customFormat="false" ht="21" hidden="false" customHeight="false" outlineLevel="0" collapsed="false">
      <c r="A5110" s="154" t="n">
        <v>37371</v>
      </c>
      <c r="B5110" s="155" t="s">
        <v>1449</v>
      </c>
      <c r="C5110" s="148" t="str">
        <f aca="false">VLOOKUP($A5110,INSUMOS_AUX!$A$3:$H$813,3,0)</f>
        <v>MAT.</v>
      </c>
      <c r="D5110" s="156" t="s">
        <v>1444</v>
      </c>
      <c r="E5110" s="154" t="n">
        <v>0.6118</v>
      </c>
      <c r="F5110" s="149" t="n">
        <f aca="false">IF(C5110="MAT.",VLOOKUP(A5110,INSUMOS_AUX!$A$3:$H$813,6,0),0)</f>
        <v>0.59</v>
      </c>
      <c r="G5110" s="149" t="n">
        <f aca="false">IF(C5110="M.O.",VLOOKUP(A5110,INSUMOS_AUX!A:F,6,0),0)</f>
        <v>0</v>
      </c>
    </row>
    <row r="5111" customFormat="false" ht="15" hidden="false" customHeight="false" outlineLevel="0" collapsed="false">
      <c r="A5111" s="154" t="n">
        <v>122</v>
      </c>
      <c r="B5111" s="155" t="s">
        <v>2097</v>
      </c>
      <c r="C5111" s="148" t="str">
        <f aca="false">VLOOKUP($A5111,INSUMOS_AUX!$A$3:$H$813,3,0)</f>
        <v>MAT.</v>
      </c>
      <c r="D5111" s="156" t="s">
        <v>31</v>
      </c>
      <c r="E5111" s="154" t="n">
        <v>0.0247</v>
      </c>
      <c r="F5111" s="149" t="n">
        <f aca="false">IF(C5111="MAT.",VLOOKUP(A5111,INSUMOS_AUX!$A$3:$H$813,6,0),0)</f>
        <v>63.09</v>
      </c>
      <c r="G5111" s="149" t="n">
        <f aca="false">IF(C5111="M.O.",VLOOKUP(A5111,INSUMOS_AUX!A:F,6,0),0)</f>
        <v>0</v>
      </c>
    </row>
    <row r="5112" customFormat="false" ht="15" hidden="false" customHeight="false" outlineLevel="0" collapsed="false">
      <c r="A5112" s="154" t="n">
        <v>38383</v>
      </c>
      <c r="B5112" s="155" t="s">
        <v>2093</v>
      </c>
      <c r="C5112" s="148" t="str">
        <f aca="false">VLOOKUP($A5112,INSUMOS_AUX!$A$3:$H$813,3,0)</f>
        <v>MAT.</v>
      </c>
      <c r="D5112" s="156" t="s">
        <v>31</v>
      </c>
      <c r="E5112" s="154" t="n">
        <v>0.0765</v>
      </c>
      <c r="F5112" s="149" t="n">
        <f aca="false">IF(C5112="MAT.",VLOOKUP(A5112,INSUMOS_AUX!$A$3:$H$813,6,0),0)</f>
        <v>2.39</v>
      </c>
      <c r="G5112" s="149" t="n">
        <f aca="false">IF(C5112="M.O.",VLOOKUP(A5112,INSUMOS_AUX!A:F,6,0),0)</f>
        <v>0</v>
      </c>
    </row>
    <row r="5113" customFormat="false" ht="21" hidden="false" customHeight="false" outlineLevel="0" collapsed="false">
      <c r="A5113" s="154" t="n">
        <v>20083</v>
      </c>
      <c r="B5113" s="155" t="s">
        <v>2095</v>
      </c>
      <c r="C5113" s="148" t="str">
        <f aca="false">VLOOKUP($A5113,INSUMOS_AUX!$A$3:$H$813,3,0)</f>
        <v>MAT.</v>
      </c>
      <c r="D5113" s="156" t="s">
        <v>31</v>
      </c>
      <c r="E5113" s="154" t="n">
        <v>0.033</v>
      </c>
      <c r="F5113" s="149" t="n">
        <f aca="false">IF(C5113="MAT.",VLOOKUP(A5113,INSUMOS_AUX!$A$3:$H$813,6,0),0)</f>
        <v>71.48</v>
      </c>
      <c r="G5113" s="149" t="n">
        <f aca="false">IF(C5113="M.O.",VLOOKUP(A5113,INSUMOS_AUX!A:F,6,0),0)</f>
        <v>0</v>
      </c>
    </row>
    <row r="5114" customFormat="false" ht="21" hidden="false" customHeight="false" outlineLevel="0" collapsed="false">
      <c r="A5114" s="154" t="n">
        <v>7142</v>
      </c>
      <c r="B5114" s="155" t="s">
        <v>2335</v>
      </c>
      <c r="C5114" s="148" t="str">
        <f aca="false">VLOOKUP($A5114,INSUMOS_AUX!$A$3:$H$813,3,0)</f>
        <v>MAT.</v>
      </c>
      <c r="D5114" s="156" t="s">
        <v>31</v>
      </c>
      <c r="E5114" s="154" t="n">
        <v>1</v>
      </c>
      <c r="F5114" s="149" t="n">
        <f aca="false">IF(C5114="MAT.",VLOOKUP(A5114,INSUMOS_AUX!$A$3:$H$813,6,0),0)</f>
        <v>9.68</v>
      </c>
      <c r="G5114" s="149" t="n">
        <f aca="false">IF(C5114="M.O.",VLOOKUP(A5114,INSUMOS_AUX!A:F,6,0),0)</f>
        <v>0</v>
      </c>
    </row>
    <row r="5115" customFormat="false" ht="15" hidden="false" customHeight="false" outlineLevel="0" collapsed="false">
      <c r="A5115" s="154" t="n">
        <v>246</v>
      </c>
      <c r="B5115" s="155" t="s">
        <v>1752</v>
      </c>
      <c r="C5115" s="148" t="s">
        <v>59</v>
      </c>
      <c r="D5115" s="156" t="s">
        <v>1444</v>
      </c>
      <c r="E5115" s="154" t="n">
        <v>0.311400082</v>
      </c>
      <c r="F5115" s="149" t="n">
        <f aca="false">IF(C5115="MAT.",VLOOKUP(A5115,INSUMOS_AUX!$A$3:$H$813,6,0),0)</f>
        <v>0</v>
      </c>
      <c r="G5115" s="149" t="n">
        <f aca="false">IF(C5115="M.O.",VLOOKUP(A5115,INSUMOS_AUX!A:F,6,0),0)</f>
        <v>0</v>
      </c>
    </row>
    <row r="5116" customFormat="false" ht="15" hidden="false" customHeight="false" outlineLevel="0" collapsed="false">
      <c r="A5116" s="154" t="n">
        <v>2696</v>
      </c>
      <c r="B5116" s="155" t="s">
        <v>1483</v>
      </c>
      <c r="C5116" s="148" t="str">
        <f aca="false">VLOOKUP($A5116,INSUMOS_AUX!$A$3:$H$813,3,0)</f>
        <v>M.O.</v>
      </c>
      <c r="D5116" s="156" t="s">
        <v>1444</v>
      </c>
      <c r="E5116" s="154" t="n">
        <v>0.311400082</v>
      </c>
      <c r="F5116" s="149" t="n">
        <f aca="false">IF(C5116="MAT.",VLOOKUP(A5116,INSUMOS_AUX!$A$3:$H$813,6,0),0)</f>
        <v>0</v>
      </c>
      <c r="G5116" s="149" t="n">
        <f aca="false">IF(C5116="M.O.",VLOOKUP(A5116,INSUMOS_AUX!A:F,6,0),0)</f>
        <v>20.22</v>
      </c>
    </row>
    <row r="5117" customFormat="false" ht="21" hidden="false" customHeight="false" outlineLevel="0" collapsed="false">
      <c r="A5117" s="150" t="n">
        <v>89622</v>
      </c>
      <c r="B5117" s="151" t="s">
        <v>2336</v>
      </c>
      <c r="C5117" s="152" t="s">
        <v>59</v>
      </c>
      <c r="D5117" s="152" t="s">
        <v>31</v>
      </c>
      <c r="E5117" s="150"/>
      <c r="F5117" s="153" t="n">
        <f aca="false">(SUMPRODUCT($E5118:$E5129,F5118:F5129))*1</f>
        <v>9.995179</v>
      </c>
      <c r="G5117" s="153" t="n">
        <f aca="false">(SUMPRODUCT($E5118:$E5129,G5118:G5129))*1</f>
        <v>2.15509827132</v>
      </c>
    </row>
    <row r="5118" customFormat="false" ht="21" hidden="false" customHeight="false" outlineLevel="0" collapsed="false">
      <c r="A5118" s="154" t="n">
        <v>37370</v>
      </c>
      <c r="B5118" s="155" t="s">
        <v>1443</v>
      </c>
      <c r="C5118" s="148" t="str">
        <f aca="false">VLOOKUP($A5118,INSUMOS_AUX!$A$3:$H$813,3,0)</f>
        <v>MAT.</v>
      </c>
      <c r="D5118" s="156" t="s">
        <v>1444</v>
      </c>
      <c r="E5118" s="154" t="n">
        <v>0.2094</v>
      </c>
      <c r="F5118" s="149" t="n">
        <f aca="false">IF(C5118="MAT.",VLOOKUP(A5118,INSUMOS_AUX!$A$3:$H$813,6,0),0)</f>
        <v>3.32</v>
      </c>
      <c r="G5118" s="149" t="n">
        <f aca="false">IF(C5118="M.O.",VLOOKUP(A5118,INSUMOS_AUX!A:F,6,0),0)</f>
        <v>0</v>
      </c>
    </row>
    <row r="5119" customFormat="false" ht="21" hidden="false" customHeight="false" outlineLevel="0" collapsed="false">
      <c r="A5119" s="154" t="n">
        <v>43485</v>
      </c>
      <c r="B5119" s="155" t="s">
        <v>1481</v>
      </c>
      <c r="C5119" s="148" t="str">
        <f aca="false">VLOOKUP($A5119,INSUMOS_AUX!$A$3:$H$813,3,0)</f>
        <v>MAT.</v>
      </c>
      <c r="D5119" s="156" t="s">
        <v>1444</v>
      </c>
      <c r="E5119" s="154" t="n">
        <v>0.2094</v>
      </c>
      <c r="F5119" s="149" t="n">
        <f aca="false">IF(C5119="MAT.",VLOOKUP(A5119,INSUMOS_AUX!$A$3:$H$813,6,0),0)</f>
        <v>1.13</v>
      </c>
      <c r="G5119" s="149" t="n">
        <f aca="false">IF(C5119="M.O.",VLOOKUP(A5119,INSUMOS_AUX!A:F,6,0),0)</f>
        <v>0</v>
      </c>
    </row>
    <row r="5120" customFormat="false" ht="21" hidden="false" customHeight="false" outlineLevel="0" collapsed="false">
      <c r="A5120" s="154" t="n">
        <v>37372</v>
      </c>
      <c r="B5120" s="155" t="s">
        <v>1446</v>
      </c>
      <c r="C5120" s="148" t="str">
        <f aca="false">VLOOKUP($A5120,INSUMOS_AUX!$A$3:$H$813,3,0)</f>
        <v>MAT.</v>
      </c>
      <c r="D5120" s="156" t="s">
        <v>1444</v>
      </c>
      <c r="E5120" s="154" t="n">
        <v>0.2094</v>
      </c>
      <c r="F5120" s="149" t="n">
        <f aca="false">IF(C5120="MAT.",VLOOKUP(A5120,INSUMOS_AUX!$A$3:$H$813,6,0),0)</f>
        <v>1.43</v>
      </c>
      <c r="G5120" s="149" t="n">
        <f aca="false">IF(C5120="M.O.",VLOOKUP(A5120,INSUMOS_AUX!A:F,6,0),0)</f>
        <v>0</v>
      </c>
    </row>
    <row r="5121" customFormat="false" ht="21" hidden="false" customHeight="false" outlineLevel="0" collapsed="false">
      <c r="A5121" s="154" t="n">
        <v>43461</v>
      </c>
      <c r="B5121" s="155" t="s">
        <v>1482</v>
      </c>
      <c r="C5121" s="148" t="str">
        <f aca="false">VLOOKUP($A5121,INSUMOS_AUX!$A$3:$H$813,3,0)</f>
        <v>MAT.</v>
      </c>
      <c r="D5121" s="156" t="s">
        <v>1444</v>
      </c>
      <c r="E5121" s="154" t="n">
        <v>0.2094</v>
      </c>
      <c r="F5121" s="149" t="n">
        <f aca="false">IF(C5121="MAT.",VLOOKUP(A5121,INSUMOS_AUX!$A$3:$H$813,6,0),0)</f>
        <v>0.31</v>
      </c>
      <c r="G5121" s="149" t="n">
        <f aca="false">IF(C5121="M.O.",VLOOKUP(A5121,INSUMOS_AUX!A:F,6,0),0)</f>
        <v>0</v>
      </c>
    </row>
    <row r="5122" customFormat="false" ht="21" hidden="false" customHeight="false" outlineLevel="0" collapsed="false">
      <c r="A5122" s="154" t="n">
        <v>37373</v>
      </c>
      <c r="B5122" s="155" t="s">
        <v>1448</v>
      </c>
      <c r="C5122" s="148" t="str">
        <f aca="false">VLOOKUP($A5122,INSUMOS_AUX!$A$3:$H$813,3,0)</f>
        <v>MAT.</v>
      </c>
      <c r="D5122" s="156" t="s">
        <v>1444</v>
      </c>
      <c r="E5122" s="154" t="n">
        <v>0.2094</v>
      </c>
      <c r="F5122" s="149" t="n">
        <f aca="false">IF(C5122="MAT.",VLOOKUP(A5122,INSUMOS_AUX!$A$3:$H$813,6,0),0)</f>
        <v>0.08</v>
      </c>
      <c r="G5122" s="149" t="n">
        <f aca="false">IF(C5122="M.O.",VLOOKUP(A5122,INSUMOS_AUX!A:F,6,0),0)</f>
        <v>0</v>
      </c>
    </row>
    <row r="5123" customFormat="false" ht="21" hidden="false" customHeight="false" outlineLevel="0" collapsed="false">
      <c r="A5123" s="154" t="n">
        <v>37371</v>
      </c>
      <c r="B5123" s="155" t="s">
        <v>1449</v>
      </c>
      <c r="C5123" s="148" t="str">
        <f aca="false">VLOOKUP($A5123,INSUMOS_AUX!$A$3:$H$813,3,0)</f>
        <v>MAT.</v>
      </c>
      <c r="D5123" s="156" t="s">
        <v>1444</v>
      </c>
      <c r="E5123" s="154" t="n">
        <v>0.2094</v>
      </c>
      <c r="F5123" s="149" t="n">
        <f aca="false">IF(C5123="MAT.",VLOOKUP(A5123,INSUMOS_AUX!$A$3:$H$813,6,0),0)</f>
        <v>0.59</v>
      </c>
      <c r="G5123" s="149" t="n">
        <f aca="false">IF(C5123="M.O.",VLOOKUP(A5123,INSUMOS_AUX!A:F,6,0),0)</f>
        <v>0</v>
      </c>
    </row>
    <row r="5124" customFormat="false" ht="15" hidden="false" customHeight="false" outlineLevel="0" collapsed="false">
      <c r="A5124" s="154" t="n">
        <v>122</v>
      </c>
      <c r="B5124" s="155" t="s">
        <v>2097</v>
      </c>
      <c r="C5124" s="148" t="str">
        <f aca="false">VLOOKUP($A5124,INSUMOS_AUX!$A$3:$H$813,3,0)</f>
        <v>MAT.</v>
      </c>
      <c r="D5124" s="156" t="s">
        <v>31</v>
      </c>
      <c r="E5124" s="154" t="n">
        <v>0.0124</v>
      </c>
      <c r="F5124" s="149" t="n">
        <f aca="false">IF(C5124="MAT.",VLOOKUP(A5124,INSUMOS_AUX!$A$3:$H$813,6,0),0)</f>
        <v>63.09</v>
      </c>
      <c r="G5124" s="149" t="n">
        <f aca="false">IF(C5124="M.O.",VLOOKUP(A5124,INSUMOS_AUX!A:F,6,0),0)</f>
        <v>0</v>
      </c>
    </row>
    <row r="5125" customFormat="false" ht="15" hidden="false" customHeight="false" outlineLevel="0" collapsed="false">
      <c r="A5125" s="154" t="n">
        <v>38383</v>
      </c>
      <c r="B5125" s="155" t="s">
        <v>2093</v>
      </c>
      <c r="C5125" s="148" t="str">
        <f aca="false">VLOOKUP($A5125,INSUMOS_AUX!$A$3:$H$813,3,0)</f>
        <v>MAT.</v>
      </c>
      <c r="D5125" s="156" t="s">
        <v>31</v>
      </c>
      <c r="E5125" s="154" t="n">
        <v>0.0185</v>
      </c>
      <c r="F5125" s="149" t="n">
        <f aca="false">IF(C5125="MAT.",VLOOKUP(A5125,INSUMOS_AUX!$A$3:$H$813,6,0),0)</f>
        <v>2.39</v>
      </c>
      <c r="G5125" s="149" t="n">
        <f aca="false">IF(C5125="M.O.",VLOOKUP(A5125,INSUMOS_AUX!A:F,6,0),0)</f>
        <v>0</v>
      </c>
    </row>
    <row r="5126" customFormat="false" ht="21" hidden="false" customHeight="false" outlineLevel="0" collapsed="false">
      <c r="A5126" s="154" t="n">
        <v>20083</v>
      </c>
      <c r="B5126" s="155" t="s">
        <v>2095</v>
      </c>
      <c r="C5126" s="148" t="str">
        <f aca="false">VLOOKUP($A5126,INSUMOS_AUX!$A$3:$H$813,3,0)</f>
        <v>MAT.</v>
      </c>
      <c r="D5126" s="156" t="s">
        <v>31</v>
      </c>
      <c r="E5126" s="154" t="n">
        <v>0.0143</v>
      </c>
      <c r="F5126" s="149" t="n">
        <f aca="false">IF(C5126="MAT.",VLOOKUP(A5126,INSUMOS_AUX!$A$3:$H$813,6,0),0)</f>
        <v>71.48</v>
      </c>
      <c r="G5126" s="149" t="n">
        <f aca="false">IF(C5126="M.O.",VLOOKUP(A5126,INSUMOS_AUX!A:F,6,0),0)</f>
        <v>0</v>
      </c>
    </row>
    <row r="5127" customFormat="false" ht="21" hidden="false" customHeight="false" outlineLevel="0" collapsed="false">
      <c r="A5127" s="154" t="n">
        <v>7136</v>
      </c>
      <c r="B5127" s="155" t="s">
        <v>2337</v>
      </c>
      <c r="C5127" s="148" t="str">
        <f aca="false">VLOOKUP($A5127,INSUMOS_AUX!$A$3:$H$813,3,0)</f>
        <v>MAT.</v>
      </c>
      <c r="D5127" s="156" t="s">
        <v>31</v>
      </c>
      <c r="E5127" s="154" t="n">
        <v>1</v>
      </c>
      <c r="F5127" s="149" t="n">
        <f aca="false">IF(C5127="MAT.",VLOOKUP(A5127,INSUMOS_AUX!$A$3:$H$813,6,0),0)</f>
        <v>6.71</v>
      </c>
      <c r="G5127" s="149" t="n">
        <f aca="false">IF(C5127="M.O.",VLOOKUP(A5127,INSUMOS_AUX!A:F,6,0),0)</f>
        <v>0</v>
      </c>
    </row>
    <row r="5128" customFormat="false" ht="15" hidden="false" customHeight="false" outlineLevel="0" collapsed="false">
      <c r="A5128" s="154" t="n">
        <v>246</v>
      </c>
      <c r="B5128" s="155" t="s">
        <v>1752</v>
      </c>
      <c r="C5128" s="148" t="s">
        <v>59</v>
      </c>
      <c r="D5128" s="156" t="s">
        <v>1444</v>
      </c>
      <c r="E5128" s="154" t="n">
        <v>0.106582506</v>
      </c>
      <c r="F5128" s="149" t="n">
        <f aca="false">IF(C5128="MAT.",VLOOKUP(A5128,INSUMOS_AUX!$A$3:$H$813,6,0),0)</f>
        <v>0</v>
      </c>
      <c r="G5128" s="149" t="n">
        <f aca="false">IF(C5128="M.O.",VLOOKUP(A5128,INSUMOS_AUX!A:F,6,0),0)</f>
        <v>0</v>
      </c>
    </row>
    <row r="5129" customFormat="false" ht="15" hidden="false" customHeight="false" outlineLevel="0" collapsed="false">
      <c r="A5129" s="154" t="n">
        <v>2696</v>
      </c>
      <c r="B5129" s="155" t="s">
        <v>1483</v>
      </c>
      <c r="C5129" s="148" t="str">
        <f aca="false">VLOOKUP($A5129,INSUMOS_AUX!$A$3:$H$813,3,0)</f>
        <v>M.O.</v>
      </c>
      <c r="D5129" s="156" t="s">
        <v>1444</v>
      </c>
      <c r="E5129" s="154" t="n">
        <v>0.106582506</v>
      </c>
      <c r="F5129" s="149" t="n">
        <f aca="false">IF(C5129="MAT.",VLOOKUP(A5129,INSUMOS_AUX!$A$3:$H$813,6,0),0)</f>
        <v>0</v>
      </c>
      <c r="G5129" s="149" t="n">
        <f aca="false">IF(C5129="M.O.",VLOOKUP(A5129,INSUMOS_AUX!A:F,6,0),0)</f>
        <v>20.22</v>
      </c>
    </row>
    <row r="5130" customFormat="false" ht="31.5" hidden="false" customHeight="false" outlineLevel="0" collapsed="false">
      <c r="A5130" s="150" t="n">
        <v>104006</v>
      </c>
      <c r="B5130" s="151" t="s">
        <v>2338</v>
      </c>
      <c r="C5130" s="152" t="s">
        <v>59</v>
      </c>
      <c r="D5130" s="152" t="s">
        <v>31</v>
      </c>
      <c r="E5130" s="150"/>
      <c r="F5130" s="153" t="n">
        <f aca="false">(SUMPRODUCT($E5131:$E5142,F5131:F5142))*1</f>
        <v>16.267355</v>
      </c>
      <c r="G5130" s="153" t="n">
        <f aca="false">(SUMPRODUCT($E5131:$E5142,G5131:G5142))*1</f>
        <v>4.75685969916</v>
      </c>
    </row>
    <row r="5131" customFormat="false" ht="21" hidden="false" customHeight="false" outlineLevel="0" collapsed="false">
      <c r="A5131" s="154" t="n">
        <v>37370</v>
      </c>
      <c r="B5131" s="155" t="s">
        <v>1443</v>
      </c>
      <c r="C5131" s="148" t="str">
        <f aca="false">VLOOKUP($A5131,INSUMOS_AUX!$A$3:$H$813,3,0)</f>
        <v>MAT.</v>
      </c>
      <c r="D5131" s="156" t="s">
        <v>1444</v>
      </c>
      <c r="E5131" s="154" t="n">
        <v>0.4622</v>
      </c>
      <c r="F5131" s="149" t="n">
        <f aca="false">IF(C5131="MAT.",VLOOKUP(A5131,INSUMOS_AUX!$A$3:$H$813,6,0),0)</f>
        <v>3.32</v>
      </c>
      <c r="G5131" s="149" t="n">
        <f aca="false">IF(C5131="M.O.",VLOOKUP(A5131,INSUMOS_AUX!A:F,6,0),0)</f>
        <v>0</v>
      </c>
    </row>
    <row r="5132" customFormat="false" ht="21" hidden="false" customHeight="false" outlineLevel="0" collapsed="false">
      <c r="A5132" s="154" t="n">
        <v>43485</v>
      </c>
      <c r="B5132" s="155" t="s">
        <v>1481</v>
      </c>
      <c r="C5132" s="148" t="str">
        <f aca="false">VLOOKUP($A5132,INSUMOS_AUX!$A$3:$H$813,3,0)</f>
        <v>MAT.</v>
      </c>
      <c r="D5132" s="156" t="s">
        <v>1444</v>
      </c>
      <c r="E5132" s="154" t="n">
        <v>0.4622</v>
      </c>
      <c r="F5132" s="149" t="n">
        <f aca="false">IF(C5132="MAT.",VLOOKUP(A5132,INSUMOS_AUX!$A$3:$H$813,6,0),0)</f>
        <v>1.13</v>
      </c>
      <c r="G5132" s="149" t="n">
        <f aca="false">IF(C5132="M.O.",VLOOKUP(A5132,INSUMOS_AUX!A:F,6,0),0)</f>
        <v>0</v>
      </c>
    </row>
    <row r="5133" customFormat="false" ht="21" hidden="false" customHeight="false" outlineLevel="0" collapsed="false">
      <c r="A5133" s="154" t="n">
        <v>37372</v>
      </c>
      <c r="B5133" s="155" t="s">
        <v>1446</v>
      </c>
      <c r="C5133" s="148" t="str">
        <f aca="false">VLOOKUP($A5133,INSUMOS_AUX!$A$3:$H$813,3,0)</f>
        <v>MAT.</v>
      </c>
      <c r="D5133" s="156" t="s">
        <v>1444</v>
      </c>
      <c r="E5133" s="154" t="n">
        <v>0.4622</v>
      </c>
      <c r="F5133" s="149" t="n">
        <f aca="false">IF(C5133="MAT.",VLOOKUP(A5133,INSUMOS_AUX!$A$3:$H$813,6,0),0)</f>
        <v>1.43</v>
      </c>
      <c r="G5133" s="149" t="n">
        <f aca="false">IF(C5133="M.O.",VLOOKUP(A5133,INSUMOS_AUX!A:F,6,0),0)</f>
        <v>0</v>
      </c>
    </row>
    <row r="5134" customFormat="false" ht="21" hidden="false" customHeight="false" outlineLevel="0" collapsed="false">
      <c r="A5134" s="154" t="n">
        <v>43461</v>
      </c>
      <c r="B5134" s="155" t="s">
        <v>1482</v>
      </c>
      <c r="C5134" s="148" t="str">
        <f aca="false">VLOOKUP($A5134,INSUMOS_AUX!$A$3:$H$813,3,0)</f>
        <v>MAT.</v>
      </c>
      <c r="D5134" s="156" t="s">
        <v>1444</v>
      </c>
      <c r="E5134" s="154" t="n">
        <v>0.4622</v>
      </c>
      <c r="F5134" s="149" t="n">
        <f aca="false">IF(C5134="MAT.",VLOOKUP(A5134,INSUMOS_AUX!$A$3:$H$813,6,0),0)</f>
        <v>0.31</v>
      </c>
      <c r="G5134" s="149" t="n">
        <f aca="false">IF(C5134="M.O.",VLOOKUP(A5134,INSUMOS_AUX!A:F,6,0),0)</f>
        <v>0</v>
      </c>
    </row>
    <row r="5135" customFormat="false" ht="21" hidden="false" customHeight="false" outlineLevel="0" collapsed="false">
      <c r="A5135" s="154" t="n">
        <v>37373</v>
      </c>
      <c r="B5135" s="155" t="s">
        <v>1448</v>
      </c>
      <c r="C5135" s="148" t="str">
        <f aca="false">VLOOKUP($A5135,INSUMOS_AUX!$A$3:$H$813,3,0)</f>
        <v>MAT.</v>
      </c>
      <c r="D5135" s="156" t="s">
        <v>1444</v>
      </c>
      <c r="E5135" s="154" t="n">
        <v>0.4622</v>
      </c>
      <c r="F5135" s="149" t="n">
        <f aca="false">IF(C5135="MAT.",VLOOKUP(A5135,INSUMOS_AUX!$A$3:$H$813,6,0),0)</f>
        <v>0.08</v>
      </c>
      <c r="G5135" s="149" t="n">
        <f aca="false">IF(C5135="M.O.",VLOOKUP(A5135,INSUMOS_AUX!A:F,6,0),0)</f>
        <v>0</v>
      </c>
    </row>
    <row r="5136" customFormat="false" ht="21" hidden="false" customHeight="false" outlineLevel="0" collapsed="false">
      <c r="A5136" s="154" t="n">
        <v>37371</v>
      </c>
      <c r="B5136" s="155" t="s">
        <v>1449</v>
      </c>
      <c r="C5136" s="148" t="str">
        <f aca="false">VLOOKUP($A5136,INSUMOS_AUX!$A$3:$H$813,3,0)</f>
        <v>MAT.</v>
      </c>
      <c r="D5136" s="156" t="s">
        <v>1444</v>
      </c>
      <c r="E5136" s="154" t="n">
        <v>0.4622</v>
      </c>
      <c r="F5136" s="149" t="n">
        <f aca="false">IF(C5136="MAT.",VLOOKUP(A5136,INSUMOS_AUX!$A$3:$H$813,6,0),0)</f>
        <v>0.59</v>
      </c>
      <c r="G5136" s="149" t="n">
        <f aca="false">IF(C5136="M.O.",VLOOKUP(A5136,INSUMOS_AUX!A:F,6,0),0)</f>
        <v>0</v>
      </c>
    </row>
    <row r="5137" customFormat="false" ht="15" hidden="false" customHeight="false" outlineLevel="0" collapsed="false">
      <c r="A5137" s="154" t="n">
        <v>122</v>
      </c>
      <c r="B5137" s="155" t="s">
        <v>2097</v>
      </c>
      <c r="C5137" s="148" t="str">
        <f aca="false">VLOOKUP($A5137,INSUMOS_AUX!$A$3:$H$813,3,0)</f>
        <v>MAT.</v>
      </c>
      <c r="D5137" s="156" t="s">
        <v>31</v>
      </c>
      <c r="E5137" s="154" t="n">
        <v>0.0176</v>
      </c>
      <c r="F5137" s="149" t="n">
        <f aca="false">IF(C5137="MAT.",VLOOKUP(A5137,INSUMOS_AUX!$A$3:$H$813,6,0),0)</f>
        <v>63.09</v>
      </c>
      <c r="G5137" s="149" t="n">
        <f aca="false">IF(C5137="M.O.",VLOOKUP(A5137,INSUMOS_AUX!A:F,6,0),0)</f>
        <v>0</v>
      </c>
    </row>
    <row r="5138" customFormat="false" ht="15" hidden="false" customHeight="false" outlineLevel="0" collapsed="false">
      <c r="A5138" s="154" t="n">
        <v>38383</v>
      </c>
      <c r="B5138" s="155" t="s">
        <v>2093</v>
      </c>
      <c r="C5138" s="148" t="str">
        <f aca="false">VLOOKUP($A5138,INSUMOS_AUX!$A$3:$H$813,3,0)</f>
        <v>MAT.</v>
      </c>
      <c r="D5138" s="156" t="s">
        <v>31</v>
      </c>
      <c r="E5138" s="154" t="n">
        <v>0.0661</v>
      </c>
      <c r="F5138" s="149" t="n">
        <f aca="false">IF(C5138="MAT.",VLOOKUP(A5138,INSUMOS_AUX!$A$3:$H$813,6,0),0)</f>
        <v>2.39</v>
      </c>
      <c r="G5138" s="149" t="n">
        <f aca="false">IF(C5138="M.O.",VLOOKUP(A5138,INSUMOS_AUX!A:F,6,0),0)</f>
        <v>0</v>
      </c>
    </row>
    <row r="5139" customFormat="false" ht="21" hidden="false" customHeight="false" outlineLevel="0" collapsed="false">
      <c r="A5139" s="154" t="n">
        <v>20083</v>
      </c>
      <c r="B5139" s="155" t="s">
        <v>2095</v>
      </c>
      <c r="C5139" s="148" t="str">
        <f aca="false">VLOOKUP($A5139,INSUMOS_AUX!$A$3:$H$813,3,0)</f>
        <v>MAT.</v>
      </c>
      <c r="D5139" s="156" t="s">
        <v>31</v>
      </c>
      <c r="E5139" s="154" t="n">
        <v>0.0225</v>
      </c>
      <c r="F5139" s="149" t="n">
        <f aca="false">IF(C5139="MAT.",VLOOKUP(A5139,INSUMOS_AUX!$A$3:$H$813,6,0),0)</f>
        <v>71.48</v>
      </c>
      <c r="G5139" s="149" t="n">
        <f aca="false">IF(C5139="M.O.",VLOOKUP(A5139,INSUMOS_AUX!A:F,6,0),0)</f>
        <v>0</v>
      </c>
    </row>
    <row r="5140" customFormat="false" ht="21" hidden="false" customHeight="false" outlineLevel="0" collapsed="false">
      <c r="A5140" s="154" t="n">
        <v>7129</v>
      </c>
      <c r="B5140" s="155" t="s">
        <v>2339</v>
      </c>
      <c r="C5140" s="148" t="str">
        <f aca="false">VLOOKUP($A5140,INSUMOS_AUX!$A$3:$H$813,3,0)</f>
        <v>MAT.</v>
      </c>
      <c r="D5140" s="156" t="s">
        <v>31</v>
      </c>
      <c r="E5140" s="154" t="n">
        <v>1</v>
      </c>
      <c r="F5140" s="149" t="n">
        <f aca="false">IF(C5140="MAT.",VLOOKUP(A5140,INSUMOS_AUX!$A$3:$H$813,6,0),0)</f>
        <v>10.22</v>
      </c>
      <c r="G5140" s="149" t="n">
        <f aca="false">IF(C5140="M.O.",VLOOKUP(A5140,INSUMOS_AUX!A:F,6,0),0)</f>
        <v>0</v>
      </c>
    </row>
    <row r="5141" customFormat="false" ht="15" hidden="false" customHeight="false" outlineLevel="0" collapsed="false">
      <c r="A5141" s="154" t="n">
        <v>246</v>
      </c>
      <c r="B5141" s="155" t="s">
        <v>1752</v>
      </c>
      <c r="C5141" s="148" t="s">
        <v>59</v>
      </c>
      <c r="D5141" s="156" t="s">
        <v>1444</v>
      </c>
      <c r="E5141" s="154" t="n">
        <v>0.235255178</v>
      </c>
      <c r="F5141" s="149" t="n">
        <f aca="false">IF(C5141="MAT.",VLOOKUP(A5141,INSUMOS_AUX!$A$3:$H$813,6,0),0)</f>
        <v>0</v>
      </c>
      <c r="G5141" s="149" t="n">
        <f aca="false">IF(C5141="M.O.",VLOOKUP(A5141,INSUMOS_AUX!A:F,6,0),0)</f>
        <v>0</v>
      </c>
    </row>
    <row r="5142" customFormat="false" ht="15" hidden="false" customHeight="false" outlineLevel="0" collapsed="false">
      <c r="A5142" s="154" t="n">
        <v>2696</v>
      </c>
      <c r="B5142" s="155" t="s">
        <v>1483</v>
      </c>
      <c r="C5142" s="148" t="str">
        <f aca="false">VLOOKUP($A5142,INSUMOS_AUX!$A$3:$H$813,3,0)</f>
        <v>M.O.</v>
      </c>
      <c r="D5142" s="156" t="s">
        <v>1444</v>
      </c>
      <c r="E5142" s="154" t="n">
        <v>0.235255178</v>
      </c>
      <c r="F5142" s="149" t="n">
        <f aca="false">IF(C5142="MAT.",VLOOKUP(A5142,INSUMOS_AUX!$A$3:$H$813,6,0),0)</f>
        <v>0</v>
      </c>
      <c r="G5142" s="149" t="n">
        <f aca="false">IF(C5142="M.O.",VLOOKUP(A5142,INSUMOS_AUX!A:F,6,0),0)</f>
        <v>20.22</v>
      </c>
    </row>
    <row r="5143" customFormat="false" ht="21" hidden="false" customHeight="false" outlineLevel="0" collapsed="false">
      <c r="A5143" s="150" t="n">
        <v>89630</v>
      </c>
      <c r="B5143" s="151" t="s">
        <v>2340</v>
      </c>
      <c r="C5143" s="152" t="s">
        <v>59</v>
      </c>
      <c r="D5143" s="152" t="s">
        <v>31</v>
      </c>
      <c r="E5143" s="150"/>
      <c r="F5143" s="153" t="n">
        <f aca="false">(SUMPRODUCT($E5144:$E5155,F5144:F5155))*1</f>
        <v>51.564256</v>
      </c>
      <c r="G5143" s="153" t="n">
        <f aca="false">(SUMPRODUCT($E5144:$E5155,G5144:G5155))*1</f>
        <v>4.27520449812</v>
      </c>
    </row>
    <row r="5144" customFormat="false" ht="21" hidden="false" customHeight="false" outlineLevel="0" collapsed="false">
      <c r="A5144" s="154" t="n">
        <v>37370</v>
      </c>
      <c r="B5144" s="155" t="s">
        <v>1443</v>
      </c>
      <c r="C5144" s="148" t="str">
        <f aca="false">VLOOKUP($A5144,INSUMOS_AUX!$A$3:$H$813,3,0)</f>
        <v>MAT.</v>
      </c>
      <c r="D5144" s="156" t="s">
        <v>1444</v>
      </c>
      <c r="E5144" s="154" t="n">
        <v>0.4154</v>
      </c>
      <c r="F5144" s="149" t="n">
        <f aca="false">IF(C5144="MAT.",VLOOKUP(A5144,INSUMOS_AUX!$A$3:$H$813,6,0),0)</f>
        <v>3.32</v>
      </c>
      <c r="G5144" s="149" t="n">
        <f aca="false">IF(C5144="M.O.",VLOOKUP(A5144,INSUMOS_AUX!A:F,6,0),0)</f>
        <v>0</v>
      </c>
    </row>
    <row r="5145" customFormat="false" ht="21" hidden="false" customHeight="false" outlineLevel="0" collapsed="false">
      <c r="A5145" s="154" t="n">
        <v>43485</v>
      </c>
      <c r="B5145" s="155" t="s">
        <v>1481</v>
      </c>
      <c r="C5145" s="148" t="str">
        <f aca="false">VLOOKUP($A5145,INSUMOS_AUX!$A$3:$H$813,3,0)</f>
        <v>MAT.</v>
      </c>
      <c r="D5145" s="156" t="s">
        <v>1444</v>
      </c>
      <c r="E5145" s="154" t="n">
        <v>0.4154</v>
      </c>
      <c r="F5145" s="149" t="n">
        <f aca="false">IF(C5145="MAT.",VLOOKUP(A5145,INSUMOS_AUX!$A$3:$H$813,6,0),0)</f>
        <v>1.13</v>
      </c>
      <c r="G5145" s="149" t="n">
        <f aca="false">IF(C5145="M.O.",VLOOKUP(A5145,INSUMOS_AUX!A:F,6,0),0)</f>
        <v>0</v>
      </c>
    </row>
    <row r="5146" customFormat="false" ht="21" hidden="false" customHeight="false" outlineLevel="0" collapsed="false">
      <c r="A5146" s="154" t="n">
        <v>37372</v>
      </c>
      <c r="B5146" s="155" t="s">
        <v>1446</v>
      </c>
      <c r="C5146" s="148" t="str">
        <f aca="false">VLOOKUP($A5146,INSUMOS_AUX!$A$3:$H$813,3,0)</f>
        <v>MAT.</v>
      </c>
      <c r="D5146" s="156" t="s">
        <v>1444</v>
      </c>
      <c r="E5146" s="154" t="n">
        <v>0.4154</v>
      </c>
      <c r="F5146" s="149" t="n">
        <f aca="false">IF(C5146="MAT.",VLOOKUP(A5146,INSUMOS_AUX!$A$3:$H$813,6,0),0)</f>
        <v>1.43</v>
      </c>
      <c r="G5146" s="149" t="n">
        <f aca="false">IF(C5146="M.O.",VLOOKUP(A5146,INSUMOS_AUX!A:F,6,0),0)</f>
        <v>0</v>
      </c>
    </row>
    <row r="5147" customFormat="false" ht="21" hidden="false" customHeight="false" outlineLevel="0" collapsed="false">
      <c r="A5147" s="154" t="n">
        <v>43461</v>
      </c>
      <c r="B5147" s="155" t="s">
        <v>1482</v>
      </c>
      <c r="C5147" s="148" t="str">
        <f aca="false">VLOOKUP($A5147,INSUMOS_AUX!$A$3:$H$813,3,0)</f>
        <v>MAT.</v>
      </c>
      <c r="D5147" s="156" t="s">
        <v>1444</v>
      </c>
      <c r="E5147" s="154" t="n">
        <v>0.4154</v>
      </c>
      <c r="F5147" s="149" t="n">
        <f aca="false">IF(C5147="MAT.",VLOOKUP(A5147,INSUMOS_AUX!$A$3:$H$813,6,0),0)</f>
        <v>0.31</v>
      </c>
      <c r="G5147" s="149" t="n">
        <f aca="false">IF(C5147="M.O.",VLOOKUP(A5147,INSUMOS_AUX!A:F,6,0),0)</f>
        <v>0</v>
      </c>
    </row>
    <row r="5148" customFormat="false" ht="21" hidden="false" customHeight="false" outlineLevel="0" collapsed="false">
      <c r="A5148" s="154" t="n">
        <v>37373</v>
      </c>
      <c r="B5148" s="155" t="s">
        <v>1448</v>
      </c>
      <c r="C5148" s="148" t="str">
        <f aca="false">VLOOKUP($A5148,INSUMOS_AUX!$A$3:$H$813,3,0)</f>
        <v>MAT.</v>
      </c>
      <c r="D5148" s="156" t="s">
        <v>1444</v>
      </c>
      <c r="E5148" s="154" t="n">
        <v>0.4154</v>
      </c>
      <c r="F5148" s="149" t="n">
        <f aca="false">IF(C5148="MAT.",VLOOKUP(A5148,INSUMOS_AUX!$A$3:$H$813,6,0),0)</f>
        <v>0.08</v>
      </c>
      <c r="G5148" s="149" t="n">
        <f aca="false">IF(C5148="M.O.",VLOOKUP(A5148,INSUMOS_AUX!A:F,6,0),0)</f>
        <v>0</v>
      </c>
    </row>
    <row r="5149" customFormat="false" ht="21" hidden="false" customHeight="false" outlineLevel="0" collapsed="false">
      <c r="A5149" s="154" t="n">
        <v>37371</v>
      </c>
      <c r="B5149" s="155" t="s">
        <v>1449</v>
      </c>
      <c r="C5149" s="148" t="str">
        <f aca="false">VLOOKUP($A5149,INSUMOS_AUX!$A$3:$H$813,3,0)</f>
        <v>MAT.</v>
      </c>
      <c r="D5149" s="156" t="s">
        <v>1444</v>
      </c>
      <c r="E5149" s="154" t="n">
        <v>0.4154</v>
      </c>
      <c r="F5149" s="149" t="n">
        <f aca="false">IF(C5149="MAT.",VLOOKUP(A5149,INSUMOS_AUX!$A$3:$H$813,6,0),0)</f>
        <v>0.59</v>
      </c>
      <c r="G5149" s="149" t="n">
        <f aca="false">IF(C5149="M.O.",VLOOKUP(A5149,INSUMOS_AUX!A:F,6,0),0)</f>
        <v>0</v>
      </c>
    </row>
    <row r="5150" customFormat="false" ht="15" hidden="false" customHeight="false" outlineLevel="0" collapsed="false">
      <c r="A5150" s="154" t="n">
        <v>122</v>
      </c>
      <c r="B5150" s="155" t="s">
        <v>2097</v>
      </c>
      <c r="C5150" s="148" t="str">
        <f aca="false">VLOOKUP($A5150,INSUMOS_AUX!$A$3:$H$813,3,0)</f>
        <v>MAT.</v>
      </c>
      <c r="D5150" s="156" t="s">
        <v>31</v>
      </c>
      <c r="E5150" s="154" t="n">
        <v>0.0318</v>
      </c>
      <c r="F5150" s="149" t="n">
        <f aca="false">IF(C5150="MAT.",VLOOKUP(A5150,INSUMOS_AUX!$A$3:$H$813,6,0),0)</f>
        <v>63.09</v>
      </c>
      <c r="G5150" s="149" t="n">
        <f aca="false">IF(C5150="M.O.",VLOOKUP(A5150,INSUMOS_AUX!A:F,6,0),0)</f>
        <v>0</v>
      </c>
    </row>
    <row r="5151" customFormat="false" ht="15" hidden="false" customHeight="false" outlineLevel="0" collapsed="false">
      <c r="A5151" s="154" t="n">
        <v>38383</v>
      </c>
      <c r="B5151" s="155" t="s">
        <v>2093</v>
      </c>
      <c r="C5151" s="148" t="str">
        <f aca="false">VLOOKUP($A5151,INSUMOS_AUX!$A$3:$H$813,3,0)</f>
        <v>MAT.</v>
      </c>
      <c r="D5151" s="156" t="s">
        <v>31</v>
      </c>
      <c r="E5151" s="154" t="n">
        <v>0.037</v>
      </c>
      <c r="F5151" s="149" t="n">
        <f aca="false">IF(C5151="MAT.",VLOOKUP(A5151,INSUMOS_AUX!$A$3:$H$813,6,0),0)</f>
        <v>2.39</v>
      </c>
      <c r="G5151" s="149" t="n">
        <f aca="false">IF(C5151="M.O.",VLOOKUP(A5151,INSUMOS_AUX!A:F,6,0),0)</f>
        <v>0</v>
      </c>
    </row>
    <row r="5152" customFormat="false" ht="21" hidden="false" customHeight="false" outlineLevel="0" collapsed="false">
      <c r="A5152" s="154" t="n">
        <v>20083</v>
      </c>
      <c r="B5152" s="155" t="s">
        <v>2095</v>
      </c>
      <c r="C5152" s="148" t="str">
        <f aca="false">VLOOKUP($A5152,INSUMOS_AUX!$A$3:$H$813,3,0)</f>
        <v>MAT.</v>
      </c>
      <c r="D5152" s="156" t="s">
        <v>31</v>
      </c>
      <c r="E5152" s="154" t="n">
        <v>0.054</v>
      </c>
      <c r="F5152" s="149" t="n">
        <f aca="false">IF(C5152="MAT.",VLOOKUP(A5152,INSUMOS_AUX!$A$3:$H$813,6,0),0)</f>
        <v>71.48</v>
      </c>
      <c r="G5152" s="149" t="n">
        <f aca="false">IF(C5152="M.O.",VLOOKUP(A5152,INSUMOS_AUX!A:F,6,0),0)</f>
        <v>0</v>
      </c>
    </row>
    <row r="5153" customFormat="false" ht="21" hidden="false" customHeight="false" outlineLevel="0" collapsed="false">
      <c r="A5153" s="154" t="n">
        <v>7132</v>
      </c>
      <c r="B5153" s="155" t="s">
        <v>2341</v>
      </c>
      <c r="C5153" s="148" t="str">
        <f aca="false">VLOOKUP($A5153,INSUMOS_AUX!$A$3:$H$813,3,0)</f>
        <v>MAT.</v>
      </c>
      <c r="D5153" s="156" t="s">
        <v>31</v>
      </c>
      <c r="E5153" s="154" t="n">
        <v>1</v>
      </c>
      <c r="F5153" s="149" t="n">
        <f aca="false">IF(C5153="MAT.",VLOOKUP(A5153,INSUMOS_AUX!$A$3:$H$813,6,0),0)</f>
        <v>42.76</v>
      </c>
      <c r="G5153" s="149" t="n">
        <f aca="false">IF(C5153="M.O.",VLOOKUP(A5153,INSUMOS_AUX!A:F,6,0),0)</f>
        <v>0</v>
      </c>
    </row>
    <row r="5154" customFormat="false" ht="15" hidden="false" customHeight="false" outlineLevel="0" collapsed="false">
      <c r="A5154" s="154" t="n">
        <v>246</v>
      </c>
      <c r="B5154" s="155" t="s">
        <v>1752</v>
      </c>
      <c r="C5154" s="148" t="s">
        <v>59</v>
      </c>
      <c r="D5154" s="156" t="s">
        <v>1444</v>
      </c>
      <c r="E5154" s="154" t="n">
        <v>0.211434446</v>
      </c>
      <c r="F5154" s="149" t="n">
        <f aca="false">IF(C5154="MAT.",VLOOKUP(A5154,INSUMOS_AUX!$A$3:$H$813,6,0),0)</f>
        <v>0</v>
      </c>
      <c r="G5154" s="149" t="n">
        <f aca="false">IF(C5154="M.O.",VLOOKUP(A5154,INSUMOS_AUX!A:F,6,0),0)</f>
        <v>0</v>
      </c>
    </row>
    <row r="5155" customFormat="false" ht="15" hidden="false" customHeight="false" outlineLevel="0" collapsed="false">
      <c r="A5155" s="154" t="n">
        <v>2696</v>
      </c>
      <c r="B5155" s="155" t="s">
        <v>1483</v>
      </c>
      <c r="C5155" s="148" t="str">
        <f aca="false">VLOOKUP($A5155,INSUMOS_AUX!$A$3:$H$813,3,0)</f>
        <v>M.O.</v>
      </c>
      <c r="D5155" s="156" t="s">
        <v>1444</v>
      </c>
      <c r="E5155" s="154" t="n">
        <v>0.211434446</v>
      </c>
      <c r="F5155" s="149" t="n">
        <f aca="false">IF(C5155="MAT.",VLOOKUP(A5155,INSUMOS_AUX!$A$3:$H$813,6,0),0)</f>
        <v>0</v>
      </c>
      <c r="G5155" s="149" t="n">
        <f aca="false">IF(C5155="M.O.",VLOOKUP(A5155,INSUMOS_AUX!A:F,6,0),0)</f>
        <v>20.22</v>
      </c>
    </row>
    <row r="5156" customFormat="false" ht="21" hidden="false" customHeight="false" outlineLevel="0" collapsed="false">
      <c r="A5156" s="150" t="n">
        <v>89552</v>
      </c>
      <c r="B5156" s="151" t="s">
        <v>2342</v>
      </c>
      <c r="C5156" s="152" t="s">
        <v>59</v>
      </c>
      <c r="D5156" s="152" t="s">
        <v>31</v>
      </c>
      <c r="E5156" s="150"/>
      <c r="F5156" s="153" t="n">
        <f aca="false">(SUMPRODUCT($E5157:$E5168,F5157:F5168))*1</f>
        <v>15.712279</v>
      </c>
      <c r="G5156" s="153" t="n">
        <f aca="false">(SUMPRODUCT($E5157:$E5168,G5157:G5168))*1</f>
        <v>1.18767115812</v>
      </c>
    </row>
    <row r="5157" customFormat="false" ht="21" hidden="false" customHeight="false" outlineLevel="0" collapsed="false">
      <c r="A5157" s="154" t="n">
        <v>37370</v>
      </c>
      <c r="B5157" s="155" t="s">
        <v>1443</v>
      </c>
      <c r="C5157" s="148" t="str">
        <f aca="false">VLOOKUP($A5157,INSUMOS_AUX!$A$3:$H$813,3,0)</f>
        <v>MAT.</v>
      </c>
      <c r="D5157" s="156" t="s">
        <v>1444</v>
      </c>
      <c r="E5157" s="154" t="n">
        <v>0.1154</v>
      </c>
      <c r="F5157" s="149" t="n">
        <f aca="false">IF(C5157="MAT.",VLOOKUP(A5157,INSUMOS_AUX!$A$3:$H$813,6,0),0)</f>
        <v>3.32</v>
      </c>
      <c r="G5157" s="149" t="n">
        <f aca="false">IF(C5157="M.O.",VLOOKUP(A5157,INSUMOS_AUX!A:F,6,0),0)</f>
        <v>0</v>
      </c>
    </row>
    <row r="5158" customFormat="false" ht="21" hidden="false" customHeight="false" outlineLevel="0" collapsed="false">
      <c r="A5158" s="154" t="n">
        <v>43485</v>
      </c>
      <c r="B5158" s="155" t="s">
        <v>1481</v>
      </c>
      <c r="C5158" s="148" t="str">
        <f aca="false">VLOOKUP($A5158,INSUMOS_AUX!$A$3:$H$813,3,0)</f>
        <v>MAT.</v>
      </c>
      <c r="D5158" s="156" t="s">
        <v>1444</v>
      </c>
      <c r="E5158" s="154" t="n">
        <v>0.1154</v>
      </c>
      <c r="F5158" s="149" t="n">
        <f aca="false">IF(C5158="MAT.",VLOOKUP(A5158,INSUMOS_AUX!$A$3:$H$813,6,0),0)</f>
        <v>1.13</v>
      </c>
      <c r="G5158" s="149" t="n">
        <f aca="false">IF(C5158="M.O.",VLOOKUP(A5158,INSUMOS_AUX!A:F,6,0),0)</f>
        <v>0</v>
      </c>
    </row>
    <row r="5159" customFormat="false" ht="21" hidden="false" customHeight="false" outlineLevel="0" collapsed="false">
      <c r="A5159" s="154" t="n">
        <v>37372</v>
      </c>
      <c r="B5159" s="155" t="s">
        <v>1446</v>
      </c>
      <c r="C5159" s="148" t="str">
        <f aca="false">VLOOKUP($A5159,INSUMOS_AUX!$A$3:$H$813,3,0)</f>
        <v>MAT.</v>
      </c>
      <c r="D5159" s="156" t="s">
        <v>1444</v>
      </c>
      <c r="E5159" s="154" t="n">
        <v>0.1154</v>
      </c>
      <c r="F5159" s="149" t="n">
        <f aca="false">IF(C5159="MAT.",VLOOKUP(A5159,INSUMOS_AUX!$A$3:$H$813,6,0),0)</f>
        <v>1.43</v>
      </c>
      <c r="G5159" s="149" t="n">
        <f aca="false">IF(C5159="M.O.",VLOOKUP(A5159,INSUMOS_AUX!A:F,6,0),0)</f>
        <v>0</v>
      </c>
    </row>
    <row r="5160" customFormat="false" ht="21" hidden="false" customHeight="false" outlineLevel="0" collapsed="false">
      <c r="A5160" s="154" t="n">
        <v>43461</v>
      </c>
      <c r="B5160" s="155" t="s">
        <v>1482</v>
      </c>
      <c r="C5160" s="148" t="str">
        <f aca="false">VLOOKUP($A5160,INSUMOS_AUX!$A$3:$H$813,3,0)</f>
        <v>MAT.</v>
      </c>
      <c r="D5160" s="156" t="s">
        <v>1444</v>
      </c>
      <c r="E5160" s="154" t="n">
        <v>0.1154</v>
      </c>
      <c r="F5160" s="149" t="n">
        <f aca="false">IF(C5160="MAT.",VLOOKUP(A5160,INSUMOS_AUX!$A$3:$H$813,6,0),0)</f>
        <v>0.31</v>
      </c>
      <c r="G5160" s="149" t="n">
        <f aca="false">IF(C5160="M.O.",VLOOKUP(A5160,INSUMOS_AUX!A:F,6,0),0)</f>
        <v>0</v>
      </c>
    </row>
    <row r="5161" customFormat="false" ht="21" hidden="false" customHeight="false" outlineLevel="0" collapsed="false">
      <c r="A5161" s="154" t="n">
        <v>37373</v>
      </c>
      <c r="B5161" s="155" t="s">
        <v>1448</v>
      </c>
      <c r="C5161" s="148" t="str">
        <f aca="false">VLOOKUP($A5161,INSUMOS_AUX!$A$3:$H$813,3,0)</f>
        <v>MAT.</v>
      </c>
      <c r="D5161" s="156" t="s">
        <v>1444</v>
      </c>
      <c r="E5161" s="154" t="n">
        <v>0.1154</v>
      </c>
      <c r="F5161" s="149" t="n">
        <f aca="false">IF(C5161="MAT.",VLOOKUP(A5161,INSUMOS_AUX!$A$3:$H$813,6,0),0)</f>
        <v>0.08</v>
      </c>
      <c r="G5161" s="149" t="n">
        <f aca="false">IF(C5161="M.O.",VLOOKUP(A5161,INSUMOS_AUX!A:F,6,0),0)</f>
        <v>0</v>
      </c>
    </row>
    <row r="5162" customFormat="false" ht="21" hidden="false" customHeight="false" outlineLevel="0" collapsed="false">
      <c r="A5162" s="154" t="n">
        <v>37371</v>
      </c>
      <c r="B5162" s="155" t="s">
        <v>1449</v>
      </c>
      <c r="C5162" s="148" t="str">
        <f aca="false">VLOOKUP($A5162,INSUMOS_AUX!$A$3:$H$813,3,0)</f>
        <v>MAT.</v>
      </c>
      <c r="D5162" s="156" t="s">
        <v>1444</v>
      </c>
      <c r="E5162" s="154" t="n">
        <v>0.1154</v>
      </c>
      <c r="F5162" s="149" t="n">
        <f aca="false">IF(C5162="MAT.",VLOOKUP(A5162,INSUMOS_AUX!$A$3:$H$813,6,0),0)</f>
        <v>0.59</v>
      </c>
      <c r="G5162" s="149" t="n">
        <f aca="false">IF(C5162="M.O.",VLOOKUP(A5162,INSUMOS_AUX!A:F,6,0),0)</f>
        <v>0</v>
      </c>
    </row>
    <row r="5163" customFormat="false" ht="15" hidden="false" customHeight="false" outlineLevel="0" collapsed="false">
      <c r="A5163" s="154" t="n">
        <v>122</v>
      </c>
      <c r="B5163" s="155" t="s">
        <v>2097</v>
      </c>
      <c r="C5163" s="148" t="str">
        <f aca="false">VLOOKUP($A5163,INSUMOS_AUX!$A$3:$H$813,3,0)</f>
        <v>MAT.</v>
      </c>
      <c r="D5163" s="156" t="s">
        <v>31</v>
      </c>
      <c r="E5163" s="154" t="n">
        <v>0.0094</v>
      </c>
      <c r="F5163" s="149" t="n">
        <f aca="false">IF(C5163="MAT.",VLOOKUP(A5163,INSUMOS_AUX!$A$3:$H$813,6,0),0)</f>
        <v>63.09</v>
      </c>
      <c r="G5163" s="149" t="n">
        <f aca="false">IF(C5163="M.O.",VLOOKUP(A5163,INSUMOS_AUX!A:F,6,0),0)</f>
        <v>0</v>
      </c>
    </row>
    <row r="5164" customFormat="false" ht="15" hidden="false" customHeight="false" outlineLevel="0" collapsed="false">
      <c r="A5164" s="154" t="n">
        <v>38383</v>
      </c>
      <c r="B5164" s="155" t="s">
        <v>2093</v>
      </c>
      <c r="C5164" s="148" t="str">
        <f aca="false">VLOOKUP($A5164,INSUMOS_AUX!$A$3:$H$813,3,0)</f>
        <v>MAT.</v>
      </c>
      <c r="D5164" s="156" t="s">
        <v>31</v>
      </c>
      <c r="E5164" s="154" t="n">
        <v>0.0131</v>
      </c>
      <c r="F5164" s="149" t="n">
        <f aca="false">IF(C5164="MAT.",VLOOKUP(A5164,INSUMOS_AUX!$A$3:$H$813,6,0),0)</f>
        <v>2.39</v>
      </c>
      <c r="G5164" s="149" t="n">
        <f aca="false">IF(C5164="M.O.",VLOOKUP(A5164,INSUMOS_AUX!A:F,6,0),0)</f>
        <v>0</v>
      </c>
    </row>
    <row r="5165" customFormat="false" ht="21" hidden="false" customHeight="false" outlineLevel="0" collapsed="false">
      <c r="A5165" s="154" t="n">
        <v>20083</v>
      </c>
      <c r="B5165" s="155" t="s">
        <v>2095</v>
      </c>
      <c r="C5165" s="148" t="str">
        <f aca="false">VLOOKUP($A5165,INSUMOS_AUX!$A$3:$H$813,3,0)</f>
        <v>MAT.</v>
      </c>
      <c r="D5165" s="156" t="s">
        <v>31</v>
      </c>
      <c r="E5165" s="154" t="n">
        <v>0.011</v>
      </c>
      <c r="F5165" s="149" t="n">
        <f aca="false">IF(C5165="MAT.",VLOOKUP(A5165,INSUMOS_AUX!$A$3:$H$813,6,0),0)</f>
        <v>71.48</v>
      </c>
      <c r="G5165" s="149" t="n">
        <f aca="false">IF(C5165="M.O.",VLOOKUP(A5165,INSUMOS_AUX!A:F,6,0),0)</f>
        <v>0</v>
      </c>
    </row>
    <row r="5166" customFormat="false" ht="15" hidden="false" customHeight="false" outlineLevel="0" collapsed="false">
      <c r="A5166" s="154" t="n">
        <v>9895</v>
      </c>
      <c r="B5166" s="155" t="s">
        <v>2343</v>
      </c>
      <c r="C5166" s="148" t="str">
        <f aca="false">VLOOKUP($A5166,INSUMOS_AUX!$A$3:$H$813,3,0)</f>
        <v>MAT.</v>
      </c>
      <c r="D5166" s="156" t="s">
        <v>31</v>
      </c>
      <c r="E5166" s="154" t="n">
        <v>1</v>
      </c>
      <c r="F5166" s="149" t="n">
        <f aca="false">IF(C5166="MAT.",VLOOKUP(A5166,INSUMOS_AUX!$A$3:$H$813,6,0),0)</f>
        <v>13.51</v>
      </c>
      <c r="G5166" s="149" t="n">
        <f aca="false">IF(C5166="M.O.",VLOOKUP(A5166,INSUMOS_AUX!A:F,6,0),0)</f>
        <v>0</v>
      </c>
    </row>
    <row r="5167" customFormat="false" ht="15" hidden="false" customHeight="false" outlineLevel="0" collapsed="false">
      <c r="A5167" s="154" t="n">
        <v>246</v>
      </c>
      <c r="B5167" s="155" t="s">
        <v>1752</v>
      </c>
      <c r="C5167" s="148" t="s">
        <v>59</v>
      </c>
      <c r="D5167" s="156" t="s">
        <v>1444</v>
      </c>
      <c r="E5167" s="154" t="n">
        <v>0.058737446</v>
      </c>
      <c r="F5167" s="149" t="n">
        <f aca="false">IF(C5167="MAT.",VLOOKUP(A5167,INSUMOS_AUX!$A$3:$H$813,6,0),0)</f>
        <v>0</v>
      </c>
      <c r="G5167" s="149" t="n">
        <f aca="false">IF(C5167="M.O.",VLOOKUP(A5167,INSUMOS_AUX!A:F,6,0),0)</f>
        <v>0</v>
      </c>
    </row>
    <row r="5168" customFormat="false" ht="15" hidden="false" customHeight="false" outlineLevel="0" collapsed="false">
      <c r="A5168" s="154" t="n">
        <v>2696</v>
      </c>
      <c r="B5168" s="155" t="s">
        <v>1483</v>
      </c>
      <c r="C5168" s="148" t="str">
        <f aca="false">VLOOKUP($A5168,INSUMOS_AUX!$A$3:$H$813,3,0)</f>
        <v>M.O.</v>
      </c>
      <c r="D5168" s="156" t="s">
        <v>1444</v>
      </c>
      <c r="E5168" s="154" t="n">
        <v>0.058737446</v>
      </c>
      <c r="F5168" s="149" t="n">
        <f aca="false">IF(C5168="MAT.",VLOOKUP(A5168,INSUMOS_AUX!$A$3:$H$813,6,0),0)</f>
        <v>0</v>
      </c>
      <c r="G5168" s="149" t="n">
        <f aca="false">IF(C5168="M.O.",VLOOKUP(A5168,INSUMOS_AUX!A:F,6,0),0)</f>
        <v>20.22</v>
      </c>
    </row>
    <row r="5169" customFormat="false" ht="31.5" hidden="false" customHeight="false" outlineLevel="0" collapsed="false">
      <c r="A5169" s="150" t="n">
        <v>89366</v>
      </c>
      <c r="B5169" s="151" t="s">
        <v>2344</v>
      </c>
      <c r="C5169" s="152" t="s">
        <v>59</v>
      </c>
      <c r="D5169" s="152" t="s">
        <v>31</v>
      </c>
      <c r="E5169" s="150"/>
      <c r="F5169" s="153" t="n">
        <f aca="false">(SUMPRODUCT($E5170:$E5181,F5170:F5181))*1</f>
        <v>10.986125</v>
      </c>
      <c r="G5169" s="153" t="n">
        <f aca="false">(SUMPRODUCT($E5170:$E5181,G5170:G5181))*1</f>
        <v>2.91463147296</v>
      </c>
    </row>
    <row r="5170" customFormat="false" ht="21" hidden="false" customHeight="false" outlineLevel="0" collapsed="false">
      <c r="A5170" s="154" t="n">
        <v>37370</v>
      </c>
      <c r="B5170" s="155" t="s">
        <v>1443</v>
      </c>
      <c r="C5170" s="148" t="str">
        <f aca="false">VLOOKUP($A5170,INSUMOS_AUX!$A$3:$H$813,3,0)</f>
        <v>MAT.</v>
      </c>
      <c r="D5170" s="156" t="s">
        <v>1444</v>
      </c>
      <c r="E5170" s="154" t="n">
        <v>0.2832</v>
      </c>
      <c r="F5170" s="149" t="n">
        <f aca="false">IF(C5170="MAT.",VLOOKUP(A5170,INSUMOS_AUX!$A$3:$H$813,6,0),0)</f>
        <v>3.32</v>
      </c>
      <c r="G5170" s="149" t="n">
        <f aca="false">IF(C5170="M.O.",VLOOKUP(A5170,INSUMOS_AUX!A:F,6,0),0)</f>
        <v>0</v>
      </c>
    </row>
    <row r="5171" customFormat="false" ht="21" hidden="false" customHeight="false" outlineLevel="0" collapsed="false">
      <c r="A5171" s="154" t="n">
        <v>43485</v>
      </c>
      <c r="B5171" s="155" t="s">
        <v>1481</v>
      </c>
      <c r="C5171" s="148" t="str">
        <f aca="false">VLOOKUP($A5171,INSUMOS_AUX!$A$3:$H$813,3,0)</f>
        <v>MAT.</v>
      </c>
      <c r="D5171" s="156" t="s">
        <v>1444</v>
      </c>
      <c r="E5171" s="154" t="n">
        <v>0.2832</v>
      </c>
      <c r="F5171" s="149" t="n">
        <f aca="false">IF(C5171="MAT.",VLOOKUP(A5171,INSUMOS_AUX!$A$3:$H$813,6,0),0)</f>
        <v>1.13</v>
      </c>
      <c r="G5171" s="149" t="n">
        <f aca="false">IF(C5171="M.O.",VLOOKUP(A5171,INSUMOS_AUX!A:F,6,0),0)</f>
        <v>0</v>
      </c>
    </row>
    <row r="5172" customFormat="false" ht="21" hidden="false" customHeight="false" outlineLevel="0" collapsed="false">
      <c r="A5172" s="154" t="n">
        <v>37372</v>
      </c>
      <c r="B5172" s="155" t="s">
        <v>1446</v>
      </c>
      <c r="C5172" s="148" t="str">
        <f aca="false">VLOOKUP($A5172,INSUMOS_AUX!$A$3:$H$813,3,0)</f>
        <v>MAT.</v>
      </c>
      <c r="D5172" s="156" t="s">
        <v>1444</v>
      </c>
      <c r="E5172" s="154" t="n">
        <v>0.2832</v>
      </c>
      <c r="F5172" s="149" t="n">
        <f aca="false">IF(C5172="MAT.",VLOOKUP(A5172,INSUMOS_AUX!$A$3:$H$813,6,0),0)</f>
        <v>1.43</v>
      </c>
      <c r="G5172" s="149" t="n">
        <f aca="false">IF(C5172="M.O.",VLOOKUP(A5172,INSUMOS_AUX!A:F,6,0),0)</f>
        <v>0</v>
      </c>
    </row>
    <row r="5173" customFormat="false" ht="21" hidden="false" customHeight="false" outlineLevel="0" collapsed="false">
      <c r="A5173" s="154" t="n">
        <v>43461</v>
      </c>
      <c r="B5173" s="155" t="s">
        <v>1482</v>
      </c>
      <c r="C5173" s="148" t="str">
        <f aca="false">VLOOKUP($A5173,INSUMOS_AUX!$A$3:$H$813,3,0)</f>
        <v>MAT.</v>
      </c>
      <c r="D5173" s="156" t="s">
        <v>1444</v>
      </c>
      <c r="E5173" s="154" t="n">
        <v>0.2832</v>
      </c>
      <c r="F5173" s="149" t="n">
        <f aca="false">IF(C5173="MAT.",VLOOKUP(A5173,INSUMOS_AUX!$A$3:$H$813,6,0),0)</f>
        <v>0.31</v>
      </c>
      <c r="G5173" s="149" t="n">
        <f aca="false">IF(C5173="M.O.",VLOOKUP(A5173,INSUMOS_AUX!A:F,6,0),0)</f>
        <v>0</v>
      </c>
    </row>
    <row r="5174" customFormat="false" ht="21" hidden="false" customHeight="false" outlineLevel="0" collapsed="false">
      <c r="A5174" s="154" t="n">
        <v>37373</v>
      </c>
      <c r="B5174" s="155" t="s">
        <v>1448</v>
      </c>
      <c r="C5174" s="148" t="str">
        <f aca="false">VLOOKUP($A5174,INSUMOS_AUX!$A$3:$H$813,3,0)</f>
        <v>MAT.</v>
      </c>
      <c r="D5174" s="156" t="s">
        <v>1444</v>
      </c>
      <c r="E5174" s="154" t="n">
        <v>0.2832</v>
      </c>
      <c r="F5174" s="149" t="n">
        <f aca="false">IF(C5174="MAT.",VLOOKUP(A5174,INSUMOS_AUX!$A$3:$H$813,6,0),0)</f>
        <v>0.08</v>
      </c>
      <c r="G5174" s="149" t="n">
        <f aca="false">IF(C5174="M.O.",VLOOKUP(A5174,INSUMOS_AUX!A:F,6,0),0)</f>
        <v>0</v>
      </c>
    </row>
    <row r="5175" customFormat="false" ht="21" hidden="false" customHeight="false" outlineLevel="0" collapsed="false">
      <c r="A5175" s="154" t="n">
        <v>37371</v>
      </c>
      <c r="B5175" s="155" t="s">
        <v>1449</v>
      </c>
      <c r="C5175" s="148" t="str">
        <f aca="false">VLOOKUP($A5175,INSUMOS_AUX!$A$3:$H$813,3,0)</f>
        <v>MAT.</v>
      </c>
      <c r="D5175" s="156" t="s">
        <v>1444</v>
      </c>
      <c r="E5175" s="154" t="n">
        <v>0.2832</v>
      </c>
      <c r="F5175" s="149" t="n">
        <f aca="false">IF(C5175="MAT.",VLOOKUP(A5175,INSUMOS_AUX!$A$3:$H$813,6,0),0)</f>
        <v>0.59</v>
      </c>
      <c r="G5175" s="149" t="n">
        <f aca="false">IF(C5175="M.O.",VLOOKUP(A5175,INSUMOS_AUX!A:F,6,0),0)</f>
        <v>0</v>
      </c>
    </row>
    <row r="5176" customFormat="false" ht="15" hidden="false" customHeight="false" outlineLevel="0" collapsed="false">
      <c r="A5176" s="154" t="n">
        <v>122</v>
      </c>
      <c r="B5176" s="155" t="s">
        <v>2097</v>
      </c>
      <c r="C5176" s="148" t="str">
        <f aca="false">VLOOKUP($A5176,INSUMOS_AUX!$A$3:$H$813,3,0)</f>
        <v>MAT.</v>
      </c>
      <c r="D5176" s="156" t="s">
        <v>31</v>
      </c>
      <c r="E5176" s="154" t="n">
        <v>0.0059</v>
      </c>
      <c r="F5176" s="149" t="n">
        <f aca="false">IF(C5176="MAT.",VLOOKUP(A5176,INSUMOS_AUX!$A$3:$H$813,6,0),0)</f>
        <v>63.09</v>
      </c>
      <c r="G5176" s="149" t="n">
        <f aca="false">IF(C5176="M.O.",VLOOKUP(A5176,INSUMOS_AUX!A:F,6,0),0)</f>
        <v>0</v>
      </c>
    </row>
    <row r="5177" customFormat="false" ht="21" hidden="false" customHeight="false" outlineLevel="0" collapsed="false">
      <c r="A5177" s="154" t="n">
        <v>3524</v>
      </c>
      <c r="B5177" s="155" t="s">
        <v>2345</v>
      </c>
      <c r="C5177" s="148" t="str">
        <f aca="false">VLOOKUP($A5177,INSUMOS_AUX!$A$3:$H$813,3,0)</f>
        <v>MAT.</v>
      </c>
      <c r="D5177" s="156" t="s">
        <v>31</v>
      </c>
      <c r="E5177" s="154" t="n">
        <v>1</v>
      </c>
      <c r="F5177" s="149" t="n">
        <f aca="false">IF(C5177="MAT.",VLOOKUP(A5177,INSUMOS_AUX!$A$3:$H$813,6,0),0)</f>
        <v>8.09</v>
      </c>
      <c r="G5177" s="149" t="n">
        <f aca="false">IF(C5177="M.O.",VLOOKUP(A5177,INSUMOS_AUX!A:F,6,0),0)</f>
        <v>0</v>
      </c>
    </row>
    <row r="5178" customFormat="false" ht="15" hidden="false" customHeight="false" outlineLevel="0" collapsed="false">
      <c r="A5178" s="154" t="n">
        <v>38383</v>
      </c>
      <c r="B5178" s="155" t="s">
        <v>2093</v>
      </c>
      <c r="C5178" s="148" t="str">
        <f aca="false">VLOOKUP($A5178,INSUMOS_AUX!$A$3:$H$813,3,0)</f>
        <v>MAT.</v>
      </c>
      <c r="D5178" s="156" t="s">
        <v>31</v>
      </c>
      <c r="E5178" s="154" t="n">
        <v>0.0338</v>
      </c>
      <c r="F5178" s="149" t="n">
        <f aca="false">IF(C5178="MAT.",VLOOKUP(A5178,INSUMOS_AUX!$A$3:$H$813,6,0),0)</f>
        <v>2.39</v>
      </c>
      <c r="G5178" s="149" t="n">
        <f aca="false">IF(C5178="M.O.",VLOOKUP(A5178,INSUMOS_AUX!A:F,6,0),0)</f>
        <v>0</v>
      </c>
    </row>
    <row r="5179" customFormat="false" ht="21" hidden="false" customHeight="false" outlineLevel="0" collapsed="false">
      <c r="A5179" s="154" t="n">
        <v>20083</v>
      </c>
      <c r="B5179" s="155" t="s">
        <v>2095</v>
      </c>
      <c r="C5179" s="148" t="str">
        <f aca="false">VLOOKUP($A5179,INSUMOS_AUX!$A$3:$H$813,3,0)</f>
        <v>MAT.</v>
      </c>
      <c r="D5179" s="156" t="s">
        <v>31</v>
      </c>
      <c r="E5179" s="154" t="n">
        <v>0.007</v>
      </c>
      <c r="F5179" s="149" t="n">
        <f aca="false">IF(C5179="MAT.",VLOOKUP(A5179,INSUMOS_AUX!$A$3:$H$813,6,0),0)</f>
        <v>71.48</v>
      </c>
      <c r="G5179" s="149" t="n">
        <f aca="false">IF(C5179="M.O.",VLOOKUP(A5179,INSUMOS_AUX!A:F,6,0),0)</f>
        <v>0</v>
      </c>
    </row>
    <row r="5180" customFormat="false" ht="15" hidden="false" customHeight="false" outlineLevel="0" collapsed="false">
      <c r="A5180" s="154" t="n">
        <v>246</v>
      </c>
      <c r="B5180" s="155" t="s">
        <v>1752</v>
      </c>
      <c r="C5180" s="148" t="s">
        <v>59</v>
      </c>
      <c r="D5180" s="156" t="s">
        <v>1444</v>
      </c>
      <c r="E5180" s="154" t="n">
        <v>0.144145968</v>
      </c>
      <c r="F5180" s="149" t="n">
        <f aca="false">IF(C5180="MAT.",VLOOKUP(A5180,INSUMOS_AUX!$A$3:$H$813,6,0),0)</f>
        <v>0</v>
      </c>
      <c r="G5180" s="149" t="n">
        <f aca="false">IF(C5180="M.O.",VLOOKUP(A5180,INSUMOS_AUX!A:F,6,0),0)</f>
        <v>0</v>
      </c>
    </row>
    <row r="5181" customFormat="false" ht="15" hidden="false" customHeight="false" outlineLevel="0" collapsed="false">
      <c r="A5181" s="154" t="n">
        <v>2696</v>
      </c>
      <c r="B5181" s="155" t="s">
        <v>1483</v>
      </c>
      <c r="C5181" s="148" t="str">
        <f aca="false">VLOOKUP($A5181,INSUMOS_AUX!$A$3:$H$813,3,0)</f>
        <v>M.O.</v>
      </c>
      <c r="D5181" s="156" t="s">
        <v>1444</v>
      </c>
      <c r="E5181" s="154" t="n">
        <v>0.144145968</v>
      </c>
      <c r="F5181" s="149" t="n">
        <f aca="false">IF(C5181="MAT.",VLOOKUP(A5181,INSUMOS_AUX!$A$3:$H$813,6,0),0)</f>
        <v>0</v>
      </c>
      <c r="G5181" s="149" t="n">
        <f aca="false">IF(C5181="M.O.",VLOOKUP(A5181,INSUMOS_AUX!A:F,6,0),0)</f>
        <v>20.22</v>
      </c>
    </row>
    <row r="5182" customFormat="false" ht="31.5" hidden="false" customHeight="false" outlineLevel="0" collapsed="false">
      <c r="A5182" s="150" t="n">
        <v>90373</v>
      </c>
      <c r="B5182" s="151" t="s">
        <v>2346</v>
      </c>
      <c r="C5182" s="152" t="s">
        <v>59</v>
      </c>
      <c r="D5182" s="152" t="s">
        <v>31</v>
      </c>
      <c r="E5182" s="150"/>
      <c r="F5182" s="153" t="n">
        <f aca="false">(SUMPRODUCT($E5183:$E5194,F5183:F5194))*1</f>
        <v>8.12794</v>
      </c>
      <c r="G5182" s="153" t="n">
        <f aca="false">(SUMPRODUCT($E5183:$E5194,G5183:G5194))*1</f>
        <v>2.70056249472</v>
      </c>
    </row>
    <row r="5183" customFormat="false" ht="21" hidden="false" customHeight="false" outlineLevel="0" collapsed="false">
      <c r="A5183" s="154" t="n">
        <v>37370</v>
      </c>
      <c r="B5183" s="155" t="s">
        <v>1443</v>
      </c>
      <c r="C5183" s="148" t="str">
        <f aca="false">VLOOKUP($A5183,INSUMOS_AUX!$A$3:$H$813,3,0)</f>
        <v>MAT.</v>
      </c>
      <c r="D5183" s="156" t="s">
        <v>1444</v>
      </c>
      <c r="E5183" s="154" t="n">
        <v>0.2624</v>
      </c>
      <c r="F5183" s="149" t="n">
        <f aca="false">IF(C5183="MAT.",VLOOKUP(A5183,INSUMOS_AUX!$A$3:$H$813,6,0),0)</f>
        <v>3.32</v>
      </c>
      <c r="G5183" s="149" t="n">
        <f aca="false">IF(C5183="M.O.",VLOOKUP(A5183,INSUMOS_AUX!A:F,6,0),0)</f>
        <v>0</v>
      </c>
    </row>
    <row r="5184" customFormat="false" ht="21" hidden="false" customHeight="false" outlineLevel="0" collapsed="false">
      <c r="A5184" s="154" t="n">
        <v>43485</v>
      </c>
      <c r="B5184" s="155" t="s">
        <v>1481</v>
      </c>
      <c r="C5184" s="148" t="str">
        <f aca="false">VLOOKUP($A5184,INSUMOS_AUX!$A$3:$H$813,3,0)</f>
        <v>MAT.</v>
      </c>
      <c r="D5184" s="156" t="s">
        <v>1444</v>
      </c>
      <c r="E5184" s="154" t="n">
        <v>0.2624</v>
      </c>
      <c r="F5184" s="149" t="n">
        <f aca="false">IF(C5184="MAT.",VLOOKUP(A5184,INSUMOS_AUX!$A$3:$H$813,6,0),0)</f>
        <v>1.13</v>
      </c>
      <c r="G5184" s="149" t="n">
        <f aca="false">IF(C5184="M.O.",VLOOKUP(A5184,INSUMOS_AUX!A:F,6,0),0)</f>
        <v>0</v>
      </c>
    </row>
    <row r="5185" customFormat="false" ht="21" hidden="false" customHeight="false" outlineLevel="0" collapsed="false">
      <c r="A5185" s="154" t="n">
        <v>37372</v>
      </c>
      <c r="B5185" s="155" t="s">
        <v>1446</v>
      </c>
      <c r="C5185" s="148" t="str">
        <f aca="false">VLOOKUP($A5185,INSUMOS_AUX!$A$3:$H$813,3,0)</f>
        <v>MAT.</v>
      </c>
      <c r="D5185" s="156" t="s">
        <v>1444</v>
      </c>
      <c r="E5185" s="154" t="n">
        <v>0.2624</v>
      </c>
      <c r="F5185" s="149" t="n">
        <f aca="false">IF(C5185="MAT.",VLOOKUP(A5185,INSUMOS_AUX!$A$3:$H$813,6,0),0)</f>
        <v>1.43</v>
      </c>
      <c r="G5185" s="149" t="n">
        <f aca="false">IF(C5185="M.O.",VLOOKUP(A5185,INSUMOS_AUX!A:F,6,0),0)</f>
        <v>0</v>
      </c>
    </row>
    <row r="5186" customFormat="false" ht="21" hidden="false" customHeight="false" outlineLevel="0" collapsed="false">
      <c r="A5186" s="154" t="n">
        <v>43461</v>
      </c>
      <c r="B5186" s="155" t="s">
        <v>1482</v>
      </c>
      <c r="C5186" s="148" t="str">
        <f aca="false">VLOOKUP($A5186,INSUMOS_AUX!$A$3:$H$813,3,0)</f>
        <v>MAT.</v>
      </c>
      <c r="D5186" s="156" t="s">
        <v>1444</v>
      </c>
      <c r="E5186" s="154" t="n">
        <v>0.2624</v>
      </c>
      <c r="F5186" s="149" t="n">
        <f aca="false">IF(C5186="MAT.",VLOOKUP(A5186,INSUMOS_AUX!$A$3:$H$813,6,0),0)</f>
        <v>0.31</v>
      </c>
      <c r="G5186" s="149" t="n">
        <f aca="false">IF(C5186="M.O.",VLOOKUP(A5186,INSUMOS_AUX!A:F,6,0),0)</f>
        <v>0</v>
      </c>
    </row>
    <row r="5187" customFormat="false" ht="21" hidden="false" customHeight="false" outlineLevel="0" collapsed="false">
      <c r="A5187" s="154" t="n">
        <v>37373</v>
      </c>
      <c r="B5187" s="155" t="s">
        <v>1448</v>
      </c>
      <c r="C5187" s="148" t="str">
        <f aca="false">VLOOKUP($A5187,INSUMOS_AUX!$A$3:$H$813,3,0)</f>
        <v>MAT.</v>
      </c>
      <c r="D5187" s="156" t="s">
        <v>1444</v>
      </c>
      <c r="E5187" s="154" t="n">
        <v>0.2624</v>
      </c>
      <c r="F5187" s="149" t="n">
        <f aca="false">IF(C5187="MAT.",VLOOKUP(A5187,INSUMOS_AUX!$A$3:$H$813,6,0),0)</f>
        <v>0.08</v>
      </c>
      <c r="G5187" s="149" t="n">
        <f aca="false">IF(C5187="M.O.",VLOOKUP(A5187,INSUMOS_AUX!A:F,6,0),0)</f>
        <v>0</v>
      </c>
    </row>
    <row r="5188" customFormat="false" ht="21" hidden="false" customHeight="false" outlineLevel="0" collapsed="false">
      <c r="A5188" s="154" t="n">
        <v>37371</v>
      </c>
      <c r="B5188" s="155" t="s">
        <v>1449</v>
      </c>
      <c r="C5188" s="148" t="str">
        <f aca="false">VLOOKUP($A5188,INSUMOS_AUX!$A$3:$H$813,3,0)</f>
        <v>MAT.</v>
      </c>
      <c r="D5188" s="156" t="s">
        <v>1444</v>
      </c>
      <c r="E5188" s="154" t="n">
        <v>0.2624</v>
      </c>
      <c r="F5188" s="149" t="n">
        <f aca="false">IF(C5188="MAT.",VLOOKUP(A5188,INSUMOS_AUX!$A$3:$H$813,6,0),0)</f>
        <v>0.59</v>
      </c>
      <c r="G5188" s="149" t="n">
        <f aca="false">IF(C5188="M.O.",VLOOKUP(A5188,INSUMOS_AUX!A:F,6,0),0)</f>
        <v>0</v>
      </c>
    </row>
    <row r="5189" customFormat="false" ht="15" hidden="false" customHeight="false" outlineLevel="0" collapsed="false">
      <c r="A5189" s="154" t="n">
        <v>122</v>
      </c>
      <c r="B5189" s="155" t="s">
        <v>2097</v>
      </c>
      <c r="C5189" s="148" t="str">
        <f aca="false">VLOOKUP($A5189,INSUMOS_AUX!$A$3:$H$813,3,0)</f>
        <v>MAT.</v>
      </c>
      <c r="D5189" s="156" t="s">
        <v>31</v>
      </c>
      <c r="E5189" s="154" t="n">
        <v>0.0059</v>
      </c>
      <c r="F5189" s="149" t="n">
        <f aca="false">IF(C5189="MAT.",VLOOKUP(A5189,INSUMOS_AUX!$A$3:$H$813,6,0),0)</f>
        <v>63.09</v>
      </c>
      <c r="G5189" s="149" t="n">
        <f aca="false">IF(C5189="M.O.",VLOOKUP(A5189,INSUMOS_AUX!A:F,6,0),0)</f>
        <v>0</v>
      </c>
    </row>
    <row r="5190" customFormat="false" ht="21" hidden="false" customHeight="false" outlineLevel="0" collapsed="false">
      <c r="A5190" s="154" t="n">
        <v>20147</v>
      </c>
      <c r="B5190" s="155" t="s">
        <v>2347</v>
      </c>
      <c r="C5190" s="148" t="str">
        <f aca="false">VLOOKUP($A5190,INSUMOS_AUX!$A$3:$H$813,3,0)</f>
        <v>MAT.</v>
      </c>
      <c r="D5190" s="156" t="s">
        <v>31</v>
      </c>
      <c r="E5190" s="154" t="n">
        <v>1</v>
      </c>
      <c r="F5190" s="149" t="n">
        <f aca="false">IF(C5190="MAT.",VLOOKUP(A5190,INSUMOS_AUX!$A$3:$H$813,6,0),0)</f>
        <v>5.38</v>
      </c>
      <c r="G5190" s="149" t="n">
        <f aca="false">IF(C5190="M.O.",VLOOKUP(A5190,INSUMOS_AUX!A:F,6,0),0)</f>
        <v>0</v>
      </c>
    </row>
    <row r="5191" customFormat="false" ht="15" hidden="false" customHeight="false" outlineLevel="0" collapsed="false">
      <c r="A5191" s="154" t="n">
        <v>38383</v>
      </c>
      <c r="B5191" s="155" t="s">
        <v>2093</v>
      </c>
      <c r="C5191" s="148" t="str">
        <f aca="false">VLOOKUP($A5191,INSUMOS_AUX!$A$3:$H$813,3,0)</f>
        <v>MAT.</v>
      </c>
      <c r="D5191" s="156" t="s">
        <v>31</v>
      </c>
      <c r="E5191" s="154" t="n">
        <v>0.0315</v>
      </c>
      <c r="F5191" s="149" t="n">
        <f aca="false">IF(C5191="MAT.",VLOOKUP(A5191,INSUMOS_AUX!$A$3:$H$813,6,0),0)</f>
        <v>2.39</v>
      </c>
      <c r="G5191" s="149" t="n">
        <f aca="false">IF(C5191="M.O.",VLOOKUP(A5191,INSUMOS_AUX!A:F,6,0),0)</f>
        <v>0</v>
      </c>
    </row>
    <row r="5192" customFormat="false" ht="21" hidden="false" customHeight="false" outlineLevel="0" collapsed="false">
      <c r="A5192" s="154" t="n">
        <v>20083</v>
      </c>
      <c r="B5192" s="155" t="s">
        <v>2095</v>
      </c>
      <c r="C5192" s="148" t="str">
        <f aca="false">VLOOKUP($A5192,INSUMOS_AUX!$A$3:$H$813,3,0)</f>
        <v>MAT.</v>
      </c>
      <c r="D5192" s="156" t="s">
        <v>31</v>
      </c>
      <c r="E5192" s="154" t="n">
        <v>0.007</v>
      </c>
      <c r="F5192" s="149" t="n">
        <f aca="false">IF(C5192="MAT.",VLOOKUP(A5192,INSUMOS_AUX!$A$3:$H$813,6,0),0)</f>
        <v>71.48</v>
      </c>
      <c r="G5192" s="149" t="n">
        <f aca="false">IF(C5192="M.O.",VLOOKUP(A5192,INSUMOS_AUX!A:F,6,0),0)</f>
        <v>0</v>
      </c>
    </row>
    <row r="5193" customFormat="false" ht="15" hidden="false" customHeight="false" outlineLevel="0" collapsed="false">
      <c r="A5193" s="154" t="n">
        <v>246</v>
      </c>
      <c r="B5193" s="155" t="s">
        <v>1752</v>
      </c>
      <c r="C5193" s="148" t="s">
        <v>59</v>
      </c>
      <c r="D5193" s="156" t="s">
        <v>1444</v>
      </c>
      <c r="E5193" s="154" t="n">
        <v>0.133558976</v>
      </c>
      <c r="F5193" s="149" t="n">
        <f aca="false">IF(C5193="MAT.",VLOOKUP(A5193,INSUMOS_AUX!$A$3:$H$813,6,0),0)</f>
        <v>0</v>
      </c>
      <c r="G5193" s="149" t="n">
        <f aca="false">IF(C5193="M.O.",VLOOKUP(A5193,INSUMOS_AUX!A:F,6,0),0)</f>
        <v>0</v>
      </c>
    </row>
    <row r="5194" customFormat="false" ht="15" hidden="false" customHeight="false" outlineLevel="0" collapsed="false">
      <c r="A5194" s="154" t="n">
        <v>2696</v>
      </c>
      <c r="B5194" s="155" t="s">
        <v>1483</v>
      </c>
      <c r="C5194" s="148" t="str">
        <f aca="false">VLOOKUP($A5194,INSUMOS_AUX!$A$3:$H$813,3,0)</f>
        <v>M.O.</v>
      </c>
      <c r="D5194" s="156" t="s">
        <v>1444</v>
      </c>
      <c r="E5194" s="154" t="n">
        <v>0.133558976</v>
      </c>
      <c r="F5194" s="149" t="n">
        <f aca="false">IF(C5194="MAT.",VLOOKUP(A5194,INSUMOS_AUX!$A$3:$H$813,6,0),0)</f>
        <v>0</v>
      </c>
      <c r="G5194" s="149" t="n">
        <f aca="false">IF(C5194="M.O.",VLOOKUP(A5194,INSUMOS_AUX!A:F,6,0),0)</f>
        <v>20.22</v>
      </c>
    </row>
    <row r="5195" customFormat="false" ht="31.5" hidden="false" customHeight="false" outlineLevel="0" collapsed="false">
      <c r="A5195" s="150" t="n">
        <v>89396</v>
      </c>
      <c r="B5195" s="151" t="s">
        <v>2348</v>
      </c>
      <c r="C5195" s="152" t="s">
        <v>59</v>
      </c>
      <c r="D5195" s="152" t="s">
        <v>31</v>
      </c>
      <c r="E5195" s="150"/>
      <c r="F5195" s="153" t="n">
        <f aca="false">(SUMPRODUCT($E5196:$E5207,F5196:F5207))*1</f>
        <v>13.869664</v>
      </c>
      <c r="G5195" s="153" t="n">
        <f aca="false">(SUMPRODUCT($E5196:$E5207,G5196:G5207))*1</f>
        <v>3.59800551888</v>
      </c>
    </row>
    <row r="5196" customFormat="false" ht="21" hidden="false" customHeight="false" outlineLevel="0" collapsed="false">
      <c r="A5196" s="154" t="n">
        <v>37370</v>
      </c>
      <c r="B5196" s="155" t="s">
        <v>1443</v>
      </c>
      <c r="C5196" s="148" t="str">
        <f aca="false">VLOOKUP($A5196,INSUMOS_AUX!$A$3:$H$813,3,0)</f>
        <v>MAT.</v>
      </c>
      <c r="D5196" s="156" t="s">
        <v>1444</v>
      </c>
      <c r="E5196" s="154" t="n">
        <v>0.3496</v>
      </c>
      <c r="F5196" s="149" t="n">
        <f aca="false">IF(C5196="MAT.",VLOOKUP(A5196,INSUMOS_AUX!$A$3:$H$813,6,0),0)</f>
        <v>3.32</v>
      </c>
      <c r="G5196" s="149" t="n">
        <f aca="false">IF(C5196="M.O.",VLOOKUP(A5196,INSUMOS_AUX!A:F,6,0),0)</f>
        <v>0</v>
      </c>
    </row>
    <row r="5197" customFormat="false" ht="21" hidden="false" customHeight="false" outlineLevel="0" collapsed="false">
      <c r="A5197" s="154" t="n">
        <v>43485</v>
      </c>
      <c r="B5197" s="155" t="s">
        <v>1481</v>
      </c>
      <c r="C5197" s="148" t="str">
        <f aca="false">VLOOKUP($A5197,INSUMOS_AUX!$A$3:$H$813,3,0)</f>
        <v>MAT.</v>
      </c>
      <c r="D5197" s="156" t="s">
        <v>1444</v>
      </c>
      <c r="E5197" s="154" t="n">
        <v>0.3496</v>
      </c>
      <c r="F5197" s="149" t="n">
        <f aca="false">IF(C5197="MAT.",VLOOKUP(A5197,INSUMOS_AUX!$A$3:$H$813,6,0),0)</f>
        <v>1.13</v>
      </c>
      <c r="G5197" s="149" t="n">
        <f aca="false">IF(C5197="M.O.",VLOOKUP(A5197,INSUMOS_AUX!A:F,6,0),0)</f>
        <v>0</v>
      </c>
    </row>
    <row r="5198" customFormat="false" ht="21" hidden="false" customHeight="false" outlineLevel="0" collapsed="false">
      <c r="A5198" s="154" t="n">
        <v>37372</v>
      </c>
      <c r="B5198" s="155" t="s">
        <v>1446</v>
      </c>
      <c r="C5198" s="148" t="str">
        <f aca="false">VLOOKUP($A5198,INSUMOS_AUX!$A$3:$H$813,3,0)</f>
        <v>MAT.</v>
      </c>
      <c r="D5198" s="156" t="s">
        <v>1444</v>
      </c>
      <c r="E5198" s="154" t="n">
        <v>0.3496</v>
      </c>
      <c r="F5198" s="149" t="n">
        <f aca="false">IF(C5198="MAT.",VLOOKUP(A5198,INSUMOS_AUX!$A$3:$H$813,6,0),0)</f>
        <v>1.43</v>
      </c>
      <c r="G5198" s="149" t="n">
        <f aca="false">IF(C5198="M.O.",VLOOKUP(A5198,INSUMOS_AUX!A:F,6,0),0)</f>
        <v>0</v>
      </c>
    </row>
    <row r="5199" customFormat="false" ht="21" hidden="false" customHeight="false" outlineLevel="0" collapsed="false">
      <c r="A5199" s="154" t="n">
        <v>43461</v>
      </c>
      <c r="B5199" s="155" t="s">
        <v>1482</v>
      </c>
      <c r="C5199" s="148" t="str">
        <f aca="false">VLOOKUP($A5199,INSUMOS_AUX!$A$3:$H$813,3,0)</f>
        <v>MAT.</v>
      </c>
      <c r="D5199" s="156" t="s">
        <v>1444</v>
      </c>
      <c r="E5199" s="154" t="n">
        <v>0.3496</v>
      </c>
      <c r="F5199" s="149" t="n">
        <f aca="false">IF(C5199="MAT.",VLOOKUP(A5199,INSUMOS_AUX!$A$3:$H$813,6,0),0)</f>
        <v>0.31</v>
      </c>
      <c r="G5199" s="149" t="n">
        <f aca="false">IF(C5199="M.O.",VLOOKUP(A5199,INSUMOS_AUX!A:F,6,0),0)</f>
        <v>0</v>
      </c>
    </row>
    <row r="5200" customFormat="false" ht="21" hidden="false" customHeight="false" outlineLevel="0" collapsed="false">
      <c r="A5200" s="154" t="n">
        <v>37373</v>
      </c>
      <c r="B5200" s="155" t="s">
        <v>1448</v>
      </c>
      <c r="C5200" s="148" t="str">
        <f aca="false">VLOOKUP($A5200,INSUMOS_AUX!$A$3:$H$813,3,0)</f>
        <v>MAT.</v>
      </c>
      <c r="D5200" s="156" t="s">
        <v>1444</v>
      </c>
      <c r="E5200" s="154" t="n">
        <v>0.3496</v>
      </c>
      <c r="F5200" s="149" t="n">
        <f aca="false">IF(C5200="MAT.",VLOOKUP(A5200,INSUMOS_AUX!$A$3:$H$813,6,0),0)</f>
        <v>0.08</v>
      </c>
      <c r="G5200" s="149" t="n">
        <f aca="false">IF(C5200="M.O.",VLOOKUP(A5200,INSUMOS_AUX!A:F,6,0),0)</f>
        <v>0</v>
      </c>
    </row>
    <row r="5201" customFormat="false" ht="21" hidden="false" customHeight="false" outlineLevel="0" collapsed="false">
      <c r="A5201" s="154" t="n">
        <v>37371</v>
      </c>
      <c r="B5201" s="155" t="s">
        <v>1449</v>
      </c>
      <c r="C5201" s="148" t="str">
        <f aca="false">VLOOKUP($A5201,INSUMOS_AUX!$A$3:$H$813,3,0)</f>
        <v>MAT.</v>
      </c>
      <c r="D5201" s="156" t="s">
        <v>1444</v>
      </c>
      <c r="E5201" s="154" t="n">
        <v>0.3496</v>
      </c>
      <c r="F5201" s="149" t="n">
        <f aca="false">IF(C5201="MAT.",VLOOKUP(A5201,INSUMOS_AUX!$A$3:$H$813,6,0),0)</f>
        <v>0.59</v>
      </c>
      <c r="G5201" s="149" t="n">
        <f aca="false">IF(C5201="M.O.",VLOOKUP(A5201,INSUMOS_AUX!A:F,6,0),0)</f>
        <v>0</v>
      </c>
    </row>
    <row r="5202" customFormat="false" ht="15" hidden="false" customHeight="false" outlineLevel="0" collapsed="false">
      <c r="A5202" s="154" t="n">
        <v>122</v>
      </c>
      <c r="B5202" s="155" t="s">
        <v>2097</v>
      </c>
      <c r="C5202" s="148" t="str">
        <f aca="false">VLOOKUP($A5202,INSUMOS_AUX!$A$3:$H$813,3,0)</f>
        <v>MAT.</v>
      </c>
      <c r="D5202" s="156" t="s">
        <v>31</v>
      </c>
      <c r="E5202" s="154" t="n">
        <v>0.0088</v>
      </c>
      <c r="F5202" s="149" t="n">
        <f aca="false">IF(C5202="MAT.",VLOOKUP(A5202,INSUMOS_AUX!$A$3:$H$813,6,0),0)</f>
        <v>63.09</v>
      </c>
      <c r="G5202" s="149" t="n">
        <f aca="false">IF(C5202="M.O.",VLOOKUP(A5202,INSUMOS_AUX!A:F,6,0),0)</f>
        <v>0</v>
      </c>
    </row>
    <row r="5203" customFormat="false" ht="15" hidden="false" customHeight="false" outlineLevel="0" collapsed="false">
      <c r="A5203" s="154" t="n">
        <v>38383</v>
      </c>
      <c r="B5203" s="155" t="s">
        <v>2093</v>
      </c>
      <c r="C5203" s="148" t="str">
        <f aca="false">VLOOKUP($A5203,INSUMOS_AUX!$A$3:$H$813,3,0)</f>
        <v>MAT.</v>
      </c>
      <c r="D5203" s="156" t="s">
        <v>31</v>
      </c>
      <c r="E5203" s="154" t="n">
        <v>0.0484</v>
      </c>
      <c r="F5203" s="149" t="n">
        <f aca="false">IF(C5203="MAT.",VLOOKUP(A5203,INSUMOS_AUX!$A$3:$H$813,6,0),0)</f>
        <v>2.39</v>
      </c>
      <c r="G5203" s="149" t="n">
        <f aca="false">IF(C5203="M.O.",VLOOKUP(A5203,INSUMOS_AUX!A:F,6,0),0)</f>
        <v>0</v>
      </c>
    </row>
    <row r="5204" customFormat="false" ht="21" hidden="false" customHeight="false" outlineLevel="0" collapsed="false">
      <c r="A5204" s="154" t="n">
        <v>20083</v>
      </c>
      <c r="B5204" s="155" t="s">
        <v>2095</v>
      </c>
      <c r="C5204" s="148" t="str">
        <f aca="false">VLOOKUP($A5204,INSUMOS_AUX!$A$3:$H$813,3,0)</f>
        <v>MAT.</v>
      </c>
      <c r="D5204" s="156" t="s">
        <v>31</v>
      </c>
      <c r="E5204" s="154" t="n">
        <v>0.0105</v>
      </c>
      <c r="F5204" s="149" t="n">
        <f aca="false">IF(C5204="MAT.",VLOOKUP(A5204,INSUMOS_AUX!$A$3:$H$813,6,0),0)</f>
        <v>71.48</v>
      </c>
      <c r="G5204" s="149" t="n">
        <f aca="false">IF(C5204="M.O.",VLOOKUP(A5204,INSUMOS_AUX!A:F,6,0),0)</f>
        <v>0</v>
      </c>
    </row>
    <row r="5205" customFormat="false" ht="21" hidden="false" customHeight="false" outlineLevel="0" collapsed="false">
      <c r="A5205" s="154" t="n">
        <v>7137</v>
      </c>
      <c r="B5205" s="155" t="s">
        <v>2349</v>
      </c>
      <c r="C5205" s="148" t="str">
        <f aca="false">VLOOKUP($A5205,INSUMOS_AUX!$A$3:$H$813,3,0)</f>
        <v>MAT.</v>
      </c>
      <c r="D5205" s="156" t="s">
        <v>31</v>
      </c>
      <c r="E5205" s="154" t="n">
        <v>1</v>
      </c>
      <c r="F5205" s="149" t="n">
        <f aca="false">IF(C5205="MAT.",VLOOKUP(A5205,INSUMOS_AUX!$A$3:$H$813,6,0),0)</f>
        <v>10.05</v>
      </c>
      <c r="G5205" s="149" t="n">
        <f aca="false">IF(C5205="M.O.",VLOOKUP(A5205,INSUMOS_AUX!A:F,6,0),0)</f>
        <v>0</v>
      </c>
    </row>
    <row r="5206" customFormat="false" ht="15" hidden="false" customHeight="false" outlineLevel="0" collapsed="false">
      <c r="A5206" s="154" t="n">
        <v>246</v>
      </c>
      <c r="B5206" s="155" t="s">
        <v>1752</v>
      </c>
      <c r="C5206" s="148" t="s">
        <v>59</v>
      </c>
      <c r="D5206" s="156" t="s">
        <v>1444</v>
      </c>
      <c r="E5206" s="154" t="n">
        <v>0.177942904</v>
      </c>
      <c r="F5206" s="149" t="n">
        <f aca="false">IF(C5206="MAT.",VLOOKUP(A5206,INSUMOS_AUX!$A$3:$H$813,6,0),0)</f>
        <v>0</v>
      </c>
      <c r="G5206" s="149" t="n">
        <f aca="false">IF(C5206="M.O.",VLOOKUP(A5206,INSUMOS_AUX!A:F,6,0),0)</f>
        <v>0</v>
      </c>
    </row>
    <row r="5207" customFormat="false" ht="15" hidden="false" customHeight="false" outlineLevel="0" collapsed="false">
      <c r="A5207" s="154" t="n">
        <v>2696</v>
      </c>
      <c r="B5207" s="155" t="s">
        <v>1483</v>
      </c>
      <c r="C5207" s="148" t="str">
        <f aca="false">VLOOKUP($A5207,INSUMOS_AUX!$A$3:$H$813,3,0)</f>
        <v>M.O.</v>
      </c>
      <c r="D5207" s="156" t="s">
        <v>1444</v>
      </c>
      <c r="E5207" s="154" t="n">
        <v>0.177942904</v>
      </c>
      <c r="F5207" s="149" t="n">
        <f aca="false">IF(C5207="MAT.",VLOOKUP(A5207,INSUMOS_AUX!$A$3:$H$813,6,0),0)</f>
        <v>0</v>
      </c>
      <c r="G5207" s="149" t="n">
        <f aca="false">IF(C5207="M.O.",VLOOKUP(A5207,INSUMOS_AUX!A:F,6,0),0)</f>
        <v>20.22</v>
      </c>
    </row>
    <row r="5208" customFormat="false" ht="31.5" hidden="false" customHeight="false" outlineLevel="0" collapsed="false">
      <c r="A5208" s="150" t="n">
        <v>90374</v>
      </c>
      <c r="B5208" s="151" t="s">
        <v>2350</v>
      </c>
      <c r="C5208" s="152" t="s">
        <v>59</v>
      </c>
      <c r="D5208" s="152" t="s">
        <v>31</v>
      </c>
      <c r="E5208" s="150"/>
      <c r="F5208" s="153" t="n">
        <f aca="false">(SUMPRODUCT($E5209:$E5220,F5209:F5220))*1</f>
        <v>15.070372</v>
      </c>
      <c r="G5208" s="153" t="n">
        <f aca="false">(SUMPRODUCT($E5209:$E5220,G5209:G5220))*1</f>
        <v>3.88411694172</v>
      </c>
    </row>
    <row r="5209" customFormat="false" ht="21" hidden="false" customHeight="false" outlineLevel="0" collapsed="false">
      <c r="A5209" s="154" t="n">
        <v>37370</v>
      </c>
      <c r="B5209" s="155" t="s">
        <v>1443</v>
      </c>
      <c r="C5209" s="148" t="str">
        <f aca="false">VLOOKUP($A5209,INSUMOS_AUX!$A$3:$H$813,3,0)</f>
        <v>MAT.</v>
      </c>
      <c r="D5209" s="156" t="s">
        <v>1444</v>
      </c>
      <c r="E5209" s="154" t="n">
        <v>0.3774</v>
      </c>
      <c r="F5209" s="149" t="n">
        <f aca="false">IF(C5209="MAT.",VLOOKUP(A5209,INSUMOS_AUX!$A$3:$H$813,6,0),0)</f>
        <v>3.32</v>
      </c>
      <c r="G5209" s="149" t="n">
        <f aca="false">IF(C5209="M.O.",VLOOKUP(A5209,INSUMOS_AUX!A:F,6,0),0)</f>
        <v>0</v>
      </c>
    </row>
    <row r="5210" customFormat="false" ht="21" hidden="false" customHeight="false" outlineLevel="0" collapsed="false">
      <c r="A5210" s="154" t="n">
        <v>43485</v>
      </c>
      <c r="B5210" s="155" t="s">
        <v>1481</v>
      </c>
      <c r="C5210" s="148" t="str">
        <f aca="false">VLOOKUP($A5210,INSUMOS_AUX!$A$3:$H$813,3,0)</f>
        <v>MAT.</v>
      </c>
      <c r="D5210" s="156" t="s">
        <v>1444</v>
      </c>
      <c r="E5210" s="154" t="n">
        <v>0.3774</v>
      </c>
      <c r="F5210" s="149" t="n">
        <f aca="false">IF(C5210="MAT.",VLOOKUP(A5210,INSUMOS_AUX!$A$3:$H$813,6,0),0)</f>
        <v>1.13</v>
      </c>
      <c r="G5210" s="149" t="n">
        <f aca="false">IF(C5210="M.O.",VLOOKUP(A5210,INSUMOS_AUX!A:F,6,0),0)</f>
        <v>0</v>
      </c>
    </row>
    <row r="5211" customFormat="false" ht="21" hidden="false" customHeight="false" outlineLevel="0" collapsed="false">
      <c r="A5211" s="154" t="n">
        <v>37372</v>
      </c>
      <c r="B5211" s="155" t="s">
        <v>1446</v>
      </c>
      <c r="C5211" s="148" t="str">
        <f aca="false">VLOOKUP($A5211,INSUMOS_AUX!$A$3:$H$813,3,0)</f>
        <v>MAT.</v>
      </c>
      <c r="D5211" s="156" t="s">
        <v>1444</v>
      </c>
      <c r="E5211" s="154" t="n">
        <v>0.3774</v>
      </c>
      <c r="F5211" s="149" t="n">
        <f aca="false">IF(C5211="MAT.",VLOOKUP(A5211,INSUMOS_AUX!$A$3:$H$813,6,0),0)</f>
        <v>1.43</v>
      </c>
      <c r="G5211" s="149" t="n">
        <f aca="false">IF(C5211="M.O.",VLOOKUP(A5211,INSUMOS_AUX!A:F,6,0),0)</f>
        <v>0</v>
      </c>
    </row>
    <row r="5212" customFormat="false" ht="21" hidden="false" customHeight="false" outlineLevel="0" collapsed="false">
      <c r="A5212" s="154" t="n">
        <v>43461</v>
      </c>
      <c r="B5212" s="155" t="s">
        <v>1482</v>
      </c>
      <c r="C5212" s="148" t="str">
        <f aca="false">VLOOKUP($A5212,INSUMOS_AUX!$A$3:$H$813,3,0)</f>
        <v>MAT.</v>
      </c>
      <c r="D5212" s="156" t="s">
        <v>1444</v>
      </c>
      <c r="E5212" s="154" t="n">
        <v>0.3774</v>
      </c>
      <c r="F5212" s="149" t="n">
        <f aca="false">IF(C5212="MAT.",VLOOKUP(A5212,INSUMOS_AUX!$A$3:$H$813,6,0),0)</f>
        <v>0.31</v>
      </c>
      <c r="G5212" s="149" t="n">
        <f aca="false">IF(C5212="M.O.",VLOOKUP(A5212,INSUMOS_AUX!A:F,6,0),0)</f>
        <v>0</v>
      </c>
    </row>
    <row r="5213" customFormat="false" ht="21" hidden="false" customHeight="false" outlineLevel="0" collapsed="false">
      <c r="A5213" s="154" t="n">
        <v>37373</v>
      </c>
      <c r="B5213" s="155" t="s">
        <v>1448</v>
      </c>
      <c r="C5213" s="148" t="str">
        <f aca="false">VLOOKUP($A5213,INSUMOS_AUX!$A$3:$H$813,3,0)</f>
        <v>MAT.</v>
      </c>
      <c r="D5213" s="156" t="s">
        <v>1444</v>
      </c>
      <c r="E5213" s="154" t="n">
        <v>0.3774</v>
      </c>
      <c r="F5213" s="149" t="n">
        <f aca="false">IF(C5213="MAT.",VLOOKUP(A5213,INSUMOS_AUX!$A$3:$H$813,6,0),0)</f>
        <v>0.08</v>
      </c>
      <c r="G5213" s="149" t="n">
        <f aca="false">IF(C5213="M.O.",VLOOKUP(A5213,INSUMOS_AUX!A:F,6,0),0)</f>
        <v>0</v>
      </c>
    </row>
    <row r="5214" customFormat="false" ht="21" hidden="false" customHeight="false" outlineLevel="0" collapsed="false">
      <c r="A5214" s="154" t="n">
        <v>37371</v>
      </c>
      <c r="B5214" s="155" t="s">
        <v>1449</v>
      </c>
      <c r="C5214" s="148" t="str">
        <f aca="false">VLOOKUP($A5214,INSUMOS_AUX!$A$3:$H$813,3,0)</f>
        <v>MAT.</v>
      </c>
      <c r="D5214" s="156" t="s">
        <v>1444</v>
      </c>
      <c r="E5214" s="154" t="n">
        <v>0.3774</v>
      </c>
      <c r="F5214" s="149" t="n">
        <f aca="false">IF(C5214="MAT.",VLOOKUP(A5214,INSUMOS_AUX!$A$3:$H$813,6,0),0)</f>
        <v>0.59</v>
      </c>
      <c r="G5214" s="149" t="n">
        <f aca="false">IF(C5214="M.O.",VLOOKUP(A5214,INSUMOS_AUX!A:F,6,0),0)</f>
        <v>0</v>
      </c>
    </row>
    <row r="5215" customFormat="false" ht="15" hidden="false" customHeight="false" outlineLevel="0" collapsed="false">
      <c r="A5215" s="154" t="n">
        <v>122</v>
      </c>
      <c r="B5215" s="155" t="s">
        <v>2097</v>
      </c>
      <c r="C5215" s="148" t="str">
        <f aca="false">VLOOKUP($A5215,INSUMOS_AUX!$A$3:$H$813,3,0)</f>
        <v>MAT.</v>
      </c>
      <c r="D5215" s="156" t="s">
        <v>31</v>
      </c>
      <c r="E5215" s="154" t="n">
        <v>0.0088</v>
      </c>
      <c r="F5215" s="149" t="n">
        <f aca="false">IF(C5215="MAT.",VLOOKUP(A5215,INSUMOS_AUX!$A$3:$H$813,6,0),0)</f>
        <v>63.09</v>
      </c>
      <c r="G5215" s="149" t="n">
        <f aca="false">IF(C5215="M.O.",VLOOKUP(A5215,INSUMOS_AUX!A:F,6,0),0)</f>
        <v>0</v>
      </c>
    </row>
    <row r="5216" customFormat="false" ht="15" hidden="false" customHeight="false" outlineLevel="0" collapsed="false">
      <c r="A5216" s="154" t="n">
        <v>38383</v>
      </c>
      <c r="B5216" s="155" t="s">
        <v>2093</v>
      </c>
      <c r="C5216" s="148" t="str">
        <f aca="false">VLOOKUP($A5216,INSUMOS_AUX!$A$3:$H$813,3,0)</f>
        <v>MAT.</v>
      </c>
      <c r="D5216" s="156" t="s">
        <v>31</v>
      </c>
      <c r="E5216" s="154" t="n">
        <v>0.0484</v>
      </c>
      <c r="F5216" s="149" t="n">
        <f aca="false">IF(C5216="MAT.",VLOOKUP(A5216,INSUMOS_AUX!$A$3:$H$813,6,0),0)</f>
        <v>2.39</v>
      </c>
      <c r="G5216" s="149" t="n">
        <f aca="false">IF(C5216="M.O.",VLOOKUP(A5216,INSUMOS_AUX!A:F,6,0),0)</f>
        <v>0</v>
      </c>
    </row>
    <row r="5217" customFormat="false" ht="21" hidden="false" customHeight="false" outlineLevel="0" collapsed="false">
      <c r="A5217" s="154" t="n">
        <v>20083</v>
      </c>
      <c r="B5217" s="155" t="s">
        <v>2095</v>
      </c>
      <c r="C5217" s="148" t="str">
        <f aca="false">VLOOKUP($A5217,INSUMOS_AUX!$A$3:$H$813,3,0)</f>
        <v>MAT.</v>
      </c>
      <c r="D5217" s="156" t="s">
        <v>31</v>
      </c>
      <c r="E5217" s="154" t="n">
        <v>0.0105</v>
      </c>
      <c r="F5217" s="149" t="n">
        <f aca="false">IF(C5217="MAT.",VLOOKUP(A5217,INSUMOS_AUX!$A$3:$H$813,6,0),0)</f>
        <v>71.48</v>
      </c>
      <c r="G5217" s="149" t="n">
        <f aca="false">IF(C5217="M.O.",VLOOKUP(A5217,INSUMOS_AUX!A:F,6,0),0)</f>
        <v>0</v>
      </c>
    </row>
    <row r="5218" customFormat="false" ht="21" hidden="false" customHeight="false" outlineLevel="0" collapsed="false">
      <c r="A5218" s="154" t="n">
        <v>7122</v>
      </c>
      <c r="B5218" s="155" t="s">
        <v>2351</v>
      </c>
      <c r="C5218" s="148" t="str">
        <f aca="false">VLOOKUP($A5218,INSUMOS_AUX!$A$3:$H$813,3,0)</f>
        <v>MAT.</v>
      </c>
      <c r="D5218" s="156" t="s">
        <v>31</v>
      </c>
      <c r="E5218" s="154" t="n">
        <v>1</v>
      </c>
      <c r="F5218" s="149" t="n">
        <f aca="false">IF(C5218="MAT.",VLOOKUP(A5218,INSUMOS_AUX!$A$3:$H$813,6,0),0)</f>
        <v>11.06</v>
      </c>
      <c r="G5218" s="149" t="n">
        <f aca="false">IF(C5218="M.O.",VLOOKUP(A5218,INSUMOS_AUX!A:F,6,0),0)</f>
        <v>0</v>
      </c>
    </row>
    <row r="5219" customFormat="false" ht="15" hidden="false" customHeight="false" outlineLevel="0" collapsed="false">
      <c r="A5219" s="154" t="n">
        <v>246</v>
      </c>
      <c r="B5219" s="155" t="s">
        <v>1752</v>
      </c>
      <c r="C5219" s="148" t="s">
        <v>59</v>
      </c>
      <c r="D5219" s="156" t="s">
        <v>1444</v>
      </c>
      <c r="E5219" s="154" t="n">
        <v>0.192092826</v>
      </c>
      <c r="F5219" s="149" t="n">
        <f aca="false">IF(C5219="MAT.",VLOOKUP(A5219,INSUMOS_AUX!$A$3:$H$813,6,0),0)</f>
        <v>0</v>
      </c>
      <c r="G5219" s="149" t="n">
        <f aca="false">IF(C5219="M.O.",VLOOKUP(A5219,INSUMOS_AUX!A:F,6,0),0)</f>
        <v>0</v>
      </c>
    </row>
    <row r="5220" customFormat="false" ht="15" hidden="false" customHeight="false" outlineLevel="0" collapsed="false">
      <c r="A5220" s="154" t="n">
        <v>2696</v>
      </c>
      <c r="B5220" s="155" t="s">
        <v>1483</v>
      </c>
      <c r="C5220" s="148" t="str">
        <f aca="false">VLOOKUP($A5220,INSUMOS_AUX!$A$3:$H$813,3,0)</f>
        <v>M.O.</v>
      </c>
      <c r="D5220" s="156" t="s">
        <v>1444</v>
      </c>
      <c r="E5220" s="154" t="n">
        <v>0.192092826</v>
      </c>
      <c r="F5220" s="149" t="n">
        <f aca="false">IF(C5220="MAT.",VLOOKUP(A5220,INSUMOS_AUX!$A$3:$H$813,6,0),0)</f>
        <v>0</v>
      </c>
      <c r="G5220" s="149" t="n">
        <f aca="false">IF(C5220="M.O.",VLOOKUP(A5220,INSUMOS_AUX!A:F,6,0),0)</f>
        <v>20.22</v>
      </c>
    </row>
    <row r="5221" customFormat="false" ht="21" hidden="false" customHeight="false" outlineLevel="0" collapsed="false">
      <c r="A5221" s="150" t="s">
        <v>871</v>
      </c>
      <c r="B5221" s="151" t="s">
        <v>2352</v>
      </c>
      <c r="C5221" s="152" t="s">
        <v>59</v>
      </c>
      <c r="D5221" s="152" t="s">
        <v>31</v>
      </c>
      <c r="E5221" s="150"/>
      <c r="F5221" s="153" t="n">
        <f aca="false">(SUMPRODUCT($E5222:$E5235,F5222:F5235))*1</f>
        <v>10.91</v>
      </c>
      <c r="G5221" s="153" t="n">
        <f aca="false">(SUMPRODUCT($E5222:$E5235,G5222:G5235))*1</f>
        <v>27.391353</v>
      </c>
    </row>
    <row r="5222" customFormat="false" ht="21" hidden="false" customHeight="false" outlineLevel="0" collapsed="false">
      <c r="A5222" s="154" t="n">
        <v>37370</v>
      </c>
      <c r="B5222" s="155" t="s">
        <v>1443</v>
      </c>
      <c r="C5222" s="148" t="str">
        <f aca="false">VLOOKUP($A5222,INSUMOS_AUX!$A$3:$H$813,3,0)</f>
        <v>MAT.</v>
      </c>
      <c r="D5222" s="156" t="s">
        <v>1444</v>
      </c>
      <c r="E5222" s="154" t="n">
        <v>1.5</v>
      </c>
      <c r="F5222" s="149" t="n">
        <f aca="false">IF(C5222="MAT.",VLOOKUP(A5222,INSUMOS_AUX!$A$3:$H$813,6,0),0)</f>
        <v>3.32</v>
      </c>
      <c r="G5222" s="149" t="n">
        <f aca="false">IF(C5222="M.O.",VLOOKUP(A5222,INSUMOS_AUX!A:F,6,0),0)</f>
        <v>0</v>
      </c>
    </row>
    <row r="5223" customFormat="false" ht="21" hidden="false" customHeight="false" outlineLevel="0" collapsed="false">
      <c r="A5223" s="154" t="n">
        <v>43484</v>
      </c>
      <c r="B5223" s="155" t="s">
        <v>1523</v>
      </c>
      <c r="C5223" s="148" t="str">
        <f aca="false">VLOOKUP($A5223,INSUMOS_AUX!$A$3:$H$813,3,0)</f>
        <v>MAT.</v>
      </c>
      <c r="D5223" s="156" t="s">
        <v>1444</v>
      </c>
      <c r="E5223" s="154" t="n">
        <v>0.5</v>
      </c>
      <c r="F5223" s="149" t="n">
        <f aca="false">IF(C5223="MAT.",VLOOKUP(A5223,INSUMOS_AUX!$A$3:$H$813,6,0),0)</f>
        <v>1.26</v>
      </c>
      <c r="G5223" s="149" t="n">
        <f aca="false">IF(C5223="M.O.",VLOOKUP(A5223,INSUMOS_AUX!A:F,6,0),0)</f>
        <v>0</v>
      </c>
    </row>
    <row r="5224" customFormat="false" ht="21" hidden="false" customHeight="false" outlineLevel="0" collapsed="false">
      <c r="A5224" s="154" t="n">
        <v>43485</v>
      </c>
      <c r="B5224" s="155" t="s">
        <v>1481</v>
      </c>
      <c r="C5224" s="148" t="str">
        <f aca="false">VLOOKUP($A5224,INSUMOS_AUX!$A$3:$H$813,3,0)</f>
        <v>MAT.</v>
      </c>
      <c r="D5224" s="156" t="s">
        <v>1444</v>
      </c>
      <c r="E5224" s="154" t="n">
        <v>0.5</v>
      </c>
      <c r="F5224" s="149" t="n">
        <f aca="false">IF(C5224="MAT.",VLOOKUP(A5224,INSUMOS_AUX!$A$3:$H$813,6,0),0)</f>
        <v>1.13</v>
      </c>
      <c r="G5224" s="149" t="n">
        <f aca="false">IF(C5224="M.O.",VLOOKUP(A5224,INSUMOS_AUX!A:F,6,0),0)</f>
        <v>0</v>
      </c>
    </row>
    <row r="5225" customFormat="false" ht="21" hidden="false" customHeight="false" outlineLevel="0" collapsed="false">
      <c r="A5225" s="154" t="n">
        <v>43491</v>
      </c>
      <c r="B5225" s="155" t="s">
        <v>1457</v>
      </c>
      <c r="C5225" s="148" t="str">
        <f aca="false">VLOOKUP($A5225,INSUMOS_AUX!$A$3:$H$813,3,0)</f>
        <v>MAT.</v>
      </c>
      <c r="D5225" s="156" t="s">
        <v>1444</v>
      </c>
      <c r="E5225" s="154" t="n">
        <v>0.5</v>
      </c>
      <c r="F5225" s="149" t="n">
        <f aca="false">IF(C5225="MAT.",VLOOKUP(A5225,INSUMOS_AUX!$A$3:$H$813,6,0),0)</f>
        <v>1.39</v>
      </c>
      <c r="G5225" s="149" t="n">
        <f aca="false">IF(C5225="M.O.",VLOOKUP(A5225,INSUMOS_AUX!A:F,6,0),0)</f>
        <v>0</v>
      </c>
    </row>
    <row r="5226" customFormat="false" ht="21" hidden="false" customHeight="false" outlineLevel="0" collapsed="false">
      <c r="A5226" s="154" t="n">
        <v>37372</v>
      </c>
      <c r="B5226" s="155" t="s">
        <v>1446</v>
      </c>
      <c r="C5226" s="148" t="str">
        <f aca="false">VLOOKUP($A5226,INSUMOS_AUX!$A$3:$H$813,3,0)</f>
        <v>MAT.</v>
      </c>
      <c r="D5226" s="156" t="s">
        <v>1444</v>
      </c>
      <c r="E5226" s="154" t="n">
        <v>1.5</v>
      </c>
      <c r="F5226" s="149" t="n">
        <f aca="false">IF(C5226="MAT.",VLOOKUP(A5226,INSUMOS_AUX!$A$3:$H$813,6,0),0)</f>
        <v>1.43</v>
      </c>
      <c r="G5226" s="149" t="n">
        <f aca="false">IF(C5226="M.O.",VLOOKUP(A5226,INSUMOS_AUX!A:F,6,0),0)</f>
        <v>0</v>
      </c>
    </row>
    <row r="5227" customFormat="false" ht="21" hidden="false" customHeight="false" outlineLevel="0" collapsed="false">
      <c r="A5227" s="154" t="n">
        <v>43460</v>
      </c>
      <c r="B5227" s="155" t="s">
        <v>1524</v>
      </c>
      <c r="C5227" s="148" t="str">
        <f aca="false">VLOOKUP($A5227,INSUMOS_AUX!$A$3:$H$813,3,0)</f>
        <v>MAT.</v>
      </c>
      <c r="D5227" s="156" t="s">
        <v>1444</v>
      </c>
      <c r="E5227" s="154" t="n">
        <v>0.5</v>
      </c>
      <c r="F5227" s="149" t="n">
        <f aca="false">IF(C5227="MAT.",VLOOKUP(A5227,INSUMOS_AUX!$A$3:$H$813,6,0),0)</f>
        <v>0.86</v>
      </c>
      <c r="G5227" s="149" t="n">
        <f aca="false">IF(C5227="M.O.",VLOOKUP(A5227,INSUMOS_AUX!A:F,6,0),0)</f>
        <v>0</v>
      </c>
    </row>
    <row r="5228" customFormat="false" ht="21" hidden="false" customHeight="false" outlineLevel="0" collapsed="false">
      <c r="A5228" s="154" t="n">
        <v>43461</v>
      </c>
      <c r="B5228" s="155" t="s">
        <v>1482</v>
      </c>
      <c r="C5228" s="148" t="str">
        <f aca="false">VLOOKUP($A5228,INSUMOS_AUX!$A$3:$H$813,3,0)</f>
        <v>MAT.</v>
      </c>
      <c r="D5228" s="156" t="s">
        <v>1444</v>
      </c>
      <c r="E5228" s="154" t="n">
        <v>0.5</v>
      </c>
      <c r="F5228" s="149" t="n">
        <f aca="false">IF(C5228="MAT.",VLOOKUP(A5228,INSUMOS_AUX!$A$3:$H$813,6,0),0)</f>
        <v>0.31</v>
      </c>
      <c r="G5228" s="149" t="n">
        <f aca="false">IF(C5228="M.O.",VLOOKUP(A5228,INSUMOS_AUX!A:F,6,0),0)</f>
        <v>0</v>
      </c>
    </row>
    <row r="5229" customFormat="false" ht="21" hidden="false" customHeight="false" outlineLevel="0" collapsed="false">
      <c r="A5229" s="154" t="n">
        <v>43467</v>
      </c>
      <c r="B5229" s="155" t="s">
        <v>1459</v>
      </c>
      <c r="C5229" s="148" t="str">
        <f aca="false">VLOOKUP($A5229,INSUMOS_AUX!$A$3:$H$813,3,0)</f>
        <v>MAT.</v>
      </c>
      <c r="D5229" s="156" t="s">
        <v>1444</v>
      </c>
      <c r="E5229" s="154" t="n">
        <v>0.5</v>
      </c>
      <c r="F5229" s="149" t="n">
        <f aca="false">IF(C5229="MAT.",VLOOKUP(A5229,INSUMOS_AUX!$A$3:$H$813,6,0),0)</f>
        <v>0.61</v>
      </c>
      <c r="G5229" s="149" t="n">
        <f aca="false">IF(C5229="M.O.",VLOOKUP(A5229,INSUMOS_AUX!A:F,6,0),0)</f>
        <v>0</v>
      </c>
    </row>
    <row r="5230" customFormat="false" ht="21" hidden="false" customHeight="false" outlineLevel="0" collapsed="false">
      <c r="A5230" s="154" t="n">
        <v>37373</v>
      </c>
      <c r="B5230" s="155" t="s">
        <v>1448</v>
      </c>
      <c r="C5230" s="148" t="str">
        <f aca="false">VLOOKUP($A5230,INSUMOS_AUX!$A$3:$H$813,3,0)</f>
        <v>MAT.</v>
      </c>
      <c r="D5230" s="156" t="s">
        <v>1444</v>
      </c>
      <c r="E5230" s="154" t="n">
        <v>1.5</v>
      </c>
      <c r="F5230" s="149" t="n">
        <f aca="false">IF(C5230="MAT.",VLOOKUP(A5230,INSUMOS_AUX!$A$3:$H$813,6,0),0)</f>
        <v>0.08</v>
      </c>
      <c r="G5230" s="149" t="n">
        <f aca="false">IF(C5230="M.O.",VLOOKUP(A5230,INSUMOS_AUX!A:F,6,0),0)</f>
        <v>0</v>
      </c>
    </row>
    <row r="5231" customFormat="false" ht="21" hidden="false" customHeight="false" outlineLevel="0" collapsed="false">
      <c r="A5231" s="154" t="n">
        <v>37371</v>
      </c>
      <c r="B5231" s="155" t="s">
        <v>1449</v>
      </c>
      <c r="C5231" s="148" t="str">
        <f aca="false">VLOOKUP($A5231,INSUMOS_AUX!$A$3:$H$813,3,0)</f>
        <v>MAT.</v>
      </c>
      <c r="D5231" s="156" t="s">
        <v>1444</v>
      </c>
      <c r="E5231" s="154" t="n">
        <v>1.5</v>
      </c>
      <c r="F5231" s="149" t="n">
        <f aca="false">IF(C5231="MAT.",VLOOKUP(A5231,INSUMOS_AUX!$A$3:$H$813,6,0),0)</f>
        <v>0.59</v>
      </c>
      <c r="G5231" s="149" t="n">
        <f aca="false">IF(C5231="M.O.",VLOOKUP(A5231,INSUMOS_AUX!A:F,6,0),0)</f>
        <v>0</v>
      </c>
    </row>
    <row r="5232" customFormat="false" ht="15" hidden="false" customHeight="false" outlineLevel="0" collapsed="false">
      <c r="A5232" s="154" t="s">
        <v>2353</v>
      </c>
      <c r="B5232" s="155" t="s">
        <v>2354</v>
      </c>
      <c r="C5232" s="148" t="s">
        <v>59</v>
      </c>
      <c r="D5232" s="156" t="s">
        <v>31</v>
      </c>
      <c r="E5232" s="154" t="n">
        <v>1</v>
      </c>
      <c r="F5232" s="149" t="n">
        <f aca="false">IF(C5232="MAT.",VLOOKUP(A5232,INSUMOS_AUX!$A$3:$H$813,6,0),0)</f>
        <v>0</v>
      </c>
      <c r="G5232" s="149" t="n">
        <f aca="false">IF(C5232="M.O.",VLOOKUP(A5232,INSUMOS_AUX!A:F,6,0),0)</f>
        <v>0</v>
      </c>
    </row>
    <row r="5233" customFormat="false" ht="15" hidden="false" customHeight="false" outlineLevel="0" collapsed="false">
      <c r="A5233" s="154" t="n">
        <v>2436</v>
      </c>
      <c r="B5233" s="155" t="s">
        <v>1557</v>
      </c>
      <c r="C5233" s="148" t="str">
        <f aca="false">VLOOKUP($A5233,INSUMOS_AUX!$A$3:$H$813,3,0)</f>
        <v>M.O.</v>
      </c>
      <c r="D5233" s="156" t="s">
        <v>1444</v>
      </c>
      <c r="E5233" s="154" t="n">
        <v>0.51866</v>
      </c>
      <c r="F5233" s="149" t="n">
        <f aca="false">IF(C5233="MAT.",VLOOKUP(A5233,INSUMOS_AUX!$A$3:$H$813,6,0),0)</f>
        <v>0</v>
      </c>
      <c r="G5233" s="149" t="n">
        <f aca="false">IF(C5233="M.O.",VLOOKUP(A5233,INSUMOS_AUX!A:F,6,0),0)</f>
        <v>20.22</v>
      </c>
    </row>
    <row r="5234" customFormat="false" ht="15" hidden="false" customHeight="false" outlineLevel="0" collapsed="false">
      <c r="A5234" s="154" t="n">
        <v>2696</v>
      </c>
      <c r="B5234" s="155" t="s">
        <v>1483</v>
      </c>
      <c r="C5234" s="148" t="str">
        <f aca="false">VLOOKUP($A5234,INSUMOS_AUX!$A$3:$H$813,3,0)</f>
        <v>M.O.</v>
      </c>
      <c r="D5234" s="156" t="s">
        <v>1444</v>
      </c>
      <c r="E5234" s="154" t="n">
        <v>0.50899</v>
      </c>
      <c r="F5234" s="149" t="n">
        <f aca="false">IF(C5234="MAT.",VLOOKUP(A5234,INSUMOS_AUX!$A$3:$H$813,6,0),0)</f>
        <v>0</v>
      </c>
      <c r="G5234" s="149" t="n">
        <f aca="false">IF(C5234="M.O.",VLOOKUP(A5234,INSUMOS_AUX!A:F,6,0),0)</f>
        <v>20.22</v>
      </c>
    </row>
    <row r="5235" customFormat="false" ht="15" hidden="false" customHeight="false" outlineLevel="0" collapsed="false">
      <c r="A5235" s="154" t="n">
        <v>6111</v>
      </c>
      <c r="B5235" s="155" t="s">
        <v>1464</v>
      </c>
      <c r="C5235" s="148" t="str">
        <f aca="false">VLOOKUP($A5235,INSUMOS_AUX!$A$3:$H$813,3,0)</f>
        <v>M.O.</v>
      </c>
      <c r="D5235" s="156" t="s">
        <v>1444</v>
      </c>
      <c r="E5235" s="154" t="n">
        <v>0.5106</v>
      </c>
      <c r="F5235" s="149" t="n">
        <f aca="false">IF(C5235="MAT.",VLOOKUP(A5235,INSUMOS_AUX!$A$3:$H$813,6,0),0)</f>
        <v>0</v>
      </c>
      <c r="G5235" s="149" t="n">
        <f aca="false">IF(C5235="M.O.",VLOOKUP(A5235,INSUMOS_AUX!A:F,6,0),0)</f>
        <v>12.95</v>
      </c>
    </row>
    <row r="5236" customFormat="false" ht="21" hidden="false" customHeight="false" outlineLevel="0" collapsed="false">
      <c r="A5236" s="150" t="n">
        <v>102619</v>
      </c>
      <c r="B5236" s="151" t="s">
        <v>2355</v>
      </c>
      <c r="C5236" s="152" t="s">
        <v>59</v>
      </c>
      <c r="D5236" s="152" t="s">
        <v>31</v>
      </c>
      <c r="E5236" s="150"/>
      <c r="F5236" s="153" t="n">
        <f aca="false">(SUMPRODUCT($E5237:$E5250,F5237:F5250))*1</f>
        <v>5103.86509423835</v>
      </c>
      <c r="G5236" s="153" t="n">
        <f aca="false">(SUMPRODUCT($E5237:$E5250,G5237:G5250))*1</f>
        <v>106.55628732549</v>
      </c>
    </row>
    <row r="5237" customFormat="false" ht="21" hidden="false" customHeight="false" outlineLevel="0" collapsed="false">
      <c r="A5237" s="154" t="n">
        <v>37370</v>
      </c>
      <c r="B5237" s="155" t="s">
        <v>1443</v>
      </c>
      <c r="C5237" s="148" t="str">
        <f aca="false">VLOOKUP($A5237,INSUMOS_AUX!$A$3:$H$813,3,0)</f>
        <v>MAT.</v>
      </c>
      <c r="D5237" s="156" t="s">
        <v>1444</v>
      </c>
      <c r="E5237" s="154" t="n">
        <v>5.5887</v>
      </c>
      <c r="F5237" s="149" t="n">
        <f aca="false">IF(C5237="MAT.",VLOOKUP(A5237,INSUMOS_AUX!$A$3:$H$813,6,0),0)</f>
        <v>3.32</v>
      </c>
      <c r="G5237" s="149" t="n">
        <f aca="false">IF(C5237="M.O.",VLOOKUP(A5237,INSUMOS_AUX!A:F,6,0),0)</f>
        <v>0</v>
      </c>
    </row>
    <row r="5238" customFormat="false" ht="21" hidden="false" customHeight="false" outlineLevel="0" collapsed="false">
      <c r="A5238" s="154" t="n">
        <v>43485</v>
      </c>
      <c r="B5238" s="155" t="s">
        <v>1481</v>
      </c>
      <c r="C5238" s="148" t="str">
        <f aca="false">VLOOKUP($A5238,INSUMOS_AUX!$A$3:$H$813,3,0)</f>
        <v>MAT.</v>
      </c>
      <c r="D5238" s="156" t="s">
        <v>1444</v>
      </c>
      <c r="E5238" s="154" t="n">
        <v>2.9642</v>
      </c>
      <c r="F5238" s="149" t="n">
        <f aca="false">IF(C5238="MAT.",VLOOKUP(A5238,INSUMOS_AUX!$A$3:$H$813,6,0),0)</f>
        <v>1.13</v>
      </c>
      <c r="G5238" s="149" t="n">
        <f aca="false">IF(C5238="M.O.",VLOOKUP(A5238,INSUMOS_AUX!A:F,6,0),0)</f>
        <v>0</v>
      </c>
    </row>
    <row r="5239" customFormat="false" ht="21" hidden="false" customHeight="false" outlineLevel="0" collapsed="false">
      <c r="A5239" s="154" t="n">
        <v>43488</v>
      </c>
      <c r="B5239" s="155" t="s">
        <v>1445</v>
      </c>
      <c r="C5239" s="148" t="str">
        <f aca="false">VLOOKUP($A5239,INSUMOS_AUX!$A$3:$H$813,3,0)</f>
        <v>MAT.</v>
      </c>
      <c r="D5239" s="156" t="s">
        <v>1444</v>
      </c>
      <c r="E5239" s="154" t="n">
        <v>2.6245</v>
      </c>
      <c r="F5239" s="149" t="n">
        <f aca="false">IF(C5239="MAT.",VLOOKUP(A5239,INSUMOS_AUX!$A$3:$H$813,6,0),0)</f>
        <v>0.89</v>
      </c>
      <c r="G5239" s="149" t="n">
        <f aca="false">IF(C5239="M.O.",VLOOKUP(A5239,INSUMOS_AUX!A:F,6,0),0)</f>
        <v>0</v>
      </c>
    </row>
    <row r="5240" customFormat="false" ht="21" hidden="false" customHeight="false" outlineLevel="0" collapsed="false">
      <c r="A5240" s="154" t="n">
        <v>37372</v>
      </c>
      <c r="B5240" s="155" t="s">
        <v>1446</v>
      </c>
      <c r="C5240" s="148" t="str">
        <f aca="false">VLOOKUP($A5240,INSUMOS_AUX!$A$3:$H$813,3,0)</f>
        <v>MAT.</v>
      </c>
      <c r="D5240" s="156" t="s">
        <v>1444</v>
      </c>
      <c r="E5240" s="154" t="n">
        <v>5.5887</v>
      </c>
      <c r="F5240" s="149" t="n">
        <f aca="false">IF(C5240="MAT.",VLOOKUP(A5240,INSUMOS_AUX!$A$3:$H$813,6,0),0)</f>
        <v>1.43</v>
      </c>
      <c r="G5240" s="149" t="n">
        <f aca="false">IF(C5240="M.O.",VLOOKUP(A5240,INSUMOS_AUX!A:F,6,0),0)</f>
        <v>0</v>
      </c>
    </row>
    <row r="5241" customFormat="false" ht="21" hidden="false" customHeight="false" outlineLevel="0" collapsed="false">
      <c r="A5241" s="154" t="n">
        <v>43461</v>
      </c>
      <c r="B5241" s="155" t="s">
        <v>1482</v>
      </c>
      <c r="C5241" s="148" t="str">
        <f aca="false">VLOOKUP($A5241,INSUMOS_AUX!$A$3:$H$813,3,0)</f>
        <v>MAT.</v>
      </c>
      <c r="D5241" s="156" t="s">
        <v>1444</v>
      </c>
      <c r="E5241" s="154" t="n">
        <v>2.9642</v>
      </c>
      <c r="F5241" s="149" t="n">
        <f aca="false">IF(C5241="MAT.",VLOOKUP(A5241,INSUMOS_AUX!$A$3:$H$813,6,0),0)</f>
        <v>0.31</v>
      </c>
      <c r="G5241" s="149" t="n">
        <f aca="false">IF(C5241="M.O.",VLOOKUP(A5241,INSUMOS_AUX!A:F,6,0),0)</f>
        <v>0</v>
      </c>
    </row>
    <row r="5242" customFormat="false" ht="21" hidden="false" customHeight="false" outlineLevel="0" collapsed="false">
      <c r="A5242" s="154" t="n">
        <v>43464</v>
      </c>
      <c r="B5242" s="155" t="s">
        <v>1447</v>
      </c>
      <c r="C5242" s="148" t="str">
        <f aca="false">VLOOKUP($A5242,INSUMOS_AUX!$A$3:$H$813,3,0)</f>
        <v>MAT.</v>
      </c>
      <c r="D5242" s="156" t="s">
        <v>1444</v>
      </c>
      <c r="E5242" s="154" t="n">
        <v>2.6245</v>
      </c>
      <c r="F5242" s="149" t="n">
        <f aca="false">IF(C5242="MAT.",VLOOKUP(A5242,INSUMOS_AUX!$A$3:$H$813,6,0),0)</f>
        <v>0.01</v>
      </c>
      <c r="G5242" s="149" t="n">
        <f aca="false">IF(C5242="M.O.",VLOOKUP(A5242,INSUMOS_AUX!A:F,6,0),0)</f>
        <v>0</v>
      </c>
    </row>
    <row r="5243" customFormat="false" ht="21" hidden="false" customHeight="false" outlineLevel="0" collapsed="false">
      <c r="A5243" s="154" t="n">
        <v>37373</v>
      </c>
      <c r="B5243" s="155" t="s">
        <v>1448</v>
      </c>
      <c r="C5243" s="148" t="s">
        <v>59</v>
      </c>
      <c r="D5243" s="156" t="s">
        <v>1444</v>
      </c>
      <c r="E5243" s="154" t="n">
        <v>5.5887</v>
      </c>
      <c r="F5243" s="149" t="n">
        <f aca="false">IF(C5243="MAT.",VLOOKUP(A5243,INSUMOS_AUX!$A$3:$H$813,6,0),0)</f>
        <v>0</v>
      </c>
      <c r="G5243" s="149" t="n">
        <f aca="false">IF(C5243="M.O.",VLOOKUP(A5243,INSUMOS_AUX!A:F,6,0),0)</f>
        <v>0</v>
      </c>
    </row>
    <row r="5244" customFormat="false" ht="21" hidden="false" customHeight="false" outlineLevel="0" collapsed="false">
      <c r="A5244" s="154" t="n">
        <v>37371</v>
      </c>
      <c r="B5244" s="155" t="s">
        <v>1449</v>
      </c>
      <c r="C5244" s="148" t="str">
        <f aca="false">VLOOKUP($A5244,INSUMOS_AUX!$A$3:$H$813,3,0)</f>
        <v>MAT.</v>
      </c>
      <c r="D5244" s="156" t="s">
        <v>1444</v>
      </c>
      <c r="E5244" s="154" t="n">
        <v>5.5887</v>
      </c>
      <c r="F5244" s="149" t="n">
        <f aca="false">IF(C5244="MAT.",VLOOKUP(A5244,INSUMOS_AUX!$A$3:$H$813,6,0),0)</f>
        <v>0.59</v>
      </c>
      <c r="G5244" s="149" t="n">
        <f aca="false">IF(C5244="M.O.",VLOOKUP(A5244,INSUMOS_AUX!A:F,6,0),0)</f>
        <v>0</v>
      </c>
    </row>
    <row r="5245" customFormat="false" ht="21" hidden="false" customHeight="false" outlineLevel="0" collapsed="false">
      <c r="A5245" s="154" t="n">
        <v>44474</v>
      </c>
      <c r="B5245" s="155" t="s">
        <v>1563</v>
      </c>
      <c r="C5245" s="148" t="str">
        <f aca="false">VLOOKUP($A5245,INSUMOS_AUX!$A$3:$H$813,3,0)</f>
        <v>MAT.</v>
      </c>
      <c r="D5245" s="156" t="s">
        <v>31</v>
      </c>
      <c r="E5245" s="154" t="n">
        <v>0.00017388172</v>
      </c>
      <c r="F5245" s="149" t="n">
        <f aca="false">IF(C5245="MAT.",VLOOKUP(A5245,INSUMOS_AUX!$A$3:$H$813,6,0),0)</f>
        <v>2485831.6</v>
      </c>
      <c r="G5245" s="149" t="n">
        <f aca="false">IF(C5245="M.O.",VLOOKUP(A5245,INSUMOS_AUX!A:F,6,0),0)</f>
        <v>0</v>
      </c>
    </row>
    <row r="5246" customFormat="false" ht="15" hidden="false" customHeight="false" outlineLevel="0" collapsed="false">
      <c r="A5246" s="154" t="n">
        <v>2705</v>
      </c>
      <c r="B5246" s="155" t="s">
        <v>1467</v>
      </c>
      <c r="C5246" s="148" t="str">
        <f aca="false">VLOOKUP($A5246,INSUMOS_AUX!$A$3:$H$813,3,0)</f>
        <v>MAT.</v>
      </c>
      <c r="D5246" s="156" t="s">
        <v>1468</v>
      </c>
      <c r="E5246" s="154" t="n">
        <v>3.4242</v>
      </c>
      <c r="F5246" s="149" t="n">
        <f aca="false">IF(C5246="MAT.",VLOOKUP(A5246,INSUMOS_AUX!$A$3:$H$813,6,0),0)</f>
        <v>0.92</v>
      </c>
      <c r="G5246" s="149" t="n">
        <f aca="false">IF(C5246="M.O.",VLOOKUP(A5246,INSUMOS_AUX!A:F,6,0),0)</f>
        <v>0</v>
      </c>
    </row>
    <row r="5247" customFormat="false" ht="21" hidden="false" customHeight="false" outlineLevel="0" collapsed="false">
      <c r="A5247" s="154" t="n">
        <v>37106</v>
      </c>
      <c r="B5247" s="155" t="s">
        <v>2356</v>
      </c>
      <c r="C5247" s="148" t="str">
        <f aca="false">VLOOKUP($A5247,INSUMOS_AUX!$A$3:$H$813,3,0)</f>
        <v>MAT.</v>
      </c>
      <c r="D5247" s="156" t="s">
        <v>31</v>
      </c>
      <c r="E5247" s="154" t="n">
        <v>1</v>
      </c>
      <c r="F5247" s="149" t="n">
        <f aca="false">IF(C5247="MAT.",VLOOKUP(A5247,INSUMOS_AUX!$A$3:$H$813,6,0),0)</f>
        <v>4632</v>
      </c>
      <c r="G5247" s="149" t="n">
        <f aca="false">IF(C5247="M.O.",VLOOKUP(A5247,INSUMOS_AUX!A:F,6,0),0)</f>
        <v>0</v>
      </c>
    </row>
    <row r="5248" customFormat="false" ht="15" hidden="false" customHeight="false" outlineLevel="0" collapsed="false">
      <c r="A5248" s="154" t="n">
        <v>246</v>
      </c>
      <c r="B5248" s="155" t="s">
        <v>1752</v>
      </c>
      <c r="C5248" s="148" t="str">
        <f aca="false">VLOOKUP($A5248,INSUMOS_AUX!$A$3:$H$813,3,0)</f>
        <v>M.O.</v>
      </c>
      <c r="D5248" s="156" t="s">
        <v>1444</v>
      </c>
      <c r="E5248" s="154" t="n">
        <v>1.508748158</v>
      </c>
      <c r="F5248" s="149" t="n">
        <f aca="false">IF(C5248="MAT.",VLOOKUP(A5248,INSUMOS_AUX!$A$3:$H$813,6,0),0)</f>
        <v>0</v>
      </c>
      <c r="G5248" s="149" t="n">
        <f aca="false">IF(C5248="M.O.",VLOOKUP(A5248,INSUMOS_AUX!A:F,6,0),0)</f>
        <v>13.26</v>
      </c>
    </row>
    <row r="5249" customFormat="false" ht="15" hidden="false" customHeight="false" outlineLevel="0" collapsed="false">
      <c r="A5249" s="154" t="n">
        <v>2696</v>
      </c>
      <c r="B5249" s="155" t="s">
        <v>1483</v>
      </c>
      <c r="C5249" s="148" t="str">
        <f aca="false">VLOOKUP($A5249,INSUMOS_AUX!$A$3:$H$813,3,0)</f>
        <v>M.O.</v>
      </c>
      <c r="D5249" s="156" t="s">
        <v>1444</v>
      </c>
      <c r="E5249" s="154" t="n">
        <v>1.508748158</v>
      </c>
      <c r="F5249" s="149" t="n">
        <f aca="false">IF(C5249="MAT.",VLOOKUP(A5249,INSUMOS_AUX!$A$3:$H$813,6,0),0)</f>
        <v>0</v>
      </c>
      <c r="G5249" s="149" t="n">
        <f aca="false">IF(C5249="M.O.",VLOOKUP(A5249,INSUMOS_AUX!A:F,6,0),0)</f>
        <v>20.22</v>
      </c>
    </row>
    <row r="5250" customFormat="false" ht="15" hidden="false" customHeight="false" outlineLevel="0" collapsed="false">
      <c r="A5250" s="154" t="n">
        <v>4254</v>
      </c>
      <c r="B5250" s="155" t="s">
        <v>1590</v>
      </c>
      <c r="C5250" s="148" t="str">
        <f aca="false">VLOOKUP($A5250,INSUMOS_AUX!$A$3:$H$813,3,0)</f>
        <v>M.O.</v>
      </c>
      <c r="D5250" s="156" t="s">
        <v>1444</v>
      </c>
      <c r="E5250" s="154" t="n">
        <v>2.667463065</v>
      </c>
      <c r="F5250" s="149" t="n">
        <f aca="false">IF(C5250="MAT.",VLOOKUP(A5250,INSUMOS_AUX!$A$3:$H$813,6,0),0)</f>
        <v>0</v>
      </c>
      <c r="G5250" s="149" t="n">
        <f aca="false">IF(C5250="M.O.",VLOOKUP(A5250,INSUMOS_AUX!A:F,6,0),0)</f>
        <v>21.01</v>
      </c>
    </row>
    <row r="5251" customFormat="false" ht="31.5" hidden="false" customHeight="false" outlineLevel="0" collapsed="false">
      <c r="A5251" s="150" t="n">
        <v>101560</v>
      </c>
      <c r="B5251" s="151" t="s">
        <v>2357</v>
      </c>
      <c r="C5251" s="152" t="s">
        <v>59</v>
      </c>
      <c r="D5251" s="152" t="s">
        <v>1455</v>
      </c>
      <c r="E5251" s="150"/>
      <c r="F5251" s="153" t="n">
        <f aca="false">(SUMPRODUCT($E5252:$E5259,F5252:F5259))*1</f>
        <v>10.782754</v>
      </c>
      <c r="G5251" s="153" t="n">
        <f aca="false">(SUMPRODUCT($E5252:$E5259,G5252:G5259))*1</f>
        <v>0.06082637016</v>
      </c>
    </row>
    <row r="5252" customFormat="false" ht="21" hidden="false" customHeight="false" outlineLevel="0" collapsed="false">
      <c r="A5252" s="154" t="n">
        <v>37370</v>
      </c>
      <c r="B5252" s="155" t="s">
        <v>1443</v>
      </c>
      <c r="C5252" s="148" t="str">
        <f aca="false">VLOOKUP($A5252,INSUMOS_AUX!$A$3:$H$813,3,0)</f>
        <v>MAT.</v>
      </c>
      <c r="D5252" s="156" t="s">
        <v>1444</v>
      </c>
      <c r="E5252" s="154" t="n">
        <v>0.0029</v>
      </c>
      <c r="F5252" s="149" t="n">
        <f aca="false">IF(C5252="MAT.",VLOOKUP(A5252,INSUMOS_AUX!$A$3:$H$813,6,0),0)</f>
        <v>3.32</v>
      </c>
      <c r="G5252" s="149" t="n">
        <f aca="false">IF(C5252="M.O.",VLOOKUP(A5252,INSUMOS_AUX!A:F,6,0),0)</f>
        <v>0</v>
      </c>
    </row>
    <row r="5253" customFormat="false" ht="21" hidden="false" customHeight="false" outlineLevel="0" collapsed="false">
      <c r="A5253" s="154" t="n">
        <v>43484</v>
      </c>
      <c r="B5253" s="155" t="s">
        <v>1523</v>
      </c>
      <c r="C5253" s="148" t="str">
        <f aca="false">VLOOKUP($A5253,INSUMOS_AUX!$A$3:$H$813,3,0)</f>
        <v>MAT.</v>
      </c>
      <c r="D5253" s="156" t="s">
        <v>1444</v>
      </c>
      <c r="E5253" s="154" t="n">
        <v>0.0029</v>
      </c>
      <c r="F5253" s="149" t="n">
        <f aca="false">IF(C5253="MAT.",VLOOKUP(A5253,INSUMOS_AUX!$A$3:$H$813,6,0),0)</f>
        <v>1.26</v>
      </c>
      <c r="G5253" s="149" t="n">
        <f aca="false">IF(C5253="M.O.",VLOOKUP(A5253,INSUMOS_AUX!A:F,6,0),0)</f>
        <v>0</v>
      </c>
    </row>
    <row r="5254" customFormat="false" ht="21" hidden="false" customHeight="false" outlineLevel="0" collapsed="false">
      <c r="A5254" s="154" t="n">
        <v>37372</v>
      </c>
      <c r="B5254" s="155" t="s">
        <v>1446</v>
      </c>
      <c r="C5254" s="148" t="s">
        <v>59</v>
      </c>
      <c r="D5254" s="156" t="s">
        <v>1444</v>
      </c>
      <c r="E5254" s="154" t="n">
        <v>0.0029</v>
      </c>
      <c r="F5254" s="149" t="n">
        <f aca="false">IF(C5254="MAT.",VLOOKUP(A5254,INSUMOS_AUX!$A$3:$H$813,6,0),0)</f>
        <v>0</v>
      </c>
      <c r="G5254" s="149" t="n">
        <f aca="false">IF(C5254="M.O.",VLOOKUP(A5254,INSUMOS_AUX!A:F,6,0),0)</f>
        <v>0</v>
      </c>
    </row>
    <row r="5255" customFormat="false" ht="21" hidden="false" customHeight="false" outlineLevel="0" collapsed="false">
      <c r="A5255" s="154" t="n">
        <v>43460</v>
      </c>
      <c r="B5255" s="155" t="s">
        <v>1524</v>
      </c>
      <c r="C5255" s="148" t="str">
        <f aca="false">VLOOKUP($A5255,INSUMOS_AUX!$A$3:$H$813,3,0)</f>
        <v>MAT.</v>
      </c>
      <c r="D5255" s="156" t="s">
        <v>1444</v>
      </c>
      <c r="E5255" s="154" t="n">
        <v>0.0029</v>
      </c>
      <c r="F5255" s="149" t="n">
        <f aca="false">IF(C5255="MAT.",VLOOKUP(A5255,INSUMOS_AUX!$A$3:$H$813,6,0),0)</f>
        <v>0.86</v>
      </c>
      <c r="G5255" s="149" t="n">
        <f aca="false">IF(C5255="M.O.",VLOOKUP(A5255,INSUMOS_AUX!A:F,6,0),0)</f>
        <v>0</v>
      </c>
    </row>
    <row r="5256" customFormat="false" ht="21" hidden="false" customHeight="false" outlineLevel="0" collapsed="false">
      <c r="A5256" s="154" t="n">
        <v>37373</v>
      </c>
      <c r="B5256" s="155" t="s">
        <v>1448</v>
      </c>
      <c r="C5256" s="148" t="str">
        <f aca="false">VLOOKUP($A5256,INSUMOS_AUX!$A$3:$H$813,3,0)</f>
        <v>MAT.</v>
      </c>
      <c r="D5256" s="156" t="s">
        <v>1444</v>
      </c>
      <c r="E5256" s="154" t="n">
        <v>0.0029</v>
      </c>
      <c r="F5256" s="149" t="n">
        <f aca="false">IF(C5256="MAT.",VLOOKUP(A5256,INSUMOS_AUX!$A$3:$H$813,6,0),0)</f>
        <v>0.08</v>
      </c>
      <c r="G5256" s="149" t="n">
        <f aca="false">IF(C5256="M.O.",VLOOKUP(A5256,INSUMOS_AUX!A:F,6,0),0)</f>
        <v>0</v>
      </c>
    </row>
    <row r="5257" customFormat="false" ht="21" hidden="false" customHeight="false" outlineLevel="0" collapsed="false">
      <c r="A5257" s="154" t="n">
        <v>37371</v>
      </c>
      <c r="B5257" s="155" t="s">
        <v>1449</v>
      </c>
      <c r="C5257" s="148" t="str">
        <f aca="false">VLOOKUP($A5257,INSUMOS_AUX!$A$3:$H$813,3,0)</f>
        <v>MAT.</v>
      </c>
      <c r="D5257" s="156" t="s">
        <v>1444</v>
      </c>
      <c r="E5257" s="154" t="n">
        <v>0.0029</v>
      </c>
      <c r="F5257" s="149" t="n">
        <f aca="false">IF(C5257="MAT.",VLOOKUP(A5257,INSUMOS_AUX!$A$3:$H$813,6,0),0)</f>
        <v>0.59</v>
      </c>
      <c r="G5257" s="149" t="n">
        <f aca="false">IF(C5257="M.O.",VLOOKUP(A5257,INSUMOS_AUX!A:F,6,0),0)</f>
        <v>0</v>
      </c>
    </row>
    <row r="5258" customFormat="false" ht="31.5" hidden="false" customHeight="false" outlineLevel="0" collapsed="false">
      <c r="A5258" s="154" t="n">
        <v>1020</v>
      </c>
      <c r="B5258" s="155" t="s">
        <v>2358</v>
      </c>
      <c r="C5258" s="148" t="str">
        <f aca="false">VLOOKUP($A5258,INSUMOS_AUX!$A$3:$H$813,3,0)</f>
        <v>MAT.</v>
      </c>
      <c r="D5258" s="156" t="s">
        <v>1455</v>
      </c>
      <c r="E5258" s="154" t="n">
        <v>1.0401</v>
      </c>
      <c r="F5258" s="149" t="n">
        <f aca="false">IF(C5258="MAT.",VLOOKUP(A5258,INSUMOS_AUX!$A$3:$H$813,6,0),0)</f>
        <v>10.35</v>
      </c>
      <c r="G5258" s="149" t="n">
        <f aca="false">IF(C5258="M.O.",VLOOKUP(A5258,INSUMOS_AUX!A:F,6,0),0)</f>
        <v>0</v>
      </c>
    </row>
    <row r="5259" customFormat="false" ht="15" hidden="false" customHeight="false" outlineLevel="0" collapsed="false">
      <c r="A5259" s="154" t="n">
        <v>2436</v>
      </c>
      <c r="B5259" s="155" t="s">
        <v>1557</v>
      </c>
      <c r="C5259" s="148" t="str">
        <f aca="false">VLOOKUP($A5259,INSUMOS_AUX!$A$3:$H$813,3,0)</f>
        <v>M.O.</v>
      </c>
      <c r="D5259" s="156" t="s">
        <v>1444</v>
      </c>
      <c r="E5259" s="154" t="n">
        <v>0.003008228</v>
      </c>
      <c r="F5259" s="149" t="n">
        <f aca="false">IF(C5259="MAT.",VLOOKUP(A5259,INSUMOS_AUX!$A$3:$H$813,6,0),0)</f>
        <v>0</v>
      </c>
      <c r="G5259" s="149" t="n">
        <f aca="false">IF(C5259="M.O.",VLOOKUP(A5259,INSUMOS_AUX!A:F,6,0),0)</f>
        <v>20.22</v>
      </c>
    </row>
    <row r="5260" customFormat="false" ht="31.5" hidden="false" customHeight="false" outlineLevel="0" collapsed="false">
      <c r="A5260" s="150" t="n">
        <v>101561</v>
      </c>
      <c r="B5260" s="151" t="s">
        <v>2359</v>
      </c>
      <c r="C5260" s="152" t="s">
        <v>59</v>
      </c>
      <c r="D5260" s="152" t="s">
        <v>1455</v>
      </c>
      <c r="E5260" s="150"/>
      <c r="F5260" s="153" t="n">
        <f aca="false">(SUMPRODUCT($E5261:$E5268,F5261:F5268))*1</f>
        <v>17.162482</v>
      </c>
      <c r="G5260" s="153" t="n">
        <f aca="false">(SUMPRODUCT($E5261:$E5268,G5261:G5268))*1</f>
        <v>0.06082637016</v>
      </c>
    </row>
    <row r="5261" customFormat="false" ht="21" hidden="false" customHeight="false" outlineLevel="0" collapsed="false">
      <c r="A5261" s="154" t="n">
        <v>37370</v>
      </c>
      <c r="B5261" s="155" t="s">
        <v>1443</v>
      </c>
      <c r="C5261" s="148" t="str">
        <f aca="false">VLOOKUP($A5261,INSUMOS_AUX!$A$3:$H$813,3,0)</f>
        <v>MAT.</v>
      </c>
      <c r="D5261" s="156" t="s">
        <v>1444</v>
      </c>
      <c r="E5261" s="154" t="n">
        <v>0.0029</v>
      </c>
      <c r="F5261" s="149" t="n">
        <f aca="false">IF(C5261="MAT.",VLOOKUP(A5261,INSUMOS_AUX!$A$3:$H$813,6,0),0)</f>
        <v>3.32</v>
      </c>
      <c r="G5261" s="149" t="n">
        <f aca="false">IF(C5261="M.O.",VLOOKUP(A5261,INSUMOS_AUX!A:F,6,0),0)</f>
        <v>0</v>
      </c>
    </row>
    <row r="5262" customFormat="false" ht="21" hidden="false" customHeight="false" outlineLevel="0" collapsed="false">
      <c r="A5262" s="154" t="n">
        <v>43484</v>
      </c>
      <c r="B5262" s="155" t="s">
        <v>1523</v>
      </c>
      <c r="C5262" s="148" t="str">
        <f aca="false">VLOOKUP($A5262,INSUMOS_AUX!$A$3:$H$813,3,0)</f>
        <v>MAT.</v>
      </c>
      <c r="D5262" s="156" t="s">
        <v>1444</v>
      </c>
      <c r="E5262" s="154" t="n">
        <v>0.0029</v>
      </c>
      <c r="F5262" s="149" t="n">
        <f aca="false">IF(C5262="MAT.",VLOOKUP(A5262,INSUMOS_AUX!$A$3:$H$813,6,0),0)</f>
        <v>1.26</v>
      </c>
      <c r="G5262" s="149" t="n">
        <f aca="false">IF(C5262="M.O.",VLOOKUP(A5262,INSUMOS_AUX!A:F,6,0),0)</f>
        <v>0</v>
      </c>
    </row>
    <row r="5263" customFormat="false" ht="21" hidden="false" customHeight="false" outlineLevel="0" collapsed="false">
      <c r="A5263" s="154" t="n">
        <v>37372</v>
      </c>
      <c r="B5263" s="155" t="s">
        <v>1446</v>
      </c>
      <c r="C5263" s="148" t="str">
        <f aca="false">VLOOKUP($A5263,INSUMOS_AUX!$A$3:$H$813,3,0)</f>
        <v>MAT.</v>
      </c>
      <c r="D5263" s="156" t="s">
        <v>1444</v>
      </c>
      <c r="E5263" s="154" t="n">
        <v>0.0029</v>
      </c>
      <c r="F5263" s="149" t="n">
        <f aca="false">IF(C5263="MAT.",VLOOKUP(A5263,INSUMOS_AUX!$A$3:$H$813,6,0),0)</f>
        <v>1.43</v>
      </c>
      <c r="G5263" s="149" t="n">
        <f aca="false">IF(C5263="M.O.",VLOOKUP(A5263,INSUMOS_AUX!A:F,6,0),0)</f>
        <v>0</v>
      </c>
    </row>
    <row r="5264" customFormat="false" ht="21" hidden="false" customHeight="false" outlineLevel="0" collapsed="false">
      <c r="A5264" s="154" t="n">
        <v>43460</v>
      </c>
      <c r="B5264" s="155" t="s">
        <v>1524</v>
      </c>
      <c r="C5264" s="148" t="str">
        <f aca="false">VLOOKUP($A5264,INSUMOS_AUX!$A$3:$H$813,3,0)</f>
        <v>MAT.</v>
      </c>
      <c r="D5264" s="156" t="s">
        <v>1444</v>
      </c>
      <c r="E5264" s="154" t="n">
        <v>0.0029</v>
      </c>
      <c r="F5264" s="149" t="n">
        <f aca="false">IF(C5264="MAT.",VLOOKUP(A5264,INSUMOS_AUX!$A$3:$H$813,6,0),0)</f>
        <v>0.86</v>
      </c>
      <c r="G5264" s="149" t="n">
        <f aca="false">IF(C5264="M.O.",VLOOKUP(A5264,INSUMOS_AUX!A:F,6,0),0)</f>
        <v>0</v>
      </c>
    </row>
    <row r="5265" customFormat="false" ht="21" hidden="false" customHeight="false" outlineLevel="0" collapsed="false">
      <c r="A5265" s="154" t="n">
        <v>37373</v>
      </c>
      <c r="B5265" s="155" t="s">
        <v>1448</v>
      </c>
      <c r="C5265" s="148" t="s">
        <v>59</v>
      </c>
      <c r="D5265" s="156" t="s">
        <v>1444</v>
      </c>
      <c r="E5265" s="154" t="n">
        <v>0.0029</v>
      </c>
      <c r="F5265" s="149" t="n">
        <f aca="false">IF(C5265="MAT.",VLOOKUP(A5265,INSUMOS_AUX!$A$3:$H$813,6,0),0)</f>
        <v>0</v>
      </c>
      <c r="G5265" s="149" t="n">
        <f aca="false">IF(C5265="M.O.",VLOOKUP(A5265,INSUMOS_AUX!A:F,6,0),0)</f>
        <v>0</v>
      </c>
    </row>
    <row r="5266" customFormat="false" ht="21" hidden="false" customHeight="false" outlineLevel="0" collapsed="false">
      <c r="A5266" s="154" t="n">
        <v>37371</v>
      </c>
      <c r="B5266" s="155" t="s">
        <v>1449</v>
      </c>
      <c r="C5266" s="148" t="str">
        <f aca="false">VLOOKUP($A5266,INSUMOS_AUX!$A$3:$H$813,3,0)</f>
        <v>MAT.</v>
      </c>
      <c r="D5266" s="156" t="s">
        <v>1444</v>
      </c>
      <c r="E5266" s="154" t="n">
        <v>0.0029</v>
      </c>
      <c r="F5266" s="149" t="n">
        <f aca="false">IF(C5266="MAT.",VLOOKUP(A5266,INSUMOS_AUX!$A$3:$H$813,6,0),0)</f>
        <v>0.59</v>
      </c>
      <c r="G5266" s="149" t="n">
        <f aca="false">IF(C5266="M.O.",VLOOKUP(A5266,INSUMOS_AUX!A:F,6,0),0)</f>
        <v>0</v>
      </c>
    </row>
    <row r="5267" customFormat="false" ht="31.5" hidden="false" customHeight="false" outlineLevel="0" collapsed="false">
      <c r="A5267" s="154" t="n">
        <v>995</v>
      </c>
      <c r="B5267" s="155" t="s">
        <v>2360</v>
      </c>
      <c r="C5267" s="148" t="str">
        <f aca="false">VLOOKUP($A5267,INSUMOS_AUX!$A$3:$H$813,3,0)</f>
        <v>MAT.</v>
      </c>
      <c r="D5267" s="156" t="s">
        <v>1455</v>
      </c>
      <c r="E5267" s="154" t="n">
        <v>1.0401</v>
      </c>
      <c r="F5267" s="149" t="n">
        <f aca="false">IF(C5267="MAT.",VLOOKUP(A5267,INSUMOS_AUX!$A$3:$H$813,6,0),0)</f>
        <v>16.48</v>
      </c>
      <c r="G5267" s="149" t="n">
        <f aca="false">IF(C5267="M.O.",VLOOKUP(A5267,INSUMOS_AUX!A:F,6,0),0)</f>
        <v>0</v>
      </c>
    </row>
    <row r="5268" customFormat="false" ht="15" hidden="false" customHeight="false" outlineLevel="0" collapsed="false">
      <c r="A5268" s="154" t="n">
        <v>2436</v>
      </c>
      <c r="B5268" s="155" t="s">
        <v>1557</v>
      </c>
      <c r="C5268" s="148" t="str">
        <f aca="false">VLOOKUP($A5268,INSUMOS_AUX!$A$3:$H$813,3,0)</f>
        <v>M.O.</v>
      </c>
      <c r="D5268" s="156" t="s">
        <v>1444</v>
      </c>
      <c r="E5268" s="154" t="n">
        <v>0.003008228</v>
      </c>
      <c r="F5268" s="149" t="n">
        <f aca="false">IF(C5268="MAT.",VLOOKUP(A5268,INSUMOS_AUX!$A$3:$H$813,6,0),0)</f>
        <v>0</v>
      </c>
      <c r="G5268" s="149" t="n">
        <f aca="false">IF(C5268="M.O.",VLOOKUP(A5268,INSUMOS_AUX!A:F,6,0),0)</f>
        <v>20.22</v>
      </c>
    </row>
    <row r="5269" customFormat="false" ht="31.5" hidden="false" customHeight="false" outlineLevel="0" collapsed="false">
      <c r="A5269" s="150" t="n">
        <v>92984</v>
      </c>
      <c r="B5269" s="151" t="s">
        <v>2361</v>
      </c>
      <c r="C5269" s="152" t="s">
        <v>59</v>
      </c>
      <c r="D5269" s="152" t="s">
        <v>1455</v>
      </c>
      <c r="E5269" s="150"/>
      <c r="F5269" s="153" t="n">
        <f aca="false">(SUMPRODUCT($E5270:$E5279,F5270:F5279))*1</f>
        <v>0.948274</v>
      </c>
      <c r="G5269" s="153" t="n">
        <f aca="false">(SUMPRODUCT($E5270:$E5279,G5270:G5279))*1</f>
        <v>2.11155199488</v>
      </c>
    </row>
    <row r="5270" customFormat="false" ht="21" hidden="false" customHeight="false" outlineLevel="0" collapsed="false">
      <c r="A5270" s="154" t="n">
        <v>37370</v>
      </c>
      <c r="B5270" s="155" t="s">
        <v>1443</v>
      </c>
      <c r="C5270" s="148" t="str">
        <f aca="false">VLOOKUP($A5270,INSUMOS_AUX!$A$3:$H$813,3,0)</f>
        <v>MAT.</v>
      </c>
      <c r="D5270" s="156" t="s">
        <v>1444</v>
      </c>
      <c r="E5270" s="154" t="n">
        <v>0.1216</v>
      </c>
      <c r="F5270" s="149" t="n">
        <f aca="false">IF(C5270="MAT.",VLOOKUP(A5270,INSUMOS_AUX!$A$3:$H$813,6,0),0)</f>
        <v>3.32</v>
      </c>
      <c r="G5270" s="149" t="n">
        <f aca="false">IF(C5270="M.O.",VLOOKUP(A5270,INSUMOS_AUX!A:F,6,0),0)</f>
        <v>0</v>
      </c>
    </row>
    <row r="5271" customFormat="false" ht="21" hidden="false" customHeight="false" outlineLevel="0" collapsed="false">
      <c r="A5271" s="154" t="n">
        <v>43484</v>
      </c>
      <c r="B5271" s="155" t="s">
        <v>1523</v>
      </c>
      <c r="C5271" s="148" t="str">
        <f aca="false">VLOOKUP($A5271,INSUMOS_AUX!$A$3:$H$813,3,0)</f>
        <v>MAT.</v>
      </c>
      <c r="D5271" s="156" t="s">
        <v>1444</v>
      </c>
      <c r="E5271" s="154" t="n">
        <v>0.1216</v>
      </c>
      <c r="F5271" s="149" t="n">
        <f aca="false">IF(C5271="MAT.",VLOOKUP(A5271,INSUMOS_AUX!$A$3:$H$813,6,0),0)</f>
        <v>1.26</v>
      </c>
      <c r="G5271" s="149" t="n">
        <f aca="false">IF(C5271="M.O.",VLOOKUP(A5271,INSUMOS_AUX!A:F,6,0),0)</f>
        <v>0</v>
      </c>
    </row>
    <row r="5272" customFormat="false" ht="21" hidden="false" customHeight="false" outlineLevel="0" collapsed="false">
      <c r="A5272" s="154" t="n">
        <v>37372</v>
      </c>
      <c r="B5272" s="155" t="s">
        <v>1446</v>
      </c>
      <c r="C5272" s="148" t="str">
        <f aca="false">VLOOKUP($A5272,INSUMOS_AUX!$A$3:$H$813,3,0)</f>
        <v>MAT.</v>
      </c>
      <c r="D5272" s="156" t="s">
        <v>1444</v>
      </c>
      <c r="E5272" s="154" t="n">
        <v>0.1216</v>
      </c>
      <c r="F5272" s="149" t="n">
        <f aca="false">IF(C5272="MAT.",VLOOKUP(A5272,INSUMOS_AUX!$A$3:$H$813,6,0),0)</f>
        <v>1.43</v>
      </c>
      <c r="G5272" s="149" t="n">
        <f aca="false">IF(C5272="M.O.",VLOOKUP(A5272,INSUMOS_AUX!A:F,6,0),0)</f>
        <v>0</v>
      </c>
    </row>
    <row r="5273" customFormat="false" ht="21" hidden="false" customHeight="false" outlineLevel="0" collapsed="false">
      <c r="A5273" s="154" t="n">
        <v>43460</v>
      </c>
      <c r="B5273" s="155" t="s">
        <v>1524</v>
      </c>
      <c r="C5273" s="148" t="str">
        <f aca="false">VLOOKUP($A5273,INSUMOS_AUX!$A$3:$H$813,3,0)</f>
        <v>MAT.</v>
      </c>
      <c r="D5273" s="156" t="s">
        <v>1444</v>
      </c>
      <c r="E5273" s="154" t="n">
        <v>0.1216</v>
      </c>
      <c r="F5273" s="149" t="n">
        <f aca="false">IF(C5273="MAT.",VLOOKUP(A5273,INSUMOS_AUX!$A$3:$H$813,6,0),0)</f>
        <v>0.86</v>
      </c>
      <c r="G5273" s="149" t="n">
        <f aca="false">IF(C5273="M.O.",VLOOKUP(A5273,INSUMOS_AUX!A:F,6,0),0)</f>
        <v>0</v>
      </c>
    </row>
    <row r="5274" customFormat="false" ht="21" hidden="false" customHeight="false" outlineLevel="0" collapsed="false">
      <c r="A5274" s="154" t="n">
        <v>37373</v>
      </c>
      <c r="B5274" s="155" t="s">
        <v>1448</v>
      </c>
      <c r="C5274" s="148" t="str">
        <f aca="false">VLOOKUP($A5274,INSUMOS_AUX!$A$3:$H$813,3,0)</f>
        <v>MAT.</v>
      </c>
      <c r="D5274" s="156" t="s">
        <v>1444</v>
      </c>
      <c r="E5274" s="154" t="n">
        <v>0.1216</v>
      </c>
      <c r="F5274" s="149" t="n">
        <f aca="false">IF(C5274="MAT.",VLOOKUP(A5274,INSUMOS_AUX!$A$3:$H$813,6,0),0)</f>
        <v>0.08</v>
      </c>
      <c r="G5274" s="149" t="n">
        <f aca="false">IF(C5274="M.O.",VLOOKUP(A5274,INSUMOS_AUX!A:F,6,0),0)</f>
        <v>0</v>
      </c>
    </row>
    <row r="5275" customFormat="false" ht="21" hidden="false" customHeight="false" outlineLevel="0" collapsed="false">
      <c r="A5275" s="154" t="n">
        <v>37371</v>
      </c>
      <c r="B5275" s="155" t="s">
        <v>1449</v>
      </c>
      <c r="C5275" s="148" t="str">
        <f aca="false">VLOOKUP($A5275,INSUMOS_AUX!$A$3:$H$813,3,0)</f>
        <v>MAT.</v>
      </c>
      <c r="D5275" s="156" t="s">
        <v>1444</v>
      </c>
      <c r="E5275" s="154" t="n">
        <v>0.1216</v>
      </c>
      <c r="F5275" s="149" t="n">
        <f aca="false">IF(C5275="MAT.",VLOOKUP(A5275,INSUMOS_AUX!$A$3:$H$813,6,0),0)</f>
        <v>0.59</v>
      </c>
      <c r="G5275" s="149" t="n">
        <f aca="false">IF(C5275="M.O.",VLOOKUP(A5275,INSUMOS_AUX!A:F,6,0),0)</f>
        <v>0</v>
      </c>
    </row>
    <row r="5276" customFormat="false" ht="31.5" hidden="false" customHeight="false" outlineLevel="0" collapsed="false">
      <c r="A5276" s="154" t="n">
        <v>996</v>
      </c>
      <c r="B5276" s="155" t="s">
        <v>2362</v>
      </c>
      <c r="C5276" s="148" t="s">
        <v>59</v>
      </c>
      <c r="D5276" s="156" t="s">
        <v>1455</v>
      </c>
      <c r="E5276" s="154" t="n">
        <v>1.015</v>
      </c>
      <c r="F5276" s="149" t="n">
        <f aca="false">IF(C5276="MAT.",VLOOKUP(A5276,INSUMOS_AUX!$A$3:$H$813,6,0),0)</f>
        <v>0</v>
      </c>
      <c r="G5276" s="149" t="n">
        <f aca="false">IF(C5276="M.O.",VLOOKUP(A5276,INSUMOS_AUX!A:F,6,0),0)</f>
        <v>0</v>
      </c>
    </row>
    <row r="5277" customFormat="false" ht="21" hidden="false" customHeight="false" outlineLevel="0" collapsed="false">
      <c r="A5277" s="154" t="n">
        <v>21127</v>
      </c>
      <c r="B5277" s="155" t="s">
        <v>1542</v>
      </c>
      <c r="C5277" s="148" t="str">
        <f aca="false">VLOOKUP($A5277,INSUMOS_AUX!$A$3:$H$813,3,0)</f>
        <v>MAT.</v>
      </c>
      <c r="D5277" s="156" t="s">
        <v>31</v>
      </c>
      <c r="E5277" s="154" t="n">
        <v>0.009</v>
      </c>
      <c r="F5277" s="149" t="n">
        <f aca="false">IF(C5277="MAT.",VLOOKUP(A5277,INSUMOS_AUX!$A$3:$H$813,6,0),0)</f>
        <v>3.49</v>
      </c>
      <c r="G5277" s="149" t="n">
        <f aca="false">IF(C5277="M.O.",VLOOKUP(A5277,INSUMOS_AUX!A:F,6,0),0)</f>
        <v>0</v>
      </c>
    </row>
    <row r="5278" customFormat="false" ht="15" hidden="false" customHeight="false" outlineLevel="0" collapsed="false">
      <c r="A5278" s="154" t="n">
        <v>247</v>
      </c>
      <c r="B5278" s="155" t="s">
        <v>1554</v>
      </c>
      <c r="C5278" s="148" t="str">
        <f aca="false">VLOOKUP($A5278,INSUMOS_AUX!$A$3:$H$813,3,0)</f>
        <v>M.O.</v>
      </c>
      <c r="D5278" s="156" t="s">
        <v>1444</v>
      </c>
      <c r="E5278" s="154" t="n">
        <v>0.063069056</v>
      </c>
      <c r="F5278" s="149" t="n">
        <f aca="false">IF(C5278="MAT.",VLOOKUP(A5278,INSUMOS_AUX!$A$3:$H$813,6,0),0)</f>
        <v>0</v>
      </c>
      <c r="G5278" s="149" t="n">
        <f aca="false">IF(C5278="M.O.",VLOOKUP(A5278,INSUMOS_AUX!A:F,6,0),0)</f>
        <v>13.26</v>
      </c>
    </row>
    <row r="5279" customFormat="false" ht="15" hidden="false" customHeight="false" outlineLevel="0" collapsed="false">
      <c r="A5279" s="154" t="n">
        <v>2436</v>
      </c>
      <c r="B5279" s="155" t="s">
        <v>1557</v>
      </c>
      <c r="C5279" s="148" t="str">
        <f aca="false">VLOOKUP($A5279,INSUMOS_AUX!$A$3:$H$813,3,0)</f>
        <v>M.O.</v>
      </c>
      <c r="D5279" s="156" t="s">
        <v>1444</v>
      </c>
      <c r="E5279" s="154" t="n">
        <v>0.063069056</v>
      </c>
      <c r="F5279" s="149" t="n">
        <f aca="false">IF(C5279="MAT.",VLOOKUP(A5279,INSUMOS_AUX!$A$3:$H$813,6,0),0)</f>
        <v>0</v>
      </c>
      <c r="G5279" s="149" t="n">
        <f aca="false">IF(C5279="M.O.",VLOOKUP(A5279,INSUMOS_AUX!A:F,6,0),0)</f>
        <v>20.22</v>
      </c>
    </row>
    <row r="5280" customFormat="false" ht="31.5" hidden="false" customHeight="false" outlineLevel="0" collapsed="false">
      <c r="A5280" s="150" t="n">
        <v>92986</v>
      </c>
      <c r="B5280" s="151" t="s">
        <v>2363</v>
      </c>
      <c r="C5280" s="152" t="s">
        <v>59</v>
      </c>
      <c r="D5280" s="152" t="s">
        <v>1455</v>
      </c>
      <c r="E5280" s="150"/>
      <c r="F5280" s="153" t="n">
        <f aca="false">(SUMPRODUCT($E5281:$E5290,F5281:F5290))*1</f>
        <v>1.082486</v>
      </c>
      <c r="G5280" s="153" t="n">
        <f aca="false">(SUMPRODUCT($E5281:$E5290,G5281:G5290))*1</f>
        <v>2.42064430992</v>
      </c>
    </row>
    <row r="5281" customFormat="false" ht="21" hidden="false" customHeight="false" outlineLevel="0" collapsed="false">
      <c r="A5281" s="154" t="n">
        <v>37370</v>
      </c>
      <c r="B5281" s="155" t="s">
        <v>1443</v>
      </c>
      <c r="C5281" s="148" t="str">
        <f aca="false">VLOOKUP($A5281,INSUMOS_AUX!$A$3:$H$813,3,0)</f>
        <v>MAT.</v>
      </c>
      <c r="D5281" s="156" t="s">
        <v>1444</v>
      </c>
      <c r="E5281" s="154" t="n">
        <v>0.1394</v>
      </c>
      <c r="F5281" s="149" t="n">
        <f aca="false">IF(C5281="MAT.",VLOOKUP(A5281,INSUMOS_AUX!$A$3:$H$813,6,0),0)</f>
        <v>3.32</v>
      </c>
      <c r="G5281" s="149" t="n">
        <f aca="false">IF(C5281="M.O.",VLOOKUP(A5281,INSUMOS_AUX!A:F,6,0),0)</f>
        <v>0</v>
      </c>
    </row>
    <row r="5282" customFormat="false" ht="21" hidden="false" customHeight="false" outlineLevel="0" collapsed="false">
      <c r="A5282" s="154" t="n">
        <v>43484</v>
      </c>
      <c r="B5282" s="155" t="s">
        <v>1523</v>
      </c>
      <c r="C5282" s="148" t="str">
        <f aca="false">VLOOKUP($A5282,INSUMOS_AUX!$A$3:$H$813,3,0)</f>
        <v>MAT.</v>
      </c>
      <c r="D5282" s="156" t="s">
        <v>1444</v>
      </c>
      <c r="E5282" s="154" t="n">
        <v>0.1394</v>
      </c>
      <c r="F5282" s="149" t="n">
        <f aca="false">IF(C5282="MAT.",VLOOKUP(A5282,INSUMOS_AUX!$A$3:$H$813,6,0),0)</f>
        <v>1.26</v>
      </c>
      <c r="G5282" s="149" t="n">
        <f aca="false">IF(C5282="M.O.",VLOOKUP(A5282,INSUMOS_AUX!A:F,6,0),0)</f>
        <v>0</v>
      </c>
    </row>
    <row r="5283" customFormat="false" ht="21" hidden="false" customHeight="false" outlineLevel="0" collapsed="false">
      <c r="A5283" s="154" t="n">
        <v>37372</v>
      </c>
      <c r="B5283" s="155" t="s">
        <v>1446</v>
      </c>
      <c r="C5283" s="148" t="str">
        <f aca="false">VLOOKUP($A5283,INSUMOS_AUX!$A$3:$H$813,3,0)</f>
        <v>MAT.</v>
      </c>
      <c r="D5283" s="156" t="s">
        <v>1444</v>
      </c>
      <c r="E5283" s="154" t="n">
        <v>0.1394</v>
      </c>
      <c r="F5283" s="149" t="n">
        <f aca="false">IF(C5283="MAT.",VLOOKUP(A5283,INSUMOS_AUX!$A$3:$H$813,6,0),0)</f>
        <v>1.43</v>
      </c>
      <c r="G5283" s="149" t="n">
        <f aca="false">IF(C5283="M.O.",VLOOKUP(A5283,INSUMOS_AUX!A:F,6,0),0)</f>
        <v>0</v>
      </c>
    </row>
    <row r="5284" customFormat="false" ht="21" hidden="false" customHeight="false" outlineLevel="0" collapsed="false">
      <c r="A5284" s="154" t="n">
        <v>43460</v>
      </c>
      <c r="B5284" s="155" t="s">
        <v>1524</v>
      </c>
      <c r="C5284" s="148" t="str">
        <f aca="false">VLOOKUP($A5284,INSUMOS_AUX!$A$3:$H$813,3,0)</f>
        <v>MAT.</v>
      </c>
      <c r="D5284" s="156" t="s">
        <v>1444</v>
      </c>
      <c r="E5284" s="154" t="n">
        <v>0.1394</v>
      </c>
      <c r="F5284" s="149" t="n">
        <f aca="false">IF(C5284="MAT.",VLOOKUP(A5284,INSUMOS_AUX!$A$3:$H$813,6,0),0)</f>
        <v>0.86</v>
      </c>
      <c r="G5284" s="149" t="n">
        <f aca="false">IF(C5284="M.O.",VLOOKUP(A5284,INSUMOS_AUX!A:F,6,0),0)</f>
        <v>0</v>
      </c>
    </row>
    <row r="5285" customFormat="false" ht="21" hidden="false" customHeight="false" outlineLevel="0" collapsed="false">
      <c r="A5285" s="154" t="n">
        <v>37373</v>
      </c>
      <c r="B5285" s="155" t="s">
        <v>1448</v>
      </c>
      <c r="C5285" s="148" t="str">
        <f aca="false">VLOOKUP($A5285,INSUMOS_AUX!$A$3:$H$813,3,0)</f>
        <v>MAT.</v>
      </c>
      <c r="D5285" s="156" t="s">
        <v>1444</v>
      </c>
      <c r="E5285" s="154" t="n">
        <v>0.1394</v>
      </c>
      <c r="F5285" s="149" t="n">
        <f aca="false">IF(C5285="MAT.",VLOOKUP(A5285,INSUMOS_AUX!$A$3:$H$813,6,0),0)</f>
        <v>0.08</v>
      </c>
      <c r="G5285" s="149" t="n">
        <f aca="false">IF(C5285="M.O.",VLOOKUP(A5285,INSUMOS_AUX!A:F,6,0),0)</f>
        <v>0</v>
      </c>
    </row>
    <row r="5286" customFormat="false" ht="21" hidden="false" customHeight="false" outlineLevel="0" collapsed="false">
      <c r="A5286" s="154" t="n">
        <v>37371</v>
      </c>
      <c r="B5286" s="155" t="s">
        <v>1449</v>
      </c>
      <c r="C5286" s="148" t="str">
        <f aca="false">VLOOKUP($A5286,INSUMOS_AUX!$A$3:$H$813,3,0)</f>
        <v>MAT.</v>
      </c>
      <c r="D5286" s="156" t="s">
        <v>1444</v>
      </c>
      <c r="E5286" s="154" t="n">
        <v>0.1394</v>
      </c>
      <c r="F5286" s="149" t="n">
        <f aca="false">IF(C5286="MAT.",VLOOKUP(A5286,INSUMOS_AUX!$A$3:$H$813,6,0),0)</f>
        <v>0.59</v>
      </c>
      <c r="G5286" s="149" t="n">
        <f aca="false">IF(C5286="M.O.",VLOOKUP(A5286,INSUMOS_AUX!A:F,6,0),0)</f>
        <v>0</v>
      </c>
    </row>
    <row r="5287" customFormat="false" ht="31.5" hidden="false" customHeight="false" outlineLevel="0" collapsed="false">
      <c r="A5287" s="154" t="n">
        <v>1019</v>
      </c>
      <c r="B5287" s="155" t="s">
        <v>2364</v>
      </c>
      <c r="C5287" s="148" t="s">
        <v>59</v>
      </c>
      <c r="D5287" s="156" t="s">
        <v>1455</v>
      </c>
      <c r="E5287" s="154" t="n">
        <v>1.015</v>
      </c>
      <c r="F5287" s="149" t="n">
        <f aca="false">IF(C5287="MAT.",VLOOKUP(A5287,INSUMOS_AUX!$A$3:$H$813,6,0),0)</f>
        <v>0</v>
      </c>
      <c r="G5287" s="149" t="n">
        <f aca="false">IF(C5287="M.O.",VLOOKUP(A5287,INSUMOS_AUX!A:F,6,0),0)</f>
        <v>0</v>
      </c>
    </row>
    <row r="5288" customFormat="false" ht="21" hidden="false" customHeight="false" outlineLevel="0" collapsed="false">
      <c r="A5288" s="154" t="n">
        <v>21127</v>
      </c>
      <c r="B5288" s="155" t="s">
        <v>1542</v>
      </c>
      <c r="C5288" s="148" t="str">
        <f aca="false">VLOOKUP($A5288,INSUMOS_AUX!$A$3:$H$813,3,0)</f>
        <v>MAT.</v>
      </c>
      <c r="D5288" s="156" t="s">
        <v>31</v>
      </c>
      <c r="E5288" s="154" t="n">
        <v>0.009</v>
      </c>
      <c r="F5288" s="149" t="n">
        <f aca="false">IF(C5288="MAT.",VLOOKUP(A5288,INSUMOS_AUX!$A$3:$H$813,6,0),0)</f>
        <v>3.49</v>
      </c>
      <c r="G5288" s="149" t="n">
        <f aca="false">IF(C5288="M.O.",VLOOKUP(A5288,INSUMOS_AUX!A:F,6,0),0)</f>
        <v>0</v>
      </c>
    </row>
    <row r="5289" customFormat="false" ht="15" hidden="false" customHeight="false" outlineLevel="0" collapsed="false">
      <c r="A5289" s="154" t="n">
        <v>247</v>
      </c>
      <c r="B5289" s="155" t="s">
        <v>1554</v>
      </c>
      <c r="C5289" s="148" t="str">
        <f aca="false">VLOOKUP($A5289,INSUMOS_AUX!$A$3:$H$813,3,0)</f>
        <v>M.O.</v>
      </c>
      <c r="D5289" s="156" t="s">
        <v>1444</v>
      </c>
      <c r="E5289" s="154" t="n">
        <v>0.072301204</v>
      </c>
      <c r="F5289" s="149" t="n">
        <f aca="false">IF(C5289="MAT.",VLOOKUP(A5289,INSUMOS_AUX!$A$3:$H$813,6,0),0)</f>
        <v>0</v>
      </c>
      <c r="G5289" s="149" t="n">
        <f aca="false">IF(C5289="M.O.",VLOOKUP(A5289,INSUMOS_AUX!A:F,6,0),0)</f>
        <v>13.26</v>
      </c>
    </row>
    <row r="5290" customFormat="false" ht="15" hidden="false" customHeight="false" outlineLevel="0" collapsed="false">
      <c r="A5290" s="154" t="n">
        <v>2436</v>
      </c>
      <c r="B5290" s="155" t="s">
        <v>1557</v>
      </c>
      <c r="C5290" s="148" t="str">
        <f aca="false">VLOOKUP($A5290,INSUMOS_AUX!$A$3:$H$813,3,0)</f>
        <v>M.O.</v>
      </c>
      <c r="D5290" s="156" t="s">
        <v>1444</v>
      </c>
      <c r="E5290" s="154" t="n">
        <v>0.072301204</v>
      </c>
      <c r="F5290" s="149" t="n">
        <f aca="false">IF(C5290="MAT.",VLOOKUP(A5290,INSUMOS_AUX!$A$3:$H$813,6,0),0)</f>
        <v>0</v>
      </c>
      <c r="G5290" s="149" t="n">
        <f aca="false">IF(C5290="M.O.",VLOOKUP(A5290,INSUMOS_AUX!A:F,6,0),0)</f>
        <v>20.22</v>
      </c>
    </row>
    <row r="5291" customFormat="false" ht="31.5" hidden="false" customHeight="false" outlineLevel="0" collapsed="false">
      <c r="A5291" s="150" t="n">
        <v>92988</v>
      </c>
      <c r="B5291" s="151" t="s">
        <v>2365</v>
      </c>
      <c r="C5291" s="152" t="s">
        <v>59</v>
      </c>
      <c r="D5291" s="152" t="s">
        <v>1455</v>
      </c>
      <c r="E5291" s="150"/>
      <c r="F5291" s="153" t="n">
        <f aca="false">(SUMPRODUCT($E5292:$E5301,F5292:F5301))*1</f>
        <v>55.4739</v>
      </c>
      <c r="G5291" s="153" t="n">
        <f aca="false">(SUMPRODUCT($E5292:$E5301,G5292:G5301))*1</f>
        <v>1.7408926632</v>
      </c>
    </row>
    <row r="5292" customFormat="false" ht="21" hidden="false" customHeight="false" outlineLevel="0" collapsed="false">
      <c r="A5292" s="154" t="n">
        <v>37370</v>
      </c>
      <c r="B5292" s="155" t="s">
        <v>1443</v>
      </c>
      <c r="C5292" s="148" t="str">
        <f aca="false">VLOOKUP($A5292,INSUMOS_AUX!$A$3:$H$813,3,0)</f>
        <v>MAT.</v>
      </c>
      <c r="D5292" s="156" t="s">
        <v>1444</v>
      </c>
      <c r="E5292" s="154" t="n">
        <v>0.166</v>
      </c>
      <c r="F5292" s="149" t="n">
        <f aca="false">IF(C5292="MAT.",VLOOKUP(A5292,INSUMOS_AUX!$A$3:$H$813,6,0),0)</f>
        <v>3.32</v>
      </c>
      <c r="G5292" s="149" t="n">
        <f aca="false">IF(C5292="M.O.",VLOOKUP(A5292,INSUMOS_AUX!A:F,6,0),0)</f>
        <v>0</v>
      </c>
    </row>
    <row r="5293" customFormat="false" ht="21" hidden="false" customHeight="false" outlineLevel="0" collapsed="false">
      <c r="A5293" s="154" t="n">
        <v>43484</v>
      </c>
      <c r="B5293" s="155" t="s">
        <v>1523</v>
      </c>
      <c r="C5293" s="148" t="str">
        <f aca="false">VLOOKUP($A5293,INSUMOS_AUX!$A$3:$H$813,3,0)</f>
        <v>MAT.</v>
      </c>
      <c r="D5293" s="156" t="s">
        <v>1444</v>
      </c>
      <c r="E5293" s="154" t="n">
        <v>0.166</v>
      </c>
      <c r="F5293" s="149" t="n">
        <f aca="false">IF(C5293="MAT.",VLOOKUP(A5293,INSUMOS_AUX!$A$3:$H$813,6,0),0)</f>
        <v>1.26</v>
      </c>
      <c r="G5293" s="149" t="n">
        <f aca="false">IF(C5293="M.O.",VLOOKUP(A5293,INSUMOS_AUX!A:F,6,0),0)</f>
        <v>0</v>
      </c>
    </row>
    <row r="5294" customFormat="false" ht="21" hidden="false" customHeight="false" outlineLevel="0" collapsed="false">
      <c r="A5294" s="154" t="n">
        <v>37372</v>
      </c>
      <c r="B5294" s="155" t="s">
        <v>1446</v>
      </c>
      <c r="C5294" s="148" t="str">
        <f aca="false">VLOOKUP($A5294,INSUMOS_AUX!$A$3:$H$813,3,0)</f>
        <v>MAT.</v>
      </c>
      <c r="D5294" s="156" t="s">
        <v>1444</v>
      </c>
      <c r="E5294" s="154" t="n">
        <v>0.166</v>
      </c>
      <c r="F5294" s="149" t="n">
        <f aca="false">IF(C5294="MAT.",VLOOKUP(A5294,INSUMOS_AUX!$A$3:$H$813,6,0),0)</f>
        <v>1.43</v>
      </c>
      <c r="G5294" s="149" t="n">
        <f aca="false">IF(C5294="M.O.",VLOOKUP(A5294,INSUMOS_AUX!A:F,6,0),0)</f>
        <v>0</v>
      </c>
    </row>
    <row r="5295" customFormat="false" ht="21" hidden="false" customHeight="false" outlineLevel="0" collapsed="false">
      <c r="A5295" s="154" t="n">
        <v>43460</v>
      </c>
      <c r="B5295" s="155" t="s">
        <v>1524</v>
      </c>
      <c r="C5295" s="148" t="str">
        <f aca="false">VLOOKUP($A5295,INSUMOS_AUX!$A$3:$H$813,3,0)</f>
        <v>MAT.</v>
      </c>
      <c r="D5295" s="156" t="s">
        <v>1444</v>
      </c>
      <c r="E5295" s="154" t="n">
        <v>0.166</v>
      </c>
      <c r="F5295" s="149" t="n">
        <f aca="false">IF(C5295="MAT.",VLOOKUP(A5295,INSUMOS_AUX!$A$3:$H$813,6,0),0)</f>
        <v>0.86</v>
      </c>
      <c r="G5295" s="149" t="n">
        <f aca="false">IF(C5295="M.O.",VLOOKUP(A5295,INSUMOS_AUX!A:F,6,0),0)</f>
        <v>0</v>
      </c>
    </row>
    <row r="5296" customFormat="false" ht="21" hidden="false" customHeight="false" outlineLevel="0" collapsed="false">
      <c r="A5296" s="154" t="n">
        <v>37373</v>
      </c>
      <c r="B5296" s="155" t="s">
        <v>1448</v>
      </c>
      <c r="C5296" s="148" t="str">
        <f aca="false">VLOOKUP($A5296,INSUMOS_AUX!$A$3:$H$813,3,0)</f>
        <v>MAT.</v>
      </c>
      <c r="D5296" s="156" t="s">
        <v>1444</v>
      </c>
      <c r="E5296" s="154" t="n">
        <v>0.166</v>
      </c>
      <c r="F5296" s="149" t="n">
        <f aca="false">IF(C5296="MAT.",VLOOKUP(A5296,INSUMOS_AUX!$A$3:$H$813,6,0),0)</f>
        <v>0.08</v>
      </c>
      <c r="G5296" s="149" t="n">
        <f aca="false">IF(C5296="M.O.",VLOOKUP(A5296,INSUMOS_AUX!A:F,6,0),0)</f>
        <v>0</v>
      </c>
    </row>
    <row r="5297" customFormat="false" ht="21" hidden="false" customHeight="false" outlineLevel="0" collapsed="false">
      <c r="A5297" s="154" t="n">
        <v>37371</v>
      </c>
      <c r="B5297" s="155" t="s">
        <v>1449</v>
      </c>
      <c r="C5297" s="148" t="str">
        <f aca="false">VLOOKUP($A5297,INSUMOS_AUX!$A$3:$H$813,3,0)</f>
        <v>MAT.</v>
      </c>
      <c r="D5297" s="156" t="s">
        <v>1444</v>
      </c>
      <c r="E5297" s="154" t="n">
        <v>0.166</v>
      </c>
      <c r="F5297" s="149" t="n">
        <f aca="false">IF(C5297="MAT.",VLOOKUP(A5297,INSUMOS_AUX!$A$3:$H$813,6,0),0)</f>
        <v>0.59</v>
      </c>
      <c r="G5297" s="149" t="n">
        <f aca="false">IF(C5297="M.O.",VLOOKUP(A5297,INSUMOS_AUX!A:F,6,0),0)</f>
        <v>0</v>
      </c>
    </row>
    <row r="5298" customFormat="false" ht="31.5" hidden="false" customHeight="false" outlineLevel="0" collapsed="false">
      <c r="A5298" s="154" t="n">
        <v>1018</v>
      </c>
      <c r="B5298" s="155" t="s">
        <v>2366</v>
      </c>
      <c r="C5298" s="148" t="str">
        <f aca="false">VLOOKUP($A5298,INSUMOS_AUX!$A$3:$H$813,3,0)</f>
        <v>MAT.</v>
      </c>
      <c r="D5298" s="156" t="s">
        <v>1455</v>
      </c>
      <c r="E5298" s="154" t="n">
        <v>1.015</v>
      </c>
      <c r="F5298" s="149" t="n">
        <f aca="false">IF(C5298="MAT.",VLOOKUP(A5298,INSUMOS_AUX!$A$3:$H$813,6,0),0)</f>
        <v>53.39</v>
      </c>
      <c r="G5298" s="149" t="n">
        <f aca="false">IF(C5298="M.O.",VLOOKUP(A5298,INSUMOS_AUX!A:F,6,0),0)</f>
        <v>0</v>
      </c>
    </row>
    <row r="5299" customFormat="false" ht="21" hidden="false" customHeight="false" outlineLevel="0" collapsed="false">
      <c r="A5299" s="154" t="n">
        <v>21127</v>
      </c>
      <c r="B5299" s="155" t="s">
        <v>1542</v>
      </c>
      <c r="C5299" s="148" t="str">
        <f aca="false">VLOOKUP($A5299,INSUMOS_AUX!$A$3:$H$813,3,0)</f>
        <v>MAT.</v>
      </c>
      <c r="D5299" s="156" t="s">
        <v>31</v>
      </c>
      <c r="E5299" s="154" t="n">
        <v>0.009</v>
      </c>
      <c r="F5299" s="149" t="n">
        <f aca="false">IF(C5299="MAT.",VLOOKUP(A5299,INSUMOS_AUX!$A$3:$H$813,6,0),0)</f>
        <v>3.49</v>
      </c>
      <c r="G5299" s="149" t="n">
        <f aca="false">IF(C5299="M.O.",VLOOKUP(A5299,INSUMOS_AUX!A:F,6,0),0)</f>
        <v>0</v>
      </c>
    </row>
    <row r="5300" customFormat="false" ht="15" hidden="false" customHeight="false" outlineLevel="0" collapsed="false">
      <c r="A5300" s="154" t="n">
        <v>247</v>
      </c>
      <c r="B5300" s="155" t="s">
        <v>1554</v>
      </c>
      <c r="C5300" s="148" t="s">
        <v>59</v>
      </c>
      <c r="D5300" s="156" t="s">
        <v>1444</v>
      </c>
      <c r="E5300" s="154" t="n">
        <v>0.08609756</v>
      </c>
      <c r="F5300" s="149" t="n">
        <f aca="false">IF(C5300="MAT.",VLOOKUP(A5300,INSUMOS_AUX!$A$3:$H$813,6,0),0)</f>
        <v>0</v>
      </c>
      <c r="G5300" s="149" t="n">
        <f aca="false">IF(C5300="M.O.",VLOOKUP(A5300,INSUMOS_AUX!A:F,6,0),0)</f>
        <v>0</v>
      </c>
    </row>
    <row r="5301" customFormat="false" ht="15" hidden="false" customHeight="false" outlineLevel="0" collapsed="false">
      <c r="A5301" s="154" t="n">
        <v>2436</v>
      </c>
      <c r="B5301" s="155" t="s">
        <v>1557</v>
      </c>
      <c r="C5301" s="148" t="str">
        <f aca="false">VLOOKUP($A5301,INSUMOS_AUX!$A$3:$H$813,3,0)</f>
        <v>M.O.</v>
      </c>
      <c r="D5301" s="156" t="s">
        <v>1444</v>
      </c>
      <c r="E5301" s="154" t="n">
        <v>0.08609756</v>
      </c>
      <c r="F5301" s="149" t="n">
        <f aca="false">IF(C5301="MAT.",VLOOKUP(A5301,INSUMOS_AUX!$A$3:$H$813,6,0),0)</f>
        <v>0</v>
      </c>
      <c r="G5301" s="149" t="n">
        <f aca="false">IF(C5301="M.O.",VLOOKUP(A5301,INSUMOS_AUX!A:F,6,0),0)</f>
        <v>20.22</v>
      </c>
    </row>
    <row r="5302" customFormat="false" ht="31.5" hidden="false" customHeight="false" outlineLevel="0" collapsed="false">
      <c r="A5302" s="150" t="n">
        <v>92990</v>
      </c>
      <c r="B5302" s="151" t="s">
        <v>2367</v>
      </c>
      <c r="C5302" s="152" t="s">
        <v>59</v>
      </c>
      <c r="D5302" s="152" t="s">
        <v>1455</v>
      </c>
      <c r="E5302" s="150"/>
      <c r="F5302" s="153" t="n">
        <f aca="false">(SUMPRODUCT($E5303:$E5312,F5303:F5312))*1</f>
        <v>77.360316</v>
      </c>
      <c r="G5302" s="153" t="n">
        <f aca="false">(SUMPRODUCT($E5303:$E5312,G5303:G5312))*1</f>
        <v>3.49725799152</v>
      </c>
    </row>
    <row r="5303" customFormat="false" ht="21" hidden="false" customHeight="false" outlineLevel="0" collapsed="false">
      <c r="A5303" s="154" t="n">
        <v>37370</v>
      </c>
      <c r="B5303" s="155" t="s">
        <v>1443</v>
      </c>
      <c r="C5303" s="148" t="str">
        <f aca="false">VLOOKUP($A5303,INSUMOS_AUX!$A$3:$H$813,3,0)</f>
        <v>MAT.</v>
      </c>
      <c r="D5303" s="156" t="s">
        <v>1444</v>
      </c>
      <c r="E5303" s="154" t="n">
        <v>0.2014</v>
      </c>
      <c r="F5303" s="149" t="n">
        <f aca="false">IF(C5303="MAT.",VLOOKUP(A5303,INSUMOS_AUX!$A$3:$H$813,6,0),0)</f>
        <v>3.32</v>
      </c>
      <c r="G5303" s="149" t="n">
        <f aca="false">IF(C5303="M.O.",VLOOKUP(A5303,INSUMOS_AUX!A:F,6,0),0)</f>
        <v>0</v>
      </c>
    </row>
    <row r="5304" customFormat="false" ht="21" hidden="false" customHeight="false" outlineLevel="0" collapsed="false">
      <c r="A5304" s="154" t="n">
        <v>43484</v>
      </c>
      <c r="B5304" s="155" t="s">
        <v>1523</v>
      </c>
      <c r="C5304" s="148" t="str">
        <f aca="false">VLOOKUP($A5304,INSUMOS_AUX!$A$3:$H$813,3,0)</f>
        <v>MAT.</v>
      </c>
      <c r="D5304" s="156" t="s">
        <v>1444</v>
      </c>
      <c r="E5304" s="154" t="n">
        <v>0.2014</v>
      </c>
      <c r="F5304" s="149" t="n">
        <f aca="false">IF(C5304="MAT.",VLOOKUP(A5304,INSUMOS_AUX!$A$3:$H$813,6,0),0)</f>
        <v>1.26</v>
      </c>
      <c r="G5304" s="149" t="n">
        <f aca="false">IF(C5304="M.O.",VLOOKUP(A5304,INSUMOS_AUX!A:F,6,0),0)</f>
        <v>0</v>
      </c>
    </row>
    <row r="5305" customFormat="false" ht="21" hidden="false" customHeight="false" outlineLevel="0" collapsed="false">
      <c r="A5305" s="154" t="n">
        <v>37372</v>
      </c>
      <c r="B5305" s="155" t="s">
        <v>1446</v>
      </c>
      <c r="C5305" s="148" t="str">
        <f aca="false">VLOOKUP($A5305,INSUMOS_AUX!$A$3:$H$813,3,0)</f>
        <v>MAT.</v>
      </c>
      <c r="D5305" s="156" t="s">
        <v>1444</v>
      </c>
      <c r="E5305" s="154" t="n">
        <v>0.2014</v>
      </c>
      <c r="F5305" s="149" t="n">
        <f aca="false">IF(C5305="MAT.",VLOOKUP(A5305,INSUMOS_AUX!$A$3:$H$813,6,0),0)</f>
        <v>1.43</v>
      </c>
      <c r="G5305" s="149" t="n">
        <f aca="false">IF(C5305="M.O.",VLOOKUP(A5305,INSUMOS_AUX!A:F,6,0),0)</f>
        <v>0</v>
      </c>
    </row>
    <row r="5306" customFormat="false" ht="21" hidden="false" customHeight="false" outlineLevel="0" collapsed="false">
      <c r="A5306" s="154" t="n">
        <v>43460</v>
      </c>
      <c r="B5306" s="155" t="s">
        <v>1524</v>
      </c>
      <c r="C5306" s="148" t="str">
        <f aca="false">VLOOKUP($A5306,INSUMOS_AUX!$A$3:$H$813,3,0)</f>
        <v>MAT.</v>
      </c>
      <c r="D5306" s="156" t="s">
        <v>1444</v>
      </c>
      <c r="E5306" s="154" t="n">
        <v>0.2014</v>
      </c>
      <c r="F5306" s="149" t="n">
        <f aca="false">IF(C5306="MAT.",VLOOKUP(A5306,INSUMOS_AUX!$A$3:$H$813,6,0),0)</f>
        <v>0.86</v>
      </c>
      <c r="G5306" s="149" t="n">
        <f aca="false">IF(C5306="M.O.",VLOOKUP(A5306,INSUMOS_AUX!A:F,6,0),0)</f>
        <v>0</v>
      </c>
    </row>
    <row r="5307" customFormat="false" ht="21" hidden="false" customHeight="false" outlineLevel="0" collapsed="false">
      <c r="A5307" s="154" t="n">
        <v>37373</v>
      </c>
      <c r="B5307" s="155" t="s">
        <v>1448</v>
      </c>
      <c r="C5307" s="148" t="str">
        <f aca="false">VLOOKUP($A5307,INSUMOS_AUX!$A$3:$H$813,3,0)</f>
        <v>MAT.</v>
      </c>
      <c r="D5307" s="156" t="s">
        <v>1444</v>
      </c>
      <c r="E5307" s="154" t="n">
        <v>0.2014</v>
      </c>
      <c r="F5307" s="149" t="n">
        <f aca="false">IF(C5307="MAT.",VLOOKUP(A5307,INSUMOS_AUX!$A$3:$H$813,6,0),0)</f>
        <v>0.08</v>
      </c>
      <c r="G5307" s="149" t="n">
        <f aca="false">IF(C5307="M.O.",VLOOKUP(A5307,INSUMOS_AUX!A:F,6,0),0)</f>
        <v>0</v>
      </c>
    </row>
    <row r="5308" customFormat="false" ht="21" hidden="false" customHeight="false" outlineLevel="0" collapsed="false">
      <c r="A5308" s="154" t="n">
        <v>37371</v>
      </c>
      <c r="B5308" s="155" t="s">
        <v>1449</v>
      </c>
      <c r="C5308" s="148" t="str">
        <f aca="false">VLOOKUP($A5308,INSUMOS_AUX!$A$3:$H$813,3,0)</f>
        <v>MAT.</v>
      </c>
      <c r="D5308" s="156" t="s">
        <v>1444</v>
      </c>
      <c r="E5308" s="154" t="n">
        <v>0.2014</v>
      </c>
      <c r="F5308" s="149" t="n">
        <f aca="false">IF(C5308="MAT.",VLOOKUP(A5308,INSUMOS_AUX!$A$3:$H$813,6,0),0)</f>
        <v>0.59</v>
      </c>
      <c r="G5308" s="149" t="n">
        <f aca="false">IF(C5308="M.O.",VLOOKUP(A5308,INSUMOS_AUX!A:F,6,0),0)</f>
        <v>0</v>
      </c>
    </row>
    <row r="5309" customFormat="false" ht="31.5" hidden="false" customHeight="false" outlineLevel="0" collapsed="false">
      <c r="A5309" s="154" t="n">
        <v>977</v>
      </c>
      <c r="B5309" s="155" t="s">
        <v>2368</v>
      </c>
      <c r="C5309" s="148" t="str">
        <f aca="false">VLOOKUP($A5309,INSUMOS_AUX!$A$3:$H$813,3,0)</f>
        <v>MAT.</v>
      </c>
      <c r="D5309" s="156" t="s">
        <v>1455</v>
      </c>
      <c r="E5309" s="154" t="n">
        <v>1.015</v>
      </c>
      <c r="F5309" s="149" t="n">
        <f aca="false">IF(C5309="MAT.",VLOOKUP(A5309,INSUMOS_AUX!$A$3:$H$813,6,0),0)</f>
        <v>74.69</v>
      </c>
      <c r="G5309" s="149" t="n">
        <f aca="false">IF(C5309="M.O.",VLOOKUP(A5309,INSUMOS_AUX!A:F,6,0),0)</f>
        <v>0</v>
      </c>
    </row>
    <row r="5310" customFormat="false" ht="21" hidden="false" customHeight="false" outlineLevel="0" collapsed="false">
      <c r="A5310" s="154" t="n">
        <v>21127</v>
      </c>
      <c r="B5310" s="155" t="s">
        <v>1542</v>
      </c>
      <c r="C5310" s="148" t="str">
        <f aca="false">VLOOKUP($A5310,INSUMOS_AUX!$A$3:$H$813,3,0)</f>
        <v>MAT.</v>
      </c>
      <c r="D5310" s="156" t="s">
        <v>31</v>
      </c>
      <c r="E5310" s="154" t="n">
        <v>0.009</v>
      </c>
      <c r="F5310" s="149" t="n">
        <f aca="false">IF(C5310="MAT.",VLOOKUP(A5310,INSUMOS_AUX!$A$3:$H$813,6,0),0)</f>
        <v>3.49</v>
      </c>
      <c r="G5310" s="149" t="n">
        <f aca="false">IF(C5310="M.O.",VLOOKUP(A5310,INSUMOS_AUX!A:F,6,0),0)</f>
        <v>0</v>
      </c>
    </row>
    <row r="5311" customFormat="false" ht="15" hidden="false" customHeight="false" outlineLevel="0" collapsed="false">
      <c r="A5311" s="154" t="n">
        <v>247</v>
      </c>
      <c r="B5311" s="155" t="s">
        <v>1554</v>
      </c>
      <c r="C5311" s="148" t="str">
        <f aca="false">VLOOKUP($A5311,INSUMOS_AUX!$A$3:$H$813,3,0)</f>
        <v>M.O.</v>
      </c>
      <c r="D5311" s="156" t="s">
        <v>1444</v>
      </c>
      <c r="E5311" s="154" t="n">
        <v>0.104458124</v>
      </c>
      <c r="F5311" s="149" t="n">
        <f aca="false">IF(C5311="MAT.",VLOOKUP(A5311,INSUMOS_AUX!$A$3:$H$813,6,0),0)</f>
        <v>0</v>
      </c>
      <c r="G5311" s="149" t="n">
        <f aca="false">IF(C5311="M.O.",VLOOKUP(A5311,INSUMOS_AUX!A:F,6,0),0)</f>
        <v>13.26</v>
      </c>
    </row>
    <row r="5312" customFormat="false" ht="15" hidden="false" customHeight="false" outlineLevel="0" collapsed="false">
      <c r="A5312" s="154" t="n">
        <v>2436</v>
      </c>
      <c r="B5312" s="155" t="s">
        <v>1557</v>
      </c>
      <c r="C5312" s="148" t="str">
        <f aca="false">VLOOKUP($A5312,INSUMOS_AUX!$A$3:$H$813,3,0)</f>
        <v>M.O.</v>
      </c>
      <c r="D5312" s="156" t="s">
        <v>1444</v>
      </c>
      <c r="E5312" s="154" t="n">
        <v>0.104458124</v>
      </c>
      <c r="F5312" s="149" t="n">
        <f aca="false">IF(C5312="MAT.",VLOOKUP(A5312,INSUMOS_AUX!$A$3:$H$813,6,0),0)</f>
        <v>0</v>
      </c>
      <c r="G5312" s="149" t="n">
        <f aca="false">IF(C5312="M.O.",VLOOKUP(A5312,INSUMOS_AUX!A:F,6,0),0)</f>
        <v>20.22</v>
      </c>
    </row>
    <row r="5313" customFormat="false" ht="31.5" hidden="false" customHeight="false" outlineLevel="0" collapsed="false">
      <c r="A5313" s="150" t="n">
        <v>92992</v>
      </c>
      <c r="B5313" s="151" t="s">
        <v>2369</v>
      </c>
      <c r="C5313" s="152" t="s">
        <v>59</v>
      </c>
      <c r="D5313" s="152" t="s">
        <v>1455</v>
      </c>
      <c r="E5313" s="150"/>
      <c r="F5313" s="153" t="n">
        <f aca="false">(SUMPRODUCT($E5314:$E5323,F5314:F5323))*1</f>
        <v>100.307784</v>
      </c>
      <c r="G5313" s="153" t="n">
        <f aca="false">(SUMPRODUCT($E5314:$E5323,G5314:G5323))*1</f>
        <v>4.26477935808</v>
      </c>
    </row>
    <row r="5314" customFormat="false" ht="21" hidden="false" customHeight="false" outlineLevel="0" collapsed="false">
      <c r="A5314" s="154" t="n">
        <v>37370</v>
      </c>
      <c r="B5314" s="155" t="s">
        <v>1443</v>
      </c>
      <c r="C5314" s="148" t="str">
        <f aca="false">VLOOKUP($A5314,INSUMOS_AUX!$A$3:$H$813,3,0)</f>
        <v>MAT.</v>
      </c>
      <c r="D5314" s="156" t="s">
        <v>1444</v>
      </c>
      <c r="E5314" s="154" t="n">
        <v>0.2456</v>
      </c>
      <c r="F5314" s="149" t="n">
        <f aca="false">IF(C5314="MAT.",VLOOKUP(A5314,INSUMOS_AUX!$A$3:$H$813,6,0),0)</f>
        <v>3.32</v>
      </c>
      <c r="G5314" s="149" t="n">
        <f aca="false">IF(C5314="M.O.",VLOOKUP(A5314,INSUMOS_AUX!A:F,6,0),0)</f>
        <v>0</v>
      </c>
    </row>
    <row r="5315" customFormat="false" ht="21" hidden="false" customHeight="false" outlineLevel="0" collapsed="false">
      <c r="A5315" s="154" t="n">
        <v>43484</v>
      </c>
      <c r="B5315" s="155" t="s">
        <v>1523</v>
      </c>
      <c r="C5315" s="148" t="str">
        <f aca="false">VLOOKUP($A5315,INSUMOS_AUX!$A$3:$H$813,3,0)</f>
        <v>MAT.</v>
      </c>
      <c r="D5315" s="156" t="s">
        <v>1444</v>
      </c>
      <c r="E5315" s="154" t="n">
        <v>0.2456</v>
      </c>
      <c r="F5315" s="149" t="n">
        <f aca="false">IF(C5315="MAT.",VLOOKUP(A5315,INSUMOS_AUX!$A$3:$H$813,6,0),0)</f>
        <v>1.26</v>
      </c>
      <c r="G5315" s="149" t="n">
        <f aca="false">IF(C5315="M.O.",VLOOKUP(A5315,INSUMOS_AUX!A:F,6,0),0)</f>
        <v>0</v>
      </c>
    </row>
    <row r="5316" customFormat="false" ht="21" hidden="false" customHeight="false" outlineLevel="0" collapsed="false">
      <c r="A5316" s="154" t="n">
        <v>37372</v>
      </c>
      <c r="B5316" s="155" t="s">
        <v>1446</v>
      </c>
      <c r="C5316" s="148" t="str">
        <f aca="false">VLOOKUP($A5316,INSUMOS_AUX!$A$3:$H$813,3,0)</f>
        <v>MAT.</v>
      </c>
      <c r="D5316" s="156" t="s">
        <v>1444</v>
      </c>
      <c r="E5316" s="154" t="n">
        <v>0.2456</v>
      </c>
      <c r="F5316" s="149" t="n">
        <f aca="false">IF(C5316="MAT.",VLOOKUP(A5316,INSUMOS_AUX!$A$3:$H$813,6,0),0)</f>
        <v>1.43</v>
      </c>
      <c r="G5316" s="149" t="n">
        <f aca="false">IF(C5316="M.O.",VLOOKUP(A5316,INSUMOS_AUX!A:F,6,0),0)</f>
        <v>0</v>
      </c>
    </row>
    <row r="5317" customFormat="false" ht="21" hidden="false" customHeight="false" outlineLevel="0" collapsed="false">
      <c r="A5317" s="154" t="n">
        <v>43460</v>
      </c>
      <c r="B5317" s="155" t="s">
        <v>1524</v>
      </c>
      <c r="C5317" s="148" t="str">
        <f aca="false">VLOOKUP($A5317,INSUMOS_AUX!$A$3:$H$813,3,0)</f>
        <v>MAT.</v>
      </c>
      <c r="D5317" s="156" t="s">
        <v>1444</v>
      </c>
      <c r="E5317" s="154" t="n">
        <v>0.2456</v>
      </c>
      <c r="F5317" s="149" t="n">
        <f aca="false">IF(C5317="MAT.",VLOOKUP(A5317,INSUMOS_AUX!$A$3:$H$813,6,0),0)</f>
        <v>0.86</v>
      </c>
      <c r="G5317" s="149" t="n">
        <f aca="false">IF(C5317="M.O.",VLOOKUP(A5317,INSUMOS_AUX!A:F,6,0),0)</f>
        <v>0</v>
      </c>
    </row>
    <row r="5318" customFormat="false" ht="21" hidden="false" customHeight="false" outlineLevel="0" collapsed="false">
      <c r="A5318" s="154" t="n">
        <v>37373</v>
      </c>
      <c r="B5318" s="155" t="s">
        <v>1448</v>
      </c>
      <c r="C5318" s="148" t="str">
        <f aca="false">VLOOKUP($A5318,INSUMOS_AUX!$A$3:$H$813,3,0)</f>
        <v>MAT.</v>
      </c>
      <c r="D5318" s="156" t="s">
        <v>1444</v>
      </c>
      <c r="E5318" s="154" t="n">
        <v>0.2456</v>
      </c>
      <c r="F5318" s="149" t="n">
        <f aca="false">IF(C5318="MAT.",VLOOKUP(A5318,INSUMOS_AUX!$A$3:$H$813,6,0),0)</f>
        <v>0.08</v>
      </c>
      <c r="G5318" s="149" t="n">
        <f aca="false">IF(C5318="M.O.",VLOOKUP(A5318,INSUMOS_AUX!A:F,6,0),0)</f>
        <v>0</v>
      </c>
    </row>
    <row r="5319" customFormat="false" ht="21" hidden="false" customHeight="false" outlineLevel="0" collapsed="false">
      <c r="A5319" s="154" t="n">
        <v>37371</v>
      </c>
      <c r="B5319" s="155" t="s">
        <v>1449</v>
      </c>
      <c r="C5319" s="148" t="str">
        <f aca="false">VLOOKUP($A5319,INSUMOS_AUX!$A$3:$H$813,3,0)</f>
        <v>MAT.</v>
      </c>
      <c r="D5319" s="156" t="s">
        <v>1444</v>
      </c>
      <c r="E5319" s="154" t="n">
        <v>0.2456</v>
      </c>
      <c r="F5319" s="149" t="n">
        <f aca="false">IF(C5319="MAT.",VLOOKUP(A5319,INSUMOS_AUX!$A$3:$H$813,6,0),0)</f>
        <v>0.59</v>
      </c>
      <c r="G5319" s="149" t="n">
        <f aca="false">IF(C5319="M.O.",VLOOKUP(A5319,INSUMOS_AUX!A:F,6,0),0)</f>
        <v>0</v>
      </c>
    </row>
    <row r="5320" customFormat="false" ht="31.5" hidden="false" customHeight="false" outlineLevel="0" collapsed="false">
      <c r="A5320" s="154" t="n">
        <v>998</v>
      </c>
      <c r="B5320" s="155" t="s">
        <v>2370</v>
      </c>
      <c r="C5320" s="148" t="str">
        <f aca="false">VLOOKUP($A5320,INSUMOS_AUX!$A$3:$H$813,3,0)</f>
        <v>MAT.</v>
      </c>
      <c r="D5320" s="156" t="s">
        <v>1455</v>
      </c>
      <c r="E5320" s="154" t="n">
        <v>1.015</v>
      </c>
      <c r="F5320" s="149" t="n">
        <f aca="false">IF(C5320="MAT.",VLOOKUP(A5320,INSUMOS_AUX!$A$3:$H$813,6,0),0)</f>
        <v>96.97</v>
      </c>
      <c r="G5320" s="149" t="n">
        <f aca="false">IF(C5320="M.O.",VLOOKUP(A5320,INSUMOS_AUX!A:F,6,0),0)</f>
        <v>0</v>
      </c>
    </row>
    <row r="5321" customFormat="false" ht="21" hidden="false" customHeight="false" outlineLevel="0" collapsed="false">
      <c r="A5321" s="154" t="n">
        <v>21127</v>
      </c>
      <c r="B5321" s="155" t="s">
        <v>1542</v>
      </c>
      <c r="C5321" s="148" t="str">
        <f aca="false">VLOOKUP($A5321,INSUMOS_AUX!$A$3:$H$813,3,0)</f>
        <v>MAT.</v>
      </c>
      <c r="D5321" s="156" t="s">
        <v>31</v>
      </c>
      <c r="E5321" s="154" t="n">
        <v>0.009</v>
      </c>
      <c r="F5321" s="149" t="n">
        <f aca="false">IF(C5321="MAT.",VLOOKUP(A5321,INSUMOS_AUX!$A$3:$H$813,6,0),0)</f>
        <v>3.49</v>
      </c>
      <c r="G5321" s="149" t="n">
        <f aca="false">IF(C5321="M.O.",VLOOKUP(A5321,INSUMOS_AUX!A:F,6,0),0)</f>
        <v>0</v>
      </c>
    </row>
    <row r="5322" customFormat="false" ht="15" hidden="false" customHeight="false" outlineLevel="0" collapsed="false">
      <c r="A5322" s="154" t="n">
        <v>247</v>
      </c>
      <c r="B5322" s="155" t="s">
        <v>1554</v>
      </c>
      <c r="C5322" s="148" t="str">
        <f aca="false">VLOOKUP($A5322,INSUMOS_AUX!$A$3:$H$813,3,0)</f>
        <v>M.O.</v>
      </c>
      <c r="D5322" s="156" t="s">
        <v>1444</v>
      </c>
      <c r="E5322" s="154" t="n">
        <v>0.127382896</v>
      </c>
      <c r="F5322" s="149" t="n">
        <f aca="false">IF(C5322="MAT.",VLOOKUP(A5322,INSUMOS_AUX!$A$3:$H$813,6,0),0)</f>
        <v>0</v>
      </c>
      <c r="G5322" s="149" t="n">
        <f aca="false">IF(C5322="M.O.",VLOOKUP(A5322,INSUMOS_AUX!A:F,6,0),0)</f>
        <v>13.26</v>
      </c>
    </row>
    <row r="5323" customFormat="false" ht="15" hidden="false" customHeight="false" outlineLevel="0" collapsed="false">
      <c r="A5323" s="154" t="n">
        <v>2436</v>
      </c>
      <c r="B5323" s="155" t="s">
        <v>1557</v>
      </c>
      <c r="C5323" s="148" t="str">
        <f aca="false">VLOOKUP($A5323,INSUMOS_AUX!$A$3:$H$813,3,0)</f>
        <v>M.O.</v>
      </c>
      <c r="D5323" s="156" t="s">
        <v>1444</v>
      </c>
      <c r="E5323" s="154" t="n">
        <v>0.127382896</v>
      </c>
      <c r="F5323" s="149" t="n">
        <f aca="false">IF(C5323="MAT.",VLOOKUP(A5323,INSUMOS_AUX!$A$3:$H$813,6,0),0)</f>
        <v>0</v>
      </c>
      <c r="G5323" s="149" t="n">
        <f aca="false">IF(C5323="M.O.",VLOOKUP(A5323,INSUMOS_AUX!A:F,6,0),0)</f>
        <v>20.22</v>
      </c>
    </row>
    <row r="5324" customFormat="false" ht="31.5" hidden="false" customHeight="false" outlineLevel="0" collapsed="false">
      <c r="A5324" s="150" t="n">
        <v>91926</v>
      </c>
      <c r="B5324" s="151" t="s">
        <v>2371</v>
      </c>
      <c r="C5324" s="152" t="s">
        <v>59</v>
      </c>
      <c r="D5324" s="152" t="s">
        <v>1455</v>
      </c>
      <c r="E5324" s="150"/>
      <c r="F5324" s="153" t="n">
        <f aca="false">(SUMPRODUCT($E5325:$E5334,F5325:F5334))*1</f>
        <v>3.356338</v>
      </c>
      <c r="G5324" s="153" t="n">
        <f aca="false">(SUMPRODUCT($E5325:$E5334,G5325:G5334))*1</f>
        <v>1.0071547344</v>
      </c>
    </row>
    <row r="5325" customFormat="false" ht="21" hidden="false" customHeight="false" outlineLevel="0" collapsed="false">
      <c r="A5325" s="154" t="n">
        <v>37370</v>
      </c>
      <c r="B5325" s="155" t="s">
        <v>1443</v>
      </c>
      <c r="C5325" s="148" t="str">
        <f aca="false">VLOOKUP($A5325,INSUMOS_AUX!$A$3:$H$813,3,0)</f>
        <v>MAT.</v>
      </c>
      <c r="D5325" s="156" t="s">
        <v>1444</v>
      </c>
      <c r="E5325" s="154" t="n">
        <v>0.058</v>
      </c>
      <c r="F5325" s="149" t="n">
        <f aca="false">IF(C5325="MAT.",VLOOKUP(A5325,INSUMOS_AUX!$A$3:$H$813,6,0),0)</f>
        <v>3.32</v>
      </c>
      <c r="G5325" s="149" t="n">
        <f aca="false">IF(C5325="M.O.",VLOOKUP(A5325,INSUMOS_AUX!A:F,6,0),0)</f>
        <v>0</v>
      </c>
    </row>
    <row r="5326" customFormat="false" ht="21" hidden="false" customHeight="false" outlineLevel="0" collapsed="false">
      <c r="A5326" s="154" t="n">
        <v>43484</v>
      </c>
      <c r="B5326" s="155" t="s">
        <v>1523</v>
      </c>
      <c r="C5326" s="148" t="s">
        <v>59</v>
      </c>
      <c r="D5326" s="156" t="s">
        <v>1444</v>
      </c>
      <c r="E5326" s="154" t="n">
        <v>0.058</v>
      </c>
      <c r="F5326" s="149" t="n">
        <f aca="false">IF(C5326="MAT.",VLOOKUP(A5326,INSUMOS_AUX!$A$3:$H$813,6,0),0)</f>
        <v>0</v>
      </c>
      <c r="G5326" s="149" t="n">
        <f aca="false">IF(C5326="M.O.",VLOOKUP(A5326,INSUMOS_AUX!A:F,6,0),0)</f>
        <v>0</v>
      </c>
    </row>
    <row r="5327" customFormat="false" ht="21" hidden="false" customHeight="false" outlineLevel="0" collapsed="false">
      <c r="A5327" s="154" t="n">
        <v>37372</v>
      </c>
      <c r="B5327" s="155" t="s">
        <v>1446</v>
      </c>
      <c r="C5327" s="148" t="str">
        <f aca="false">VLOOKUP($A5327,INSUMOS_AUX!$A$3:$H$813,3,0)</f>
        <v>MAT.</v>
      </c>
      <c r="D5327" s="156" t="s">
        <v>1444</v>
      </c>
      <c r="E5327" s="154" t="n">
        <v>0.058</v>
      </c>
      <c r="F5327" s="149" t="n">
        <f aca="false">IF(C5327="MAT.",VLOOKUP(A5327,INSUMOS_AUX!$A$3:$H$813,6,0),0)</f>
        <v>1.43</v>
      </c>
      <c r="G5327" s="149" t="n">
        <f aca="false">IF(C5327="M.O.",VLOOKUP(A5327,INSUMOS_AUX!A:F,6,0),0)</f>
        <v>0</v>
      </c>
    </row>
    <row r="5328" customFormat="false" ht="21" hidden="false" customHeight="false" outlineLevel="0" collapsed="false">
      <c r="A5328" s="154" t="n">
        <v>43460</v>
      </c>
      <c r="B5328" s="155" t="s">
        <v>1524</v>
      </c>
      <c r="C5328" s="148" t="str">
        <f aca="false">VLOOKUP($A5328,INSUMOS_AUX!$A$3:$H$813,3,0)</f>
        <v>MAT.</v>
      </c>
      <c r="D5328" s="156" t="s">
        <v>1444</v>
      </c>
      <c r="E5328" s="154" t="n">
        <v>0.058</v>
      </c>
      <c r="F5328" s="149" t="n">
        <f aca="false">IF(C5328="MAT.",VLOOKUP(A5328,INSUMOS_AUX!$A$3:$H$813,6,0),0)</f>
        <v>0.86</v>
      </c>
      <c r="G5328" s="149" t="n">
        <f aca="false">IF(C5328="M.O.",VLOOKUP(A5328,INSUMOS_AUX!A:F,6,0),0)</f>
        <v>0</v>
      </c>
    </row>
    <row r="5329" customFormat="false" ht="21" hidden="false" customHeight="false" outlineLevel="0" collapsed="false">
      <c r="A5329" s="154" t="n">
        <v>37373</v>
      </c>
      <c r="B5329" s="155" t="s">
        <v>1448</v>
      </c>
      <c r="C5329" s="148" t="str">
        <f aca="false">VLOOKUP($A5329,INSUMOS_AUX!$A$3:$H$813,3,0)</f>
        <v>MAT.</v>
      </c>
      <c r="D5329" s="156" t="s">
        <v>1444</v>
      </c>
      <c r="E5329" s="154" t="n">
        <v>0.058</v>
      </c>
      <c r="F5329" s="149" t="n">
        <f aca="false">IF(C5329="MAT.",VLOOKUP(A5329,INSUMOS_AUX!$A$3:$H$813,6,0),0)</f>
        <v>0.08</v>
      </c>
      <c r="G5329" s="149" t="n">
        <f aca="false">IF(C5329="M.O.",VLOOKUP(A5329,INSUMOS_AUX!A:F,6,0),0)</f>
        <v>0</v>
      </c>
    </row>
    <row r="5330" customFormat="false" ht="21" hidden="false" customHeight="false" outlineLevel="0" collapsed="false">
      <c r="A5330" s="154" t="n">
        <v>37371</v>
      </c>
      <c r="B5330" s="155" t="s">
        <v>1449</v>
      </c>
      <c r="C5330" s="148" t="str">
        <f aca="false">VLOOKUP($A5330,INSUMOS_AUX!$A$3:$H$813,3,0)</f>
        <v>MAT.</v>
      </c>
      <c r="D5330" s="156" t="s">
        <v>1444</v>
      </c>
      <c r="E5330" s="154" t="n">
        <v>0.058</v>
      </c>
      <c r="F5330" s="149" t="n">
        <f aca="false">IF(C5330="MAT.",VLOOKUP(A5330,INSUMOS_AUX!$A$3:$H$813,6,0),0)</f>
        <v>0.59</v>
      </c>
      <c r="G5330" s="149" t="n">
        <f aca="false">IF(C5330="M.O.",VLOOKUP(A5330,INSUMOS_AUX!A:F,6,0),0)</f>
        <v>0</v>
      </c>
    </row>
    <row r="5331" customFormat="false" ht="31.5" hidden="false" customHeight="false" outlineLevel="0" collapsed="false">
      <c r="A5331" s="154" t="n">
        <v>1014</v>
      </c>
      <c r="B5331" s="155" t="s">
        <v>1529</v>
      </c>
      <c r="C5331" s="148" t="str">
        <f aca="false">VLOOKUP($A5331,INSUMOS_AUX!$A$3:$H$813,3,0)</f>
        <v>MAT.</v>
      </c>
      <c r="D5331" s="156" t="s">
        <v>1455</v>
      </c>
      <c r="E5331" s="154" t="n">
        <v>1.2434</v>
      </c>
      <c r="F5331" s="149" t="n">
        <f aca="false">IF(C5331="MAT.",VLOOKUP(A5331,INSUMOS_AUX!$A$3:$H$813,6,0),0)</f>
        <v>2.38</v>
      </c>
      <c r="G5331" s="149" t="n">
        <f aca="false">IF(C5331="M.O.",VLOOKUP(A5331,INSUMOS_AUX!A:F,6,0),0)</f>
        <v>0</v>
      </c>
    </row>
    <row r="5332" customFormat="false" ht="21" hidden="false" customHeight="false" outlineLevel="0" collapsed="false">
      <c r="A5332" s="154" t="n">
        <v>21127</v>
      </c>
      <c r="B5332" s="155" t="s">
        <v>1542</v>
      </c>
      <c r="C5332" s="148" t="str">
        <f aca="false">VLOOKUP($A5332,INSUMOS_AUX!$A$3:$H$813,3,0)</f>
        <v>MAT.</v>
      </c>
      <c r="D5332" s="156" t="s">
        <v>31</v>
      </c>
      <c r="E5332" s="154" t="n">
        <v>0.0094</v>
      </c>
      <c r="F5332" s="149" t="n">
        <f aca="false">IF(C5332="MAT.",VLOOKUP(A5332,INSUMOS_AUX!$A$3:$H$813,6,0),0)</f>
        <v>3.49</v>
      </c>
      <c r="G5332" s="149" t="n">
        <f aca="false">IF(C5332="M.O.",VLOOKUP(A5332,INSUMOS_AUX!A:F,6,0),0)</f>
        <v>0</v>
      </c>
    </row>
    <row r="5333" customFormat="false" ht="15" hidden="false" customHeight="false" outlineLevel="0" collapsed="false">
      <c r="A5333" s="154" t="n">
        <v>247</v>
      </c>
      <c r="B5333" s="155" t="s">
        <v>1554</v>
      </c>
      <c r="C5333" s="148" t="str">
        <f aca="false">VLOOKUP($A5333,INSUMOS_AUX!$A$3:$H$813,3,0)</f>
        <v>M.O.</v>
      </c>
      <c r="D5333" s="156" t="s">
        <v>1444</v>
      </c>
      <c r="E5333" s="154" t="n">
        <v>0.03008228</v>
      </c>
      <c r="F5333" s="149" t="n">
        <f aca="false">IF(C5333="MAT.",VLOOKUP(A5333,INSUMOS_AUX!$A$3:$H$813,6,0),0)</f>
        <v>0</v>
      </c>
      <c r="G5333" s="149" t="n">
        <f aca="false">IF(C5333="M.O.",VLOOKUP(A5333,INSUMOS_AUX!A:F,6,0),0)</f>
        <v>13.26</v>
      </c>
    </row>
    <row r="5334" customFormat="false" ht="15" hidden="false" customHeight="false" outlineLevel="0" collapsed="false">
      <c r="A5334" s="154" t="n">
        <v>2436</v>
      </c>
      <c r="B5334" s="155" t="s">
        <v>1557</v>
      </c>
      <c r="C5334" s="148" t="str">
        <f aca="false">VLOOKUP($A5334,INSUMOS_AUX!$A$3:$H$813,3,0)</f>
        <v>M.O.</v>
      </c>
      <c r="D5334" s="156" t="s">
        <v>1444</v>
      </c>
      <c r="E5334" s="154" t="n">
        <v>0.03008228</v>
      </c>
      <c r="F5334" s="149" t="n">
        <f aca="false">IF(C5334="MAT.",VLOOKUP(A5334,INSUMOS_AUX!$A$3:$H$813,6,0),0)</f>
        <v>0</v>
      </c>
      <c r="G5334" s="149" t="n">
        <f aca="false">IF(C5334="M.O.",VLOOKUP(A5334,INSUMOS_AUX!A:F,6,0),0)</f>
        <v>20.22</v>
      </c>
    </row>
    <row r="5335" customFormat="false" ht="31.5" hidden="false" customHeight="false" outlineLevel="0" collapsed="false">
      <c r="A5335" s="150" t="n">
        <v>91928</v>
      </c>
      <c r="B5335" s="151" t="s">
        <v>2372</v>
      </c>
      <c r="C5335" s="152" t="s">
        <v>59</v>
      </c>
      <c r="D5335" s="152" t="s">
        <v>1455</v>
      </c>
      <c r="E5335" s="150"/>
      <c r="F5335" s="153" t="n">
        <f aca="false">(SUMPRODUCT($E5336:$E5345,F5336:F5345))*1</f>
        <v>5.465276</v>
      </c>
      <c r="G5335" s="153" t="n">
        <f aca="false">(SUMPRODUCT($E5336:$E5345,G5336:G5345))*1</f>
        <v>1.3544494704</v>
      </c>
    </row>
    <row r="5336" customFormat="false" ht="21" hidden="false" customHeight="false" outlineLevel="0" collapsed="false">
      <c r="A5336" s="154" t="n">
        <v>37370</v>
      </c>
      <c r="B5336" s="155" t="s">
        <v>1443</v>
      </c>
      <c r="C5336" s="148" t="str">
        <f aca="false">VLOOKUP($A5336,INSUMOS_AUX!$A$3:$H$813,3,0)</f>
        <v>MAT.</v>
      </c>
      <c r="D5336" s="156" t="s">
        <v>1444</v>
      </c>
      <c r="E5336" s="154" t="n">
        <v>0.078</v>
      </c>
      <c r="F5336" s="149" t="n">
        <f aca="false">IF(C5336="MAT.",VLOOKUP(A5336,INSUMOS_AUX!$A$3:$H$813,6,0),0)</f>
        <v>3.32</v>
      </c>
      <c r="G5336" s="149" t="n">
        <f aca="false">IF(C5336="M.O.",VLOOKUP(A5336,INSUMOS_AUX!A:F,6,0),0)</f>
        <v>0</v>
      </c>
    </row>
    <row r="5337" customFormat="false" ht="21" hidden="false" customHeight="false" outlineLevel="0" collapsed="false">
      <c r="A5337" s="154" t="n">
        <v>43484</v>
      </c>
      <c r="B5337" s="155" t="s">
        <v>1523</v>
      </c>
      <c r="C5337" s="148" t="str">
        <f aca="false">VLOOKUP($A5337,INSUMOS_AUX!$A$3:$H$813,3,0)</f>
        <v>MAT.</v>
      </c>
      <c r="D5337" s="156" t="s">
        <v>1444</v>
      </c>
      <c r="E5337" s="154" t="n">
        <v>0.078</v>
      </c>
      <c r="F5337" s="149" t="n">
        <f aca="false">IF(C5337="MAT.",VLOOKUP(A5337,INSUMOS_AUX!$A$3:$H$813,6,0),0)</f>
        <v>1.26</v>
      </c>
      <c r="G5337" s="149" t="n">
        <f aca="false">IF(C5337="M.O.",VLOOKUP(A5337,INSUMOS_AUX!A:F,6,0),0)</f>
        <v>0</v>
      </c>
    </row>
    <row r="5338" customFormat="false" ht="21" hidden="false" customHeight="false" outlineLevel="0" collapsed="false">
      <c r="A5338" s="154" t="n">
        <v>37372</v>
      </c>
      <c r="B5338" s="155" t="s">
        <v>1446</v>
      </c>
      <c r="C5338" s="148" t="str">
        <f aca="false">VLOOKUP($A5338,INSUMOS_AUX!$A$3:$H$813,3,0)</f>
        <v>MAT.</v>
      </c>
      <c r="D5338" s="156" t="s">
        <v>1444</v>
      </c>
      <c r="E5338" s="154" t="n">
        <v>0.078</v>
      </c>
      <c r="F5338" s="149" t="n">
        <f aca="false">IF(C5338="MAT.",VLOOKUP(A5338,INSUMOS_AUX!$A$3:$H$813,6,0),0)</f>
        <v>1.43</v>
      </c>
      <c r="G5338" s="149" t="n">
        <f aca="false">IF(C5338="M.O.",VLOOKUP(A5338,INSUMOS_AUX!A:F,6,0),0)</f>
        <v>0</v>
      </c>
    </row>
    <row r="5339" customFormat="false" ht="21" hidden="false" customHeight="false" outlineLevel="0" collapsed="false">
      <c r="A5339" s="154" t="n">
        <v>43460</v>
      </c>
      <c r="B5339" s="155" t="s">
        <v>1524</v>
      </c>
      <c r="C5339" s="148" t="s">
        <v>59</v>
      </c>
      <c r="D5339" s="156" t="s">
        <v>1444</v>
      </c>
      <c r="E5339" s="154" t="n">
        <v>0.078</v>
      </c>
      <c r="F5339" s="149" t="n">
        <f aca="false">IF(C5339="MAT.",VLOOKUP(A5339,INSUMOS_AUX!$A$3:$H$813,6,0),0)</f>
        <v>0</v>
      </c>
      <c r="G5339" s="149" t="n">
        <f aca="false">IF(C5339="M.O.",VLOOKUP(A5339,INSUMOS_AUX!A:F,6,0),0)</f>
        <v>0</v>
      </c>
    </row>
    <row r="5340" customFormat="false" ht="21" hidden="false" customHeight="false" outlineLevel="0" collapsed="false">
      <c r="A5340" s="154" t="n">
        <v>37373</v>
      </c>
      <c r="B5340" s="155" t="s">
        <v>1448</v>
      </c>
      <c r="C5340" s="148" t="str">
        <f aca="false">VLOOKUP($A5340,INSUMOS_AUX!$A$3:$H$813,3,0)</f>
        <v>MAT.</v>
      </c>
      <c r="D5340" s="156" t="s">
        <v>1444</v>
      </c>
      <c r="E5340" s="154" t="n">
        <v>0.078</v>
      </c>
      <c r="F5340" s="149" t="n">
        <f aca="false">IF(C5340="MAT.",VLOOKUP(A5340,INSUMOS_AUX!$A$3:$H$813,6,0),0)</f>
        <v>0.08</v>
      </c>
      <c r="G5340" s="149" t="n">
        <f aca="false">IF(C5340="M.O.",VLOOKUP(A5340,INSUMOS_AUX!A:F,6,0),0)</f>
        <v>0</v>
      </c>
    </row>
    <row r="5341" customFormat="false" ht="21" hidden="false" customHeight="false" outlineLevel="0" collapsed="false">
      <c r="A5341" s="154" t="n">
        <v>37371</v>
      </c>
      <c r="B5341" s="155" t="s">
        <v>1449</v>
      </c>
      <c r="C5341" s="148" t="str">
        <f aca="false">VLOOKUP($A5341,INSUMOS_AUX!$A$3:$H$813,3,0)</f>
        <v>MAT.</v>
      </c>
      <c r="D5341" s="156" t="s">
        <v>1444</v>
      </c>
      <c r="E5341" s="154" t="n">
        <v>0.078</v>
      </c>
      <c r="F5341" s="149" t="n">
        <f aca="false">IF(C5341="MAT.",VLOOKUP(A5341,INSUMOS_AUX!$A$3:$H$813,6,0),0)</f>
        <v>0.59</v>
      </c>
      <c r="G5341" s="149" t="n">
        <f aca="false">IF(C5341="M.O.",VLOOKUP(A5341,INSUMOS_AUX!A:F,6,0),0)</f>
        <v>0</v>
      </c>
    </row>
    <row r="5342" customFormat="false" ht="21" hidden="false" customHeight="false" outlineLevel="0" collapsed="false">
      <c r="A5342" s="154" t="n">
        <v>981</v>
      </c>
      <c r="B5342" s="155" t="s">
        <v>2373</v>
      </c>
      <c r="C5342" s="148" t="str">
        <f aca="false">VLOOKUP($A5342,INSUMOS_AUX!$A$3:$H$813,3,0)</f>
        <v>MAT.</v>
      </c>
      <c r="D5342" s="156" t="s">
        <v>1455</v>
      </c>
      <c r="E5342" s="154" t="n">
        <v>1.2434</v>
      </c>
      <c r="F5342" s="149" t="n">
        <f aca="false">IF(C5342="MAT.",VLOOKUP(A5342,INSUMOS_AUX!$A$3:$H$813,6,0),0)</f>
        <v>3.95</v>
      </c>
      <c r="G5342" s="149" t="n">
        <f aca="false">IF(C5342="M.O.",VLOOKUP(A5342,INSUMOS_AUX!A:F,6,0),0)</f>
        <v>0</v>
      </c>
    </row>
    <row r="5343" customFormat="false" ht="21" hidden="false" customHeight="false" outlineLevel="0" collapsed="false">
      <c r="A5343" s="154" t="n">
        <v>21127</v>
      </c>
      <c r="B5343" s="155" t="s">
        <v>1542</v>
      </c>
      <c r="C5343" s="148" t="str">
        <f aca="false">VLOOKUP($A5343,INSUMOS_AUX!$A$3:$H$813,3,0)</f>
        <v>MAT.</v>
      </c>
      <c r="D5343" s="156" t="s">
        <v>31</v>
      </c>
      <c r="E5343" s="154" t="n">
        <v>0.0094</v>
      </c>
      <c r="F5343" s="149" t="n">
        <f aca="false">IF(C5343="MAT.",VLOOKUP(A5343,INSUMOS_AUX!$A$3:$H$813,6,0),0)</f>
        <v>3.49</v>
      </c>
      <c r="G5343" s="149" t="n">
        <f aca="false">IF(C5343="M.O.",VLOOKUP(A5343,INSUMOS_AUX!A:F,6,0),0)</f>
        <v>0</v>
      </c>
    </row>
    <row r="5344" customFormat="false" ht="15" hidden="false" customHeight="false" outlineLevel="0" collapsed="false">
      <c r="A5344" s="154" t="n">
        <v>247</v>
      </c>
      <c r="B5344" s="155" t="s">
        <v>1554</v>
      </c>
      <c r="C5344" s="148" t="str">
        <f aca="false">VLOOKUP($A5344,INSUMOS_AUX!$A$3:$H$813,3,0)</f>
        <v>M.O.</v>
      </c>
      <c r="D5344" s="156" t="s">
        <v>1444</v>
      </c>
      <c r="E5344" s="154" t="n">
        <v>0.04045548</v>
      </c>
      <c r="F5344" s="149" t="n">
        <f aca="false">IF(C5344="MAT.",VLOOKUP(A5344,INSUMOS_AUX!$A$3:$H$813,6,0),0)</f>
        <v>0</v>
      </c>
      <c r="G5344" s="149" t="n">
        <f aca="false">IF(C5344="M.O.",VLOOKUP(A5344,INSUMOS_AUX!A:F,6,0),0)</f>
        <v>13.26</v>
      </c>
    </row>
    <row r="5345" customFormat="false" ht="15" hidden="false" customHeight="false" outlineLevel="0" collapsed="false">
      <c r="A5345" s="154" t="n">
        <v>2436</v>
      </c>
      <c r="B5345" s="155" t="s">
        <v>1557</v>
      </c>
      <c r="C5345" s="148" t="str">
        <f aca="false">VLOOKUP($A5345,INSUMOS_AUX!$A$3:$H$813,3,0)</f>
        <v>M.O.</v>
      </c>
      <c r="D5345" s="156" t="s">
        <v>1444</v>
      </c>
      <c r="E5345" s="154" t="n">
        <v>0.04045548</v>
      </c>
      <c r="F5345" s="149" t="n">
        <f aca="false">IF(C5345="MAT.",VLOOKUP(A5345,INSUMOS_AUX!$A$3:$H$813,6,0),0)</f>
        <v>0</v>
      </c>
      <c r="G5345" s="149" t="n">
        <f aca="false">IF(C5345="M.O.",VLOOKUP(A5345,INSUMOS_AUX!A:F,6,0),0)</f>
        <v>20.22</v>
      </c>
    </row>
    <row r="5346" customFormat="false" ht="21" hidden="false" customHeight="false" outlineLevel="0" collapsed="false">
      <c r="A5346" s="150" t="n">
        <v>91940</v>
      </c>
      <c r="B5346" s="151" t="s">
        <v>2374</v>
      </c>
      <c r="C5346" s="152" t="s">
        <v>59</v>
      </c>
      <c r="D5346" s="152" t="s">
        <v>31</v>
      </c>
      <c r="E5346" s="150"/>
      <c r="F5346" s="153" t="n">
        <f aca="false">(SUMPRODUCT($E5347:$E5360,F5347:F5360))*1</f>
        <v>6.30821361</v>
      </c>
      <c r="G5346" s="153" t="n">
        <f aca="false">(SUMPRODUCT($E5347:$E5360,G5347:G5360))*1</f>
        <v>10.20827769462</v>
      </c>
    </row>
    <row r="5347" customFormat="false" ht="21" hidden="false" customHeight="false" outlineLevel="0" collapsed="false">
      <c r="A5347" s="154" t="n">
        <v>37370</v>
      </c>
      <c r="B5347" s="155" t="s">
        <v>1443</v>
      </c>
      <c r="C5347" s="148" t="str">
        <f aca="false">VLOOKUP($A5347,INSUMOS_AUX!$A$3:$H$813,3,0)</f>
        <v>MAT.</v>
      </c>
      <c r="D5347" s="156" t="s">
        <v>1444</v>
      </c>
      <c r="E5347" s="154" t="n">
        <v>0.589713</v>
      </c>
      <c r="F5347" s="149" t="n">
        <f aca="false">IF(C5347="MAT.",VLOOKUP(A5347,INSUMOS_AUX!$A$3:$H$813,6,0),0)</f>
        <v>3.32</v>
      </c>
      <c r="G5347" s="149" t="n">
        <f aca="false">IF(C5347="M.O.",VLOOKUP(A5347,INSUMOS_AUX!A:F,6,0),0)</f>
        <v>0</v>
      </c>
    </row>
    <row r="5348" customFormat="false" ht="21" hidden="false" customHeight="false" outlineLevel="0" collapsed="false">
      <c r="A5348" s="154" t="n">
        <v>43484</v>
      </c>
      <c r="B5348" s="155" t="s">
        <v>1523</v>
      </c>
      <c r="C5348" s="148" t="str">
        <f aca="false">VLOOKUP($A5348,INSUMOS_AUX!$A$3:$H$813,3,0)</f>
        <v>MAT.</v>
      </c>
      <c r="D5348" s="156" t="s">
        <v>1444</v>
      </c>
      <c r="E5348" s="154" t="n">
        <v>0.582</v>
      </c>
      <c r="F5348" s="149" t="n">
        <f aca="false">IF(C5348="MAT.",VLOOKUP(A5348,INSUMOS_AUX!$A$3:$H$813,6,0),0)</f>
        <v>1.26</v>
      </c>
      <c r="G5348" s="149" t="n">
        <f aca="false">IF(C5348="M.O.",VLOOKUP(A5348,INSUMOS_AUX!A:F,6,0),0)</f>
        <v>0</v>
      </c>
    </row>
    <row r="5349" customFormat="false" ht="21" hidden="false" customHeight="false" outlineLevel="0" collapsed="false">
      <c r="A5349" s="154" t="n">
        <v>43491</v>
      </c>
      <c r="B5349" s="155" t="s">
        <v>1457</v>
      </c>
      <c r="C5349" s="148" t="str">
        <f aca="false">VLOOKUP($A5349,INSUMOS_AUX!$A$3:$H$813,3,0)</f>
        <v>MAT.</v>
      </c>
      <c r="D5349" s="156" t="s">
        <v>1444</v>
      </c>
      <c r="E5349" s="154" t="n">
        <v>0.007713</v>
      </c>
      <c r="F5349" s="149" t="n">
        <f aca="false">IF(C5349="MAT.",VLOOKUP(A5349,INSUMOS_AUX!$A$3:$H$813,6,0),0)</f>
        <v>1.39</v>
      </c>
      <c r="G5349" s="149" t="n">
        <f aca="false">IF(C5349="M.O.",VLOOKUP(A5349,INSUMOS_AUX!A:F,6,0),0)</f>
        <v>0</v>
      </c>
    </row>
    <row r="5350" customFormat="false" ht="21" hidden="false" customHeight="false" outlineLevel="0" collapsed="false">
      <c r="A5350" s="154" t="n">
        <v>37372</v>
      </c>
      <c r="B5350" s="155" t="s">
        <v>1446</v>
      </c>
      <c r="C5350" s="148" t="str">
        <f aca="false">VLOOKUP($A5350,INSUMOS_AUX!$A$3:$H$813,3,0)</f>
        <v>MAT.</v>
      </c>
      <c r="D5350" s="156" t="s">
        <v>1444</v>
      </c>
      <c r="E5350" s="154" t="n">
        <v>0.589713</v>
      </c>
      <c r="F5350" s="149" t="n">
        <f aca="false">IF(C5350="MAT.",VLOOKUP(A5350,INSUMOS_AUX!$A$3:$H$813,6,0),0)</f>
        <v>1.43</v>
      </c>
      <c r="G5350" s="149" t="n">
        <f aca="false">IF(C5350="M.O.",VLOOKUP(A5350,INSUMOS_AUX!A:F,6,0),0)</f>
        <v>0</v>
      </c>
    </row>
    <row r="5351" customFormat="false" ht="21" hidden="false" customHeight="false" outlineLevel="0" collapsed="false">
      <c r="A5351" s="154" t="n">
        <v>43460</v>
      </c>
      <c r="B5351" s="155" t="s">
        <v>1524</v>
      </c>
      <c r="C5351" s="148" t="str">
        <f aca="false">VLOOKUP($A5351,INSUMOS_AUX!$A$3:$H$813,3,0)</f>
        <v>MAT.</v>
      </c>
      <c r="D5351" s="156" t="s">
        <v>1444</v>
      </c>
      <c r="E5351" s="154" t="n">
        <v>0.582</v>
      </c>
      <c r="F5351" s="149" t="n">
        <f aca="false">IF(C5351="MAT.",VLOOKUP(A5351,INSUMOS_AUX!$A$3:$H$813,6,0),0)</f>
        <v>0.86</v>
      </c>
      <c r="G5351" s="149" t="n">
        <f aca="false">IF(C5351="M.O.",VLOOKUP(A5351,INSUMOS_AUX!A:F,6,0),0)</f>
        <v>0</v>
      </c>
    </row>
    <row r="5352" customFormat="false" ht="21" hidden="false" customHeight="false" outlineLevel="0" collapsed="false">
      <c r="A5352" s="154" t="n">
        <v>43467</v>
      </c>
      <c r="B5352" s="155" t="s">
        <v>1459</v>
      </c>
      <c r="C5352" s="148" t="s">
        <v>59</v>
      </c>
      <c r="D5352" s="156" t="s">
        <v>1444</v>
      </c>
      <c r="E5352" s="154" t="n">
        <v>0.007713</v>
      </c>
      <c r="F5352" s="149" t="n">
        <f aca="false">IF(C5352="MAT.",VLOOKUP(A5352,INSUMOS_AUX!$A$3:$H$813,6,0),0)</f>
        <v>0</v>
      </c>
      <c r="G5352" s="149" t="n">
        <f aca="false">IF(C5352="M.O.",VLOOKUP(A5352,INSUMOS_AUX!A:F,6,0),0)</f>
        <v>0</v>
      </c>
    </row>
    <row r="5353" customFormat="false" ht="21" hidden="false" customHeight="false" outlineLevel="0" collapsed="false">
      <c r="A5353" s="154" t="n">
        <v>37373</v>
      </c>
      <c r="B5353" s="155" t="s">
        <v>1448</v>
      </c>
      <c r="C5353" s="148" t="str">
        <f aca="false">VLOOKUP($A5353,INSUMOS_AUX!$A$3:$H$813,3,0)</f>
        <v>MAT.</v>
      </c>
      <c r="D5353" s="156" t="s">
        <v>1444</v>
      </c>
      <c r="E5353" s="154" t="n">
        <v>0.589713</v>
      </c>
      <c r="F5353" s="149" t="n">
        <f aca="false">IF(C5353="MAT.",VLOOKUP(A5353,INSUMOS_AUX!$A$3:$H$813,6,0),0)</f>
        <v>0.08</v>
      </c>
      <c r="G5353" s="149" t="n">
        <f aca="false">IF(C5353="M.O.",VLOOKUP(A5353,INSUMOS_AUX!A:F,6,0),0)</f>
        <v>0</v>
      </c>
    </row>
    <row r="5354" customFormat="false" ht="21" hidden="false" customHeight="false" outlineLevel="0" collapsed="false">
      <c r="A5354" s="154" t="n">
        <v>37371</v>
      </c>
      <c r="B5354" s="155" t="s">
        <v>1449</v>
      </c>
      <c r="C5354" s="148" t="str">
        <f aca="false">VLOOKUP($A5354,INSUMOS_AUX!$A$3:$H$813,3,0)</f>
        <v>MAT.</v>
      </c>
      <c r="D5354" s="156" t="s">
        <v>1444</v>
      </c>
      <c r="E5354" s="154" t="n">
        <v>0.589713</v>
      </c>
      <c r="F5354" s="149" t="n">
        <f aca="false">IF(C5354="MAT.",VLOOKUP(A5354,INSUMOS_AUX!$A$3:$H$813,6,0),0)</f>
        <v>0.59</v>
      </c>
      <c r="G5354" s="149" t="n">
        <f aca="false">IF(C5354="M.O.",VLOOKUP(A5354,INSUMOS_AUX!A:F,6,0),0)</f>
        <v>0</v>
      </c>
    </row>
    <row r="5355" customFormat="false" ht="21" hidden="false" customHeight="false" outlineLevel="0" collapsed="false">
      <c r="A5355" s="154" t="n">
        <v>370</v>
      </c>
      <c r="B5355" s="155" t="s">
        <v>1527</v>
      </c>
      <c r="C5355" s="148" t="str">
        <f aca="false">VLOOKUP($A5355,INSUMOS_AUX!$A$3:$H$813,3,0)</f>
        <v>MAT.</v>
      </c>
      <c r="D5355" s="156" t="s">
        <v>1442</v>
      </c>
      <c r="E5355" s="154" t="n">
        <v>0.000963</v>
      </c>
      <c r="F5355" s="149" t="n">
        <f aca="false">IF(C5355="MAT.",VLOOKUP(A5355,INSUMOS_AUX!$A$3:$H$813,6,0),0)</f>
        <v>150</v>
      </c>
      <c r="G5355" s="149" t="n">
        <f aca="false">IF(C5355="M.O.",VLOOKUP(A5355,INSUMOS_AUX!A:F,6,0),0)</f>
        <v>0</v>
      </c>
    </row>
    <row r="5356" customFormat="false" ht="21" hidden="false" customHeight="false" outlineLevel="0" collapsed="false">
      <c r="A5356" s="154" t="n">
        <v>1872</v>
      </c>
      <c r="B5356" s="155" t="s">
        <v>1533</v>
      </c>
      <c r="C5356" s="148" t="str">
        <f aca="false">VLOOKUP($A5356,INSUMOS_AUX!$A$3:$H$813,3,0)</f>
        <v>MAT.</v>
      </c>
      <c r="D5356" s="156" t="s">
        <v>31</v>
      </c>
      <c r="E5356" s="154" t="n">
        <v>1</v>
      </c>
      <c r="F5356" s="149" t="n">
        <f aca="false">IF(C5356="MAT.",VLOOKUP(A5356,INSUMOS_AUX!$A$3:$H$813,6,0),0)</f>
        <v>1.41</v>
      </c>
      <c r="G5356" s="149" t="n">
        <f aca="false">IF(C5356="M.O.",VLOOKUP(A5356,INSUMOS_AUX!A:F,6,0),0)</f>
        <v>0</v>
      </c>
    </row>
    <row r="5357" customFormat="false" ht="15" hidden="false" customHeight="false" outlineLevel="0" collapsed="false">
      <c r="A5357" s="154" t="n">
        <v>1379</v>
      </c>
      <c r="B5357" s="155" t="s">
        <v>1535</v>
      </c>
      <c r="C5357" s="148" t="str">
        <f aca="false">VLOOKUP($A5357,INSUMOS_AUX!$A$3:$H$813,3,0)</f>
        <v>MAT.</v>
      </c>
      <c r="D5357" s="156" t="s">
        <v>1513</v>
      </c>
      <c r="E5357" s="154" t="n">
        <v>0.434664</v>
      </c>
      <c r="F5357" s="149" t="n">
        <f aca="false">IF(C5357="MAT.",VLOOKUP(A5357,INSUMOS_AUX!$A$3:$H$813,6,0),0)</f>
        <v>0.72</v>
      </c>
      <c r="G5357" s="149" t="n">
        <f aca="false">IF(C5357="M.O.",VLOOKUP(A5357,INSUMOS_AUX!A:F,6,0),0)</f>
        <v>0</v>
      </c>
    </row>
    <row r="5358" customFormat="false" ht="15" hidden="false" customHeight="false" outlineLevel="0" collapsed="false">
      <c r="A5358" s="154" t="n">
        <v>247</v>
      </c>
      <c r="B5358" s="155" t="s">
        <v>1554</v>
      </c>
      <c r="C5358" s="148" t="str">
        <f aca="false">VLOOKUP($A5358,INSUMOS_AUX!$A$3:$H$813,3,0)</f>
        <v>M.O.</v>
      </c>
      <c r="D5358" s="156" t="s">
        <v>1444</v>
      </c>
      <c r="E5358" s="154" t="n">
        <v>0.30186012</v>
      </c>
      <c r="F5358" s="149" t="n">
        <f aca="false">IF(C5358="MAT.",VLOOKUP(A5358,INSUMOS_AUX!$A$3:$H$813,6,0),0)</f>
        <v>0</v>
      </c>
      <c r="G5358" s="149" t="n">
        <f aca="false">IF(C5358="M.O.",VLOOKUP(A5358,INSUMOS_AUX!A:F,6,0),0)</f>
        <v>13.26</v>
      </c>
    </row>
    <row r="5359" customFormat="false" ht="15" hidden="false" customHeight="false" outlineLevel="0" collapsed="false">
      <c r="A5359" s="154" t="n">
        <v>2436</v>
      </c>
      <c r="B5359" s="155" t="s">
        <v>1557</v>
      </c>
      <c r="C5359" s="148" t="str">
        <f aca="false">VLOOKUP($A5359,INSUMOS_AUX!$A$3:$H$813,3,0)</f>
        <v>M.O.</v>
      </c>
      <c r="D5359" s="156" t="s">
        <v>1444</v>
      </c>
      <c r="E5359" s="154" t="n">
        <v>0.30186012</v>
      </c>
      <c r="F5359" s="149" t="n">
        <f aca="false">IF(C5359="MAT.",VLOOKUP(A5359,INSUMOS_AUX!$A$3:$H$813,6,0),0)</f>
        <v>0</v>
      </c>
      <c r="G5359" s="149" t="n">
        <f aca="false">IF(C5359="M.O.",VLOOKUP(A5359,INSUMOS_AUX!A:F,6,0),0)</f>
        <v>20.22</v>
      </c>
    </row>
    <row r="5360" customFormat="false" ht="15" hidden="false" customHeight="false" outlineLevel="0" collapsed="false">
      <c r="A5360" s="154" t="n">
        <v>6111</v>
      </c>
      <c r="B5360" s="155" t="s">
        <v>1464</v>
      </c>
      <c r="C5360" s="148" t="str">
        <f aca="false">VLOOKUP($A5360,INSUMOS_AUX!$A$3:$H$813,3,0)</f>
        <v>M.O.</v>
      </c>
      <c r="D5360" s="156" t="s">
        <v>1444</v>
      </c>
      <c r="E5360" s="154" t="n">
        <v>0.0078765156</v>
      </c>
      <c r="F5360" s="149" t="n">
        <f aca="false">IF(C5360="MAT.",VLOOKUP(A5360,INSUMOS_AUX!$A$3:$H$813,6,0),0)</f>
        <v>0</v>
      </c>
      <c r="G5360" s="149" t="n">
        <f aca="false">IF(C5360="M.O.",VLOOKUP(A5360,INSUMOS_AUX!A:F,6,0),0)</f>
        <v>12.95</v>
      </c>
    </row>
    <row r="5361" customFormat="false" ht="21" hidden="false" customHeight="false" outlineLevel="0" collapsed="false">
      <c r="A5361" s="150" t="n">
        <v>91943</v>
      </c>
      <c r="B5361" s="151" t="s">
        <v>2375</v>
      </c>
      <c r="C5361" s="152" t="s">
        <v>59</v>
      </c>
      <c r="D5361" s="152" t="s">
        <v>31</v>
      </c>
      <c r="E5361" s="150"/>
      <c r="F5361" s="153" t="n">
        <f aca="false">(SUMPRODUCT($E5362:$E5375,F5362:F5375))*1</f>
        <v>7.1596986</v>
      </c>
      <c r="G5361" s="153" t="n">
        <f aca="false">(SUMPRODUCT($E5362:$E5375,G5362:G5375))*1</f>
        <v>10.58957272296</v>
      </c>
    </row>
    <row r="5362" customFormat="false" ht="21" hidden="false" customHeight="false" outlineLevel="0" collapsed="false">
      <c r="A5362" s="154" t="n">
        <v>37370</v>
      </c>
      <c r="B5362" s="155" t="s">
        <v>1443</v>
      </c>
      <c r="C5362" s="148" t="str">
        <f aca="false">VLOOKUP($A5362,INSUMOS_AUX!$A$3:$H$813,3,0)</f>
        <v>MAT.</v>
      </c>
      <c r="D5362" s="156" t="s">
        <v>1444</v>
      </c>
      <c r="E5362" s="154" t="n">
        <v>0.612284</v>
      </c>
      <c r="F5362" s="149" t="n">
        <f aca="false">IF(C5362="MAT.",VLOOKUP(A5362,INSUMOS_AUX!$A$3:$H$813,6,0),0)</f>
        <v>3.32</v>
      </c>
      <c r="G5362" s="149" t="n">
        <f aca="false">IF(C5362="M.O.",VLOOKUP(A5362,INSUMOS_AUX!A:F,6,0),0)</f>
        <v>0</v>
      </c>
    </row>
    <row r="5363" customFormat="false" ht="21" hidden="false" customHeight="false" outlineLevel="0" collapsed="false">
      <c r="A5363" s="154" t="n">
        <v>43484</v>
      </c>
      <c r="B5363" s="155" t="s">
        <v>1523</v>
      </c>
      <c r="C5363" s="148" t="str">
        <f aca="false">VLOOKUP($A5363,INSUMOS_AUX!$A$3:$H$813,3,0)</f>
        <v>MAT.</v>
      </c>
      <c r="D5363" s="156" t="s">
        <v>1444</v>
      </c>
      <c r="E5363" s="154" t="n">
        <v>0.602</v>
      </c>
      <c r="F5363" s="149" t="n">
        <f aca="false">IF(C5363="MAT.",VLOOKUP(A5363,INSUMOS_AUX!$A$3:$H$813,6,0),0)</f>
        <v>1.26</v>
      </c>
      <c r="G5363" s="149" t="n">
        <f aca="false">IF(C5363="M.O.",VLOOKUP(A5363,INSUMOS_AUX!A:F,6,0),0)</f>
        <v>0</v>
      </c>
    </row>
    <row r="5364" customFormat="false" ht="21" hidden="false" customHeight="false" outlineLevel="0" collapsed="false">
      <c r="A5364" s="154" t="n">
        <v>43491</v>
      </c>
      <c r="B5364" s="155" t="s">
        <v>1457</v>
      </c>
      <c r="C5364" s="148" t="str">
        <f aca="false">VLOOKUP($A5364,INSUMOS_AUX!$A$3:$H$813,3,0)</f>
        <v>MAT.</v>
      </c>
      <c r="D5364" s="156" t="s">
        <v>1444</v>
      </c>
      <c r="E5364" s="154" t="n">
        <v>0.010284</v>
      </c>
      <c r="F5364" s="149" t="n">
        <f aca="false">IF(C5364="MAT.",VLOOKUP(A5364,INSUMOS_AUX!$A$3:$H$813,6,0),0)</f>
        <v>1.39</v>
      </c>
      <c r="G5364" s="149" t="n">
        <f aca="false">IF(C5364="M.O.",VLOOKUP(A5364,INSUMOS_AUX!A:F,6,0),0)</f>
        <v>0</v>
      </c>
    </row>
    <row r="5365" customFormat="false" ht="21" hidden="false" customHeight="false" outlineLevel="0" collapsed="false">
      <c r="A5365" s="154" t="n">
        <v>37372</v>
      </c>
      <c r="B5365" s="155" t="s">
        <v>1446</v>
      </c>
      <c r="C5365" s="148" t="s">
        <v>59</v>
      </c>
      <c r="D5365" s="156" t="s">
        <v>1444</v>
      </c>
      <c r="E5365" s="154" t="n">
        <v>0.612284</v>
      </c>
      <c r="F5365" s="149" t="n">
        <f aca="false">IF(C5365="MAT.",VLOOKUP(A5365,INSUMOS_AUX!$A$3:$H$813,6,0),0)</f>
        <v>0</v>
      </c>
      <c r="G5365" s="149" t="n">
        <f aca="false">IF(C5365="M.O.",VLOOKUP(A5365,INSUMOS_AUX!A:F,6,0),0)</f>
        <v>0</v>
      </c>
    </row>
    <row r="5366" customFormat="false" ht="21" hidden="false" customHeight="false" outlineLevel="0" collapsed="false">
      <c r="A5366" s="154" t="n">
        <v>43460</v>
      </c>
      <c r="B5366" s="155" t="s">
        <v>1524</v>
      </c>
      <c r="C5366" s="148" t="str">
        <f aca="false">VLOOKUP($A5366,INSUMOS_AUX!$A$3:$H$813,3,0)</f>
        <v>MAT.</v>
      </c>
      <c r="D5366" s="156" t="s">
        <v>1444</v>
      </c>
      <c r="E5366" s="154" t="n">
        <v>0.602</v>
      </c>
      <c r="F5366" s="149" t="n">
        <f aca="false">IF(C5366="MAT.",VLOOKUP(A5366,INSUMOS_AUX!$A$3:$H$813,6,0),0)</f>
        <v>0.86</v>
      </c>
      <c r="G5366" s="149" t="n">
        <f aca="false">IF(C5366="M.O.",VLOOKUP(A5366,INSUMOS_AUX!A:F,6,0),0)</f>
        <v>0</v>
      </c>
    </row>
    <row r="5367" customFormat="false" ht="21" hidden="false" customHeight="false" outlineLevel="0" collapsed="false">
      <c r="A5367" s="154" t="n">
        <v>43467</v>
      </c>
      <c r="B5367" s="155" t="s">
        <v>1459</v>
      </c>
      <c r="C5367" s="148" t="str">
        <f aca="false">VLOOKUP($A5367,INSUMOS_AUX!$A$3:$H$813,3,0)</f>
        <v>MAT.</v>
      </c>
      <c r="D5367" s="156" t="s">
        <v>1444</v>
      </c>
      <c r="E5367" s="154" t="n">
        <v>0.010284</v>
      </c>
      <c r="F5367" s="149" t="n">
        <f aca="false">IF(C5367="MAT.",VLOOKUP(A5367,INSUMOS_AUX!$A$3:$H$813,6,0),0)</f>
        <v>0.61</v>
      </c>
      <c r="G5367" s="149" t="n">
        <f aca="false">IF(C5367="M.O.",VLOOKUP(A5367,INSUMOS_AUX!A:F,6,0),0)</f>
        <v>0</v>
      </c>
    </row>
    <row r="5368" customFormat="false" ht="21" hidden="false" customHeight="false" outlineLevel="0" collapsed="false">
      <c r="A5368" s="154" t="n">
        <v>37373</v>
      </c>
      <c r="B5368" s="155" t="s">
        <v>1448</v>
      </c>
      <c r="C5368" s="148" t="str">
        <f aca="false">VLOOKUP($A5368,INSUMOS_AUX!$A$3:$H$813,3,0)</f>
        <v>MAT.</v>
      </c>
      <c r="D5368" s="156" t="s">
        <v>1444</v>
      </c>
      <c r="E5368" s="154" t="n">
        <v>0.612284</v>
      </c>
      <c r="F5368" s="149" t="n">
        <f aca="false">IF(C5368="MAT.",VLOOKUP(A5368,INSUMOS_AUX!$A$3:$H$813,6,0),0)</f>
        <v>0.08</v>
      </c>
      <c r="G5368" s="149" t="n">
        <f aca="false">IF(C5368="M.O.",VLOOKUP(A5368,INSUMOS_AUX!A:F,6,0),0)</f>
        <v>0</v>
      </c>
    </row>
    <row r="5369" customFormat="false" ht="21" hidden="false" customHeight="false" outlineLevel="0" collapsed="false">
      <c r="A5369" s="154" t="n">
        <v>37371</v>
      </c>
      <c r="B5369" s="155" t="s">
        <v>1449</v>
      </c>
      <c r="C5369" s="148" t="str">
        <f aca="false">VLOOKUP($A5369,INSUMOS_AUX!$A$3:$H$813,3,0)</f>
        <v>MAT.</v>
      </c>
      <c r="D5369" s="156" t="s">
        <v>1444</v>
      </c>
      <c r="E5369" s="154" t="n">
        <v>0.612284</v>
      </c>
      <c r="F5369" s="149" t="n">
        <f aca="false">IF(C5369="MAT.",VLOOKUP(A5369,INSUMOS_AUX!$A$3:$H$813,6,0),0)</f>
        <v>0.59</v>
      </c>
      <c r="G5369" s="149" t="n">
        <f aca="false">IF(C5369="M.O.",VLOOKUP(A5369,INSUMOS_AUX!A:F,6,0),0)</f>
        <v>0</v>
      </c>
    </row>
    <row r="5370" customFormat="false" ht="21" hidden="false" customHeight="false" outlineLevel="0" collapsed="false">
      <c r="A5370" s="154" t="n">
        <v>370</v>
      </c>
      <c r="B5370" s="155" t="s">
        <v>1527</v>
      </c>
      <c r="C5370" s="148" t="str">
        <f aca="false">VLOOKUP($A5370,INSUMOS_AUX!$A$3:$H$813,3,0)</f>
        <v>MAT.</v>
      </c>
      <c r="D5370" s="156" t="s">
        <v>1442</v>
      </c>
      <c r="E5370" s="154" t="n">
        <v>0.001284</v>
      </c>
      <c r="F5370" s="149" t="n">
        <f aca="false">IF(C5370="MAT.",VLOOKUP(A5370,INSUMOS_AUX!$A$3:$H$813,6,0),0)</f>
        <v>150</v>
      </c>
      <c r="G5370" s="149" t="n">
        <f aca="false">IF(C5370="M.O.",VLOOKUP(A5370,INSUMOS_AUX!A:F,6,0),0)</f>
        <v>0</v>
      </c>
    </row>
    <row r="5371" customFormat="false" ht="21" hidden="false" customHeight="false" outlineLevel="0" collapsed="false">
      <c r="A5371" s="154" t="n">
        <v>1873</v>
      </c>
      <c r="B5371" s="155" t="s">
        <v>2376</v>
      </c>
      <c r="C5371" s="148" t="str">
        <f aca="false">VLOOKUP($A5371,INSUMOS_AUX!$A$3:$H$813,3,0)</f>
        <v>MAT.</v>
      </c>
      <c r="D5371" s="156" t="s">
        <v>31</v>
      </c>
      <c r="E5371" s="154" t="n">
        <v>1</v>
      </c>
      <c r="F5371" s="149" t="n">
        <f aca="false">IF(C5371="MAT.",VLOOKUP(A5371,INSUMOS_AUX!$A$3:$H$813,6,0),0)</f>
        <v>2.81</v>
      </c>
      <c r="G5371" s="149" t="n">
        <f aca="false">IF(C5371="M.O.",VLOOKUP(A5371,INSUMOS_AUX!A:F,6,0),0)</f>
        <v>0</v>
      </c>
    </row>
    <row r="5372" customFormat="false" ht="15" hidden="false" customHeight="false" outlineLevel="0" collapsed="false">
      <c r="A5372" s="154" t="n">
        <v>1379</v>
      </c>
      <c r="B5372" s="155" t="s">
        <v>1535</v>
      </c>
      <c r="C5372" s="148" t="str">
        <f aca="false">VLOOKUP($A5372,INSUMOS_AUX!$A$3:$H$813,3,0)</f>
        <v>MAT.</v>
      </c>
      <c r="D5372" s="156" t="s">
        <v>1513</v>
      </c>
      <c r="E5372" s="154" t="n">
        <v>0.579552</v>
      </c>
      <c r="F5372" s="149" t="n">
        <f aca="false">IF(C5372="MAT.",VLOOKUP(A5372,INSUMOS_AUX!$A$3:$H$813,6,0),0)</f>
        <v>0.72</v>
      </c>
      <c r="G5372" s="149" t="n">
        <f aca="false">IF(C5372="M.O.",VLOOKUP(A5372,INSUMOS_AUX!A:F,6,0),0)</f>
        <v>0</v>
      </c>
    </row>
    <row r="5373" customFormat="false" ht="15" hidden="false" customHeight="false" outlineLevel="0" collapsed="false">
      <c r="A5373" s="154" t="n">
        <v>247</v>
      </c>
      <c r="B5373" s="155" t="s">
        <v>1554</v>
      </c>
      <c r="C5373" s="148" t="str">
        <f aca="false">VLOOKUP($A5373,INSUMOS_AUX!$A$3:$H$813,3,0)</f>
        <v>M.O.</v>
      </c>
      <c r="D5373" s="156" t="s">
        <v>1444</v>
      </c>
      <c r="E5373" s="154" t="n">
        <v>0.31223332</v>
      </c>
      <c r="F5373" s="149" t="n">
        <f aca="false">IF(C5373="MAT.",VLOOKUP(A5373,INSUMOS_AUX!$A$3:$H$813,6,0),0)</f>
        <v>0</v>
      </c>
      <c r="G5373" s="149" t="n">
        <f aca="false">IF(C5373="M.O.",VLOOKUP(A5373,INSUMOS_AUX!A:F,6,0),0)</f>
        <v>13.26</v>
      </c>
    </row>
    <row r="5374" customFormat="false" ht="15" hidden="false" customHeight="false" outlineLevel="0" collapsed="false">
      <c r="A5374" s="154" t="n">
        <v>2436</v>
      </c>
      <c r="B5374" s="155" t="s">
        <v>1557</v>
      </c>
      <c r="C5374" s="148" t="str">
        <f aca="false">VLOOKUP($A5374,INSUMOS_AUX!$A$3:$H$813,3,0)</f>
        <v>M.O.</v>
      </c>
      <c r="D5374" s="156" t="s">
        <v>1444</v>
      </c>
      <c r="E5374" s="154" t="n">
        <v>0.31223332</v>
      </c>
      <c r="F5374" s="149" t="n">
        <f aca="false">IF(C5374="MAT.",VLOOKUP(A5374,INSUMOS_AUX!$A$3:$H$813,6,0),0)</f>
        <v>0</v>
      </c>
      <c r="G5374" s="149" t="n">
        <f aca="false">IF(C5374="M.O.",VLOOKUP(A5374,INSUMOS_AUX!A:F,6,0),0)</f>
        <v>20.22</v>
      </c>
    </row>
    <row r="5375" customFormat="false" ht="15" hidden="false" customHeight="false" outlineLevel="0" collapsed="false">
      <c r="A5375" s="154" t="n">
        <v>6111</v>
      </c>
      <c r="B5375" s="155" t="s">
        <v>1464</v>
      </c>
      <c r="C5375" s="148" t="str">
        <f aca="false">VLOOKUP($A5375,INSUMOS_AUX!$A$3:$H$813,3,0)</f>
        <v>M.O.</v>
      </c>
      <c r="D5375" s="156" t="s">
        <v>1444</v>
      </c>
      <c r="E5375" s="154" t="n">
        <v>0.0105020208</v>
      </c>
      <c r="F5375" s="149" t="n">
        <f aca="false">IF(C5375="MAT.",VLOOKUP(A5375,INSUMOS_AUX!$A$3:$H$813,6,0),0)</f>
        <v>0</v>
      </c>
      <c r="G5375" s="149" t="n">
        <f aca="false">IF(C5375="M.O.",VLOOKUP(A5375,INSUMOS_AUX!A:F,6,0),0)</f>
        <v>12.95</v>
      </c>
    </row>
    <row r="5376" customFormat="false" ht="21" hidden="false" customHeight="false" outlineLevel="0" collapsed="false">
      <c r="A5376" s="150" t="n">
        <v>91936</v>
      </c>
      <c r="B5376" s="151" t="s">
        <v>2377</v>
      </c>
      <c r="C5376" s="152" t="s">
        <v>59</v>
      </c>
      <c r="D5376" s="152" t="s">
        <v>31</v>
      </c>
      <c r="E5376" s="150"/>
      <c r="F5376" s="153" t="n">
        <f aca="false">(SUMPRODUCT($E5377:$E5385,F5377:F5385))*1</f>
        <v>6.44832</v>
      </c>
      <c r="G5376" s="153" t="n">
        <f aca="false">(SUMPRODUCT($E5377:$E5385,G5377:G5385))*1</f>
        <v>7.7099431392</v>
      </c>
    </row>
    <row r="5377" customFormat="false" ht="21" hidden="false" customHeight="false" outlineLevel="0" collapsed="false">
      <c r="A5377" s="154" t="n">
        <v>37370</v>
      </c>
      <c r="B5377" s="155" t="s">
        <v>1443</v>
      </c>
      <c r="C5377" s="148" t="str">
        <f aca="false">VLOOKUP($A5377,INSUMOS_AUX!$A$3:$H$813,3,0)</f>
        <v>MAT.</v>
      </c>
      <c r="D5377" s="156" t="s">
        <v>1444</v>
      </c>
      <c r="E5377" s="154" t="n">
        <v>0.444</v>
      </c>
      <c r="F5377" s="149" t="n">
        <f aca="false">IF(C5377="MAT.",VLOOKUP(A5377,INSUMOS_AUX!$A$3:$H$813,6,0),0)</f>
        <v>3.32</v>
      </c>
      <c r="G5377" s="149" t="n">
        <f aca="false">IF(C5377="M.O.",VLOOKUP(A5377,INSUMOS_AUX!A:F,6,0),0)</f>
        <v>0</v>
      </c>
    </row>
    <row r="5378" customFormat="false" ht="21" hidden="false" customHeight="false" outlineLevel="0" collapsed="false">
      <c r="A5378" s="154" t="n">
        <v>43484</v>
      </c>
      <c r="B5378" s="155" t="s">
        <v>1523</v>
      </c>
      <c r="C5378" s="148" t="s">
        <v>59</v>
      </c>
      <c r="D5378" s="156" t="s">
        <v>1444</v>
      </c>
      <c r="E5378" s="154" t="n">
        <v>0.444</v>
      </c>
      <c r="F5378" s="149" t="n">
        <f aca="false">IF(C5378="MAT.",VLOOKUP(A5378,INSUMOS_AUX!$A$3:$H$813,6,0),0)</f>
        <v>0</v>
      </c>
      <c r="G5378" s="149" t="n">
        <f aca="false">IF(C5378="M.O.",VLOOKUP(A5378,INSUMOS_AUX!A:F,6,0),0)</f>
        <v>0</v>
      </c>
    </row>
    <row r="5379" customFormat="false" ht="21" hidden="false" customHeight="false" outlineLevel="0" collapsed="false">
      <c r="A5379" s="154" t="n">
        <v>37372</v>
      </c>
      <c r="B5379" s="155" t="s">
        <v>1446</v>
      </c>
      <c r="C5379" s="148" t="str">
        <f aca="false">VLOOKUP($A5379,INSUMOS_AUX!$A$3:$H$813,3,0)</f>
        <v>MAT.</v>
      </c>
      <c r="D5379" s="156" t="s">
        <v>1444</v>
      </c>
      <c r="E5379" s="154" t="n">
        <v>0.444</v>
      </c>
      <c r="F5379" s="149" t="n">
        <f aca="false">IF(C5379="MAT.",VLOOKUP(A5379,INSUMOS_AUX!$A$3:$H$813,6,0),0)</f>
        <v>1.43</v>
      </c>
      <c r="G5379" s="149" t="n">
        <f aca="false">IF(C5379="M.O.",VLOOKUP(A5379,INSUMOS_AUX!A:F,6,0),0)</f>
        <v>0</v>
      </c>
    </row>
    <row r="5380" customFormat="false" ht="21" hidden="false" customHeight="false" outlineLevel="0" collapsed="false">
      <c r="A5380" s="154" t="n">
        <v>43460</v>
      </c>
      <c r="B5380" s="155" t="s">
        <v>1524</v>
      </c>
      <c r="C5380" s="148" t="str">
        <f aca="false">VLOOKUP($A5380,INSUMOS_AUX!$A$3:$H$813,3,0)</f>
        <v>MAT.</v>
      </c>
      <c r="D5380" s="156" t="s">
        <v>1444</v>
      </c>
      <c r="E5380" s="154" t="n">
        <v>0.444</v>
      </c>
      <c r="F5380" s="149" t="n">
        <f aca="false">IF(C5380="MAT.",VLOOKUP(A5380,INSUMOS_AUX!$A$3:$H$813,6,0),0)</f>
        <v>0.86</v>
      </c>
      <c r="G5380" s="149" t="n">
        <f aca="false">IF(C5380="M.O.",VLOOKUP(A5380,INSUMOS_AUX!A:F,6,0),0)</f>
        <v>0</v>
      </c>
    </row>
    <row r="5381" customFormat="false" ht="21" hidden="false" customHeight="false" outlineLevel="0" collapsed="false">
      <c r="A5381" s="154" t="n">
        <v>37373</v>
      </c>
      <c r="B5381" s="155" t="s">
        <v>1448</v>
      </c>
      <c r="C5381" s="148" t="str">
        <f aca="false">VLOOKUP($A5381,INSUMOS_AUX!$A$3:$H$813,3,0)</f>
        <v>MAT.</v>
      </c>
      <c r="D5381" s="156" t="s">
        <v>1444</v>
      </c>
      <c r="E5381" s="154" t="n">
        <v>0.444</v>
      </c>
      <c r="F5381" s="149" t="n">
        <f aca="false">IF(C5381="MAT.",VLOOKUP(A5381,INSUMOS_AUX!$A$3:$H$813,6,0),0)</f>
        <v>0.08</v>
      </c>
      <c r="G5381" s="149" t="n">
        <f aca="false">IF(C5381="M.O.",VLOOKUP(A5381,INSUMOS_AUX!A:F,6,0),0)</f>
        <v>0</v>
      </c>
    </row>
    <row r="5382" customFormat="false" ht="21" hidden="false" customHeight="false" outlineLevel="0" collapsed="false">
      <c r="A5382" s="154" t="n">
        <v>37371</v>
      </c>
      <c r="B5382" s="155" t="s">
        <v>1449</v>
      </c>
      <c r="C5382" s="148" t="str">
        <f aca="false">VLOOKUP($A5382,INSUMOS_AUX!$A$3:$H$813,3,0)</f>
        <v>MAT.</v>
      </c>
      <c r="D5382" s="156" t="s">
        <v>1444</v>
      </c>
      <c r="E5382" s="154" t="n">
        <v>0.444</v>
      </c>
      <c r="F5382" s="149" t="n">
        <f aca="false">IF(C5382="MAT.",VLOOKUP(A5382,INSUMOS_AUX!$A$3:$H$813,6,0),0)</f>
        <v>0.59</v>
      </c>
      <c r="G5382" s="149" t="n">
        <f aca="false">IF(C5382="M.O.",VLOOKUP(A5382,INSUMOS_AUX!A:F,6,0),0)</f>
        <v>0</v>
      </c>
    </row>
    <row r="5383" customFormat="false" ht="21" hidden="false" customHeight="false" outlineLevel="0" collapsed="false">
      <c r="A5383" s="154" t="n">
        <v>12001</v>
      </c>
      <c r="B5383" s="155" t="s">
        <v>2378</v>
      </c>
      <c r="C5383" s="148" t="str">
        <f aca="false">VLOOKUP($A5383,INSUMOS_AUX!$A$3:$H$813,3,0)</f>
        <v>MAT.</v>
      </c>
      <c r="D5383" s="156" t="s">
        <v>31</v>
      </c>
      <c r="E5383" s="154" t="n">
        <v>1</v>
      </c>
      <c r="F5383" s="149" t="n">
        <f aca="false">IF(C5383="MAT.",VLOOKUP(A5383,INSUMOS_AUX!$A$3:$H$813,6,0),0)</f>
        <v>3.66</v>
      </c>
      <c r="G5383" s="149" t="n">
        <f aca="false">IF(C5383="M.O.",VLOOKUP(A5383,INSUMOS_AUX!A:F,6,0),0)</f>
        <v>0</v>
      </c>
    </row>
    <row r="5384" customFormat="false" ht="15" hidden="false" customHeight="false" outlineLevel="0" collapsed="false">
      <c r="A5384" s="154" t="n">
        <v>247</v>
      </c>
      <c r="B5384" s="155" t="s">
        <v>1554</v>
      </c>
      <c r="C5384" s="148" t="str">
        <f aca="false">VLOOKUP($A5384,INSUMOS_AUX!$A$3:$H$813,3,0)</f>
        <v>M.O.</v>
      </c>
      <c r="D5384" s="156" t="s">
        <v>1444</v>
      </c>
      <c r="E5384" s="154" t="n">
        <v>0.23028504</v>
      </c>
      <c r="F5384" s="149" t="n">
        <f aca="false">IF(C5384="MAT.",VLOOKUP(A5384,INSUMOS_AUX!$A$3:$H$813,6,0),0)</f>
        <v>0</v>
      </c>
      <c r="G5384" s="149" t="n">
        <f aca="false">IF(C5384="M.O.",VLOOKUP(A5384,INSUMOS_AUX!A:F,6,0),0)</f>
        <v>13.26</v>
      </c>
    </row>
    <row r="5385" customFormat="false" ht="15" hidden="false" customHeight="false" outlineLevel="0" collapsed="false">
      <c r="A5385" s="154" t="n">
        <v>2436</v>
      </c>
      <c r="B5385" s="155" t="s">
        <v>1557</v>
      </c>
      <c r="C5385" s="148" t="str">
        <f aca="false">VLOOKUP($A5385,INSUMOS_AUX!$A$3:$H$813,3,0)</f>
        <v>M.O.</v>
      </c>
      <c r="D5385" s="156" t="s">
        <v>1444</v>
      </c>
      <c r="E5385" s="154" t="n">
        <v>0.23028504</v>
      </c>
      <c r="F5385" s="149" t="n">
        <f aca="false">IF(C5385="MAT.",VLOOKUP(A5385,INSUMOS_AUX!$A$3:$H$813,6,0),0)</f>
        <v>0</v>
      </c>
      <c r="G5385" s="149" t="n">
        <f aca="false">IF(C5385="M.O.",VLOOKUP(A5385,INSUMOS_AUX!A:F,6,0),0)</f>
        <v>20.22</v>
      </c>
    </row>
    <row r="5386" customFormat="false" ht="21" hidden="false" customHeight="false" outlineLevel="0" collapsed="false">
      <c r="A5386" s="150" t="n">
        <v>92868</v>
      </c>
      <c r="B5386" s="151" t="s">
        <v>2379</v>
      </c>
      <c r="C5386" s="152" t="s">
        <v>59</v>
      </c>
      <c r="D5386" s="152" t="s">
        <v>31</v>
      </c>
      <c r="E5386" s="150"/>
      <c r="F5386" s="153" t="n">
        <f aca="false">(SUMPRODUCT($E5387:$E5400,F5387:F5400))*1</f>
        <v>5.78239854</v>
      </c>
      <c r="G5386" s="153" t="n">
        <f aca="false">(SUMPRODUCT($E5387:$E5400,G5387:G5400))*1</f>
        <v>10.20827769462</v>
      </c>
    </row>
    <row r="5387" customFormat="false" ht="21" hidden="false" customHeight="false" outlineLevel="0" collapsed="false">
      <c r="A5387" s="154" t="n">
        <v>37370</v>
      </c>
      <c r="B5387" s="155" t="s">
        <v>1443</v>
      </c>
      <c r="C5387" s="148" t="str">
        <f aca="false">VLOOKUP($A5387,INSUMOS_AUX!$A$3:$H$813,3,0)</f>
        <v>MAT.</v>
      </c>
      <c r="D5387" s="156" t="s">
        <v>1444</v>
      </c>
      <c r="E5387" s="154" t="n">
        <v>0.589713</v>
      </c>
      <c r="F5387" s="149" t="n">
        <f aca="false">IF(C5387="MAT.",VLOOKUP(A5387,INSUMOS_AUX!$A$3:$H$813,6,0),0)</f>
        <v>3.32</v>
      </c>
      <c r="G5387" s="149" t="n">
        <f aca="false">IF(C5387="M.O.",VLOOKUP(A5387,INSUMOS_AUX!A:F,6,0),0)</f>
        <v>0</v>
      </c>
    </row>
    <row r="5388" customFormat="false" ht="21" hidden="false" customHeight="false" outlineLevel="0" collapsed="false">
      <c r="A5388" s="154" t="n">
        <v>43484</v>
      </c>
      <c r="B5388" s="155" t="s">
        <v>1523</v>
      </c>
      <c r="C5388" s="148" t="str">
        <f aca="false">VLOOKUP($A5388,INSUMOS_AUX!$A$3:$H$813,3,0)</f>
        <v>MAT.</v>
      </c>
      <c r="D5388" s="156" t="s">
        <v>1444</v>
      </c>
      <c r="E5388" s="154" t="n">
        <v>0.582</v>
      </c>
      <c r="F5388" s="149" t="n">
        <f aca="false">IF(C5388="MAT.",VLOOKUP(A5388,INSUMOS_AUX!$A$3:$H$813,6,0),0)</f>
        <v>1.26</v>
      </c>
      <c r="G5388" s="149" t="n">
        <f aca="false">IF(C5388="M.O.",VLOOKUP(A5388,INSUMOS_AUX!A:F,6,0),0)</f>
        <v>0</v>
      </c>
    </row>
    <row r="5389" customFormat="false" ht="21" hidden="false" customHeight="false" outlineLevel="0" collapsed="false">
      <c r="A5389" s="154" t="n">
        <v>43491</v>
      </c>
      <c r="B5389" s="155" t="s">
        <v>1457</v>
      </c>
      <c r="C5389" s="148" t="str">
        <f aca="false">VLOOKUP($A5389,INSUMOS_AUX!$A$3:$H$813,3,0)</f>
        <v>MAT.</v>
      </c>
      <c r="D5389" s="156" t="s">
        <v>1444</v>
      </c>
      <c r="E5389" s="154" t="n">
        <v>0.007713</v>
      </c>
      <c r="F5389" s="149" t="n">
        <f aca="false">IF(C5389="MAT.",VLOOKUP(A5389,INSUMOS_AUX!$A$3:$H$813,6,0),0)</f>
        <v>1.39</v>
      </c>
      <c r="G5389" s="149" t="n">
        <f aca="false">IF(C5389="M.O.",VLOOKUP(A5389,INSUMOS_AUX!A:F,6,0),0)</f>
        <v>0</v>
      </c>
    </row>
    <row r="5390" customFormat="false" ht="21" hidden="false" customHeight="false" outlineLevel="0" collapsed="false">
      <c r="A5390" s="154" t="n">
        <v>37372</v>
      </c>
      <c r="B5390" s="155" t="s">
        <v>1446</v>
      </c>
      <c r="C5390" s="148" t="str">
        <f aca="false">VLOOKUP($A5390,INSUMOS_AUX!$A$3:$H$813,3,0)</f>
        <v>MAT.</v>
      </c>
      <c r="D5390" s="156" t="s">
        <v>1444</v>
      </c>
      <c r="E5390" s="154" t="n">
        <v>0.589713</v>
      </c>
      <c r="F5390" s="149" t="n">
        <f aca="false">IF(C5390="MAT.",VLOOKUP(A5390,INSUMOS_AUX!$A$3:$H$813,6,0),0)</f>
        <v>1.43</v>
      </c>
      <c r="G5390" s="149" t="n">
        <f aca="false">IF(C5390="M.O.",VLOOKUP(A5390,INSUMOS_AUX!A:F,6,0),0)</f>
        <v>0</v>
      </c>
    </row>
    <row r="5391" customFormat="false" ht="21" hidden="false" customHeight="false" outlineLevel="0" collapsed="false">
      <c r="A5391" s="154" t="n">
        <v>43460</v>
      </c>
      <c r="B5391" s="155" t="s">
        <v>1524</v>
      </c>
      <c r="C5391" s="148" t="s">
        <v>59</v>
      </c>
      <c r="D5391" s="156" t="s">
        <v>1444</v>
      </c>
      <c r="E5391" s="154" t="n">
        <v>0.582</v>
      </c>
      <c r="F5391" s="149" t="n">
        <f aca="false">IF(C5391="MAT.",VLOOKUP(A5391,INSUMOS_AUX!$A$3:$H$813,6,0),0)</f>
        <v>0</v>
      </c>
      <c r="G5391" s="149" t="n">
        <f aca="false">IF(C5391="M.O.",VLOOKUP(A5391,INSUMOS_AUX!A:F,6,0),0)</f>
        <v>0</v>
      </c>
    </row>
    <row r="5392" customFormat="false" ht="21" hidden="false" customHeight="false" outlineLevel="0" collapsed="false">
      <c r="A5392" s="154" t="n">
        <v>43467</v>
      </c>
      <c r="B5392" s="155" t="s">
        <v>1459</v>
      </c>
      <c r="C5392" s="148" t="str">
        <f aca="false">VLOOKUP($A5392,INSUMOS_AUX!$A$3:$H$813,3,0)</f>
        <v>MAT.</v>
      </c>
      <c r="D5392" s="156" t="s">
        <v>1444</v>
      </c>
      <c r="E5392" s="154" t="n">
        <v>0.007713</v>
      </c>
      <c r="F5392" s="149" t="n">
        <f aca="false">IF(C5392="MAT.",VLOOKUP(A5392,INSUMOS_AUX!$A$3:$H$813,6,0),0)</f>
        <v>0.61</v>
      </c>
      <c r="G5392" s="149" t="n">
        <f aca="false">IF(C5392="M.O.",VLOOKUP(A5392,INSUMOS_AUX!A:F,6,0),0)</f>
        <v>0</v>
      </c>
    </row>
    <row r="5393" customFormat="false" ht="21" hidden="false" customHeight="false" outlineLevel="0" collapsed="false">
      <c r="A5393" s="154" t="n">
        <v>37373</v>
      </c>
      <c r="B5393" s="155" t="s">
        <v>1448</v>
      </c>
      <c r="C5393" s="148" t="str">
        <f aca="false">VLOOKUP($A5393,INSUMOS_AUX!$A$3:$H$813,3,0)</f>
        <v>MAT.</v>
      </c>
      <c r="D5393" s="156" t="s">
        <v>1444</v>
      </c>
      <c r="E5393" s="154" t="n">
        <v>0.589713</v>
      </c>
      <c r="F5393" s="149" t="n">
        <f aca="false">IF(C5393="MAT.",VLOOKUP(A5393,INSUMOS_AUX!$A$3:$H$813,6,0),0)</f>
        <v>0.08</v>
      </c>
      <c r="G5393" s="149" t="n">
        <f aca="false">IF(C5393="M.O.",VLOOKUP(A5393,INSUMOS_AUX!A:F,6,0),0)</f>
        <v>0</v>
      </c>
    </row>
    <row r="5394" customFormat="false" ht="21" hidden="false" customHeight="false" outlineLevel="0" collapsed="false">
      <c r="A5394" s="154" t="n">
        <v>37371</v>
      </c>
      <c r="B5394" s="155" t="s">
        <v>1449</v>
      </c>
      <c r="C5394" s="148" t="str">
        <f aca="false">VLOOKUP($A5394,INSUMOS_AUX!$A$3:$H$813,3,0)</f>
        <v>MAT.</v>
      </c>
      <c r="D5394" s="156" t="s">
        <v>1444</v>
      </c>
      <c r="E5394" s="154" t="n">
        <v>0.589713</v>
      </c>
      <c r="F5394" s="149" t="n">
        <f aca="false">IF(C5394="MAT.",VLOOKUP(A5394,INSUMOS_AUX!$A$3:$H$813,6,0),0)</f>
        <v>0.59</v>
      </c>
      <c r="G5394" s="149" t="n">
        <f aca="false">IF(C5394="M.O.",VLOOKUP(A5394,INSUMOS_AUX!A:F,6,0),0)</f>
        <v>0</v>
      </c>
    </row>
    <row r="5395" customFormat="false" ht="21" hidden="false" customHeight="false" outlineLevel="0" collapsed="false">
      <c r="A5395" s="154" t="n">
        <v>370</v>
      </c>
      <c r="B5395" s="155" t="s">
        <v>1527</v>
      </c>
      <c r="C5395" s="148" t="str">
        <f aca="false">VLOOKUP($A5395,INSUMOS_AUX!$A$3:$H$813,3,0)</f>
        <v>MAT.</v>
      </c>
      <c r="D5395" s="156" t="s">
        <v>1442</v>
      </c>
      <c r="E5395" s="154" t="n">
        <v>0.000963</v>
      </c>
      <c r="F5395" s="149" t="n">
        <f aca="false">IF(C5395="MAT.",VLOOKUP(A5395,INSUMOS_AUX!$A$3:$H$813,6,0),0)</f>
        <v>150</v>
      </c>
      <c r="G5395" s="149" t="n">
        <f aca="false">IF(C5395="M.O.",VLOOKUP(A5395,INSUMOS_AUX!A:F,6,0),0)</f>
        <v>0</v>
      </c>
    </row>
    <row r="5396" customFormat="false" ht="15" hidden="false" customHeight="false" outlineLevel="0" collapsed="false">
      <c r="A5396" s="154" t="n">
        <v>2556</v>
      </c>
      <c r="B5396" s="155" t="s">
        <v>2380</v>
      </c>
      <c r="C5396" s="148" t="str">
        <f aca="false">VLOOKUP($A5396,INSUMOS_AUX!$A$3:$H$813,3,0)</f>
        <v>MAT.</v>
      </c>
      <c r="D5396" s="156" t="s">
        <v>31</v>
      </c>
      <c r="E5396" s="154" t="n">
        <v>1</v>
      </c>
      <c r="F5396" s="149" t="n">
        <f aca="false">IF(C5396="MAT.",VLOOKUP(A5396,INSUMOS_AUX!$A$3:$H$813,6,0),0)</f>
        <v>1.38</v>
      </c>
      <c r="G5396" s="149" t="n">
        <f aca="false">IF(C5396="M.O.",VLOOKUP(A5396,INSUMOS_AUX!A:F,6,0),0)</f>
        <v>0</v>
      </c>
    </row>
    <row r="5397" customFormat="false" ht="15" hidden="false" customHeight="false" outlineLevel="0" collapsed="false">
      <c r="A5397" s="154" t="n">
        <v>1379</v>
      </c>
      <c r="B5397" s="155" t="s">
        <v>1535</v>
      </c>
      <c r="C5397" s="148" t="str">
        <f aca="false">VLOOKUP($A5397,INSUMOS_AUX!$A$3:$H$813,3,0)</f>
        <v>MAT.</v>
      </c>
      <c r="D5397" s="156" t="s">
        <v>1513</v>
      </c>
      <c r="E5397" s="154" t="n">
        <v>0.434664</v>
      </c>
      <c r="F5397" s="149" t="n">
        <f aca="false">IF(C5397="MAT.",VLOOKUP(A5397,INSUMOS_AUX!$A$3:$H$813,6,0),0)</f>
        <v>0.72</v>
      </c>
      <c r="G5397" s="149" t="n">
        <f aca="false">IF(C5397="M.O.",VLOOKUP(A5397,INSUMOS_AUX!A:F,6,0),0)</f>
        <v>0</v>
      </c>
    </row>
    <row r="5398" customFormat="false" ht="15" hidden="false" customHeight="false" outlineLevel="0" collapsed="false">
      <c r="A5398" s="154" t="n">
        <v>247</v>
      </c>
      <c r="B5398" s="155" t="s">
        <v>1554</v>
      </c>
      <c r="C5398" s="148" t="str">
        <f aca="false">VLOOKUP($A5398,INSUMOS_AUX!$A$3:$H$813,3,0)</f>
        <v>M.O.</v>
      </c>
      <c r="D5398" s="156" t="s">
        <v>1444</v>
      </c>
      <c r="E5398" s="154" t="n">
        <v>0.30186012</v>
      </c>
      <c r="F5398" s="149" t="n">
        <f aca="false">IF(C5398="MAT.",VLOOKUP(A5398,INSUMOS_AUX!$A$3:$H$813,6,0),0)</f>
        <v>0</v>
      </c>
      <c r="G5398" s="149" t="n">
        <f aca="false">IF(C5398="M.O.",VLOOKUP(A5398,INSUMOS_AUX!A:F,6,0),0)</f>
        <v>13.26</v>
      </c>
    </row>
    <row r="5399" customFormat="false" ht="15" hidden="false" customHeight="false" outlineLevel="0" collapsed="false">
      <c r="A5399" s="154" t="n">
        <v>2436</v>
      </c>
      <c r="B5399" s="155" t="s">
        <v>1557</v>
      </c>
      <c r="C5399" s="148" t="str">
        <f aca="false">VLOOKUP($A5399,INSUMOS_AUX!$A$3:$H$813,3,0)</f>
        <v>M.O.</v>
      </c>
      <c r="D5399" s="156" t="s">
        <v>1444</v>
      </c>
      <c r="E5399" s="154" t="n">
        <v>0.30186012</v>
      </c>
      <c r="F5399" s="149" t="n">
        <f aca="false">IF(C5399="MAT.",VLOOKUP(A5399,INSUMOS_AUX!$A$3:$H$813,6,0),0)</f>
        <v>0</v>
      </c>
      <c r="G5399" s="149" t="n">
        <f aca="false">IF(C5399="M.O.",VLOOKUP(A5399,INSUMOS_AUX!A:F,6,0),0)</f>
        <v>20.22</v>
      </c>
    </row>
    <row r="5400" customFormat="false" ht="15" hidden="false" customHeight="false" outlineLevel="0" collapsed="false">
      <c r="A5400" s="154" t="n">
        <v>6111</v>
      </c>
      <c r="B5400" s="155" t="s">
        <v>1464</v>
      </c>
      <c r="C5400" s="148" t="str">
        <f aca="false">VLOOKUP($A5400,INSUMOS_AUX!$A$3:$H$813,3,0)</f>
        <v>M.O.</v>
      </c>
      <c r="D5400" s="156" t="s">
        <v>1444</v>
      </c>
      <c r="E5400" s="154" t="n">
        <v>0.0078765156</v>
      </c>
      <c r="F5400" s="149" t="n">
        <f aca="false">IF(C5400="MAT.",VLOOKUP(A5400,INSUMOS_AUX!$A$3:$H$813,6,0),0)</f>
        <v>0</v>
      </c>
      <c r="G5400" s="149" t="n">
        <f aca="false">IF(C5400="M.O.",VLOOKUP(A5400,INSUMOS_AUX!A:F,6,0),0)</f>
        <v>12.95</v>
      </c>
    </row>
    <row r="5401" customFormat="false" ht="21" hidden="false" customHeight="false" outlineLevel="0" collapsed="false">
      <c r="A5401" s="150" t="s">
        <v>904</v>
      </c>
      <c r="B5401" s="151" t="s">
        <v>2381</v>
      </c>
      <c r="C5401" s="152" t="s">
        <v>59</v>
      </c>
      <c r="D5401" s="152" t="s">
        <v>31</v>
      </c>
      <c r="E5401" s="150"/>
      <c r="F5401" s="153" t="n">
        <f aca="false">(SUMPRODUCT($E5402:$E5410,F5402:F5410))*1</f>
        <v>7.768216</v>
      </c>
      <c r="G5401" s="153" t="n">
        <f aca="false">(SUMPRODUCT($E5402:$E5410,G5402:G5410))*1</f>
        <v>7.04313724608</v>
      </c>
    </row>
    <row r="5402" customFormat="false" ht="21" hidden="false" customHeight="false" outlineLevel="0" collapsed="false">
      <c r="A5402" s="154" t="n">
        <v>37370</v>
      </c>
      <c r="B5402" s="155" t="s">
        <v>1443</v>
      </c>
      <c r="C5402" s="148" t="str">
        <f aca="false">VLOOKUP($A5402,INSUMOS_AUX!$A$3:$H$813,3,0)</f>
        <v>MAT.</v>
      </c>
      <c r="D5402" s="156" t="s">
        <v>1444</v>
      </c>
      <c r="E5402" s="154" t="n">
        <v>0.4056</v>
      </c>
      <c r="F5402" s="149" t="n">
        <f aca="false">IF(C5402="MAT.",VLOOKUP(A5402,INSUMOS_AUX!$A$3:$H$813,6,0),0)</f>
        <v>3.32</v>
      </c>
      <c r="G5402" s="149" t="n">
        <f aca="false">IF(C5402="M.O.",VLOOKUP(A5402,INSUMOS_AUX!A:F,6,0),0)</f>
        <v>0</v>
      </c>
    </row>
    <row r="5403" customFormat="false" ht="21" hidden="false" customHeight="false" outlineLevel="0" collapsed="false">
      <c r="A5403" s="154" t="n">
        <v>43484</v>
      </c>
      <c r="B5403" s="155" t="s">
        <v>1523</v>
      </c>
      <c r="C5403" s="148" t="str">
        <f aca="false">VLOOKUP($A5403,INSUMOS_AUX!$A$3:$H$813,3,0)</f>
        <v>MAT.</v>
      </c>
      <c r="D5403" s="156" t="s">
        <v>1444</v>
      </c>
      <c r="E5403" s="154" t="n">
        <v>0.4056</v>
      </c>
      <c r="F5403" s="149" t="n">
        <f aca="false">IF(C5403="MAT.",VLOOKUP(A5403,INSUMOS_AUX!$A$3:$H$813,6,0),0)</f>
        <v>1.26</v>
      </c>
      <c r="G5403" s="149" t="n">
        <f aca="false">IF(C5403="M.O.",VLOOKUP(A5403,INSUMOS_AUX!A:F,6,0),0)</f>
        <v>0</v>
      </c>
    </row>
    <row r="5404" customFormat="false" ht="21" hidden="false" customHeight="false" outlineLevel="0" collapsed="false">
      <c r="A5404" s="154" t="n">
        <v>37372</v>
      </c>
      <c r="B5404" s="155" t="s">
        <v>1446</v>
      </c>
      <c r="C5404" s="148" t="s">
        <v>59</v>
      </c>
      <c r="D5404" s="156" t="s">
        <v>1444</v>
      </c>
      <c r="E5404" s="154" t="n">
        <v>0.4056</v>
      </c>
      <c r="F5404" s="149" t="n">
        <f aca="false">IF(C5404="MAT.",VLOOKUP(A5404,INSUMOS_AUX!$A$3:$H$813,6,0),0)</f>
        <v>0</v>
      </c>
      <c r="G5404" s="149" t="n">
        <f aca="false">IF(C5404="M.O.",VLOOKUP(A5404,INSUMOS_AUX!A:F,6,0),0)</f>
        <v>0</v>
      </c>
    </row>
    <row r="5405" customFormat="false" ht="21" hidden="false" customHeight="false" outlineLevel="0" collapsed="false">
      <c r="A5405" s="154" t="n">
        <v>43460</v>
      </c>
      <c r="B5405" s="155" t="s">
        <v>1524</v>
      </c>
      <c r="C5405" s="148" t="str">
        <f aca="false">VLOOKUP($A5405,INSUMOS_AUX!$A$3:$H$813,3,0)</f>
        <v>MAT.</v>
      </c>
      <c r="D5405" s="156" t="s">
        <v>1444</v>
      </c>
      <c r="E5405" s="154" t="n">
        <v>0.4056</v>
      </c>
      <c r="F5405" s="149" t="n">
        <f aca="false">IF(C5405="MAT.",VLOOKUP(A5405,INSUMOS_AUX!$A$3:$H$813,6,0),0)</f>
        <v>0.86</v>
      </c>
      <c r="G5405" s="149" t="n">
        <f aca="false">IF(C5405="M.O.",VLOOKUP(A5405,INSUMOS_AUX!A:F,6,0),0)</f>
        <v>0</v>
      </c>
    </row>
    <row r="5406" customFormat="false" ht="21" hidden="false" customHeight="false" outlineLevel="0" collapsed="false">
      <c r="A5406" s="154" t="n">
        <v>37373</v>
      </c>
      <c r="B5406" s="155" t="s">
        <v>1448</v>
      </c>
      <c r="C5406" s="148" t="str">
        <f aca="false">VLOOKUP($A5406,INSUMOS_AUX!$A$3:$H$813,3,0)</f>
        <v>MAT.</v>
      </c>
      <c r="D5406" s="156" t="s">
        <v>1444</v>
      </c>
      <c r="E5406" s="154" t="n">
        <v>0.4056</v>
      </c>
      <c r="F5406" s="149" t="n">
        <f aca="false">IF(C5406="MAT.",VLOOKUP(A5406,INSUMOS_AUX!$A$3:$H$813,6,0),0)</f>
        <v>0.08</v>
      </c>
      <c r="G5406" s="149" t="n">
        <f aca="false">IF(C5406="M.O.",VLOOKUP(A5406,INSUMOS_AUX!A:F,6,0),0)</f>
        <v>0</v>
      </c>
    </row>
    <row r="5407" customFormat="false" ht="21" hidden="false" customHeight="false" outlineLevel="0" collapsed="false">
      <c r="A5407" s="154" t="n">
        <v>37371</v>
      </c>
      <c r="B5407" s="155" t="s">
        <v>1449</v>
      </c>
      <c r="C5407" s="148" t="str">
        <f aca="false">VLOOKUP($A5407,INSUMOS_AUX!$A$3:$H$813,3,0)</f>
        <v>MAT.</v>
      </c>
      <c r="D5407" s="156" t="s">
        <v>1444</v>
      </c>
      <c r="E5407" s="154" t="n">
        <v>0.4056</v>
      </c>
      <c r="F5407" s="149" t="n">
        <f aca="false">IF(C5407="MAT.",VLOOKUP(A5407,INSUMOS_AUX!$A$3:$H$813,6,0),0)</f>
        <v>0.59</v>
      </c>
      <c r="G5407" s="149" t="n">
        <f aca="false">IF(C5407="M.O.",VLOOKUP(A5407,INSUMOS_AUX!A:F,6,0),0)</f>
        <v>0</v>
      </c>
    </row>
    <row r="5408" customFormat="false" ht="31.5" hidden="false" customHeight="false" outlineLevel="0" collapsed="false">
      <c r="A5408" s="154" t="n">
        <v>2617</v>
      </c>
      <c r="B5408" s="155" t="s">
        <v>2382</v>
      </c>
      <c r="C5408" s="148" t="str">
        <f aca="false">VLOOKUP($A5408,INSUMOS_AUX!$A$3:$H$813,3,0)</f>
        <v>MAT.</v>
      </c>
      <c r="D5408" s="156" t="s">
        <v>31</v>
      </c>
      <c r="E5408" s="154" t="n">
        <v>1</v>
      </c>
      <c r="F5408" s="149" t="n">
        <f aca="false">IF(C5408="MAT.",VLOOKUP(A5408,INSUMOS_AUX!$A$3:$H$813,6,0),0)</f>
        <v>5.29</v>
      </c>
      <c r="G5408" s="149" t="n">
        <f aca="false">IF(C5408="M.O.",VLOOKUP(A5408,INSUMOS_AUX!A:F,6,0),0)</f>
        <v>0</v>
      </c>
    </row>
    <row r="5409" customFormat="false" ht="15" hidden="false" customHeight="false" outlineLevel="0" collapsed="false">
      <c r="A5409" s="154" t="n">
        <v>247</v>
      </c>
      <c r="B5409" s="155" t="s">
        <v>1554</v>
      </c>
      <c r="C5409" s="148" t="str">
        <f aca="false">VLOOKUP($A5409,INSUMOS_AUX!$A$3:$H$813,3,0)</f>
        <v>M.O.</v>
      </c>
      <c r="D5409" s="156" t="s">
        <v>1444</v>
      </c>
      <c r="E5409" s="154" t="n">
        <v>0.210368496</v>
      </c>
      <c r="F5409" s="149" t="n">
        <f aca="false">IF(C5409="MAT.",VLOOKUP(A5409,INSUMOS_AUX!$A$3:$H$813,6,0),0)</f>
        <v>0</v>
      </c>
      <c r="G5409" s="149" t="n">
        <f aca="false">IF(C5409="M.O.",VLOOKUP(A5409,INSUMOS_AUX!A:F,6,0),0)</f>
        <v>13.26</v>
      </c>
    </row>
    <row r="5410" customFormat="false" ht="15" hidden="false" customHeight="false" outlineLevel="0" collapsed="false">
      <c r="A5410" s="154" t="n">
        <v>2436</v>
      </c>
      <c r="B5410" s="155" t="s">
        <v>1557</v>
      </c>
      <c r="C5410" s="148" t="str">
        <f aca="false">VLOOKUP($A5410,INSUMOS_AUX!$A$3:$H$813,3,0)</f>
        <v>M.O.</v>
      </c>
      <c r="D5410" s="156" t="s">
        <v>1444</v>
      </c>
      <c r="E5410" s="154" t="n">
        <v>0.210368496</v>
      </c>
      <c r="F5410" s="149" t="n">
        <f aca="false">IF(C5410="MAT.",VLOOKUP(A5410,INSUMOS_AUX!$A$3:$H$813,6,0),0)</f>
        <v>0</v>
      </c>
      <c r="G5410" s="149" t="n">
        <f aca="false">IF(C5410="M.O.",VLOOKUP(A5410,INSUMOS_AUX!A:F,6,0),0)</f>
        <v>20.22</v>
      </c>
    </row>
    <row r="5411" customFormat="false" ht="31.5" hidden="false" customHeight="false" outlineLevel="0" collapsed="false">
      <c r="A5411" s="150" t="n">
        <v>91884</v>
      </c>
      <c r="B5411" s="151" t="s">
        <v>2383</v>
      </c>
      <c r="C5411" s="152" t="s">
        <v>59</v>
      </c>
      <c r="D5411" s="152" t="s">
        <v>31</v>
      </c>
      <c r="E5411" s="150"/>
      <c r="F5411" s="153" t="n">
        <f aca="false">(SUMPRODUCT($E5412:$E5420,F5412:F5420))*1</f>
        <v>3.4483</v>
      </c>
      <c r="G5411" s="153" t="n">
        <f aca="false">(SUMPRODUCT($E5412:$E5420,G5412:G5420))*1</f>
        <v>6.8417062992</v>
      </c>
    </row>
    <row r="5412" customFormat="false" ht="21" hidden="false" customHeight="false" outlineLevel="0" collapsed="false">
      <c r="A5412" s="154" t="n">
        <v>37370</v>
      </c>
      <c r="B5412" s="155" t="s">
        <v>1443</v>
      </c>
      <c r="C5412" s="148" t="str">
        <f aca="false">VLOOKUP($A5412,INSUMOS_AUX!$A$3:$H$813,3,0)</f>
        <v>MAT.</v>
      </c>
      <c r="D5412" s="156" t="s">
        <v>1444</v>
      </c>
      <c r="E5412" s="154" t="n">
        <v>0.394</v>
      </c>
      <c r="F5412" s="149" t="n">
        <f aca="false">IF(C5412="MAT.",VLOOKUP(A5412,INSUMOS_AUX!$A$3:$H$813,6,0),0)</f>
        <v>3.32</v>
      </c>
      <c r="G5412" s="149" t="n">
        <f aca="false">IF(C5412="M.O.",VLOOKUP(A5412,INSUMOS_AUX!A:F,6,0),0)</f>
        <v>0</v>
      </c>
    </row>
    <row r="5413" customFormat="false" ht="21" hidden="false" customHeight="false" outlineLevel="0" collapsed="false">
      <c r="A5413" s="154" t="n">
        <v>43484</v>
      </c>
      <c r="B5413" s="155" t="s">
        <v>1523</v>
      </c>
      <c r="C5413" s="148" t="str">
        <f aca="false">VLOOKUP($A5413,INSUMOS_AUX!$A$3:$H$813,3,0)</f>
        <v>MAT.</v>
      </c>
      <c r="D5413" s="156" t="s">
        <v>1444</v>
      </c>
      <c r="E5413" s="154" t="n">
        <v>0.394</v>
      </c>
      <c r="F5413" s="149" t="n">
        <f aca="false">IF(C5413="MAT.",VLOOKUP(A5413,INSUMOS_AUX!$A$3:$H$813,6,0),0)</f>
        <v>1.26</v>
      </c>
      <c r="G5413" s="149" t="n">
        <f aca="false">IF(C5413="M.O.",VLOOKUP(A5413,INSUMOS_AUX!A:F,6,0),0)</f>
        <v>0</v>
      </c>
    </row>
    <row r="5414" customFormat="false" ht="21" hidden="false" customHeight="false" outlineLevel="0" collapsed="false">
      <c r="A5414" s="154" t="n">
        <v>37372</v>
      </c>
      <c r="B5414" s="155" t="s">
        <v>1446</v>
      </c>
      <c r="C5414" s="148" t="str">
        <f aca="false">VLOOKUP($A5414,INSUMOS_AUX!$A$3:$H$813,3,0)</f>
        <v>MAT.</v>
      </c>
      <c r="D5414" s="156" t="s">
        <v>1444</v>
      </c>
      <c r="E5414" s="154" t="n">
        <v>0.394</v>
      </c>
      <c r="F5414" s="149" t="n">
        <f aca="false">IF(C5414="MAT.",VLOOKUP(A5414,INSUMOS_AUX!$A$3:$H$813,6,0),0)</f>
        <v>1.43</v>
      </c>
      <c r="G5414" s="149" t="n">
        <f aca="false">IF(C5414="M.O.",VLOOKUP(A5414,INSUMOS_AUX!A:F,6,0),0)</f>
        <v>0</v>
      </c>
    </row>
    <row r="5415" customFormat="false" ht="21" hidden="false" customHeight="false" outlineLevel="0" collapsed="false">
      <c r="A5415" s="154" t="n">
        <v>43460</v>
      </c>
      <c r="B5415" s="155" t="s">
        <v>1524</v>
      </c>
      <c r="C5415" s="148" t="str">
        <f aca="false">VLOOKUP($A5415,INSUMOS_AUX!$A$3:$H$813,3,0)</f>
        <v>MAT.</v>
      </c>
      <c r="D5415" s="156" t="s">
        <v>1444</v>
      </c>
      <c r="E5415" s="154" t="n">
        <v>0.394</v>
      </c>
      <c r="F5415" s="149" t="n">
        <f aca="false">IF(C5415="MAT.",VLOOKUP(A5415,INSUMOS_AUX!$A$3:$H$813,6,0),0)</f>
        <v>0.86</v>
      </c>
      <c r="G5415" s="149" t="n">
        <f aca="false">IF(C5415="M.O.",VLOOKUP(A5415,INSUMOS_AUX!A:F,6,0),0)</f>
        <v>0</v>
      </c>
    </row>
    <row r="5416" customFormat="false" ht="21" hidden="false" customHeight="false" outlineLevel="0" collapsed="false">
      <c r="A5416" s="154" t="n">
        <v>37373</v>
      </c>
      <c r="B5416" s="155" t="s">
        <v>1448</v>
      </c>
      <c r="C5416" s="148" t="str">
        <f aca="false">VLOOKUP($A5416,INSUMOS_AUX!$A$3:$H$813,3,0)</f>
        <v>MAT.</v>
      </c>
      <c r="D5416" s="156" t="s">
        <v>1444</v>
      </c>
      <c r="E5416" s="154" t="n">
        <v>0.394</v>
      </c>
      <c r="F5416" s="149" t="n">
        <f aca="false">IF(C5416="MAT.",VLOOKUP(A5416,INSUMOS_AUX!$A$3:$H$813,6,0),0)</f>
        <v>0.08</v>
      </c>
      <c r="G5416" s="149" t="n">
        <f aca="false">IF(C5416="M.O.",VLOOKUP(A5416,INSUMOS_AUX!A:F,6,0),0)</f>
        <v>0</v>
      </c>
    </row>
    <row r="5417" customFormat="false" ht="21" hidden="false" customHeight="false" outlineLevel="0" collapsed="false">
      <c r="A5417" s="154" t="n">
        <v>37371</v>
      </c>
      <c r="B5417" s="155" t="s">
        <v>1449</v>
      </c>
      <c r="C5417" s="148" t="s">
        <v>59</v>
      </c>
      <c r="D5417" s="156" t="s">
        <v>1444</v>
      </c>
      <c r="E5417" s="154" t="n">
        <v>0.394</v>
      </c>
      <c r="F5417" s="149" t="n">
        <f aca="false">IF(C5417="MAT.",VLOOKUP(A5417,INSUMOS_AUX!$A$3:$H$813,6,0),0)</f>
        <v>0</v>
      </c>
      <c r="G5417" s="149" t="n">
        <f aca="false">IF(C5417="M.O.",VLOOKUP(A5417,INSUMOS_AUX!A:F,6,0),0)</f>
        <v>0</v>
      </c>
    </row>
    <row r="5418" customFormat="false" ht="15" hidden="false" customHeight="false" outlineLevel="0" collapsed="false">
      <c r="A5418" s="154" t="n">
        <v>1891</v>
      </c>
      <c r="B5418" s="155" t="s">
        <v>2384</v>
      </c>
      <c r="C5418" s="148" t="str">
        <f aca="false">VLOOKUP($A5418,INSUMOS_AUX!$A$3:$H$813,3,0)</f>
        <v>MAT.</v>
      </c>
      <c r="D5418" s="156" t="s">
        <v>31</v>
      </c>
      <c r="E5418" s="154" t="n">
        <v>1</v>
      </c>
      <c r="F5418" s="149" t="n">
        <f aca="false">IF(C5418="MAT.",VLOOKUP(A5418,INSUMOS_AUX!$A$3:$H$813,6,0),0)</f>
        <v>0.71</v>
      </c>
      <c r="G5418" s="149" t="n">
        <f aca="false">IF(C5418="M.O.",VLOOKUP(A5418,INSUMOS_AUX!A:F,6,0),0)</f>
        <v>0</v>
      </c>
    </row>
    <row r="5419" customFormat="false" ht="15" hidden="false" customHeight="false" outlineLevel="0" collapsed="false">
      <c r="A5419" s="154" t="n">
        <v>247</v>
      </c>
      <c r="B5419" s="155" t="s">
        <v>1554</v>
      </c>
      <c r="C5419" s="148" t="str">
        <f aca="false">VLOOKUP($A5419,INSUMOS_AUX!$A$3:$H$813,3,0)</f>
        <v>M.O.</v>
      </c>
      <c r="D5419" s="156" t="s">
        <v>1444</v>
      </c>
      <c r="E5419" s="154" t="n">
        <v>0.20435204</v>
      </c>
      <c r="F5419" s="149" t="n">
        <f aca="false">IF(C5419="MAT.",VLOOKUP(A5419,INSUMOS_AUX!$A$3:$H$813,6,0),0)</f>
        <v>0</v>
      </c>
      <c r="G5419" s="149" t="n">
        <f aca="false">IF(C5419="M.O.",VLOOKUP(A5419,INSUMOS_AUX!A:F,6,0),0)</f>
        <v>13.26</v>
      </c>
    </row>
    <row r="5420" customFormat="false" ht="15" hidden="false" customHeight="false" outlineLevel="0" collapsed="false">
      <c r="A5420" s="154" t="n">
        <v>2436</v>
      </c>
      <c r="B5420" s="155" t="s">
        <v>1557</v>
      </c>
      <c r="C5420" s="148" t="str">
        <f aca="false">VLOOKUP($A5420,INSUMOS_AUX!$A$3:$H$813,3,0)</f>
        <v>M.O.</v>
      </c>
      <c r="D5420" s="156" t="s">
        <v>1444</v>
      </c>
      <c r="E5420" s="154" t="n">
        <v>0.20435204</v>
      </c>
      <c r="F5420" s="149" t="n">
        <f aca="false">IF(C5420="MAT.",VLOOKUP(A5420,INSUMOS_AUX!$A$3:$H$813,6,0),0)</f>
        <v>0</v>
      </c>
      <c r="G5420" s="149" t="n">
        <f aca="false">IF(C5420="M.O.",VLOOKUP(A5420,INSUMOS_AUX!A:F,6,0),0)</f>
        <v>20.22</v>
      </c>
    </row>
    <row r="5421" customFormat="false" ht="31.5" hidden="false" customHeight="false" outlineLevel="0" collapsed="false">
      <c r="A5421" s="150" t="n">
        <v>91835</v>
      </c>
      <c r="B5421" s="151" t="s">
        <v>2385</v>
      </c>
      <c r="C5421" s="152" t="s">
        <v>59</v>
      </c>
      <c r="D5421" s="152" t="s">
        <v>1455</v>
      </c>
      <c r="E5421" s="150"/>
      <c r="F5421" s="153" t="n">
        <f aca="false">(SUMPRODUCT($E5422:$E5435,F5422:F5435))*1</f>
        <v>6.660764</v>
      </c>
      <c r="G5421" s="153" t="n">
        <f aca="false">(SUMPRODUCT($E5422:$E5435,G5422:G5435))*1</f>
        <v>8.15966966184</v>
      </c>
    </row>
    <row r="5422" customFormat="false" ht="21" hidden="false" customHeight="false" outlineLevel="0" collapsed="false">
      <c r="A5422" s="154" t="n">
        <v>37370</v>
      </c>
      <c r="B5422" s="155" t="s">
        <v>1443</v>
      </c>
      <c r="C5422" s="148" t="str">
        <f aca="false">VLOOKUP($A5422,INSUMOS_AUX!$A$3:$H$813,3,0)</f>
        <v>MAT.</v>
      </c>
      <c r="D5422" s="156" t="s">
        <v>1444</v>
      </c>
      <c r="E5422" s="154" t="n">
        <v>0.4414</v>
      </c>
      <c r="F5422" s="149" t="n">
        <f aca="false">IF(C5422="MAT.",VLOOKUP(A5422,INSUMOS_AUX!$A$3:$H$813,6,0),0)</f>
        <v>3.32</v>
      </c>
      <c r="G5422" s="149" t="n">
        <f aca="false">IF(C5422="M.O.",VLOOKUP(A5422,INSUMOS_AUX!A:F,6,0),0)</f>
        <v>0</v>
      </c>
    </row>
    <row r="5423" customFormat="false" ht="21" hidden="false" customHeight="false" outlineLevel="0" collapsed="false">
      <c r="A5423" s="154" t="n">
        <v>43484</v>
      </c>
      <c r="B5423" s="155" t="s">
        <v>1523</v>
      </c>
      <c r="C5423" s="148" t="str">
        <f aca="false">VLOOKUP($A5423,INSUMOS_AUX!$A$3:$H$813,3,0)</f>
        <v>MAT.</v>
      </c>
      <c r="D5423" s="156" t="s">
        <v>1444</v>
      </c>
      <c r="E5423" s="154" t="n">
        <v>0.182</v>
      </c>
      <c r="F5423" s="149" t="n">
        <f aca="false">IF(C5423="MAT.",VLOOKUP(A5423,INSUMOS_AUX!$A$3:$H$813,6,0),0)</f>
        <v>1.26</v>
      </c>
      <c r="G5423" s="149" t="n">
        <f aca="false">IF(C5423="M.O.",VLOOKUP(A5423,INSUMOS_AUX!A:F,6,0),0)</f>
        <v>0</v>
      </c>
    </row>
    <row r="5424" customFormat="false" ht="21" hidden="false" customHeight="false" outlineLevel="0" collapsed="false">
      <c r="A5424" s="154" t="n">
        <v>43485</v>
      </c>
      <c r="B5424" s="155" t="s">
        <v>1481</v>
      </c>
      <c r="C5424" s="148" t="str">
        <f aca="false">VLOOKUP($A5424,INSUMOS_AUX!$A$3:$H$813,3,0)</f>
        <v>MAT.</v>
      </c>
      <c r="D5424" s="156" t="s">
        <v>1444</v>
      </c>
      <c r="E5424" s="154" t="n">
        <v>0.2594</v>
      </c>
      <c r="F5424" s="149" t="n">
        <f aca="false">IF(C5424="MAT.",VLOOKUP(A5424,INSUMOS_AUX!$A$3:$H$813,6,0),0)</f>
        <v>1.13</v>
      </c>
      <c r="G5424" s="149" t="n">
        <f aca="false">IF(C5424="M.O.",VLOOKUP(A5424,INSUMOS_AUX!A:F,6,0),0)</f>
        <v>0</v>
      </c>
    </row>
    <row r="5425" customFormat="false" ht="21" hidden="false" customHeight="false" outlineLevel="0" collapsed="false">
      <c r="A5425" s="154" t="n">
        <v>37372</v>
      </c>
      <c r="B5425" s="155" t="s">
        <v>1446</v>
      </c>
      <c r="C5425" s="148" t="str">
        <f aca="false">VLOOKUP($A5425,INSUMOS_AUX!$A$3:$H$813,3,0)</f>
        <v>MAT.</v>
      </c>
      <c r="D5425" s="156" t="s">
        <v>1444</v>
      </c>
      <c r="E5425" s="154" t="n">
        <v>0.4414</v>
      </c>
      <c r="F5425" s="149" t="n">
        <f aca="false">IF(C5425="MAT.",VLOOKUP(A5425,INSUMOS_AUX!$A$3:$H$813,6,0),0)</f>
        <v>1.43</v>
      </c>
      <c r="G5425" s="149" t="n">
        <f aca="false">IF(C5425="M.O.",VLOOKUP(A5425,INSUMOS_AUX!A:F,6,0),0)</f>
        <v>0</v>
      </c>
    </row>
    <row r="5426" customFormat="false" ht="21" hidden="false" customHeight="false" outlineLevel="0" collapsed="false">
      <c r="A5426" s="154" t="n">
        <v>43460</v>
      </c>
      <c r="B5426" s="155" t="s">
        <v>1524</v>
      </c>
      <c r="C5426" s="148" t="str">
        <f aca="false">VLOOKUP($A5426,INSUMOS_AUX!$A$3:$H$813,3,0)</f>
        <v>MAT.</v>
      </c>
      <c r="D5426" s="156" t="s">
        <v>1444</v>
      </c>
      <c r="E5426" s="154" t="n">
        <v>0.182</v>
      </c>
      <c r="F5426" s="149" t="n">
        <f aca="false">IF(C5426="MAT.",VLOOKUP(A5426,INSUMOS_AUX!$A$3:$H$813,6,0),0)</f>
        <v>0.86</v>
      </c>
      <c r="G5426" s="149" t="n">
        <f aca="false">IF(C5426="M.O.",VLOOKUP(A5426,INSUMOS_AUX!A:F,6,0),0)</f>
        <v>0</v>
      </c>
    </row>
    <row r="5427" customFormat="false" ht="21" hidden="false" customHeight="false" outlineLevel="0" collapsed="false">
      <c r="A5427" s="154" t="n">
        <v>43461</v>
      </c>
      <c r="B5427" s="155" t="s">
        <v>1482</v>
      </c>
      <c r="C5427" s="148" t="str">
        <f aca="false">VLOOKUP($A5427,INSUMOS_AUX!$A$3:$H$813,3,0)</f>
        <v>MAT.</v>
      </c>
      <c r="D5427" s="156" t="s">
        <v>1444</v>
      </c>
      <c r="E5427" s="154" t="n">
        <v>0.2594</v>
      </c>
      <c r="F5427" s="149" t="n">
        <f aca="false">IF(C5427="MAT.",VLOOKUP(A5427,INSUMOS_AUX!$A$3:$H$813,6,0),0)</f>
        <v>0.31</v>
      </c>
      <c r="G5427" s="149" t="n">
        <f aca="false">IF(C5427="M.O.",VLOOKUP(A5427,INSUMOS_AUX!A:F,6,0),0)</f>
        <v>0</v>
      </c>
    </row>
    <row r="5428" customFormat="false" ht="21" hidden="false" customHeight="false" outlineLevel="0" collapsed="false">
      <c r="A5428" s="154" t="n">
        <v>37373</v>
      </c>
      <c r="B5428" s="155" t="s">
        <v>1448</v>
      </c>
      <c r="C5428" s="148" t="str">
        <f aca="false">VLOOKUP($A5428,INSUMOS_AUX!$A$3:$H$813,3,0)</f>
        <v>MAT.</v>
      </c>
      <c r="D5428" s="156" t="s">
        <v>1444</v>
      </c>
      <c r="E5428" s="154" t="n">
        <v>0.4414</v>
      </c>
      <c r="F5428" s="149" t="n">
        <f aca="false">IF(C5428="MAT.",VLOOKUP(A5428,INSUMOS_AUX!$A$3:$H$813,6,0),0)</f>
        <v>0.08</v>
      </c>
      <c r="G5428" s="149" t="n">
        <f aca="false">IF(C5428="M.O.",VLOOKUP(A5428,INSUMOS_AUX!A:F,6,0),0)</f>
        <v>0</v>
      </c>
    </row>
    <row r="5429" customFormat="false" ht="21" hidden="false" customHeight="false" outlineLevel="0" collapsed="false">
      <c r="A5429" s="154" t="n">
        <v>37371</v>
      </c>
      <c r="B5429" s="155" t="s">
        <v>1449</v>
      </c>
      <c r="C5429" s="148" t="str">
        <f aca="false">VLOOKUP($A5429,INSUMOS_AUX!$A$3:$H$813,3,0)</f>
        <v>MAT.</v>
      </c>
      <c r="D5429" s="156" t="s">
        <v>1444</v>
      </c>
      <c r="E5429" s="154" t="n">
        <v>0.4414</v>
      </c>
      <c r="F5429" s="149" t="n">
        <f aca="false">IF(C5429="MAT.",VLOOKUP(A5429,INSUMOS_AUX!$A$3:$H$813,6,0),0)</f>
        <v>0.59</v>
      </c>
      <c r="G5429" s="149" t="n">
        <f aca="false">IF(C5429="M.O.",VLOOKUP(A5429,INSUMOS_AUX!A:F,6,0),0)</f>
        <v>0</v>
      </c>
    </row>
    <row r="5430" customFormat="false" ht="21" hidden="false" customHeight="false" outlineLevel="0" collapsed="false">
      <c r="A5430" s="154" t="n">
        <v>392</v>
      </c>
      <c r="B5430" s="155" t="s">
        <v>2386</v>
      </c>
      <c r="C5430" s="148" t="s">
        <v>59</v>
      </c>
      <c r="D5430" s="156" t="s">
        <v>31</v>
      </c>
      <c r="E5430" s="154" t="n">
        <v>1.7857</v>
      </c>
      <c r="F5430" s="149" t="n">
        <f aca="false">IF(C5430="MAT.",VLOOKUP(A5430,INSUMOS_AUX!$A$3:$H$813,6,0),0)</f>
        <v>0</v>
      </c>
      <c r="G5430" s="149" t="n">
        <f aca="false">IF(C5430="M.O.",VLOOKUP(A5430,INSUMOS_AUX!A:F,6,0),0)</f>
        <v>0</v>
      </c>
    </row>
    <row r="5431" customFormat="false" ht="21" hidden="false" customHeight="false" outlineLevel="0" collapsed="false">
      <c r="A5431" s="154" t="n">
        <v>39244</v>
      </c>
      <c r="B5431" s="155" t="s">
        <v>2387</v>
      </c>
      <c r="C5431" s="148" t="str">
        <f aca="false">VLOOKUP($A5431,INSUMOS_AUX!$A$3:$H$813,3,0)</f>
        <v>MAT.</v>
      </c>
      <c r="D5431" s="156" t="s">
        <v>1455</v>
      </c>
      <c r="E5431" s="154" t="n">
        <v>1.1</v>
      </c>
      <c r="F5431" s="149" t="n">
        <f aca="false">IF(C5431="MAT.",VLOOKUP(A5431,INSUMOS_AUX!$A$3:$H$813,6,0),0)</f>
        <v>3.19</v>
      </c>
      <c r="G5431" s="149" t="n">
        <f aca="false">IF(C5431="M.O.",VLOOKUP(A5431,INSUMOS_AUX!A:F,6,0),0)</f>
        <v>0</v>
      </c>
    </row>
    <row r="5432" customFormat="false" ht="15" hidden="false" customHeight="false" outlineLevel="0" collapsed="false">
      <c r="A5432" s="154" t="n">
        <v>247</v>
      </c>
      <c r="B5432" s="155" t="s">
        <v>1554</v>
      </c>
      <c r="C5432" s="148" t="str">
        <f aca="false">VLOOKUP($A5432,INSUMOS_AUX!$A$3:$H$813,3,0)</f>
        <v>M.O.</v>
      </c>
      <c r="D5432" s="156" t="s">
        <v>1444</v>
      </c>
      <c r="E5432" s="154" t="n">
        <v>0.09439612</v>
      </c>
      <c r="F5432" s="149" t="n">
        <f aca="false">IF(C5432="MAT.",VLOOKUP(A5432,INSUMOS_AUX!$A$3:$H$813,6,0),0)</f>
        <v>0</v>
      </c>
      <c r="G5432" s="149" t="n">
        <f aca="false">IF(C5432="M.O.",VLOOKUP(A5432,INSUMOS_AUX!A:F,6,0),0)</f>
        <v>13.26</v>
      </c>
    </row>
    <row r="5433" customFormat="false" ht="15" hidden="false" customHeight="false" outlineLevel="0" collapsed="false">
      <c r="A5433" s="154" t="n">
        <v>246</v>
      </c>
      <c r="B5433" s="155" t="s">
        <v>1752</v>
      </c>
      <c r="C5433" s="148" t="str">
        <f aca="false">VLOOKUP($A5433,INSUMOS_AUX!$A$3:$H$813,3,0)</f>
        <v>M.O.</v>
      </c>
      <c r="D5433" s="156" t="s">
        <v>1444</v>
      </c>
      <c r="E5433" s="154" t="n">
        <v>0.04886304</v>
      </c>
      <c r="F5433" s="149" t="n">
        <f aca="false">IF(C5433="MAT.",VLOOKUP(A5433,INSUMOS_AUX!$A$3:$H$813,6,0),0)</f>
        <v>0</v>
      </c>
      <c r="G5433" s="149" t="n">
        <f aca="false">IF(C5433="M.O.",VLOOKUP(A5433,INSUMOS_AUX!A:F,6,0),0)</f>
        <v>13.26</v>
      </c>
    </row>
    <row r="5434" customFormat="false" ht="15" hidden="false" customHeight="false" outlineLevel="0" collapsed="false">
      <c r="A5434" s="154" t="n">
        <v>2436</v>
      </c>
      <c r="B5434" s="155" t="s">
        <v>1557</v>
      </c>
      <c r="C5434" s="148" t="str">
        <f aca="false">VLOOKUP($A5434,INSUMOS_AUX!$A$3:$H$813,3,0)</f>
        <v>M.O.</v>
      </c>
      <c r="D5434" s="156" t="s">
        <v>1444</v>
      </c>
      <c r="E5434" s="154" t="n">
        <v>0.09439612</v>
      </c>
      <c r="F5434" s="149" t="n">
        <f aca="false">IF(C5434="MAT.",VLOOKUP(A5434,INSUMOS_AUX!$A$3:$H$813,6,0),0)</f>
        <v>0</v>
      </c>
      <c r="G5434" s="149" t="n">
        <f aca="false">IF(C5434="M.O.",VLOOKUP(A5434,INSUMOS_AUX!A:F,6,0),0)</f>
        <v>20.22</v>
      </c>
    </row>
    <row r="5435" customFormat="false" ht="15" hidden="false" customHeight="false" outlineLevel="0" collapsed="false">
      <c r="A5435" s="154" t="n">
        <v>2696</v>
      </c>
      <c r="B5435" s="155" t="s">
        <v>1483</v>
      </c>
      <c r="C5435" s="148" t="str">
        <f aca="false">VLOOKUP($A5435,INSUMOS_AUX!$A$3:$H$813,3,0)</f>
        <v>M.O.</v>
      </c>
      <c r="D5435" s="156" t="s">
        <v>1444</v>
      </c>
      <c r="E5435" s="154" t="n">
        <v>0.215200972</v>
      </c>
      <c r="F5435" s="149" t="n">
        <f aca="false">IF(C5435="MAT.",VLOOKUP(A5435,INSUMOS_AUX!$A$3:$H$813,6,0),0)</f>
        <v>0</v>
      </c>
      <c r="G5435" s="149" t="n">
        <f aca="false">IF(C5435="M.O.",VLOOKUP(A5435,INSUMOS_AUX!A:F,6,0),0)</f>
        <v>20.22</v>
      </c>
    </row>
    <row r="5436" customFormat="false" ht="31.5" hidden="false" customHeight="false" outlineLevel="0" collapsed="false">
      <c r="A5436" s="150" t="n">
        <v>91837</v>
      </c>
      <c r="B5436" s="151" t="s">
        <v>2388</v>
      </c>
      <c r="C5436" s="152" t="s">
        <v>59</v>
      </c>
      <c r="D5436" s="152" t="s">
        <v>1455</v>
      </c>
      <c r="E5436" s="150"/>
      <c r="F5436" s="153" t="n">
        <f aca="false">(SUMPRODUCT($E5437:$E5450,F5437:F5450))*1</f>
        <v>10.116884</v>
      </c>
      <c r="G5436" s="153" t="n">
        <f aca="false">(SUMPRODUCT($E5437:$E5450,G5437:G5450))*1</f>
        <v>8.64588229224</v>
      </c>
    </row>
    <row r="5437" customFormat="false" ht="21" hidden="false" customHeight="false" outlineLevel="0" collapsed="false">
      <c r="A5437" s="154" t="n">
        <v>37370</v>
      </c>
      <c r="B5437" s="155" t="s">
        <v>1443</v>
      </c>
      <c r="C5437" s="148" t="str">
        <f aca="false">VLOOKUP($A5437,INSUMOS_AUX!$A$3:$H$813,3,0)</f>
        <v>MAT.</v>
      </c>
      <c r="D5437" s="156" t="s">
        <v>1444</v>
      </c>
      <c r="E5437" s="154" t="n">
        <v>0.4694</v>
      </c>
      <c r="F5437" s="149" t="n">
        <f aca="false">IF(C5437="MAT.",VLOOKUP(A5437,INSUMOS_AUX!$A$3:$H$813,6,0),0)</f>
        <v>3.32</v>
      </c>
      <c r="G5437" s="149" t="n">
        <f aca="false">IF(C5437="M.O.",VLOOKUP(A5437,INSUMOS_AUX!A:F,6,0),0)</f>
        <v>0</v>
      </c>
    </row>
    <row r="5438" customFormat="false" ht="21" hidden="false" customHeight="false" outlineLevel="0" collapsed="false">
      <c r="A5438" s="154" t="n">
        <v>43484</v>
      </c>
      <c r="B5438" s="155" t="s">
        <v>1523</v>
      </c>
      <c r="C5438" s="148" t="str">
        <f aca="false">VLOOKUP($A5438,INSUMOS_AUX!$A$3:$H$813,3,0)</f>
        <v>MAT.</v>
      </c>
      <c r="D5438" s="156" t="s">
        <v>1444</v>
      </c>
      <c r="E5438" s="154" t="n">
        <v>0.21</v>
      </c>
      <c r="F5438" s="149" t="n">
        <f aca="false">IF(C5438="MAT.",VLOOKUP(A5438,INSUMOS_AUX!$A$3:$H$813,6,0),0)</f>
        <v>1.26</v>
      </c>
      <c r="G5438" s="149" t="n">
        <f aca="false">IF(C5438="M.O.",VLOOKUP(A5438,INSUMOS_AUX!A:F,6,0),0)</f>
        <v>0</v>
      </c>
    </row>
    <row r="5439" customFormat="false" ht="21" hidden="false" customHeight="false" outlineLevel="0" collapsed="false">
      <c r="A5439" s="154" t="n">
        <v>43485</v>
      </c>
      <c r="B5439" s="155" t="s">
        <v>1481</v>
      </c>
      <c r="C5439" s="148" t="str">
        <f aca="false">VLOOKUP($A5439,INSUMOS_AUX!$A$3:$H$813,3,0)</f>
        <v>MAT.</v>
      </c>
      <c r="D5439" s="156" t="s">
        <v>1444</v>
      </c>
      <c r="E5439" s="154" t="n">
        <v>0.2594</v>
      </c>
      <c r="F5439" s="149" t="n">
        <f aca="false">IF(C5439="MAT.",VLOOKUP(A5439,INSUMOS_AUX!$A$3:$H$813,6,0),0)</f>
        <v>1.13</v>
      </c>
      <c r="G5439" s="149" t="n">
        <f aca="false">IF(C5439="M.O.",VLOOKUP(A5439,INSUMOS_AUX!A:F,6,0),0)</f>
        <v>0</v>
      </c>
    </row>
    <row r="5440" customFormat="false" ht="21" hidden="false" customHeight="false" outlineLevel="0" collapsed="false">
      <c r="A5440" s="154" t="n">
        <v>37372</v>
      </c>
      <c r="B5440" s="155" t="s">
        <v>1446</v>
      </c>
      <c r="C5440" s="148" t="str">
        <f aca="false">VLOOKUP($A5440,INSUMOS_AUX!$A$3:$H$813,3,0)</f>
        <v>MAT.</v>
      </c>
      <c r="D5440" s="156" t="s">
        <v>1444</v>
      </c>
      <c r="E5440" s="154" t="n">
        <v>0.4694</v>
      </c>
      <c r="F5440" s="149" t="n">
        <f aca="false">IF(C5440="MAT.",VLOOKUP(A5440,INSUMOS_AUX!$A$3:$H$813,6,0),0)</f>
        <v>1.43</v>
      </c>
      <c r="G5440" s="149" t="n">
        <f aca="false">IF(C5440="M.O.",VLOOKUP(A5440,INSUMOS_AUX!A:F,6,0),0)</f>
        <v>0</v>
      </c>
    </row>
    <row r="5441" customFormat="false" ht="21" hidden="false" customHeight="false" outlineLevel="0" collapsed="false">
      <c r="A5441" s="154" t="n">
        <v>43460</v>
      </c>
      <c r="B5441" s="155" t="s">
        <v>1524</v>
      </c>
      <c r="C5441" s="148" t="str">
        <f aca="false">VLOOKUP($A5441,INSUMOS_AUX!$A$3:$H$813,3,0)</f>
        <v>MAT.</v>
      </c>
      <c r="D5441" s="156" t="s">
        <v>1444</v>
      </c>
      <c r="E5441" s="154" t="n">
        <v>0.21</v>
      </c>
      <c r="F5441" s="149" t="n">
        <f aca="false">IF(C5441="MAT.",VLOOKUP(A5441,INSUMOS_AUX!$A$3:$H$813,6,0),0)</f>
        <v>0.86</v>
      </c>
      <c r="G5441" s="149" t="n">
        <f aca="false">IF(C5441="M.O.",VLOOKUP(A5441,INSUMOS_AUX!A:F,6,0),0)</f>
        <v>0</v>
      </c>
    </row>
    <row r="5442" customFormat="false" ht="21" hidden="false" customHeight="false" outlineLevel="0" collapsed="false">
      <c r="A5442" s="154" t="n">
        <v>43461</v>
      </c>
      <c r="B5442" s="155" t="s">
        <v>1482</v>
      </c>
      <c r="C5442" s="148" t="str">
        <f aca="false">VLOOKUP($A5442,INSUMOS_AUX!$A$3:$H$813,3,0)</f>
        <v>MAT.</v>
      </c>
      <c r="D5442" s="156" t="s">
        <v>1444</v>
      </c>
      <c r="E5442" s="154" t="n">
        <v>0.2594</v>
      </c>
      <c r="F5442" s="149" t="n">
        <f aca="false">IF(C5442="MAT.",VLOOKUP(A5442,INSUMOS_AUX!$A$3:$H$813,6,0),0)</f>
        <v>0.31</v>
      </c>
      <c r="G5442" s="149" t="n">
        <f aca="false">IF(C5442="M.O.",VLOOKUP(A5442,INSUMOS_AUX!A:F,6,0),0)</f>
        <v>0</v>
      </c>
    </row>
    <row r="5443" customFormat="false" ht="21" hidden="false" customHeight="false" outlineLevel="0" collapsed="false">
      <c r="A5443" s="154" t="n">
        <v>37373</v>
      </c>
      <c r="B5443" s="155" t="s">
        <v>1448</v>
      </c>
      <c r="C5443" s="148" t="str">
        <f aca="false">VLOOKUP($A5443,INSUMOS_AUX!$A$3:$H$813,3,0)</f>
        <v>MAT.</v>
      </c>
      <c r="D5443" s="156" t="s">
        <v>1444</v>
      </c>
      <c r="E5443" s="154" t="n">
        <v>0.4694</v>
      </c>
      <c r="F5443" s="149" t="n">
        <f aca="false">IF(C5443="MAT.",VLOOKUP(A5443,INSUMOS_AUX!$A$3:$H$813,6,0),0)</f>
        <v>0.08</v>
      </c>
      <c r="G5443" s="149" t="n">
        <f aca="false">IF(C5443="M.O.",VLOOKUP(A5443,INSUMOS_AUX!A:F,6,0),0)</f>
        <v>0</v>
      </c>
    </row>
    <row r="5444" customFormat="false" ht="21" hidden="false" customHeight="false" outlineLevel="0" collapsed="false">
      <c r="A5444" s="154" t="n">
        <v>37371</v>
      </c>
      <c r="B5444" s="155" t="s">
        <v>1449</v>
      </c>
      <c r="C5444" s="148" t="str">
        <f aca="false">VLOOKUP($A5444,INSUMOS_AUX!$A$3:$H$813,3,0)</f>
        <v>MAT.</v>
      </c>
      <c r="D5444" s="156" t="s">
        <v>1444</v>
      </c>
      <c r="E5444" s="154" t="n">
        <v>0.4694</v>
      </c>
      <c r="F5444" s="149" t="n">
        <f aca="false">IF(C5444="MAT.",VLOOKUP(A5444,INSUMOS_AUX!$A$3:$H$813,6,0),0)</f>
        <v>0.59</v>
      </c>
      <c r="G5444" s="149" t="n">
        <f aca="false">IF(C5444="M.O.",VLOOKUP(A5444,INSUMOS_AUX!A:F,6,0),0)</f>
        <v>0</v>
      </c>
    </row>
    <row r="5445" customFormat="false" ht="21" hidden="false" customHeight="false" outlineLevel="0" collapsed="false">
      <c r="A5445" s="154" t="n">
        <v>392</v>
      </c>
      <c r="B5445" s="155" t="s">
        <v>2386</v>
      </c>
      <c r="C5445" s="148" t="s">
        <v>59</v>
      </c>
      <c r="D5445" s="156" t="s">
        <v>31</v>
      </c>
      <c r="E5445" s="154" t="n">
        <v>1.7857</v>
      </c>
      <c r="F5445" s="149" t="n">
        <f aca="false">IF(C5445="MAT.",VLOOKUP(A5445,INSUMOS_AUX!$A$3:$H$813,6,0),0)</f>
        <v>0</v>
      </c>
      <c r="G5445" s="149" t="n">
        <f aca="false">IF(C5445="M.O.",VLOOKUP(A5445,INSUMOS_AUX!A:F,6,0),0)</f>
        <v>0</v>
      </c>
    </row>
    <row r="5446" customFormat="false" ht="21" hidden="false" customHeight="false" outlineLevel="0" collapsed="false">
      <c r="A5446" s="154" t="n">
        <v>39245</v>
      </c>
      <c r="B5446" s="155" t="s">
        <v>2389</v>
      </c>
      <c r="C5446" s="148" t="str">
        <f aca="false">VLOOKUP($A5446,INSUMOS_AUX!$A$3:$H$813,3,0)</f>
        <v>MAT.</v>
      </c>
      <c r="D5446" s="156" t="s">
        <v>1455</v>
      </c>
      <c r="E5446" s="154" t="n">
        <v>1.1</v>
      </c>
      <c r="F5446" s="149" t="n">
        <f aca="false">IF(C5446="MAT.",VLOOKUP(A5446,INSUMOS_AUX!$A$3:$H$813,6,0),0)</f>
        <v>6.14</v>
      </c>
      <c r="G5446" s="149" t="n">
        <f aca="false">IF(C5446="M.O.",VLOOKUP(A5446,INSUMOS_AUX!A:F,6,0),0)</f>
        <v>0</v>
      </c>
    </row>
    <row r="5447" customFormat="false" ht="15" hidden="false" customHeight="false" outlineLevel="0" collapsed="false">
      <c r="A5447" s="154" t="n">
        <v>247</v>
      </c>
      <c r="B5447" s="155" t="s">
        <v>1554</v>
      </c>
      <c r="C5447" s="148" t="str">
        <f aca="false">VLOOKUP($A5447,INSUMOS_AUX!$A$3:$H$813,3,0)</f>
        <v>M.O.</v>
      </c>
      <c r="D5447" s="156" t="s">
        <v>1444</v>
      </c>
      <c r="E5447" s="154" t="n">
        <v>0.1089186</v>
      </c>
      <c r="F5447" s="149" t="n">
        <f aca="false">IF(C5447="MAT.",VLOOKUP(A5447,INSUMOS_AUX!$A$3:$H$813,6,0),0)</f>
        <v>0</v>
      </c>
      <c r="G5447" s="149" t="n">
        <f aca="false">IF(C5447="M.O.",VLOOKUP(A5447,INSUMOS_AUX!A:F,6,0),0)</f>
        <v>13.26</v>
      </c>
    </row>
    <row r="5448" customFormat="false" ht="15" hidden="false" customHeight="false" outlineLevel="0" collapsed="false">
      <c r="A5448" s="154" t="n">
        <v>246</v>
      </c>
      <c r="B5448" s="155" t="s">
        <v>1752</v>
      </c>
      <c r="C5448" s="148" t="str">
        <f aca="false">VLOOKUP($A5448,INSUMOS_AUX!$A$3:$H$813,3,0)</f>
        <v>M.O.</v>
      </c>
      <c r="D5448" s="156" t="s">
        <v>1444</v>
      </c>
      <c r="E5448" s="154" t="n">
        <v>0.04886304</v>
      </c>
      <c r="F5448" s="149" t="n">
        <f aca="false">IF(C5448="MAT.",VLOOKUP(A5448,INSUMOS_AUX!$A$3:$H$813,6,0),0)</f>
        <v>0</v>
      </c>
      <c r="G5448" s="149" t="n">
        <f aca="false">IF(C5448="M.O.",VLOOKUP(A5448,INSUMOS_AUX!A:F,6,0),0)</f>
        <v>13.26</v>
      </c>
    </row>
    <row r="5449" customFormat="false" ht="15" hidden="false" customHeight="false" outlineLevel="0" collapsed="false">
      <c r="A5449" s="154" t="n">
        <v>2436</v>
      </c>
      <c r="B5449" s="155" t="s">
        <v>1557</v>
      </c>
      <c r="C5449" s="148" t="str">
        <f aca="false">VLOOKUP($A5449,INSUMOS_AUX!$A$3:$H$813,3,0)</f>
        <v>M.O.</v>
      </c>
      <c r="D5449" s="156" t="s">
        <v>1444</v>
      </c>
      <c r="E5449" s="154" t="n">
        <v>0.1089186</v>
      </c>
      <c r="F5449" s="149" t="n">
        <f aca="false">IF(C5449="MAT.",VLOOKUP(A5449,INSUMOS_AUX!$A$3:$H$813,6,0),0)</f>
        <v>0</v>
      </c>
      <c r="G5449" s="149" t="n">
        <f aca="false">IF(C5449="M.O.",VLOOKUP(A5449,INSUMOS_AUX!A:F,6,0),0)</f>
        <v>20.22</v>
      </c>
    </row>
    <row r="5450" customFormat="false" ht="15" hidden="false" customHeight="false" outlineLevel="0" collapsed="false">
      <c r="A5450" s="154" t="n">
        <v>2696</v>
      </c>
      <c r="B5450" s="155" t="s">
        <v>1483</v>
      </c>
      <c r="C5450" s="148" t="str">
        <f aca="false">VLOOKUP($A5450,INSUMOS_AUX!$A$3:$H$813,3,0)</f>
        <v>M.O.</v>
      </c>
      <c r="D5450" s="156" t="s">
        <v>1444</v>
      </c>
      <c r="E5450" s="154" t="n">
        <v>0.215200972</v>
      </c>
      <c r="F5450" s="149" t="n">
        <f aca="false">IF(C5450="MAT.",VLOOKUP(A5450,INSUMOS_AUX!$A$3:$H$813,6,0),0)</f>
        <v>0</v>
      </c>
      <c r="G5450" s="149" t="n">
        <f aca="false">IF(C5450="M.O.",VLOOKUP(A5450,INSUMOS_AUX!A:F,6,0),0)</f>
        <v>20.22</v>
      </c>
    </row>
    <row r="5451" customFormat="false" ht="31.5" hidden="false" customHeight="false" outlineLevel="0" collapsed="false">
      <c r="A5451" s="150" t="n">
        <v>97667</v>
      </c>
      <c r="B5451" s="151" t="s">
        <v>2390</v>
      </c>
      <c r="C5451" s="152" t="s">
        <v>59</v>
      </c>
      <c r="D5451" s="152" t="s">
        <v>1455</v>
      </c>
      <c r="E5451" s="150"/>
      <c r="F5451" s="153" t="n">
        <f aca="false">(SUMPRODUCT($E5452:$E5460,F5452:F5460))*1</f>
        <v>5.028376</v>
      </c>
      <c r="G5451" s="153" t="n">
        <f aca="false">(SUMPRODUCT($E5452:$E5460,G5452:G5460))*1</f>
        <v>0.92432680704</v>
      </c>
    </row>
    <row r="5452" customFormat="false" ht="21" hidden="false" customHeight="false" outlineLevel="0" collapsed="false">
      <c r="A5452" s="154" t="n">
        <v>37370</v>
      </c>
      <c r="B5452" s="155" t="s">
        <v>1443</v>
      </c>
      <c r="C5452" s="148" t="str">
        <f aca="false">VLOOKUP($A5452,INSUMOS_AUX!$A$3:$H$813,3,0)</f>
        <v>MAT.</v>
      </c>
      <c r="D5452" s="156" t="s">
        <v>1444</v>
      </c>
      <c r="E5452" s="154" t="n">
        <v>0.1344</v>
      </c>
      <c r="F5452" s="149" t="n">
        <f aca="false">IF(C5452="MAT.",VLOOKUP(A5452,INSUMOS_AUX!$A$3:$H$813,6,0),0)</f>
        <v>3.32</v>
      </c>
      <c r="G5452" s="149" t="n">
        <f aca="false">IF(C5452="M.O.",VLOOKUP(A5452,INSUMOS_AUX!A:F,6,0),0)</f>
        <v>0</v>
      </c>
    </row>
    <row r="5453" customFormat="false" ht="21" hidden="false" customHeight="false" outlineLevel="0" collapsed="false">
      <c r="A5453" s="154" t="n">
        <v>43484</v>
      </c>
      <c r="B5453" s="155" t="s">
        <v>1523</v>
      </c>
      <c r="C5453" s="148" t="str">
        <f aca="false">VLOOKUP($A5453,INSUMOS_AUX!$A$3:$H$813,3,0)</f>
        <v>MAT.</v>
      </c>
      <c r="D5453" s="156" t="s">
        <v>1444</v>
      </c>
      <c r="E5453" s="154" t="n">
        <v>0.1344</v>
      </c>
      <c r="F5453" s="149" t="n">
        <f aca="false">IF(C5453="MAT.",VLOOKUP(A5453,INSUMOS_AUX!$A$3:$H$813,6,0),0)</f>
        <v>1.26</v>
      </c>
      <c r="G5453" s="149" t="n">
        <f aca="false">IF(C5453="M.O.",VLOOKUP(A5453,INSUMOS_AUX!A:F,6,0),0)</f>
        <v>0</v>
      </c>
    </row>
    <row r="5454" customFormat="false" ht="21" hidden="false" customHeight="false" outlineLevel="0" collapsed="false">
      <c r="A5454" s="154" t="n">
        <v>37372</v>
      </c>
      <c r="B5454" s="155" t="s">
        <v>1446</v>
      </c>
      <c r="C5454" s="148" t="str">
        <f aca="false">VLOOKUP($A5454,INSUMOS_AUX!$A$3:$H$813,3,0)</f>
        <v>MAT.</v>
      </c>
      <c r="D5454" s="156" t="s">
        <v>1444</v>
      </c>
      <c r="E5454" s="154" t="n">
        <v>0.1344</v>
      </c>
      <c r="F5454" s="149" t="n">
        <f aca="false">IF(C5454="MAT.",VLOOKUP(A5454,INSUMOS_AUX!$A$3:$H$813,6,0),0)</f>
        <v>1.43</v>
      </c>
      <c r="G5454" s="149" t="n">
        <f aca="false">IF(C5454="M.O.",VLOOKUP(A5454,INSUMOS_AUX!A:F,6,0),0)</f>
        <v>0</v>
      </c>
    </row>
    <row r="5455" customFormat="false" ht="21" hidden="false" customHeight="false" outlineLevel="0" collapsed="false">
      <c r="A5455" s="154" t="n">
        <v>43460</v>
      </c>
      <c r="B5455" s="155" t="s">
        <v>1524</v>
      </c>
      <c r="C5455" s="148" t="str">
        <f aca="false">VLOOKUP($A5455,INSUMOS_AUX!$A$3:$H$813,3,0)</f>
        <v>MAT.</v>
      </c>
      <c r="D5455" s="156" t="s">
        <v>1444</v>
      </c>
      <c r="E5455" s="154" t="n">
        <v>0.1344</v>
      </c>
      <c r="F5455" s="149" t="n">
        <f aca="false">IF(C5455="MAT.",VLOOKUP(A5455,INSUMOS_AUX!$A$3:$H$813,6,0),0)</f>
        <v>0.86</v>
      </c>
      <c r="G5455" s="149" t="n">
        <f aca="false">IF(C5455="M.O.",VLOOKUP(A5455,INSUMOS_AUX!A:F,6,0),0)</f>
        <v>0</v>
      </c>
    </row>
    <row r="5456" customFormat="false" ht="21" hidden="false" customHeight="false" outlineLevel="0" collapsed="false">
      <c r="A5456" s="154" t="n">
        <v>37373</v>
      </c>
      <c r="B5456" s="155" t="s">
        <v>1448</v>
      </c>
      <c r="C5456" s="148" t="str">
        <f aca="false">VLOOKUP($A5456,INSUMOS_AUX!$A$3:$H$813,3,0)</f>
        <v>MAT.</v>
      </c>
      <c r="D5456" s="156" t="s">
        <v>1444</v>
      </c>
      <c r="E5456" s="154" t="n">
        <v>0.1344</v>
      </c>
      <c r="F5456" s="149" t="n">
        <f aca="false">IF(C5456="MAT.",VLOOKUP(A5456,INSUMOS_AUX!$A$3:$H$813,6,0),0)</f>
        <v>0.08</v>
      </c>
      <c r="G5456" s="149" t="n">
        <f aca="false">IF(C5456="M.O.",VLOOKUP(A5456,INSUMOS_AUX!A:F,6,0),0)</f>
        <v>0</v>
      </c>
    </row>
    <row r="5457" customFormat="false" ht="21" hidden="false" customHeight="false" outlineLevel="0" collapsed="false">
      <c r="A5457" s="154" t="n">
        <v>37371</v>
      </c>
      <c r="B5457" s="155" t="s">
        <v>1449</v>
      </c>
      <c r="C5457" s="148" t="str">
        <f aca="false">VLOOKUP($A5457,INSUMOS_AUX!$A$3:$H$813,3,0)</f>
        <v>MAT.</v>
      </c>
      <c r="D5457" s="156" t="s">
        <v>1444</v>
      </c>
      <c r="E5457" s="154" t="n">
        <v>0.1344</v>
      </c>
      <c r="F5457" s="149" t="n">
        <f aca="false">IF(C5457="MAT.",VLOOKUP(A5457,INSUMOS_AUX!$A$3:$H$813,6,0),0)</f>
        <v>0.59</v>
      </c>
      <c r="G5457" s="149" t="n">
        <f aca="false">IF(C5457="M.O.",VLOOKUP(A5457,INSUMOS_AUX!A:F,6,0),0)</f>
        <v>0</v>
      </c>
    </row>
    <row r="5458" customFormat="false" ht="31.5" hidden="false" customHeight="false" outlineLevel="0" collapsed="false">
      <c r="A5458" s="154" t="n">
        <v>39246</v>
      </c>
      <c r="B5458" s="155" t="s">
        <v>2391</v>
      </c>
      <c r="C5458" s="148" t="str">
        <f aca="false">VLOOKUP($A5458,INSUMOS_AUX!$A$3:$H$813,3,0)</f>
        <v>MAT.</v>
      </c>
      <c r="D5458" s="156" t="s">
        <v>1455</v>
      </c>
      <c r="E5458" s="154" t="n">
        <v>1.1</v>
      </c>
      <c r="F5458" s="149" t="n">
        <f aca="false">IF(C5458="MAT.",VLOOKUP(A5458,INSUMOS_AUX!$A$3:$H$813,6,0),0)</f>
        <v>3.65</v>
      </c>
      <c r="G5458" s="149" t="n">
        <f aca="false">IF(C5458="M.O.",VLOOKUP(A5458,INSUMOS_AUX!A:F,6,0),0)</f>
        <v>0</v>
      </c>
    </row>
    <row r="5459" customFormat="false" ht="15" hidden="false" customHeight="false" outlineLevel="0" collapsed="false">
      <c r="A5459" s="154" t="n">
        <v>247</v>
      </c>
      <c r="B5459" s="155" t="s">
        <v>1554</v>
      </c>
      <c r="C5459" s="148" t="str">
        <f aca="false">VLOOKUP($A5459,INSUMOS_AUX!$A$3:$H$813,3,0)</f>
        <v>M.O.</v>
      </c>
      <c r="D5459" s="156" t="s">
        <v>1444</v>
      </c>
      <c r="E5459" s="154" t="n">
        <v>0.069707904</v>
      </c>
      <c r="F5459" s="149" t="n">
        <f aca="false">IF(C5459="MAT.",VLOOKUP(A5459,INSUMOS_AUX!$A$3:$H$813,6,0),0)</f>
        <v>0</v>
      </c>
      <c r="G5459" s="149" t="n">
        <f aca="false">IF(C5459="M.O.",VLOOKUP(A5459,INSUMOS_AUX!A:F,6,0),0)</f>
        <v>13.26</v>
      </c>
    </row>
    <row r="5460" customFormat="false" ht="15" hidden="false" customHeight="false" outlineLevel="0" collapsed="false">
      <c r="A5460" s="154" t="n">
        <v>2436</v>
      </c>
      <c r="B5460" s="155" t="s">
        <v>1557</v>
      </c>
      <c r="C5460" s="148" t="s">
        <v>59</v>
      </c>
      <c r="D5460" s="156" t="s">
        <v>1444</v>
      </c>
      <c r="E5460" s="154" t="n">
        <v>0.069707904</v>
      </c>
      <c r="F5460" s="149" t="n">
        <f aca="false">IF(C5460="MAT.",VLOOKUP(A5460,INSUMOS_AUX!$A$3:$H$813,6,0),0)</f>
        <v>0</v>
      </c>
      <c r="G5460" s="149" t="n">
        <f aca="false">IF(C5460="M.O.",VLOOKUP(A5460,INSUMOS_AUX!A:F,6,0),0)</f>
        <v>0</v>
      </c>
    </row>
    <row r="5461" customFormat="false" ht="31.5" hidden="false" customHeight="false" outlineLevel="0" collapsed="false">
      <c r="A5461" s="150" t="n">
        <v>91840</v>
      </c>
      <c r="B5461" s="151" t="s">
        <v>2392</v>
      </c>
      <c r="C5461" s="152" t="s">
        <v>59</v>
      </c>
      <c r="D5461" s="152" t="s">
        <v>1455</v>
      </c>
      <c r="E5461" s="150"/>
      <c r="F5461" s="153" t="n">
        <f aca="false">(SUMPRODUCT($E5462:$E5475,F5462:F5475))*1</f>
        <v>9.530545</v>
      </c>
      <c r="G5461" s="153" t="n">
        <f aca="false">(SUMPRODUCT($E5462:$E5475,G5462:G5475))*1</f>
        <v>9.27101281704</v>
      </c>
    </row>
    <row r="5462" customFormat="false" ht="21" hidden="false" customHeight="false" outlineLevel="0" collapsed="false">
      <c r="A5462" s="154" t="n">
        <v>37370</v>
      </c>
      <c r="B5462" s="155" t="s">
        <v>1443</v>
      </c>
      <c r="C5462" s="148" t="str">
        <f aca="false">VLOOKUP($A5462,INSUMOS_AUX!$A$3:$H$813,3,0)</f>
        <v>MAT.</v>
      </c>
      <c r="D5462" s="156" t="s">
        <v>1444</v>
      </c>
      <c r="E5462" s="154" t="n">
        <v>0.5054</v>
      </c>
      <c r="F5462" s="149" t="n">
        <f aca="false">IF(C5462="MAT.",VLOOKUP(A5462,INSUMOS_AUX!$A$3:$H$813,6,0),0)</f>
        <v>3.32</v>
      </c>
      <c r="G5462" s="149" t="n">
        <f aca="false">IF(C5462="M.O.",VLOOKUP(A5462,INSUMOS_AUX!A:F,6,0),0)</f>
        <v>0</v>
      </c>
    </row>
    <row r="5463" customFormat="false" ht="21" hidden="false" customHeight="false" outlineLevel="0" collapsed="false">
      <c r="A5463" s="154" t="n">
        <v>43484</v>
      </c>
      <c r="B5463" s="155" t="s">
        <v>1523</v>
      </c>
      <c r="C5463" s="148" t="str">
        <f aca="false">VLOOKUP($A5463,INSUMOS_AUX!$A$3:$H$813,3,0)</f>
        <v>MAT.</v>
      </c>
      <c r="D5463" s="156" t="s">
        <v>1444</v>
      </c>
      <c r="E5463" s="154" t="n">
        <v>0.246</v>
      </c>
      <c r="F5463" s="149" t="n">
        <f aca="false">IF(C5463="MAT.",VLOOKUP(A5463,INSUMOS_AUX!$A$3:$H$813,6,0),0)</f>
        <v>1.26</v>
      </c>
      <c r="G5463" s="149" t="n">
        <f aca="false">IF(C5463="M.O.",VLOOKUP(A5463,INSUMOS_AUX!A:F,6,0),0)</f>
        <v>0</v>
      </c>
    </row>
    <row r="5464" customFormat="false" ht="21" hidden="false" customHeight="false" outlineLevel="0" collapsed="false">
      <c r="A5464" s="154" t="n">
        <v>43485</v>
      </c>
      <c r="B5464" s="155" t="s">
        <v>1481</v>
      </c>
      <c r="C5464" s="148" t="str">
        <f aca="false">VLOOKUP($A5464,INSUMOS_AUX!$A$3:$H$813,3,0)</f>
        <v>MAT.</v>
      </c>
      <c r="D5464" s="156" t="s">
        <v>1444</v>
      </c>
      <c r="E5464" s="154" t="n">
        <v>0.2594</v>
      </c>
      <c r="F5464" s="149" t="n">
        <f aca="false">IF(C5464="MAT.",VLOOKUP(A5464,INSUMOS_AUX!$A$3:$H$813,6,0),0)</f>
        <v>1.13</v>
      </c>
      <c r="G5464" s="149" t="n">
        <f aca="false">IF(C5464="M.O.",VLOOKUP(A5464,INSUMOS_AUX!A:F,6,0),0)</f>
        <v>0</v>
      </c>
    </row>
    <row r="5465" customFormat="false" ht="21" hidden="false" customHeight="false" outlineLevel="0" collapsed="false">
      <c r="A5465" s="154" t="n">
        <v>37372</v>
      </c>
      <c r="B5465" s="155" t="s">
        <v>1446</v>
      </c>
      <c r="C5465" s="148" t="str">
        <f aca="false">VLOOKUP($A5465,INSUMOS_AUX!$A$3:$H$813,3,0)</f>
        <v>MAT.</v>
      </c>
      <c r="D5465" s="156" t="s">
        <v>1444</v>
      </c>
      <c r="E5465" s="154" t="n">
        <v>0.5054</v>
      </c>
      <c r="F5465" s="149" t="n">
        <f aca="false">IF(C5465="MAT.",VLOOKUP(A5465,INSUMOS_AUX!$A$3:$H$813,6,0),0)</f>
        <v>1.43</v>
      </c>
      <c r="G5465" s="149" t="n">
        <f aca="false">IF(C5465="M.O.",VLOOKUP(A5465,INSUMOS_AUX!A:F,6,0),0)</f>
        <v>0</v>
      </c>
    </row>
    <row r="5466" customFormat="false" ht="21" hidden="false" customHeight="false" outlineLevel="0" collapsed="false">
      <c r="A5466" s="154" t="n">
        <v>43460</v>
      </c>
      <c r="B5466" s="155" t="s">
        <v>1524</v>
      </c>
      <c r="C5466" s="148" t="str">
        <f aca="false">VLOOKUP($A5466,INSUMOS_AUX!$A$3:$H$813,3,0)</f>
        <v>MAT.</v>
      </c>
      <c r="D5466" s="156" t="s">
        <v>1444</v>
      </c>
      <c r="E5466" s="154" t="n">
        <v>0.246</v>
      </c>
      <c r="F5466" s="149" t="n">
        <f aca="false">IF(C5466="MAT.",VLOOKUP(A5466,INSUMOS_AUX!$A$3:$H$813,6,0),0)</f>
        <v>0.86</v>
      </c>
      <c r="G5466" s="149" t="n">
        <f aca="false">IF(C5466="M.O.",VLOOKUP(A5466,INSUMOS_AUX!A:F,6,0),0)</f>
        <v>0</v>
      </c>
    </row>
    <row r="5467" customFormat="false" ht="21" hidden="false" customHeight="false" outlineLevel="0" collapsed="false">
      <c r="A5467" s="154" t="n">
        <v>43461</v>
      </c>
      <c r="B5467" s="155" t="s">
        <v>1482</v>
      </c>
      <c r="C5467" s="148" t="str">
        <f aca="false">VLOOKUP($A5467,INSUMOS_AUX!$A$3:$H$813,3,0)</f>
        <v>MAT.</v>
      </c>
      <c r="D5467" s="156" t="s">
        <v>1444</v>
      </c>
      <c r="E5467" s="154" t="n">
        <v>0.2594</v>
      </c>
      <c r="F5467" s="149" t="n">
        <f aca="false">IF(C5467="MAT.",VLOOKUP(A5467,INSUMOS_AUX!$A$3:$H$813,6,0),0)</f>
        <v>0.31</v>
      </c>
      <c r="G5467" s="149" t="n">
        <f aca="false">IF(C5467="M.O.",VLOOKUP(A5467,INSUMOS_AUX!A:F,6,0),0)</f>
        <v>0</v>
      </c>
    </row>
    <row r="5468" customFormat="false" ht="21" hidden="false" customHeight="false" outlineLevel="0" collapsed="false">
      <c r="A5468" s="154" t="n">
        <v>37373</v>
      </c>
      <c r="B5468" s="155" t="s">
        <v>1448</v>
      </c>
      <c r="C5468" s="148" t="str">
        <f aca="false">VLOOKUP($A5468,INSUMOS_AUX!$A$3:$H$813,3,0)</f>
        <v>MAT.</v>
      </c>
      <c r="D5468" s="156" t="s">
        <v>1444</v>
      </c>
      <c r="E5468" s="154" t="n">
        <v>0.5054</v>
      </c>
      <c r="F5468" s="149" t="n">
        <f aca="false">IF(C5468="MAT.",VLOOKUP(A5468,INSUMOS_AUX!$A$3:$H$813,6,0),0)</f>
        <v>0.08</v>
      </c>
      <c r="G5468" s="149" t="n">
        <f aca="false">IF(C5468="M.O.",VLOOKUP(A5468,INSUMOS_AUX!A:F,6,0),0)</f>
        <v>0</v>
      </c>
    </row>
    <row r="5469" customFormat="false" ht="21" hidden="false" customHeight="false" outlineLevel="0" collapsed="false">
      <c r="A5469" s="154" t="n">
        <v>37371</v>
      </c>
      <c r="B5469" s="155" t="s">
        <v>1449</v>
      </c>
      <c r="C5469" s="148" t="s">
        <v>59</v>
      </c>
      <c r="D5469" s="156" t="s">
        <v>1444</v>
      </c>
      <c r="E5469" s="154" t="n">
        <v>0.5054</v>
      </c>
      <c r="F5469" s="149" t="n">
        <f aca="false">IF(C5469="MAT.",VLOOKUP(A5469,INSUMOS_AUX!$A$3:$H$813,6,0),0)</f>
        <v>0</v>
      </c>
      <c r="G5469" s="149" t="n">
        <f aca="false">IF(C5469="M.O.",VLOOKUP(A5469,INSUMOS_AUX!A:F,6,0),0)</f>
        <v>0</v>
      </c>
    </row>
    <row r="5470" customFormat="false" ht="21" hidden="false" customHeight="false" outlineLevel="0" collapsed="false">
      <c r="A5470" s="154" t="n">
        <v>392</v>
      </c>
      <c r="B5470" s="155" t="s">
        <v>2386</v>
      </c>
      <c r="C5470" s="148" t="str">
        <f aca="false">VLOOKUP($A5470,INSUMOS_AUX!$A$3:$H$813,3,0)</f>
        <v>MAT.</v>
      </c>
      <c r="D5470" s="156" t="s">
        <v>31</v>
      </c>
      <c r="E5470" s="154" t="n">
        <v>1.7857</v>
      </c>
      <c r="F5470" s="149" t="n">
        <f aca="false">IF(C5470="MAT.",VLOOKUP(A5470,INSUMOS_AUX!$A$3:$H$813,6,0),0)</f>
        <v>1.51</v>
      </c>
      <c r="G5470" s="149" t="n">
        <f aca="false">IF(C5470="M.O.",VLOOKUP(A5470,INSUMOS_AUX!A:F,6,0),0)</f>
        <v>0</v>
      </c>
    </row>
    <row r="5471" customFormat="false" ht="31.5" hidden="false" customHeight="false" outlineLevel="0" collapsed="false">
      <c r="A5471" s="154" t="n">
        <v>39247</v>
      </c>
      <c r="B5471" s="155" t="s">
        <v>2393</v>
      </c>
      <c r="C5471" s="148" t="str">
        <f aca="false">VLOOKUP($A5471,INSUMOS_AUX!$A$3:$H$813,3,0)</f>
        <v>MAT.</v>
      </c>
      <c r="D5471" s="156" t="s">
        <v>1455</v>
      </c>
      <c r="E5471" s="154" t="n">
        <v>1.1</v>
      </c>
      <c r="F5471" s="149" t="n">
        <f aca="false">IF(C5471="MAT.",VLOOKUP(A5471,INSUMOS_AUX!$A$3:$H$813,6,0),0)</f>
        <v>3.18</v>
      </c>
      <c r="G5471" s="149" t="n">
        <f aca="false">IF(C5471="M.O.",VLOOKUP(A5471,INSUMOS_AUX!A:F,6,0),0)</f>
        <v>0</v>
      </c>
    </row>
    <row r="5472" customFormat="false" ht="15" hidden="false" customHeight="false" outlineLevel="0" collapsed="false">
      <c r="A5472" s="154" t="n">
        <v>247</v>
      </c>
      <c r="B5472" s="155" t="s">
        <v>1554</v>
      </c>
      <c r="C5472" s="148" t="str">
        <f aca="false">VLOOKUP($A5472,INSUMOS_AUX!$A$3:$H$813,3,0)</f>
        <v>M.O.</v>
      </c>
      <c r="D5472" s="156" t="s">
        <v>1444</v>
      </c>
      <c r="E5472" s="154" t="n">
        <v>0.12759036</v>
      </c>
      <c r="F5472" s="149" t="n">
        <f aca="false">IF(C5472="MAT.",VLOOKUP(A5472,INSUMOS_AUX!$A$3:$H$813,6,0),0)</f>
        <v>0</v>
      </c>
      <c r="G5472" s="149" t="n">
        <f aca="false">IF(C5472="M.O.",VLOOKUP(A5472,INSUMOS_AUX!A:F,6,0),0)</f>
        <v>13.26</v>
      </c>
    </row>
    <row r="5473" customFormat="false" ht="15" hidden="false" customHeight="false" outlineLevel="0" collapsed="false">
      <c r="A5473" s="154" t="n">
        <v>246</v>
      </c>
      <c r="B5473" s="155" t="s">
        <v>1752</v>
      </c>
      <c r="C5473" s="148" t="str">
        <f aca="false">VLOOKUP($A5473,INSUMOS_AUX!$A$3:$H$813,3,0)</f>
        <v>M.O.</v>
      </c>
      <c r="D5473" s="156" t="s">
        <v>1444</v>
      </c>
      <c r="E5473" s="154" t="n">
        <v>0.04886304</v>
      </c>
      <c r="F5473" s="149" t="n">
        <f aca="false">IF(C5473="MAT.",VLOOKUP(A5473,INSUMOS_AUX!$A$3:$H$813,6,0),0)</f>
        <v>0</v>
      </c>
      <c r="G5473" s="149" t="n">
        <f aca="false">IF(C5473="M.O.",VLOOKUP(A5473,INSUMOS_AUX!A:F,6,0),0)</f>
        <v>13.26</v>
      </c>
    </row>
    <row r="5474" customFormat="false" ht="15" hidden="false" customHeight="false" outlineLevel="0" collapsed="false">
      <c r="A5474" s="154" t="n">
        <v>2436</v>
      </c>
      <c r="B5474" s="155" t="s">
        <v>1557</v>
      </c>
      <c r="C5474" s="148" t="str">
        <f aca="false">VLOOKUP($A5474,INSUMOS_AUX!$A$3:$H$813,3,0)</f>
        <v>M.O.</v>
      </c>
      <c r="D5474" s="156" t="s">
        <v>1444</v>
      </c>
      <c r="E5474" s="154" t="n">
        <v>0.12759036</v>
      </c>
      <c r="F5474" s="149" t="n">
        <f aca="false">IF(C5474="MAT.",VLOOKUP(A5474,INSUMOS_AUX!$A$3:$H$813,6,0),0)</f>
        <v>0</v>
      </c>
      <c r="G5474" s="149" t="n">
        <f aca="false">IF(C5474="M.O.",VLOOKUP(A5474,INSUMOS_AUX!A:F,6,0),0)</f>
        <v>20.22</v>
      </c>
    </row>
    <row r="5475" customFormat="false" ht="15" hidden="false" customHeight="false" outlineLevel="0" collapsed="false">
      <c r="A5475" s="154" t="n">
        <v>2696</v>
      </c>
      <c r="B5475" s="155" t="s">
        <v>1483</v>
      </c>
      <c r="C5475" s="148" t="str">
        <f aca="false">VLOOKUP($A5475,INSUMOS_AUX!$A$3:$H$813,3,0)</f>
        <v>M.O.</v>
      </c>
      <c r="D5475" s="156" t="s">
        <v>1444</v>
      </c>
      <c r="E5475" s="154" t="n">
        <v>0.215200972</v>
      </c>
      <c r="F5475" s="149" t="n">
        <f aca="false">IF(C5475="MAT.",VLOOKUP(A5475,INSUMOS_AUX!$A$3:$H$813,6,0),0)</f>
        <v>0</v>
      </c>
      <c r="G5475" s="149" t="n">
        <f aca="false">IF(C5475="M.O.",VLOOKUP(A5475,INSUMOS_AUX!A:F,6,0),0)</f>
        <v>20.22</v>
      </c>
    </row>
    <row r="5476" customFormat="false" ht="31.5" hidden="false" customHeight="false" outlineLevel="0" collapsed="false">
      <c r="A5476" s="150" t="n">
        <v>97668</v>
      </c>
      <c r="B5476" s="151" t="s">
        <v>2394</v>
      </c>
      <c r="C5476" s="152" t="s">
        <v>59</v>
      </c>
      <c r="D5476" s="152" t="s">
        <v>1455</v>
      </c>
      <c r="E5476" s="150"/>
      <c r="F5476" s="153" t="n">
        <f aca="false">(SUMPRODUCT($E5477:$E5485,F5477:F5485))*1</f>
        <v>6.95092</v>
      </c>
      <c r="G5476" s="153" t="n">
        <f aca="false">(SUMPRODUCT($E5477:$E5485,G5477:G5485))*1</f>
        <v>3.2819352552</v>
      </c>
    </row>
    <row r="5477" customFormat="false" ht="21" hidden="false" customHeight="false" outlineLevel="0" collapsed="false">
      <c r="A5477" s="154" t="n">
        <v>37370</v>
      </c>
      <c r="B5477" s="155" t="s">
        <v>1443</v>
      </c>
      <c r="C5477" s="148" t="str">
        <f aca="false">VLOOKUP($A5477,INSUMOS_AUX!$A$3:$H$813,3,0)</f>
        <v>MAT.</v>
      </c>
      <c r="D5477" s="156" t="s">
        <v>1444</v>
      </c>
      <c r="E5477" s="154" t="n">
        <v>0.189</v>
      </c>
      <c r="F5477" s="149" t="n">
        <f aca="false">IF(C5477="MAT.",VLOOKUP(A5477,INSUMOS_AUX!$A$3:$H$813,6,0),0)</f>
        <v>3.32</v>
      </c>
      <c r="G5477" s="149" t="n">
        <f aca="false">IF(C5477="M.O.",VLOOKUP(A5477,INSUMOS_AUX!A:F,6,0),0)</f>
        <v>0</v>
      </c>
    </row>
    <row r="5478" customFormat="false" ht="21" hidden="false" customHeight="false" outlineLevel="0" collapsed="false">
      <c r="A5478" s="154" t="n">
        <v>43484</v>
      </c>
      <c r="B5478" s="155" t="s">
        <v>1523</v>
      </c>
      <c r="C5478" s="148" t="s">
        <v>59</v>
      </c>
      <c r="D5478" s="156" t="s">
        <v>1444</v>
      </c>
      <c r="E5478" s="154" t="n">
        <v>0.189</v>
      </c>
      <c r="F5478" s="149" t="n">
        <f aca="false">IF(C5478="MAT.",VLOOKUP(A5478,INSUMOS_AUX!$A$3:$H$813,6,0),0)</f>
        <v>0</v>
      </c>
      <c r="G5478" s="149" t="n">
        <f aca="false">IF(C5478="M.O.",VLOOKUP(A5478,INSUMOS_AUX!A:F,6,0),0)</f>
        <v>0</v>
      </c>
    </row>
    <row r="5479" customFormat="false" ht="21" hidden="false" customHeight="false" outlineLevel="0" collapsed="false">
      <c r="A5479" s="154" t="n">
        <v>37372</v>
      </c>
      <c r="B5479" s="155" t="s">
        <v>1446</v>
      </c>
      <c r="C5479" s="148" t="str">
        <f aca="false">VLOOKUP($A5479,INSUMOS_AUX!$A$3:$H$813,3,0)</f>
        <v>MAT.</v>
      </c>
      <c r="D5479" s="156" t="s">
        <v>1444</v>
      </c>
      <c r="E5479" s="154" t="n">
        <v>0.189</v>
      </c>
      <c r="F5479" s="149" t="n">
        <f aca="false">IF(C5479="MAT.",VLOOKUP(A5479,INSUMOS_AUX!$A$3:$H$813,6,0),0)</f>
        <v>1.43</v>
      </c>
      <c r="G5479" s="149" t="n">
        <f aca="false">IF(C5479="M.O.",VLOOKUP(A5479,INSUMOS_AUX!A:F,6,0),0)</f>
        <v>0</v>
      </c>
    </row>
    <row r="5480" customFormat="false" ht="21" hidden="false" customHeight="false" outlineLevel="0" collapsed="false">
      <c r="A5480" s="154" t="n">
        <v>43460</v>
      </c>
      <c r="B5480" s="155" t="s">
        <v>1524</v>
      </c>
      <c r="C5480" s="148" t="str">
        <f aca="false">VLOOKUP($A5480,INSUMOS_AUX!$A$3:$H$813,3,0)</f>
        <v>MAT.</v>
      </c>
      <c r="D5480" s="156" t="s">
        <v>1444</v>
      </c>
      <c r="E5480" s="154" t="n">
        <v>0.189</v>
      </c>
      <c r="F5480" s="149" t="n">
        <f aca="false">IF(C5480="MAT.",VLOOKUP(A5480,INSUMOS_AUX!$A$3:$H$813,6,0),0)</f>
        <v>0.86</v>
      </c>
      <c r="G5480" s="149" t="n">
        <f aca="false">IF(C5480="M.O.",VLOOKUP(A5480,INSUMOS_AUX!A:F,6,0),0)</f>
        <v>0</v>
      </c>
    </row>
    <row r="5481" customFormat="false" ht="21" hidden="false" customHeight="false" outlineLevel="0" collapsed="false">
      <c r="A5481" s="154" t="n">
        <v>37373</v>
      </c>
      <c r="B5481" s="155" t="s">
        <v>1448</v>
      </c>
      <c r="C5481" s="148" t="str">
        <f aca="false">VLOOKUP($A5481,INSUMOS_AUX!$A$3:$H$813,3,0)</f>
        <v>MAT.</v>
      </c>
      <c r="D5481" s="156" t="s">
        <v>1444</v>
      </c>
      <c r="E5481" s="154" t="n">
        <v>0.189</v>
      </c>
      <c r="F5481" s="149" t="n">
        <f aca="false">IF(C5481="MAT.",VLOOKUP(A5481,INSUMOS_AUX!$A$3:$H$813,6,0),0)</f>
        <v>0.08</v>
      </c>
      <c r="G5481" s="149" t="n">
        <f aca="false">IF(C5481="M.O.",VLOOKUP(A5481,INSUMOS_AUX!A:F,6,0),0)</f>
        <v>0</v>
      </c>
    </row>
    <row r="5482" customFormat="false" ht="21" hidden="false" customHeight="false" outlineLevel="0" collapsed="false">
      <c r="A5482" s="154" t="n">
        <v>37371</v>
      </c>
      <c r="B5482" s="155" t="s">
        <v>1449</v>
      </c>
      <c r="C5482" s="148" t="str">
        <f aca="false">VLOOKUP($A5482,INSUMOS_AUX!$A$3:$H$813,3,0)</f>
        <v>MAT.</v>
      </c>
      <c r="D5482" s="156" t="s">
        <v>1444</v>
      </c>
      <c r="E5482" s="154" t="n">
        <v>0.189</v>
      </c>
      <c r="F5482" s="149" t="n">
        <f aca="false">IF(C5482="MAT.",VLOOKUP(A5482,INSUMOS_AUX!$A$3:$H$813,6,0),0)</f>
        <v>0.59</v>
      </c>
      <c r="G5482" s="149" t="n">
        <f aca="false">IF(C5482="M.O.",VLOOKUP(A5482,INSUMOS_AUX!A:F,6,0),0)</f>
        <v>0</v>
      </c>
    </row>
    <row r="5483" customFormat="false" ht="31.5" hidden="false" customHeight="false" outlineLevel="0" collapsed="false">
      <c r="A5483" s="154" t="n">
        <v>2446</v>
      </c>
      <c r="B5483" s="155" t="s">
        <v>2395</v>
      </c>
      <c r="C5483" s="148" t="str">
        <f aca="false">VLOOKUP($A5483,INSUMOS_AUX!$A$3:$H$813,3,0)</f>
        <v>MAT.</v>
      </c>
      <c r="D5483" s="156" t="s">
        <v>1455</v>
      </c>
      <c r="E5483" s="154" t="n">
        <v>1.1</v>
      </c>
      <c r="F5483" s="149" t="n">
        <f aca="false">IF(C5483="MAT.",VLOOKUP(A5483,INSUMOS_AUX!$A$3:$H$813,6,0),0)</f>
        <v>5.24</v>
      </c>
      <c r="G5483" s="149" t="n">
        <f aca="false">IF(C5483="M.O.",VLOOKUP(A5483,INSUMOS_AUX!A:F,6,0),0)</f>
        <v>0</v>
      </c>
    </row>
    <row r="5484" customFormat="false" ht="15" hidden="false" customHeight="false" outlineLevel="0" collapsed="false">
      <c r="A5484" s="154" t="n">
        <v>247</v>
      </c>
      <c r="B5484" s="155" t="s">
        <v>1554</v>
      </c>
      <c r="C5484" s="148" t="str">
        <f aca="false">VLOOKUP($A5484,INSUMOS_AUX!$A$3:$H$813,3,0)</f>
        <v>M.O.</v>
      </c>
      <c r="D5484" s="156" t="s">
        <v>1444</v>
      </c>
      <c r="E5484" s="154" t="n">
        <v>0.09802674</v>
      </c>
      <c r="F5484" s="149" t="n">
        <f aca="false">IF(C5484="MAT.",VLOOKUP(A5484,INSUMOS_AUX!$A$3:$H$813,6,0),0)</f>
        <v>0</v>
      </c>
      <c r="G5484" s="149" t="n">
        <f aca="false">IF(C5484="M.O.",VLOOKUP(A5484,INSUMOS_AUX!A:F,6,0),0)</f>
        <v>13.26</v>
      </c>
    </row>
    <row r="5485" customFormat="false" ht="15" hidden="false" customHeight="false" outlineLevel="0" collapsed="false">
      <c r="A5485" s="154" t="n">
        <v>2436</v>
      </c>
      <c r="B5485" s="155" t="s">
        <v>1557</v>
      </c>
      <c r="C5485" s="148" t="str">
        <f aca="false">VLOOKUP($A5485,INSUMOS_AUX!$A$3:$H$813,3,0)</f>
        <v>M.O.</v>
      </c>
      <c r="D5485" s="156" t="s">
        <v>1444</v>
      </c>
      <c r="E5485" s="154" t="n">
        <v>0.09802674</v>
      </c>
      <c r="F5485" s="149" t="n">
        <f aca="false">IF(C5485="MAT.",VLOOKUP(A5485,INSUMOS_AUX!$A$3:$H$813,6,0),0)</f>
        <v>0</v>
      </c>
      <c r="G5485" s="149" t="n">
        <f aca="false">IF(C5485="M.O.",VLOOKUP(A5485,INSUMOS_AUX!A:F,6,0),0)</f>
        <v>20.22</v>
      </c>
    </row>
    <row r="5486" customFormat="false" ht="31.5" hidden="false" customHeight="false" outlineLevel="0" collapsed="false">
      <c r="A5486" s="150" t="s">
        <v>914</v>
      </c>
      <c r="B5486" s="151" t="s">
        <v>2396</v>
      </c>
      <c r="C5486" s="152" t="s">
        <v>59</v>
      </c>
      <c r="D5486" s="152" t="s">
        <v>1455</v>
      </c>
      <c r="E5486" s="150"/>
      <c r="F5486" s="153" t="n">
        <f aca="false">(SUMPRODUCT($E5487:$E5495,F5487:F5495))*1</f>
        <v>12.6233166666667</v>
      </c>
      <c r="G5486" s="153" t="n">
        <f aca="false">(SUMPRODUCT($E5487:$E5495,G5487:G5495))*1</f>
        <v>3.2819352552</v>
      </c>
    </row>
    <row r="5487" customFormat="false" ht="21" hidden="false" customHeight="false" outlineLevel="0" collapsed="false">
      <c r="A5487" s="154" t="n">
        <v>37370</v>
      </c>
      <c r="B5487" s="155" t="s">
        <v>1443</v>
      </c>
      <c r="C5487" s="148" t="str">
        <f aca="false">VLOOKUP($A5487,INSUMOS_AUX!$A$3:$H$813,3,0)</f>
        <v>MAT.</v>
      </c>
      <c r="D5487" s="156" t="s">
        <v>1444</v>
      </c>
      <c r="E5487" s="154" t="n">
        <v>0.189</v>
      </c>
      <c r="F5487" s="149" t="n">
        <f aca="false">IF(C5487="MAT.",VLOOKUP(A5487,INSUMOS_AUX!$A$3:$H$813,6,0),0)</f>
        <v>3.32</v>
      </c>
      <c r="G5487" s="149" t="n">
        <f aca="false">IF(C5487="M.O.",VLOOKUP(A5487,INSUMOS_AUX!A:F,6,0),0)</f>
        <v>0</v>
      </c>
    </row>
    <row r="5488" customFormat="false" ht="21" hidden="false" customHeight="false" outlineLevel="0" collapsed="false">
      <c r="A5488" s="154" t="n">
        <v>43484</v>
      </c>
      <c r="B5488" s="155" t="s">
        <v>1523</v>
      </c>
      <c r="C5488" s="148" t="str">
        <f aca="false">VLOOKUP($A5488,INSUMOS_AUX!$A$3:$H$813,3,0)</f>
        <v>MAT.</v>
      </c>
      <c r="D5488" s="156" t="s">
        <v>1444</v>
      </c>
      <c r="E5488" s="154" t="n">
        <v>0.189</v>
      </c>
      <c r="F5488" s="149" t="n">
        <f aca="false">IF(C5488="MAT.",VLOOKUP(A5488,INSUMOS_AUX!$A$3:$H$813,6,0),0)</f>
        <v>1.26</v>
      </c>
      <c r="G5488" s="149" t="n">
        <f aca="false">IF(C5488="M.O.",VLOOKUP(A5488,INSUMOS_AUX!A:F,6,0),0)</f>
        <v>0</v>
      </c>
    </row>
    <row r="5489" customFormat="false" ht="21" hidden="false" customHeight="false" outlineLevel="0" collapsed="false">
      <c r="A5489" s="154" t="n">
        <v>37372</v>
      </c>
      <c r="B5489" s="155" t="s">
        <v>1446</v>
      </c>
      <c r="C5489" s="148" t="s">
        <v>59</v>
      </c>
      <c r="D5489" s="156" t="s">
        <v>1444</v>
      </c>
      <c r="E5489" s="154" t="n">
        <v>0.189</v>
      </c>
      <c r="F5489" s="149" t="n">
        <f aca="false">IF(C5489="MAT.",VLOOKUP(A5489,INSUMOS_AUX!$A$3:$H$813,6,0),0)</f>
        <v>0</v>
      </c>
      <c r="G5489" s="149" t="n">
        <f aca="false">IF(C5489="M.O.",VLOOKUP(A5489,INSUMOS_AUX!A:F,6,0),0)</f>
        <v>0</v>
      </c>
    </row>
    <row r="5490" customFormat="false" ht="21" hidden="false" customHeight="false" outlineLevel="0" collapsed="false">
      <c r="A5490" s="154" t="n">
        <v>43460</v>
      </c>
      <c r="B5490" s="155" t="s">
        <v>1524</v>
      </c>
      <c r="C5490" s="148" t="str">
        <f aca="false">VLOOKUP($A5490,INSUMOS_AUX!$A$3:$H$813,3,0)</f>
        <v>MAT.</v>
      </c>
      <c r="D5490" s="156" t="s">
        <v>1444</v>
      </c>
      <c r="E5490" s="154" t="n">
        <v>0.189</v>
      </c>
      <c r="F5490" s="149" t="n">
        <f aca="false">IF(C5490="MAT.",VLOOKUP(A5490,INSUMOS_AUX!$A$3:$H$813,6,0),0)</f>
        <v>0.86</v>
      </c>
      <c r="G5490" s="149" t="n">
        <f aca="false">IF(C5490="M.O.",VLOOKUP(A5490,INSUMOS_AUX!A:F,6,0),0)</f>
        <v>0</v>
      </c>
    </row>
    <row r="5491" customFormat="false" ht="21" hidden="false" customHeight="false" outlineLevel="0" collapsed="false">
      <c r="A5491" s="154" t="n">
        <v>37373</v>
      </c>
      <c r="B5491" s="155" t="s">
        <v>1448</v>
      </c>
      <c r="C5491" s="148" t="str">
        <f aca="false">VLOOKUP($A5491,INSUMOS_AUX!$A$3:$H$813,3,0)</f>
        <v>MAT.</v>
      </c>
      <c r="D5491" s="156" t="s">
        <v>1444</v>
      </c>
      <c r="E5491" s="154" t="n">
        <v>0.189</v>
      </c>
      <c r="F5491" s="149" t="n">
        <f aca="false">IF(C5491="MAT.",VLOOKUP(A5491,INSUMOS_AUX!$A$3:$H$813,6,0),0)</f>
        <v>0.08</v>
      </c>
      <c r="G5491" s="149" t="n">
        <f aca="false">IF(C5491="M.O.",VLOOKUP(A5491,INSUMOS_AUX!A:F,6,0),0)</f>
        <v>0</v>
      </c>
    </row>
    <row r="5492" customFormat="false" ht="21" hidden="false" customHeight="false" outlineLevel="0" collapsed="false">
      <c r="A5492" s="154" t="n">
        <v>37371</v>
      </c>
      <c r="B5492" s="155" t="s">
        <v>1449</v>
      </c>
      <c r="C5492" s="148" t="str">
        <f aca="false">VLOOKUP($A5492,INSUMOS_AUX!$A$3:$H$813,3,0)</f>
        <v>MAT.</v>
      </c>
      <c r="D5492" s="156" t="s">
        <v>1444</v>
      </c>
      <c r="E5492" s="154" t="n">
        <v>0.189</v>
      </c>
      <c r="F5492" s="149" t="n">
        <f aca="false">IF(C5492="MAT.",VLOOKUP(A5492,INSUMOS_AUX!$A$3:$H$813,6,0),0)</f>
        <v>0.59</v>
      </c>
      <c r="G5492" s="149" t="n">
        <f aca="false">IF(C5492="M.O.",VLOOKUP(A5492,INSUMOS_AUX!A:F,6,0),0)</f>
        <v>0</v>
      </c>
    </row>
    <row r="5493" customFormat="false" ht="31.5" hidden="false" customHeight="false" outlineLevel="0" collapsed="false">
      <c r="A5493" s="154" t="s">
        <v>2397</v>
      </c>
      <c r="B5493" s="155" t="s">
        <v>2398</v>
      </c>
      <c r="C5493" s="148" t="str">
        <f aca="false">VLOOKUP($A5493,INSUMOS_AUX!$A$3:$H$813,3,0)</f>
        <v>MAT.</v>
      </c>
      <c r="D5493" s="156" t="s">
        <v>1455</v>
      </c>
      <c r="E5493" s="154" t="n">
        <v>1.1</v>
      </c>
      <c r="F5493" s="149" t="n">
        <f aca="false">IF(C5493="MAT.",VLOOKUP(A5493,INSUMOS_AUX!$A$3:$H$813,6,0),0)</f>
        <v>10.4259333333333</v>
      </c>
      <c r="G5493" s="149" t="n">
        <f aca="false">IF(C5493="M.O.",VLOOKUP(A5493,INSUMOS_AUX!A:F,6,0),0)</f>
        <v>0</v>
      </c>
    </row>
    <row r="5494" customFormat="false" ht="15" hidden="false" customHeight="false" outlineLevel="0" collapsed="false">
      <c r="A5494" s="154" t="n">
        <v>247</v>
      </c>
      <c r="B5494" s="155" t="s">
        <v>1554</v>
      </c>
      <c r="C5494" s="148" t="str">
        <f aca="false">VLOOKUP($A5494,INSUMOS_AUX!$A$3:$H$813,3,0)</f>
        <v>M.O.</v>
      </c>
      <c r="D5494" s="156" t="s">
        <v>1444</v>
      </c>
      <c r="E5494" s="154" t="n">
        <v>0.09802674</v>
      </c>
      <c r="F5494" s="149" t="n">
        <f aca="false">IF(C5494="MAT.",VLOOKUP(A5494,INSUMOS_AUX!$A$3:$H$813,6,0),0)</f>
        <v>0</v>
      </c>
      <c r="G5494" s="149" t="n">
        <f aca="false">IF(C5494="M.O.",VLOOKUP(A5494,INSUMOS_AUX!A:F,6,0),0)</f>
        <v>13.26</v>
      </c>
    </row>
    <row r="5495" customFormat="false" ht="15" hidden="false" customHeight="false" outlineLevel="0" collapsed="false">
      <c r="A5495" s="154" t="n">
        <v>2436</v>
      </c>
      <c r="B5495" s="155" t="s">
        <v>1557</v>
      </c>
      <c r="C5495" s="148" t="str">
        <f aca="false">VLOOKUP($A5495,INSUMOS_AUX!$A$3:$H$813,3,0)</f>
        <v>M.O.</v>
      </c>
      <c r="D5495" s="156" t="s">
        <v>1444</v>
      </c>
      <c r="E5495" s="154" t="n">
        <v>0.09802674</v>
      </c>
      <c r="F5495" s="149" t="n">
        <f aca="false">IF(C5495="MAT.",VLOOKUP(A5495,INSUMOS_AUX!$A$3:$H$813,6,0),0)</f>
        <v>0</v>
      </c>
      <c r="G5495" s="149" t="n">
        <f aca="false">IF(C5495="M.O.",VLOOKUP(A5495,INSUMOS_AUX!A:F,6,0),0)</f>
        <v>20.22</v>
      </c>
    </row>
    <row r="5496" customFormat="false" ht="31.5" hidden="false" customHeight="false" outlineLevel="0" collapsed="false">
      <c r="A5496" s="150" t="s">
        <v>918</v>
      </c>
      <c r="B5496" s="151" t="s">
        <v>2399</v>
      </c>
      <c r="C5496" s="152" t="s">
        <v>59</v>
      </c>
      <c r="D5496" s="152" t="s">
        <v>31</v>
      </c>
      <c r="E5496" s="150"/>
      <c r="F5496" s="153" t="n">
        <f aca="false">(SUMPRODUCT($E5497:$E5507,F5497:F5507))*1</f>
        <v>32.5902266666667</v>
      </c>
      <c r="G5496" s="153" t="n">
        <f aca="false">(SUMPRODUCT($E5497:$E5507,G5497:G5507))*1</f>
        <v>13.3187531256</v>
      </c>
    </row>
    <row r="5497" customFormat="false" ht="21" hidden="false" customHeight="false" outlineLevel="0" collapsed="false">
      <c r="A5497" s="154" t="n">
        <v>37370</v>
      </c>
      <c r="B5497" s="155" t="s">
        <v>1443</v>
      </c>
      <c r="C5497" s="148" t="str">
        <f aca="false">VLOOKUP($A5497,INSUMOS_AUX!$A$3:$H$813,3,0)</f>
        <v>MAT.</v>
      </c>
      <c r="D5497" s="156" t="s">
        <v>1444</v>
      </c>
      <c r="E5497" s="154" t="n">
        <v>0.767</v>
      </c>
      <c r="F5497" s="149" t="n">
        <f aca="false">IF(C5497="MAT.",VLOOKUP(A5497,INSUMOS_AUX!$A$3:$H$813,6,0),0)</f>
        <v>3.32</v>
      </c>
      <c r="G5497" s="149" t="n">
        <f aca="false">IF(C5497="M.O.",VLOOKUP(A5497,INSUMOS_AUX!A:F,6,0),0)</f>
        <v>0</v>
      </c>
    </row>
    <row r="5498" customFormat="false" ht="21" hidden="false" customHeight="false" outlineLevel="0" collapsed="false">
      <c r="A5498" s="154" t="n">
        <v>43484</v>
      </c>
      <c r="B5498" s="155" t="s">
        <v>1523</v>
      </c>
      <c r="C5498" s="148" t="str">
        <f aca="false">VLOOKUP($A5498,INSUMOS_AUX!$A$3:$H$813,3,0)</f>
        <v>MAT.</v>
      </c>
      <c r="D5498" s="156" t="s">
        <v>1444</v>
      </c>
      <c r="E5498" s="154" t="n">
        <v>0.767</v>
      </c>
      <c r="F5498" s="149" t="n">
        <f aca="false">IF(C5498="MAT.",VLOOKUP(A5498,INSUMOS_AUX!$A$3:$H$813,6,0),0)</f>
        <v>1.26</v>
      </c>
      <c r="G5498" s="149" t="n">
        <f aca="false">IF(C5498="M.O.",VLOOKUP(A5498,INSUMOS_AUX!A:F,6,0),0)</f>
        <v>0</v>
      </c>
    </row>
    <row r="5499" customFormat="false" ht="21" hidden="false" customHeight="false" outlineLevel="0" collapsed="false">
      <c r="A5499" s="154" t="n">
        <v>37372</v>
      </c>
      <c r="B5499" s="155" t="s">
        <v>1446</v>
      </c>
      <c r="C5499" s="148" t="str">
        <f aca="false">VLOOKUP($A5499,INSUMOS_AUX!$A$3:$H$813,3,0)</f>
        <v>MAT.</v>
      </c>
      <c r="D5499" s="156" t="s">
        <v>1444</v>
      </c>
      <c r="E5499" s="154" t="n">
        <v>0.767</v>
      </c>
      <c r="F5499" s="149" t="n">
        <f aca="false">IF(C5499="MAT.",VLOOKUP(A5499,INSUMOS_AUX!$A$3:$H$813,6,0),0)</f>
        <v>1.43</v>
      </c>
      <c r="G5499" s="149" t="n">
        <f aca="false">IF(C5499="M.O.",VLOOKUP(A5499,INSUMOS_AUX!A:F,6,0),0)</f>
        <v>0</v>
      </c>
    </row>
    <row r="5500" customFormat="false" ht="21" hidden="false" customHeight="false" outlineLevel="0" collapsed="false">
      <c r="A5500" s="154" t="n">
        <v>43460</v>
      </c>
      <c r="B5500" s="155" t="s">
        <v>1524</v>
      </c>
      <c r="C5500" s="148" t="s">
        <v>59</v>
      </c>
      <c r="D5500" s="156" t="s">
        <v>1444</v>
      </c>
      <c r="E5500" s="154" t="n">
        <v>0.767</v>
      </c>
      <c r="F5500" s="149" t="n">
        <f aca="false">IF(C5500="MAT.",VLOOKUP(A5500,INSUMOS_AUX!$A$3:$H$813,6,0),0)</f>
        <v>0</v>
      </c>
      <c r="G5500" s="149" t="n">
        <f aca="false">IF(C5500="M.O.",VLOOKUP(A5500,INSUMOS_AUX!A:F,6,0),0)</f>
        <v>0</v>
      </c>
    </row>
    <row r="5501" customFormat="false" ht="21" hidden="false" customHeight="false" outlineLevel="0" collapsed="false">
      <c r="A5501" s="154" t="n">
        <v>37373</v>
      </c>
      <c r="B5501" s="155" t="s">
        <v>1448</v>
      </c>
      <c r="C5501" s="148" t="str">
        <f aca="false">VLOOKUP($A5501,INSUMOS_AUX!$A$3:$H$813,3,0)</f>
        <v>MAT.</v>
      </c>
      <c r="D5501" s="156" t="s">
        <v>1444</v>
      </c>
      <c r="E5501" s="154" t="n">
        <v>0.767</v>
      </c>
      <c r="F5501" s="149" t="n">
        <f aca="false">IF(C5501="MAT.",VLOOKUP(A5501,INSUMOS_AUX!$A$3:$H$813,6,0),0)</f>
        <v>0.08</v>
      </c>
      <c r="G5501" s="149" t="n">
        <f aca="false">IF(C5501="M.O.",VLOOKUP(A5501,INSUMOS_AUX!A:F,6,0),0)</f>
        <v>0</v>
      </c>
    </row>
    <row r="5502" customFormat="false" ht="21" hidden="false" customHeight="false" outlineLevel="0" collapsed="false">
      <c r="A5502" s="154" t="n">
        <v>37371</v>
      </c>
      <c r="B5502" s="155" t="s">
        <v>1449</v>
      </c>
      <c r="C5502" s="148" t="str">
        <f aca="false">VLOOKUP($A5502,INSUMOS_AUX!$A$3:$H$813,3,0)</f>
        <v>MAT.</v>
      </c>
      <c r="D5502" s="156" t="s">
        <v>1444</v>
      </c>
      <c r="E5502" s="154" t="n">
        <v>0.767</v>
      </c>
      <c r="F5502" s="149" t="n">
        <f aca="false">IF(C5502="MAT.",VLOOKUP(A5502,INSUMOS_AUX!$A$3:$H$813,6,0),0)</f>
        <v>0.59</v>
      </c>
      <c r="G5502" s="149" t="n">
        <f aca="false">IF(C5502="M.O.",VLOOKUP(A5502,INSUMOS_AUX!A:F,6,0),0)</f>
        <v>0</v>
      </c>
    </row>
    <row r="5503" customFormat="false" ht="21" hidden="false" customHeight="false" outlineLevel="0" collapsed="false">
      <c r="A5503" s="154" t="s">
        <v>2400</v>
      </c>
      <c r="B5503" s="155" t="s">
        <v>2401</v>
      </c>
      <c r="C5503" s="148" t="str">
        <f aca="false">VLOOKUP($A5503,INSUMOS_AUX!$A$3:$H$813,3,0)</f>
        <v>MAT.</v>
      </c>
      <c r="D5503" s="156" t="s">
        <v>31</v>
      </c>
      <c r="E5503" s="154" t="n">
        <v>1</v>
      </c>
      <c r="F5503" s="149" t="n">
        <f aca="false">IF(C5503="MAT.",VLOOKUP(A5503,INSUMOS_AUX!$A$3:$H$813,6,0),0)</f>
        <v>9.50666666666667</v>
      </c>
      <c r="G5503" s="149" t="n">
        <f aca="false">IF(C5503="M.O.",VLOOKUP(A5503,INSUMOS_AUX!A:F,6,0),0)</f>
        <v>0</v>
      </c>
    </row>
    <row r="5504" customFormat="false" ht="31.5" hidden="false" customHeight="false" outlineLevel="0" collapsed="false">
      <c r="A5504" s="154" t="n">
        <v>13246</v>
      </c>
      <c r="B5504" s="155" t="s">
        <v>1811</v>
      </c>
      <c r="C5504" s="148" t="str">
        <f aca="false">VLOOKUP($A5504,INSUMOS_AUX!$A$3:$H$813,3,0)</f>
        <v>MAT.</v>
      </c>
      <c r="D5504" s="156" t="s">
        <v>31</v>
      </c>
      <c r="E5504" s="154" t="n">
        <v>16.8</v>
      </c>
      <c r="F5504" s="149" t="n">
        <f aca="false">IF(C5504="MAT.",VLOOKUP(A5504,INSUMOS_AUX!$A$3:$H$813,6,0),0)</f>
        <v>0.5</v>
      </c>
      <c r="G5504" s="149" t="n">
        <f aca="false">IF(C5504="M.O.",VLOOKUP(A5504,INSUMOS_AUX!A:F,6,0),0)</f>
        <v>0</v>
      </c>
    </row>
    <row r="5505" customFormat="false" ht="21" hidden="false" customHeight="false" outlineLevel="0" collapsed="false">
      <c r="A5505" s="154" t="s">
        <v>2402</v>
      </c>
      <c r="B5505" s="155" t="s">
        <v>2403</v>
      </c>
      <c r="C5505" s="148" t="str">
        <f aca="false">VLOOKUP($A5505,INSUMOS_AUX!$A$3:$H$813,3,0)</f>
        <v>MAT.</v>
      </c>
      <c r="D5505" s="156" t="s">
        <v>31</v>
      </c>
      <c r="E5505" s="154" t="n">
        <v>4</v>
      </c>
      <c r="F5505" s="149" t="n">
        <f aca="false">IF(C5505="MAT.",VLOOKUP(A5505,INSUMOS_AUX!$A$3:$H$813,6,0),0)</f>
        <v>2.39</v>
      </c>
      <c r="G5505" s="149" t="n">
        <f aca="false">IF(C5505="M.O.",VLOOKUP(A5505,INSUMOS_AUX!A:F,6,0),0)</f>
        <v>0</v>
      </c>
    </row>
    <row r="5506" customFormat="false" ht="15" hidden="false" customHeight="false" outlineLevel="0" collapsed="false">
      <c r="A5506" s="154" t="n">
        <v>247</v>
      </c>
      <c r="B5506" s="155" t="s">
        <v>1554</v>
      </c>
      <c r="C5506" s="148" t="str">
        <f aca="false">VLOOKUP($A5506,INSUMOS_AUX!$A$3:$H$813,3,0)</f>
        <v>M.O.</v>
      </c>
      <c r="D5506" s="156" t="s">
        <v>1444</v>
      </c>
      <c r="E5506" s="154" t="n">
        <v>0.39781222</v>
      </c>
      <c r="F5506" s="149" t="n">
        <f aca="false">IF(C5506="MAT.",VLOOKUP(A5506,INSUMOS_AUX!$A$3:$H$813,6,0),0)</f>
        <v>0</v>
      </c>
      <c r="G5506" s="149" t="n">
        <f aca="false">IF(C5506="M.O.",VLOOKUP(A5506,INSUMOS_AUX!A:F,6,0),0)</f>
        <v>13.26</v>
      </c>
    </row>
    <row r="5507" customFormat="false" ht="15" hidden="false" customHeight="false" outlineLevel="0" collapsed="false">
      <c r="A5507" s="154" t="n">
        <v>2436</v>
      </c>
      <c r="B5507" s="155" t="s">
        <v>1557</v>
      </c>
      <c r="C5507" s="148" t="str">
        <f aca="false">VLOOKUP($A5507,INSUMOS_AUX!$A$3:$H$813,3,0)</f>
        <v>M.O.</v>
      </c>
      <c r="D5507" s="156" t="s">
        <v>1444</v>
      </c>
      <c r="E5507" s="154" t="n">
        <v>0.39781222</v>
      </c>
      <c r="F5507" s="149" t="n">
        <f aca="false">IF(C5507="MAT.",VLOOKUP(A5507,INSUMOS_AUX!$A$3:$H$813,6,0),0)</f>
        <v>0</v>
      </c>
      <c r="G5507" s="149" t="n">
        <f aca="false">IF(C5507="M.O.",VLOOKUP(A5507,INSUMOS_AUX!A:F,6,0),0)</f>
        <v>20.22</v>
      </c>
    </row>
    <row r="5508" customFormat="false" ht="31.5" hidden="false" customHeight="false" outlineLevel="0" collapsed="false">
      <c r="A5508" s="150" t="s">
        <v>920</v>
      </c>
      <c r="B5508" s="151" t="s">
        <v>2404</v>
      </c>
      <c r="C5508" s="152" t="s">
        <v>59</v>
      </c>
      <c r="D5508" s="152" t="s">
        <v>31</v>
      </c>
      <c r="E5508" s="150"/>
      <c r="F5508" s="153" t="n">
        <f aca="false">(SUMPRODUCT($E5509:$E5519,F5509:F5519))*1</f>
        <v>30.75637</v>
      </c>
      <c r="G5508" s="153" t="n">
        <f aca="false">(SUMPRODUCT($E5509:$E5519,G5509:G5519))*1</f>
        <v>13.3187531256</v>
      </c>
    </row>
    <row r="5509" customFormat="false" ht="21" hidden="false" customHeight="false" outlineLevel="0" collapsed="false">
      <c r="A5509" s="154" t="n">
        <v>37370</v>
      </c>
      <c r="B5509" s="155" t="s">
        <v>1443</v>
      </c>
      <c r="C5509" s="148" t="str">
        <f aca="false">VLOOKUP($A5509,INSUMOS_AUX!$A$3:$H$813,3,0)</f>
        <v>MAT.</v>
      </c>
      <c r="D5509" s="156" t="s">
        <v>1444</v>
      </c>
      <c r="E5509" s="154" t="n">
        <v>0.767</v>
      </c>
      <c r="F5509" s="149" t="n">
        <f aca="false">IF(C5509="MAT.",VLOOKUP(A5509,INSUMOS_AUX!$A$3:$H$813,6,0),0)</f>
        <v>3.32</v>
      </c>
      <c r="G5509" s="149" t="n">
        <f aca="false">IF(C5509="M.O.",VLOOKUP(A5509,INSUMOS_AUX!A:F,6,0),0)</f>
        <v>0</v>
      </c>
    </row>
    <row r="5510" customFormat="false" ht="21" hidden="false" customHeight="false" outlineLevel="0" collapsed="false">
      <c r="A5510" s="154" t="n">
        <v>43484</v>
      </c>
      <c r="B5510" s="155" t="s">
        <v>1523</v>
      </c>
      <c r="C5510" s="148" t="str">
        <f aca="false">VLOOKUP($A5510,INSUMOS_AUX!$A$3:$H$813,3,0)</f>
        <v>MAT.</v>
      </c>
      <c r="D5510" s="156" t="s">
        <v>1444</v>
      </c>
      <c r="E5510" s="154" t="n">
        <v>0.767</v>
      </c>
      <c r="F5510" s="149" t="n">
        <f aca="false">IF(C5510="MAT.",VLOOKUP(A5510,INSUMOS_AUX!$A$3:$H$813,6,0),0)</f>
        <v>1.26</v>
      </c>
      <c r="G5510" s="149" t="n">
        <f aca="false">IF(C5510="M.O.",VLOOKUP(A5510,INSUMOS_AUX!A:F,6,0),0)</f>
        <v>0</v>
      </c>
    </row>
    <row r="5511" customFormat="false" ht="21" hidden="false" customHeight="false" outlineLevel="0" collapsed="false">
      <c r="A5511" s="154" t="n">
        <v>37372</v>
      </c>
      <c r="B5511" s="155" t="s">
        <v>1446</v>
      </c>
      <c r="C5511" s="148" t="s">
        <v>59</v>
      </c>
      <c r="D5511" s="156" t="s">
        <v>1444</v>
      </c>
      <c r="E5511" s="154" t="n">
        <v>0.767</v>
      </c>
      <c r="F5511" s="149" t="n">
        <f aca="false">IF(C5511="MAT.",VLOOKUP(A5511,INSUMOS_AUX!$A$3:$H$813,6,0),0)</f>
        <v>0</v>
      </c>
      <c r="G5511" s="149" t="n">
        <f aca="false">IF(C5511="M.O.",VLOOKUP(A5511,INSUMOS_AUX!A:F,6,0),0)</f>
        <v>0</v>
      </c>
    </row>
    <row r="5512" customFormat="false" ht="21" hidden="false" customHeight="false" outlineLevel="0" collapsed="false">
      <c r="A5512" s="154" t="n">
        <v>43460</v>
      </c>
      <c r="B5512" s="155" t="s">
        <v>1524</v>
      </c>
      <c r="C5512" s="148" t="str">
        <f aca="false">VLOOKUP($A5512,INSUMOS_AUX!$A$3:$H$813,3,0)</f>
        <v>MAT.</v>
      </c>
      <c r="D5512" s="156" t="s">
        <v>1444</v>
      </c>
      <c r="E5512" s="154" t="n">
        <v>0.767</v>
      </c>
      <c r="F5512" s="149" t="n">
        <f aca="false">IF(C5512="MAT.",VLOOKUP(A5512,INSUMOS_AUX!$A$3:$H$813,6,0),0)</f>
        <v>0.86</v>
      </c>
      <c r="G5512" s="149" t="n">
        <f aca="false">IF(C5512="M.O.",VLOOKUP(A5512,INSUMOS_AUX!A:F,6,0),0)</f>
        <v>0</v>
      </c>
    </row>
    <row r="5513" customFormat="false" ht="21" hidden="false" customHeight="false" outlineLevel="0" collapsed="false">
      <c r="A5513" s="154" t="n">
        <v>37373</v>
      </c>
      <c r="B5513" s="155" t="s">
        <v>1448</v>
      </c>
      <c r="C5513" s="148" t="str">
        <f aca="false">VLOOKUP($A5513,INSUMOS_AUX!$A$3:$H$813,3,0)</f>
        <v>MAT.</v>
      </c>
      <c r="D5513" s="156" t="s">
        <v>1444</v>
      </c>
      <c r="E5513" s="154" t="n">
        <v>0.767</v>
      </c>
      <c r="F5513" s="149" t="n">
        <f aca="false">IF(C5513="MAT.",VLOOKUP(A5513,INSUMOS_AUX!$A$3:$H$813,6,0),0)</f>
        <v>0.08</v>
      </c>
      <c r="G5513" s="149" t="n">
        <f aca="false">IF(C5513="M.O.",VLOOKUP(A5513,INSUMOS_AUX!A:F,6,0),0)</f>
        <v>0</v>
      </c>
    </row>
    <row r="5514" customFormat="false" ht="21" hidden="false" customHeight="false" outlineLevel="0" collapsed="false">
      <c r="A5514" s="154" t="n">
        <v>37371</v>
      </c>
      <c r="B5514" s="155" t="s">
        <v>1449</v>
      </c>
      <c r="C5514" s="148" t="str">
        <f aca="false">VLOOKUP($A5514,INSUMOS_AUX!$A$3:$H$813,3,0)</f>
        <v>MAT.</v>
      </c>
      <c r="D5514" s="156" t="s">
        <v>1444</v>
      </c>
      <c r="E5514" s="154" t="n">
        <v>0.767</v>
      </c>
      <c r="F5514" s="149" t="n">
        <f aca="false">IF(C5514="MAT.",VLOOKUP(A5514,INSUMOS_AUX!$A$3:$H$813,6,0),0)</f>
        <v>0.59</v>
      </c>
      <c r="G5514" s="149" t="n">
        <f aca="false">IF(C5514="M.O.",VLOOKUP(A5514,INSUMOS_AUX!A:F,6,0),0)</f>
        <v>0</v>
      </c>
    </row>
    <row r="5515" customFormat="false" ht="21" hidden="false" customHeight="false" outlineLevel="0" collapsed="false">
      <c r="A5515" s="154" t="s">
        <v>2405</v>
      </c>
      <c r="B5515" s="155" t="s">
        <v>2406</v>
      </c>
      <c r="C5515" s="148" t="str">
        <f aca="false">VLOOKUP($A5515,INSUMOS_AUX!$A$3:$H$813,3,0)</f>
        <v>MAT.</v>
      </c>
      <c r="D5515" s="156" t="s">
        <v>31</v>
      </c>
      <c r="E5515" s="154" t="n">
        <v>1</v>
      </c>
      <c r="F5515" s="149" t="n">
        <f aca="false">IF(C5515="MAT.",VLOOKUP(A5515,INSUMOS_AUX!$A$3:$H$813,6,0),0)</f>
        <v>13.9366666666667</v>
      </c>
      <c r="G5515" s="149" t="n">
        <f aca="false">IF(C5515="M.O.",VLOOKUP(A5515,INSUMOS_AUX!A:F,6,0),0)</f>
        <v>0</v>
      </c>
    </row>
    <row r="5516" customFormat="false" ht="31.5" hidden="false" customHeight="false" outlineLevel="0" collapsed="false">
      <c r="A5516" s="154" t="n">
        <v>13246</v>
      </c>
      <c r="B5516" s="155" t="s">
        <v>1811</v>
      </c>
      <c r="C5516" s="148" t="str">
        <f aca="false">VLOOKUP($A5516,INSUMOS_AUX!$A$3:$H$813,3,0)</f>
        <v>MAT.</v>
      </c>
      <c r="D5516" s="156" t="s">
        <v>31</v>
      </c>
      <c r="E5516" s="154" t="n">
        <v>16.8</v>
      </c>
      <c r="F5516" s="149" t="n">
        <f aca="false">IF(C5516="MAT.",VLOOKUP(A5516,INSUMOS_AUX!$A$3:$H$813,6,0),0)</f>
        <v>0.5</v>
      </c>
      <c r="G5516" s="149" t="n">
        <f aca="false">IF(C5516="M.O.",VLOOKUP(A5516,INSUMOS_AUX!A:F,6,0),0)</f>
        <v>0</v>
      </c>
    </row>
    <row r="5517" customFormat="false" ht="21" hidden="false" customHeight="false" outlineLevel="0" collapsed="false">
      <c r="A5517" s="154" t="s">
        <v>2407</v>
      </c>
      <c r="B5517" s="155" t="s">
        <v>2408</v>
      </c>
      <c r="C5517" s="148" t="str">
        <f aca="false">VLOOKUP($A5517,INSUMOS_AUX!$A$3:$H$813,3,0)</f>
        <v>MAT.</v>
      </c>
      <c r="D5517" s="156" t="s">
        <v>31</v>
      </c>
      <c r="E5517" s="154" t="n">
        <v>4</v>
      </c>
      <c r="F5517" s="149" t="n">
        <f aca="false">IF(C5517="MAT.",VLOOKUP(A5517,INSUMOS_AUX!$A$3:$H$813,6,0),0)</f>
        <v>0.933333333333333</v>
      </c>
      <c r="G5517" s="149" t="n">
        <f aca="false">IF(C5517="M.O.",VLOOKUP(A5517,INSUMOS_AUX!A:F,6,0),0)</f>
        <v>0</v>
      </c>
    </row>
    <row r="5518" customFormat="false" ht="15" hidden="false" customHeight="false" outlineLevel="0" collapsed="false">
      <c r="A5518" s="154" t="n">
        <v>247</v>
      </c>
      <c r="B5518" s="155" t="s">
        <v>1554</v>
      </c>
      <c r="C5518" s="148" t="str">
        <f aca="false">VLOOKUP($A5518,INSUMOS_AUX!$A$3:$H$813,3,0)</f>
        <v>M.O.</v>
      </c>
      <c r="D5518" s="156" t="s">
        <v>1444</v>
      </c>
      <c r="E5518" s="154" t="n">
        <v>0.39781222</v>
      </c>
      <c r="F5518" s="149" t="n">
        <f aca="false">IF(C5518="MAT.",VLOOKUP(A5518,INSUMOS_AUX!$A$3:$H$813,6,0),0)</f>
        <v>0</v>
      </c>
      <c r="G5518" s="149" t="n">
        <f aca="false">IF(C5518="M.O.",VLOOKUP(A5518,INSUMOS_AUX!A:F,6,0),0)</f>
        <v>13.26</v>
      </c>
    </row>
    <row r="5519" customFormat="false" ht="15" hidden="false" customHeight="false" outlineLevel="0" collapsed="false">
      <c r="A5519" s="154" t="n">
        <v>2436</v>
      </c>
      <c r="B5519" s="155" t="s">
        <v>1557</v>
      </c>
      <c r="C5519" s="148" t="str">
        <f aca="false">VLOOKUP($A5519,INSUMOS_AUX!$A$3:$H$813,3,0)</f>
        <v>M.O.</v>
      </c>
      <c r="D5519" s="156" t="s">
        <v>1444</v>
      </c>
      <c r="E5519" s="154" t="n">
        <v>0.39781222</v>
      </c>
      <c r="F5519" s="149" t="n">
        <f aca="false">IF(C5519="MAT.",VLOOKUP(A5519,INSUMOS_AUX!$A$3:$H$813,6,0),0)</f>
        <v>0</v>
      </c>
      <c r="G5519" s="149" t="n">
        <f aca="false">IF(C5519="M.O.",VLOOKUP(A5519,INSUMOS_AUX!A:F,6,0),0)</f>
        <v>20.22</v>
      </c>
    </row>
    <row r="5520" customFormat="false" ht="31.5" hidden="false" customHeight="false" outlineLevel="0" collapsed="false">
      <c r="A5520" s="150" t="s">
        <v>922</v>
      </c>
      <c r="B5520" s="151" t="s">
        <v>2409</v>
      </c>
      <c r="C5520" s="152" t="s">
        <v>59</v>
      </c>
      <c r="D5520" s="152" t="s">
        <v>31</v>
      </c>
      <c r="E5520" s="150"/>
      <c r="F5520" s="153" t="n">
        <f aca="false">(SUMPRODUCT($E5521:$E5531,F5521:F5531))*1</f>
        <v>36.6100933333333</v>
      </c>
      <c r="G5520" s="153" t="n">
        <f aca="false">(SUMPRODUCT($E5521:$E5531,G5521:G5531))*1</f>
        <v>13.3187531256</v>
      </c>
    </row>
    <row r="5521" customFormat="false" ht="21" hidden="false" customHeight="false" outlineLevel="0" collapsed="false">
      <c r="A5521" s="154" t="n">
        <v>37370</v>
      </c>
      <c r="B5521" s="155" t="s">
        <v>1443</v>
      </c>
      <c r="C5521" s="148" t="str">
        <f aca="false">VLOOKUP($A5521,INSUMOS_AUX!$A$3:$H$813,3,0)</f>
        <v>MAT.</v>
      </c>
      <c r="D5521" s="156" t="s">
        <v>1444</v>
      </c>
      <c r="E5521" s="154" t="n">
        <v>0.767</v>
      </c>
      <c r="F5521" s="149" t="n">
        <f aca="false">IF(C5521="MAT.",VLOOKUP(A5521,INSUMOS_AUX!$A$3:$H$813,6,0),0)</f>
        <v>3.32</v>
      </c>
      <c r="G5521" s="149" t="n">
        <f aca="false">IF(C5521="M.O.",VLOOKUP(A5521,INSUMOS_AUX!A:F,6,0),0)</f>
        <v>0</v>
      </c>
    </row>
    <row r="5522" customFormat="false" ht="21" hidden="false" customHeight="false" outlineLevel="0" collapsed="false">
      <c r="A5522" s="154" t="n">
        <v>43484</v>
      </c>
      <c r="B5522" s="155" t="s">
        <v>1523</v>
      </c>
      <c r="C5522" s="148" t="s">
        <v>59</v>
      </c>
      <c r="D5522" s="156" t="s">
        <v>1444</v>
      </c>
      <c r="E5522" s="154" t="n">
        <v>0.767</v>
      </c>
      <c r="F5522" s="149" t="n">
        <f aca="false">IF(C5522="MAT.",VLOOKUP(A5522,INSUMOS_AUX!$A$3:$H$813,6,0),0)</f>
        <v>0</v>
      </c>
      <c r="G5522" s="149" t="n">
        <f aca="false">IF(C5522="M.O.",VLOOKUP(A5522,INSUMOS_AUX!A:F,6,0),0)</f>
        <v>0</v>
      </c>
    </row>
    <row r="5523" customFormat="false" ht="21" hidden="false" customHeight="false" outlineLevel="0" collapsed="false">
      <c r="A5523" s="154" t="n">
        <v>37372</v>
      </c>
      <c r="B5523" s="155" t="s">
        <v>1446</v>
      </c>
      <c r="C5523" s="148" t="str">
        <f aca="false">VLOOKUP($A5523,INSUMOS_AUX!$A$3:$H$813,3,0)</f>
        <v>MAT.</v>
      </c>
      <c r="D5523" s="156" t="s">
        <v>1444</v>
      </c>
      <c r="E5523" s="154" t="n">
        <v>0.767</v>
      </c>
      <c r="F5523" s="149" t="n">
        <f aca="false">IF(C5523="MAT.",VLOOKUP(A5523,INSUMOS_AUX!$A$3:$H$813,6,0),0)</f>
        <v>1.43</v>
      </c>
      <c r="G5523" s="149" t="n">
        <f aca="false">IF(C5523="M.O.",VLOOKUP(A5523,INSUMOS_AUX!A:F,6,0),0)</f>
        <v>0</v>
      </c>
    </row>
    <row r="5524" customFormat="false" ht="21" hidden="false" customHeight="false" outlineLevel="0" collapsed="false">
      <c r="A5524" s="154" t="n">
        <v>43460</v>
      </c>
      <c r="B5524" s="155" t="s">
        <v>1524</v>
      </c>
      <c r="C5524" s="148" t="str">
        <f aca="false">VLOOKUP($A5524,INSUMOS_AUX!$A$3:$H$813,3,0)</f>
        <v>MAT.</v>
      </c>
      <c r="D5524" s="156" t="s">
        <v>1444</v>
      </c>
      <c r="E5524" s="154" t="n">
        <v>0.767</v>
      </c>
      <c r="F5524" s="149" t="n">
        <f aca="false">IF(C5524="MAT.",VLOOKUP(A5524,INSUMOS_AUX!$A$3:$H$813,6,0),0)</f>
        <v>0.86</v>
      </c>
      <c r="G5524" s="149" t="n">
        <f aca="false">IF(C5524="M.O.",VLOOKUP(A5524,INSUMOS_AUX!A:F,6,0),0)</f>
        <v>0</v>
      </c>
    </row>
    <row r="5525" customFormat="false" ht="21" hidden="false" customHeight="false" outlineLevel="0" collapsed="false">
      <c r="A5525" s="154" t="n">
        <v>37373</v>
      </c>
      <c r="B5525" s="155" t="s">
        <v>1448</v>
      </c>
      <c r="C5525" s="148" t="str">
        <f aca="false">VLOOKUP($A5525,INSUMOS_AUX!$A$3:$H$813,3,0)</f>
        <v>MAT.</v>
      </c>
      <c r="D5525" s="156" t="s">
        <v>1444</v>
      </c>
      <c r="E5525" s="154" t="n">
        <v>0.767</v>
      </c>
      <c r="F5525" s="149" t="n">
        <f aca="false">IF(C5525="MAT.",VLOOKUP(A5525,INSUMOS_AUX!$A$3:$H$813,6,0),0)</f>
        <v>0.08</v>
      </c>
      <c r="G5525" s="149" t="n">
        <f aca="false">IF(C5525="M.O.",VLOOKUP(A5525,INSUMOS_AUX!A:F,6,0),0)</f>
        <v>0</v>
      </c>
    </row>
    <row r="5526" customFormat="false" ht="21" hidden="false" customHeight="false" outlineLevel="0" collapsed="false">
      <c r="A5526" s="154" t="n">
        <v>37371</v>
      </c>
      <c r="B5526" s="155" t="s">
        <v>1449</v>
      </c>
      <c r="C5526" s="148" t="str">
        <f aca="false">VLOOKUP($A5526,INSUMOS_AUX!$A$3:$H$813,3,0)</f>
        <v>MAT.</v>
      </c>
      <c r="D5526" s="156" t="s">
        <v>1444</v>
      </c>
      <c r="E5526" s="154" t="n">
        <v>0.767</v>
      </c>
      <c r="F5526" s="149" t="n">
        <f aca="false">IF(C5526="MAT.",VLOOKUP(A5526,INSUMOS_AUX!$A$3:$H$813,6,0),0)</f>
        <v>0.59</v>
      </c>
      <c r="G5526" s="149" t="n">
        <f aca="false">IF(C5526="M.O.",VLOOKUP(A5526,INSUMOS_AUX!A:F,6,0),0)</f>
        <v>0</v>
      </c>
    </row>
    <row r="5527" customFormat="false" ht="21" hidden="false" customHeight="false" outlineLevel="0" collapsed="false">
      <c r="A5527" s="154" t="s">
        <v>2410</v>
      </c>
      <c r="B5527" s="155" t="s">
        <v>2411</v>
      </c>
      <c r="C5527" s="148" t="str">
        <f aca="false">VLOOKUP($A5527,INSUMOS_AUX!$A$3:$H$813,3,0)</f>
        <v>MAT.</v>
      </c>
      <c r="D5527" s="156" t="s">
        <v>31</v>
      </c>
      <c r="E5527" s="154" t="n">
        <v>1</v>
      </c>
      <c r="F5527" s="149" t="n">
        <f aca="false">IF(C5527="MAT.",VLOOKUP(A5527,INSUMOS_AUX!$A$3:$H$813,6,0),0)</f>
        <v>13.8333333333333</v>
      </c>
      <c r="G5527" s="149" t="n">
        <f aca="false">IF(C5527="M.O.",VLOOKUP(A5527,INSUMOS_AUX!A:F,6,0),0)</f>
        <v>0</v>
      </c>
    </row>
    <row r="5528" customFormat="false" ht="31.5" hidden="false" customHeight="false" outlineLevel="0" collapsed="false">
      <c r="A5528" s="154" t="n">
        <v>13246</v>
      </c>
      <c r="B5528" s="155" t="s">
        <v>1811</v>
      </c>
      <c r="C5528" s="148" t="str">
        <f aca="false">VLOOKUP($A5528,INSUMOS_AUX!$A$3:$H$813,3,0)</f>
        <v>MAT.</v>
      </c>
      <c r="D5528" s="156" t="s">
        <v>31</v>
      </c>
      <c r="E5528" s="154" t="n">
        <v>16.8</v>
      </c>
      <c r="F5528" s="149" t="n">
        <f aca="false">IF(C5528="MAT.",VLOOKUP(A5528,INSUMOS_AUX!$A$3:$H$813,6,0),0)</f>
        <v>0.5</v>
      </c>
      <c r="G5528" s="149" t="n">
        <f aca="false">IF(C5528="M.O.",VLOOKUP(A5528,INSUMOS_AUX!A:F,6,0),0)</f>
        <v>0</v>
      </c>
    </row>
    <row r="5529" customFormat="false" ht="21" hidden="false" customHeight="false" outlineLevel="0" collapsed="false">
      <c r="A5529" s="154" t="s">
        <v>2402</v>
      </c>
      <c r="B5529" s="155" t="s">
        <v>2403</v>
      </c>
      <c r="C5529" s="148" t="str">
        <f aca="false">VLOOKUP($A5529,INSUMOS_AUX!$A$3:$H$813,3,0)</f>
        <v>MAT.</v>
      </c>
      <c r="D5529" s="156" t="s">
        <v>31</v>
      </c>
      <c r="E5529" s="154" t="n">
        <v>4</v>
      </c>
      <c r="F5529" s="149" t="n">
        <f aca="false">IF(C5529="MAT.",VLOOKUP(A5529,INSUMOS_AUX!$A$3:$H$813,6,0),0)</f>
        <v>2.39</v>
      </c>
      <c r="G5529" s="149" t="n">
        <f aca="false">IF(C5529="M.O.",VLOOKUP(A5529,INSUMOS_AUX!A:F,6,0),0)</f>
        <v>0</v>
      </c>
    </row>
    <row r="5530" customFormat="false" ht="15" hidden="false" customHeight="false" outlineLevel="0" collapsed="false">
      <c r="A5530" s="154" t="n">
        <v>247</v>
      </c>
      <c r="B5530" s="155" t="s">
        <v>1554</v>
      </c>
      <c r="C5530" s="148" t="str">
        <f aca="false">VLOOKUP($A5530,INSUMOS_AUX!$A$3:$H$813,3,0)</f>
        <v>M.O.</v>
      </c>
      <c r="D5530" s="156" t="s">
        <v>1444</v>
      </c>
      <c r="E5530" s="154" t="n">
        <v>0.39781222</v>
      </c>
      <c r="F5530" s="149" t="n">
        <f aca="false">IF(C5530="MAT.",VLOOKUP(A5530,INSUMOS_AUX!$A$3:$H$813,6,0),0)</f>
        <v>0</v>
      </c>
      <c r="G5530" s="149" t="n">
        <f aca="false">IF(C5530="M.O.",VLOOKUP(A5530,INSUMOS_AUX!A:F,6,0),0)</f>
        <v>13.26</v>
      </c>
    </row>
    <row r="5531" customFormat="false" ht="15" hidden="false" customHeight="false" outlineLevel="0" collapsed="false">
      <c r="A5531" s="154" t="n">
        <v>2436</v>
      </c>
      <c r="B5531" s="155" t="s">
        <v>1557</v>
      </c>
      <c r="C5531" s="148" t="str">
        <f aca="false">VLOOKUP($A5531,INSUMOS_AUX!$A$3:$H$813,3,0)</f>
        <v>M.O.</v>
      </c>
      <c r="D5531" s="156" t="s">
        <v>1444</v>
      </c>
      <c r="E5531" s="154" t="n">
        <v>0.39781222</v>
      </c>
      <c r="F5531" s="149" t="n">
        <f aca="false">IF(C5531="MAT.",VLOOKUP(A5531,INSUMOS_AUX!$A$3:$H$813,6,0),0)</f>
        <v>0</v>
      </c>
      <c r="G5531" s="149" t="n">
        <f aca="false">IF(C5531="M.O.",VLOOKUP(A5531,INSUMOS_AUX!A:F,6,0),0)</f>
        <v>20.22</v>
      </c>
    </row>
    <row r="5532" customFormat="false" ht="31.5" hidden="false" customHeight="false" outlineLevel="0" collapsed="false">
      <c r="A5532" s="150" t="s">
        <v>924</v>
      </c>
      <c r="B5532" s="151" t="s">
        <v>2412</v>
      </c>
      <c r="C5532" s="152" t="s">
        <v>59</v>
      </c>
      <c r="D5532" s="152" t="s">
        <v>31</v>
      </c>
      <c r="E5532" s="150"/>
      <c r="F5532" s="153" t="n">
        <f aca="false">(SUMPRODUCT($E5533:$E5543,F5533:F5543))*1</f>
        <v>38.1600733333333</v>
      </c>
      <c r="G5532" s="153" t="n">
        <f aca="false">(SUMPRODUCT($E5533:$E5543,G5533:G5543))*1</f>
        <v>13.3187531256</v>
      </c>
    </row>
    <row r="5533" customFormat="false" ht="21" hidden="false" customHeight="false" outlineLevel="0" collapsed="false">
      <c r="A5533" s="154" t="n">
        <v>37370</v>
      </c>
      <c r="B5533" s="155" t="s">
        <v>1443</v>
      </c>
      <c r="C5533" s="148" t="s">
        <v>59</v>
      </c>
      <c r="D5533" s="156" t="s">
        <v>1444</v>
      </c>
      <c r="E5533" s="154" t="n">
        <v>0.767</v>
      </c>
      <c r="F5533" s="149" t="n">
        <f aca="false">IF(C5533="MAT.",VLOOKUP(A5533,INSUMOS_AUX!$A$3:$H$813,6,0),0)</f>
        <v>0</v>
      </c>
      <c r="G5533" s="149" t="n">
        <f aca="false">IF(C5533="M.O.",VLOOKUP(A5533,INSUMOS_AUX!A:F,6,0),0)</f>
        <v>0</v>
      </c>
    </row>
    <row r="5534" customFormat="false" ht="21" hidden="false" customHeight="false" outlineLevel="0" collapsed="false">
      <c r="A5534" s="154" t="n">
        <v>43484</v>
      </c>
      <c r="B5534" s="155" t="s">
        <v>1523</v>
      </c>
      <c r="C5534" s="148" t="str">
        <f aca="false">VLOOKUP($A5534,INSUMOS_AUX!$A$3:$H$813,3,0)</f>
        <v>MAT.</v>
      </c>
      <c r="D5534" s="156" t="s">
        <v>1444</v>
      </c>
      <c r="E5534" s="154" t="n">
        <v>0.767</v>
      </c>
      <c r="F5534" s="149" t="n">
        <f aca="false">IF(C5534="MAT.",VLOOKUP(A5534,INSUMOS_AUX!$A$3:$H$813,6,0),0)</f>
        <v>1.26</v>
      </c>
      <c r="G5534" s="149" t="n">
        <f aca="false">IF(C5534="M.O.",VLOOKUP(A5534,INSUMOS_AUX!A:F,6,0),0)</f>
        <v>0</v>
      </c>
    </row>
    <row r="5535" customFormat="false" ht="21" hidden="false" customHeight="false" outlineLevel="0" collapsed="false">
      <c r="A5535" s="154" t="n">
        <v>37372</v>
      </c>
      <c r="B5535" s="155" t="s">
        <v>1446</v>
      </c>
      <c r="C5535" s="148" t="str">
        <f aca="false">VLOOKUP($A5535,INSUMOS_AUX!$A$3:$H$813,3,0)</f>
        <v>MAT.</v>
      </c>
      <c r="D5535" s="156" t="s">
        <v>1444</v>
      </c>
      <c r="E5535" s="154" t="n">
        <v>0.767</v>
      </c>
      <c r="F5535" s="149" t="n">
        <f aca="false">IF(C5535="MAT.",VLOOKUP(A5535,INSUMOS_AUX!$A$3:$H$813,6,0),0)</f>
        <v>1.43</v>
      </c>
      <c r="G5535" s="149" t="n">
        <f aca="false">IF(C5535="M.O.",VLOOKUP(A5535,INSUMOS_AUX!A:F,6,0),0)</f>
        <v>0</v>
      </c>
    </row>
    <row r="5536" customFormat="false" ht="21" hidden="false" customHeight="false" outlineLevel="0" collapsed="false">
      <c r="A5536" s="154" t="n">
        <v>43460</v>
      </c>
      <c r="B5536" s="155" t="s">
        <v>1524</v>
      </c>
      <c r="C5536" s="148" t="str">
        <f aca="false">VLOOKUP($A5536,INSUMOS_AUX!$A$3:$H$813,3,0)</f>
        <v>MAT.</v>
      </c>
      <c r="D5536" s="156" t="s">
        <v>1444</v>
      </c>
      <c r="E5536" s="154" t="n">
        <v>0.767</v>
      </c>
      <c r="F5536" s="149" t="n">
        <f aca="false">IF(C5536="MAT.",VLOOKUP(A5536,INSUMOS_AUX!$A$3:$H$813,6,0),0)</f>
        <v>0.86</v>
      </c>
      <c r="G5536" s="149" t="n">
        <f aca="false">IF(C5536="M.O.",VLOOKUP(A5536,INSUMOS_AUX!A:F,6,0),0)</f>
        <v>0</v>
      </c>
    </row>
    <row r="5537" customFormat="false" ht="21" hidden="false" customHeight="false" outlineLevel="0" collapsed="false">
      <c r="A5537" s="154" t="n">
        <v>37373</v>
      </c>
      <c r="B5537" s="155" t="s">
        <v>1448</v>
      </c>
      <c r="C5537" s="148" t="str">
        <f aca="false">VLOOKUP($A5537,INSUMOS_AUX!$A$3:$H$813,3,0)</f>
        <v>MAT.</v>
      </c>
      <c r="D5537" s="156" t="s">
        <v>1444</v>
      </c>
      <c r="E5537" s="154" t="n">
        <v>0.767</v>
      </c>
      <c r="F5537" s="149" t="n">
        <f aca="false">IF(C5537="MAT.",VLOOKUP(A5537,INSUMOS_AUX!$A$3:$H$813,6,0),0)</f>
        <v>0.08</v>
      </c>
      <c r="G5537" s="149" t="n">
        <f aca="false">IF(C5537="M.O.",VLOOKUP(A5537,INSUMOS_AUX!A:F,6,0),0)</f>
        <v>0</v>
      </c>
    </row>
    <row r="5538" customFormat="false" ht="21" hidden="false" customHeight="false" outlineLevel="0" collapsed="false">
      <c r="A5538" s="154" t="n">
        <v>37371</v>
      </c>
      <c r="B5538" s="155" t="s">
        <v>1449</v>
      </c>
      <c r="C5538" s="148" t="str">
        <f aca="false">VLOOKUP($A5538,INSUMOS_AUX!$A$3:$H$813,3,0)</f>
        <v>MAT.</v>
      </c>
      <c r="D5538" s="156" t="s">
        <v>1444</v>
      </c>
      <c r="E5538" s="154" t="n">
        <v>0.767</v>
      </c>
      <c r="F5538" s="149" t="n">
        <f aca="false">IF(C5538="MAT.",VLOOKUP(A5538,INSUMOS_AUX!$A$3:$H$813,6,0),0)</f>
        <v>0.59</v>
      </c>
      <c r="G5538" s="149" t="n">
        <f aca="false">IF(C5538="M.O.",VLOOKUP(A5538,INSUMOS_AUX!A:F,6,0),0)</f>
        <v>0</v>
      </c>
    </row>
    <row r="5539" customFormat="false" ht="21" hidden="false" customHeight="false" outlineLevel="0" collapsed="false">
      <c r="A5539" s="154" t="s">
        <v>2413</v>
      </c>
      <c r="B5539" s="155" t="s">
        <v>2414</v>
      </c>
      <c r="C5539" s="148" t="str">
        <f aca="false">VLOOKUP($A5539,INSUMOS_AUX!$A$3:$H$813,3,0)</f>
        <v>MAT.</v>
      </c>
      <c r="D5539" s="156" t="s">
        <v>31</v>
      </c>
      <c r="E5539" s="154" t="n">
        <v>1</v>
      </c>
      <c r="F5539" s="149" t="n">
        <f aca="false">IF(C5539="MAT.",VLOOKUP(A5539,INSUMOS_AUX!$A$3:$H$813,6,0),0)</f>
        <v>16.9633333333333</v>
      </c>
      <c r="G5539" s="149" t="n">
        <f aca="false">IF(C5539="M.O.",VLOOKUP(A5539,INSUMOS_AUX!A:F,6,0),0)</f>
        <v>0</v>
      </c>
    </row>
    <row r="5540" customFormat="false" ht="31.5" hidden="false" customHeight="false" outlineLevel="0" collapsed="false">
      <c r="A5540" s="154" t="n">
        <v>13246</v>
      </c>
      <c r="B5540" s="155" t="s">
        <v>1811</v>
      </c>
      <c r="C5540" s="148" t="str">
        <f aca="false">VLOOKUP($A5540,INSUMOS_AUX!$A$3:$H$813,3,0)</f>
        <v>MAT.</v>
      </c>
      <c r="D5540" s="156" t="s">
        <v>31</v>
      </c>
      <c r="E5540" s="154" t="n">
        <v>16.8</v>
      </c>
      <c r="F5540" s="149" t="n">
        <f aca="false">IF(C5540="MAT.",VLOOKUP(A5540,INSUMOS_AUX!$A$3:$H$813,6,0),0)</f>
        <v>0.5</v>
      </c>
      <c r="G5540" s="149" t="n">
        <f aca="false">IF(C5540="M.O.",VLOOKUP(A5540,INSUMOS_AUX!A:F,6,0),0)</f>
        <v>0</v>
      </c>
    </row>
    <row r="5541" customFormat="false" ht="21" hidden="false" customHeight="false" outlineLevel="0" collapsed="false">
      <c r="A5541" s="154" t="s">
        <v>2402</v>
      </c>
      <c r="B5541" s="155" t="s">
        <v>2408</v>
      </c>
      <c r="C5541" s="148" t="str">
        <f aca="false">VLOOKUP($A5541,INSUMOS_AUX!$A$3:$H$813,3,0)</f>
        <v>MAT.</v>
      </c>
      <c r="D5541" s="156" t="s">
        <v>31</v>
      </c>
      <c r="E5541" s="154" t="n">
        <v>4</v>
      </c>
      <c r="F5541" s="149" t="n">
        <f aca="false">IF(C5541="MAT.",VLOOKUP(A5541,INSUMOS_AUX!$A$3:$H$813,6,0),0)</f>
        <v>2.39</v>
      </c>
      <c r="G5541" s="149" t="n">
        <f aca="false">IF(C5541="M.O.",VLOOKUP(A5541,INSUMOS_AUX!A:F,6,0),0)</f>
        <v>0</v>
      </c>
    </row>
    <row r="5542" customFormat="false" ht="15" hidden="false" customHeight="false" outlineLevel="0" collapsed="false">
      <c r="A5542" s="154" t="n">
        <v>247</v>
      </c>
      <c r="B5542" s="155" t="s">
        <v>1554</v>
      </c>
      <c r="C5542" s="148" t="str">
        <f aca="false">VLOOKUP($A5542,INSUMOS_AUX!$A$3:$H$813,3,0)</f>
        <v>M.O.</v>
      </c>
      <c r="D5542" s="156" t="s">
        <v>1444</v>
      </c>
      <c r="E5542" s="154" t="n">
        <v>0.39781222</v>
      </c>
      <c r="F5542" s="149" t="n">
        <f aca="false">IF(C5542="MAT.",VLOOKUP(A5542,INSUMOS_AUX!$A$3:$H$813,6,0),0)</f>
        <v>0</v>
      </c>
      <c r="G5542" s="149" t="n">
        <f aca="false">IF(C5542="M.O.",VLOOKUP(A5542,INSUMOS_AUX!A:F,6,0),0)</f>
        <v>13.26</v>
      </c>
    </row>
    <row r="5543" customFormat="false" ht="15" hidden="false" customHeight="false" outlineLevel="0" collapsed="false">
      <c r="A5543" s="154" t="n">
        <v>2436</v>
      </c>
      <c r="B5543" s="155" t="s">
        <v>1557</v>
      </c>
      <c r="C5543" s="148" t="str">
        <f aca="false">VLOOKUP($A5543,INSUMOS_AUX!$A$3:$H$813,3,0)</f>
        <v>M.O.</v>
      </c>
      <c r="D5543" s="156" t="s">
        <v>1444</v>
      </c>
      <c r="E5543" s="154" t="n">
        <v>0.39781222</v>
      </c>
      <c r="F5543" s="149" t="n">
        <f aca="false">IF(C5543="MAT.",VLOOKUP(A5543,INSUMOS_AUX!$A$3:$H$813,6,0),0)</f>
        <v>0</v>
      </c>
      <c r="G5543" s="149" t="n">
        <f aca="false">IF(C5543="M.O.",VLOOKUP(A5543,INSUMOS_AUX!A:F,6,0),0)</f>
        <v>20.22</v>
      </c>
    </row>
    <row r="5544" customFormat="false" ht="31.5" hidden="false" customHeight="false" outlineLevel="0" collapsed="false">
      <c r="A5544" s="150" t="s">
        <v>926</v>
      </c>
      <c r="B5544" s="151" t="s">
        <v>2415</v>
      </c>
      <c r="C5544" s="152" t="s">
        <v>59</v>
      </c>
      <c r="D5544" s="152" t="s">
        <v>31</v>
      </c>
      <c r="E5544" s="150"/>
      <c r="F5544" s="153" t="n">
        <f aca="false">(SUMPRODUCT($E5545:$E5555,F5545:F5555))*1</f>
        <v>39.6998466666667</v>
      </c>
      <c r="G5544" s="153" t="n">
        <f aca="false">(SUMPRODUCT($E5545:$E5555,G5545:G5555))*1</f>
        <v>5.2749900372</v>
      </c>
    </row>
    <row r="5545" customFormat="false" ht="21" hidden="false" customHeight="false" outlineLevel="0" collapsed="false">
      <c r="A5545" s="154" t="n">
        <v>37370</v>
      </c>
      <c r="B5545" s="155" t="s">
        <v>1443</v>
      </c>
      <c r="C5545" s="148" t="str">
        <f aca="false">VLOOKUP($A5545,INSUMOS_AUX!$A$3:$H$813,3,0)</f>
        <v>MAT.</v>
      </c>
      <c r="D5545" s="156" t="s">
        <v>1444</v>
      </c>
      <c r="E5545" s="154" t="n">
        <v>0.767</v>
      </c>
      <c r="F5545" s="149" t="n">
        <f aca="false">IF(C5545="MAT.",VLOOKUP(A5545,INSUMOS_AUX!$A$3:$H$813,6,0),0)</f>
        <v>3.32</v>
      </c>
      <c r="G5545" s="149" t="n">
        <f aca="false">IF(C5545="M.O.",VLOOKUP(A5545,INSUMOS_AUX!A:F,6,0),0)</f>
        <v>0</v>
      </c>
    </row>
    <row r="5546" customFormat="false" ht="21" hidden="false" customHeight="false" outlineLevel="0" collapsed="false">
      <c r="A5546" s="154" t="n">
        <v>43484</v>
      </c>
      <c r="B5546" s="155" t="s">
        <v>1523</v>
      </c>
      <c r="C5546" s="148" t="str">
        <f aca="false">VLOOKUP($A5546,INSUMOS_AUX!$A$3:$H$813,3,0)</f>
        <v>MAT.</v>
      </c>
      <c r="D5546" s="156" t="s">
        <v>1444</v>
      </c>
      <c r="E5546" s="154" t="n">
        <v>0.767</v>
      </c>
      <c r="F5546" s="149" t="n">
        <f aca="false">IF(C5546="MAT.",VLOOKUP(A5546,INSUMOS_AUX!$A$3:$H$813,6,0),0)</f>
        <v>1.26</v>
      </c>
      <c r="G5546" s="149" t="n">
        <f aca="false">IF(C5546="M.O.",VLOOKUP(A5546,INSUMOS_AUX!A:F,6,0),0)</f>
        <v>0</v>
      </c>
    </row>
    <row r="5547" customFormat="false" ht="21" hidden="false" customHeight="false" outlineLevel="0" collapsed="false">
      <c r="A5547" s="154" t="n">
        <v>37372</v>
      </c>
      <c r="B5547" s="155" t="s">
        <v>1446</v>
      </c>
      <c r="C5547" s="148" t="str">
        <f aca="false">VLOOKUP($A5547,INSUMOS_AUX!$A$3:$H$813,3,0)</f>
        <v>MAT.</v>
      </c>
      <c r="D5547" s="156" t="s">
        <v>1444</v>
      </c>
      <c r="E5547" s="154" t="n">
        <v>0.767</v>
      </c>
      <c r="F5547" s="149" t="n">
        <f aca="false">IF(C5547="MAT.",VLOOKUP(A5547,INSUMOS_AUX!$A$3:$H$813,6,0),0)</f>
        <v>1.43</v>
      </c>
      <c r="G5547" s="149" t="n">
        <f aca="false">IF(C5547="M.O.",VLOOKUP(A5547,INSUMOS_AUX!A:F,6,0),0)</f>
        <v>0</v>
      </c>
    </row>
    <row r="5548" customFormat="false" ht="21" hidden="false" customHeight="false" outlineLevel="0" collapsed="false">
      <c r="A5548" s="154" t="n">
        <v>43460</v>
      </c>
      <c r="B5548" s="155" t="s">
        <v>1524</v>
      </c>
      <c r="C5548" s="148" t="str">
        <f aca="false">VLOOKUP($A5548,INSUMOS_AUX!$A$3:$H$813,3,0)</f>
        <v>MAT.</v>
      </c>
      <c r="D5548" s="156" t="s">
        <v>1444</v>
      </c>
      <c r="E5548" s="154" t="n">
        <v>0.767</v>
      </c>
      <c r="F5548" s="149" t="n">
        <f aca="false">IF(C5548="MAT.",VLOOKUP(A5548,INSUMOS_AUX!$A$3:$H$813,6,0),0)</f>
        <v>0.86</v>
      </c>
      <c r="G5548" s="149" t="n">
        <f aca="false">IF(C5548="M.O.",VLOOKUP(A5548,INSUMOS_AUX!A:F,6,0),0)</f>
        <v>0</v>
      </c>
    </row>
    <row r="5549" customFormat="false" ht="21" hidden="false" customHeight="false" outlineLevel="0" collapsed="false">
      <c r="A5549" s="154" t="n">
        <v>37373</v>
      </c>
      <c r="B5549" s="155" t="s">
        <v>1448</v>
      </c>
      <c r="C5549" s="148" t="str">
        <f aca="false">VLOOKUP($A5549,INSUMOS_AUX!$A$3:$H$813,3,0)</f>
        <v>MAT.</v>
      </c>
      <c r="D5549" s="156" t="s">
        <v>1444</v>
      </c>
      <c r="E5549" s="154" t="n">
        <v>0.767</v>
      </c>
      <c r="F5549" s="149" t="n">
        <f aca="false">IF(C5549="MAT.",VLOOKUP(A5549,INSUMOS_AUX!$A$3:$H$813,6,0),0)</f>
        <v>0.08</v>
      </c>
      <c r="G5549" s="149" t="n">
        <f aca="false">IF(C5549="M.O.",VLOOKUP(A5549,INSUMOS_AUX!A:F,6,0),0)</f>
        <v>0</v>
      </c>
    </row>
    <row r="5550" customFormat="false" ht="21" hidden="false" customHeight="false" outlineLevel="0" collapsed="false">
      <c r="A5550" s="154" t="n">
        <v>37371</v>
      </c>
      <c r="B5550" s="155" t="s">
        <v>1449</v>
      </c>
      <c r="C5550" s="148" t="str">
        <f aca="false">VLOOKUP($A5550,INSUMOS_AUX!$A$3:$H$813,3,0)</f>
        <v>MAT.</v>
      </c>
      <c r="D5550" s="156" t="s">
        <v>1444</v>
      </c>
      <c r="E5550" s="154" t="n">
        <v>0.767</v>
      </c>
      <c r="F5550" s="149" t="n">
        <f aca="false">IF(C5550="MAT.",VLOOKUP(A5550,INSUMOS_AUX!$A$3:$H$813,6,0),0)</f>
        <v>0.59</v>
      </c>
      <c r="G5550" s="149" t="n">
        <f aca="false">IF(C5550="M.O.",VLOOKUP(A5550,INSUMOS_AUX!A:F,6,0),0)</f>
        <v>0</v>
      </c>
    </row>
    <row r="5551" customFormat="false" ht="21" hidden="false" customHeight="false" outlineLevel="0" collapsed="false">
      <c r="A5551" s="154" t="s">
        <v>2416</v>
      </c>
      <c r="B5551" s="155" t="s">
        <v>2417</v>
      </c>
      <c r="C5551" s="148" t="str">
        <f aca="false">VLOOKUP($A5551,INSUMOS_AUX!$A$3:$H$813,3,0)</f>
        <v>MAT.</v>
      </c>
      <c r="D5551" s="156" t="s">
        <v>31</v>
      </c>
      <c r="E5551" s="154" t="n">
        <v>1</v>
      </c>
      <c r="F5551" s="149" t="n">
        <f aca="false">IF(C5551="MAT.",VLOOKUP(A5551,INSUMOS_AUX!$A$3:$H$813,6,0),0)</f>
        <v>15.9566666666667</v>
      </c>
      <c r="G5551" s="149" t="n">
        <f aca="false">IF(C5551="M.O.",VLOOKUP(A5551,INSUMOS_AUX!A:F,6,0),0)</f>
        <v>0</v>
      </c>
    </row>
    <row r="5552" customFormat="false" ht="31.5" hidden="false" customHeight="false" outlineLevel="0" collapsed="false">
      <c r="A5552" s="154" t="n">
        <v>13246</v>
      </c>
      <c r="B5552" s="155" t="s">
        <v>1811</v>
      </c>
      <c r="C5552" s="148" t="str">
        <f aca="false">VLOOKUP($A5552,INSUMOS_AUX!$A$3:$H$813,3,0)</f>
        <v>MAT.</v>
      </c>
      <c r="D5552" s="156" t="s">
        <v>31</v>
      </c>
      <c r="E5552" s="154" t="n">
        <v>16.8</v>
      </c>
      <c r="F5552" s="149" t="n">
        <f aca="false">IF(C5552="MAT.",VLOOKUP(A5552,INSUMOS_AUX!$A$3:$H$813,6,0),0)</f>
        <v>0.5</v>
      </c>
      <c r="G5552" s="149" t="n">
        <f aca="false">IF(C5552="M.O.",VLOOKUP(A5552,INSUMOS_AUX!A:F,6,0),0)</f>
        <v>0</v>
      </c>
    </row>
    <row r="5553" customFormat="false" ht="21" hidden="false" customHeight="false" outlineLevel="0" collapsed="false">
      <c r="A5553" s="154" t="s">
        <v>2402</v>
      </c>
      <c r="B5553" s="155" t="s">
        <v>2403</v>
      </c>
      <c r="C5553" s="148" t="str">
        <f aca="false">VLOOKUP($A5553,INSUMOS_AUX!$A$3:$H$813,3,0)</f>
        <v>MAT.</v>
      </c>
      <c r="D5553" s="156" t="s">
        <v>31</v>
      </c>
      <c r="E5553" s="154" t="n">
        <v>4</v>
      </c>
      <c r="F5553" s="149" t="n">
        <f aca="false">IF(C5553="MAT.",VLOOKUP(A5553,INSUMOS_AUX!$A$3:$H$813,6,0),0)</f>
        <v>2.39</v>
      </c>
      <c r="G5553" s="149" t="n">
        <f aca="false">IF(C5553="M.O.",VLOOKUP(A5553,INSUMOS_AUX!A:F,6,0),0)</f>
        <v>0</v>
      </c>
    </row>
    <row r="5554" customFormat="false" ht="15" hidden="false" customHeight="false" outlineLevel="0" collapsed="false">
      <c r="A5554" s="154" t="n">
        <v>247</v>
      </c>
      <c r="B5554" s="155" t="s">
        <v>1554</v>
      </c>
      <c r="C5554" s="148" t="str">
        <f aca="false">VLOOKUP($A5554,INSUMOS_AUX!$A$3:$H$813,3,0)</f>
        <v>M.O.</v>
      </c>
      <c r="D5554" s="156" t="s">
        <v>1444</v>
      </c>
      <c r="E5554" s="154" t="n">
        <v>0.39781222</v>
      </c>
      <c r="F5554" s="149" t="n">
        <f aca="false">IF(C5554="MAT.",VLOOKUP(A5554,INSUMOS_AUX!$A$3:$H$813,6,0),0)</f>
        <v>0</v>
      </c>
      <c r="G5554" s="149" t="n">
        <f aca="false">IF(C5554="M.O.",VLOOKUP(A5554,INSUMOS_AUX!A:F,6,0),0)</f>
        <v>13.26</v>
      </c>
    </row>
    <row r="5555" customFormat="false" ht="15" hidden="false" customHeight="false" outlineLevel="0" collapsed="false">
      <c r="A5555" s="154" t="n">
        <v>2436</v>
      </c>
      <c r="B5555" s="155" t="s">
        <v>1557</v>
      </c>
      <c r="C5555" s="148" t="s">
        <v>59</v>
      </c>
      <c r="D5555" s="156" t="s">
        <v>1444</v>
      </c>
      <c r="E5555" s="154" t="n">
        <v>0.39781222</v>
      </c>
      <c r="F5555" s="149" t="n">
        <f aca="false">IF(C5555="MAT.",VLOOKUP(A5555,INSUMOS_AUX!$A$3:$H$813,6,0),0)</f>
        <v>0</v>
      </c>
      <c r="G5555" s="149" t="n">
        <f aca="false">IF(C5555="M.O.",VLOOKUP(A5555,INSUMOS_AUX!A:F,6,0),0)</f>
        <v>0</v>
      </c>
    </row>
    <row r="5556" customFormat="false" ht="31.5" hidden="false" customHeight="false" outlineLevel="0" collapsed="false">
      <c r="A5556" s="150" t="s">
        <v>928</v>
      </c>
      <c r="B5556" s="151" t="s">
        <v>2418</v>
      </c>
      <c r="C5556" s="152" t="s">
        <v>59</v>
      </c>
      <c r="D5556" s="152" t="s">
        <v>31</v>
      </c>
      <c r="E5556" s="150"/>
      <c r="F5556" s="153" t="n">
        <f aca="false">(SUMPRODUCT($E5557:$E5567,F5557:F5567))*1</f>
        <v>62.8337373333333</v>
      </c>
      <c r="G5556" s="153" t="n">
        <f aca="false">(SUMPRODUCT($E5557:$E5567,G5557:G5567))*1</f>
        <v>17.75717985168</v>
      </c>
    </row>
    <row r="5557" customFormat="false" ht="21" hidden="false" customHeight="false" outlineLevel="0" collapsed="false">
      <c r="A5557" s="154" t="n">
        <v>37370</v>
      </c>
      <c r="B5557" s="155" t="s">
        <v>1443</v>
      </c>
      <c r="C5557" s="148" t="str">
        <f aca="false">VLOOKUP($A5557,INSUMOS_AUX!$A$3:$H$813,3,0)</f>
        <v>MAT.</v>
      </c>
      <c r="D5557" s="156" t="s">
        <v>1444</v>
      </c>
      <c r="E5557" s="154" t="n">
        <v>1.0226</v>
      </c>
      <c r="F5557" s="149" t="n">
        <f aca="false">IF(C5557="MAT.",VLOOKUP(A5557,INSUMOS_AUX!$A$3:$H$813,6,0),0)</f>
        <v>3.32</v>
      </c>
      <c r="G5557" s="149" t="n">
        <f aca="false">IF(C5557="M.O.",VLOOKUP(A5557,INSUMOS_AUX!A:F,6,0),0)</f>
        <v>0</v>
      </c>
    </row>
    <row r="5558" customFormat="false" ht="21" hidden="false" customHeight="false" outlineLevel="0" collapsed="false">
      <c r="A5558" s="154" t="n">
        <v>43484</v>
      </c>
      <c r="B5558" s="155" t="s">
        <v>1523</v>
      </c>
      <c r="C5558" s="148" t="str">
        <f aca="false">VLOOKUP($A5558,INSUMOS_AUX!$A$3:$H$813,3,0)</f>
        <v>MAT.</v>
      </c>
      <c r="D5558" s="156" t="s">
        <v>1444</v>
      </c>
      <c r="E5558" s="154" t="n">
        <v>1.0226</v>
      </c>
      <c r="F5558" s="149" t="n">
        <f aca="false">IF(C5558="MAT.",VLOOKUP(A5558,INSUMOS_AUX!$A$3:$H$813,6,0),0)</f>
        <v>1.26</v>
      </c>
      <c r="G5558" s="149" t="n">
        <f aca="false">IF(C5558="M.O.",VLOOKUP(A5558,INSUMOS_AUX!A:F,6,0),0)</f>
        <v>0</v>
      </c>
    </row>
    <row r="5559" customFormat="false" ht="21" hidden="false" customHeight="false" outlineLevel="0" collapsed="false">
      <c r="A5559" s="154" t="n">
        <v>37372</v>
      </c>
      <c r="B5559" s="155" t="s">
        <v>1446</v>
      </c>
      <c r="C5559" s="148" t="str">
        <f aca="false">VLOOKUP($A5559,INSUMOS_AUX!$A$3:$H$813,3,0)</f>
        <v>MAT.</v>
      </c>
      <c r="D5559" s="156" t="s">
        <v>1444</v>
      </c>
      <c r="E5559" s="154" t="n">
        <v>1.0226</v>
      </c>
      <c r="F5559" s="149" t="n">
        <f aca="false">IF(C5559="MAT.",VLOOKUP(A5559,INSUMOS_AUX!$A$3:$H$813,6,0),0)</f>
        <v>1.43</v>
      </c>
      <c r="G5559" s="149" t="n">
        <f aca="false">IF(C5559="M.O.",VLOOKUP(A5559,INSUMOS_AUX!A:F,6,0),0)</f>
        <v>0</v>
      </c>
    </row>
    <row r="5560" customFormat="false" ht="21" hidden="false" customHeight="false" outlineLevel="0" collapsed="false">
      <c r="A5560" s="154" t="n">
        <v>43460</v>
      </c>
      <c r="B5560" s="155" t="s">
        <v>1524</v>
      </c>
      <c r="C5560" s="148" t="str">
        <f aca="false">VLOOKUP($A5560,INSUMOS_AUX!$A$3:$H$813,3,0)</f>
        <v>MAT.</v>
      </c>
      <c r="D5560" s="156" t="s">
        <v>1444</v>
      </c>
      <c r="E5560" s="154" t="n">
        <v>1.0226</v>
      </c>
      <c r="F5560" s="149" t="n">
        <f aca="false">IF(C5560="MAT.",VLOOKUP(A5560,INSUMOS_AUX!$A$3:$H$813,6,0),0)</f>
        <v>0.86</v>
      </c>
      <c r="G5560" s="149" t="n">
        <f aca="false">IF(C5560="M.O.",VLOOKUP(A5560,INSUMOS_AUX!A:F,6,0),0)</f>
        <v>0</v>
      </c>
    </row>
    <row r="5561" customFormat="false" ht="21" hidden="false" customHeight="false" outlineLevel="0" collapsed="false">
      <c r="A5561" s="154" t="n">
        <v>37373</v>
      </c>
      <c r="B5561" s="155" t="s">
        <v>1448</v>
      </c>
      <c r="C5561" s="148" t="str">
        <f aca="false">VLOOKUP($A5561,INSUMOS_AUX!$A$3:$H$813,3,0)</f>
        <v>MAT.</v>
      </c>
      <c r="D5561" s="156" t="s">
        <v>1444</v>
      </c>
      <c r="E5561" s="154" t="n">
        <v>1.0226</v>
      </c>
      <c r="F5561" s="149" t="n">
        <f aca="false">IF(C5561="MAT.",VLOOKUP(A5561,INSUMOS_AUX!$A$3:$H$813,6,0),0)</f>
        <v>0.08</v>
      </c>
      <c r="G5561" s="149" t="n">
        <f aca="false">IF(C5561="M.O.",VLOOKUP(A5561,INSUMOS_AUX!A:F,6,0),0)</f>
        <v>0</v>
      </c>
    </row>
    <row r="5562" customFormat="false" ht="21" hidden="false" customHeight="false" outlineLevel="0" collapsed="false">
      <c r="A5562" s="154" t="n">
        <v>37371</v>
      </c>
      <c r="B5562" s="155" t="s">
        <v>1449</v>
      </c>
      <c r="C5562" s="148" t="str">
        <f aca="false">VLOOKUP($A5562,INSUMOS_AUX!$A$3:$H$813,3,0)</f>
        <v>MAT.</v>
      </c>
      <c r="D5562" s="156" t="s">
        <v>1444</v>
      </c>
      <c r="E5562" s="154" t="n">
        <v>1.0226</v>
      </c>
      <c r="F5562" s="149" t="n">
        <f aca="false">IF(C5562="MAT.",VLOOKUP(A5562,INSUMOS_AUX!$A$3:$H$813,6,0),0)</f>
        <v>0.59</v>
      </c>
      <c r="G5562" s="149" t="n">
        <f aca="false">IF(C5562="M.O.",VLOOKUP(A5562,INSUMOS_AUX!A:F,6,0),0)</f>
        <v>0</v>
      </c>
    </row>
    <row r="5563" customFormat="false" ht="31.5" hidden="false" customHeight="false" outlineLevel="0" collapsed="false">
      <c r="A5563" s="154" t="n">
        <v>13246</v>
      </c>
      <c r="B5563" s="155" t="s">
        <v>1811</v>
      </c>
      <c r="C5563" s="148" t="str">
        <f aca="false">VLOOKUP($A5563,INSUMOS_AUX!$A$3:$H$813,3,0)</f>
        <v>MAT.</v>
      </c>
      <c r="D5563" s="156" t="s">
        <v>31</v>
      </c>
      <c r="E5563" s="154" t="n">
        <v>25.2</v>
      </c>
      <c r="F5563" s="149" t="n">
        <f aca="false">IF(C5563="MAT.",VLOOKUP(A5563,INSUMOS_AUX!$A$3:$H$813,6,0),0)</f>
        <v>0.5</v>
      </c>
      <c r="G5563" s="149" t="n">
        <f aca="false">IF(C5563="M.O.",VLOOKUP(A5563,INSUMOS_AUX!A:F,6,0),0)</f>
        <v>0</v>
      </c>
    </row>
    <row r="5564" customFormat="false" ht="21" hidden="false" customHeight="false" outlineLevel="0" collapsed="false">
      <c r="A5564" s="154" t="s">
        <v>2402</v>
      </c>
      <c r="B5564" s="155" t="s">
        <v>2403</v>
      </c>
      <c r="C5564" s="148" t="str">
        <f aca="false">VLOOKUP($A5564,INSUMOS_AUX!$A$3:$H$813,3,0)</f>
        <v>MAT.</v>
      </c>
      <c r="D5564" s="156" t="s">
        <v>31</v>
      </c>
      <c r="E5564" s="154" t="n">
        <v>6</v>
      </c>
      <c r="F5564" s="149" t="n">
        <f aca="false">IF(C5564="MAT.",VLOOKUP(A5564,INSUMOS_AUX!$A$3:$H$813,6,0),0)</f>
        <v>2.39</v>
      </c>
      <c r="G5564" s="149" t="n">
        <f aca="false">IF(C5564="M.O.",VLOOKUP(A5564,INSUMOS_AUX!A:F,6,0),0)</f>
        <v>0</v>
      </c>
    </row>
    <row r="5565" customFormat="false" ht="21" hidden="false" customHeight="false" outlineLevel="0" collapsed="false">
      <c r="A5565" s="154" t="s">
        <v>2419</v>
      </c>
      <c r="B5565" s="155" t="s">
        <v>2420</v>
      </c>
      <c r="C5565" s="148" t="str">
        <f aca="false">VLOOKUP($A5565,INSUMOS_AUX!$A$3:$H$813,3,0)</f>
        <v>MAT.</v>
      </c>
      <c r="D5565" s="156" t="s">
        <v>31</v>
      </c>
      <c r="E5565" s="154" t="n">
        <v>1</v>
      </c>
      <c r="F5565" s="149" t="n">
        <f aca="false">IF(C5565="MAT.",VLOOKUP(A5565,INSUMOS_AUX!$A$3:$H$813,6,0),0)</f>
        <v>28.1833333333333</v>
      </c>
      <c r="G5565" s="149" t="n">
        <f aca="false">IF(C5565="M.O.",VLOOKUP(A5565,INSUMOS_AUX!A:F,6,0),0)</f>
        <v>0</v>
      </c>
    </row>
    <row r="5566" customFormat="false" ht="15" hidden="false" customHeight="false" outlineLevel="0" collapsed="false">
      <c r="A5566" s="154" t="n">
        <v>247</v>
      </c>
      <c r="B5566" s="155" t="s">
        <v>1554</v>
      </c>
      <c r="C5566" s="148" t="str">
        <f aca="false">VLOOKUP($A5566,INSUMOS_AUX!$A$3:$H$813,3,0)</f>
        <v>M.O.</v>
      </c>
      <c r="D5566" s="156" t="s">
        <v>1444</v>
      </c>
      <c r="E5566" s="154" t="n">
        <v>0.530381716</v>
      </c>
      <c r="F5566" s="149" t="n">
        <f aca="false">IF(C5566="MAT.",VLOOKUP(A5566,INSUMOS_AUX!$A$3:$H$813,6,0),0)</f>
        <v>0</v>
      </c>
      <c r="G5566" s="149" t="n">
        <f aca="false">IF(C5566="M.O.",VLOOKUP(A5566,INSUMOS_AUX!A:F,6,0),0)</f>
        <v>13.26</v>
      </c>
    </row>
    <row r="5567" customFormat="false" ht="15" hidden="false" customHeight="false" outlineLevel="0" collapsed="false">
      <c r="A5567" s="154" t="n">
        <v>2436</v>
      </c>
      <c r="B5567" s="155" t="s">
        <v>1557</v>
      </c>
      <c r="C5567" s="148" t="str">
        <f aca="false">VLOOKUP($A5567,INSUMOS_AUX!$A$3:$H$813,3,0)</f>
        <v>M.O.</v>
      </c>
      <c r="D5567" s="156" t="s">
        <v>1444</v>
      </c>
      <c r="E5567" s="154" t="n">
        <v>0.530381716</v>
      </c>
      <c r="F5567" s="149" t="n">
        <f aca="false">IF(C5567="MAT.",VLOOKUP(A5567,INSUMOS_AUX!$A$3:$H$813,6,0),0)</f>
        <v>0</v>
      </c>
      <c r="G5567" s="149" t="n">
        <f aca="false">IF(C5567="M.O.",VLOOKUP(A5567,INSUMOS_AUX!A:F,6,0),0)</f>
        <v>20.22</v>
      </c>
    </row>
    <row r="5568" customFormat="false" ht="31.5" hidden="false" customHeight="false" outlineLevel="0" collapsed="false">
      <c r="A5568" s="150" t="s">
        <v>930</v>
      </c>
      <c r="B5568" s="151" t="s">
        <v>2421</v>
      </c>
      <c r="C5568" s="152" t="s">
        <v>59</v>
      </c>
      <c r="D5568" s="152" t="s">
        <v>31</v>
      </c>
      <c r="E5568" s="150"/>
      <c r="F5568" s="153" t="n">
        <f aca="false">(SUMPRODUCT($E5569:$E5579,F5569:F5579))*1</f>
        <v>39.2833813333333</v>
      </c>
      <c r="G5568" s="153" t="n">
        <f aca="false">(SUMPRODUCT($E5569:$E5579,G5569:G5579))*1</f>
        <v>13.05133617888</v>
      </c>
    </row>
    <row r="5569" customFormat="false" ht="21" hidden="false" customHeight="false" outlineLevel="0" collapsed="false">
      <c r="A5569" s="154" t="n">
        <v>37370</v>
      </c>
      <c r="B5569" s="155" t="s">
        <v>1443</v>
      </c>
      <c r="C5569" s="148" t="str">
        <f aca="false">VLOOKUP($A5569,INSUMOS_AUX!$A$3:$H$813,3,0)</f>
        <v>MAT.</v>
      </c>
      <c r="D5569" s="156" t="s">
        <v>1444</v>
      </c>
      <c r="E5569" s="154" t="n">
        <v>0.7516</v>
      </c>
      <c r="F5569" s="149" t="n">
        <f aca="false">IF(C5569="MAT.",VLOOKUP(A5569,INSUMOS_AUX!$A$3:$H$813,6,0),0)</f>
        <v>3.32</v>
      </c>
      <c r="G5569" s="149" t="n">
        <f aca="false">IF(C5569="M.O.",VLOOKUP(A5569,INSUMOS_AUX!A:F,6,0),0)</f>
        <v>0</v>
      </c>
    </row>
    <row r="5570" customFormat="false" ht="21" hidden="false" customHeight="false" outlineLevel="0" collapsed="false">
      <c r="A5570" s="154" t="n">
        <v>43484</v>
      </c>
      <c r="B5570" s="155" t="s">
        <v>1523</v>
      </c>
      <c r="C5570" s="148" t="s">
        <v>59</v>
      </c>
      <c r="D5570" s="156" t="s">
        <v>1444</v>
      </c>
      <c r="E5570" s="154" t="n">
        <v>0.7516</v>
      </c>
      <c r="F5570" s="149" t="n">
        <f aca="false">IF(C5570="MAT.",VLOOKUP(A5570,INSUMOS_AUX!$A$3:$H$813,6,0),0)</f>
        <v>0</v>
      </c>
      <c r="G5570" s="149" t="n">
        <f aca="false">IF(C5570="M.O.",VLOOKUP(A5570,INSUMOS_AUX!A:F,6,0),0)</f>
        <v>0</v>
      </c>
    </row>
    <row r="5571" customFormat="false" ht="21" hidden="false" customHeight="false" outlineLevel="0" collapsed="false">
      <c r="A5571" s="154" t="n">
        <v>37372</v>
      </c>
      <c r="B5571" s="155" t="s">
        <v>1446</v>
      </c>
      <c r="C5571" s="148" t="str">
        <f aca="false">VLOOKUP($A5571,INSUMOS_AUX!$A$3:$H$813,3,0)</f>
        <v>MAT.</v>
      </c>
      <c r="D5571" s="156" t="s">
        <v>1444</v>
      </c>
      <c r="E5571" s="154" t="n">
        <v>0.7516</v>
      </c>
      <c r="F5571" s="149" t="n">
        <f aca="false">IF(C5571="MAT.",VLOOKUP(A5571,INSUMOS_AUX!$A$3:$H$813,6,0),0)</f>
        <v>1.43</v>
      </c>
      <c r="G5571" s="149" t="n">
        <f aca="false">IF(C5571="M.O.",VLOOKUP(A5571,INSUMOS_AUX!A:F,6,0),0)</f>
        <v>0</v>
      </c>
    </row>
    <row r="5572" customFormat="false" ht="21" hidden="false" customHeight="false" outlineLevel="0" collapsed="false">
      <c r="A5572" s="154" t="n">
        <v>43460</v>
      </c>
      <c r="B5572" s="155" t="s">
        <v>1524</v>
      </c>
      <c r="C5572" s="148" t="str">
        <f aca="false">VLOOKUP($A5572,INSUMOS_AUX!$A$3:$H$813,3,0)</f>
        <v>MAT.</v>
      </c>
      <c r="D5572" s="156" t="s">
        <v>1444</v>
      </c>
      <c r="E5572" s="154" t="n">
        <v>0.7516</v>
      </c>
      <c r="F5572" s="149" t="n">
        <f aca="false">IF(C5572="MAT.",VLOOKUP(A5572,INSUMOS_AUX!$A$3:$H$813,6,0),0)</f>
        <v>0.86</v>
      </c>
      <c r="G5572" s="149" t="n">
        <f aca="false">IF(C5572="M.O.",VLOOKUP(A5572,INSUMOS_AUX!A:F,6,0),0)</f>
        <v>0</v>
      </c>
    </row>
    <row r="5573" customFormat="false" ht="21" hidden="false" customHeight="false" outlineLevel="0" collapsed="false">
      <c r="A5573" s="154" t="n">
        <v>37373</v>
      </c>
      <c r="B5573" s="155" t="s">
        <v>1448</v>
      </c>
      <c r="C5573" s="148" t="str">
        <f aca="false">VLOOKUP($A5573,INSUMOS_AUX!$A$3:$H$813,3,0)</f>
        <v>MAT.</v>
      </c>
      <c r="D5573" s="156" t="s">
        <v>1444</v>
      </c>
      <c r="E5573" s="154" t="n">
        <v>0.7516</v>
      </c>
      <c r="F5573" s="149" t="n">
        <f aca="false">IF(C5573="MAT.",VLOOKUP(A5573,INSUMOS_AUX!$A$3:$H$813,6,0),0)</f>
        <v>0.08</v>
      </c>
      <c r="G5573" s="149" t="n">
        <f aca="false">IF(C5573="M.O.",VLOOKUP(A5573,INSUMOS_AUX!A:F,6,0),0)</f>
        <v>0</v>
      </c>
    </row>
    <row r="5574" customFormat="false" ht="21" hidden="false" customHeight="false" outlineLevel="0" collapsed="false">
      <c r="A5574" s="154" t="n">
        <v>37371</v>
      </c>
      <c r="B5574" s="155" t="s">
        <v>1449</v>
      </c>
      <c r="C5574" s="148" t="str">
        <f aca="false">VLOOKUP($A5574,INSUMOS_AUX!$A$3:$H$813,3,0)</f>
        <v>MAT.</v>
      </c>
      <c r="D5574" s="156" t="s">
        <v>1444</v>
      </c>
      <c r="E5574" s="154" t="n">
        <v>0.7516</v>
      </c>
      <c r="F5574" s="149" t="n">
        <f aca="false">IF(C5574="MAT.",VLOOKUP(A5574,INSUMOS_AUX!$A$3:$H$813,6,0),0)</f>
        <v>0.59</v>
      </c>
      <c r="G5574" s="149" t="n">
        <f aca="false">IF(C5574="M.O.",VLOOKUP(A5574,INSUMOS_AUX!A:F,6,0),0)</f>
        <v>0</v>
      </c>
    </row>
    <row r="5575" customFormat="false" ht="31.5" hidden="false" customHeight="false" outlineLevel="0" collapsed="false">
      <c r="A5575" s="154" t="n">
        <v>13246</v>
      </c>
      <c r="B5575" s="155" t="s">
        <v>1811</v>
      </c>
      <c r="C5575" s="148" t="str">
        <f aca="false">VLOOKUP($A5575,INSUMOS_AUX!$A$3:$H$813,3,0)</f>
        <v>MAT.</v>
      </c>
      <c r="D5575" s="156" t="s">
        <v>31</v>
      </c>
      <c r="E5575" s="154" t="n">
        <v>25.2</v>
      </c>
      <c r="F5575" s="149" t="n">
        <f aca="false">IF(C5575="MAT.",VLOOKUP(A5575,INSUMOS_AUX!$A$3:$H$813,6,0),0)</f>
        <v>0.5</v>
      </c>
      <c r="G5575" s="149" t="n">
        <f aca="false">IF(C5575="M.O.",VLOOKUP(A5575,INSUMOS_AUX!A:F,6,0),0)</f>
        <v>0</v>
      </c>
    </row>
    <row r="5576" customFormat="false" ht="21" hidden="false" customHeight="false" outlineLevel="0" collapsed="false">
      <c r="A5576" s="154" t="s">
        <v>2407</v>
      </c>
      <c r="B5576" s="155" t="s">
        <v>2408</v>
      </c>
      <c r="C5576" s="148" t="str">
        <f aca="false">VLOOKUP($A5576,INSUMOS_AUX!$A$3:$H$813,3,0)</f>
        <v>MAT.</v>
      </c>
      <c r="D5576" s="156" t="s">
        <v>31</v>
      </c>
      <c r="E5576" s="154" t="n">
        <v>6</v>
      </c>
      <c r="F5576" s="149" t="n">
        <f aca="false">IF(C5576="MAT.",VLOOKUP(A5576,INSUMOS_AUX!$A$3:$H$813,6,0),0)</f>
        <v>0.933333333333333</v>
      </c>
      <c r="G5576" s="149" t="n">
        <f aca="false">IF(C5576="M.O.",VLOOKUP(A5576,INSUMOS_AUX!A:F,6,0),0)</f>
        <v>0</v>
      </c>
    </row>
    <row r="5577" customFormat="false" ht="21" hidden="false" customHeight="false" outlineLevel="0" collapsed="false">
      <c r="A5577" s="154" t="s">
        <v>2422</v>
      </c>
      <c r="B5577" s="155" t="s">
        <v>2423</v>
      </c>
      <c r="C5577" s="148" t="str">
        <f aca="false">VLOOKUP($A5577,INSUMOS_AUX!$A$3:$H$813,3,0)</f>
        <v>MAT.</v>
      </c>
      <c r="D5577" s="156" t="s">
        <v>2424</v>
      </c>
      <c r="E5577" s="154" t="n">
        <v>1</v>
      </c>
      <c r="F5577" s="149" t="n">
        <f aca="false">IF(C5577="MAT.",VLOOKUP(A5577,INSUMOS_AUX!$A$3:$H$813,6,0),0)</f>
        <v>16.3633333333333</v>
      </c>
      <c r="G5577" s="149" t="n">
        <f aca="false">IF(C5577="M.O.",VLOOKUP(A5577,INSUMOS_AUX!A:F,6,0),0)</f>
        <v>0</v>
      </c>
    </row>
    <row r="5578" customFormat="false" ht="15" hidden="false" customHeight="false" outlineLevel="0" collapsed="false">
      <c r="A5578" s="154" t="n">
        <v>247</v>
      </c>
      <c r="B5578" s="155" t="s">
        <v>1554</v>
      </c>
      <c r="C5578" s="148" t="str">
        <f aca="false">VLOOKUP($A5578,INSUMOS_AUX!$A$3:$H$813,3,0)</f>
        <v>M.O.</v>
      </c>
      <c r="D5578" s="156" t="s">
        <v>1444</v>
      </c>
      <c r="E5578" s="154" t="n">
        <v>0.389824856</v>
      </c>
      <c r="F5578" s="149" t="n">
        <f aca="false">IF(C5578="MAT.",VLOOKUP(A5578,INSUMOS_AUX!$A$3:$H$813,6,0),0)</f>
        <v>0</v>
      </c>
      <c r="G5578" s="149" t="n">
        <f aca="false">IF(C5578="M.O.",VLOOKUP(A5578,INSUMOS_AUX!A:F,6,0),0)</f>
        <v>13.26</v>
      </c>
    </row>
    <row r="5579" customFormat="false" ht="15" hidden="false" customHeight="false" outlineLevel="0" collapsed="false">
      <c r="A5579" s="154" t="n">
        <v>2436</v>
      </c>
      <c r="B5579" s="155" t="s">
        <v>1557</v>
      </c>
      <c r="C5579" s="148" t="str">
        <f aca="false">VLOOKUP($A5579,INSUMOS_AUX!$A$3:$H$813,3,0)</f>
        <v>M.O.</v>
      </c>
      <c r="D5579" s="156" t="s">
        <v>1444</v>
      </c>
      <c r="E5579" s="154" t="n">
        <v>0.389824856</v>
      </c>
      <c r="F5579" s="149" t="n">
        <f aca="false">IF(C5579="MAT.",VLOOKUP(A5579,INSUMOS_AUX!$A$3:$H$813,6,0),0)</f>
        <v>0</v>
      </c>
      <c r="G5579" s="149" t="n">
        <f aca="false">IF(C5579="M.O.",VLOOKUP(A5579,INSUMOS_AUX!A:F,6,0),0)</f>
        <v>20.22</v>
      </c>
    </row>
    <row r="5580" customFormat="false" ht="31.5" hidden="false" customHeight="false" outlineLevel="0" collapsed="false">
      <c r="A5580" s="150" t="s">
        <v>932</v>
      </c>
      <c r="B5580" s="151" t="s">
        <v>2425</v>
      </c>
      <c r="C5580" s="152" t="s">
        <v>59</v>
      </c>
      <c r="D5580" s="152" t="s">
        <v>31</v>
      </c>
      <c r="E5580" s="150"/>
      <c r="F5580" s="153" t="n">
        <f aca="false">(SUMPRODUCT($E5581:$E5591,F5581:F5591))*1</f>
        <v>82.4384146666667</v>
      </c>
      <c r="G5580" s="153" t="n">
        <f aca="false">(SUMPRODUCT($E5581:$E5591,G5581:G5591))*1</f>
        <v>22.46649647184</v>
      </c>
    </row>
    <row r="5581" customFormat="false" ht="21" hidden="false" customHeight="false" outlineLevel="0" collapsed="false">
      <c r="A5581" s="154" t="n">
        <v>37370</v>
      </c>
      <c r="B5581" s="155" t="s">
        <v>1443</v>
      </c>
      <c r="C5581" s="148" t="str">
        <f aca="false">VLOOKUP($A5581,INSUMOS_AUX!$A$3:$H$813,3,0)</f>
        <v>MAT.</v>
      </c>
      <c r="D5581" s="156" t="s">
        <v>1444</v>
      </c>
      <c r="E5581" s="154" t="n">
        <v>1.2938</v>
      </c>
      <c r="F5581" s="149" t="n">
        <f aca="false">IF(C5581="MAT.",VLOOKUP(A5581,INSUMOS_AUX!$A$3:$H$813,6,0),0)</f>
        <v>3.32</v>
      </c>
      <c r="G5581" s="149" t="n">
        <f aca="false">IF(C5581="M.O.",VLOOKUP(A5581,INSUMOS_AUX!A:F,6,0),0)</f>
        <v>0</v>
      </c>
    </row>
    <row r="5582" customFormat="false" ht="21" hidden="false" customHeight="false" outlineLevel="0" collapsed="false">
      <c r="A5582" s="154" t="n">
        <v>43484</v>
      </c>
      <c r="B5582" s="155" t="s">
        <v>1523</v>
      </c>
      <c r="C5582" s="148" t="str">
        <f aca="false">VLOOKUP($A5582,INSUMOS_AUX!$A$3:$H$813,3,0)</f>
        <v>MAT.</v>
      </c>
      <c r="D5582" s="156" t="s">
        <v>1444</v>
      </c>
      <c r="E5582" s="154" t="n">
        <v>1.2938</v>
      </c>
      <c r="F5582" s="149" t="n">
        <f aca="false">IF(C5582="MAT.",VLOOKUP(A5582,INSUMOS_AUX!$A$3:$H$813,6,0),0)</f>
        <v>1.26</v>
      </c>
      <c r="G5582" s="149" t="n">
        <f aca="false">IF(C5582="M.O.",VLOOKUP(A5582,INSUMOS_AUX!A:F,6,0),0)</f>
        <v>0</v>
      </c>
    </row>
    <row r="5583" customFormat="false" ht="21" hidden="false" customHeight="false" outlineLevel="0" collapsed="false">
      <c r="A5583" s="154" t="n">
        <v>37372</v>
      </c>
      <c r="B5583" s="155" t="s">
        <v>1446</v>
      </c>
      <c r="C5583" s="148" t="str">
        <f aca="false">VLOOKUP($A5583,INSUMOS_AUX!$A$3:$H$813,3,0)</f>
        <v>MAT.</v>
      </c>
      <c r="D5583" s="156" t="s">
        <v>1444</v>
      </c>
      <c r="E5583" s="154" t="n">
        <v>1.2938</v>
      </c>
      <c r="F5583" s="149" t="n">
        <f aca="false">IF(C5583="MAT.",VLOOKUP(A5583,INSUMOS_AUX!$A$3:$H$813,6,0),0)</f>
        <v>1.43</v>
      </c>
      <c r="G5583" s="149" t="n">
        <f aca="false">IF(C5583="M.O.",VLOOKUP(A5583,INSUMOS_AUX!A:F,6,0),0)</f>
        <v>0</v>
      </c>
    </row>
    <row r="5584" customFormat="false" ht="21" hidden="false" customHeight="false" outlineLevel="0" collapsed="false">
      <c r="A5584" s="154" t="n">
        <v>43460</v>
      </c>
      <c r="B5584" s="155" t="s">
        <v>1524</v>
      </c>
      <c r="C5584" s="148" t="str">
        <f aca="false">VLOOKUP($A5584,INSUMOS_AUX!$A$3:$H$813,3,0)</f>
        <v>MAT.</v>
      </c>
      <c r="D5584" s="156" t="s">
        <v>1444</v>
      </c>
      <c r="E5584" s="154" t="n">
        <v>1.2938</v>
      </c>
      <c r="F5584" s="149" t="n">
        <f aca="false">IF(C5584="MAT.",VLOOKUP(A5584,INSUMOS_AUX!$A$3:$H$813,6,0),0)</f>
        <v>0.86</v>
      </c>
      <c r="G5584" s="149" t="n">
        <f aca="false">IF(C5584="M.O.",VLOOKUP(A5584,INSUMOS_AUX!A:F,6,0),0)</f>
        <v>0</v>
      </c>
    </row>
    <row r="5585" customFormat="false" ht="21" hidden="false" customHeight="false" outlineLevel="0" collapsed="false">
      <c r="A5585" s="154" t="n">
        <v>37373</v>
      </c>
      <c r="B5585" s="155" t="s">
        <v>1448</v>
      </c>
      <c r="C5585" s="148" t="s">
        <v>59</v>
      </c>
      <c r="D5585" s="156" t="s">
        <v>1444</v>
      </c>
      <c r="E5585" s="154" t="n">
        <v>1.2938</v>
      </c>
      <c r="F5585" s="149" t="n">
        <f aca="false">IF(C5585="MAT.",VLOOKUP(A5585,INSUMOS_AUX!$A$3:$H$813,6,0),0)</f>
        <v>0</v>
      </c>
      <c r="G5585" s="149" t="n">
        <f aca="false">IF(C5585="M.O.",VLOOKUP(A5585,INSUMOS_AUX!A:F,6,0),0)</f>
        <v>0</v>
      </c>
    </row>
    <row r="5586" customFormat="false" ht="21" hidden="false" customHeight="false" outlineLevel="0" collapsed="false">
      <c r="A5586" s="154" t="n">
        <v>37371</v>
      </c>
      <c r="B5586" s="155" t="s">
        <v>1449</v>
      </c>
      <c r="C5586" s="148" t="str">
        <f aca="false">VLOOKUP($A5586,INSUMOS_AUX!$A$3:$H$813,3,0)</f>
        <v>MAT.</v>
      </c>
      <c r="D5586" s="156" t="s">
        <v>1444</v>
      </c>
      <c r="E5586" s="154" t="n">
        <v>1.2938</v>
      </c>
      <c r="F5586" s="149" t="n">
        <f aca="false">IF(C5586="MAT.",VLOOKUP(A5586,INSUMOS_AUX!$A$3:$H$813,6,0),0)</f>
        <v>0.59</v>
      </c>
      <c r="G5586" s="149" t="n">
        <f aca="false">IF(C5586="M.O.",VLOOKUP(A5586,INSUMOS_AUX!A:F,6,0),0)</f>
        <v>0</v>
      </c>
    </row>
    <row r="5587" customFormat="false" ht="31.5" hidden="false" customHeight="false" outlineLevel="0" collapsed="false">
      <c r="A5587" s="154" t="n">
        <v>13246</v>
      </c>
      <c r="B5587" s="155" t="s">
        <v>1811</v>
      </c>
      <c r="C5587" s="148" t="str">
        <f aca="false">VLOOKUP($A5587,INSUMOS_AUX!$A$3:$H$813,3,0)</f>
        <v>MAT.</v>
      </c>
      <c r="D5587" s="156" t="s">
        <v>31</v>
      </c>
      <c r="E5587" s="154" t="n">
        <v>25.2</v>
      </c>
      <c r="F5587" s="149" t="n">
        <f aca="false">IF(C5587="MAT.",VLOOKUP(A5587,INSUMOS_AUX!$A$3:$H$813,6,0),0)</f>
        <v>0.5</v>
      </c>
      <c r="G5587" s="149" t="n">
        <f aca="false">IF(C5587="M.O.",VLOOKUP(A5587,INSUMOS_AUX!A:F,6,0),0)</f>
        <v>0</v>
      </c>
    </row>
    <row r="5588" customFormat="false" ht="21" hidden="false" customHeight="false" outlineLevel="0" collapsed="false">
      <c r="A5588" s="154" t="s">
        <v>2426</v>
      </c>
      <c r="B5588" s="155" t="s">
        <v>2427</v>
      </c>
      <c r="C5588" s="148" t="str">
        <f aca="false">VLOOKUP($A5588,INSUMOS_AUX!$A$3:$H$813,3,0)</f>
        <v>MAT.</v>
      </c>
      <c r="D5588" s="156" t="s">
        <v>31</v>
      </c>
      <c r="E5588" s="154" t="n">
        <v>6</v>
      </c>
      <c r="F5588" s="149" t="n">
        <f aca="false">IF(C5588="MAT.",VLOOKUP(A5588,INSUMOS_AUX!$A$3:$H$813,6,0),0)</f>
        <v>3.61666666666667</v>
      </c>
      <c r="G5588" s="149" t="n">
        <f aca="false">IF(C5588="M.O.",VLOOKUP(A5588,INSUMOS_AUX!A:F,6,0),0)</f>
        <v>0</v>
      </c>
    </row>
    <row r="5589" customFormat="false" ht="21" hidden="false" customHeight="false" outlineLevel="0" collapsed="false">
      <c r="A5589" s="154" t="s">
        <v>2428</v>
      </c>
      <c r="B5589" s="155" t="s">
        <v>2429</v>
      </c>
      <c r="C5589" s="148" t="str">
        <f aca="false">VLOOKUP($A5589,INSUMOS_AUX!$A$3:$H$813,3,0)</f>
        <v>MAT.</v>
      </c>
      <c r="D5589" s="156" t="s">
        <v>31</v>
      </c>
      <c r="E5589" s="154" t="n">
        <v>1</v>
      </c>
      <c r="F5589" s="149" t="n">
        <f aca="false">IF(C5589="MAT.",VLOOKUP(A5589,INSUMOS_AUX!$A$3:$H$813,6,0),0)</f>
        <v>38.4866666666667</v>
      </c>
      <c r="G5589" s="149" t="n">
        <f aca="false">IF(C5589="M.O.",VLOOKUP(A5589,INSUMOS_AUX!A:F,6,0),0)</f>
        <v>0</v>
      </c>
    </row>
    <row r="5590" customFormat="false" ht="15" hidden="false" customHeight="false" outlineLevel="0" collapsed="false">
      <c r="A5590" s="154" t="n">
        <v>247</v>
      </c>
      <c r="B5590" s="155" t="s">
        <v>1554</v>
      </c>
      <c r="C5590" s="148" t="str">
        <f aca="false">VLOOKUP($A5590,INSUMOS_AUX!$A$3:$H$813,3,0)</f>
        <v>M.O.</v>
      </c>
      <c r="D5590" s="156" t="s">
        <v>1444</v>
      </c>
      <c r="E5590" s="154" t="n">
        <v>0.671042308</v>
      </c>
      <c r="F5590" s="149" t="n">
        <f aca="false">IF(C5590="MAT.",VLOOKUP(A5590,INSUMOS_AUX!$A$3:$H$813,6,0),0)</f>
        <v>0</v>
      </c>
      <c r="G5590" s="149" t="n">
        <f aca="false">IF(C5590="M.O.",VLOOKUP(A5590,INSUMOS_AUX!A:F,6,0),0)</f>
        <v>13.26</v>
      </c>
    </row>
    <row r="5591" customFormat="false" ht="15" hidden="false" customHeight="false" outlineLevel="0" collapsed="false">
      <c r="A5591" s="154" t="n">
        <v>2436</v>
      </c>
      <c r="B5591" s="155" t="s">
        <v>1557</v>
      </c>
      <c r="C5591" s="148" t="str">
        <f aca="false">VLOOKUP($A5591,INSUMOS_AUX!$A$3:$H$813,3,0)</f>
        <v>M.O.</v>
      </c>
      <c r="D5591" s="156" t="s">
        <v>1444</v>
      </c>
      <c r="E5591" s="154" t="n">
        <v>0.671042308</v>
      </c>
      <c r="F5591" s="149" t="n">
        <f aca="false">IF(C5591="MAT.",VLOOKUP(A5591,INSUMOS_AUX!$A$3:$H$813,6,0),0)</f>
        <v>0</v>
      </c>
      <c r="G5591" s="149" t="n">
        <f aca="false">IF(C5591="M.O.",VLOOKUP(A5591,INSUMOS_AUX!A:F,6,0),0)</f>
        <v>20.22</v>
      </c>
    </row>
    <row r="5592" customFormat="false" ht="31.5" hidden="false" customHeight="false" outlineLevel="0" collapsed="false">
      <c r="A5592" s="150" t="s">
        <v>934</v>
      </c>
      <c r="B5592" s="151" t="s">
        <v>2430</v>
      </c>
      <c r="C5592" s="152" t="s">
        <v>59</v>
      </c>
      <c r="D5592" s="152" t="s">
        <v>1455</v>
      </c>
      <c r="E5592" s="150"/>
      <c r="F5592" s="153" t="n">
        <f aca="false">(SUMPRODUCT($E5593:$E5610,F5593:F5610))*1</f>
        <v>82.1659901284444</v>
      </c>
      <c r="G5592" s="153" t="n">
        <f aca="false">(SUMPRODUCT($E5593:$E5610,G5593:G5610))*1</f>
        <v>5.3175226806</v>
      </c>
    </row>
    <row r="5593" customFormat="false" ht="21" hidden="false" customHeight="false" outlineLevel="0" collapsed="false">
      <c r="A5593" s="154" t="n">
        <v>37370</v>
      </c>
      <c r="B5593" s="155" t="s">
        <v>1443</v>
      </c>
      <c r="C5593" s="148" t="str">
        <f aca="false">VLOOKUP($A5593,INSUMOS_AUX!$A$3:$H$813,3,0)</f>
        <v>MAT.</v>
      </c>
      <c r="D5593" s="156" t="s">
        <v>1444</v>
      </c>
      <c r="E5593" s="154" t="n">
        <v>1.3548844</v>
      </c>
      <c r="F5593" s="149" t="n">
        <f aca="false">IF(C5593="MAT.",VLOOKUP(A5593,INSUMOS_AUX!$A$3:$H$813,6,0),0)</f>
        <v>3.32</v>
      </c>
      <c r="G5593" s="149" t="n">
        <f aca="false">IF(C5593="M.O.",VLOOKUP(A5593,INSUMOS_AUX!A:F,6,0),0)</f>
        <v>0</v>
      </c>
    </row>
    <row r="5594" customFormat="false" ht="21" hidden="false" customHeight="false" outlineLevel="0" collapsed="false">
      <c r="A5594" s="154" t="n">
        <v>43484</v>
      </c>
      <c r="B5594" s="155" t="s">
        <v>1523</v>
      </c>
      <c r="C5594" s="148" t="str">
        <f aca="false">VLOOKUP($A5594,INSUMOS_AUX!$A$3:$H$813,3,0)</f>
        <v>MAT.</v>
      </c>
      <c r="D5594" s="156" t="s">
        <v>1444</v>
      </c>
      <c r="E5594" s="154" t="n">
        <v>1.3548844</v>
      </c>
      <c r="F5594" s="149" t="n">
        <f aca="false">IF(C5594="MAT.",VLOOKUP(A5594,INSUMOS_AUX!$A$3:$H$813,6,0),0)</f>
        <v>1.26</v>
      </c>
      <c r="G5594" s="149" t="n">
        <f aca="false">IF(C5594="M.O.",VLOOKUP(A5594,INSUMOS_AUX!A:F,6,0),0)</f>
        <v>0</v>
      </c>
    </row>
    <row r="5595" customFormat="false" ht="21" hidden="false" customHeight="false" outlineLevel="0" collapsed="false">
      <c r="A5595" s="154" t="n">
        <v>37372</v>
      </c>
      <c r="B5595" s="155" t="s">
        <v>1446</v>
      </c>
      <c r="C5595" s="148" t="s">
        <v>59</v>
      </c>
      <c r="D5595" s="156" t="s">
        <v>1444</v>
      </c>
      <c r="E5595" s="154" t="n">
        <v>1.3548844</v>
      </c>
      <c r="F5595" s="149" t="n">
        <f aca="false">IF(C5595="MAT.",VLOOKUP(A5595,INSUMOS_AUX!$A$3:$H$813,6,0),0)</f>
        <v>0</v>
      </c>
      <c r="G5595" s="149" t="n">
        <f aca="false">IF(C5595="M.O.",VLOOKUP(A5595,INSUMOS_AUX!A:F,6,0),0)</f>
        <v>0</v>
      </c>
    </row>
    <row r="5596" customFormat="false" ht="21" hidden="false" customHeight="false" outlineLevel="0" collapsed="false">
      <c r="A5596" s="154" t="n">
        <v>43460</v>
      </c>
      <c r="B5596" s="155" t="s">
        <v>1524</v>
      </c>
      <c r="C5596" s="148" t="str">
        <f aca="false">VLOOKUP($A5596,INSUMOS_AUX!$A$3:$H$813,3,0)</f>
        <v>MAT.</v>
      </c>
      <c r="D5596" s="156" t="s">
        <v>1444</v>
      </c>
      <c r="E5596" s="154" t="n">
        <v>1.3548844</v>
      </c>
      <c r="F5596" s="149" t="n">
        <f aca="false">IF(C5596="MAT.",VLOOKUP(A5596,INSUMOS_AUX!$A$3:$H$813,6,0),0)</f>
        <v>0.86</v>
      </c>
      <c r="G5596" s="149" t="n">
        <f aca="false">IF(C5596="M.O.",VLOOKUP(A5596,INSUMOS_AUX!A:F,6,0),0)</f>
        <v>0</v>
      </c>
    </row>
    <row r="5597" customFormat="false" ht="21" hidden="false" customHeight="false" outlineLevel="0" collapsed="false">
      <c r="A5597" s="154" t="n">
        <v>37373</v>
      </c>
      <c r="B5597" s="155" t="s">
        <v>1448</v>
      </c>
      <c r="C5597" s="148" t="str">
        <f aca="false">VLOOKUP($A5597,INSUMOS_AUX!$A$3:$H$813,3,0)</f>
        <v>MAT.</v>
      </c>
      <c r="D5597" s="156" t="s">
        <v>1444</v>
      </c>
      <c r="E5597" s="154" t="n">
        <v>1.3548844</v>
      </c>
      <c r="F5597" s="149" t="n">
        <f aca="false">IF(C5597="MAT.",VLOOKUP(A5597,INSUMOS_AUX!$A$3:$H$813,6,0),0)</f>
        <v>0.08</v>
      </c>
      <c r="G5597" s="149" t="n">
        <f aca="false">IF(C5597="M.O.",VLOOKUP(A5597,INSUMOS_AUX!A:F,6,0),0)</f>
        <v>0</v>
      </c>
    </row>
    <row r="5598" customFormat="false" ht="21" hidden="false" customHeight="false" outlineLevel="0" collapsed="false">
      <c r="A5598" s="154" t="n">
        <v>37371</v>
      </c>
      <c r="B5598" s="155" t="s">
        <v>1449</v>
      </c>
      <c r="C5598" s="148" t="str">
        <f aca="false">VLOOKUP($A5598,INSUMOS_AUX!$A$3:$H$813,3,0)</f>
        <v>MAT.</v>
      </c>
      <c r="D5598" s="156" t="s">
        <v>1444</v>
      </c>
      <c r="E5598" s="154" t="n">
        <v>1.3548844</v>
      </c>
      <c r="F5598" s="149" t="n">
        <f aca="false">IF(C5598="MAT.",VLOOKUP(A5598,INSUMOS_AUX!$A$3:$H$813,6,0),0)</f>
        <v>0.59</v>
      </c>
      <c r="G5598" s="149" t="n">
        <f aca="false">IF(C5598="M.O.",VLOOKUP(A5598,INSUMOS_AUX!A:F,6,0),0)</f>
        <v>0</v>
      </c>
    </row>
    <row r="5599" customFormat="false" ht="31.5" hidden="false" customHeight="false" outlineLevel="0" collapsed="false">
      <c r="A5599" s="154" t="n">
        <v>11267</v>
      </c>
      <c r="B5599" s="155" t="s">
        <v>2431</v>
      </c>
      <c r="C5599" s="148" t="str">
        <f aca="false">VLOOKUP($A5599,INSUMOS_AUX!$A$3:$H$813,3,0)</f>
        <v>MAT.</v>
      </c>
      <c r="D5599" s="156" t="s">
        <v>31</v>
      </c>
      <c r="E5599" s="154" t="n">
        <v>7</v>
      </c>
      <c r="F5599" s="149" t="n">
        <f aca="false">IF(C5599="MAT.",VLOOKUP(A5599,INSUMOS_AUX!$A$3:$H$813,6,0),0)</f>
        <v>1.43</v>
      </c>
      <c r="G5599" s="149" t="n">
        <f aca="false">IF(C5599="M.O.",VLOOKUP(A5599,INSUMOS_AUX!A:F,6,0),0)</f>
        <v>0</v>
      </c>
    </row>
    <row r="5600" customFormat="false" ht="21" hidden="false" customHeight="false" outlineLevel="0" collapsed="false">
      <c r="A5600" s="154" t="n">
        <v>11976</v>
      </c>
      <c r="B5600" s="155" t="s">
        <v>2432</v>
      </c>
      <c r="C5600" s="148" t="str">
        <f aca="false">VLOOKUP($A5600,INSUMOS_AUX!$A$3:$H$813,3,0)</f>
        <v>MAT.</v>
      </c>
      <c r="D5600" s="156" t="s">
        <v>31</v>
      </c>
      <c r="E5600" s="154" t="n">
        <v>2.2222</v>
      </c>
      <c r="F5600" s="149" t="n">
        <f aca="false">IF(C5600="MAT.",VLOOKUP(A5600,INSUMOS_AUX!$A$3:$H$813,6,0),0)</f>
        <v>1.33</v>
      </c>
      <c r="G5600" s="149" t="n">
        <f aca="false">IF(C5600="M.O.",VLOOKUP(A5600,INSUMOS_AUX!A:F,6,0),0)</f>
        <v>0</v>
      </c>
    </row>
    <row r="5601" customFormat="false" ht="21" hidden="false" customHeight="false" outlineLevel="0" collapsed="false">
      <c r="A5601" s="154" t="s">
        <v>2433</v>
      </c>
      <c r="B5601" s="155" t="s">
        <v>2434</v>
      </c>
      <c r="C5601" s="148" t="str">
        <f aca="false">VLOOKUP($A5601,INSUMOS_AUX!$A$3:$H$813,3,0)</f>
        <v>MAT.</v>
      </c>
      <c r="D5601" s="156" t="s">
        <v>1455</v>
      </c>
      <c r="E5601" s="154" t="n">
        <v>0.973</v>
      </c>
      <c r="F5601" s="149" t="n">
        <f aca="false">IF(C5601="MAT.",VLOOKUP(A5601,INSUMOS_AUX!$A$3:$H$813,6,0),0)</f>
        <v>28.3122222222222</v>
      </c>
      <c r="G5601" s="149" t="n">
        <f aca="false">IF(C5601="M.O.",VLOOKUP(A5601,INSUMOS_AUX!A:F,6,0),0)</f>
        <v>0</v>
      </c>
    </row>
    <row r="5602" customFormat="false" ht="21" hidden="false" customHeight="false" outlineLevel="0" collapsed="false">
      <c r="A5602" s="154" t="s">
        <v>2435</v>
      </c>
      <c r="B5602" s="155" t="s">
        <v>2436</v>
      </c>
      <c r="C5602" s="148" t="str">
        <f aca="false">VLOOKUP($A5602,INSUMOS_AUX!$A$3:$H$813,3,0)</f>
        <v>MAT.</v>
      </c>
      <c r="D5602" s="156" t="s">
        <v>31</v>
      </c>
      <c r="E5602" s="154" t="n">
        <v>0.333</v>
      </c>
      <c r="F5602" s="149" t="n">
        <f aca="false">IF(C5602="MAT.",VLOOKUP(A5602,INSUMOS_AUX!$A$3:$H$813,6,0),0)</f>
        <v>7.48366666666667</v>
      </c>
      <c r="G5602" s="149" t="n">
        <f aca="false">IF(C5602="M.O.",VLOOKUP(A5602,INSUMOS_AUX!A:F,6,0),0)</f>
        <v>0</v>
      </c>
    </row>
    <row r="5603" customFormat="false" ht="31.5" hidden="false" customHeight="false" outlineLevel="0" collapsed="false">
      <c r="A5603" s="154" t="n">
        <v>13246</v>
      </c>
      <c r="B5603" s="155" t="s">
        <v>1811</v>
      </c>
      <c r="C5603" s="148" t="str">
        <f aca="false">VLOOKUP($A5603,INSUMOS_AUX!$A$3:$H$813,3,0)</f>
        <v>MAT.</v>
      </c>
      <c r="D5603" s="156" t="s">
        <v>31</v>
      </c>
      <c r="E5603" s="154" t="n">
        <v>5.5944</v>
      </c>
      <c r="F5603" s="149" t="n">
        <f aca="false">IF(C5603="MAT.",VLOOKUP(A5603,INSUMOS_AUX!$A$3:$H$813,6,0),0)</f>
        <v>0.5</v>
      </c>
      <c r="G5603" s="149" t="n">
        <f aca="false">IF(C5603="M.O.",VLOOKUP(A5603,INSUMOS_AUX!A:F,6,0),0)</f>
        <v>0</v>
      </c>
    </row>
    <row r="5604" customFormat="false" ht="15" hidden="false" customHeight="false" outlineLevel="0" collapsed="false">
      <c r="A5604" s="154" t="n">
        <v>39029</v>
      </c>
      <c r="B5604" s="155" t="s">
        <v>2437</v>
      </c>
      <c r="C5604" s="148" t="str">
        <f aca="false">VLOOKUP($A5604,INSUMOS_AUX!$A$3:$H$813,3,0)</f>
        <v>MAT.</v>
      </c>
      <c r="D5604" s="156" t="s">
        <v>1455</v>
      </c>
      <c r="E5604" s="154" t="n">
        <v>0.5</v>
      </c>
      <c r="F5604" s="149" t="n">
        <f aca="false">IF(C5604="MAT.",VLOOKUP(A5604,INSUMOS_AUX!$A$3:$H$813,6,0),0)</f>
        <v>13.63</v>
      </c>
      <c r="G5604" s="149" t="n">
        <f aca="false">IF(C5604="M.O.",VLOOKUP(A5604,INSUMOS_AUX!A:F,6,0),0)</f>
        <v>0</v>
      </c>
    </row>
    <row r="5605" customFormat="false" ht="15" hidden="false" customHeight="false" outlineLevel="0" collapsed="false">
      <c r="A5605" s="154" t="n">
        <v>39997</v>
      </c>
      <c r="B5605" s="155" t="s">
        <v>2438</v>
      </c>
      <c r="C5605" s="148" t="str">
        <f aca="false">VLOOKUP($A5605,INSUMOS_AUX!$A$3:$H$813,3,0)</f>
        <v>MAT.</v>
      </c>
      <c r="D5605" s="156" t="s">
        <v>31</v>
      </c>
      <c r="E5605" s="154" t="n">
        <v>7</v>
      </c>
      <c r="F5605" s="149" t="n">
        <f aca="false">IF(C5605="MAT.",VLOOKUP(A5605,INSUMOS_AUX!$A$3:$H$813,6,0),0)</f>
        <v>0.33</v>
      </c>
      <c r="G5605" s="149" t="n">
        <f aca="false">IF(C5605="M.O.",VLOOKUP(A5605,INSUMOS_AUX!A:F,6,0),0)</f>
        <v>0</v>
      </c>
    </row>
    <row r="5606" customFormat="false" ht="21" hidden="false" customHeight="false" outlineLevel="0" collapsed="false">
      <c r="A5606" s="154" t="s">
        <v>2426</v>
      </c>
      <c r="B5606" s="155" t="s">
        <v>2427</v>
      </c>
      <c r="C5606" s="148" t="str">
        <f aca="false">VLOOKUP($A5606,INSUMOS_AUX!$A$3:$H$813,3,0)</f>
        <v>MAT.</v>
      </c>
      <c r="D5606" s="156" t="s">
        <v>31</v>
      </c>
      <c r="E5606" s="154" t="n">
        <v>1.332</v>
      </c>
      <c r="F5606" s="149" t="n">
        <f aca="false">IF(C5606="MAT.",VLOOKUP(A5606,INSUMOS_AUX!$A$3:$H$813,6,0),0)</f>
        <v>3.61666666666667</v>
      </c>
      <c r="G5606" s="149" t="n">
        <f aca="false">IF(C5606="M.O.",VLOOKUP(A5606,INSUMOS_AUX!A:F,6,0),0)</f>
        <v>0</v>
      </c>
    </row>
    <row r="5607" customFormat="false" ht="21" hidden="false" customHeight="false" outlineLevel="0" collapsed="false">
      <c r="A5607" s="154" t="s">
        <v>2439</v>
      </c>
      <c r="B5607" s="155" t="s">
        <v>2440</v>
      </c>
      <c r="C5607" s="148" t="str">
        <f aca="false">VLOOKUP($A5607,INSUMOS_AUX!$A$3:$H$813,3,0)</f>
        <v>MAT.</v>
      </c>
      <c r="D5607" s="156" t="s">
        <v>1455</v>
      </c>
      <c r="E5607" s="154" t="n">
        <v>0.973</v>
      </c>
      <c r="F5607" s="149" t="n">
        <f aca="false">IF(C5607="MAT.",VLOOKUP(A5607,INSUMOS_AUX!$A$3:$H$813,6,0),0)</f>
        <v>11.0522222222222</v>
      </c>
      <c r="G5607" s="149" t="n">
        <f aca="false">IF(C5607="M.O.",VLOOKUP(A5607,INSUMOS_AUX!A:F,6,0),0)</f>
        <v>0</v>
      </c>
    </row>
    <row r="5608" customFormat="false" ht="15" hidden="false" customHeight="false" outlineLevel="0" collapsed="false">
      <c r="A5608" s="154" t="n">
        <v>39996</v>
      </c>
      <c r="B5608" s="155" t="s">
        <v>2441</v>
      </c>
      <c r="C5608" s="148" t="str">
        <f aca="false">VLOOKUP($A5608,INSUMOS_AUX!$A$3:$H$813,3,0)</f>
        <v>MAT.</v>
      </c>
      <c r="D5608" s="156" t="s">
        <v>1455</v>
      </c>
      <c r="E5608" s="154" t="n">
        <v>1.1111</v>
      </c>
      <c r="F5608" s="149" t="n">
        <f aca="false">IF(C5608="MAT.",VLOOKUP(A5608,INSUMOS_AUX!$A$3:$H$813,6,0),0)</f>
        <v>3.05</v>
      </c>
      <c r="G5608" s="149" t="n">
        <f aca="false">IF(C5608="M.O.",VLOOKUP(A5608,INSUMOS_AUX!A:F,6,0),0)</f>
        <v>0</v>
      </c>
    </row>
    <row r="5609" customFormat="false" ht="15" hidden="false" customHeight="false" outlineLevel="0" collapsed="false">
      <c r="A5609" s="154" t="n">
        <v>247</v>
      </c>
      <c r="B5609" s="155" t="s">
        <v>1554</v>
      </c>
      <c r="C5609" s="148" t="str">
        <f aca="false">VLOOKUP($A5609,INSUMOS_AUX!$A$3:$H$813,3,0)</f>
        <v>M.O.</v>
      </c>
      <c r="D5609" s="156" t="s">
        <v>1444</v>
      </c>
      <c r="E5609" s="154" t="n">
        <v>0.40101981</v>
      </c>
      <c r="F5609" s="149" t="n">
        <f aca="false">IF(C5609="MAT.",VLOOKUP(A5609,INSUMOS_AUX!$A$3:$H$813,6,0),0)</f>
        <v>0</v>
      </c>
      <c r="G5609" s="149" t="n">
        <f aca="false">IF(C5609="M.O.",VLOOKUP(A5609,INSUMOS_AUX!A:F,6,0),0)</f>
        <v>13.26</v>
      </c>
    </row>
    <row r="5610" customFormat="false" ht="15" hidden="false" customHeight="false" outlineLevel="0" collapsed="false">
      <c r="A5610" s="154" t="n">
        <v>2436</v>
      </c>
      <c r="B5610" s="155" t="s">
        <v>1557</v>
      </c>
      <c r="C5610" s="148" t="s">
        <v>59</v>
      </c>
      <c r="D5610" s="156" t="s">
        <v>1444</v>
      </c>
      <c r="E5610" s="154" t="n">
        <v>1.00442885</v>
      </c>
      <c r="F5610" s="149" t="n">
        <f aca="false">IF(C5610="MAT.",VLOOKUP(A5610,INSUMOS_AUX!$A$3:$H$813,6,0),0)</f>
        <v>0</v>
      </c>
      <c r="G5610" s="149" t="n">
        <f aca="false">IF(C5610="M.O.",VLOOKUP(A5610,INSUMOS_AUX!A:F,6,0),0)</f>
        <v>0</v>
      </c>
    </row>
    <row r="5611" customFormat="false" ht="31.5" hidden="false" customHeight="false" outlineLevel="0" collapsed="false">
      <c r="A5611" s="150" t="s">
        <v>936</v>
      </c>
      <c r="B5611" s="151" t="s">
        <v>2442</v>
      </c>
      <c r="C5611" s="152" t="s">
        <v>59</v>
      </c>
      <c r="D5611" s="152" t="s">
        <v>1455</v>
      </c>
      <c r="E5611" s="150"/>
      <c r="F5611" s="153" t="n">
        <f aca="false">(SUMPRODUCT($E5612:$E5628,F5612:F5628))*1</f>
        <v>44.2504641111111</v>
      </c>
      <c r="G5611" s="153" t="n">
        <f aca="false">(SUMPRODUCT($E5612:$E5628,G5612:G5628))*1</f>
        <v>21.1020946716</v>
      </c>
    </row>
    <row r="5612" customFormat="false" ht="21" hidden="false" customHeight="false" outlineLevel="0" collapsed="false">
      <c r="A5612" s="154" t="n">
        <v>37370</v>
      </c>
      <c r="B5612" s="155" t="s">
        <v>1443</v>
      </c>
      <c r="C5612" s="148" t="str">
        <f aca="false">VLOOKUP($A5612,INSUMOS_AUX!$A$3:$H$813,3,0)</f>
        <v>MAT.</v>
      </c>
      <c r="D5612" s="156" t="s">
        <v>1444</v>
      </c>
      <c r="E5612" s="154" t="n">
        <v>1.0943</v>
      </c>
      <c r="F5612" s="149" t="n">
        <f aca="false">IF(C5612="MAT.",VLOOKUP(A5612,INSUMOS_AUX!$A$3:$H$813,6,0),0)</f>
        <v>3.32</v>
      </c>
      <c r="G5612" s="149" t="n">
        <f aca="false">IF(C5612="M.O.",VLOOKUP(A5612,INSUMOS_AUX!A:F,6,0),0)</f>
        <v>0</v>
      </c>
    </row>
    <row r="5613" customFormat="false" ht="21" hidden="false" customHeight="false" outlineLevel="0" collapsed="false">
      <c r="A5613" s="154" t="n">
        <v>43484</v>
      </c>
      <c r="B5613" s="155" t="s">
        <v>1523</v>
      </c>
      <c r="C5613" s="148" t="str">
        <f aca="false">VLOOKUP($A5613,INSUMOS_AUX!$A$3:$H$813,3,0)</f>
        <v>MAT.</v>
      </c>
      <c r="D5613" s="156" t="s">
        <v>1444</v>
      </c>
      <c r="E5613" s="154" t="n">
        <v>1.0943</v>
      </c>
      <c r="F5613" s="149" t="n">
        <f aca="false">IF(C5613="MAT.",VLOOKUP(A5613,INSUMOS_AUX!$A$3:$H$813,6,0),0)</f>
        <v>1.26</v>
      </c>
      <c r="G5613" s="149" t="n">
        <f aca="false">IF(C5613="M.O.",VLOOKUP(A5613,INSUMOS_AUX!A:F,6,0),0)</f>
        <v>0</v>
      </c>
    </row>
    <row r="5614" customFormat="false" ht="21" hidden="false" customHeight="false" outlineLevel="0" collapsed="false">
      <c r="A5614" s="154" t="n">
        <v>37372</v>
      </c>
      <c r="B5614" s="155" t="s">
        <v>1446</v>
      </c>
      <c r="C5614" s="148" t="str">
        <f aca="false">VLOOKUP($A5614,INSUMOS_AUX!$A$3:$H$813,3,0)</f>
        <v>MAT.</v>
      </c>
      <c r="D5614" s="156" t="s">
        <v>1444</v>
      </c>
      <c r="E5614" s="154" t="n">
        <v>1.0943</v>
      </c>
      <c r="F5614" s="149" t="n">
        <f aca="false">IF(C5614="MAT.",VLOOKUP(A5614,INSUMOS_AUX!$A$3:$H$813,6,0),0)</f>
        <v>1.43</v>
      </c>
      <c r="G5614" s="149" t="n">
        <f aca="false">IF(C5614="M.O.",VLOOKUP(A5614,INSUMOS_AUX!A:F,6,0),0)</f>
        <v>0</v>
      </c>
    </row>
    <row r="5615" customFormat="false" ht="21" hidden="false" customHeight="false" outlineLevel="0" collapsed="false">
      <c r="A5615" s="154" t="n">
        <v>43460</v>
      </c>
      <c r="B5615" s="155" t="s">
        <v>1524</v>
      </c>
      <c r="C5615" s="148" t="str">
        <f aca="false">VLOOKUP($A5615,INSUMOS_AUX!$A$3:$H$813,3,0)</f>
        <v>MAT.</v>
      </c>
      <c r="D5615" s="156" t="s">
        <v>1444</v>
      </c>
      <c r="E5615" s="154" t="n">
        <v>1.0943</v>
      </c>
      <c r="F5615" s="149" t="n">
        <f aca="false">IF(C5615="MAT.",VLOOKUP(A5615,INSUMOS_AUX!$A$3:$H$813,6,0),0)</f>
        <v>0.86</v>
      </c>
      <c r="G5615" s="149" t="n">
        <f aca="false">IF(C5615="M.O.",VLOOKUP(A5615,INSUMOS_AUX!A:F,6,0),0)</f>
        <v>0</v>
      </c>
    </row>
    <row r="5616" customFormat="false" ht="21" hidden="false" customHeight="false" outlineLevel="0" collapsed="false">
      <c r="A5616" s="154" t="n">
        <v>37373</v>
      </c>
      <c r="B5616" s="155" t="s">
        <v>1448</v>
      </c>
      <c r="C5616" s="148" t="str">
        <f aca="false">VLOOKUP($A5616,INSUMOS_AUX!$A$3:$H$813,3,0)</f>
        <v>MAT.</v>
      </c>
      <c r="D5616" s="156" t="s">
        <v>1444</v>
      </c>
      <c r="E5616" s="154" t="n">
        <v>1.0943</v>
      </c>
      <c r="F5616" s="149" t="n">
        <f aca="false">IF(C5616="MAT.",VLOOKUP(A5616,INSUMOS_AUX!$A$3:$H$813,6,0),0)</f>
        <v>0.08</v>
      </c>
      <c r="G5616" s="149" t="n">
        <f aca="false">IF(C5616="M.O.",VLOOKUP(A5616,INSUMOS_AUX!A:F,6,0),0)</f>
        <v>0</v>
      </c>
    </row>
    <row r="5617" customFormat="false" ht="21" hidden="false" customHeight="false" outlineLevel="0" collapsed="false">
      <c r="A5617" s="154" t="n">
        <v>37371</v>
      </c>
      <c r="B5617" s="155" t="s">
        <v>1449</v>
      </c>
      <c r="C5617" s="148" t="str">
        <f aca="false">VLOOKUP($A5617,INSUMOS_AUX!$A$3:$H$813,3,0)</f>
        <v>MAT.</v>
      </c>
      <c r="D5617" s="156" t="s">
        <v>1444</v>
      </c>
      <c r="E5617" s="154" t="n">
        <v>1.0943</v>
      </c>
      <c r="F5617" s="149" t="n">
        <f aca="false">IF(C5617="MAT.",VLOOKUP(A5617,INSUMOS_AUX!$A$3:$H$813,6,0),0)</f>
        <v>0.59</v>
      </c>
      <c r="G5617" s="149" t="n">
        <f aca="false">IF(C5617="M.O.",VLOOKUP(A5617,INSUMOS_AUX!A:F,6,0),0)</f>
        <v>0</v>
      </c>
    </row>
    <row r="5618" customFormat="false" ht="31.5" hidden="false" customHeight="false" outlineLevel="0" collapsed="false">
      <c r="A5618" s="154" t="n">
        <v>11267</v>
      </c>
      <c r="B5618" s="155" t="s">
        <v>2431</v>
      </c>
      <c r="C5618" s="148" t="str">
        <f aca="false">VLOOKUP($A5618,INSUMOS_AUX!$A$3:$H$813,3,0)</f>
        <v>MAT.</v>
      </c>
      <c r="D5618" s="156" t="s">
        <v>31</v>
      </c>
      <c r="E5618" s="154" t="n">
        <v>7</v>
      </c>
      <c r="F5618" s="149" t="n">
        <f aca="false">IF(C5618="MAT.",VLOOKUP(A5618,INSUMOS_AUX!$A$3:$H$813,6,0),0)</f>
        <v>1.43</v>
      </c>
      <c r="G5618" s="149" t="n">
        <f aca="false">IF(C5618="M.O.",VLOOKUP(A5618,INSUMOS_AUX!A:F,6,0),0)</f>
        <v>0</v>
      </c>
    </row>
    <row r="5619" customFormat="false" ht="21" hidden="false" customHeight="false" outlineLevel="0" collapsed="false">
      <c r="A5619" s="154" t="n">
        <v>11976</v>
      </c>
      <c r="B5619" s="155" t="s">
        <v>2432</v>
      </c>
      <c r="C5619" s="148" t="str">
        <f aca="false">VLOOKUP($A5619,INSUMOS_AUX!$A$3:$H$813,3,0)</f>
        <v>MAT.</v>
      </c>
      <c r="D5619" s="156" t="s">
        <v>31</v>
      </c>
      <c r="E5619" s="154" t="n">
        <v>2.2222</v>
      </c>
      <c r="F5619" s="149" t="n">
        <f aca="false">IF(C5619="MAT.",VLOOKUP(A5619,INSUMOS_AUX!$A$3:$H$813,6,0),0)</f>
        <v>1.33</v>
      </c>
      <c r="G5619" s="149" t="n">
        <f aca="false">IF(C5619="M.O.",VLOOKUP(A5619,INSUMOS_AUX!A:F,6,0),0)</f>
        <v>0</v>
      </c>
    </row>
    <row r="5620" customFormat="false" ht="21" hidden="false" customHeight="false" outlineLevel="0" collapsed="false">
      <c r="A5620" s="154" t="s">
        <v>2443</v>
      </c>
      <c r="B5620" s="155" t="s">
        <v>2444</v>
      </c>
      <c r="C5620" s="148" t="s">
        <v>59</v>
      </c>
      <c r="D5620" s="156" t="s">
        <v>1455</v>
      </c>
      <c r="E5620" s="154" t="n">
        <v>0.982</v>
      </c>
      <c r="F5620" s="149" t="n">
        <f aca="false">IF(C5620="MAT.",VLOOKUP(A5620,INSUMOS_AUX!$A$3:$H$813,6,0),0)</f>
        <v>0</v>
      </c>
      <c r="G5620" s="149" t="n">
        <f aca="false">IF(C5620="M.O.",VLOOKUP(A5620,INSUMOS_AUX!A:F,6,0),0)</f>
        <v>0</v>
      </c>
    </row>
    <row r="5621" customFormat="false" ht="31.5" hidden="false" customHeight="false" outlineLevel="0" collapsed="false">
      <c r="A5621" s="154" t="n">
        <v>13246</v>
      </c>
      <c r="B5621" s="155" t="s">
        <v>1811</v>
      </c>
      <c r="C5621" s="148" t="str">
        <f aca="false">VLOOKUP($A5621,INSUMOS_AUX!$A$3:$H$813,3,0)</f>
        <v>MAT.</v>
      </c>
      <c r="D5621" s="156" t="s">
        <v>31</v>
      </c>
      <c r="E5621" s="154" t="n">
        <v>5.6</v>
      </c>
      <c r="F5621" s="149" t="n">
        <f aca="false">IF(C5621="MAT.",VLOOKUP(A5621,INSUMOS_AUX!$A$3:$H$813,6,0),0)</f>
        <v>0.5</v>
      </c>
      <c r="G5621" s="149" t="n">
        <f aca="false">IF(C5621="M.O.",VLOOKUP(A5621,INSUMOS_AUX!A:F,6,0),0)</f>
        <v>0</v>
      </c>
    </row>
    <row r="5622" customFormat="false" ht="15" hidden="false" customHeight="false" outlineLevel="0" collapsed="false">
      <c r="A5622" s="154" t="n">
        <v>39029</v>
      </c>
      <c r="B5622" s="155" t="s">
        <v>2437</v>
      </c>
      <c r="C5622" s="148" t="str">
        <f aca="false">VLOOKUP($A5622,INSUMOS_AUX!$A$3:$H$813,3,0)</f>
        <v>MAT.</v>
      </c>
      <c r="D5622" s="156" t="s">
        <v>1455</v>
      </c>
      <c r="E5622" s="154" t="n">
        <v>0.5</v>
      </c>
      <c r="F5622" s="149" t="n">
        <f aca="false">IF(C5622="MAT.",VLOOKUP(A5622,INSUMOS_AUX!$A$3:$H$813,6,0),0)</f>
        <v>13.63</v>
      </c>
      <c r="G5622" s="149" t="n">
        <f aca="false">IF(C5622="M.O.",VLOOKUP(A5622,INSUMOS_AUX!A:F,6,0),0)</f>
        <v>0</v>
      </c>
    </row>
    <row r="5623" customFormat="false" ht="15" hidden="false" customHeight="false" outlineLevel="0" collapsed="false">
      <c r="A5623" s="154" t="n">
        <v>39997</v>
      </c>
      <c r="B5623" s="155" t="s">
        <v>2438</v>
      </c>
      <c r="C5623" s="148" t="str">
        <f aca="false">VLOOKUP($A5623,INSUMOS_AUX!$A$3:$H$813,3,0)</f>
        <v>MAT.</v>
      </c>
      <c r="D5623" s="156" t="s">
        <v>31</v>
      </c>
      <c r="E5623" s="154" t="n">
        <v>7</v>
      </c>
      <c r="F5623" s="149" t="n">
        <f aca="false">IF(C5623="MAT.",VLOOKUP(A5623,INSUMOS_AUX!$A$3:$H$813,6,0),0)</f>
        <v>0.33</v>
      </c>
      <c r="G5623" s="149" t="n">
        <f aca="false">IF(C5623="M.O.",VLOOKUP(A5623,INSUMOS_AUX!A:F,6,0),0)</f>
        <v>0</v>
      </c>
    </row>
    <row r="5624" customFormat="false" ht="21" hidden="false" customHeight="false" outlineLevel="0" collapsed="false">
      <c r="A5624" s="154" t="s">
        <v>2402</v>
      </c>
      <c r="B5624" s="155" t="s">
        <v>2403</v>
      </c>
      <c r="C5624" s="148" t="str">
        <f aca="false">VLOOKUP($A5624,INSUMOS_AUX!$A$3:$H$813,3,0)</f>
        <v>MAT.</v>
      </c>
      <c r="D5624" s="156" t="s">
        <v>31</v>
      </c>
      <c r="E5624" s="154" t="n">
        <v>0.333</v>
      </c>
      <c r="F5624" s="149" t="n">
        <f aca="false">IF(C5624="MAT.",VLOOKUP(A5624,INSUMOS_AUX!$A$3:$H$813,6,0),0)</f>
        <v>2.39</v>
      </c>
      <c r="G5624" s="149" t="n">
        <f aca="false">IF(C5624="M.O.",VLOOKUP(A5624,INSUMOS_AUX!A:F,6,0),0)</f>
        <v>0</v>
      </c>
    </row>
    <row r="5625" customFormat="false" ht="21" hidden="false" customHeight="false" outlineLevel="0" collapsed="false">
      <c r="A5625" s="154" t="s">
        <v>2445</v>
      </c>
      <c r="B5625" s="155" t="s">
        <v>2446</v>
      </c>
      <c r="C5625" s="148" t="str">
        <f aca="false">VLOOKUP($A5625,INSUMOS_AUX!$A$3:$H$813,3,0)</f>
        <v>MAT.</v>
      </c>
      <c r="D5625" s="156" t="s">
        <v>1455</v>
      </c>
      <c r="E5625" s="154" t="n">
        <v>0.982</v>
      </c>
      <c r="F5625" s="149" t="n">
        <f aca="false">IF(C5625="MAT.",VLOOKUP(A5625,INSUMOS_AUX!$A$3:$H$813,6,0),0)</f>
        <v>7.05111111111111</v>
      </c>
      <c r="G5625" s="149" t="n">
        <f aca="false">IF(C5625="M.O.",VLOOKUP(A5625,INSUMOS_AUX!A:F,6,0),0)</f>
        <v>0</v>
      </c>
    </row>
    <row r="5626" customFormat="false" ht="15" hidden="false" customHeight="false" outlineLevel="0" collapsed="false">
      <c r="A5626" s="154" t="n">
        <v>39996</v>
      </c>
      <c r="B5626" s="155" t="s">
        <v>2441</v>
      </c>
      <c r="C5626" s="148" t="str">
        <f aca="false">VLOOKUP($A5626,INSUMOS_AUX!$A$3:$H$813,3,0)</f>
        <v>MAT.</v>
      </c>
      <c r="D5626" s="156" t="s">
        <v>1455</v>
      </c>
      <c r="E5626" s="154" t="n">
        <v>1.1111</v>
      </c>
      <c r="F5626" s="149" t="n">
        <f aca="false">IF(C5626="MAT.",VLOOKUP(A5626,INSUMOS_AUX!$A$3:$H$813,6,0),0)</f>
        <v>3.05</v>
      </c>
      <c r="G5626" s="149" t="n">
        <f aca="false">IF(C5626="M.O.",VLOOKUP(A5626,INSUMOS_AUX!A:F,6,0),0)</f>
        <v>0</v>
      </c>
    </row>
    <row r="5627" customFormat="false" ht="15" hidden="false" customHeight="false" outlineLevel="0" collapsed="false">
      <c r="A5627" s="154" t="n">
        <v>247</v>
      </c>
      <c r="B5627" s="155" t="s">
        <v>1554</v>
      </c>
      <c r="C5627" s="148" t="str">
        <f aca="false">VLOOKUP($A5627,INSUMOS_AUX!$A$3:$H$813,3,0)</f>
        <v>M.O.</v>
      </c>
      <c r="D5627" s="156" t="s">
        <v>1444</v>
      </c>
      <c r="E5627" s="154" t="n">
        <v>0.26586511</v>
      </c>
      <c r="F5627" s="149" t="n">
        <f aca="false">IF(C5627="MAT.",VLOOKUP(A5627,INSUMOS_AUX!$A$3:$H$813,6,0),0)</f>
        <v>0</v>
      </c>
      <c r="G5627" s="149" t="n">
        <f aca="false">IF(C5627="M.O.",VLOOKUP(A5627,INSUMOS_AUX!A:F,6,0),0)</f>
        <v>13.26</v>
      </c>
    </row>
    <row r="5628" customFormat="false" ht="15" hidden="false" customHeight="false" outlineLevel="0" collapsed="false">
      <c r="A5628" s="154" t="n">
        <v>2436</v>
      </c>
      <c r="B5628" s="155" t="s">
        <v>1557</v>
      </c>
      <c r="C5628" s="148" t="str">
        <f aca="false">VLOOKUP($A5628,INSUMOS_AUX!$A$3:$H$813,3,0)</f>
        <v>M.O.</v>
      </c>
      <c r="D5628" s="156" t="s">
        <v>1444</v>
      </c>
      <c r="E5628" s="154" t="n">
        <v>0.86927415</v>
      </c>
      <c r="F5628" s="149" t="n">
        <f aca="false">IF(C5628="MAT.",VLOOKUP(A5628,INSUMOS_AUX!$A$3:$H$813,6,0),0)</f>
        <v>0</v>
      </c>
      <c r="G5628" s="149" t="n">
        <f aca="false">IF(C5628="M.O.",VLOOKUP(A5628,INSUMOS_AUX!A:F,6,0),0)</f>
        <v>20.22</v>
      </c>
    </row>
    <row r="5629" customFormat="false" ht="31.5" hidden="false" customHeight="false" outlineLevel="0" collapsed="false">
      <c r="A5629" s="150" t="s">
        <v>938</v>
      </c>
      <c r="B5629" s="151" t="s">
        <v>2447</v>
      </c>
      <c r="C5629" s="152" t="s">
        <v>59</v>
      </c>
      <c r="D5629" s="152" t="s">
        <v>1455</v>
      </c>
      <c r="E5629" s="150"/>
      <c r="F5629" s="153" t="n">
        <f aca="false">(SUMPRODUCT($E5630:$E5646,F5630:F5646))*1</f>
        <v>50.4127363333333</v>
      </c>
      <c r="G5629" s="153" t="n">
        <f aca="false">(SUMPRODUCT($E5630:$E5646,G5630:G5646))*1</f>
        <v>17.1026971584</v>
      </c>
    </row>
    <row r="5630" customFormat="false" ht="21" hidden="false" customHeight="false" outlineLevel="0" collapsed="false">
      <c r="A5630" s="154" t="n">
        <v>37370</v>
      </c>
      <c r="B5630" s="155" t="s">
        <v>1443</v>
      </c>
      <c r="C5630" s="148" t="s">
        <v>59</v>
      </c>
      <c r="D5630" s="156" t="s">
        <v>1444</v>
      </c>
      <c r="E5630" s="154" t="n">
        <v>1.0491</v>
      </c>
      <c r="F5630" s="149" t="n">
        <f aca="false">IF(C5630="MAT.",VLOOKUP(A5630,INSUMOS_AUX!$A$3:$H$813,6,0),0)</f>
        <v>0</v>
      </c>
      <c r="G5630" s="149" t="n">
        <f aca="false">IF(C5630="M.O.",VLOOKUP(A5630,INSUMOS_AUX!A:F,6,0),0)</f>
        <v>0</v>
      </c>
    </row>
    <row r="5631" customFormat="false" ht="21" hidden="false" customHeight="false" outlineLevel="0" collapsed="false">
      <c r="A5631" s="154" t="n">
        <v>43484</v>
      </c>
      <c r="B5631" s="155" t="s">
        <v>1523</v>
      </c>
      <c r="C5631" s="148" t="str">
        <f aca="false">VLOOKUP($A5631,INSUMOS_AUX!$A$3:$H$813,3,0)</f>
        <v>MAT.</v>
      </c>
      <c r="D5631" s="156" t="s">
        <v>1444</v>
      </c>
      <c r="E5631" s="154" t="n">
        <v>1.0491</v>
      </c>
      <c r="F5631" s="149" t="n">
        <f aca="false">IF(C5631="MAT.",VLOOKUP(A5631,INSUMOS_AUX!$A$3:$H$813,6,0),0)</f>
        <v>1.26</v>
      </c>
      <c r="G5631" s="149" t="n">
        <f aca="false">IF(C5631="M.O.",VLOOKUP(A5631,INSUMOS_AUX!A:F,6,0),0)</f>
        <v>0</v>
      </c>
    </row>
    <row r="5632" customFormat="false" ht="21" hidden="false" customHeight="false" outlineLevel="0" collapsed="false">
      <c r="A5632" s="154" t="n">
        <v>37372</v>
      </c>
      <c r="B5632" s="155" t="s">
        <v>1446</v>
      </c>
      <c r="C5632" s="148" t="str">
        <f aca="false">VLOOKUP($A5632,INSUMOS_AUX!$A$3:$H$813,3,0)</f>
        <v>MAT.</v>
      </c>
      <c r="D5632" s="156" t="s">
        <v>1444</v>
      </c>
      <c r="E5632" s="154" t="n">
        <v>1.0491</v>
      </c>
      <c r="F5632" s="149" t="n">
        <f aca="false">IF(C5632="MAT.",VLOOKUP(A5632,INSUMOS_AUX!$A$3:$H$813,6,0),0)</f>
        <v>1.43</v>
      </c>
      <c r="G5632" s="149" t="n">
        <f aca="false">IF(C5632="M.O.",VLOOKUP(A5632,INSUMOS_AUX!A:F,6,0),0)</f>
        <v>0</v>
      </c>
    </row>
    <row r="5633" customFormat="false" ht="21" hidden="false" customHeight="false" outlineLevel="0" collapsed="false">
      <c r="A5633" s="154" t="n">
        <v>43460</v>
      </c>
      <c r="B5633" s="155" t="s">
        <v>1524</v>
      </c>
      <c r="C5633" s="148" t="str">
        <f aca="false">VLOOKUP($A5633,INSUMOS_AUX!$A$3:$H$813,3,0)</f>
        <v>MAT.</v>
      </c>
      <c r="D5633" s="156" t="s">
        <v>1444</v>
      </c>
      <c r="E5633" s="154" t="n">
        <v>1.0491</v>
      </c>
      <c r="F5633" s="149" t="n">
        <f aca="false">IF(C5633="MAT.",VLOOKUP(A5633,INSUMOS_AUX!$A$3:$H$813,6,0),0)</f>
        <v>0.86</v>
      </c>
      <c r="G5633" s="149" t="n">
        <f aca="false">IF(C5633="M.O.",VLOOKUP(A5633,INSUMOS_AUX!A:F,6,0),0)</f>
        <v>0</v>
      </c>
    </row>
    <row r="5634" customFormat="false" ht="21" hidden="false" customHeight="false" outlineLevel="0" collapsed="false">
      <c r="A5634" s="154" t="n">
        <v>37373</v>
      </c>
      <c r="B5634" s="155" t="s">
        <v>1448</v>
      </c>
      <c r="C5634" s="148" t="str">
        <f aca="false">VLOOKUP($A5634,INSUMOS_AUX!$A$3:$H$813,3,0)</f>
        <v>MAT.</v>
      </c>
      <c r="D5634" s="156" t="s">
        <v>1444</v>
      </c>
      <c r="E5634" s="154" t="n">
        <v>1.0491</v>
      </c>
      <c r="F5634" s="149" t="n">
        <f aca="false">IF(C5634="MAT.",VLOOKUP(A5634,INSUMOS_AUX!$A$3:$H$813,6,0),0)</f>
        <v>0.08</v>
      </c>
      <c r="G5634" s="149" t="n">
        <f aca="false">IF(C5634="M.O.",VLOOKUP(A5634,INSUMOS_AUX!A:F,6,0),0)</f>
        <v>0</v>
      </c>
    </row>
    <row r="5635" customFormat="false" ht="21" hidden="false" customHeight="false" outlineLevel="0" collapsed="false">
      <c r="A5635" s="154" t="n">
        <v>37371</v>
      </c>
      <c r="B5635" s="155" t="s">
        <v>1449</v>
      </c>
      <c r="C5635" s="148" t="str">
        <f aca="false">VLOOKUP($A5635,INSUMOS_AUX!$A$3:$H$813,3,0)</f>
        <v>MAT.</v>
      </c>
      <c r="D5635" s="156" t="s">
        <v>1444</v>
      </c>
      <c r="E5635" s="154" t="n">
        <v>1.0491</v>
      </c>
      <c r="F5635" s="149" t="n">
        <f aca="false">IF(C5635="MAT.",VLOOKUP(A5635,INSUMOS_AUX!$A$3:$H$813,6,0),0)</f>
        <v>0.59</v>
      </c>
      <c r="G5635" s="149" t="n">
        <f aca="false">IF(C5635="M.O.",VLOOKUP(A5635,INSUMOS_AUX!A:F,6,0),0)</f>
        <v>0</v>
      </c>
    </row>
    <row r="5636" customFormat="false" ht="31.5" hidden="false" customHeight="false" outlineLevel="0" collapsed="false">
      <c r="A5636" s="154" t="n">
        <v>11267</v>
      </c>
      <c r="B5636" s="155" t="s">
        <v>2431</v>
      </c>
      <c r="C5636" s="148" t="str">
        <f aca="false">VLOOKUP($A5636,INSUMOS_AUX!$A$3:$H$813,3,0)</f>
        <v>MAT.</v>
      </c>
      <c r="D5636" s="156" t="s">
        <v>31</v>
      </c>
      <c r="E5636" s="154" t="n">
        <v>7</v>
      </c>
      <c r="F5636" s="149" t="n">
        <f aca="false">IF(C5636="MAT.",VLOOKUP(A5636,INSUMOS_AUX!$A$3:$H$813,6,0),0)</f>
        <v>1.43</v>
      </c>
      <c r="G5636" s="149" t="n">
        <f aca="false">IF(C5636="M.O.",VLOOKUP(A5636,INSUMOS_AUX!A:F,6,0),0)</f>
        <v>0</v>
      </c>
    </row>
    <row r="5637" customFormat="false" ht="21" hidden="false" customHeight="false" outlineLevel="0" collapsed="false">
      <c r="A5637" s="154" t="n">
        <v>11976</v>
      </c>
      <c r="B5637" s="155" t="s">
        <v>2432</v>
      </c>
      <c r="C5637" s="148" t="str">
        <f aca="false">VLOOKUP($A5637,INSUMOS_AUX!$A$3:$H$813,3,0)</f>
        <v>MAT.</v>
      </c>
      <c r="D5637" s="156" t="s">
        <v>31</v>
      </c>
      <c r="E5637" s="154" t="n">
        <v>2.2222</v>
      </c>
      <c r="F5637" s="149" t="n">
        <f aca="false">IF(C5637="MAT.",VLOOKUP(A5637,INSUMOS_AUX!$A$3:$H$813,6,0),0)</f>
        <v>1.33</v>
      </c>
      <c r="G5637" s="149" t="n">
        <f aca="false">IF(C5637="M.O.",VLOOKUP(A5637,INSUMOS_AUX!A:F,6,0),0)</f>
        <v>0</v>
      </c>
    </row>
    <row r="5638" customFormat="false" ht="21" hidden="false" customHeight="false" outlineLevel="0" collapsed="false">
      <c r="A5638" s="154" t="s">
        <v>2448</v>
      </c>
      <c r="B5638" s="155" t="s">
        <v>2449</v>
      </c>
      <c r="C5638" s="148" t="str">
        <f aca="false">VLOOKUP($A5638,INSUMOS_AUX!$A$3:$H$813,3,0)</f>
        <v>MAT.</v>
      </c>
      <c r="D5638" s="156" t="s">
        <v>1455</v>
      </c>
      <c r="E5638" s="154" t="n">
        <v>0.991</v>
      </c>
      <c r="F5638" s="149" t="n">
        <f aca="false">IF(C5638="MAT.",VLOOKUP(A5638,INSUMOS_AUX!$A$3:$H$813,6,0),0)</f>
        <v>12.2633333333333</v>
      </c>
      <c r="G5638" s="149" t="n">
        <f aca="false">IF(C5638="M.O.",VLOOKUP(A5638,INSUMOS_AUX!A:F,6,0),0)</f>
        <v>0</v>
      </c>
    </row>
    <row r="5639" customFormat="false" ht="31.5" hidden="false" customHeight="false" outlineLevel="0" collapsed="false">
      <c r="A5639" s="154" t="n">
        <v>13246</v>
      </c>
      <c r="B5639" s="155" t="s">
        <v>1811</v>
      </c>
      <c r="C5639" s="148" t="str">
        <f aca="false">VLOOKUP($A5639,INSUMOS_AUX!$A$3:$H$813,3,0)</f>
        <v>MAT.</v>
      </c>
      <c r="D5639" s="156" t="s">
        <v>31</v>
      </c>
      <c r="E5639" s="154" t="n">
        <v>5.6</v>
      </c>
      <c r="F5639" s="149" t="n">
        <f aca="false">IF(C5639="MAT.",VLOOKUP(A5639,INSUMOS_AUX!$A$3:$H$813,6,0),0)</f>
        <v>0.5</v>
      </c>
      <c r="G5639" s="149" t="n">
        <f aca="false">IF(C5639="M.O.",VLOOKUP(A5639,INSUMOS_AUX!A:F,6,0),0)</f>
        <v>0</v>
      </c>
    </row>
    <row r="5640" customFormat="false" ht="15" hidden="false" customHeight="false" outlineLevel="0" collapsed="false">
      <c r="A5640" s="154" t="n">
        <v>39029</v>
      </c>
      <c r="B5640" s="155" t="s">
        <v>2437</v>
      </c>
      <c r="C5640" s="148" t="str">
        <f aca="false">VLOOKUP($A5640,INSUMOS_AUX!$A$3:$H$813,3,0)</f>
        <v>MAT.</v>
      </c>
      <c r="D5640" s="156" t="s">
        <v>1455</v>
      </c>
      <c r="E5640" s="154" t="n">
        <v>0.5</v>
      </c>
      <c r="F5640" s="149" t="n">
        <f aca="false">IF(C5640="MAT.",VLOOKUP(A5640,INSUMOS_AUX!$A$3:$H$813,6,0),0)</f>
        <v>13.63</v>
      </c>
      <c r="G5640" s="149" t="n">
        <f aca="false">IF(C5640="M.O.",VLOOKUP(A5640,INSUMOS_AUX!A:F,6,0),0)</f>
        <v>0</v>
      </c>
    </row>
    <row r="5641" customFormat="false" ht="15" hidden="false" customHeight="false" outlineLevel="0" collapsed="false">
      <c r="A5641" s="154" t="n">
        <v>39997</v>
      </c>
      <c r="B5641" s="155" t="s">
        <v>2438</v>
      </c>
      <c r="C5641" s="148" t="str">
        <f aca="false">VLOOKUP($A5641,INSUMOS_AUX!$A$3:$H$813,3,0)</f>
        <v>MAT.</v>
      </c>
      <c r="D5641" s="156" t="s">
        <v>31</v>
      </c>
      <c r="E5641" s="154" t="n">
        <v>7</v>
      </c>
      <c r="F5641" s="149" t="n">
        <f aca="false">IF(C5641="MAT.",VLOOKUP(A5641,INSUMOS_AUX!$A$3:$H$813,6,0),0)</f>
        <v>0.33</v>
      </c>
      <c r="G5641" s="149" t="n">
        <f aca="false">IF(C5641="M.O.",VLOOKUP(A5641,INSUMOS_AUX!A:F,6,0),0)</f>
        <v>0</v>
      </c>
    </row>
    <row r="5642" customFormat="false" ht="21" hidden="false" customHeight="false" outlineLevel="0" collapsed="false">
      <c r="A5642" s="154" t="s">
        <v>2407</v>
      </c>
      <c r="B5642" s="155" t="s">
        <v>2408</v>
      </c>
      <c r="C5642" s="148" t="str">
        <f aca="false">VLOOKUP($A5642,INSUMOS_AUX!$A$3:$H$813,3,0)</f>
        <v>MAT.</v>
      </c>
      <c r="D5642" s="156" t="s">
        <v>31</v>
      </c>
      <c r="E5642" s="154" t="n">
        <v>0.333</v>
      </c>
      <c r="F5642" s="149" t="n">
        <f aca="false">IF(C5642="MAT.",VLOOKUP(A5642,INSUMOS_AUX!$A$3:$H$813,6,0),0)</f>
        <v>0.933333333333333</v>
      </c>
      <c r="G5642" s="149" t="n">
        <f aca="false">IF(C5642="M.O.",VLOOKUP(A5642,INSUMOS_AUX!A:F,6,0),0)</f>
        <v>0</v>
      </c>
    </row>
    <row r="5643" customFormat="false" ht="21" hidden="false" customHeight="false" outlineLevel="0" collapsed="false">
      <c r="A5643" s="154" t="s">
        <v>2450</v>
      </c>
      <c r="B5643" s="155" t="s">
        <v>2451</v>
      </c>
      <c r="C5643" s="148" t="str">
        <f aca="false">VLOOKUP($A5643,INSUMOS_AUX!$A$3:$H$813,3,0)</f>
        <v>MAT.</v>
      </c>
      <c r="D5643" s="156" t="s">
        <v>1455</v>
      </c>
      <c r="E5643" s="154" t="n">
        <v>0.991</v>
      </c>
      <c r="F5643" s="149" t="n">
        <f aca="false">IF(C5643="MAT.",VLOOKUP(A5643,INSUMOS_AUX!$A$3:$H$813,6,0),0)</f>
        <v>5.29</v>
      </c>
      <c r="G5643" s="149" t="n">
        <f aca="false">IF(C5643="M.O.",VLOOKUP(A5643,INSUMOS_AUX!A:F,6,0),0)</f>
        <v>0</v>
      </c>
    </row>
    <row r="5644" customFormat="false" ht="15" hidden="false" customHeight="false" outlineLevel="0" collapsed="false">
      <c r="A5644" s="154" t="n">
        <v>39996</v>
      </c>
      <c r="B5644" s="155" t="s">
        <v>2441</v>
      </c>
      <c r="C5644" s="148" t="str">
        <f aca="false">VLOOKUP($A5644,INSUMOS_AUX!$A$3:$H$813,3,0)</f>
        <v>MAT.</v>
      </c>
      <c r="D5644" s="156" t="s">
        <v>1455</v>
      </c>
      <c r="E5644" s="154" t="n">
        <v>1.1111</v>
      </c>
      <c r="F5644" s="149" t="n">
        <f aca="false">IF(C5644="MAT.",VLOOKUP(A5644,INSUMOS_AUX!$A$3:$H$813,6,0),0)</f>
        <v>3.05</v>
      </c>
      <c r="G5644" s="149" t="n">
        <f aca="false">IF(C5644="M.O.",VLOOKUP(A5644,INSUMOS_AUX!A:F,6,0),0)</f>
        <v>0</v>
      </c>
    </row>
    <row r="5645" customFormat="false" ht="15" hidden="false" customHeight="false" outlineLevel="0" collapsed="false">
      <c r="A5645" s="154" t="n">
        <v>247</v>
      </c>
      <c r="B5645" s="155" t="s">
        <v>1554</v>
      </c>
      <c r="C5645" s="148" t="s">
        <v>59</v>
      </c>
      <c r="D5645" s="156" t="s">
        <v>1444</v>
      </c>
      <c r="E5645" s="154" t="n">
        <v>0.24242168</v>
      </c>
      <c r="F5645" s="149" t="n">
        <f aca="false">IF(C5645="MAT.",VLOOKUP(A5645,INSUMOS_AUX!$A$3:$H$813,6,0),0)</f>
        <v>0</v>
      </c>
      <c r="G5645" s="149" t="n">
        <f aca="false">IF(C5645="M.O.",VLOOKUP(A5645,INSUMOS_AUX!A:F,6,0),0)</f>
        <v>0</v>
      </c>
    </row>
    <row r="5646" customFormat="false" ht="15" hidden="false" customHeight="false" outlineLevel="0" collapsed="false">
      <c r="A5646" s="154" t="n">
        <v>2436</v>
      </c>
      <c r="B5646" s="155" t="s">
        <v>1557</v>
      </c>
      <c r="C5646" s="148" t="str">
        <f aca="false">VLOOKUP($A5646,INSUMOS_AUX!$A$3:$H$813,3,0)</f>
        <v>M.O.</v>
      </c>
      <c r="D5646" s="156" t="s">
        <v>1444</v>
      </c>
      <c r="E5646" s="154" t="n">
        <v>0.84583072</v>
      </c>
      <c r="F5646" s="149" t="n">
        <f aca="false">IF(C5646="MAT.",VLOOKUP(A5646,INSUMOS_AUX!$A$3:$H$813,6,0),0)</f>
        <v>0</v>
      </c>
      <c r="G5646" s="149" t="n">
        <f aca="false">IF(C5646="M.O.",VLOOKUP(A5646,INSUMOS_AUX!A:F,6,0),0)</f>
        <v>20.22</v>
      </c>
    </row>
    <row r="5647" customFormat="false" ht="31.5" hidden="false" customHeight="false" outlineLevel="0" collapsed="false">
      <c r="A5647" s="150" t="n">
        <v>91963</v>
      </c>
      <c r="B5647" s="151" t="s">
        <v>2452</v>
      </c>
      <c r="C5647" s="152" t="s">
        <v>59</v>
      </c>
      <c r="D5647" s="152" t="s">
        <v>31</v>
      </c>
      <c r="E5647" s="150"/>
      <c r="F5647" s="153" t="n">
        <f aca="false">(SUMPRODUCT($E5648:$E5659,F5648:F5659))*1</f>
        <v>39.33452</v>
      </c>
      <c r="G5647" s="153" t="n">
        <f aca="false">(SUMPRODUCT($E5648:$E5659,G5648:G5659))*1</f>
        <v>30.1799125584</v>
      </c>
    </row>
    <row r="5648" customFormat="false" ht="21" hidden="false" customHeight="false" outlineLevel="0" collapsed="false">
      <c r="A5648" s="154" t="n">
        <v>37370</v>
      </c>
      <c r="B5648" s="155" t="s">
        <v>1443</v>
      </c>
      <c r="C5648" s="148" t="str">
        <f aca="false">VLOOKUP($A5648,INSUMOS_AUX!$A$3:$H$813,3,0)</f>
        <v>MAT.</v>
      </c>
      <c r="D5648" s="156" t="s">
        <v>1444</v>
      </c>
      <c r="E5648" s="154" t="n">
        <v>1.738</v>
      </c>
      <c r="F5648" s="149" t="n">
        <f aca="false">IF(C5648="MAT.",VLOOKUP(A5648,INSUMOS_AUX!$A$3:$H$813,6,0),0)</f>
        <v>3.32</v>
      </c>
      <c r="G5648" s="149" t="n">
        <f aca="false">IF(C5648="M.O.",VLOOKUP(A5648,INSUMOS_AUX!A:F,6,0),0)</f>
        <v>0</v>
      </c>
    </row>
    <row r="5649" customFormat="false" ht="21" hidden="false" customHeight="false" outlineLevel="0" collapsed="false">
      <c r="A5649" s="154" t="n">
        <v>43484</v>
      </c>
      <c r="B5649" s="155" t="s">
        <v>1523</v>
      </c>
      <c r="C5649" s="148" t="str">
        <f aca="false">VLOOKUP($A5649,INSUMOS_AUX!$A$3:$H$813,3,0)</f>
        <v>MAT.</v>
      </c>
      <c r="D5649" s="156" t="s">
        <v>1444</v>
      </c>
      <c r="E5649" s="154" t="n">
        <v>1.738</v>
      </c>
      <c r="F5649" s="149" t="n">
        <f aca="false">IF(C5649="MAT.",VLOOKUP(A5649,INSUMOS_AUX!$A$3:$H$813,6,0),0)</f>
        <v>1.26</v>
      </c>
      <c r="G5649" s="149" t="n">
        <f aca="false">IF(C5649="M.O.",VLOOKUP(A5649,INSUMOS_AUX!A:F,6,0),0)</f>
        <v>0</v>
      </c>
    </row>
    <row r="5650" customFormat="false" ht="21" hidden="false" customHeight="false" outlineLevel="0" collapsed="false">
      <c r="A5650" s="154" t="n">
        <v>37372</v>
      </c>
      <c r="B5650" s="155" t="s">
        <v>1446</v>
      </c>
      <c r="C5650" s="148" t="str">
        <f aca="false">VLOOKUP($A5650,INSUMOS_AUX!$A$3:$H$813,3,0)</f>
        <v>MAT.</v>
      </c>
      <c r="D5650" s="156" t="s">
        <v>1444</v>
      </c>
      <c r="E5650" s="154" t="n">
        <v>1.738</v>
      </c>
      <c r="F5650" s="149" t="n">
        <f aca="false">IF(C5650="MAT.",VLOOKUP(A5650,INSUMOS_AUX!$A$3:$H$813,6,0),0)</f>
        <v>1.43</v>
      </c>
      <c r="G5650" s="149" t="n">
        <f aca="false">IF(C5650="M.O.",VLOOKUP(A5650,INSUMOS_AUX!A:F,6,0),0)</f>
        <v>0</v>
      </c>
    </row>
    <row r="5651" customFormat="false" ht="21" hidden="false" customHeight="false" outlineLevel="0" collapsed="false">
      <c r="A5651" s="154" t="n">
        <v>43460</v>
      </c>
      <c r="B5651" s="155" t="s">
        <v>1524</v>
      </c>
      <c r="C5651" s="148" t="str">
        <f aca="false">VLOOKUP($A5651,INSUMOS_AUX!$A$3:$H$813,3,0)</f>
        <v>MAT.</v>
      </c>
      <c r="D5651" s="156" t="s">
        <v>1444</v>
      </c>
      <c r="E5651" s="154" t="n">
        <v>1.738</v>
      </c>
      <c r="F5651" s="149" t="n">
        <f aca="false">IF(C5651="MAT.",VLOOKUP(A5651,INSUMOS_AUX!$A$3:$H$813,6,0),0)</f>
        <v>0.86</v>
      </c>
      <c r="G5651" s="149" t="n">
        <f aca="false">IF(C5651="M.O.",VLOOKUP(A5651,INSUMOS_AUX!A:F,6,0),0)</f>
        <v>0</v>
      </c>
    </row>
    <row r="5652" customFormat="false" ht="21" hidden="false" customHeight="false" outlineLevel="0" collapsed="false">
      <c r="A5652" s="154" t="n">
        <v>37373</v>
      </c>
      <c r="B5652" s="155" t="s">
        <v>1448</v>
      </c>
      <c r="C5652" s="148" t="str">
        <f aca="false">VLOOKUP($A5652,INSUMOS_AUX!$A$3:$H$813,3,0)</f>
        <v>MAT.</v>
      </c>
      <c r="D5652" s="156" t="s">
        <v>1444</v>
      </c>
      <c r="E5652" s="154" t="n">
        <v>1.738</v>
      </c>
      <c r="F5652" s="149" t="n">
        <f aca="false">IF(C5652="MAT.",VLOOKUP(A5652,INSUMOS_AUX!$A$3:$H$813,6,0),0)</f>
        <v>0.08</v>
      </c>
      <c r="G5652" s="149" t="n">
        <f aca="false">IF(C5652="M.O.",VLOOKUP(A5652,INSUMOS_AUX!A:F,6,0),0)</f>
        <v>0</v>
      </c>
    </row>
    <row r="5653" customFormat="false" ht="21" hidden="false" customHeight="false" outlineLevel="0" collapsed="false">
      <c r="A5653" s="154" t="n">
        <v>37371</v>
      </c>
      <c r="B5653" s="155" t="s">
        <v>1449</v>
      </c>
      <c r="C5653" s="148" t="str">
        <f aca="false">VLOOKUP($A5653,INSUMOS_AUX!$A$3:$H$813,3,0)</f>
        <v>MAT.</v>
      </c>
      <c r="D5653" s="156" t="s">
        <v>1444</v>
      </c>
      <c r="E5653" s="154" t="n">
        <v>1.738</v>
      </c>
      <c r="F5653" s="149" t="n">
        <f aca="false">IF(C5653="MAT.",VLOOKUP(A5653,INSUMOS_AUX!$A$3:$H$813,6,0),0)</f>
        <v>0.59</v>
      </c>
      <c r="G5653" s="149" t="n">
        <f aca="false">IF(C5653="M.O.",VLOOKUP(A5653,INSUMOS_AUX!A:F,6,0),0)</f>
        <v>0</v>
      </c>
    </row>
    <row r="5654" customFormat="false" ht="21" hidden="false" customHeight="false" outlineLevel="0" collapsed="false">
      <c r="A5654" s="154" t="n">
        <v>38094</v>
      </c>
      <c r="B5654" s="155" t="s">
        <v>1541</v>
      </c>
      <c r="C5654" s="148" t="str">
        <f aca="false">VLOOKUP($A5654,INSUMOS_AUX!$A$3:$H$813,3,0)</f>
        <v>MAT.</v>
      </c>
      <c r="D5654" s="156" t="s">
        <v>31</v>
      </c>
      <c r="E5654" s="154" t="n">
        <v>1</v>
      </c>
      <c r="F5654" s="149" t="n">
        <f aca="false">IF(C5654="MAT.",VLOOKUP(A5654,INSUMOS_AUX!$A$3:$H$813,6,0),0)</f>
        <v>2.62</v>
      </c>
      <c r="G5654" s="149" t="n">
        <f aca="false">IF(C5654="M.O.",VLOOKUP(A5654,INSUMOS_AUX!A:F,6,0),0)</f>
        <v>0</v>
      </c>
    </row>
    <row r="5655" customFormat="false" ht="15" hidden="false" customHeight="false" outlineLevel="0" collapsed="false">
      <c r="A5655" s="154" t="n">
        <v>38113</v>
      </c>
      <c r="B5655" s="155" t="s">
        <v>2453</v>
      </c>
      <c r="C5655" s="148" t="str">
        <f aca="false">VLOOKUP($A5655,INSUMOS_AUX!$A$3:$H$813,3,0)</f>
        <v>MAT.</v>
      </c>
      <c r="D5655" s="156" t="s">
        <v>31</v>
      </c>
      <c r="E5655" s="154" t="n">
        <v>2</v>
      </c>
      <c r="F5655" s="149" t="n">
        <f aca="false">IF(C5655="MAT.",VLOOKUP(A5655,INSUMOS_AUX!$A$3:$H$813,6,0),0)</f>
        <v>8.04</v>
      </c>
      <c r="G5655" s="149" t="n">
        <f aca="false">IF(C5655="M.O.",VLOOKUP(A5655,INSUMOS_AUX!A:F,6,0),0)</f>
        <v>0</v>
      </c>
    </row>
    <row r="5656" customFormat="false" ht="15" hidden="false" customHeight="false" outlineLevel="0" collapsed="false">
      <c r="A5656" s="154" t="n">
        <v>38112</v>
      </c>
      <c r="B5656" s="155" t="s">
        <v>1543</v>
      </c>
      <c r="C5656" s="148" t="str">
        <f aca="false">VLOOKUP($A5656,INSUMOS_AUX!$A$3:$H$813,3,0)</f>
        <v>MAT.</v>
      </c>
      <c r="D5656" s="156" t="s">
        <v>31</v>
      </c>
      <c r="E5656" s="154" t="n">
        <v>1</v>
      </c>
      <c r="F5656" s="149" t="n">
        <f aca="false">IF(C5656="MAT.",VLOOKUP(A5656,INSUMOS_AUX!$A$3:$H$813,6,0),0)</f>
        <v>6.17</v>
      </c>
      <c r="G5656" s="149" t="n">
        <f aca="false">IF(C5656="M.O.",VLOOKUP(A5656,INSUMOS_AUX!A:F,6,0),0)</f>
        <v>0</v>
      </c>
    </row>
    <row r="5657" customFormat="false" ht="31.5" hidden="false" customHeight="false" outlineLevel="0" collapsed="false">
      <c r="A5657" s="154" t="n">
        <v>38099</v>
      </c>
      <c r="B5657" s="155" t="s">
        <v>1549</v>
      </c>
      <c r="C5657" s="148" t="str">
        <f aca="false">VLOOKUP($A5657,INSUMOS_AUX!$A$3:$H$813,3,0)</f>
        <v>MAT.</v>
      </c>
      <c r="D5657" s="156" t="s">
        <v>31</v>
      </c>
      <c r="E5657" s="154" t="n">
        <v>1</v>
      </c>
      <c r="F5657" s="149" t="n">
        <f aca="false">IF(C5657="MAT.",VLOOKUP(A5657,INSUMOS_AUX!$A$3:$H$813,6,0),0)</f>
        <v>1.36</v>
      </c>
      <c r="G5657" s="149" t="n">
        <f aca="false">IF(C5657="M.O.",VLOOKUP(A5657,INSUMOS_AUX!A:F,6,0),0)</f>
        <v>0</v>
      </c>
    </row>
    <row r="5658" customFormat="false" ht="15" hidden="false" customHeight="false" outlineLevel="0" collapsed="false">
      <c r="A5658" s="154" t="n">
        <v>247</v>
      </c>
      <c r="B5658" s="155" t="s">
        <v>1554</v>
      </c>
      <c r="C5658" s="148" t="str">
        <f aca="false">VLOOKUP($A5658,INSUMOS_AUX!$A$3:$H$813,3,0)</f>
        <v>M.O.</v>
      </c>
      <c r="D5658" s="156" t="s">
        <v>1444</v>
      </c>
      <c r="E5658" s="154" t="n">
        <v>0.90143108</v>
      </c>
      <c r="F5658" s="149" t="n">
        <f aca="false">IF(C5658="MAT.",VLOOKUP(A5658,INSUMOS_AUX!$A$3:$H$813,6,0),0)</f>
        <v>0</v>
      </c>
      <c r="G5658" s="149" t="n">
        <f aca="false">IF(C5658="M.O.",VLOOKUP(A5658,INSUMOS_AUX!A:F,6,0),0)</f>
        <v>13.26</v>
      </c>
    </row>
    <row r="5659" customFormat="false" ht="15" hidden="false" customHeight="false" outlineLevel="0" collapsed="false">
      <c r="A5659" s="154" t="n">
        <v>2436</v>
      </c>
      <c r="B5659" s="155" t="s">
        <v>1557</v>
      </c>
      <c r="C5659" s="148" t="str">
        <f aca="false">VLOOKUP($A5659,INSUMOS_AUX!$A$3:$H$813,3,0)</f>
        <v>M.O.</v>
      </c>
      <c r="D5659" s="156" t="s">
        <v>1444</v>
      </c>
      <c r="E5659" s="154" t="n">
        <v>0.90143108</v>
      </c>
      <c r="F5659" s="149" t="n">
        <f aca="false">IF(C5659="MAT.",VLOOKUP(A5659,INSUMOS_AUX!$A$3:$H$813,6,0),0)</f>
        <v>0</v>
      </c>
      <c r="G5659" s="149" t="n">
        <f aca="false">IF(C5659="M.O.",VLOOKUP(A5659,INSUMOS_AUX!A:F,6,0),0)</f>
        <v>20.22</v>
      </c>
    </row>
    <row r="5660" customFormat="false" ht="21" hidden="false" customHeight="false" outlineLevel="0" collapsed="false">
      <c r="A5660" s="150" t="n">
        <v>91979</v>
      </c>
      <c r="B5660" s="151" t="s">
        <v>2454</v>
      </c>
      <c r="C5660" s="152" t="s">
        <v>59</v>
      </c>
      <c r="D5660" s="152" t="s">
        <v>31</v>
      </c>
      <c r="E5660" s="150"/>
      <c r="F5660" s="153" t="n">
        <f aca="false">(SUMPRODUCT($E5661:$E5671,F5661:F5671))*1</f>
        <v>29.0624</v>
      </c>
      <c r="G5660" s="153" t="n">
        <f aca="false">(SUMPRODUCT($E5661:$E5671,G5661:G5671))*1</f>
        <v>11.116543512</v>
      </c>
    </row>
    <row r="5661" customFormat="false" ht="21" hidden="false" customHeight="false" outlineLevel="0" collapsed="false">
      <c r="A5661" s="154" t="n">
        <v>37370</v>
      </c>
      <c r="B5661" s="155" t="s">
        <v>1443</v>
      </c>
      <c r="C5661" s="148" t="str">
        <f aca="false">VLOOKUP($A5661,INSUMOS_AUX!$A$3:$H$813,3,0)</f>
        <v>MAT.</v>
      </c>
      <c r="D5661" s="156" t="s">
        <v>1444</v>
      </c>
      <c r="E5661" s="154" t="n">
        <v>1.06</v>
      </c>
      <c r="F5661" s="149" t="n">
        <f aca="false">IF(C5661="MAT.",VLOOKUP(A5661,INSUMOS_AUX!$A$3:$H$813,6,0),0)</f>
        <v>3.32</v>
      </c>
      <c r="G5661" s="149" t="n">
        <f aca="false">IF(C5661="M.O.",VLOOKUP(A5661,INSUMOS_AUX!A:F,6,0),0)</f>
        <v>0</v>
      </c>
    </row>
    <row r="5662" customFormat="false" ht="21" hidden="false" customHeight="false" outlineLevel="0" collapsed="false">
      <c r="A5662" s="154" t="n">
        <v>43484</v>
      </c>
      <c r="B5662" s="155" t="s">
        <v>1523</v>
      </c>
      <c r="C5662" s="148" t="str">
        <f aca="false">VLOOKUP($A5662,INSUMOS_AUX!$A$3:$H$813,3,0)</f>
        <v>MAT.</v>
      </c>
      <c r="D5662" s="156" t="s">
        <v>1444</v>
      </c>
      <c r="E5662" s="154" t="n">
        <v>1.06</v>
      </c>
      <c r="F5662" s="149" t="n">
        <f aca="false">IF(C5662="MAT.",VLOOKUP(A5662,INSUMOS_AUX!$A$3:$H$813,6,0),0)</f>
        <v>1.26</v>
      </c>
      <c r="G5662" s="149" t="n">
        <f aca="false">IF(C5662="M.O.",VLOOKUP(A5662,INSUMOS_AUX!A:F,6,0),0)</f>
        <v>0</v>
      </c>
    </row>
    <row r="5663" customFormat="false" ht="21" hidden="false" customHeight="false" outlineLevel="0" collapsed="false">
      <c r="A5663" s="154" t="n">
        <v>37372</v>
      </c>
      <c r="B5663" s="155" t="s">
        <v>1446</v>
      </c>
      <c r="C5663" s="148" t="str">
        <f aca="false">VLOOKUP($A5663,INSUMOS_AUX!$A$3:$H$813,3,0)</f>
        <v>MAT.</v>
      </c>
      <c r="D5663" s="156" t="s">
        <v>1444</v>
      </c>
      <c r="E5663" s="154" t="n">
        <v>1.06</v>
      </c>
      <c r="F5663" s="149" t="n">
        <f aca="false">IF(C5663="MAT.",VLOOKUP(A5663,INSUMOS_AUX!$A$3:$H$813,6,0),0)</f>
        <v>1.43</v>
      </c>
      <c r="G5663" s="149" t="n">
        <f aca="false">IF(C5663="M.O.",VLOOKUP(A5663,INSUMOS_AUX!A:F,6,0),0)</f>
        <v>0</v>
      </c>
    </row>
    <row r="5664" customFormat="false" ht="21" hidden="false" customHeight="false" outlineLevel="0" collapsed="false">
      <c r="A5664" s="154" t="n">
        <v>43460</v>
      </c>
      <c r="B5664" s="155" t="s">
        <v>1524</v>
      </c>
      <c r="C5664" s="148" t="str">
        <f aca="false">VLOOKUP($A5664,INSUMOS_AUX!$A$3:$H$813,3,0)</f>
        <v>MAT.</v>
      </c>
      <c r="D5664" s="156" t="s">
        <v>1444</v>
      </c>
      <c r="E5664" s="154" t="n">
        <v>1.06</v>
      </c>
      <c r="F5664" s="149" t="n">
        <f aca="false">IF(C5664="MAT.",VLOOKUP(A5664,INSUMOS_AUX!$A$3:$H$813,6,0),0)</f>
        <v>0.86</v>
      </c>
      <c r="G5664" s="149" t="n">
        <f aca="false">IF(C5664="M.O.",VLOOKUP(A5664,INSUMOS_AUX!A:F,6,0),0)</f>
        <v>0</v>
      </c>
    </row>
    <row r="5665" customFormat="false" ht="21" hidden="false" customHeight="false" outlineLevel="0" collapsed="false">
      <c r="A5665" s="154" t="n">
        <v>37373</v>
      </c>
      <c r="B5665" s="155" t="s">
        <v>1448</v>
      </c>
      <c r="C5665" s="148" t="str">
        <f aca="false">VLOOKUP($A5665,INSUMOS_AUX!$A$3:$H$813,3,0)</f>
        <v>MAT.</v>
      </c>
      <c r="D5665" s="156" t="s">
        <v>1444</v>
      </c>
      <c r="E5665" s="154" t="n">
        <v>1.06</v>
      </c>
      <c r="F5665" s="149" t="n">
        <f aca="false">IF(C5665="MAT.",VLOOKUP(A5665,INSUMOS_AUX!$A$3:$H$813,6,0),0)</f>
        <v>0.08</v>
      </c>
      <c r="G5665" s="149" t="n">
        <f aca="false">IF(C5665="M.O.",VLOOKUP(A5665,INSUMOS_AUX!A:F,6,0),0)</f>
        <v>0</v>
      </c>
    </row>
    <row r="5666" customFormat="false" ht="21" hidden="false" customHeight="false" outlineLevel="0" collapsed="false">
      <c r="A5666" s="154" t="n">
        <v>37371</v>
      </c>
      <c r="B5666" s="155" t="s">
        <v>1449</v>
      </c>
      <c r="C5666" s="148" t="str">
        <f aca="false">VLOOKUP($A5666,INSUMOS_AUX!$A$3:$H$813,3,0)</f>
        <v>MAT.</v>
      </c>
      <c r="D5666" s="156" t="s">
        <v>1444</v>
      </c>
      <c r="E5666" s="154" t="n">
        <v>1.06</v>
      </c>
      <c r="F5666" s="149" t="n">
        <f aca="false">IF(C5666="MAT.",VLOOKUP(A5666,INSUMOS_AUX!$A$3:$H$813,6,0),0)</f>
        <v>0.59</v>
      </c>
      <c r="G5666" s="149" t="n">
        <f aca="false">IF(C5666="M.O.",VLOOKUP(A5666,INSUMOS_AUX!A:F,6,0),0)</f>
        <v>0</v>
      </c>
    </row>
    <row r="5667" customFormat="false" ht="21" hidden="false" customHeight="false" outlineLevel="0" collapsed="false">
      <c r="A5667" s="154" t="n">
        <v>38094</v>
      </c>
      <c r="B5667" s="155" t="s">
        <v>1541</v>
      </c>
      <c r="C5667" s="148" t="str">
        <f aca="false">VLOOKUP($A5667,INSUMOS_AUX!$A$3:$H$813,3,0)</f>
        <v>MAT.</v>
      </c>
      <c r="D5667" s="156" t="s">
        <v>31</v>
      </c>
      <c r="E5667" s="154" t="n">
        <v>1</v>
      </c>
      <c r="F5667" s="149" t="n">
        <f aca="false">IF(C5667="MAT.",VLOOKUP(A5667,INSUMOS_AUX!$A$3:$H$813,6,0),0)</f>
        <v>2.62</v>
      </c>
      <c r="G5667" s="149" t="n">
        <f aca="false">IF(C5667="M.O.",VLOOKUP(A5667,INSUMOS_AUX!A:F,6,0),0)</f>
        <v>0</v>
      </c>
    </row>
    <row r="5668" customFormat="false" ht="15" hidden="false" customHeight="false" outlineLevel="0" collapsed="false">
      <c r="A5668" s="154" t="n">
        <v>38115</v>
      </c>
      <c r="B5668" s="155" t="s">
        <v>2455</v>
      </c>
      <c r="C5668" s="148" t="str">
        <f aca="false">VLOOKUP($A5668,INSUMOS_AUX!$A$3:$H$813,3,0)</f>
        <v>MAT.</v>
      </c>
      <c r="D5668" s="156" t="s">
        <v>31</v>
      </c>
      <c r="E5668" s="154" t="n">
        <v>1</v>
      </c>
      <c r="F5668" s="149" t="n">
        <f aca="false">IF(C5668="MAT.",VLOOKUP(A5668,INSUMOS_AUX!$A$3:$H$813,6,0),0)</f>
        <v>17.09</v>
      </c>
      <c r="G5668" s="149" t="n">
        <f aca="false">IF(C5668="M.O.",VLOOKUP(A5668,INSUMOS_AUX!A:F,6,0),0)</f>
        <v>0</v>
      </c>
    </row>
    <row r="5669" customFormat="false" ht="31.5" hidden="false" customHeight="false" outlineLevel="0" collapsed="false">
      <c r="A5669" s="154" t="n">
        <v>38099</v>
      </c>
      <c r="B5669" s="155" t="s">
        <v>1549</v>
      </c>
      <c r="C5669" s="148" t="str">
        <f aca="false">VLOOKUP($A5669,INSUMOS_AUX!$A$3:$H$813,3,0)</f>
        <v>MAT.</v>
      </c>
      <c r="D5669" s="156" t="s">
        <v>31</v>
      </c>
      <c r="E5669" s="154" t="n">
        <v>1</v>
      </c>
      <c r="F5669" s="149" t="n">
        <f aca="false">IF(C5669="MAT.",VLOOKUP(A5669,INSUMOS_AUX!$A$3:$H$813,6,0),0)</f>
        <v>1.36</v>
      </c>
      <c r="G5669" s="149" t="n">
        <f aca="false">IF(C5669="M.O.",VLOOKUP(A5669,INSUMOS_AUX!A:F,6,0),0)</f>
        <v>0</v>
      </c>
    </row>
    <row r="5670" customFormat="false" ht="15" hidden="false" customHeight="false" outlineLevel="0" collapsed="false">
      <c r="A5670" s="154" t="n">
        <v>247</v>
      </c>
      <c r="B5670" s="155" t="s">
        <v>1554</v>
      </c>
      <c r="C5670" s="148" t="s">
        <v>59</v>
      </c>
      <c r="D5670" s="156" t="s">
        <v>1444</v>
      </c>
      <c r="E5670" s="154" t="n">
        <v>0.5497796</v>
      </c>
      <c r="F5670" s="149" t="n">
        <f aca="false">IF(C5670="MAT.",VLOOKUP(A5670,INSUMOS_AUX!$A$3:$H$813,6,0),0)</f>
        <v>0</v>
      </c>
      <c r="G5670" s="149" t="n">
        <f aca="false">IF(C5670="M.O.",VLOOKUP(A5670,INSUMOS_AUX!A:F,6,0),0)</f>
        <v>0</v>
      </c>
    </row>
    <row r="5671" customFormat="false" ht="15" hidden="false" customHeight="false" outlineLevel="0" collapsed="false">
      <c r="A5671" s="154" t="n">
        <v>2436</v>
      </c>
      <c r="B5671" s="155" t="s">
        <v>1557</v>
      </c>
      <c r="C5671" s="148" t="str">
        <f aca="false">VLOOKUP($A5671,INSUMOS_AUX!$A$3:$H$813,3,0)</f>
        <v>M.O.</v>
      </c>
      <c r="D5671" s="156" t="s">
        <v>1444</v>
      </c>
      <c r="E5671" s="154" t="n">
        <v>0.5497796</v>
      </c>
      <c r="F5671" s="149" t="n">
        <f aca="false">IF(C5671="MAT.",VLOOKUP(A5671,INSUMOS_AUX!$A$3:$H$813,6,0),0)</f>
        <v>0</v>
      </c>
      <c r="G5671" s="149" t="n">
        <f aca="false">IF(C5671="M.O.",VLOOKUP(A5671,INSUMOS_AUX!A:F,6,0),0)</f>
        <v>20.22</v>
      </c>
    </row>
    <row r="5672" customFormat="false" ht="21" hidden="false" customHeight="false" outlineLevel="0" collapsed="false">
      <c r="A5672" s="150" t="n">
        <v>91955</v>
      </c>
      <c r="B5672" s="151" t="s">
        <v>2456</v>
      </c>
      <c r="C5672" s="152" t="s">
        <v>59</v>
      </c>
      <c r="D5672" s="152" t="s">
        <v>31</v>
      </c>
      <c r="E5672" s="150"/>
      <c r="F5672" s="153" t="n">
        <f aca="false">(SUMPRODUCT($E5673:$E5683,F5673:F5683))*1</f>
        <v>18.7306</v>
      </c>
      <c r="G5672" s="153" t="n">
        <f aca="false">(SUMPRODUCT($E5673:$E5683,G5673:G5683))*1</f>
        <v>15.454615752</v>
      </c>
    </row>
    <row r="5673" customFormat="false" ht="21" hidden="false" customHeight="false" outlineLevel="0" collapsed="false">
      <c r="A5673" s="154" t="n">
        <v>37370</v>
      </c>
      <c r="B5673" s="155" t="s">
        <v>1443</v>
      </c>
      <c r="C5673" s="148" t="str">
        <f aca="false">VLOOKUP($A5673,INSUMOS_AUX!$A$3:$H$813,3,0)</f>
        <v>MAT.</v>
      </c>
      <c r="D5673" s="156" t="s">
        <v>1444</v>
      </c>
      <c r="E5673" s="154" t="n">
        <v>0.89</v>
      </c>
      <c r="F5673" s="149" t="n">
        <f aca="false">IF(C5673="MAT.",VLOOKUP(A5673,INSUMOS_AUX!$A$3:$H$813,6,0),0)</f>
        <v>3.32</v>
      </c>
      <c r="G5673" s="149" t="n">
        <f aca="false">IF(C5673="M.O.",VLOOKUP(A5673,INSUMOS_AUX!A:F,6,0),0)</f>
        <v>0</v>
      </c>
    </row>
    <row r="5674" customFormat="false" ht="21" hidden="false" customHeight="false" outlineLevel="0" collapsed="false">
      <c r="A5674" s="154" t="n">
        <v>43484</v>
      </c>
      <c r="B5674" s="155" t="s">
        <v>1523</v>
      </c>
      <c r="C5674" s="148" t="str">
        <f aca="false">VLOOKUP($A5674,INSUMOS_AUX!$A$3:$H$813,3,0)</f>
        <v>MAT.</v>
      </c>
      <c r="D5674" s="156" t="s">
        <v>1444</v>
      </c>
      <c r="E5674" s="154" t="n">
        <v>0.89</v>
      </c>
      <c r="F5674" s="149" t="n">
        <f aca="false">IF(C5674="MAT.",VLOOKUP(A5674,INSUMOS_AUX!$A$3:$H$813,6,0),0)</f>
        <v>1.26</v>
      </c>
      <c r="G5674" s="149" t="n">
        <f aca="false">IF(C5674="M.O.",VLOOKUP(A5674,INSUMOS_AUX!A:F,6,0),0)</f>
        <v>0</v>
      </c>
    </row>
    <row r="5675" customFormat="false" ht="21" hidden="false" customHeight="false" outlineLevel="0" collapsed="false">
      <c r="A5675" s="154" t="n">
        <v>37372</v>
      </c>
      <c r="B5675" s="155" t="s">
        <v>1446</v>
      </c>
      <c r="C5675" s="148" t="str">
        <f aca="false">VLOOKUP($A5675,INSUMOS_AUX!$A$3:$H$813,3,0)</f>
        <v>MAT.</v>
      </c>
      <c r="D5675" s="156" t="s">
        <v>1444</v>
      </c>
      <c r="E5675" s="154" t="n">
        <v>0.89</v>
      </c>
      <c r="F5675" s="149" t="n">
        <f aca="false">IF(C5675="MAT.",VLOOKUP(A5675,INSUMOS_AUX!$A$3:$H$813,6,0),0)</f>
        <v>1.43</v>
      </c>
      <c r="G5675" s="149" t="n">
        <f aca="false">IF(C5675="M.O.",VLOOKUP(A5675,INSUMOS_AUX!A:F,6,0),0)</f>
        <v>0</v>
      </c>
    </row>
    <row r="5676" customFormat="false" ht="21" hidden="false" customHeight="false" outlineLevel="0" collapsed="false">
      <c r="A5676" s="154" t="n">
        <v>43460</v>
      </c>
      <c r="B5676" s="155" t="s">
        <v>1524</v>
      </c>
      <c r="C5676" s="148" t="str">
        <f aca="false">VLOOKUP($A5676,INSUMOS_AUX!$A$3:$H$813,3,0)</f>
        <v>MAT.</v>
      </c>
      <c r="D5676" s="156" t="s">
        <v>1444</v>
      </c>
      <c r="E5676" s="154" t="n">
        <v>0.89</v>
      </c>
      <c r="F5676" s="149" t="n">
        <f aca="false">IF(C5676="MAT.",VLOOKUP(A5676,INSUMOS_AUX!$A$3:$H$813,6,0),0)</f>
        <v>0.86</v>
      </c>
      <c r="G5676" s="149" t="n">
        <f aca="false">IF(C5676="M.O.",VLOOKUP(A5676,INSUMOS_AUX!A:F,6,0),0)</f>
        <v>0</v>
      </c>
    </row>
    <row r="5677" customFormat="false" ht="21" hidden="false" customHeight="false" outlineLevel="0" collapsed="false">
      <c r="A5677" s="154" t="n">
        <v>37373</v>
      </c>
      <c r="B5677" s="155" t="s">
        <v>1448</v>
      </c>
      <c r="C5677" s="148" t="str">
        <f aca="false">VLOOKUP($A5677,INSUMOS_AUX!$A$3:$H$813,3,0)</f>
        <v>MAT.</v>
      </c>
      <c r="D5677" s="156" t="s">
        <v>1444</v>
      </c>
      <c r="E5677" s="154" t="n">
        <v>0.89</v>
      </c>
      <c r="F5677" s="149" t="n">
        <f aca="false">IF(C5677="MAT.",VLOOKUP(A5677,INSUMOS_AUX!$A$3:$H$813,6,0),0)</f>
        <v>0.08</v>
      </c>
      <c r="G5677" s="149" t="n">
        <f aca="false">IF(C5677="M.O.",VLOOKUP(A5677,INSUMOS_AUX!A:F,6,0),0)</f>
        <v>0</v>
      </c>
    </row>
    <row r="5678" customFormat="false" ht="21" hidden="false" customHeight="false" outlineLevel="0" collapsed="false">
      <c r="A5678" s="154" t="n">
        <v>37371</v>
      </c>
      <c r="B5678" s="155" t="s">
        <v>1449</v>
      </c>
      <c r="C5678" s="148" t="str">
        <f aca="false">VLOOKUP($A5678,INSUMOS_AUX!$A$3:$H$813,3,0)</f>
        <v>MAT.</v>
      </c>
      <c r="D5678" s="156" t="s">
        <v>1444</v>
      </c>
      <c r="E5678" s="154" t="n">
        <v>0.89</v>
      </c>
      <c r="F5678" s="149" t="n">
        <f aca="false">IF(C5678="MAT.",VLOOKUP(A5678,INSUMOS_AUX!$A$3:$H$813,6,0),0)</f>
        <v>0.59</v>
      </c>
      <c r="G5678" s="149" t="n">
        <f aca="false">IF(C5678="M.O.",VLOOKUP(A5678,INSUMOS_AUX!A:F,6,0),0)</f>
        <v>0</v>
      </c>
    </row>
    <row r="5679" customFormat="false" ht="21" hidden="false" customHeight="false" outlineLevel="0" collapsed="false">
      <c r="A5679" s="154" t="n">
        <v>38094</v>
      </c>
      <c r="B5679" s="155" t="s">
        <v>1541</v>
      </c>
      <c r="C5679" s="148" t="str">
        <f aca="false">VLOOKUP($A5679,INSUMOS_AUX!$A$3:$H$813,3,0)</f>
        <v>MAT.</v>
      </c>
      <c r="D5679" s="156" t="s">
        <v>31</v>
      </c>
      <c r="E5679" s="154" t="n">
        <v>1</v>
      </c>
      <c r="F5679" s="149" t="n">
        <f aca="false">IF(C5679="MAT.",VLOOKUP(A5679,INSUMOS_AUX!$A$3:$H$813,6,0),0)</f>
        <v>2.62</v>
      </c>
      <c r="G5679" s="149" t="n">
        <f aca="false">IF(C5679="M.O.",VLOOKUP(A5679,INSUMOS_AUX!A:F,6,0),0)</f>
        <v>0</v>
      </c>
    </row>
    <row r="5680" customFormat="false" ht="15" hidden="false" customHeight="false" outlineLevel="0" collapsed="false">
      <c r="A5680" s="154" t="n">
        <v>38113</v>
      </c>
      <c r="B5680" s="155" t="s">
        <v>2453</v>
      </c>
      <c r="C5680" s="148" t="str">
        <f aca="false">VLOOKUP($A5680,INSUMOS_AUX!$A$3:$H$813,3,0)</f>
        <v>MAT.</v>
      </c>
      <c r="D5680" s="156" t="s">
        <v>31</v>
      </c>
      <c r="E5680" s="154" t="n">
        <v>1</v>
      </c>
      <c r="F5680" s="149" t="n">
        <f aca="false">IF(C5680="MAT.",VLOOKUP(A5680,INSUMOS_AUX!$A$3:$H$813,6,0),0)</f>
        <v>8.04</v>
      </c>
      <c r="G5680" s="149" t="n">
        <f aca="false">IF(C5680="M.O.",VLOOKUP(A5680,INSUMOS_AUX!A:F,6,0),0)</f>
        <v>0</v>
      </c>
    </row>
    <row r="5681" customFormat="false" ht="31.5" hidden="false" customHeight="false" outlineLevel="0" collapsed="false">
      <c r="A5681" s="154" t="n">
        <v>38099</v>
      </c>
      <c r="B5681" s="155" t="s">
        <v>1549</v>
      </c>
      <c r="C5681" s="148" t="str">
        <f aca="false">VLOOKUP($A5681,INSUMOS_AUX!$A$3:$H$813,3,0)</f>
        <v>MAT.</v>
      </c>
      <c r="D5681" s="156" t="s">
        <v>31</v>
      </c>
      <c r="E5681" s="154" t="n">
        <v>1</v>
      </c>
      <c r="F5681" s="149" t="n">
        <f aca="false">IF(C5681="MAT.",VLOOKUP(A5681,INSUMOS_AUX!$A$3:$H$813,6,0),0)</f>
        <v>1.36</v>
      </c>
      <c r="G5681" s="149" t="n">
        <f aca="false">IF(C5681="M.O.",VLOOKUP(A5681,INSUMOS_AUX!A:F,6,0),0)</f>
        <v>0</v>
      </c>
    </row>
    <row r="5682" customFormat="false" ht="15" hidden="false" customHeight="false" outlineLevel="0" collapsed="false">
      <c r="A5682" s="154" t="n">
        <v>247</v>
      </c>
      <c r="B5682" s="155" t="s">
        <v>1554</v>
      </c>
      <c r="C5682" s="148" t="str">
        <f aca="false">VLOOKUP($A5682,INSUMOS_AUX!$A$3:$H$813,3,0)</f>
        <v>M.O.</v>
      </c>
      <c r="D5682" s="156" t="s">
        <v>1444</v>
      </c>
      <c r="E5682" s="154" t="n">
        <v>0.4616074</v>
      </c>
      <c r="F5682" s="149" t="n">
        <f aca="false">IF(C5682="MAT.",VLOOKUP(A5682,INSUMOS_AUX!$A$3:$H$813,6,0),0)</f>
        <v>0</v>
      </c>
      <c r="G5682" s="149" t="n">
        <f aca="false">IF(C5682="M.O.",VLOOKUP(A5682,INSUMOS_AUX!A:F,6,0),0)</f>
        <v>13.26</v>
      </c>
    </row>
    <row r="5683" customFormat="false" ht="15" hidden="false" customHeight="false" outlineLevel="0" collapsed="false">
      <c r="A5683" s="154" t="n">
        <v>2436</v>
      </c>
      <c r="B5683" s="155" t="s">
        <v>1557</v>
      </c>
      <c r="C5683" s="148" t="str">
        <f aca="false">VLOOKUP($A5683,INSUMOS_AUX!$A$3:$H$813,3,0)</f>
        <v>M.O.</v>
      </c>
      <c r="D5683" s="156" t="s">
        <v>1444</v>
      </c>
      <c r="E5683" s="154" t="n">
        <v>0.4616074</v>
      </c>
      <c r="F5683" s="149" t="n">
        <f aca="false">IF(C5683="MAT.",VLOOKUP(A5683,INSUMOS_AUX!$A$3:$H$813,6,0),0)</f>
        <v>0</v>
      </c>
      <c r="G5683" s="149" t="n">
        <f aca="false">IF(C5683="M.O.",VLOOKUP(A5683,INSUMOS_AUX!A:F,6,0),0)</f>
        <v>20.22</v>
      </c>
    </row>
    <row r="5684" customFormat="false" ht="21" hidden="false" customHeight="false" outlineLevel="0" collapsed="false">
      <c r="A5684" s="150" t="n">
        <v>91961</v>
      </c>
      <c r="B5684" s="151" t="s">
        <v>2457</v>
      </c>
      <c r="C5684" s="152" t="s">
        <v>59</v>
      </c>
      <c r="D5684" s="152" t="s">
        <v>31</v>
      </c>
      <c r="E5684" s="150"/>
      <c r="F5684" s="153" t="n">
        <f aca="false">(SUMPRODUCT($E5685:$E5695,F5685:F5695))*1</f>
        <v>25.968</v>
      </c>
      <c r="G5684" s="153" t="n">
        <f aca="false">(SUMPRODUCT($E5685:$E5695,G5685:G5695))*1</f>
        <v>9.62840424</v>
      </c>
    </row>
    <row r="5685" customFormat="false" ht="21" hidden="false" customHeight="false" outlineLevel="0" collapsed="false">
      <c r="A5685" s="154" t="n">
        <v>37370</v>
      </c>
      <c r="B5685" s="155" t="s">
        <v>1443</v>
      </c>
      <c r="C5685" s="148" t="s">
        <v>59</v>
      </c>
      <c r="D5685" s="156" t="s">
        <v>1444</v>
      </c>
      <c r="E5685" s="154" t="n">
        <v>1.4</v>
      </c>
      <c r="F5685" s="149" t="n">
        <f aca="false">IF(C5685="MAT.",VLOOKUP(A5685,INSUMOS_AUX!$A$3:$H$813,6,0),0)</f>
        <v>0</v>
      </c>
      <c r="G5685" s="149" t="n">
        <f aca="false">IF(C5685="M.O.",VLOOKUP(A5685,INSUMOS_AUX!A:F,6,0),0)</f>
        <v>0</v>
      </c>
    </row>
    <row r="5686" customFormat="false" ht="21" hidden="false" customHeight="false" outlineLevel="0" collapsed="false">
      <c r="A5686" s="154" t="n">
        <v>43484</v>
      </c>
      <c r="B5686" s="155" t="s">
        <v>1523</v>
      </c>
      <c r="C5686" s="148" t="str">
        <f aca="false">VLOOKUP($A5686,INSUMOS_AUX!$A$3:$H$813,3,0)</f>
        <v>MAT.</v>
      </c>
      <c r="D5686" s="156" t="s">
        <v>1444</v>
      </c>
      <c r="E5686" s="154" t="n">
        <v>1.4</v>
      </c>
      <c r="F5686" s="149" t="n">
        <f aca="false">IF(C5686="MAT.",VLOOKUP(A5686,INSUMOS_AUX!$A$3:$H$813,6,0),0)</f>
        <v>1.26</v>
      </c>
      <c r="G5686" s="149" t="n">
        <f aca="false">IF(C5686="M.O.",VLOOKUP(A5686,INSUMOS_AUX!A:F,6,0),0)</f>
        <v>0</v>
      </c>
    </row>
    <row r="5687" customFormat="false" ht="21" hidden="false" customHeight="false" outlineLevel="0" collapsed="false">
      <c r="A5687" s="154" t="n">
        <v>37372</v>
      </c>
      <c r="B5687" s="155" t="s">
        <v>1446</v>
      </c>
      <c r="C5687" s="148" t="str">
        <f aca="false">VLOOKUP($A5687,INSUMOS_AUX!$A$3:$H$813,3,0)</f>
        <v>MAT.</v>
      </c>
      <c r="D5687" s="156" t="s">
        <v>1444</v>
      </c>
      <c r="E5687" s="154" t="n">
        <v>1.4</v>
      </c>
      <c r="F5687" s="149" t="n">
        <f aca="false">IF(C5687="MAT.",VLOOKUP(A5687,INSUMOS_AUX!$A$3:$H$813,6,0),0)</f>
        <v>1.43</v>
      </c>
      <c r="G5687" s="149" t="n">
        <f aca="false">IF(C5687="M.O.",VLOOKUP(A5687,INSUMOS_AUX!A:F,6,0),0)</f>
        <v>0</v>
      </c>
    </row>
    <row r="5688" customFormat="false" ht="21" hidden="false" customHeight="false" outlineLevel="0" collapsed="false">
      <c r="A5688" s="154" t="n">
        <v>43460</v>
      </c>
      <c r="B5688" s="155" t="s">
        <v>1524</v>
      </c>
      <c r="C5688" s="148" t="str">
        <f aca="false">VLOOKUP($A5688,INSUMOS_AUX!$A$3:$H$813,3,0)</f>
        <v>MAT.</v>
      </c>
      <c r="D5688" s="156" t="s">
        <v>1444</v>
      </c>
      <c r="E5688" s="154" t="n">
        <v>1.4</v>
      </c>
      <c r="F5688" s="149" t="n">
        <f aca="false">IF(C5688="MAT.",VLOOKUP(A5688,INSUMOS_AUX!$A$3:$H$813,6,0),0)</f>
        <v>0.86</v>
      </c>
      <c r="G5688" s="149" t="n">
        <f aca="false">IF(C5688="M.O.",VLOOKUP(A5688,INSUMOS_AUX!A:F,6,0),0)</f>
        <v>0</v>
      </c>
    </row>
    <row r="5689" customFormat="false" ht="21" hidden="false" customHeight="false" outlineLevel="0" collapsed="false">
      <c r="A5689" s="154" t="n">
        <v>37373</v>
      </c>
      <c r="B5689" s="155" t="s">
        <v>1448</v>
      </c>
      <c r="C5689" s="148" t="str">
        <f aca="false">VLOOKUP($A5689,INSUMOS_AUX!$A$3:$H$813,3,0)</f>
        <v>MAT.</v>
      </c>
      <c r="D5689" s="156" t="s">
        <v>1444</v>
      </c>
      <c r="E5689" s="154" t="n">
        <v>1.4</v>
      </c>
      <c r="F5689" s="149" t="n">
        <f aca="false">IF(C5689="MAT.",VLOOKUP(A5689,INSUMOS_AUX!$A$3:$H$813,6,0),0)</f>
        <v>0.08</v>
      </c>
      <c r="G5689" s="149" t="n">
        <f aca="false">IF(C5689="M.O.",VLOOKUP(A5689,INSUMOS_AUX!A:F,6,0),0)</f>
        <v>0</v>
      </c>
    </row>
    <row r="5690" customFormat="false" ht="21" hidden="false" customHeight="false" outlineLevel="0" collapsed="false">
      <c r="A5690" s="154" t="n">
        <v>37371</v>
      </c>
      <c r="B5690" s="155" t="s">
        <v>1449</v>
      </c>
      <c r="C5690" s="148" t="str">
        <f aca="false">VLOOKUP($A5690,INSUMOS_AUX!$A$3:$H$813,3,0)</f>
        <v>MAT.</v>
      </c>
      <c r="D5690" s="156" t="s">
        <v>1444</v>
      </c>
      <c r="E5690" s="154" t="n">
        <v>1.4</v>
      </c>
      <c r="F5690" s="149" t="n">
        <f aca="false">IF(C5690="MAT.",VLOOKUP(A5690,INSUMOS_AUX!$A$3:$H$813,6,0),0)</f>
        <v>0.59</v>
      </c>
      <c r="G5690" s="149" t="n">
        <f aca="false">IF(C5690="M.O.",VLOOKUP(A5690,INSUMOS_AUX!A:F,6,0),0)</f>
        <v>0</v>
      </c>
    </row>
    <row r="5691" customFormat="false" ht="21" hidden="false" customHeight="false" outlineLevel="0" collapsed="false">
      <c r="A5691" s="154" t="n">
        <v>38094</v>
      </c>
      <c r="B5691" s="155" t="s">
        <v>1541</v>
      </c>
      <c r="C5691" s="148" t="str">
        <f aca="false">VLOOKUP($A5691,INSUMOS_AUX!$A$3:$H$813,3,0)</f>
        <v>MAT.</v>
      </c>
      <c r="D5691" s="156" t="s">
        <v>31</v>
      </c>
      <c r="E5691" s="154" t="n">
        <v>1</v>
      </c>
      <c r="F5691" s="149" t="n">
        <f aca="false">IF(C5691="MAT.",VLOOKUP(A5691,INSUMOS_AUX!$A$3:$H$813,6,0),0)</f>
        <v>2.62</v>
      </c>
      <c r="G5691" s="149" t="n">
        <f aca="false">IF(C5691="M.O.",VLOOKUP(A5691,INSUMOS_AUX!A:F,6,0),0)</f>
        <v>0</v>
      </c>
    </row>
    <row r="5692" customFormat="false" ht="15" hidden="false" customHeight="false" outlineLevel="0" collapsed="false">
      <c r="A5692" s="154" t="n">
        <v>38113</v>
      </c>
      <c r="B5692" s="155" t="s">
        <v>2453</v>
      </c>
      <c r="C5692" s="148" t="str">
        <f aca="false">VLOOKUP($A5692,INSUMOS_AUX!$A$3:$H$813,3,0)</f>
        <v>MAT.</v>
      </c>
      <c r="D5692" s="156" t="s">
        <v>31</v>
      </c>
      <c r="E5692" s="154" t="n">
        <v>2</v>
      </c>
      <c r="F5692" s="149" t="n">
        <f aca="false">IF(C5692="MAT.",VLOOKUP(A5692,INSUMOS_AUX!$A$3:$H$813,6,0),0)</f>
        <v>8.04</v>
      </c>
      <c r="G5692" s="149" t="n">
        <f aca="false">IF(C5692="M.O.",VLOOKUP(A5692,INSUMOS_AUX!A:F,6,0),0)</f>
        <v>0</v>
      </c>
    </row>
    <row r="5693" customFormat="false" ht="31.5" hidden="false" customHeight="false" outlineLevel="0" collapsed="false">
      <c r="A5693" s="154" t="n">
        <v>38099</v>
      </c>
      <c r="B5693" s="155" t="s">
        <v>1549</v>
      </c>
      <c r="C5693" s="148" t="str">
        <f aca="false">VLOOKUP($A5693,INSUMOS_AUX!$A$3:$H$813,3,0)</f>
        <v>MAT.</v>
      </c>
      <c r="D5693" s="156" t="s">
        <v>31</v>
      </c>
      <c r="E5693" s="154" t="n">
        <v>1</v>
      </c>
      <c r="F5693" s="149" t="n">
        <f aca="false">IF(C5693="MAT.",VLOOKUP(A5693,INSUMOS_AUX!$A$3:$H$813,6,0),0)</f>
        <v>1.36</v>
      </c>
      <c r="G5693" s="149" t="n">
        <f aca="false">IF(C5693="M.O.",VLOOKUP(A5693,INSUMOS_AUX!A:F,6,0),0)</f>
        <v>0</v>
      </c>
    </row>
    <row r="5694" customFormat="false" ht="15" hidden="false" customHeight="false" outlineLevel="0" collapsed="false">
      <c r="A5694" s="154" t="n">
        <v>247</v>
      </c>
      <c r="B5694" s="155" t="s">
        <v>1554</v>
      </c>
      <c r="C5694" s="148" t="str">
        <f aca="false">VLOOKUP($A5694,INSUMOS_AUX!$A$3:$H$813,3,0)</f>
        <v>M.O.</v>
      </c>
      <c r="D5694" s="156" t="s">
        <v>1444</v>
      </c>
      <c r="E5694" s="154" t="n">
        <v>0.726124</v>
      </c>
      <c r="F5694" s="149" t="n">
        <f aca="false">IF(C5694="MAT.",VLOOKUP(A5694,INSUMOS_AUX!$A$3:$H$813,6,0),0)</f>
        <v>0</v>
      </c>
      <c r="G5694" s="149" t="n">
        <f aca="false">IF(C5694="M.O.",VLOOKUP(A5694,INSUMOS_AUX!A:F,6,0),0)</f>
        <v>13.26</v>
      </c>
    </row>
    <row r="5695" customFormat="false" ht="15" hidden="false" customHeight="false" outlineLevel="0" collapsed="false">
      <c r="A5695" s="154" t="n">
        <v>2436</v>
      </c>
      <c r="B5695" s="155" t="s">
        <v>1557</v>
      </c>
      <c r="C5695" s="148" t="s">
        <v>59</v>
      </c>
      <c r="D5695" s="156" t="s">
        <v>1444</v>
      </c>
      <c r="E5695" s="154" t="n">
        <v>0.726124</v>
      </c>
      <c r="F5695" s="149" t="n">
        <f aca="false">IF(C5695="MAT.",VLOOKUP(A5695,INSUMOS_AUX!$A$3:$H$813,6,0),0)</f>
        <v>0</v>
      </c>
      <c r="G5695" s="149" t="n">
        <f aca="false">IF(C5695="M.O.",VLOOKUP(A5695,INSUMOS_AUX!A:F,6,0),0)</f>
        <v>0</v>
      </c>
    </row>
    <row r="5696" customFormat="false" ht="31.5" hidden="false" customHeight="false" outlineLevel="0" collapsed="false">
      <c r="A5696" s="150" t="n">
        <v>91957</v>
      </c>
      <c r="B5696" s="151" t="s">
        <v>2458</v>
      </c>
      <c r="C5696" s="152" t="s">
        <v>59</v>
      </c>
      <c r="D5696" s="152" t="s">
        <v>31</v>
      </c>
      <c r="E5696" s="150"/>
      <c r="F5696" s="153" t="n">
        <f aca="false">(SUMPRODUCT($E5697:$E5708,F5697:F5708))*1</f>
        <v>21.27912</v>
      </c>
      <c r="G5696" s="153" t="n">
        <f aca="false">(SUMPRODUCT($E5697:$E5708,G5697:G5708))*1</f>
        <v>21.3238967904</v>
      </c>
    </row>
    <row r="5697" customFormat="false" ht="21" hidden="false" customHeight="false" outlineLevel="0" collapsed="false">
      <c r="A5697" s="154" t="n">
        <v>37370</v>
      </c>
      <c r="B5697" s="155" t="s">
        <v>1443</v>
      </c>
      <c r="C5697" s="148" t="str">
        <f aca="false">VLOOKUP($A5697,INSUMOS_AUX!$A$3:$H$813,3,0)</f>
        <v>MAT.</v>
      </c>
      <c r="D5697" s="156" t="s">
        <v>1444</v>
      </c>
      <c r="E5697" s="154" t="n">
        <v>1.228</v>
      </c>
      <c r="F5697" s="149" t="n">
        <f aca="false">IF(C5697="MAT.",VLOOKUP(A5697,INSUMOS_AUX!$A$3:$H$813,6,0),0)</f>
        <v>3.32</v>
      </c>
      <c r="G5697" s="149" t="n">
        <f aca="false">IF(C5697="M.O.",VLOOKUP(A5697,INSUMOS_AUX!A:F,6,0),0)</f>
        <v>0</v>
      </c>
    </row>
    <row r="5698" customFormat="false" ht="21" hidden="false" customHeight="false" outlineLevel="0" collapsed="false">
      <c r="A5698" s="154" t="n">
        <v>43484</v>
      </c>
      <c r="B5698" s="155" t="s">
        <v>1523</v>
      </c>
      <c r="C5698" s="148" t="str">
        <f aca="false">VLOOKUP($A5698,INSUMOS_AUX!$A$3:$H$813,3,0)</f>
        <v>MAT.</v>
      </c>
      <c r="D5698" s="156" t="s">
        <v>1444</v>
      </c>
      <c r="E5698" s="154" t="n">
        <v>1.228</v>
      </c>
      <c r="F5698" s="149" t="n">
        <f aca="false">IF(C5698="MAT.",VLOOKUP(A5698,INSUMOS_AUX!$A$3:$H$813,6,0),0)</f>
        <v>1.26</v>
      </c>
      <c r="G5698" s="149" t="n">
        <f aca="false">IF(C5698="M.O.",VLOOKUP(A5698,INSUMOS_AUX!A:F,6,0),0)</f>
        <v>0</v>
      </c>
    </row>
    <row r="5699" customFormat="false" ht="21" hidden="false" customHeight="false" outlineLevel="0" collapsed="false">
      <c r="A5699" s="154" t="n">
        <v>37372</v>
      </c>
      <c r="B5699" s="155" t="s">
        <v>1446</v>
      </c>
      <c r="C5699" s="148" t="str">
        <f aca="false">VLOOKUP($A5699,INSUMOS_AUX!$A$3:$H$813,3,0)</f>
        <v>MAT.</v>
      </c>
      <c r="D5699" s="156" t="s">
        <v>1444</v>
      </c>
      <c r="E5699" s="154" t="n">
        <v>1.228</v>
      </c>
      <c r="F5699" s="149" t="n">
        <f aca="false">IF(C5699="MAT.",VLOOKUP(A5699,INSUMOS_AUX!$A$3:$H$813,6,0),0)</f>
        <v>1.43</v>
      </c>
      <c r="G5699" s="149" t="n">
        <f aca="false">IF(C5699="M.O.",VLOOKUP(A5699,INSUMOS_AUX!A:F,6,0),0)</f>
        <v>0</v>
      </c>
    </row>
    <row r="5700" customFormat="false" ht="21" hidden="false" customHeight="false" outlineLevel="0" collapsed="false">
      <c r="A5700" s="154" t="n">
        <v>43460</v>
      </c>
      <c r="B5700" s="155" t="s">
        <v>1524</v>
      </c>
      <c r="C5700" s="148" t="str">
        <f aca="false">VLOOKUP($A5700,INSUMOS_AUX!$A$3:$H$813,3,0)</f>
        <v>MAT.</v>
      </c>
      <c r="D5700" s="156" t="s">
        <v>1444</v>
      </c>
      <c r="E5700" s="154" t="n">
        <v>1.228</v>
      </c>
      <c r="F5700" s="149" t="n">
        <f aca="false">IF(C5700="MAT.",VLOOKUP(A5700,INSUMOS_AUX!$A$3:$H$813,6,0),0)</f>
        <v>0.86</v>
      </c>
      <c r="G5700" s="149" t="n">
        <f aca="false">IF(C5700="M.O.",VLOOKUP(A5700,INSUMOS_AUX!A:F,6,0),0)</f>
        <v>0</v>
      </c>
    </row>
    <row r="5701" customFormat="false" ht="21" hidden="false" customHeight="false" outlineLevel="0" collapsed="false">
      <c r="A5701" s="154" t="n">
        <v>37373</v>
      </c>
      <c r="B5701" s="155" t="s">
        <v>1448</v>
      </c>
      <c r="C5701" s="148" t="str">
        <f aca="false">VLOOKUP($A5701,INSUMOS_AUX!$A$3:$H$813,3,0)</f>
        <v>MAT.</v>
      </c>
      <c r="D5701" s="156" t="s">
        <v>1444</v>
      </c>
      <c r="E5701" s="154" t="n">
        <v>1.228</v>
      </c>
      <c r="F5701" s="149" t="n">
        <f aca="false">IF(C5701="MAT.",VLOOKUP(A5701,INSUMOS_AUX!$A$3:$H$813,6,0),0)</f>
        <v>0.08</v>
      </c>
      <c r="G5701" s="149" t="n">
        <f aca="false">IF(C5701="M.O.",VLOOKUP(A5701,INSUMOS_AUX!A:F,6,0),0)</f>
        <v>0</v>
      </c>
    </row>
    <row r="5702" customFormat="false" ht="21" hidden="false" customHeight="false" outlineLevel="0" collapsed="false">
      <c r="A5702" s="154" t="n">
        <v>37371</v>
      </c>
      <c r="B5702" s="155" t="s">
        <v>1449</v>
      </c>
      <c r="C5702" s="148" t="str">
        <f aca="false">VLOOKUP($A5702,INSUMOS_AUX!$A$3:$H$813,3,0)</f>
        <v>MAT.</v>
      </c>
      <c r="D5702" s="156" t="s">
        <v>1444</v>
      </c>
      <c r="E5702" s="154" t="n">
        <v>1.228</v>
      </c>
      <c r="F5702" s="149" t="n">
        <f aca="false">IF(C5702="MAT.",VLOOKUP(A5702,INSUMOS_AUX!$A$3:$H$813,6,0),0)</f>
        <v>0.59</v>
      </c>
      <c r="G5702" s="149" t="n">
        <f aca="false">IF(C5702="M.O.",VLOOKUP(A5702,INSUMOS_AUX!A:F,6,0),0)</f>
        <v>0</v>
      </c>
    </row>
    <row r="5703" customFormat="false" ht="21" hidden="false" customHeight="false" outlineLevel="0" collapsed="false">
      <c r="A5703" s="154" t="n">
        <v>38094</v>
      </c>
      <c r="B5703" s="155" t="s">
        <v>1541</v>
      </c>
      <c r="C5703" s="148" t="str">
        <f aca="false">VLOOKUP($A5703,INSUMOS_AUX!$A$3:$H$813,3,0)</f>
        <v>MAT.</v>
      </c>
      <c r="D5703" s="156" t="s">
        <v>31</v>
      </c>
      <c r="E5703" s="154" t="n">
        <v>1</v>
      </c>
      <c r="F5703" s="149" t="n">
        <f aca="false">IF(C5703="MAT.",VLOOKUP(A5703,INSUMOS_AUX!$A$3:$H$813,6,0),0)</f>
        <v>2.62</v>
      </c>
      <c r="G5703" s="149" t="n">
        <f aca="false">IF(C5703="M.O.",VLOOKUP(A5703,INSUMOS_AUX!A:F,6,0),0)</f>
        <v>0</v>
      </c>
    </row>
    <row r="5704" customFormat="false" ht="15" hidden="false" customHeight="false" outlineLevel="0" collapsed="false">
      <c r="A5704" s="154" t="n">
        <v>38113</v>
      </c>
      <c r="B5704" s="155" t="s">
        <v>2453</v>
      </c>
      <c r="C5704" s="148" t="str">
        <f aca="false">VLOOKUP($A5704,INSUMOS_AUX!$A$3:$H$813,3,0)</f>
        <v>MAT.</v>
      </c>
      <c r="D5704" s="156" t="s">
        <v>31</v>
      </c>
      <c r="E5704" s="154" t="n">
        <v>1</v>
      </c>
      <c r="F5704" s="149" t="n">
        <f aca="false">IF(C5704="MAT.",VLOOKUP(A5704,INSUMOS_AUX!$A$3:$H$813,6,0),0)</f>
        <v>8.04</v>
      </c>
      <c r="G5704" s="149" t="n">
        <f aca="false">IF(C5704="M.O.",VLOOKUP(A5704,INSUMOS_AUX!A:F,6,0),0)</f>
        <v>0</v>
      </c>
    </row>
    <row r="5705" customFormat="false" ht="15" hidden="false" customHeight="false" outlineLevel="0" collapsed="false">
      <c r="A5705" s="154" t="n">
        <v>38112</v>
      </c>
      <c r="B5705" s="155" t="s">
        <v>1543</v>
      </c>
      <c r="C5705" s="148" t="s">
        <v>59</v>
      </c>
      <c r="D5705" s="156" t="s">
        <v>31</v>
      </c>
      <c r="E5705" s="154" t="n">
        <v>1</v>
      </c>
      <c r="F5705" s="149" t="n">
        <f aca="false">IF(C5705="MAT.",VLOOKUP(A5705,INSUMOS_AUX!$A$3:$H$813,6,0),0)</f>
        <v>0</v>
      </c>
      <c r="G5705" s="149" t="n">
        <f aca="false">IF(C5705="M.O.",VLOOKUP(A5705,INSUMOS_AUX!A:F,6,0),0)</f>
        <v>0</v>
      </c>
    </row>
    <row r="5706" customFormat="false" ht="31.5" hidden="false" customHeight="false" outlineLevel="0" collapsed="false">
      <c r="A5706" s="154" t="n">
        <v>38099</v>
      </c>
      <c r="B5706" s="155" t="s">
        <v>1549</v>
      </c>
      <c r="C5706" s="148" t="str">
        <f aca="false">VLOOKUP($A5706,INSUMOS_AUX!$A$3:$H$813,3,0)</f>
        <v>MAT.</v>
      </c>
      <c r="D5706" s="156" t="s">
        <v>31</v>
      </c>
      <c r="E5706" s="154" t="n">
        <v>1</v>
      </c>
      <c r="F5706" s="149" t="n">
        <f aca="false">IF(C5706="MAT.",VLOOKUP(A5706,INSUMOS_AUX!$A$3:$H$813,6,0),0)</f>
        <v>1.36</v>
      </c>
      <c r="G5706" s="149" t="n">
        <f aca="false">IF(C5706="M.O.",VLOOKUP(A5706,INSUMOS_AUX!A:F,6,0),0)</f>
        <v>0</v>
      </c>
    </row>
    <row r="5707" customFormat="false" ht="15" hidden="false" customHeight="false" outlineLevel="0" collapsed="false">
      <c r="A5707" s="154" t="n">
        <v>247</v>
      </c>
      <c r="B5707" s="155" t="s">
        <v>1554</v>
      </c>
      <c r="C5707" s="148" t="str">
        <f aca="false">VLOOKUP($A5707,INSUMOS_AUX!$A$3:$H$813,3,0)</f>
        <v>M.O.</v>
      </c>
      <c r="D5707" s="156" t="s">
        <v>1444</v>
      </c>
      <c r="E5707" s="154" t="n">
        <v>0.63691448</v>
      </c>
      <c r="F5707" s="149" t="n">
        <f aca="false">IF(C5707="MAT.",VLOOKUP(A5707,INSUMOS_AUX!$A$3:$H$813,6,0),0)</f>
        <v>0</v>
      </c>
      <c r="G5707" s="149" t="n">
        <f aca="false">IF(C5707="M.O.",VLOOKUP(A5707,INSUMOS_AUX!A:F,6,0),0)</f>
        <v>13.26</v>
      </c>
    </row>
    <row r="5708" customFormat="false" ht="15" hidden="false" customHeight="false" outlineLevel="0" collapsed="false">
      <c r="A5708" s="154" t="n">
        <v>2436</v>
      </c>
      <c r="B5708" s="155" t="s">
        <v>1557</v>
      </c>
      <c r="C5708" s="148" t="str">
        <f aca="false">VLOOKUP($A5708,INSUMOS_AUX!$A$3:$H$813,3,0)</f>
        <v>M.O.</v>
      </c>
      <c r="D5708" s="156" t="s">
        <v>1444</v>
      </c>
      <c r="E5708" s="154" t="n">
        <v>0.63691448</v>
      </c>
      <c r="F5708" s="149" t="n">
        <f aca="false">IF(C5708="MAT.",VLOOKUP(A5708,INSUMOS_AUX!$A$3:$H$813,6,0),0)</f>
        <v>0</v>
      </c>
      <c r="G5708" s="149" t="n">
        <f aca="false">IF(C5708="M.O.",VLOOKUP(A5708,INSUMOS_AUX!A:F,6,0),0)</f>
        <v>20.22</v>
      </c>
    </row>
    <row r="5709" customFormat="false" ht="21" hidden="false" customHeight="false" outlineLevel="0" collapsed="false">
      <c r="A5709" s="150" t="n">
        <v>91953</v>
      </c>
      <c r="B5709" s="151" t="s">
        <v>2459</v>
      </c>
      <c r="C5709" s="152" t="s">
        <v>59</v>
      </c>
      <c r="D5709" s="152" t="s">
        <v>31</v>
      </c>
      <c r="E5709" s="150"/>
      <c r="F5709" s="153" t="n">
        <f aca="false">(SUMPRODUCT($E5710:$E5720,F5710:F5720))*1</f>
        <v>9.4088</v>
      </c>
      <c r="G5709" s="153" t="n">
        <f aca="false">(SUMPRODUCT($E5710:$E5720,G5710:G5720))*1</f>
        <v>12.502610496</v>
      </c>
    </row>
    <row r="5710" customFormat="false" ht="21" hidden="false" customHeight="false" outlineLevel="0" collapsed="false">
      <c r="A5710" s="154" t="n">
        <v>37370</v>
      </c>
      <c r="B5710" s="155" t="s">
        <v>1443</v>
      </c>
      <c r="C5710" s="148" t="str">
        <f aca="false">VLOOKUP($A5710,INSUMOS_AUX!$A$3:$H$813,3,0)</f>
        <v>MAT.</v>
      </c>
      <c r="D5710" s="156" t="s">
        <v>1444</v>
      </c>
      <c r="E5710" s="154" t="n">
        <v>0.72</v>
      </c>
      <c r="F5710" s="149" t="n">
        <f aca="false">IF(C5710="MAT.",VLOOKUP(A5710,INSUMOS_AUX!$A$3:$H$813,6,0),0)</f>
        <v>3.32</v>
      </c>
      <c r="G5710" s="149" t="n">
        <f aca="false">IF(C5710="M.O.",VLOOKUP(A5710,INSUMOS_AUX!A:F,6,0),0)</f>
        <v>0</v>
      </c>
    </row>
    <row r="5711" customFormat="false" ht="21" hidden="false" customHeight="false" outlineLevel="0" collapsed="false">
      <c r="A5711" s="154" t="n">
        <v>43484</v>
      </c>
      <c r="B5711" s="155" t="s">
        <v>1523</v>
      </c>
      <c r="C5711" s="148" t="str">
        <f aca="false">VLOOKUP($A5711,INSUMOS_AUX!$A$3:$H$813,3,0)</f>
        <v>MAT.</v>
      </c>
      <c r="D5711" s="156" t="s">
        <v>1444</v>
      </c>
      <c r="E5711" s="154" t="n">
        <v>0.72</v>
      </c>
      <c r="F5711" s="149" t="n">
        <f aca="false">IF(C5711="MAT.",VLOOKUP(A5711,INSUMOS_AUX!$A$3:$H$813,6,0),0)</f>
        <v>1.26</v>
      </c>
      <c r="G5711" s="149" t="n">
        <f aca="false">IF(C5711="M.O.",VLOOKUP(A5711,INSUMOS_AUX!A:F,6,0),0)</f>
        <v>0</v>
      </c>
    </row>
    <row r="5712" customFormat="false" ht="21" hidden="false" customHeight="false" outlineLevel="0" collapsed="false">
      <c r="A5712" s="154" t="n">
        <v>37372</v>
      </c>
      <c r="B5712" s="155" t="s">
        <v>1446</v>
      </c>
      <c r="C5712" s="148" t="str">
        <f aca="false">VLOOKUP($A5712,INSUMOS_AUX!$A$3:$H$813,3,0)</f>
        <v>MAT.</v>
      </c>
      <c r="D5712" s="156" t="s">
        <v>1444</v>
      </c>
      <c r="E5712" s="154" t="n">
        <v>0.72</v>
      </c>
      <c r="F5712" s="149" t="n">
        <f aca="false">IF(C5712="MAT.",VLOOKUP(A5712,INSUMOS_AUX!$A$3:$H$813,6,0),0)</f>
        <v>1.43</v>
      </c>
      <c r="G5712" s="149" t="n">
        <f aca="false">IF(C5712="M.O.",VLOOKUP(A5712,INSUMOS_AUX!A:F,6,0),0)</f>
        <v>0</v>
      </c>
    </row>
    <row r="5713" customFormat="false" ht="21" hidden="false" customHeight="false" outlineLevel="0" collapsed="false">
      <c r="A5713" s="154" t="n">
        <v>43460</v>
      </c>
      <c r="B5713" s="155" t="s">
        <v>1524</v>
      </c>
      <c r="C5713" s="148" t="str">
        <f aca="false">VLOOKUP($A5713,INSUMOS_AUX!$A$3:$H$813,3,0)</f>
        <v>MAT.</v>
      </c>
      <c r="D5713" s="156" t="s">
        <v>1444</v>
      </c>
      <c r="E5713" s="154" t="n">
        <v>0.72</v>
      </c>
      <c r="F5713" s="149" t="n">
        <f aca="false">IF(C5713="MAT.",VLOOKUP(A5713,INSUMOS_AUX!$A$3:$H$813,6,0),0)</f>
        <v>0.86</v>
      </c>
      <c r="G5713" s="149" t="n">
        <f aca="false">IF(C5713="M.O.",VLOOKUP(A5713,INSUMOS_AUX!A:F,6,0),0)</f>
        <v>0</v>
      </c>
    </row>
    <row r="5714" customFormat="false" ht="21" hidden="false" customHeight="false" outlineLevel="0" collapsed="false">
      <c r="A5714" s="154" t="n">
        <v>37373</v>
      </c>
      <c r="B5714" s="155" t="s">
        <v>1448</v>
      </c>
      <c r="C5714" s="148" t="str">
        <f aca="false">VLOOKUP($A5714,INSUMOS_AUX!$A$3:$H$813,3,0)</f>
        <v>MAT.</v>
      </c>
      <c r="D5714" s="156" t="s">
        <v>1444</v>
      </c>
      <c r="E5714" s="154" t="n">
        <v>0.72</v>
      </c>
      <c r="F5714" s="149" t="n">
        <f aca="false">IF(C5714="MAT.",VLOOKUP(A5714,INSUMOS_AUX!$A$3:$H$813,6,0),0)</f>
        <v>0.08</v>
      </c>
      <c r="G5714" s="149" t="n">
        <f aca="false">IF(C5714="M.O.",VLOOKUP(A5714,INSUMOS_AUX!A:F,6,0),0)</f>
        <v>0</v>
      </c>
    </row>
    <row r="5715" customFormat="false" ht="21" hidden="false" customHeight="false" outlineLevel="0" collapsed="false">
      <c r="A5715" s="154" t="n">
        <v>37371</v>
      </c>
      <c r="B5715" s="155" t="s">
        <v>1449</v>
      </c>
      <c r="C5715" s="148" t="str">
        <f aca="false">VLOOKUP($A5715,INSUMOS_AUX!$A$3:$H$813,3,0)</f>
        <v>MAT.</v>
      </c>
      <c r="D5715" s="156" t="s">
        <v>1444</v>
      </c>
      <c r="E5715" s="154" t="n">
        <v>0.72</v>
      </c>
      <c r="F5715" s="149" t="n">
        <f aca="false">IF(C5715="MAT.",VLOOKUP(A5715,INSUMOS_AUX!$A$3:$H$813,6,0),0)</f>
        <v>0.59</v>
      </c>
      <c r="G5715" s="149" t="n">
        <f aca="false">IF(C5715="M.O.",VLOOKUP(A5715,INSUMOS_AUX!A:F,6,0),0)</f>
        <v>0</v>
      </c>
    </row>
    <row r="5716" customFormat="false" ht="21" hidden="false" customHeight="false" outlineLevel="0" collapsed="false">
      <c r="A5716" s="154" t="n">
        <v>38094</v>
      </c>
      <c r="B5716" s="155" t="s">
        <v>1541</v>
      </c>
      <c r="C5716" s="148" t="str">
        <f aca="false">VLOOKUP($A5716,INSUMOS_AUX!$A$3:$H$813,3,0)</f>
        <v>MAT.</v>
      </c>
      <c r="D5716" s="156" t="s">
        <v>31</v>
      </c>
      <c r="E5716" s="154" t="n">
        <v>1</v>
      </c>
      <c r="F5716" s="149" t="n">
        <f aca="false">IF(C5716="MAT.",VLOOKUP(A5716,INSUMOS_AUX!$A$3:$H$813,6,0),0)</f>
        <v>2.62</v>
      </c>
      <c r="G5716" s="149" t="n">
        <f aca="false">IF(C5716="M.O.",VLOOKUP(A5716,INSUMOS_AUX!A:F,6,0),0)</f>
        <v>0</v>
      </c>
    </row>
    <row r="5717" customFormat="false" ht="15" hidden="false" customHeight="false" outlineLevel="0" collapsed="false">
      <c r="A5717" s="154" t="n">
        <v>38112</v>
      </c>
      <c r="B5717" s="155" t="s">
        <v>1543</v>
      </c>
      <c r="C5717" s="148" t="s">
        <v>59</v>
      </c>
      <c r="D5717" s="156" t="s">
        <v>31</v>
      </c>
      <c r="E5717" s="154" t="n">
        <v>1</v>
      </c>
      <c r="F5717" s="149" t="n">
        <f aca="false">IF(C5717="MAT.",VLOOKUP(A5717,INSUMOS_AUX!$A$3:$H$813,6,0),0)</f>
        <v>0</v>
      </c>
      <c r="G5717" s="149" t="n">
        <f aca="false">IF(C5717="M.O.",VLOOKUP(A5717,INSUMOS_AUX!A:F,6,0),0)</f>
        <v>0</v>
      </c>
    </row>
    <row r="5718" customFormat="false" ht="31.5" hidden="false" customHeight="false" outlineLevel="0" collapsed="false">
      <c r="A5718" s="154" t="n">
        <v>38099</v>
      </c>
      <c r="B5718" s="155" t="s">
        <v>1549</v>
      </c>
      <c r="C5718" s="148" t="str">
        <f aca="false">VLOOKUP($A5718,INSUMOS_AUX!$A$3:$H$813,3,0)</f>
        <v>MAT.</v>
      </c>
      <c r="D5718" s="156" t="s">
        <v>31</v>
      </c>
      <c r="E5718" s="154" t="n">
        <v>1</v>
      </c>
      <c r="F5718" s="149" t="n">
        <f aca="false">IF(C5718="MAT.",VLOOKUP(A5718,INSUMOS_AUX!$A$3:$H$813,6,0),0)</f>
        <v>1.36</v>
      </c>
      <c r="G5718" s="149" t="n">
        <f aca="false">IF(C5718="M.O.",VLOOKUP(A5718,INSUMOS_AUX!A:F,6,0),0)</f>
        <v>0</v>
      </c>
    </row>
    <row r="5719" customFormat="false" ht="15" hidden="false" customHeight="false" outlineLevel="0" collapsed="false">
      <c r="A5719" s="154" t="n">
        <v>247</v>
      </c>
      <c r="B5719" s="155" t="s">
        <v>1554</v>
      </c>
      <c r="C5719" s="148" t="str">
        <f aca="false">VLOOKUP($A5719,INSUMOS_AUX!$A$3:$H$813,3,0)</f>
        <v>M.O.</v>
      </c>
      <c r="D5719" s="156" t="s">
        <v>1444</v>
      </c>
      <c r="E5719" s="154" t="n">
        <v>0.3734352</v>
      </c>
      <c r="F5719" s="149" t="n">
        <f aca="false">IF(C5719="MAT.",VLOOKUP(A5719,INSUMOS_AUX!$A$3:$H$813,6,0),0)</f>
        <v>0</v>
      </c>
      <c r="G5719" s="149" t="n">
        <f aca="false">IF(C5719="M.O.",VLOOKUP(A5719,INSUMOS_AUX!A:F,6,0),0)</f>
        <v>13.26</v>
      </c>
    </row>
    <row r="5720" customFormat="false" ht="15" hidden="false" customHeight="false" outlineLevel="0" collapsed="false">
      <c r="A5720" s="154" t="n">
        <v>2436</v>
      </c>
      <c r="B5720" s="155" t="s">
        <v>1557</v>
      </c>
      <c r="C5720" s="148" t="str">
        <f aca="false">VLOOKUP($A5720,INSUMOS_AUX!$A$3:$H$813,3,0)</f>
        <v>M.O.</v>
      </c>
      <c r="D5720" s="156" t="s">
        <v>1444</v>
      </c>
      <c r="E5720" s="154" t="n">
        <v>0.3734352</v>
      </c>
      <c r="F5720" s="149" t="n">
        <f aca="false">IF(C5720="MAT.",VLOOKUP(A5720,INSUMOS_AUX!$A$3:$H$813,6,0),0)</f>
        <v>0</v>
      </c>
      <c r="G5720" s="149" t="n">
        <f aca="false">IF(C5720="M.O.",VLOOKUP(A5720,INSUMOS_AUX!A:F,6,0),0)</f>
        <v>20.22</v>
      </c>
    </row>
    <row r="5721" customFormat="false" ht="31.5" hidden="false" customHeight="false" outlineLevel="0" collapsed="false">
      <c r="A5721" s="150" t="n">
        <v>92029</v>
      </c>
      <c r="B5721" s="151" t="s">
        <v>2460</v>
      </c>
      <c r="C5721" s="152" t="s">
        <v>59</v>
      </c>
      <c r="D5721" s="152" t="s">
        <v>31</v>
      </c>
      <c r="E5721" s="150"/>
      <c r="F5721" s="153" t="n">
        <f aca="false">(SUMPRODUCT($E5722:$E5733,F5722:F5733))*1</f>
        <v>21.566</v>
      </c>
      <c r="G5721" s="153" t="n">
        <f aca="false">(SUMPRODUCT($E5722:$E5733,G5722:G5733))*1</f>
        <v>24.31063152</v>
      </c>
    </row>
    <row r="5722" customFormat="false" ht="21" hidden="false" customHeight="false" outlineLevel="0" collapsed="false">
      <c r="A5722" s="154" t="n">
        <v>37370</v>
      </c>
      <c r="B5722" s="155" t="s">
        <v>1443</v>
      </c>
      <c r="C5722" s="148" t="str">
        <f aca="false">VLOOKUP($A5722,INSUMOS_AUX!$A$3:$H$813,3,0)</f>
        <v>MAT.</v>
      </c>
      <c r="D5722" s="156" t="s">
        <v>1444</v>
      </c>
      <c r="E5722" s="154" t="n">
        <v>1.4</v>
      </c>
      <c r="F5722" s="149" t="n">
        <f aca="false">IF(C5722="MAT.",VLOOKUP(A5722,INSUMOS_AUX!$A$3:$H$813,6,0),0)</f>
        <v>3.32</v>
      </c>
      <c r="G5722" s="149" t="n">
        <f aca="false">IF(C5722="M.O.",VLOOKUP(A5722,INSUMOS_AUX!A:F,6,0),0)</f>
        <v>0</v>
      </c>
    </row>
    <row r="5723" customFormat="false" ht="21" hidden="false" customHeight="false" outlineLevel="0" collapsed="false">
      <c r="A5723" s="154" t="n">
        <v>43484</v>
      </c>
      <c r="B5723" s="155" t="s">
        <v>1523</v>
      </c>
      <c r="C5723" s="148" t="str">
        <f aca="false">VLOOKUP($A5723,INSUMOS_AUX!$A$3:$H$813,3,0)</f>
        <v>MAT.</v>
      </c>
      <c r="D5723" s="156" t="s">
        <v>1444</v>
      </c>
      <c r="E5723" s="154" t="n">
        <v>1.4</v>
      </c>
      <c r="F5723" s="149" t="n">
        <f aca="false">IF(C5723="MAT.",VLOOKUP(A5723,INSUMOS_AUX!$A$3:$H$813,6,0),0)</f>
        <v>1.26</v>
      </c>
      <c r="G5723" s="149" t="n">
        <f aca="false">IF(C5723="M.O.",VLOOKUP(A5723,INSUMOS_AUX!A:F,6,0),0)</f>
        <v>0</v>
      </c>
    </row>
    <row r="5724" customFormat="false" ht="21" hidden="false" customHeight="false" outlineLevel="0" collapsed="false">
      <c r="A5724" s="154" t="n">
        <v>37372</v>
      </c>
      <c r="B5724" s="155" t="s">
        <v>1446</v>
      </c>
      <c r="C5724" s="148" t="str">
        <f aca="false">VLOOKUP($A5724,INSUMOS_AUX!$A$3:$H$813,3,0)</f>
        <v>MAT.</v>
      </c>
      <c r="D5724" s="156" t="s">
        <v>1444</v>
      </c>
      <c r="E5724" s="154" t="n">
        <v>1.4</v>
      </c>
      <c r="F5724" s="149" t="n">
        <f aca="false">IF(C5724="MAT.",VLOOKUP(A5724,INSUMOS_AUX!$A$3:$H$813,6,0),0)</f>
        <v>1.43</v>
      </c>
      <c r="G5724" s="149" t="n">
        <f aca="false">IF(C5724="M.O.",VLOOKUP(A5724,INSUMOS_AUX!A:F,6,0),0)</f>
        <v>0</v>
      </c>
    </row>
    <row r="5725" customFormat="false" ht="21" hidden="false" customHeight="false" outlineLevel="0" collapsed="false">
      <c r="A5725" s="154" t="n">
        <v>43460</v>
      </c>
      <c r="B5725" s="155" t="s">
        <v>1524</v>
      </c>
      <c r="C5725" s="148" t="str">
        <f aca="false">VLOOKUP($A5725,INSUMOS_AUX!$A$3:$H$813,3,0)</f>
        <v>MAT.</v>
      </c>
      <c r="D5725" s="156" t="s">
        <v>1444</v>
      </c>
      <c r="E5725" s="154" t="n">
        <v>1.4</v>
      </c>
      <c r="F5725" s="149" t="n">
        <f aca="false">IF(C5725="MAT.",VLOOKUP(A5725,INSUMOS_AUX!$A$3:$H$813,6,0),0)</f>
        <v>0.86</v>
      </c>
      <c r="G5725" s="149" t="n">
        <f aca="false">IF(C5725="M.O.",VLOOKUP(A5725,INSUMOS_AUX!A:F,6,0),0)</f>
        <v>0</v>
      </c>
    </row>
    <row r="5726" customFormat="false" ht="21" hidden="false" customHeight="false" outlineLevel="0" collapsed="false">
      <c r="A5726" s="154" t="n">
        <v>37373</v>
      </c>
      <c r="B5726" s="155" t="s">
        <v>1448</v>
      </c>
      <c r="C5726" s="148" t="str">
        <f aca="false">VLOOKUP($A5726,INSUMOS_AUX!$A$3:$H$813,3,0)</f>
        <v>MAT.</v>
      </c>
      <c r="D5726" s="156" t="s">
        <v>1444</v>
      </c>
      <c r="E5726" s="154" t="n">
        <v>1.4</v>
      </c>
      <c r="F5726" s="149" t="n">
        <f aca="false">IF(C5726="MAT.",VLOOKUP(A5726,INSUMOS_AUX!$A$3:$H$813,6,0),0)</f>
        <v>0.08</v>
      </c>
      <c r="G5726" s="149" t="n">
        <f aca="false">IF(C5726="M.O.",VLOOKUP(A5726,INSUMOS_AUX!A:F,6,0),0)</f>
        <v>0</v>
      </c>
    </row>
    <row r="5727" customFormat="false" ht="21" hidden="false" customHeight="false" outlineLevel="0" collapsed="false">
      <c r="A5727" s="154" t="n">
        <v>37371</v>
      </c>
      <c r="B5727" s="155" t="s">
        <v>1449</v>
      </c>
      <c r="C5727" s="148" t="str">
        <f aca="false">VLOOKUP($A5727,INSUMOS_AUX!$A$3:$H$813,3,0)</f>
        <v>MAT.</v>
      </c>
      <c r="D5727" s="156" t="s">
        <v>1444</v>
      </c>
      <c r="E5727" s="154" t="n">
        <v>1.4</v>
      </c>
      <c r="F5727" s="149" t="n">
        <f aca="false">IF(C5727="MAT.",VLOOKUP(A5727,INSUMOS_AUX!$A$3:$H$813,6,0),0)</f>
        <v>0.59</v>
      </c>
      <c r="G5727" s="149" t="n">
        <f aca="false">IF(C5727="M.O.",VLOOKUP(A5727,INSUMOS_AUX!A:F,6,0),0)</f>
        <v>0</v>
      </c>
    </row>
    <row r="5728" customFormat="false" ht="21" hidden="false" customHeight="false" outlineLevel="0" collapsed="false">
      <c r="A5728" s="154" t="n">
        <v>38094</v>
      </c>
      <c r="B5728" s="155" t="s">
        <v>1541</v>
      </c>
      <c r="C5728" s="148" t="str">
        <f aca="false">VLOOKUP($A5728,INSUMOS_AUX!$A$3:$H$813,3,0)</f>
        <v>MAT.</v>
      </c>
      <c r="D5728" s="156" t="s">
        <v>31</v>
      </c>
      <c r="E5728" s="154" t="n">
        <v>1</v>
      </c>
      <c r="F5728" s="149" t="n">
        <f aca="false">IF(C5728="MAT.",VLOOKUP(A5728,INSUMOS_AUX!$A$3:$H$813,6,0),0)</f>
        <v>2.62</v>
      </c>
      <c r="G5728" s="149" t="n">
        <f aca="false">IF(C5728="M.O.",VLOOKUP(A5728,INSUMOS_AUX!A:F,6,0),0)</f>
        <v>0</v>
      </c>
    </row>
    <row r="5729" customFormat="false" ht="15" hidden="false" customHeight="false" outlineLevel="0" collapsed="false">
      <c r="A5729" s="154" t="n">
        <v>38113</v>
      </c>
      <c r="B5729" s="155" t="s">
        <v>2453</v>
      </c>
      <c r="C5729" s="148" t="s">
        <v>59</v>
      </c>
      <c r="D5729" s="156" t="s">
        <v>31</v>
      </c>
      <c r="E5729" s="154" t="n">
        <v>1</v>
      </c>
      <c r="F5729" s="149" t="n">
        <f aca="false">IF(C5729="MAT.",VLOOKUP(A5729,INSUMOS_AUX!$A$3:$H$813,6,0),0)</f>
        <v>0</v>
      </c>
      <c r="G5729" s="149" t="n">
        <f aca="false">IF(C5729="M.O.",VLOOKUP(A5729,INSUMOS_AUX!A:F,6,0),0)</f>
        <v>0</v>
      </c>
    </row>
    <row r="5730" customFormat="false" ht="31.5" hidden="false" customHeight="false" outlineLevel="0" collapsed="false">
      <c r="A5730" s="154" t="n">
        <v>38099</v>
      </c>
      <c r="B5730" s="155" t="s">
        <v>1549</v>
      </c>
      <c r="C5730" s="148" t="str">
        <f aca="false">VLOOKUP($A5730,INSUMOS_AUX!$A$3:$H$813,3,0)</f>
        <v>MAT.</v>
      </c>
      <c r="D5730" s="156" t="s">
        <v>31</v>
      </c>
      <c r="E5730" s="154" t="n">
        <v>1</v>
      </c>
      <c r="F5730" s="149" t="n">
        <f aca="false">IF(C5730="MAT.",VLOOKUP(A5730,INSUMOS_AUX!$A$3:$H$813,6,0),0)</f>
        <v>1.36</v>
      </c>
      <c r="G5730" s="149" t="n">
        <f aca="false">IF(C5730="M.O.",VLOOKUP(A5730,INSUMOS_AUX!A:F,6,0),0)</f>
        <v>0</v>
      </c>
    </row>
    <row r="5731" customFormat="false" ht="15" hidden="false" customHeight="false" outlineLevel="0" collapsed="false">
      <c r="A5731" s="154" t="n">
        <v>38101</v>
      </c>
      <c r="B5731" s="155" t="s">
        <v>1551</v>
      </c>
      <c r="C5731" s="148" t="str">
        <f aca="false">VLOOKUP($A5731,INSUMOS_AUX!$A$3:$H$813,3,0)</f>
        <v>MAT.</v>
      </c>
      <c r="D5731" s="156" t="s">
        <v>31</v>
      </c>
      <c r="E5731" s="154" t="n">
        <v>1</v>
      </c>
      <c r="F5731" s="149" t="n">
        <f aca="false">IF(C5731="MAT.",VLOOKUP(A5731,INSUMOS_AUX!$A$3:$H$813,6,0),0)</f>
        <v>7.03</v>
      </c>
      <c r="G5731" s="149" t="n">
        <f aca="false">IF(C5731="M.O.",VLOOKUP(A5731,INSUMOS_AUX!A:F,6,0),0)</f>
        <v>0</v>
      </c>
    </row>
    <row r="5732" customFormat="false" ht="15" hidden="false" customHeight="false" outlineLevel="0" collapsed="false">
      <c r="A5732" s="154" t="n">
        <v>247</v>
      </c>
      <c r="B5732" s="155" t="s">
        <v>1554</v>
      </c>
      <c r="C5732" s="148" t="str">
        <f aca="false">VLOOKUP($A5732,INSUMOS_AUX!$A$3:$H$813,3,0)</f>
        <v>M.O.</v>
      </c>
      <c r="D5732" s="156" t="s">
        <v>1444</v>
      </c>
      <c r="E5732" s="154" t="n">
        <v>0.726124</v>
      </c>
      <c r="F5732" s="149" t="n">
        <f aca="false">IF(C5732="MAT.",VLOOKUP(A5732,INSUMOS_AUX!$A$3:$H$813,6,0),0)</f>
        <v>0</v>
      </c>
      <c r="G5732" s="149" t="n">
        <f aca="false">IF(C5732="M.O.",VLOOKUP(A5732,INSUMOS_AUX!A:F,6,0),0)</f>
        <v>13.26</v>
      </c>
    </row>
    <row r="5733" customFormat="false" ht="15" hidden="false" customHeight="false" outlineLevel="0" collapsed="false">
      <c r="A5733" s="154" t="n">
        <v>2436</v>
      </c>
      <c r="B5733" s="155" t="s">
        <v>1557</v>
      </c>
      <c r="C5733" s="148" t="str">
        <f aca="false">VLOOKUP($A5733,INSUMOS_AUX!$A$3:$H$813,3,0)</f>
        <v>M.O.</v>
      </c>
      <c r="D5733" s="156" t="s">
        <v>1444</v>
      </c>
      <c r="E5733" s="154" t="n">
        <v>0.726124</v>
      </c>
      <c r="F5733" s="149" t="n">
        <f aca="false">IF(C5733="MAT.",VLOOKUP(A5733,INSUMOS_AUX!$A$3:$H$813,6,0),0)</f>
        <v>0</v>
      </c>
      <c r="G5733" s="149" t="n">
        <f aca="false">IF(C5733="M.O.",VLOOKUP(A5733,INSUMOS_AUX!A:F,6,0),0)</f>
        <v>20.22</v>
      </c>
    </row>
    <row r="5734" customFormat="false" ht="31.5" hidden="false" customHeight="false" outlineLevel="0" collapsed="false">
      <c r="A5734" s="150" t="n">
        <v>92023</v>
      </c>
      <c r="B5734" s="151" t="s">
        <v>2461</v>
      </c>
      <c r="C5734" s="152" t="s">
        <v>59</v>
      </c>
      <c r="D5734" s="152" t="s">
        <v>31</v>
      </c>
      <c r="E5734" s="150"/>
      <c r="F5734" s="153" t="n">
        <f aca="false">(SUMPRODUCT($E5735:$E5746,F5735:F5746))*1</f>
        <v>23.81912</v>
      </c>
      <c r="G5734" s="153" t="n">
        <f aca="false">(SUMPRODUCT($E5735:$E5746,G5735:G5746))*1</f>
        <v>21.3238967904</v>
      </c>
    </row>
    <row r="5735" customFormat="false" ht="21" hidden="false" customHeight="false" outlineLevel="0" collapsed="false">
      <c r="A5735" s="154" t="n">
        <v>37370</v>
      </c>
      <c r="B5735" s="155" t="s">
        <v>1443</v>
      </c>
      <c r="C5735" s="148" t="str">
        <f aca="false">VLOOKUP($A5735,INSUMOS_AUX!$A$3:$H$813,3,0)</f>
        <v>MAT.</v>
      </c>
      <c r="D5735" s="156" t="s">
        <v>1444</v>
      </c>
      <c r="E5735" s="154" t="n">
        <v>1.228</v>
      </c>
      <c r="F5735" s="149" t="n">
        <f aca="false">IF(C5735="MAT.",VLOOKUP(A5735,INSUMOS_AUX!$A$3:$H$813,6,0),0)</f>
        <v>3.32</v>
      </c>
      <c r="G5735" s="149" t="n">
        <f aca="false">IF(C5735="M.O.",VLOOKUP(A5735,INSUMOS_AUX!A:F,6,0),0)</f>
        <v>0</v>
      </c>
    </row>
    <row r="5736" customFormat="false" ht="21" hidden="false" customHeight="false" outlineLevel="0" collapsed="false">
      <c r="A5736" s="154" t="n">
        <v>43484</v>
      </c>
      <c r="B5736" s="155" t="s">
        <v>1523</v>
      </c>
      <c r="C5736" s="148" t="str">
        <f aca="false">VLOOKUP($A5736,INSUMOS_AUX!$A$3:$H$813,3,0)</f>
        <v>MAT.</v>
      </c>
      <c r="D5736" s="156" t="s">
        <v>1444</v>
      </c>
      <c r="E5736" s="154" t="n">
        <v>1.228</v>
      </c>
      <c r="F5736" s="149" t="n">
        <f aca="false">IF(C5736="MAT.",VLOOKUP(A5736,INSUMOS_AUX!$A$3:$H$813,6,0),0)</f>
        <v>1.26</v>
      </c>
      <c r="G5736" s="149" t="n">
        <f aca="false">IF(C5736="M.O.",VLOOKUP(A5736,INSUMOS_AUX!A:F,6,0),0)</f>
        <v>0</v>
      </c>
    </row>
    <row r="5737" customFormat="false" ht="21" hidden="false" customHeight="false" outlineLevel="0" collapsed="false">
      <c r="A5737" s="154" t="n">
        <v>37372</v>
      </c>
      <c r="B5737" s="155" t="s">
        <v>1446</v>
      </c>
      <c r="C5737" s="148" t="str">
        <f aca="false">VLOOKUP($A5737,INSUMOS_AUX!$A$3:$H$813,3,0)</f>
        <v>MAT.</v>
      </c>
      <c r="D5737" s="156" t="s">
        <v>1444</v>
      </c>
      <c r="E5737" s="154" t="n">
        <v>1.228</v>
      </c>
      <c r="F5737" s="149" t="n">
        <f aca="false">IF(C5737="MAT.",VLOOKUP(A5737,INSUMOS_AUX!$A$3:$H$813,6,0),0)</f>
        <v>1.43</v>
      </c>
      <c r="G5737" s="149" t="n">
        <f aca="false">IF(C5737="M.O.",VLOOKUP(A5737,INSUMOS_AUX!A:F,6,0),0)</f>
        <v>0</v>
      </c>
    </row>
    <row r="5738" customFormat="false" ht="21" hidden="false" customHeight="false" outlineLevel="0" collapsed="false">
      <c r="A5738" s="154" t="n">
        <v>43460</v>
      </c>
      <c r="B5738" s="155" t="s">
        <v>1524</v>
      </c>
      <c r="C5738" s="148" t="str">
        <f aca="false">VLOOKUP($A5738,INSUMOS_AUX!$A$3:$H$813,3,0)</f>
        <v>MAT.</v>
      </c>
      <c r="D5738" s="156" t="s">
        <v>1444</v>
      </c>
      <c r="E5738" s="154" t="n">
        <v>1.228</v>
      </c>
      <c r="F5738" s="149" t="n">
        <f aca="false">IF(C5738="MAT.",VLOOKUP(A5738,INSUMOS_AUX!$A$3:$H$813,6,0),0)</f>
        <v>0.86</v>
      </c>
      <c r="G5738" s="149" t="n">
        <f aca="false">IF(C5738="M.O.",VLOOKUP(A5738,INSUMOS_AUX!A:F,6,0),0)</f>
        <v>0</v>
      </c>
    </row>
    <row r="5739" customFormat="false" ht="21" hidden="false" customHeight="false" outlineLevel="0" collapsed="false">
      <c r="A5739" s="154" t="n">
        <v>37373</v>
      </c>
      <c r="B5739" s="155" t="s">
        <v>1448</v>
      </c>
      <c r="C5739" s="148" t="str">
        <f aca="false">VLOOKUP($A5739,INSUMOS_AUX!$A$3:$H$813,3,0)</f>
        <v>MAT.</v>
      </c>
      <c r="D5739" s="156" t="s">
        <v>1444</v>
      </c>
      <c r="E5739" s="154" t="n">
        <v>1.228</v>
      </c>
      <c r="F5739" s="149" t="n">
        <f aca="false">IF(C5739="MAT.",VLOOKUP(A5739,INSUMOS_AUX!$A$3:$H$813,6,0),0)</f>
        <v>0.08</v>
      </c>
      <c r="G5739" s="149" t="n">
        <f aca="false">IF(C5739="M.O.",VLOOKUP(A5739,INSUMOS_AUX!A:F,6,0),0)</f>
        <v>0</v>
      </c>
    </row>
    <row r="5740" customFormat="false" ht="21" hidden="false" customHeight="false" outlineLevel="0" collapsed="false">
      <c r="A5740" s="154" t="n">
        <v>37371</v>
      </c>
      <c r="B5740" s="155" t="s">
        <v>1449</v>
      </c>
      <c r="C5740" s="148" t="str">
        <f aca="false">VLOOKUP($A5740,INSUMOS_AUX!$A$3:$H$813,3,0)</f>
        <v>MAT.</v>
      </c>
      <c r="D5740" s="156" t="s">
        <v>1444</v>
      </c>
      <c r="E5740" s="154" t="n">
        <v>1.228</v>
      </c>
      <c r="F5740" s="149" t="n">
        <f aca="false">IF(C5740="MAT.",VLOOKUP(A5740,INSUMOS_AUX!$A$3:$H$813,6,0),0)</f>
        <v>0.59</v>
      </c>
      <c r="G5740" s="149" t="n">
        <f aca="false">IF(C5740="M.O.",VLOOKUP(A5740,INSUMOS_AUX!A:F,6,0),0)</f>
        <v>0</v>
      </c>
    </row>
    <row r="5741" customFormat="false" ht="21" hidden="false" customHeight="false" outlineLevel="0" collapsed="false">
      <c r="A5741" s="154" t="n">
        <v>38094</v>
      </c>
      <c r="B5741" s="155" t="s">
        <v>1541</v>
      </c>
      <c r="C5741" s="148" t="s">
        <v>59</v>
      </c>
      <c r="D5741" s="156" t="s">
        <v>31</v>
      </c>
      <c r="E5741" s="154" t="n">
        <v>1</v>
      </c>
      <c r="F5741" s="149" t="n">
        <f aca="false">IF(C5741="MAT.",VLOOKUP(A5741,INSUMOS_AUX!$A$3:$H$813,6,0),0)</f>
        <v>0</v>
      </c>
      <c r="G5741" s="149" t="n">
        <f aca="false">IF(C5741="M.O.",VLOOKUP(A5741,INSUMOS_AUX!A:F,6,0),0)</f>
        <v>0</v>
      </c>
    </row>
    <row r="5742" customFormat="false" ht="15" hidden="false" customHeight="false" outlineLevel="0" collapsed="false">
      <c r="A5742" s="154" t="n">
        <v>38112</v>
      </c>
      <c r="B5742" s="155" t="s">
        <v>1543</v>
      </c>
      <c r="C5742" s="148" t="str">
        <f aca="false">VLOOKUP($A5742,INSUMOS_AUX!$A$3:$H$813,3,0)</f>
        <v>MAT.</v>
      </c>
      <c r="D5742" s="156" t="s">
        <v>31</v>
      </c>
      <c r="E5742" s="154" t="n">
        <v>1</v>
      </c>
      <c r="F5742" s="149" t="n">
        <f aca="false">IF(C5742="MAT.",VLOOKUP(A5742,INSUMOS_AUX!$A$3:$H$813,6,0),0)</f>
        <v>6.17</v>
      </c>
      <c r="G5742" s="149" t="n">
        <f aca="false">IF(C5742="M.O.",VLOOKUP(A5742,INSUMOS_AUX!A:F,6,0),0)</f>
        <v>0</v>
      </c>
    </row>
    <row r="5743" customFormat="false" ht="31.5" hidden="false" customHeight="false" outlineLevel="0" collapsed="false">
      <c r="A5743" s="154" t="n">
        <v>38099</v>
      </c>
      <c r="B5743" s="155" t="s">
        <v>1549</v>
      </c>
      <c r="C5743" s="148" t="str">
        <f aca="false">VLOOKUP($A5743,INSUMOS_AUX!$A$3:$H$813,3,0)</f>
        <v>MAT.</v>
      </c>
      <c r="D5743" s="156" t="s">
        <v>31</v>
      </c>
      <c r="E5743" s="154" t="n">
        <v>1</v>
      </c>
      <c r="F5743" s="149" t="n">
        <f aca="false">IF(C5743="MAT.",VLOOKUP(A5743,INSUMOS_AUX!$A$3:$H$813,6,0),0)</f>
        <v>1.36</v>
      </c>
      <c r="G5743" s="149" t="n">
        <f aca="false">IF(C5743="M.O.",VLOOKUP(A5743,INSUMOS_AUX!A:F,6,0),0)</f>
        <v>0</v>
      </c>
    </row>
    <row r="5744" customFormat="false" ht="15" hidden="false" customHeight="false" outlineLevel="0" collapsed="false">
      <c r="A5744" s="154" t="n">
        <v>38101</v>
      </c>
      <c r="B5744" s="155" t="s">
        <v>1551</v>
      </c>
      <c r="C5744" s="148" t="str">
        <f aca="false">VLOOKUP($A5744,INSUMOS_AUX!$A$3:$H$813,3,0)</f>
        <v>MAT.</v>
      </c>
      <c r="D5744" s="156" t="s">
        <v>31</v>
      </c>
      <c r="E5744" s="154" t="n">
        <v>1</v>
      </c>
      <c r="F5744" s="149" t="n">
        <f aca="false">IF(C5744="MAT.",VLOOKUP(A5744,INSUMOS_AUX!$A$3:$H$813,6,0),0)</f>
        <v>7.03</v>
      </c>
      <c r="G5744" s="149" t="n">
        <f aca="false">IF(C5744="M.O.",VLOOKUP(A5744,INSUMOS_AUX!A:F,6,0),0)</f>
        <v>0</v>
      </c>
    </row>
    <row r="5745" customFormat="false" ht="15" hidden="false" customHeight="false" outlineLevel="0" collapsed="false">
      <c r="A5745" s="154" t="n">
        <v>247</v>
      </c>
      <c r="B5745" s="155" t="s">
        <v>1554</v>
      </c>
      <c r="C5745" s="148" t="str">
        <f aca="false">VLOOKUP($A5745,INSUMOS_AUX!$A$3:$H$813,3,0)</f>
        <v>M.O.</v>
      </c>
      <c r="D5745" s="156" t="s">
        <v>1444</v>
      </c>
      <c r="E5745" s="154" t="n">
        <v>0.63691448</v>
      </c>
      <c r="F5745" s="149" t="n">
        <f aca="false">IF(C5745="MAT.",VLOOKUP(A5745,INSUMOS_AUX!$A$3:$H$813,6,0),0)</f>
        <v>0</v>
      </c>
      <c r="G5745" s="149" t="n">
        <f aca="false">IF(C5745="M.O.",VLOOKUP(A5745,INSUMOS_AUX!A:F,6,0),0)</f>
        <v>13.26</v>
      </c>
    </row>
    <row r="5746" customFormat="false" ht="15" hidden="false" customHeight="false" outlineLevel="0" collapsed="false">
      <c r="A5746" s="154" t="n">
        <v>2436</v>
      </c>
      <c r="B5746" s="155" t="s">
        <v>1557</v>
      </c>
      <c r="C5746" s="148" t="str">
        <f aca="false">VLOOKUP($A5746,INSUMOS_AUX!$A$3:$H$813,3,0)</f>
        <v>M.O.</v>
      </c>
      <c r="D5746" s="156" t="s">
        <v>1444</v>
      </c>
      <c r="E5746" s="154" t="n">
        <v>0.63691448</v>
      </c>
      <c r="F5746" s="149" t="n">
        <f aca="false">IF(C5746="MAT.",VLOOKUP(A5746,INSUMOS_AUX!$A$3:$H$813,6,0),0)</f>
        <v>0</v>
      </c>
      <c r="G5746" s="149" t="n">
        <f aca="false">IF(C5746="M.O.",VLOOKUP(A5746,INSUMOS_AUX!A:F,6,0),0)</f>
        <v>20.22</v>
      </c>
    </row>
    <row r="5747" customFormat="false" ht="21" hidden="false" customHeight="false" outlineLevel="0" collapsed="false">
      <c r="A5747" s="150" t="n">
        <v>92004</v>
      </c>
      <c r="B5747" s="151" t="s">
        <v>2462</v>
      </c>
      <c r="C5747" s="152" t="s">
        <v>59</v>
      </c>
      <c r="D5747" s="152" t="s">
        <v>31</v>
      </c>
      <c r="E5747" s="150"/>
      <c r="F5747" s="153" t="n">
        <f aca="false">(SUMPRODUCT($E5748:$E5758,F5748:F5758))*1</f>
        <v>27.77</v>
      </c>
      <c r="G5747" s="153" t="n">
        <f aca="false">(SUMPRODUCT($E5748:$E5758,G5748:G5758))*1</f>
        <v>24.31063152</v>
      </c>
    </row>
    <row r="5748" customFormat="false" ht="21" hidden="false" customHeight="false" outlineLevel="0" collapsed="false">
      <c r="A5748" s="154" t="n">
        <v>37370</v>
      </c>
      <c r="B5748" s="155" t="s">
        <v>1443</v>
      </c>
      <c r="C5748" s="148" t="str">
        <f aca="false">VLOOKUP($A5748,INSUMOS_AUX!$A$3:$H$813,3,0)</f>
        <v>MAT.</v>
      </c>
      <c r="D5748" s="156" t="s">
        <v>1444</v>
      </c>
      <c r="E5748" s="154" t="n">
        <v>1.4</v>
      </c>
      <c r="F5748" s="149" t="n">
        <f aca="false">IF(C5748="MAT.",VLOOKUP(A5748,INSUMOS_AUX!$A$3:$H$813,6,0),0)</f>
        <v>3.32</v>
      </c>
      <c r="G5748" s="149" t="n">
        <f aca="false">IF(C5748="M.O.",VLOOKUP(A5748,INSUMOS_AUX!A:F,6,0),0)</f>
        <v>0</v>
      </c>
    </row>
    <row r="5749" customFormat="false" ht="21" hidden="false" customHeight="false" outlineLevel="0" collapsed="false">
      <c r="A5749" s="154" t="n">
        <v>43484</v>
      </c>
      <c r="B5749" s="155" t="s">
        <v>1523</v>
      </c>
      <c r="C5749" s="148" t="str">
        <f aca="false">VLOOKUP($A5749,INSUMOS_AUX!$A$3:$H$813,3,0)</f>
        <v>MAT.</v>
      </c>
      <c r="D5749" s="156" t="s">
        <v>1444</v>
      </c>
      <c r="E5749" s="154" t="n">
        <v>1.4</v>
      </c>
      <c r="F5749" s="149" t="n">
        <f aca="false">IF(C5749="MAT.",VLOOKUP(A5749,INSUMOS_AUX!$A$3:$H$813,6,0),0)</f>
        <v>1.26</v>
      </c>
      <c r="G5749" s="149" t="n">
        <f aca="false">IF(C5749="M.O.",VLOOKUP(A5749,INSUMOS_AUX!A:F,6,0),0)</f>
        <v>0</v>
      </c>
    </row>
    <row r="5750" customFormat="false" ht="21" hidden="false" customHeight="false" outlineLevel="0" collapsed="false">
      <c r="A5750" s="154" t="n">
        <v>37372</v>
      </c>
      <c r="B5750" s="155" t="s">
        <v>1446</v>
      </c>
      <c r="C5750" s="148" t="str">
        <f aca="false">VLOOKUP($A5750,INSUMOS_AUX!$A$3:$H$813,3,0)</f>
        <v>MAT.</v>
      </c>
      <c r="D5750" s="156" t="s">
        <v>1444</v>
      </c>
      <c r="E5750" s="154" t="n">
        <v>1.4</v>
      </c>
      <c r="F5750" s="149" t="n">
        <f aca="false">IF(C5750="MAT.",VLOOKUP(A5750,INSUMOS_AUX!$A$3:$H$813,6,0),0)</f>
        <v>1.43</v>
      </c>
      <c r="G5750" s="149" t="n">
        <f aca="false">IF(C5750="M.O.",VLOOKUP(A5750,INSUMOS_AUX!A:F,6,0),0)</f>
        <v>0</v>
      </c>
    </row>
    <row r="5751" customFormat="false" ht="21" hidden="false" customHeight="false" outlineLevel="0" collapsed="false">
      <c r="A5751" s="154" t="n">
        <v>43460</v>
      </c>
      <c r="B5751" s="155" t="s">
        <v>1524</v>
      </c>
      <c r="C5751" s="148" t="str">
        <f aca="false">VLOOKUP($A5751,INSUMOS_AUX!$A$3:$H$813,3,0)</f>
        <v>MAT.</v>
      </c>
      <c r="D5751" s="156" t="s">
        <v>1444</v>
      </c>
      <c r="E5751" s="154" t="n">
        <v>1.4</v>
      </c>
      <c r="F5751" s="149" t="n">
        <f aca="false">IF(C5751="MAT.",VLOOKUP(A5751,INSUMOS_AUX!$A$3:$H$813,6,0),0)</f>
        <v>0.86</v>
      </c>
      <c r="G5751" s="149" t="n">
        <f aca="false">IF(C5751="M.O.",VLOOKUP(A5751,INSUMOS_AUX!A:F,6,0),0)</f>
        <v>0</v>
      </c>
    </row>
    <row r="5752" customFormat="false" ht="21" hidden="false" customHeight="false" outlineLevel="0" collapsed="false">
      <c r="A5752" s="154" t="n">
        <v>37373</v>
      </c>
      <c r="B5752" s="155" t="s">
        <v>1448</v>
      </c>
      <c r="C5752" s="148" t="str">
        <f aca="false">VLOOKUP($A5752,INSUMOS_AUX!$A$3:$H$813,3,0)</f>
        <v>MAT.</v>
      </c>
      <c r="D5752" s="156" t="s">
        <v>1444</v>
      </c>
      <c r="E5752" s="154" t="n">
        <v>1.4</v>
      </c>
      <c r="F5752" s="149" t="n">
        <f aca="false">IF(C5752="MAT.",VLOOKUP(A5752,INSUMOS_AUX!$A$3:$H$813,6,0),0)</f>
        <v>0.08</v>
      </c>
      <c r="G5752" s="149" t="n">
        <f aca="false">IF(C5752="M.O.",VLOOKUP(A5752,INSUMOS_AUX!A:F,6,0),0)</f>
        <v>0</v>
      </c>
    </row>
    <row r="5753" customFormat="false" ht="21" hidden="false" customHeight="false" outlineLevel="0" collapsed="false">
      <c r="A5753" s="154" t="n">
        <v>37371</v>
      </c>
      <c r="B5753" s="155" t="s">
        <v>1449</v>
      </c>
      <c r="C5753" s="148" t="s">
        <v>59</v>
      </c>
      <c r="D5753" s="156" t="s">
        <v>1444</v>
      </c>
      <c r="E5753" s="154" t="n">
        <v>1.4</v>
      </c>
      <c r="F5753" s="149" t="n">
        <f aca="false">IF(C5753="MAT.",VLOOKUP(A5753,INSUMOS_AUX!$A$3:$H$813,6,0),0)</f>
        <v>0</v>
      </c>
      <c r="G5753" s="149" t="n">
        <f aca="false">IF(C5753="M.O.",VLOOKUP(A5753,INSUMOS_AUX!A:F,6,0),0)</f>
        <v>0</v>
      </c>
    </row>
    <row r="5754" customFormat="false" ht="21" hidden="false" customHeight="false" outlineLevel="0" collapsed="false">
      <c r="A5754" s="154" t="n">
        <v>38094</v>
      </c>
      <c r="B5754" s="155" t="s">
        <v>1541</v>
      </c>
      <c r="C5754" s="148" t="str">
        <f aca="false">VLOOKUP($A5754,INSUMOS_AUX!$A$3:$H$813,3,0)</f>
        <v>MAT.</v>
      </c>
      <c r="D5754" s="156" t="s">
        <v>31</v>
      </c>
      <c r="E5754" s="154" t="n">
        <v>1</v>
      </c>
      <c r="F5754" s="149" t="n">
        <f aca="false">IF(C5754="MAT.",VLOOKUP(A5754,INSUMOS_AUX!$A$3:$H$813,6,0),0)</f>
        <v>2.62</v>
      </c>
      <c r="G5754" s="149" t="n">
        <f aca="false">IF(C5754="M.O.",VLOOKUP(A5754,INSUMOS_AUX!A:F,6,0),0)</f>
        <v>0</v>
      </c>
    </row>
    <row r="5755" customFormat="false" ht="31.5" hidden="false" customHeight="false" outlineLevel="0" collapsed="false">
      <c r="A5755" s="154" t="n">
        <v>38099</v>
      </c>
      <c r="B5755" s="155" t="s">
        <v>1549</v>
      </c>
      <c r="C5755" s="148" t="str">
        <f aca="false">VLOOKUP($A5755,INSUMOS_AUX!$A$3:$H$813,3,0)</f>
        <v>MAT.</v>
      </c>
      <c r="D5755" s="156" t="s">
        <v>31</v>
      </c>
      <c r="E5755" s="154" t="n">
        <v>1</v>
      </c>
      <c r="F5755" s="149" t="n">
        <f aca="false">IF(C5755="MAT.",VLOOKUP(A5755,INSUMOS_AUX!$A$3:$H$813,6,0),0)</f>
        <v>1.36</v>
      </c>
      <c r="G5755" s="149" t="n">
        <f aca="false">IF(C5755="M.O.",VLOOKUP(A5755,INSUMOS_AUX!A:F,6,0),0)</f>
        <v>0</v>
      </c>
    </row>
    <row r="5756" customFormat="false" ht="15" hidden="false" customHeight="false" outlineLevel="0" collapsed="false">
      <c r="A5756" s="154" t="n">
        <v>38101</v>
      </c>
      <c r="B5756" s="155" t="s">
        <v>1551</v>
      </c>
      <c r="C5756" s="148" t="str">
        <f aca="false">VLOOKUP($A5756,INSUMOS_AUX!$A$3:$H$813,3,0)</f>
        <v>MAT.</v>
      </c>
      <c r="D5756" s="156" t="s">
        <v>31</v>
      </c>
      <c r="E5756" s="154" t="n">
        <v>2</v>
      </c>
      <c r="F5756" s="149" t="n">
        <f aca="false">IF(C5756="MAT.",VLOOKUP(A5756,INSUMOS_AUX!$A$3:$H$813,6,0),0)</f>
        <v>7.03</v>
      </c>
      <c r="G5756" s="149" t="n">
        <f aca="false">IF(C5756="M.O.",VLOOKUP(A5756,INSUMOS_AUX!A:F,6,0),0)</f>
        <v>0</v>
      </c>
    </row>
    <row r="5757" customFormat="false" ht="15" hidden="false" customHeight="false" outlineLevel="0" collapsed="false">
      <c r="A5757" s="154" t="n">
        <v>247</v>
      </c>
      <c r="B5757" s="155" t="s">
        <v>1554</v>
      </c>
      <c r="C5757" s="148" t="str">
        <f aca="false">VLOOKUP($A5757,INSUMOS_AUX!$A$3:$H$813,3,0)</f>
        <v>M.O.</v>
      </c>
      <c r="D5757" s="156" t="s">
        <v>1444</v>
      </c>
      <c r="E5757" s="154" t="n">
        <v>0.726124</v>
      </c>
      <c r="F5757" s="149" t="n">
        <f aca="false">IF(C5757="MAT.",VLOOKUP(A5757,INSUMOS_AUX!$A$3:$H$813,6,0),0)</f>
        <v>0</v>
      </c>
      <c r="G5757" s="149" t="n">
        <f aca="false">IF(C5757="M.O.",VLOOKUP(A5757,INSUMOS_AUX!A:F,6,0),0)</f>
        <v>13.26</v>
      </c>
    </row>
    <row r="5758" customFormat="false" ht="15" hidden="false" customHeight="false" outlineLevel="0" collapsed="false">
      <c r="A5758" s="154" t="n">
        <v>2436</v>
      </c>
      <c r="B5758" s="155" t="s">
        <v>1557</v>
      </c>
      <c r="C5758" s="148" t="str">
        <f aca="false">VLOOKUP($A5758,INSUMOS_AUX!$A$3:$H$813,3,0)</f>
        <v>M.O.</v>
      </c>
      <c r="D5758" s="156" t="s">
        <v>1444</v>
      </c>
      <c r="E5758" s="154" t="n">
        <v>0.726124</v>
      </c>
      <c r="F5758" s="149" t="n">
        <f aca="false">IF(C5758="MAT.",VLOOKUP(A5758,INSUMOS_AUX!$A$3:$H$813,6,0),0)</f>
        <v>0</v>
      </c>
      <c r="G5758" s="149" t="n">
        <f aca="false">IF(C5758="M.O.",VLOOKUP(A5758,INSUMOS_AUX!A:F,6,0),0)</f>
        <v>20.22</v>
      </c>
    </row>
    <row r="5759" customFormat="false" ht="21" hidden="false" customHeight="false" outlineLevel="0" collapsed="false">
      <c r="A5759" s="150" t="n">
        <v>92013</v>
      </c>
      <c r="B5759" s="151" t="s">
        <v>2463</v>
      </c>
      <c r="C5759" s="152" t="s">
        <v>59</v>
      </c>
      <c r="D5759" s="152" t="s">
        <v>31</v>
      </c>
      <c r="E5759" s="150"/>
      <c r="F5759" s="153" t="n">
        <f aca="false">(SUMPRODUCT($E5760:$E5770,F5760:F5770))*1</f>
        <v>44.2106</v>
      </c>
      <c r="G5759" s="153" t="n">
        <f aca="false">(SUMPRODUCT($E5760:$E5770,G5760:G5770))*1</f>
        <v>33.1319178144</v>
      </c>
    </row>
    <row r="5760" customFormat="false" ht="21" hidden="false" customHeight="false" outlineLevel="0" collapsed="false">
      <c r="A5760" s="154" t="n">
        <v>37370</v>
      </c>
      <c r="B5760" s="155" t="s">
        <v>1443</v>
      </c>
      <c r="C5760" s="148" t="str">
        <f aca="false">VLOOKUP($A5760,INSUMOS_AUX!$A$3:$H$813,3,0)</f>
        <v>MAT.</v>
      </c>
      <c r="D5760" s="156" t="s">
        <v>1444</v>
      </c>
      <c r="E5760" s="154" t="n">
        <v>1.908</v>
      </c>
      <c r="F5760" s="149" t="n">
        <f aca="false">IF(C5760="MAT.",VLOOKUP(A5760,INSUMOS_AUX!$A$3:$H$813,6,0),0)</f>
        <v>3.32</v>
      </c>
      <c r="G5760" s="149" t="n">
        <f aca="false">IF(C5760="M.O.",VLOOKUP(A5760,INSUMOS_AUX!A:F,6,0),0)</f>
        <v>0</v>
      </c>
    </row>
    <row r="5761" customFormat="false" ht="21" hidden="false" customHeight="false" outlineLevel="0" collapsed="false">
      <c r="A5761" s="154" t="n">
        <v>43484</v>
      </c>
      <c r="B5761" s="155" t="s">
        <v>1523</v>
      </c>
      <c r="C5761" s="148" t="str">
        <f aca="false">VLOOKUP($A5761,INSUMOS_AUX!$A$3:$H$813,3,0)</f>
        <v>MAT.</v>
      </c>
      <c r="D5761" s="156" t="s">
        <v>1444</v>
      </c>
      <c r="E5761" s="154" t="n">
        <v>1.908</v>
      </c>
      <c r="F5761" s="149" t="n">
        <f aca="false">IF(C5761="MAT.",VLOOKUP(A5761,INSUMOS_AUX!$A$3:$H$813,6,0),0)</f>
        <v>1.26</v>
      </c>
      <c r="G5761" s="149" t="n">
        <f aca="false">IF(C5761="M.O.",VLOOKUP(A5761,INSUMOS_AUX!A:F,6,0),0)</f>
        <v>0</v>
      </c>
    </row>
    <row r="5762" customFormat="false" ht="21" hidden="false" customHeight="false" outlineLevel="0" collapsed="false">
      <c r="A5762" s="154" t="n">
        <v>37372</v>
      </c>
      <c r="B5762" s="155" t="s">
        <v>1446</v>
      </c>
      <c r="C5762" s="148" t="str">
        <f aca="false">VLOOKUP($A5762,INSUMOS_AUX!$A$3:$H$813,3,0)</f>
        <v>MAT.</v>
      </c>
      <c r="D5762" s="156" t="s">
        <v>1444</v>
      </c>
      <c r="E5762" s="154" t="n">
        <v>1.908</v>
      </c>
      <c r="F5762" s="149" t="n">
        <f aca="false">IF(C5762="MAT.",VLOOKUP(A5762,INSUMOS_AUX!$A$3:$H$813,6,0),0)</f>
        <v>1.43</v>
      </c>
      <c r="G5762" s="149" t="n">
        <f aca="false">IF(C5762="M.O.",VLOOKUP(A5762,INSUMOS_AUX!A:F,6,0),0)</f>
        <v>0</v>
      </c>
    </row>
    <row r="5763" customFormat="false" ht="21" hidden="false" customHeight="false" outlineLevel="0" collapsed="false">
      <c r="A5763" s="154" t="n">
        <v>43460</v>
      </c>
      <c r="B5763" s="155" t="s">
        <v>1524</v>
      </c>
      <c r="C5763" s="148" t="str">
        <f aca="false">VLOOKUP($A5763,INSUMOS_AUX!$A$3:$H$813,3,0)</f>
        <v>MAT.</v>
      </c>
      <c r="D5763" s="156" t="s">
        <v>1444</v>
      </c>
      <c r="E5763" s="154" t="n">
        <v>1.908</v>
      </c>
      <c r="F5763" s="149" t="n">
        <f aca="false">IF(C5763="MAT.",VLOOKUP(A5763,INSUMOS_AUX!$A$3:$H$813,6,0),0)</f>
        <v>0.86</v>
      </c>
      <c r="G5763" s="149" t="n">
        <f aca="false">IF(C5763="M.O.",VLOOKUP(A5763,INSUMOS_AUX!A:F,6,0),0)</f>
        <v>0</v>
      </c>
    </row>
    <row r="5764" customFormat="false" ht="21" hidden="false" customHeight="false" outlineLevel="0" collapsed="false">
      <c r="A5764" s="154" t="n">
        <v>37373</v>
      </c>
      <c r="B5764" s="155" t="s">
        <v>1448</v>
      </c>
      <c r="C5764" s="148" t="str">
        <f aca="false">VLOOKUP($A5764,INSUMOS_AUX!$A$3:$H$813,3,0)</f>
        <v>MAT.</v>
      </c>
      <c r="D5764" s="156" t="s">
        <v>1444</v>
      </c>
      <c r="E5764" s="154" t="n">
        <v>1.908</v>
      </c>
      <c r="F5764" s="149" t="n">
        <f aca="false">IF(C5764="MAT.",VLOOKUP(A5764,INSUMOS_AUX!$A$3:$H$813,6,0),0)</f>
        <v>0.08</v>
      </c>
      <c r="G5764" s="149" t="n">
        <f aca="false">IF(C5764="M.O.",VLOOKUP(A5764,INSUMOS_AUX!A:F,6,0),0)</f>
        <v>0</v>
      </c>
    </row>
    <row r="5765" customFormat="false" ht="21" hidden="false" customHeight="false" outlineLevel="0" collapsed="false">
      <c r="A5765" s="154" t="n">
        <v>37371</v>
      </c>
      <c r="B5765" s="155" t="s">
        <v>1449</v>
      </c>
      <c r="C5765" s="148" t="s">
        <v>59</v>
      </c>
      <c r="D5765" s="156" t="s">
        <v>1444</v>
      </c>
      <c r="E5765" s="154" t="n">
        <v>1.908</v>
      </c>
      <c r="F5765" s="149" t="n">
        <f aca="false">IF(C5765="MAT.",VLOOKUP(A5765,INSUMOS_AUX!$A$3:$H$813,6,0),0)</f>
        <v>0</v>
      </c>
      <c r="G5765" s="149" t="n">
        <f aca="false">IF(C5765="M.O.",VLOOKUP(A5765,INSUMOS_AUX!A:F,6,0),0)</f>
        <v>0</v>
      </c>
    </row>
    <row r="5766" customFormat="false" ht="21" hidden="false" customHeight="false" outlineLevel="0" collapsed="false">
      <c r="A5766" s="154" t="n">
        <v>38094</v>
      </c>
      <c r="B5766" s="155" t="s">
        <v>1541</v>
      </c>
      <c r="C5766" s="148" t="str">
        <f aca="false">VLOOKUP($A5766,INSUMOS_AUX!$A$3:$H$813,3,0)</f>
        <v>MAT.</v>
      </c>
      <c r="D5766" s="156" t="s">
        <v>31</v>
      </c>
      <c r="E5766" s="154" t="n">
        <v>1</v>
      </c>
      <c r="F5766" s="149" t="n">
        <f aca="false">IF(C5766="MAT.",VLOOKUP(A5766,INSUMOS_AUX!$A$3:$H$813,6,0),0)</f>
        <v>2.62</v>
      </c>
      <c r="G5766" s="149" t="n">
        <f aca="false">IF(C5766="M.O.",VLOOKUP(A5766,INSUMOS_AUX!A:F,6,0),0)</f>
        <v>0</v>
      </c>
    </row>
    <row r="5767" customFormat="false" ht="31.5" hidden="false" customHeight="false" outlineLevel="0" collapsed="false">
      <c r="A5767" s="154" t="n">
        <v>38099</v>
      </c>
      <c r="B5767" s="155" t="s">
        <v>1549</v>
      </c>
      <c r="C5767" s="148" t="str">
        <f aca="false">VLOOKUP($A5767,INSUMOS_AUX!$A$3:$H$813,3,0)</f>
        <v>MAT.</v>
      </c>
      <c r="D5767" s="156" t="s">
        <v>31</v>
      </c>
      <c r="E5767" s="154" t="n">
        <v>1</v>
      </c>
      <c r="F5767" s="149" t="n">
        <f aca="false">IF(C5767="MAT.",VLOOKUP(A5767,INSUMOS_AUX!$A$3:$H$813,6,0),0)</f>
        <v>1.36</v>
      </c>
      <c r="G5767" s="149" t="n">
        <f aca="false">IF(C5767="M.O.",VLOOKUP(A5767,INSUMOS_AUX!A:F,6,0),0)</f>
        <v>0</v>
      </c>
    </row>
    <row r="5768" customFormat="false" ht="15" hidden="false" customHeight="false" outlineLevel="0" collapsed="false">
      <c r="A5768" s="154" t="n">
        <v>38102</v>
      </c>
      <c r="B5768" s="155" t="s">
        <v>1552</v>
      </c>
      <c r="C5768" s="148" t="str">
        <f aca="false">VLOOKUP($A5768,INSUMOS_AUX!$A$3:$H$813,3,0)</f>
        <v>MAT.</v>
      </c>
      <c r="D5768" s="156" t="s">
        <v>31</v>
      </c>
      <c r="E5768" s="154" t="n">
        <v>3</v>
      </c>
      <c r="F5768" s="149" t="n">
        <f aca="false">IF(C5768="MAT.",VLOOKUP(A5768,INSUMOS_AUX!$A$3:$H$813,6,0),0)</f>
        <v>8.99</v>
      </c>
      <c r="G5768" s="149" t="n">
        <f aca="false">IF(C5768="M.O.",VLOOKUP(A5768,INSUMOS_AUX!A:F,6,0),0)</f>
        <v>0</v>
      </c>
    </row>
    <row r="5769" customFormat="false" ht="15" hidden="false" customHeight="false" outlineLevel="0" collapsed="false">
      <c r="A5769" s="154" t="n">
        <v>247</v>
      </c>
      <c r="B5769" s="155" t="s">
        <v>1554</v>
      </c>
      <c r="C5769" s="148" t="str">
        <f aca="false">VLOOKUP($A5769,INSUMOS_AUX!$A$3:$H$813,3,0)</f>
        <v>M.O.</v>
      </c>
      <c r="D5769" s="156" t="s">
        <v>1444</v>
      </c>
      <c r="E5769" s="154" t="n">
        <v>0.98960328</v>
      </c>
      <c r="F5769" s="149" t="n">
        <f aca="false">IF(C5769="MAT.",VLOOKUP(A5769,INSUMOS_AUX!$A$3:$H$813,6,0),0)</f>
        <v>0</v>
      </c>
      <c r="G5769" s="149" t="n">
        <f aca="false">IF(C5769="M.O.",VLOOKUP(A5769,INSUMOS_AUX!A:F,6,0),0)</f>
        <v>13.26</v>
      </c>
    </row>
    <row r="5770" customFormat="false" ht="15" hidden="false" customHeight="false" outlineLevel="0" collapsed="false">
      <c r="A5770" s="154" t="n">
        <v>2436</v>
      </c>
      <c r="B5770" s="155" t="s">
        <v>1557</v>
      </c>
      <c r="C5770" s="148" t="str">
        <f aca="false">VLOOKUP($A5770,INSUMOS_AUX!$A$3:$H$813,3,0)</f>
        <v>M.O.</v>
      </c>
      <c r="D5770" s="156" t="s">
        <v>1444</v>
      </c>
      <c r="E5770" s="154" t="n">
        <v>0.98960328</v>
      </c>
      <c r="F5770" s="149" t="n">
        <f aca="false">IF(C5770="MAT.",VLOOKUP(A5770,INSUMOS_AUX!$A$3:$H$813,6,0),0)</f>
        <v>0</v>
      </c>
      <c r="G5770" s="149" t="n">
        <f aca="false">IF(C5770="M.O.",VLOOKUP(A5770,INSUMOS_AUX!A:F,6,0),0)</f>
        <v>20.22</v>
      </c>
    </row>
    <row r="5771" customFormat="false" ht="21" hidden="false" customHeight="false" outlineLevel="0" collapsed="false">
      <c r="A5771" s="150" t="n">
        <v>91996</v>
      </c>
      <c r="B5771" s="151" t="s">
        <v>2464</v>
      </c>
      <c r="C5771" s="152" t="s">
        <v>59</v>
      </c>
      <c r="D5771" s="152" t="s">
        <v>31</v>
      </c>
      <c r="E5771" s="150"/>
      <c r="F5771" s="153" t="n">
        <f aca="false">(SUMPRODUCT($E5772:$E5782,F5772:F5782))*1</f>
        <v>17.1955</v>
      </c>
      <c r="G5771" s="153" t="n">
        <f aca="false">(SUMPRODUCT($E5772:$E5782,G5772:G5782))*1</f>
        <v>15.454615752</v>
      </c>
    </row>
    <row r="5772" customFormat="false" ht="21" hidden="false" customHeight="false" outlineLevel="0" collapsed="false">
      <c r="A5772" s="154" t="n">
        <v>37370</v>
      </c>
      <c r="B5772" s="155" t="s">
        <v>1443</v>
      </c>
      <c r="C5772" s="148" t="str">
        <f aca="false">VLOOKUP($A5772,INSUMOS_AUX!$A$3:$H$813,3,0)</f>
        <v>MAT.</v>
      </c>
      <c r="D5772" s="156" t="s">
        <v>1444</v>
      </c>
      <c r="E5772" s="154" t="n">
        <v>0.89</v>
      </c>
      <c r="F5772" s="149" t="n">
        <f aca="false">IF(C5772="MAT.",VLOOKUP(A5772,INSUMOS_AUX!$A$3:$H$813,6,0),0)</f>
        <v>3.32</v>
      </c>
      <c r="G5772" s="149" t="n">
        <f aca="false">IF(C5772="M.O.",VLOOKUP(A5772,INSUMOS_AUX!A:F,6,0),0)</f>
        <v>0</v>
      </c>
    </row>
    <row r="5773" customFormat="false" ht="21" hidden="false" customHeight="false" outlineLevel="0" collapsed="false">
      <c r="A5773" s="154" t="n">
        <v>43484</v>
      </c>
      <c r="B5773" s="155" t="s">
        <v>1523</v>
      </c>
      <c r="C5773" s="148" t="str">
        <f aca="false">VLOOKUP($A5773,INSUMOS_AUX!$A$3:$H$813,3,0)</f>
        <v>MAT.</v>
      </c>
      <c r="D5773" s="156" t="s">
        <v>1444</v>
      </c>
      <c r="E5773" s="154" t="n">
        <v>0.89</v>
      </c>
      <c r="F5773" s="149" t="n">
        <f aca="false">IF(C5773="MAT.",VLOOKUP(A5773,INSUMOS_AUX!$A$3:$H$813,6,0),0)</f>
        <v>1.26</v>
      </c>
      <c r="G5773" s="149" t="n">
        <f aca="false">IF(C5773="M.O.",VLOOKUP(A5773,INSUMOS_AUX!A:F,6,0),0)</f>
        <v>0</v>
      </c>
    </row>
    <row r="5774" customFormat="false" ht="21" hidden="false" customHeight="false" outlineLevel="0" collapsed="false">
      <c r="A5774" s="154" t="n">
        <v>37372</v>
      </c>
      <c r="B5774" s="155" t="s">
        <v>1446</v>
      </c>
      <c r="C5774" s="148" t="str">
        <f aca="false">VLOOKUP($A5774,INSUMOS_AUX!$A$3:$H$813,3,0)</f>
        <v>MAT.</v>
      </c>
      <c r="D5774" s="156" t="s">
        <v>1444</v>
      </c>
      <c r="E5774" s="154" t="n">
        <v>0.89</v>
      </c>
      <c r="F5774" s="149" t="n">
        <f aca="false">IF(C5774="MAT.",VLOOKUP(A5774,INSUMOS_AUX!$A$3:$H$813,6,0),0)</f>
        <v>1.43</v>
      </c>
      <c r="G5774" s="149" t="n">
        <f aca="false">IF(C5774="M.O.",VLOOKUP(A5774,INSUMOS_AUX!A:F,6,0),0)</f>
        <v>0</v>
      </c>
    </row>
    <row r="5775" customFormat="false" ht="21" hidden="false" customHeight="false" outlineLevel="0" collapsed="false">
      <c r="A5775" s="154" t="n">
        <v>43460</v>
      </c>
      <c r="B5775" s="155" t="s">
        <v>1524</v>
      </c>
      <c r="C5775" s="148" t="str">
        <f aca="false">VLOOKUP($A5775,INSUMOS_AUX!$A$3:$H$813,3,0)</f>
        <v>MAT.</v>
      </c>
      <c r="D5775" s="156" t="s">
        <v>1444</v>
      </c>
      <c r="E5775" s="154" t="n">
        <v>0.89</v>
      </c>
      <c r="F5775" s="149" t="n">
        <f aca="false">IF(C5775="MAT.",VLOOKUP(A5775,INSUMOS_AUX!$A$3:$H$813,6,0),0)</f>
        <v>0.86</v>
      </c>
      <c r="G5775" s="149" t="n">
        <f aca="false">IF(C5775="M.O.",VLOOKUP(A5775,INSUMOS_AUX!A:F,6,0),0)</f>
        <v>0</v>
      </c>
    </row>
    <row r="5776" customFormat="false" ht="21" hidden="false" customHeight="false" outlineLevel="0" collapsed="false">
      <c r="A5776" s="154" t="n">
        <v>37373</v>
      </c>
      <c r="B5776" s="155" t="s">
        <v>1448</v>
      </c>
      <c r="C5776" s="148" t="str">
        <f aca="false">VLOOKUP($A5776,INSUMOS_AUX!$A$3:$H$813,3,0)</f>
        <v>MAT.</v>
      </c>
      <c r="D5776" s="156" t="s">
        <v>1444</v>
      </c>
      <c r="E5776" s="154" t="n">
        <v>0.89</v>
      </c>
      <c r="F5776" s="149" t="n">
        <f aca="false">IF(C5776="MAT.",VLOOKUP(A5776,INSUMOS_AUX!$A$3:$H$813,6,0),0)</f>
        <v>0.08</v>
      </c>
      <c r="G5776" s="149" t="n">
        <f aca="false">IF(C5776="M.O.",VLOOKUP(A5776,INSUMOS_AUX!A:F,6,0),0)</f>
        <v>0</v>
      </c>
    </row>
    <row r="5777" customFormat="false" ht="21" hidden="false" customHeight="false" outlineLevel="0" collapsed="false">
      <c r="A5777" s="154" t="n">
        <v>37371</v>
      </c>
      <c r="B5777" s="155" t="s">
        <v>1449</v>
      </c>
      <c r="C5777" s="148" t="s">
        <v>59</v>
      </c>
      <c r="D5777" s="156" t="s">
        <v>1444</v>
      </c>
      <c r="E5777" s="154" t="n">
        <v>0.89</v>
      </c>
      <c r="F5777" s="149" t="n">
        <f aca="false">IF(C5777="MAT.",VLOOKUP(A5777,INSUMOS_AUX!$A$3:$H$813,6,0),0)</f>
        <v>0</v>
      </c>
      <c r="G5777" s="149" t="n">
        <f aca="false">IF(C5777="M.O.",VLOOKUP(A5777,INSUMOS_AUX!A:F,6,0),0)</f>
        <v>0</v>
      </c>
    </row>
    <row r="5778" customFormat="false" ht="21" hidden="false" customHeight="false" outlineLevel="0" collapsed="false">
      <c r="A5778" s="154" t="n">
        <v>38094</v>
      </c>
      <c r="B5778" s="155" t="s">
        <v>1541</v>
      </c>
      <c r="C5778" s="148" t="str">
        <f aca="false">VLOOKUP($A5778,INSUMOS_AUX!$A$3:$H$813,3,0)</f>
        <v>MAT.</v>
      </c>
      <c r="D5778" s="156" t="s">
        <v>31</v>
      </c>
      <c r="E5778" s="154" t="n">
        <v>1</v>
      </c>
      <c r="F5778" s="149" t="n">
        <f aca="false">IF(C5778="MAT.",VLOOKUP(A5778,INSUMOS_AUX!$A$3:$H$813,6,0),0)</f>
        <v>2.62</v>
      </c>
      <c r="G5778" s="149" t="n">
        <f aca="false">IF(C5778="M.O.",VLOOKUP(A5778,INSUMOS_AUX!A:F,6,0),0)</f>
        <v>0</v>
      </c>
    </row>
    <row r="5779" customFormat="false" ht="31.5" hidden="false" customHeight="false" outlineLevel="0" collapsed="false">
      <c r="A5779" s="154" t="n">
        <v>38099</v>
      </c>
      <c r="B5779" s="155" t="s">
        <v>1549</v>
      </c>
      <c r="C5779" s="148" t="str">
        <f aca="false">VLOOKUP($A5779,INSUMOS_AUX!$A$3:$H$813,3,0)</f>
        <v>MAT.</v>
      </c>
      <c r="D5779" s="156" t="s">
        <v>31</v>
      </c>
      <c r="E5779" s="154" t="n">
        <v>1</v>
      </c>
      <c r="F5779" s="149" t="n">
        <f aca="false">IF(C5779="MAT.",VLOOKUP(A5779,INSUMOS_AUX!$A$3:$H$813,6,0),0)</f>
        <v>1.36</v>
      </c>
      <c r="G5779" s="149" t="n">
        <f aca="false">IF(C5779="M.O.",VLOOKUP(A5779,INSUMOS_AUX!A:F,6,0),0)</f>
        <v>0</v>
      </c>
    </row>
    <row r="5780" customFormat="false" ht="15" hidden="false" customHeight="false" outlineLevel="0" collapsed="false">
      <c r="A5780" s="154" t="n">
        <v>38101</v>
      </c>
      <c r="B5780" s="155" t="s">
        <v>1551</v>
      </c>
      <c r="C5780" s="148" t="str">
        <f aca="false">VLOOKUP($A5780,INSUMOS_AUX!$A$3:$H$813,3,0)</f>
        <v>MAT.</v>
      </c>
      <c r="D5780" s="156" t="s">
        <v>31</v>
      </c>
      <c r="E5780" s="154" t="n">
        <v>1</v>
      </c>
      <c r="F5780" s="149" t="n">
        <f aca="false">IF(C5780="MAT.",VLOOKUP(A5780,INSUMOS_AUX!$A$3:$H$813,6,0),0)</f>
        <v>7.03</v>
      </c>
      <c r="G5780" s="149" t="n">
        <f aca="false">IF(C5780="M.O.",VLOOKUP(A5780,INSUMOS_AUX!A:F,6,0),0)</f>
        <v>0</v>
      </c>
    </row>
    <row r="5781" customFormat="false" ht="15" hidden="false" customHeight="false" outlineLevel="0" collapsed="false">
      <c r="A5781" s="154" t="n">
        <v>247</v>
      </c>
      <c r="B5781" s="155" t="s">
        <v>1554</v>
      </c>
      <c r="C5781" s="148" t="str">
        <f aca="false">VLOOKUP($A5781,INSUMOS_AUX!$A$3:$H$813,3,0)</f>
        <v>M.O.</v>
      </c>
      <c r="D5781" s="156" t="s">
        <v>1444</v>
      </c>
      <c r="E5781" s="154" t="n">
        <v>0.4616074</v>
      </c>
      <c r="F5781" s="149" t="n">
        <f aca="false">IF(C5781="MAT.",VLOOKUP(A5781,INSUMOS_AUX!$A$3:$H$813,6,0),0)</f>
        <v>0</v>
      </c>
      <c r="G5781" s="149" t="n">
        <f aca="false">IF(C5781="M.O.",VLOOKUP(A5781,INSUMOS_AUX!A:F,6,0),0)</f>
        <v>13.26</v>
      </c>
    </row>
    <row r="5782" customFormat="false" ht="15" hidden="false" customHeight="false" outlineLevel="0" collapsed="false">
      <c r="A5782" s="154" t="n">
        <v>2436</v>
      </c>
      <c r="B5782" s="155" t="s">
        <v>1557</v>
      </c>
      <c r="C5782" s="148" t="str">
        <f aca="false">VLOOKUP($A5782,INSUMOS_AUX!$A$3:$H$813,3,0)</f>
        <v>M.O.</v>
      </c>
      <c r="D5782" s="156" t="s">
        <v>1444</v>
      </c>
      <c r="E5782" s="154" t="n">
        <v>0.4616074</v>
      </c>
      <c r="F5782" s="149" t="n">
        <f aca="false">IF(C5782="MAT.",VLOOKUP(A5782,INSUMOS_AUX!$A$3:$H$813,6,0),0)</f>
        <v>0</v>
      </c>
      <c r="G5782" s="149" t="n">
        <f aca="false">IF(C5782="M.O.",VLOOKUP(A5782,INSUMOS_AUX!A:F,6,0),0)</f>
        <v>20.22</v>
      </c>
    </row>
    <row r="5783" customFormat="false" ht="21" hidden="false" customHeight="false" outlineLevel="0" collapsed="false">
      <c r="A5783" s="150" t="n">
        <v>91997</v>
      </c>
      <c r="B5783" s="151" t="s">
        <v>2465</v>
      </c>
      <c r="C5783" s="152" t="s">
        <v>59</v>
      </c>
      <c r="D5783" s="152" t="s">
        <v>31</v>
      </c>
      <c r="E5783" s="150"/>
      <c r="F5783" s="153" t="n">
        <f aca="false">(SUMPRODUCT($E5784:$E5794,F5784:F5794))*1</f>
        <v>19.1555</v>
      </c>
      <c r="G5783" s="153" t="n">
        <f aca="false">(SUMPRODUCT($E5784:$E5794,G5784:G5794))*1</f>
        <v>15.454615752</v>
      </c>
    </row>
    <row r="5784" customFormat="false" ht="21" hidden="false" customHeight="false" outlineLevel="0" collapsed="false">
      <c r="A5784" s="154" t="n">
        <v>37370</v>
      </c>
      <c r="B5784" s="155" t="s">
        <v>1443</v>
      </c>
      <c r="C5784" s="148" t="str">
        <f aca="false">VLOOKUP($A5784,INSUMOS_AUX!$A$3:$H$813,3,0)</f>
        <v>MAT.</v>
      </c>
      <c r="D5784" s="156" t="s">
        <v>1444</v>
      </c>
      <c r="E5784" s="154" t="n">
        <v>0.89</v>
      </c>
      <c r="F5784" s="149" t="n">
        <f aca="false">IF(C5784="MAT.",VLOOKUP(A5784,INSUMOS_AUX!$A$3:$H$813,6,0),0)</f>
        <v>3.32</v>
      </c>
      <c r="G5784" s="149" t="n">
        <f aca="false">IF(C5784="M.O.",VLOOKUP(A5784,INSUMOS_AUX!A:F,6,0),0)</f>
        <v>0</v>
      </c>
    </row>
    <row r="5785" customFormat="false" ht="21" hidden="false" customHeight="false" outlineLevel="0" collapsed="false">
      <c r="A5785" s="154" t="n">
        <v>43484</v>
      </c>
      <c r="B5785" s="155" t="s">
        <v>1523</v>
      </c>
      <c r="C5785" s="148" t="str">
        <f aca="false">VLOOKUP($A5785,INSUMOS_AUX!$A$3:$H$813,3,0)</f>
        <v>MAT.</v>
      </c>
      <c r="D5785" s="156" t="s">
        <v>1444</v>
      </c>
      <c r="E5785" s="154" t="n">
        <v>0.89</v>
      </c>
      <c r="F5785" s="149" t="n">
        <f aca="false">IF(C5785="MAT.",VLOOKUP(A5785,INSUMOS_AUX!$A$3:$H$813,6,0),0)</f>
        <v>1.26</v>
      </c>
      <c r="G5785" s="149" t="n">
        <f aca="false">IF(C5785="M.O.",VLOOKUP(A5785,INSUMOS_AUX!A:F,6,0),0)</f>
        <v>0</v>
      </c>
    </row>
    <row r="5786" customFormat="false" ht="21" hidden="false" customHeight="false" outlineLevel="0" collapsed="false">
      <c r="A5786" s="154" t="n">
        <v>37372</v>
      </c>
      <c r="B5786" s="155" t="s">
        <v>1446</v>
      </c>
      <c r="C5786" s="148" t="str">
        <f aca="false">VLOOKUP($A5786,INSUMOS_AUX!$A$3:$H$813,3,0)</f>
        <v>MAT.</v>
      </c>
      <c r="D5786" s="156" t="s">
        <v>1444</v>
      </c>
      <c r="E5786" s="154" t="n">
        <v>0.89</v>
      </c>
      <c r="F5786" s="149" t="n">
        <f aca="false">IF(C5786="MAT.",VLOOKUP(A5786,INSUMOS_AUX!$A$3:$H$813,6,0),0)</f>
        <v>1.43</v>
      </c>
      <c r="G5786" s="149" t="n">
        <f aca="false">IF(C5786="M.O.",VLOOKUP(A5786,INSUMOS_AUX!A:F,6,0),0)</f>
        <v>0</v>
      </c>
    </row>
    <row r="5787" customFormat="false" ht="21" hidden="false" customHeight="false" outlineLevel="0" collapsed="false">
      <c r="A5787" s="154" t="n">
        <v>43460</v>
      </c>
      <c r="B5787" s="155" t="s">
        <v>1524</v>
      </c>
      <c r="C5787" s="148" t="str">
        <f aca="false">VLOOKUP($A5787,INSUMOS_AUX!$A$3:$H$813,3,0)</f>
        <v>MAT.</v>
      </c>
      <c r="D5787" s="156" t="s">
        <v>1444</v>
      </c>
      <c r="E5787" s="154" t="n">
        <v>0.89</v>
      </c>
      <c r="F5787" s="149" t="n">
        <f aca="false">IF(C5787="MAT.",VLOOKUP(A5787,INSUMOS_AUX!$A$3:$H$813,6,0),0)</f>
        <v>0.86</v>
      </c>
      <c r="G5787" s="149" t="n">
        <f aca="false">IF(C5787="M.O.",VLOOKUP(A5787,INSUMOS_AUX!A:F,6,0),0)</f>
        <v>0</v>
      </c>
    </row>
    <row r="5788" customFormat="false" ht="21" hidden="false" customHeight="false" outlineLevel="0" collapsed="false">
      <c r="A5788" s="154" t="n">
        <v>37373</v>
      </c>
      <c r="B5788" s="155" t="s">
        <v>1448</v>
      </c>
      <c r="C5788" s="148" t="str">
        <f aca="false">VLOOKUP($A5788,INSUMOS_AUX!$A$3:$H$813,3,0)</f>
        <v>MAT.</v>
      </c>
      <c r="D5788" s="156" t="s">
        <v>1444</v>
      </c>
      <c r="E5788" s="154" t="n">
        <v>0.89</v>
      </c>
      <c r="F5788" s="149" t="n">
        <f aca="false">IF(C5788="MAT.",VLOOKUP(A5788,INSUMOS_AUX!$A$3:$H$813,6,0),0)</f>
        <v>0.08</v>
      </c>
      <c r="G5788" s="149" t="n">
        <f aca="false">IF(C5788="M.O.",VLOOKUP(A5788,INSUMOS_AUX!A:F,6,0),0)</f>
        <v>0</v>
      </c>
    </row>
    <row r="5789" customFormat="false" ht="21" hidden="false" customHeight="false" outlineLevel="0" collapsed="false">
      <c r="A5789" s="154" t="n">
        <v>37371</v>
      </c>
      <c r="B5789" s="155" t="s">
        <v>1449</v>
      </c>
      <c r="C5789" s="148" t="s">
        <v>59</v>
      </c>
      <c r="D5789" s="156" t="s">
        <v>1444</v>
      </c>
      <c r="E5789" s="154" t="n">
        <v>0.89</v>
      </c>
      <c r="F5789" s="149" t="n">
        <f aca="false">IF(C5789="MAT.",VLOOKUP(A5789,INSUMOS_AUX!$A$3:$H$813,6,0),0)</f>
        <v>0</v>
      </c>
      <c r="G5789" s="149" t="n">
        <f aca="false">IF(C5789="M.O.",VLOOKUP(A5789,INSUMOS_AUX!A:F,6,0),0)</f>
        <v>0</v>
      </c>
    </row>
    <row r="5790" customFormat="false" ht="21" hidden="false" customHeight="false" outlineLevel="0" collapsed="false">
      <c r="A5790" s="154" t="n">
        <v>38094</v>
      </c>
      <c r="B5790" s="155" t="s">
        <v>1541</v>
      </c>
      <c r="C5790" s="148" t="str">
        <f aca="false">VLOOKUP($A5790,INSUMOS_AUX!$A$3:$H$813,3,0)</f>
        <v>MAT.</v>
      </c>
      <c r="D5790" s="156" t="s">
        <v>31</v>
      </c>
      <c r="E5790" s="154" t="n">
        <v>1</v>
      </c>
      <c r="F5790" s="149" t="n">
        <f aca="false">IF(C5790="MAT.",VLOOKUP(A5790,INSUMOS_AUX!$A$3:$H$813,6,0),0)</f>
        <v>2.62</v>
      </c>
      <c r="G5790" s="149" t="n">
        <f aca="false">IF(C5790="M.O.",VLOOKUP(A5790,INSUMOS_AUX!A:F,6,0),0)</f>
        <v>0</v>
      </c>
    </row>
    <row r="5791" customFormat="false" ht="31.5" hidden="false" customHeight="false" outlineLevel="0" collapsed="false">
      <c r="A5791" s="154" t="n">
        <v>38099</v>
      </c>
      <c r="B5791" s="155" t="s">
        <v>1549</v>
      </c>
      <c r="C5791" s="148" t="str">
        <f aca="false">VLOOKUP($A5791,INSUMOS_AUX!$A$3:$H$813,3,0)</f>
        <v>MAT.</v>
      </c>
      <c r="D5791" s="156" t="s">
        <v>31</v>
      </c>
      <c r="E5791" s="154" t="n">
        <v>1</v>
      </c>
      <c r="F5791" s="149" t="n">
        <f aca="false">IF(C5791="MAT.",VLOOKUP(A5791,INSUMOS_AUX!$A$3:$H$813,6,0),0)</f>
        <v>1.36</v>
      </c>
      <c r="G5791" s="149" t="n">
        <f aca="false">IF(C5791="M.O.",VLOOKUP(A5791,INSUMOS_AUX!A:F,6,0),0)</f>
        <v>0</v>
      </c>
    </row>
    <row r="5792" customFormat="false" ht="15" hidden="false" customHeight="false" outlineLevel="0" collapsed="false">
      <c r="A5792" s="154" t="n">
        <v>38102</v>
      </c>
      <c r="B5792" s="155" t="s">
        <v>1552</v>
      </c>
      <c r="C5792" s="148" t="str">
        <f aca="false">VLOOKUP($A5792,INSUMOS_AUX!$A$3:$H$813,3,0)</f>
        <v>MAT.</v>
      </c>
      <c r="D5792" s="156" t="s">
        <v>31</v>
      </c>
      <c r="E5792" s="154" t="n">
        <v>1</v>
      </c>
      <c r="F5792" s="149" t="n">
        <f aca="false">IF(C5792="MAT.",VLOOKUP(A5792,INSUMOS_AUX!$A$3:$H$813,6,0),0)</f>
        <v>8.99</v>
      </c>
      <c r="G5792" s="149" t="n">
        <f aca="false">IF(C5792="M.O.",VLOOKUP(A5792,INSUMOS_AUX!A:F,6,0),0)</f>
        <v>0</v>
      </c>
    </row>
    <row r="5793" customFormat="false" ht="15" hidden="false" customHeight="false" outlineLevel="0" collapsed="false">
      <c r="A5793" s="154" t="n">
        <v>247</v>
      </c>
      <c r="B5793" s="155" t="s">
        <v>1554</v>
      </c>
      <c r="C5793" s="148" t="str">
        <f aca="false">VLOOKUP($A5793,INSUMOS_AUX!$A$3:$H$813,3,0)</f>
        <v>M.O.</v>
      </c>
      <c r="D5793" s="156" t="s">
        <v>1444</v>
      </c>
      <c r="E5793" s="154" t="n">
        <v>0.4616074</v>
      </c>
      <c r="F5793" s="149" t="n">
        <f aca="false">IF(C5793="MAT.",VLOOKUP(A5793,INSUMOS_AUX!$A$3:$H$813,6,0),0)</f>
        <v>0</v>
      </c>
      <c r="G5793" s="149" t="n">
        <f aca="false">IF(C5793="M.O.",VLOOKUP(A5793,INSUMOS_AUX!A:F,6,0),0)</f>
        <v>13.26</v>
      </c>
    </row>
    <row r="5794" customFormat="false" ht="15" hidden="false" customHeight="false" outlineLevel="0" collapsed="false">
      <c r="A5794" s="154" t="n">
        <v>2436</v>
      </c>
      <c r="B5794" s="155" t="s">
        <v>1557</v>
      </c>
      <c r="C5794" s="148" t="str">
        <f aca="false">VLOOKUP($A5794,INSUMOS_AUX!$A$3:$H$813,3,0)</f>
        <v>M.O.</v>
      </c>
      <c r="D5794" s="156" t="s">
        <v>1444</v>
      </c>
      <c r="E5794" s="154" t="n">
        <v>0.4616074</v>
      </c>
      <c r="F5794" s="149" t="n">
        <f aca="false">IF(C5794="MAT.",VLOOKUP(A5794,INSUMOS_AUX!$A$3:$H$813,6,0),0)</f>
        <v>0</v>
      </c>
      <c r="G5794" s="149" t="n">
        <f aca="false">IF(C5794="M.O.",VLOOKUP(A5794,INSUMOS_AUX!A:F,6,0),0)</f>
        <v>20.22</v>
      </c>
    </row>
    <row r="5795" customFormat="false" ht="21" hidden="false" customHeight="false" outlineLevel="0" collapsed="false">
      <c r="A5795" s="150" t="s">
        <v>958</v>
      </c>
      <c r="B5795" s="151" t="s">
        <v>2466</v>
      </c>
      <c r="C5795" s="152" t="s">
        <v>59</v>
      </c>
      <c r="D5795" s="152" t="s">
        <v>31</v>
      </c>
      <c r="E5795" s="150"/>
      <c r="F5795" s="153" t="n">
        <f aca="false">(SUMPRODUCT($E5796:$E5806,F5796:F5806))*1</f>
        <v>65.8188333333333</v>
      </c>
      <c r="G5795" s="153" t="n">
        <f aca="false">(SUMPRODUCT($E5796:$E5806,G5796:G5806))*1</f>
        <v>15.454615752</v>
      </c>
    </row>
    <row r="5796" customFormat="false" ht="21" hidden="false" customHeight="false" outlineLevel="0" collapsed="false">
      <c r="A5796" s="154" t="n">
        <v>37370</v>
      </c>
      <c r="B5796" s="155" t="s">
        <v>1443</v>
      </c>
      <c r="C5796" s="148" t="str">
        <f aca="false">VLOOKUP($A5796,INSUMOS_AUX!$A$3:$H$813,3,0)</f>
        <v>MAT.</v>
      </c>
      <c r="D5796" s="156" t="s">
        <v>1444</v>
      </c>
      <c r="E5796" s="154" t="n">
        <v>0.89</v>
      </c>
      <c r="F5796" s="149" t="n">
        <f aca="false">IF(C5796="MAT.",VLOOKUP(A5796,INSUMOS_AUX!$A$3:$H$813,6,0),0)</f>
        <v>3.32</v>
      </c>
      <c r="G5796" s="149" t="n">
        <f aca="false">IF(C5796="M.O.",VLOOKUP(A5796,INSUMOS_AUX!A:F,6,0),0)</f>
        <v>0</v>
      </c>
    </row>
    <row r="5797" customFormat="false" ht="21" hidden="false" customHeight="false" outlineLevel="0" collapsed="false">
      <c r="A5797" s="154" t="n">
        <v>43484</v>
      </c>
      <c r="B5797" s="155" t="s">
        <v>1523</v>
      </c>
      <c r="C5797" s="148" t="str">
        <f aca="false">VLOOKUP($A5797,INSUMOS_AUX!$A$3:$H$813,3,0)</f>
        <v>MAT.</v>
      </c>
      <c r="D5797" s="156" t="s">
        <v>1444</v>
      </c>
      <c r="E5797" s="154" t="n">
        <v>0.89</v>
      </c>
      <c r="F5797" s="149" t="n">
        <f aca="false">IF(C5797="MAT.",VLOOKUP(A5797,INSUMOS_AUX!$A$3:$H$813,6,0),0)</f>
        <v>1.26</v>
      </c>
      <c r="G5797" s="149" t="n">
        <f aca="false">IF(C5797="M.O.",VLOOKUP(A5797,INSUMOS_AUX!A:F,6,0),0)</f>
        <v>0</v>
      </c>
    </row>
    <row r="5798" customFormat="false" ht="21" hidden="false" customHeight="false" outlineLevel="0" collapsed="false">
      <c r="A5798" s="154" t="n">
        <v>37372</v>
      </c>
      <c r="B5798" s="155" t="s">
        <v>1446</v>
      </c>
      <c r="C5798" s="148" t="str">
        <f aca="false">VLOOKUP($A5798,INSUMOS_AUX!$A$3:$H$813,3,0)</f>
        <v>MAT.</v>
      </c>
      <c r="D5798" s="156" t="s">
        <v>1444</v>
      </c>
      <c r="E5798" s="154" t="n">
        <v>0.89</v>
      </c>
      <c r="F5798" s="149" t="n">
        <f aca="false">IF(C5798="MAT.",VLOOKUP(A5798,INSUMOS_AUX!$A$3:$H$813,6,0),0)</f>
        <v>1.43</v>
      </c>
      <c r="G5798" s="149" t="n">
        <f aca="false">IF(C5798="M.O.",VLOOKUP(A5798,INSUMOS_AUX!A:F,6,0),0)</f>
        <v>0</v>
      </c>
    </row>
    <row r="5799" customFormat="false" ht="21" hidden="false" customHeight="false" outlineLevel="0" collapsed="false">
      <c r="A5799" s="154" t="n">
        <v>43460</v>
      </c>
      <c r="B5799" s="155" t="s">
        <v>1524</v>
      </c>
      <c r="C5799" s="148" t="str">
        <f aca="false">VLOOKUP($A5799,INSUMOS_AUX!$A$3:$H$813,3,0)</f>
        <v>MAT.</v>
      </c>
      <c r="D5799" s="156" t="s">
        <v>1444</v>
      </c>
      <c r="E5799" s="154" t="n">
        <v>0.89</v>
      </c>
      <c r="F5799" s="149" t="n">
        <f aca="false">IF(C5799="MAT.",VLOOKUP(A5799,INSUMOS_AUX!$A$3:$H$813,6,0),0)</f>
        <v>0.86</v>
      </c>
      <c r="G5799" s="149" t="n">
        <f aca="false">IF(C5799="M.O.",VLOOKUP(A5799,INSUMOS_AUX!A:F,6,0),0)</f>
        <v>0</v>
      </c>
    </row>
    <row r="5800" customFormat="false" ht="21" hidden="false" customHeight="false" outlineLevel="0" collapsed="false">
      <c r="A5800" s="154" t="n">
        <v>37373</v>
      </c>
      <c r="B5800" s="155" t="s">
        <v>1448</v>
      </c>
      <c r="C5800" s="148" t="str">
        <f aca="false">VLOOKUP($A5800,INSUMOS_AUX!$A$3:$H$813,3,0)</f>
        <v>MAT.</v>
      </c>
      <c r="D5800" s="156" t="s">
        <v>1444</v>
      </c>
      <c r="E5800" s="154" t="n">
        <v>0.89</v>
      </c>
      <c r="F5800" s="149" t="n">
        <f aca="false">IF(C5800="MAT.",VLOOKUP(A5800,INSUMOS_AUX!$A$3:$H$813,6,0),0)</f>
        <v>0.08</v>
      </c>
      <c r="G5800" s="149" t="n">
        <f aca="false">IF(C5800="M.O.",VLOOKUP(A5800,INSUMOS_AUX!A:F,6,0),0)</f>
        <v>0</v>
      </c>
    </row>
    <row r="5801" customFormat="false" ht="21" hidden="false" customHeight="false" outlineLevel="0" collapsed="false">
      <c r="A5801" s="154" t="n">
        <v>37371</v>
      </c>
      <c r="B5801" s="155" t="s">
        <v>1449</v>
      </c>
      <c r="C5801" s="148" t="s">
        <v>59</v>
      </c>
      <c r="D5801" s="156" t="s">
        <v>1444</v>
      </c>
      <c r="E5801" s="154" t="n">
        <v>0.89</v>
      </c>
      <c r="F5801" s="149" t="n">
        <f aca="false">IF(C5801="MAT.",VLOOKUP(A5801,INSUMOS_AUX!$A$3:$H$813,6,0),0)</f>
        <v>0</v>
      </c>
      <c r="G5801" s="149" t="n">
        <f aca="false">IF(C5801="M.O.",VLOOKUP(A5801,INSUMOS_AUX!A:F,6,0),0)</f>
        <v>0</v>
      </c>
    </row>
    <row r="5802" customFormat="false" ht="21" hidden="false" customHeight="false" outlineLevel="0" collapsed="false">
      <c r="A5802" s="154" t="n">
        <v>38094</v>
      </c>
      <c r="B5802" s="155" t="s">
        <v>1541</v>
      </c>
      <c r="C5802" s="148" t="str">
        <f aca="false">VLOOKUP($A5802,INSUMOS_AUX!$A$3:$H$813,3,0)</f>
        <v>MAT.</v>
      </c>
      <c r="D5802" s="156" t="s">
        <v>31</v>
      </c>
      <c r="E5802" s="154" t="n">
        <v>1</v>
      </c>
      <c r="F5802" s="149" t="n">
        <f aca="false">IF(C5802="MAT.",VLOOKUP(A5802,INSUMOS_AUX!$A$3:$H$813,6,0),0)</f>
        <v>2.62</v>
      </c>
      <c r="G5802" s="149" t="n">
        <f aca="false">IF(C5802="M.O.",VLOOKUP(A5802,INSUMOS_AUX!A:F,6,0),0)</f>
        <v>0</v>
      </c>
    </row>
    <row r="5803" customFormat="false" ht="31.5" hidden="false" customHeight="false" outlineLevel="0" collapsed="false">
      <c r="A5803" s="154" t="n">
        <v>38099</v>
      </c>
      <c r="B5803" s="155" t="s">
        <v>1549</v>
      </c>
      <c r="C5803" s="148" t="str">
        <f aca="false">VLOOKUP($A5803,INSUMOS_AUX!$A$3:$H$813,3,0)</f>
        <v>MAT.</v>
      </c>
      <c r="D5803" s="156" t="s">
        <v>31</v>
      </c>
      <c r="E5803" s="154" t="n">
        <v>1</v>
      </c>
      <c r="F5803" s="149" t="n">
        <f aca="false">IF(C5803="MAT.",VLOOKUP(A5803,INSUMOS_AUX!$A$3:$H$813,6,0),0)</f>
        <v>1.36</v>
      </c>
      <c r="G5803" s="149" t="n">
        <f aca="false">IF(C5803="M.O.",VLOOKUP(A5803,INSUMOS_AUX!A:F,6,0),0)</f>
        <v>0</v>
      </c>
    </row>
    <row r="5804" customFormat="false" ht="15" hidden="false" customHeight="false" outlineLevel="0" collapsed="false">
      <c r="A5804" s="154" t="s">
        <v>2467</v>
      </c>
      <c r="B5804" s="155" t="s">
        <v>2468</v>
      </c>
      <c r="C5804" s="148" t="str">
        <f aca="false">VLOOKUP($A5804,INSUMOS_AUX!$A$3:$H$813,3,0)</f>
        <v>MAT.</v>
      </c>
      <c r="D5804" s="156" t="s">
        <v>31</v>
      </c>
      <c r="E5804" s="154" t="n">
        <v>1</v>
      </c>
      <c r="F5804" s="149" t="n">
        <f aca="false">IF(C5804="MAT.",VLOOKUP(A5804,INSUMOS_AUX!$A$3:$H$813,6,0),0)</f>
        <v>55.6533333333333</v>
      </c>
      <c r="G5804" s="149" t="n">
        <f aca="false">IF(C5804="M.O.",VLOOKUP(A5804,INSUMOS_AUX!A:F,6,0),0)</f>
        <v>0</v>
      </c>
    </row>
    <row r="5805" customFormat="false" ht="15" hidden="false" customHeight="false" outlineLevel="0" collapsed="false">
      <c r="A5805" s="154" t="n">
        <v>247</v>
      </c>
      <c r="B5805" s="155" t="s">
        <v>1554</v>
      </c>
      <c r="C5805" s="148" t="str">
        <f aca="false">VLOOKUP($A5805,INSUMOS_AUX!$A$3:$H$813,3,0)</f>
        <v>M.O.</v>
      </c>
      <c r="D5805" s="156" t="s">
        <v>1444</v>
      </c>
      <c r="E5805" s="154" t="n">
        <v>0.4616074</v>
      </c>
      <c r="F5805" s="149" t="n">
        <f aca="false">IF(C5805="MAT.",VLOOKUP(A5805,INSUMOS_AUX!$A$3:$H$813,6,0),0)</f>
        <v>0</v>
      </c>
      <c r="G5805" s="149" t="n">
        <f aca="false">IF(C5805="M.O.",VLOOKUP(A5805,INSUMOS_AUX!A:F,6,0),0)</f>
        <v>13.26</v>
      </c>
    </row>
    <row r="5806" customFormat="false" ht="15" hidden="false" customHeight="false" outlineLevel="0" collapsed="false">
      <c r="A5806" s="154" t="n">
        <v>2436</v>
      </c>
      <c r="B5806" s="155" t="s">
        <v>1557</v>
      </c>
      <c r="C5806" s="148" t="str">
        <f aca="false">VLOOKUP($A5806,INSUMOS_AUX!$A$3:$H$813,3,0)</f>
        <v>M.O.</v>
      </c>
      <c r="D5806" s="156" t="s">
        <v>1444</v>
      </c>
      <c r="E5806" s="154" t="n">
        <v>0.4616074</v>
      </c>
      <c r="F5806" s="149" t="n">
        <f aca="false">IF(C5806="MAT.",VLOOKUP(A5806,INSUMOS_AUX!$A$3:$H$813,6,0),0)</f>
        <v>0</v>
      </c>
      <c r="G5806" s="149" t="n">
        <f aca="false">IF(C5806="M.O.",VLOOKUP(A5806,INSUMOS_AUX!A:F,6,0),0)</f>
        <v>20.22</v>
      </c>
    </row>
    <row r="5807" customFormat="false" ht="21" hidden="false" customHeight="false" outlineLevel="0" collapsed="false">
      <c r="A5807" s="150" t="s">
        <v>962</v>
      </c>
      <c r="B5807" s="151" t="s">
        <v>2469</v>
      </c>
      <c r="C5807" s="152" t="s">
        <v>59</v>
      </c>
      <c r="D5807" s="152" t="s">
        <v>31</v>
      </c>
      <c r="E5807" s="150"/>
      <c r="F5807" s="153" t="n">
        <f aca="false">(SUMPRODUCT($E5808:$E5816,F5808:F5816))*1</f>
        <v>69.6252266666667</v>
      </c>
      <c r="G5807" s="153" t="n">
        <f aca="false">(SUMPRODUCT($E5808:$E5816,G5808:G5816))*1</f>
        <v>8.0572378752</v>
      </c>
    </row>
    <row r="5808" customFormat="false" ht="21" hidden="false" customHeight="false" outlineLevel="0" collapsed="false">
      <c r="A5808" s="154" t="n">
        <v>37370</v>
      </c>
      <c r="B5808" s="155" t="s">
        <v>1443</v>
      </c>
      <c r="C5808" s="148" t="str">
        <f aca="false">VLOOKUP($A5808,INSUMOS_AUX!$A$3:$H$813,3,0)</f>
        <v>MAT.</v>
      </c>
      <c r="D5808" s="156" t="s">
        <v>1444</v>
      </c>
      <c r="E5808" s="154" t="n">
        <v>0.464</v>
      </c>
      <c r="F5808" s="149" t="n">
        <f aca="false">IF(C5808="MAT.",VLOOKUP(A5808,INSUMOS_AUX!$A$3:$H$813,6,0),0)</f>
        <v>3.32</v>
      </c>
      <c r="G5808" s="149" t="n">
        <f aca="false">IF(C5808="M.O.",VLOOKUP(A5808,INSUMOS_AUX!A:F,6,0),0)</f>
        <v>0</v>
      </c>
    </row>
    <row r="5809" customFormat="false" ht="21" hidden="false" customHeight="false" outlineLevel="0" collapsed="false">
      <c r="A5809" s="154" t="n">
        <v>43484</v>
      </c>
      <c r="B5809" s="155" t="s">
        <v>1523</v>
      </c>
      <c r="C5809" s="148" t="str">
        <f aca="false">VLOOKUP($A5809,INSUMOS_AUX!$A$3:$H$813,3,0)</f>
        <v>MAT.</v>
      </c>
      <c r="D5809" s="156" t="s">
        <v>1444</v>
      </c>
      <c r="E5809" s="154" t="n">
        <v>0.464</v>
      </c>
      <c r="F5809" s="149" t="n">
        <f aca="false">IF(C5809="MAT.",VLOOKUP(A5809,INSUMOS_AUX!$A$3:$H$813,6,0),0)</f>
        <v>1.26</v>
      </c>
      <c r="G5809" s="149" t="n">
        <f aca="false">IF(C5809="M.O.",VLOOKUP(A5809,INSUMOS_AUX!A:F,6,0),0)</f>
        <v>0</v>
      </c>
    </row>
    <row r="5810" customFormat="false" ht="21" hidden="false" customHeight="false" outlineLevel="0" collapsed="false">
      <c r="A5810" s="154" t="n">
        <v>37372</v>
      </c>
      <c r="B5810" s="155" t="s">
        <v>1446</v>
      </c>
      <c r="C5810" s="148" t="str">
        <f aca="false">VLOOKUP($A5810,INSUMOS_AUX!$A$3:$H$813,3,0)</f>
        <v>MAT.</v>
      </c>
      <c r="D5810" s="156" t="s">
        <v>1444</v>
      </c>
      <c r="E5810" s="154" t="n">
        <v>0.464</v>
      </c>
      <c r="F5810" s="149" t="n">
        <f aca="false">IF(C5810="MAT.",VLOOKUP(A5810,INSUMOS_AUX!$A$3:$H$813,6,0),0)</f>
        <v>1.43</v>
      </c>
      <c r="G5810" s="149" t="n">
        <f aca="false">IF(C5810="M.O.",VLOOKUP(A5810,INSUMOS_AUX!A:F,6,0),0)</f>
        <v>0</v>
      </c>
    </row>
    <row r="5811" customFormat="false" ht="21" hidden="false" customHeight="false" outlineLevel="0" collapsed="false">
      <c r="A5811" s="154" t="n">
        <v>43460</v>
      </c>
      <c r="B5811" s="155" t="s">
        <v>1524</v>
      </c>
      <c r="C5811" s="148" t="str">
        <f aca="false">VLOOKUP($A5811,INSUMOS_AUX!$A$3:$H$813,3,0)</f>
        <v>MAT.</v>
      </c>
      <c r="D5811" s="156" t="s">
        <v>1444</v>
      </c>
      <c r="E5811" s="154" t="n">
        <v>0.464</v>
      </c>
      <c r="F5811" s="149" t="n">
        <f aca="false">IF(C5811="MAT.",VLOOKUP(A5811,INSUMOS_AUX!$A$3:$H$813,6,0),0)</f>
        <v>0.86</v>
      </c>
      <c r="G5811" s="149" t="n">
        <f aca="false">IF(C5811="M.O.",VLOOKUP(A5811,INSUMOS_AUX!A:F,6,0),0)</f>
        <v>0</v>
      </c>
    </row>
    <row r="5812" customFormat="false" ht="21" hidden="false" customHeight="false" outlineLevel="0" collapsed="false">
      <c r="A5812" s="154" t="n">
        <v>37373</v>
      </c>
      <c r="B5812" s="155" t="s">
        <v>1448</v>
      </c>
      <c r="C5812" s="148" t="str">
        <f aca="false">VLOOKUP($A5812,INSUMOS_AUX!$A$3:$H$813,3,0)</f>
        <v>MAT.</v>
      </c>
      <c r="D5812" s="156" t="s">
        <v>1444</v>
      </c>
      <c r="E5812" s="154" t="n">
        <v>0.464</v>
      </c>
      <c r="F5812" s="149" t="n">
        <f aca="false">IF(C5812="MAT.",VLOOKUP(A5812,INSUMOS_AUX!$A$3:$H$813,6,0),0)</f>
        <v>0.08</v>
      </c>
      <c r="G5812" s="149" t="n">
        <f aca="false">IF(C5812="M.O.",VLOOKUP(A5812,INSUMOS_AUX!A:F,6,0),0)</f>
        <v>0</v>
      </c>
    </row>
    <row r="5813" customFormat="false" ht="21" hidden="false" customHeight="false" outlineLevel="0" collapsed="false">
      <c r="A5813" s="154" t="n">
        <v>37371</v>
      </c>
      <c r="B5813" s="155" t="s">
        <v>1449</v>
      </c>
      <c r="C5813" s="148" t="str">
        <f aca="false">VLOOKUP($A5813,INSUMOS_AUX!$A$3:$H$813,3,0)</f>
        <v>MAT.</v>
      </c>
      <c r="D5813" s="156" t="s">
        <v>1444</v>
      </c>
      <c r="E5813" s="154" t="n">
        <v>0.464</v>
      </c>
      <c r="F5813" s="149" t="n">
        <f aca="false">IF(C5813="MAT.",VLOOKUP(A5813,INSUMOS_AUX!$A$3:$H$813,6,0),0)</f>
        <v>0.59</v>
      </c>
      <c r="G5813" s="149" t="n">
        <f aca="false">IF(C5813="M.O.",VLOOKUP(A5813,INSUMOS_AUX!A:F,6,0),0)</f>
        <v>0</v>
      </c>
    </row>
    <row r="5814" customFormat="false" ht="15" hidden="false" customHeight="false" outlineLevel="0" collapsed="false">
      <c r="A5814" s="154" t="s">
        <v>2470</v>
      </c>
      <c r="B5814" s="155" t="s">
        <v>2471</v>
      </c>
      <c r="C5814" s="148" t="str">
        <f aca="false">VLOOKUP($A5814,INSUMOS_AUX!$A$3:$H$813,3,0)</f>
        <v>MAT.</v>
      </c>
      <c r="D5814" s="156" t="s">
        <v>31</v>
      </c>
      <c r="E5814" s="154" t="n">
        <v>1</v>
      </c>
      <c r="F5814" s="149" t="n">
        <f aca="false">IF(C5814="MAT.",VLOOKUP(A5814,INSUMOS_AUX!$A$3:$H$813,6,0),0)</f>
        <v>66.1266666666667</v>
      </c>
      <c r="G5814" s="149" t="n">
        <f aca="false">IF(C5814="M.O.",VLOOKUP(A5814,INSUMOS_AUX!A:F,6,0),0)</f>
        <v>0</v>
      </c>
    </row>
    <row r="5815" customFormat="false" ht="15" hidden="false" customHeight="false" outlineLevel="0" collapsed="false">
      <c r="A5815" s="154" t="n">
        <v>247</v>
      </c>
      <c r="B5815" s="155" t="s">
        <v>1554</v>
      </c>
      <c r="C5815" s="148" t="str">
        <f aca="false">VLOOKUP($A5815,INSUMOS_AUX!$A$3:$H$813,3,0)</f>
        <v>M.O.</v>
      </c>
      <c r="D5815" s="156" t="s">
        <v>1444</v>
      </c>
      <c r="E5815" s="154" t="n">
        <v>0.24065824</v>
      </c>
      <c r="F5815" s="149" t="n">
        <f aca="false">IF(C5815="MAT.",VLOOKUP(A5815,INSUMOS_AUX!$A$3:$H$813,6,0),0)</f>
        <v>0</v>
      </c>
      <c r="G5815" s="149" t="n">
        <f aca="false">IF(C5815="M.O.",VLOOKUP(A5815,INSUMOS_AUX!A:F,6,0),0)</f>
        <v>13.26</v>
      </c>
    </row>
    <row r="5816" customFormat="false" ht="15" hidden="false" customHeight="false" outlineLevel="0" collapsed="false">
      <c r="A5816" s="154" t="n">
        <v>2436</v>
      </c>
      <c r="B5816" s="155" t="s">
        <v>1557</v>
      </c>
      <c r="C5816" s="148" t="str">
        <f aca="false">VLOOKUP($A5816,INSUMOS_AUX!$A$3:$H$813,3,0)</f>
        <v>M.O.</v>
      </c>
      <c r="D5816" s="156" t="s">
        <v>1444</v>
      </c>
      <c r="E5816" s="154" t="n">
        <v>0.24065824</v>
      </c>
      <c r="F5816" s="149" t="n">
        <f aca="false">IF(C5816="MAT.",VLOOKUP(A5816,INSUMOS_AUX!$A$3:$H$813,6,0),0)</f>
        <v>0</v>
      </c>
      <c r="G5816" s="149" t="n">
        <f aca="false">IF(C5816="M.O.",VLOOKUP(A5816,INSUMOS_AUX!A:F,6,0),0)</f>
        <v>20.22</v>
      </c>
    </row>
    <row r="5817" customFormat="false" ht="21" hidden="false" customHeight="false" outlineLevel="0" collapsed="false">
      <c r="A5817" s="150" t="n">
        <v>93653</v>
      </c>
      <c r="B5817" s="151" t="s">
        <v>2472</v>
      </c>
      <c r="C5817" s="152" t="s">
        <v>59</v>
      </c>
      <c r="D5817" s="152" t="s">
        <v>31</v>
      </c>
      <c r="E5817" s="150"/>
      <c r="F5817" s="153" t="n">
        <f aca="false">(SUMPRODUCT($E5818:$E5827,F5818:F5827))*1</f>
        <v>10.020144</v>
      </c>
      <c r="G5817" s="153" t="n">
        <f aca="false">(SUMPRODUCT($E5818:$E5827,G5818:G5827))*1</f>
        <v>1.22247747072</v>
      </c>
    </row>
    <row r="5818" customFormat="false" ht="21" hidden="false" customHeight="false" outlineLevel="0" collapsed="false">
      <c r="A5818" s="154" t="n">
        <v>37370</v>
      </c>
      <c r="B5818" s="155" t="s">
        <v>1443</v>
      </c>
      <c r="C5818" s="148" t="str">
        <f aca="false">VLOOKUP($A5818,INSUMOS_AUX!$A$3:$H$813,3,0)</f>
        <v>MAT.</v>
      </c>
      <c r="D5818" s="156" t="s">
        <v>1444</v>
      </c>
      <c r="E5818" s="154" t="n">
        <v>0.0704</v>
      </c>
      <c r="F5818" s="149" t="n">
        <f aca="false">IF(C5818="MAT.",VLOOKUP(A5818,INSUMOS_AUX!$A$3:$H$813,6,0),0)</f>
        <v>3.32</v>
      </c>
      <c r="G5818" s="149" t="n">
        <f aca="false">IF(C5818="M.O.",VLOOKUP(A5818,INSUMOS_AUX!A:F,6,0),0)</f>
        <v>0</v>
      </c>
    </row>
    <row r="5819" customFormat="false" ht="21" hidden="false" customHeight="false" outlineLevel="0" collapsed="false">
      <c r="A5819" s="154" t="n">
        <v>43484</v>
      </c>
      <c r="B5819" s="155" t="s">
        <v>1523</v>
      </c>
      <c r="C5819" s="148" t="str">
        <f aca="false">VLOOKUP($A5819,INSUMOS_AUX!$A$3:$H$813,3,0)</f>
        <v>MAT.</v>
      </c>
      <c r="D5819" s="156" t="s">
        <v>1444</v>
      </c>
      <c r="E5819" s="154" t="n">
        <v>0.0704</v>
      </c>
      <c r="F5819" s="149" t="n">
        <f aca="false">IF(C5819="MAT.",VLOOKUP(A5819,INSUMOS_AUX!$A$3:$H$813,6,0),0)</f>
        <v>1.26</v>
      </c>
      <c r="G5819" s="149" t="n">
        <f aca="false">IF(C5819="M.O.",VLOOKUP(A5819,INSUMOS_AUX!A:F,6,0),0)</f>
        <v>0</v>
      </c>
    </row>
    <row r="5820" customFormat="false" ht="21" hidden="false" customHeight="false" outlineLevel="0" collapsed="false">
      <c r="A5820" s="154" t="n">
        <v>37372</v>
      </c>
      <c r="B5820" s="155" t="s">
        <v>1446</v>
      </c>
      <c r="C5820" s="148" t="s">
        <v>59</v>
      </c>
      <c r="D5820" s="156" t="s">
        <v>1444</v>
      </c>
      <c r="E5820" s="154" t="n">
        <v>0.0704</v>
      </c>
      <c r="F5820" s="149" t="n">
        <f aca="false">IF(C5820="MAT.",VLOOKUP(A5820,INSUMOS_AUX!$A$3:$H$813,6,0),0)</f>
        <v>0</v>
      </c>
      <c r="G5820" s="149" t="n">
        <f aca="false">IF(C5820="M.O.",VLOOKUP(A5820,INSUMOS_AUX!A:F,6,0),0)</f>
        <v>0</v>
      </c>
    </row>
    <row r="5821" customFormat="false" ht="21" hidden="false" customHeight="false" outlineLevel="0" collapsed="false">
      <c r="A5821" s="154" t="n">
        <v>43460</v>
      </c>
      <c r="B5821" s="155" t="s">
        <v>1524</v>
      </c>
      <c r="C5821" s="148" t="str">
        <f aca="false">VLOOKUP($A5821,INSUMOS_AUX!$A$3:$H$813,3,0)</f>
        <v>MAT.</v>
      </c>
      <c r="D5821" s="156" t="s">
        <v>1444</v>
      </c>
      <c r="E5821" s="154" t="n">
        <v>0.0704</v>
      </c>
      <c r="F5821" s="149" t="n">
        <f aca="false">IF(C5821="MAT.",VLOOKUP(A5821,INSUMOS_AUX!$A$3:$H$813,6,0),0)</f>
        <v>0.86</v>
      </c>
      <c r="G5821" s="149" t="n">
        <f aca="false">IF(C5821="M.O.",VLOOKUP(A5821,INSUMOS_AUX!A:F,6,0),0)</f>
        <v>0</v>
      </c>
    </row>
    <row r="5822" customFormat="false" ht="21" hidden="false" customHeight="false" outlineLevel="0" collapsed="false">
      <c r="A5822" s="154" t="n">
        <v>37373</v>
      </c>
      <c r="B5822" s="155" t="s">
        <v>1448</v>
      </c>
      <c r="C5822" s="148" t="str">
        <f aca="false">VLOOKUP($A5822,INSUMOS_AUX!$A$3:$H$813,3,0)</f>
        <v>MAT.</v>
      </c>
      <c r="D5822" s="156" t="s">
        <v>1444</v>
      </c>
      <c r="E5822" s="154" t="n">
        <v>0.0704</v>
      </c>
      <c r="F5822" s="149" t="n">
        <f aca="false">IF(C5822="MAT.",VLOOKUP(A5822,INSUMOS_AUX!$A$3:$H$813,6,0),0)</f>
        <v>0.08</v>
      </c>
      <c r="G5822" s="149" t="n">
        <f aca="false">IF(C5822="M.O.",VLOOKUP(A5822,INSUMOS_AUX!A:F,6,0),0)</f>
        <v>0</v>
      </c>
    </row>
    <row r="5823" customFormat="false" ht="21" hidden="false" customHeight="false" outlineLevel="0" collapsed="false">
      <c r="A5823" s="154" t="n">
        <v>37371</v>
      </c>
      <c r="B5823" s="155" t="s">
        <v>1449</v>
      </c>
      <c r="C5823" s="148" t="str">
        <f aca="false">VLOOKUP($A5823,INSUMOS_AUX!$A$3:$H$813,3,0)</f>
        <v>MAT.</v>
      </c>
      <c r="D5823" s="156" t="s">
        <v>1444</v>
      </c>
      <c r="E5823" s="154" t="n">
        <v>0.0704</v>
      </c>
      <c r="F5823" s="149" t="n">
        <f aca="false">IF(C5823="MAT.",VLOOKUP(A5823,INSUMOS_AUX!$A$3:$H$813,6,0),0)</f>
        <v>0.59</v>
      </c>
      <c r="G5823" s="149" t="n">
        <f aca="false">IF(C5823="M.O.",VLOOKUP(A5823,INSUMOS_AUX!A:F,6,0),0)</f>
        <v>0</v>
      </c>
    </row>
    <row r="5824" customFormat="false" ht="21" hidden="false" customHeight="false" outlineLevel="0" collapsed="false">
      <c r="A5824" s="154" t="n">
        <v>34653</v>
      </c>
      <c r="B5824" s="155" t="s">
        <v>2473</v>
      </c>
      <c r="C5824" s="148" t="str">
        <f aca="false">VLOOKUP($A5824,INSUMOS_AUX!$A$3:$H$813,3,0)</f>
        <v>MAT.</v>
      </c>
      <c r="D5824" s="156" t="s">
        <v>31</v>
      </c>
      <c r="E5824" s="154" t="n">
        <v>1</v>
      </c>
      <c r="F5824" s="149" t="n">
        <f aca="false">IF(C5824="MAT.",VLOOKUP(A5824,INSUMOS_AUX!$A$3:$H$813,6,0),0)</f>
        <v>8.54</v>
      </c>
      <c r="G5824" s="149" t="n">
        <f aca="false">IF(C5824="M.O.",VLOOKUP(A5824,INSUMOS_AUX!A:F,6,0),0)</f>
        <v>0</v>
      </c>
    </row>
    <row r="5825" customFormat="false" ht="21" hidden="false" customHeight="false" outlineLevel="0" collapsed="false">
      <c r="A5825" s="154" t="n">
        <v>1570</v>
      </c>
      <c r="B5825" s="155" t="s">
        <v>2474</v>
      </c>
      <c r="C5825" s="148" t="str">
        <f aca="false">VLOOKUP($A5825,INSUMOS_AUX!$A$3:$H$813,3,0)</f>
        <v>MAT.</v>
      </c>
      <c r="D5825" s="156" t="s">
        <v>31</v>
      </c>
      <c r="E5825" s="154" t="n">
        <v>1</v>
      </c>
      <c r="F5825" s="149" t="n">
        <f aca="false">IF(C5825="MAT.",VLOOKUP(A5825,INSUMOS_AUX!$A$3:$H$813,6,0),0)</f>
        <v>1.05</v>
      </c>
      <c r="G5825" s="149" t="n">
        <f aca="false">IF(C5825="M.O.",VLOOKUP(A5825,INSUMOS_AUX!A:F,6,0),0)</f>
        <v>0</v>
      </c>
    </row>
    <row r="5826" customFormat="false" ht="15" hidden="false" customHeight="false" outlineLevel="0" collapsed="false">
      <c r="A5826" s="154" t="n">
        <v>247</v>
      </c>
      <c r="B5826" s="155" t="s">
        <v>1554</v>
      </c>
      <c r="C5826" s="148" t="str">
        <f aca="false">VLOOKUP($A5826,INSUMOS_AUX!$A$3:$H$813,3,0)</f>
        <v>M.O.</v>
      </c>
      <c r="D5826" s="156" t="s">
        <v>1444</v>
      </c>
      <c r="E5826" s="154" t="n">
        <v>0.036513664</v>
      </c>
      <c r="F5826" s="149" t="n">
        <f aca="false">IF(C5826="MAT.",VLOOKUP(A5826,INSUMOS_AUX!$A$3:$H$813,6,0),0)</f>
        <v>0</v>
      </c>
      <c r="G5826" s="149" t="n">
        <f aca="false">IF(C5826="M.O.",VLOOKUP(A5826,INSUMOS_AUX!A:F,6,0),0)</f>
        <v>13.26</v>
      </c>
    </row>
    <row r="5827" customFormat="false" ht="15" hidden="false" customHeight="false" outlineLevel="0" collapsed="false">
      <c r="A5827" s="154" t="n">
        <v>2436</v>
      </c>
      <c r="B5827" s="155" t="s">
        <v>1557</v>
      </c>
      <c r="C5827" s="148" t="str">
        <f aca="false">VLOOKUP($A5827,INSUMOS_AUX!$A$3:$H$813,3,0)</f>
        <v>M.O.</v>
      </c>
      <c r="D5827" s="156" t="s">
        <v>1444</v>
      </c>
      <c r="E5827" s="154" t="n">
        <v>0.036513664</v>
      </c>
      <c r="F5827" s="149" t="n">
        <f aca="false">IF(C5827="MAT.",VLOOKUP(A5827,INSUMOS_AUX!$A$3:$H$813,6,0),0)</f>
        <v>0</v>
      </c>
      <c r="G5827" s="149" t="n">
        <f aca="false">IF(C5827="M.O.",VLOOKUP(A5827,INSUMOS_AUX!A:F,6,0),0)</f>
        <v>20.22</v>
      </c>
    </row>
    <row r="5828" customFormat="false" ht="21" hidden="false" customHeight="false" outlineLevel="0" collapsed="false">
      <c r="A5828" s="150" t="n">
        <v>93654</v>
      </c>
      <c r="B5828" s="151" t="s">
        <v>2475</v>
      </c>
      <c r="C5828" s="152" t="s">
        <v>59</v>
      </c>
      <c r="D5828" s="152" t="s">
        <v>31</v>
      </c>
      <c r="E5828" s="150"/>
      <c r="F5828" s="153" t="n">
        <f aca="false">(SUMPRODUCT($E5829:$E5838,F5829:F5838))*1</f>
        <v>10.307808</v>
      </c>
      <c r="G5828" s="153" t="n">
        <f aca="false">(SUMPRODUCT($E5829:$E5838,G5829:G5838))*1</f>
        <v>0.65473148832</v>
      </c>
    </row>
    <row r="5829" customFormat="false" ht="21" hidden="false" customHeight="false" outlineLevel="0" collapsed="false">
      <c r="A5829" s="154" t="n">
        <v>37370</v>
      </c>
      <c r="B5829" s="155" t="s">
        <v>1443</v>
      </c>
      <c r="C5829" s="148" t="str">
        <f aca="false">VLOOKUP($A5829,INSUMOS_AUX!$A$3:$H$813,3,0)</f>
        <v>MAT.</v>
      </c>
      <c r="D5829" s="156" t="s">
        <v>1444</v>
      </c>
      <c r="E5829" s="154" t="n">
        <v>0.0952</v>
      </c>
      <c r="F5829" s="149" t="n">
        <f aca="false">IF(C5829="MAT.",VLOOKUP(A5829,INSUMOS_AUX!$A$3:$H$813,6,0),0)</f>
        <v>3.32</v>
      </c>
      <c r="G5829" s="149" t="n">
        <f aca="false">IF(C5829="M.O.",VLOOKUP(A5829,INSUMOS_AUX!A:F,6,0),0)</f>
        <v>0</v>
      </c>
    </row>
    <row r="5830" customFormat="false" ht="21" hidden="false" customHeight="false" outlineLevel="0" collapsed="false">
      <c r="A5830" s="154" t="n">
        <v>43484</v>
      </c>
      <c r="B5830" s="155" t="s">
        <v>1523</v>
      </c>
      <c r="C5830" s="148" t="str">
        <f aca="false">VLOOKUP($A5830,INSUMOS_AUX!$A$3:$H$813,3,0)</f>
        <v>MAT.</v>
      </c>
      <c r="D5830" s="156" t="s">
        <v>1444</v>
      </c>
      <c r="E5830" s="154" t="n">
        <v>0.0952</v>
      </c>
      <c r="F5830" s="149" t="n">
        <f aca="false">IF(C5830="MAT.",VLOOKUP(A5830,INSUMOS_AUX!$A$3:$H$813,6,0),0)</f>
        <v>1.26</v>
      </c>
      <c r="G5830" s="149" t="n">
        <f aca="false">IF(C5830="M.O.",VLOOKUP(A5830,INSUMOS_AUX!A:F,6,0),0)</f>
        <v>0</v>
      </c>
    </row>
    <row r="5831" customFormat="false" ht="21" hidden="false" customHeight="false" outlineLevel="0" collapsed="false">
      <c r="A5831" s="154" t="n">
        <v>37372</v>
      </c>
      <c r="B5831" s="155" t="s">
        <v>1446</v>
      </c>
      <c r="C5831" s="148" t="str">
        <f aca="false">VLOOKUP($A5831,INSUMOS_AUX!$A$3:$H$813,3,0)</f>
        <v>MAT.</v>
      </c>
      <c r="D5831" s="156" t="s">
        <v>1444</v>
      </c>
      <c r="E5831" s="154" t="n">
        <v>0.0952</v>
      </c>
      <c r="F5831" s="149" t="n">
        <f aca="false">IF(C5831="MAT.",VLOOKUP(A5831,INSUMOS_AUX!$A$3:$H$813,6,0),0)</f>
        <v>1.43</v>
      </c>
      <c r="G5831" s="149" t="n">
        <f aca="false">IF(C5831="M.O.",VLOOKUP(A5831,INSUMOS_AUX!A:F,6,0),0)</f>
        <v>0</v>
      </c>
    </row>
    <row r="5832" customFormat="false" ht="21" hidden="false" customHeight="false" outlineLevel="0" collapsed="false">
      <c r="A5832" s="154" t="n">
        <v>43460</v>
      </c>
      <c r="B5832" s="155" t="s">
        <v>1524</v>
      </c>
      <c r="C5832" s="148" t="str">
        <f aca="false">VLOOKUP($A5832,INSUMOS_AUX!$A$3:$H$813,3,0)</f>
        <v>MAT.</v>
      </c>
      <c r="D5832" s="156" t="s">
        <v>1444</v>
      </c>
      <c r="E5832" s="154" t="n">
        <v>0.0952</v>
      </c>
      <c r="F5832" s="149" t="n">
        <f aca="false">IF(C5832="MAT.",VLOOKUP(A5832,INSUMOS_AUX!$A$3:$H$813,6,0),0)</f>
        <v>0.86</v>
      </c>
      <c r="G5832" s="149" t="n">
        <f aca="false">IF(C5832="M.O.",VLOOKUP(A5832,INSUMOS_AUX!A:F,6,0),0)</f>
        <v>0</v>
      </c>
    </row>
    <row r="5833" customFormat="false" ht="21" hidden="false" customHeight="false" outlineLevel="0" collapsed="false">
      <c r="A5833" s="154" t="n">
        <v>37373</v>
      </c>
      <c r="B5833" s="155" t="s">
        <v>1448</v>
      </c>
      <c r="C5833" s="148" t="str">
        <f aca="false">VLOOKUP($A5833,INSUMOS_AUX!$A$3:$H$813,3,0)</f>
        <v>MAT.</v>
      </c>
      <c r="D5833" s="156" t="s">
        <v>1444</v>
      </c>
      <c r="E5833" s="154" t="n">
        <v>0.0952</v>
      </c>
      <c r="F5833" s="149" t="n">
        <f aca="false">IF(C5833="MAT.",VLOOKUP(A5833,INSUMOS_AUX!$A$3:$H$813,6,0),0)</f>
        <v>0.08</v>
      </c>
      <c r="G5833" s="149" t="n">
        <f aca="false">IF(C5833="M.O.",VLOOKUP(A5833,INSUMOS_AUX!A:F,6,0),0)</f>
        <v>0</v>
      </c>
    </row>
    <row r="5834" customFormat="false" ht="21" hidden="false" customHeight="false" outlineLevel="0" collapsed="false">
      <c r="A5834" s="154" t="n">
        <v>37371</v>
      </c>
      <c r="B5834" s="155" t="s">
        <v>1449</v>
      </c>
      <c r="C5834" s="148" t="str">
        <f aca="false">VLOOKUP($A5834,INSUMOS_AUX!$A$3:$H$813,3,0)</f>
        <v>MAT.</v>
      </c>
      <c r="D5834" s="156" t="s">
        <v>1444</v>
      </c>
      <c r="E5834" s="154" t="n">
        <v>0.0952</v>
      </c>
      <c r="F5834" s="149" t="n">
        <f aca="false">IF(C5834="MAT.",VLOOKUP(A5834,INSUMOS_AUX!$A$3:$H$813,6,0),0)</f>
        <v>0.59</v>
      </c>
      <c r="G5834" s="149" t="n">
        <f aca="false">IF(C5834="M.O.",VLOOKUP(A5834,INSUMOS_AUX!A:F,6,0),0)</f>
        <v>0</v>
      </c>
    </row>
    <row r="5835" customFormat="false" ht="21" hidden="false" customHeight="false" outlineLevel="0" collapsed="false">
      <c r="A5835" s="154" t="n">
        <v>34653</v>
      </c>
      <c r="B5835" s="155" t="s">
        <v>2473</v>
      </c>
      <c r="C5835" s="148" t="str">
        <f aca="false">VLOOKUP($A5835,INSUMOS_AUX!$A$3:$H$813,3,0)</f>
        <v>MAT.</v>
      </c>
      <c r="D5835" s="156" t="s">
        <v>31</v>
      </c>
      <c r="E5835" s="154" t="n">
        <v>1</v>
      </c>
      <c r="F5835" s="149" t="n">
        <f aca="false">IF(C5835="MAT.",VLOOKUP(A5835,INSUMOS_AUX!$A$3:$H$813,6,0),0)</f>
        <v>8.54</v>
      </c>
      <c r="G5835" s="149" t="n">
        <f aca="false">IF(C5835="M.O.",VLOOKUP(A5835,INSUMOS_AUX!A:F,6,0),0)</f>
        <v>0</v>
      </c>
    </row>
    <row r="5836" customFormat="false" ht="21" hidden="false" customHeight="false" outlineLevel="0" collapsed="false">
      <c r="A5836" s="154" t="n">
        <v>1570</v>
      </c>
      <c r="B5836" s="155" t="s">
        <v>2474</v>
      </c>
      <c r="C5836" s="148" t="str">
        <f aca="false">VLOOKUP($A5836,INSUMOS_AUX!$A$3:$H$813,3,0)</f>
        <v>MAT.</v>
      </c>
      <c r="D5836" s="156" t="s">
        <v>31</v>
      </c>
      <c r="E5836" s="154" t="n">
        <v>1</v>
      </c>
      <c r="F5836" s="149" t="n">
        <f aca="false">IF(C5836="MAT.",VLOOKUP(A5836,INSUMOS_AUX!$A$3:$H$813,6,0),0)</f>
        <v>1.05</v>
      </c>
      <c r="G5836" s="149" t="n">
        <f aca="false">IF(C5836="M.O.",VLOOKUP(A5836,INSUMOS_AUX!A:F,6,0),0)</f>
        <v>0</v>
      </c>
    </row>
    <row r="5837" customFormat="false" ht="15" hidden="false" customHeight="false" outlineLevel="0" collapsed="false">
      <c r="A5837" s="154" t="n">
        <v>247</v>
      </c>
      <c r="B5837" s="155" t="s">
        <v>1554</v>
      </c>
      <c r="C5837" s="148" t="str">
        <f aca="false">VLOOKUP($A5837,INSUMOS_AUX!$A$3:$H$813,3,0)</f>
        <v>M.O.</v>
      </c>
      <c r="D5837" s="156" t="s">
        <v>1444</v>
      </c>
      <c r="E5837" s="154" t="n">
        <v>0.049376432</v>
      </c>
      <c r="F5837" s="149" t="n">
        <f aca="false">IF(C5837="MAT.",VLOOKUP(A5837,INSUMOS_AUX!$A$3:$H$813,6,0),0)</f>
        <v>0</v>
      </c>
      <c r="G5837" s="149" t="n">
        <f aca="false">IF(C5837="M.O.",VLOOKUP(A5837,INSUMOS_AUX!A:F,6,0),0)</f>
        <v>13.26</v>
      </c>
    </row>
    <row r="5838" customFormat="false" ht="15" hidden="false" customHeight="false" outlineLevel="0" collapsed="false">
      <c r="A5838" s="154" t="n">
        <v>2436</v>
      </c>
      <c r="B5838" s="155" t="s">
        <v>1557</v>
      </c>
      <c r="C5838" s="148" t="s">
        <v>59</v>
      </c>
      <c r="D5838" s="156" t="s">
        <v>1444</v>
      </c>
      <c r="E5838" s="154" t="n">
        <v>0.049376432</v>
      </c>
      <c r="F5838" s="149" t="n">
        <f aca="false">IF(C5838="MAT.",VLOOKUP(A5838,INSUMOS_AUX!$A$3:$H$813,6,0),0)</f>
        <v>0</v>
      </c>
      <c r="G5838" s="149" t="n">
        <f aca="false">IF(C5838="M.O.",VLOOKUP(A5838,INSUMOS_AUX!A:F,6,0),0)</f>
        <v>0</v>
      </c>
    </row>
    <row r="5839" customFormat="false" ht="21" hidden="false" customHeight="false" outlineLevel="0" collapsed="false">
      <c r="A5839" s="150" t="n">
        <v>93655</v>
      </c>
      <c r="B5839" s="151" t="s">
        <v>2476</v>
      </c>
      <c r="C5839" s="152" t="s">
        <v>59</v>
      </c>
      <c r="D5839" s="152" t="s">
        <v>31</v>
      </c>
      <c r="E5839" s="150"/>
      <c r="F5839" s="153" t="n">
        <f aca="false">(SUMPRODUCT($E5840:$E5849,F5840:F5849))*1</f>
        <v>10.899804</v>
      </c>
      <c r="G5839" s="153" t="n">
        <f aca="false">(SUMPRODUCT($E5840:$E5849,G5840:G5849))*1</f>
        <v>2.30256409968</v>
      </c>
    </row>
    <row r="5840" customFormat="false" ht="21" hidden="false" customHeight="false" outlineLevel="0" collapsed="false">
      <c r="A5840" s="154" t="n">
        <v>37370</v>
      </c>
      <c r="B5840" s="155" t="s">
        <v>1443</v>
      </c>
      <c r="C5840" s="148" t="str">
        <f aca="false">VLOOKUP($A5840,INSUMOS_AUX!$A$3:$H$813,3,0)</f>
        <v>MAT.</v>
      </c>
      <c r="D5840" s="156" t="s">
        <v>1444</v>
      </c>
      <c r="E5840" s="154" t="n">
        <v>0.1326</v>
      </c>
      <c r="F5840" s="149" t="n">
        <f aca="false">IF(C5840="MAT.",VLOOKUP(A5840,INSUMOS_AUX!$A$3:$H$813,6,0),0)</f>
        <v>3.32</v>
      </c>
      <c r="G5840" s="149" t="n">
        <f aca="false">IF(C5840="M.O.",VLOOKUP(A5840,INSUMOS_AUX!A:F,6,0),0)</f>
        <v>0</v>
      </c>
    </row>
    <row r="5841" customFormat="false" ht="21" hidden="false" customHeight="false" outlineLevel="0" collapsed="false">
      <c r="A5841" s="154" t="n">
        <v>43484</v>
      </c>
      <c r="B5841" s="155" t="s">
        <v>1523</v>
      </c>
      <c r="C5841" s="148" t="str">
        <f aca="false">VLOOKUP($A5841,INSUMOS_AUX!$A$3:$H$813,3,0)</f>
        <v>MAT.</v>
      </c>
      <c r="D5841" s="156" t="s">
        <v>1444</v>
      </c>
      <c r="E5841" s="154" t="n">
        <v>0.1326</v>
      </c>
      <c r="F5841" s="149" t="n">
        <f aca="false">IF(C5841="MAT.",VLOOKUP(A5841,INSUMOS_AUX!$A$3:$H$813,6,0),0)</f>
        <v>1.26</v>
      </c>
      <c r="G5841" s="149" t="n">
        <f aca="false">IF(C5841="M.O.",VLOOKUP(A5841,INSUMOS_AUX!A:F,6,0),0)</f>
        <v>0</v>
      </c>
    </row>
    <row r="5842" customFormat="false" ht="21" hidden="false" customHeight="false" outlineLevel="0" collapsed="false">
      <c r="A5842" s="154" t="n">
        <v>37372</v>
      </c>
      <c r="B5842" s="155" t="s">
        <v>1446</v>
      </c>
      <c r="C5842" s="148" t="str">
        <f aca="false">VLOOKUP($A5842,INSUMOS_AUX!$A$3:$H$813,3,0)</f>
        <v>MAT.</v>
      </c>
      <c r="D5842" s="156" t="s">
        <v>1444</v>
      </c>
      <c r="E5842" s="154" t="n">
        <v>0.1326</v>
      </c>
      <c r="F5842" s="149" t="n">
        <f aca="false">IF(C5842="MAT.",VLOOKUP(A5842,INSUMOS_AUX!$A$3:$H$813,6,0),0)</f>
        <v>1.43</v>
      </c>
      <c r="G5842" s="149" t="n">
        <f aca="false">IF(C5842="M.O.",VLOOKUP(A5842,INSUMOS_AUX!A:F,6,0),0)</f>
        <v>0</v>
      </c>
    </row>
    <row r="5843" customFormat="false" ht="21" hidden="false" customHeight="false" outlineLevel="0" collapsed="false">
      <c r="A5843" s="154" t="n">
        <v>43460</v>
      </c>
      <c r="B5843" s="155" t="s">
        <v>1524</v>
      </c>
      <c r="C5843" s="148" t="str">
        <f aca="false">VLOOKUP($A5843,INSUMOS_AUX!$A$3:$H$813,3,0)</f>
        <v>MAT.</v>
      </c>
      <c r="D5843" s="156" t="s">
        <v>1444</v>
      </c>
      <c r="E5843" s="154" t="n">
        <v>0.1326</v>
      </c>
      <c r="F5843" s="149" t="n">
        <f aca="false">IF(C5843="MAT.",VLOOKUP(A5843,INSUMOS_AUX!$A$3:$H$813,6,0),0)</f>
        <v>0.86</v>
      </c>
      <c r="G5843" s="149" t="n">
        <f aca="false">IF(C5843="M.O.",VLOOKUP(A5843,INSUMOS_AUX!A:F,6,0),0)</f>
        <v>0</v>
      </c>
    </row>
    <row r="5844" customFormat="false" ht="21" hidden="false" customHeight="false" outlineLevel="0" collapsed="false">
      <c r="A5844" s="154" t="n">
        <v>37373</v>
      </c>
      <c r="B5844" s="155" t="s">
        <v>1448</v>
      </c>
      <c r="C5844" s="148" t="str">
        <f aca="false">VLOOKUP($A5844,INSUMOS_AUX!$A$3:$H$813,3,0)</f>
        <v>MAT.</v>
      </c>
      <c r="D5844" s="156" t="s">
        <v>1444</v>
      </c>
      <c r="E5844" s="154" t="n">
        <v>0.1326</v>
      </c>
      <c r="F5844" s="149" t="n">
        <f aca="false">IF(C5844="MAT.",VLOOKUP(A5844,INSUMOS_AUX!$A$3:$H$813,6,0),0)</f>
        <v>0.08</v>
      </c>
      <c r="G5844" s="149" t="n">
        <f aca="false">IF(C5844="M.O.",VLOOKUP(A5844,INSUMOS_AUX!A:F,6,0),0)</f>
        <v>0</v>
      </c>
    </row>
    <row r="5845" customFormat="false" ht="21" hidden="false" customHeight="false" outlineLevel="0" collapsed="false">
      <c r="A5845" s="154" t="n">
        <v>37371</v>
      </c>
      <c r="B5845" s="155" t="s">
        <v>1449</v>
      </c>
      <c r="C5845" s="148" t="str">
        <f aca="false">VLOOKUP($A5845,INSUMOS_AUX!$A$3:$H$813,3,0)</f>
        <v>MAT.</v>
      </c>
      <c r="D5845" s="156" t="s">
        <v>1444</v>
      </c>
      <c r="E5845" s="154" t="n">
        <v>0.1326</v>
      </c>
      <c r="F5845" s="149" t="n">
        <f aca="false">IF(C5845="MAT.",VLOOKUP(A5845,INSUMOS_AUX!$A$3:$H$813,6,0),0)</f>
        <v>0.59</v>
      </c>
      <c r="G5845" s="149" t="n">
        <f aca="false">IF(C5845="M.O.",VLOOKUP(A5845,INSUMOS_AUX!A:F,6,0),0)</f>
        <v>0</v>
      </c>
    </row>
    <row r="5846" customFormat="false" ht="21" hidden="false" customHeight="false" outlineLevel="0" collapsed="false">
      <c r="A5846" s="154" t="n">
        <v>34653</v>
      </c>
      <c r="B5846" s="155" t="s">
        <v>2473</v>
      </c>
      <c r="C5846" s="148" t="str">
        <f aca="false">VLOOKUP($A5846,INSUMOS_AUX!$A$3:$H$813,3,0)</f>
        <v>MAT.</v>
      </c>
      <c r="D5846" s="156" t="s">
        <v>31</v>
      </c>
      <c r="E5846" s="154" t="n">
        <v>1</v>
      </c>
      <c r="F5846" s="149" t="n">
        <f aca="false">IF(C5846="MAT.",VLOOKUP(A5846,INSUMOS_AUX!$A$3:$H$813,6,0),0)</f>
        <v>8.54</v>
      </c>
      <c r="G5846" s="149" t="n">
        <f aca="false">IF(C5846="M.O.",VLOOKUP(A5846,INSUMOS_AUX!A:F,6,0),0)</f>
        <v>0</v>
      </c>
    </row>
    <row r="5847" customFormat="false" ht="21" hidden="false" customHeight="false" outlineLevel="0" collapsed="false">
      <c r="A5847" s="154" t="n">
        <v>1571</v>
      </c>
      <c r="B5847" s="155" t="s">
        <v>2477</v>
      </c>
      <c r="C5847" s="148" t="str">
        <f aca="false">VLOOKUP($A5847,INSUMOS_AUX!$A$3:$H$813,3,0)</f>
        <v>MAT.</v>
      </c>
      <c r="D5847" s="156" t="s">
        <v>31</v>
      </c>
      <c r="E5847" s="154" t="n">
        <v>1</v>
      </c>
      <c r="F5847" s="149" t="n">
        <f aca="false">IF(C5847="MAT.",VLOOKUP(A5847,INSUMOS_AUX!$A$3:$H$813,6,0),0)</f>
        <v>1.36</v>
      </c>
      <c r="G5847" s="149" t="n">
        <f aca="false">IF(C5847="M.O.",VLOOKUP(A5847,INSUMOS_AUX!A:F,6,0),0)</f>
        <v>0</v>
      </c>
    </row>
    <row r="5848" customFormat="false" ht="15" hidden="false" customHeight="false" outlineLevel="0" collapsed="false">
      <c r="A5848" s="154" t="n">
        <v>247</v>
      </c>
      <c r="B5848" s="155" t="s">
        <v>1554</v>
      </c>
      <c r="C5848" s="148" t="str">
        <f aca="false">VLOOKUP($A5848,INSUMOS_AUX!$A$3:$H$813,3,0)</f>
        <v>M.O.</v>
      </c>
      <c r="D5848" s="156" t="s">
        <v>1444</v>
      </c>
      <c r="E5848" s="154" t="n">
        <v>0.068774316</v>
      </c>
      <c r="F5848" s="149" t="n">
        <f aca="false">IF(C5848="MAT.",VLOOKUP(A5848,INSUMOS_AUX!$A$3:$H$813,6,0),0)</f>
        <v>0</v>
      </c>
      <c r="G5848" s="149" t="n">
        <f aca="false">IF(C5848="M.O.",VLOOKUP(A5848,INSUMOS_AUX!A:F,6,0),0)</f>
        <v>13.26</v>
      </c>
    </row>
    <row r="5849" customFormat="false" ht="15" hidden="false" customHeight="false" outlineLevel="0" collapsed="false">
      <c r="A5849" s="154" t="n">
        <v>2436</v>
      </c>
      <c r="B5849" s="155" t="s">
        <v>1557</v>
      </c>
      <c r="C5849" s="148" t="str">
        <f aca="false">VLOOKUP($A5849,INSUMOS_AUX!$A$3:$H$813,3,0)</f>
        <v>M.O.</v>
      </c>
      <c r="D5849" s="156" t="s">
        <v>1444</v>
      </c>
      <c r="E5849" s="154" t="n">
        <v>0.068774316</v>
      </c>
      <c r="F5849" s="149" t="n">
        <f aca="false">IF(C5849="MAT.",VLOOKUP(A5849,INSUMOS_AUX!$A$3:$H$813,6,0),0)</f>
        <v>0</v>
      </c>
      <c r="G5849" s="149" t="n">
        <f aca="false">IF(C5849="M.O.",VLOOKUP(A5849,INSUMOS_AUX!A:F,6,0),0)</f>
        <v>20.22</v>
      </c>
    </row>
    <row r="5850" customFormat="false" ht="21" hidden="false" customHeight="false" outlineLevel="0" collapsed="false">
      <c r="A5850" s="150" t="n">
        <v>93667</v>
      </c>
      <c r="B5850" s="151" t="s">
        <v>2478</v>
      </c>
      <c r="C5850" s="152" t="s">
        <v>59</v>
      </c>
      <c r="D5850" s="152" t="s">
        <v>31</v>
      </c>
      <c r="E5850" s="150"/>
      <c r="F5850" s="153" t="n">
        <f aca="false">(SUMPRODUCT($E5851:$E5860,F5851:F5860))*1</f>
        <v>64.58645</v>
      </c>
      <c r="G5850" s="153" t="n">
        <f aca="false">(SUMPRODUCT($E5851:$E5860,G5851:G5860))*1</f>
        <v>3.6639594648</v>
      </c>
    </row>
    <row r="5851" customFormat="false" ht="21" hidden="false" customHeight="false" outlineLevel="0" collapsed="false">
      <c r="A5851" s="154" t="n">
        <v>37370</v>
      </c>
      <c r="B5851" s="155" t="s">
        <v>1443</v>
      </c>
      <c r="C5851" s="148" t="str">
        <f aca="false">VLOOKUP($A5851,INSUMOS_AUX!$A$3:$H$813,3,0)</f>
        <v>MAT.</v>
      </c>
      <c r="D5851" s="156" t="s">
        <v>1444</v>
      </c>
      <c r="E5851" s="154" t="n">
        <v>0.211</v>
      </c>
      <c r="F5851" s="149" t="n">
        <f aca="false">IF(C5851="MAT.",VLOOKUP(A5851,INSUMOS_AUX!$A$3:$H$813,6,0),0)</f>
        <v>3.32</v>
      </c>
      <c r="G5851" s="149" t="n">
        <f aca="false">IF(C5851="M.O.",VLOOKUP(A5851,INSUMOS_AUX!A:F,6,0),0)</f>
        <v>0</v>
      </c>
    </row>
    <row r="5852" customFormat="false" ht="21" hidden="false" customHeight="false" outlineLevel="0" collapsed="false">
      <c r="A5852" s="154" t="n">
        <v>43484</v>
      </c>
      <c r="B5852" s="155" t="s">
        <v>1523</v>
      </c>
      <c r="C5852" s="148" t="str">
        <f aca="false">VLOOKUP($A5852,INSUMOS_AUX!$A$3:$H$813,3,0)</f>
        <v>MAT.</v>
      </c>
      <c r="D5852" s="156" t="s">
        <v>1444</v>
      </c>
      <c r="E5852" s="154" t="n">
        <v>0.211</v>
      </c>
      <c r="F5852" s="149" t="n">
        <f aca="false">IF(C5852="MAT.",VLOOKUP(A5852,INSUMOS_AUX!$A$3:$H$813,6,0),0)</f>
        <v>1.26</v>
      </c>
      <c r="G5852" s="149" t="n">
        <f aca="false">IF(C5852="M.O.",VLOOKUP(A5852,INSUMOS_AUX!A:F,6,0),0)</f>
        <v>0</v>
      </c>
    </row>
    <row r="5853" customFormat="false" ht="21" hidden="false" customHeight="false" outlineLevel="0" collapsed="false">
      <c r="A5853" s="154" t="n">
        <v>37372</v>
      </c>
      <c r="B5853" s="155" t="s">
        <v>1446</v>
      </c>
      <c r="C5853" s="148" t="str">
        <f aca="false">VLOOKUP($A5853,INSUMOS_AUX!$A$3:$H$813,3,0)</f>
        <v>MAT.</v>
      </c>
      <c r="D5853" s="156" t="s">
        <v>1444</v>
      </c>
      <c r="E5853" s="154" t="n">
        <v>0.211</v>
      </c>
      <c r="F5853" s="149" t="n">
        <f aca="false">IF(C5853="MAT.",VLOOKUP(A5853,INSUMOS_AUX!$A$3:$H$813,6,0),0)</f>
        <v>1.43</v>
      </c>
      <c r="G5853" s="149" t="n">
        <f aca="false">IF(C5853="M.O.",VLOOKUP(A5853,INSUMOS_AUX!A:F,6,0),0)</f>
        <v>0</v>
      </c>
    </row>
    <row r="5854" customFormat="false" ht="21" hidden="false" customHeight="false" outlineLevel="0" collapsed="false">
      <c r="A5854" s="154" t="n">
        <v>43460</v>
      </c>
      <c r="B5854" s="155" t="s">
        <v>1524</v>
      </c>
      <c r="C5854" s="148" t="str">
        <f aca="false">VLOOKUP($A5854,INSUMOS_AUX!$A$3:$H$813,3,0)</f>
        <v>MAT.</v>
      </c>
      <c r="D5854" s="156" t="s">
        <v>1444</v>
      </c>
      <c r="E5854" s="154" t="n">
        <v>0.211</v>
      </c>
      <c r="F5854" s="149" t="n">
        <f aca="false">IF(C5854="MAT.",VLOOKUP(A5854,INSUMOS_AUX!$A$3:$H$813,6,0),0)</f>
        <v>0.86</v>
      </c>
      <c r="G5854" s="149" t="n">
        <f aca="false">IF(C5854="M.O.",VLOOKUP(A5854,INSUMOS_AUX!A:F,6,0),0)</f>
        <v>0</v>
      </c>
    </row>
    <row r="5855" customFormat="false" ht="21" hidden="false" customHeight="false" outlineLevel="0" collapsed="false">
      <c r="A5855" s="154" t="n">
        <v>37373</v>
      </c>
      <c r="B5855" s="155" t="s">
        <v>1448</v>
      </c>
      <c r="C5855" s="148" t="str">
        <f aca="false">VLOOKUP($A5855,INSUMOS_AUX!$A$3:$H$813,3,0)</f>
        <v>MAT.</v>
      </c>
      <c r="D5855" s="156" t="s">
        <v>1444</v>
      </c>
      <c r="E5855" s="154" t="n">
        <v>0.211</v>
      </c>
      <c r="F5855" s="149" t="n">
        <f aca="false">IF(C5855="MAT.",VLOOKUP(A5855,INSUMOS_AUX!$A$3:$H$813,6,0),0)</f>
        <v>0.08</v>
      </c>
      <c r="G5855" s="149" t="n">
        <f aca="false">IF(C5855="M.O.",VLOOKUP(A5855,INSUMOS_AUX!A:F,6,0),0)</f>
        <v>0</v>
      </c>
    </row>
    <row r="5856" customFormat="false" ht="21" hidden="false" customHeight="false" outlineLevel="0" collapsed="false">
      <c r="A5856" s="154" t="n">
        <v>37371</v>
      </c>
      <c r="B5856" s="155" t="s">
        <v>1449</v>
      </c>
      <c r="C5856" s="148" t="s">
        <v>59</v>
      </c>
      <c r="D5856" s="156" t="s">
        <v>1444</v>
      </c>
      <c r="E5856" s="154" t="n">
        <v>0.211</v>
      </c>
      <c r="F5856" s="149" t="n">
        <f aca="false">IF(C5856="MAT.",VLOOKUP(A5856,INSUMOS_AUX!$A$3:$H$813,6,0),0)</f>
        <v>0</v>
      </c>
      <c r="G5856" s="149" t="n">
        <f aca="false">IF(C5856="M.O.",VLOOKUP(A5856,INSUMOS_AUX!A:F,6,0),0)</f>
        <v>0</v>
      </c>
    </row>
    <row r="5857" customFormat="false" ht="21" hidden="false" customHeight="false" outlineLevel="0" collapsed="false">
      <c r="A5857" s="154" t="n">
        <v>34709</v>
      </c>
      <c r="B5857" s="155" t="s">
        <v>2479</v>
      </c>
      <c r="C5857" s="148" t="str">
        <f aca="false">VLOOKUP($A5857,INSUMOS_AUX!$A$3:$H$813,3,0)</f>
        <v>MAT.</v>
      </c>
      <c r="D5857" s="156" t="s">
        <v>31</v>
      </c>
      <c r="E5857" s="154" t="n">
        <v>1</v>
      </c>
      <c r="F5857" s="149" t="n">
        <f aca="false">IF(C5857="MAT.",VLOOKUP(A5857,INSUMOS_AUX!$A$3:$H$813,6,0),0)</f>
        <v>59.97</v>
      </c>
      <c r="G5857" s="149" t="n">
        <f aca="false">IF(C5857="M.O.",VLOOKUP(A5857,INSUMOS_AUX!A:F,6,0),0)</f>
        <v>0</v>
      </c>
    </row>
    <row r="5858" customFormat="false" ht="21" hidden="false" customHeight="false" outlineLevel="0" collapsed="false">
      <c r="A5858" s="154" t="n">
        <v>1570</v>
      </c>
      <c r="B5858" s="155" t="s">
        <v>2474</v>
      </c>
      <c r="C5858" s="148" t="str">
        <f aca="false">VLOOKUP($A5858,INSUMOS_AUX!$A$3:$H$813,3,0)</f>
        <v>MAT.</v>
      </c>
      <c r="D5858" s="156" t="s">
        <v>31</v>
      </c>
      <c r="E5858" s="154" t="n">
        <v>3</v>
      </c>
      <c r="F5858" s="149" t="n">
        <f aca="false">IF(C5858="MAT.",VLOOKUP(A5858,INSUMOS_AUX!$A$3:$H$813,6,0),0)</f>
        <v>1.05</v>
      </c>
      <c r="G5858" s="149" t="n">
        <f aca="false">IF(C5858="M.O.",VLOOKUP(A5858,INSUMOS_AUX!A:F,6,0),0)</f>
        <v>0</v>
      </c>
    </row>
    <row r="5859" customFormat="false" ht="15" hidden="false" customHeight="false" outlineLevel="0" collapsed="false">
      <c r="A5859" s="154" t="n">
        <v>247</v>
      </c>
      <c r="B5859" s="155" t="s">
        <v>1554</v>
      </c>
      <c r="C5859" s="148" t="str">
        <f aca="false">VLOOKUP($A5859,INSUMOS_AUX!$A$3:$H$813,3,0)</f>
        <v>M.O.</v>
      </c>
      <c r="D5859" s="156" t="s">
        <v>1444</v>
      </c>
      <c r="E5859" s="154" t="n">
        <v>0.10943726</v>
      </c>
      <c r="F5859" s="149" t="n">
        <f aca="false">IF(C5859="MAT.",VLOOKUP(A5859,INSUMOS_AUX!$A$3:$H$813,6,0),0)</f>
        <v>0</v>
      </c>
      <c r="G5859" s="149" t="n">
        <f aca="false">IF(C5859="M.O.",VLOOKUP(A5859,INSUMOS_AUX!A:F,6,0),0)</f>
        <v>13.26</v>
      </c>
    </row>
    <row r="5860" customFormat="false" ht="15" hidden="false" customHeight="false" outlineLevel="0" collapsed="false">
      <c r="A5860" s="154" t="n">
        <v>2436</v>
      </c>
      <c r="B5860" s="155" t="s">
        <v>1557</v>
      </c>
      <c r="C5860" s="148" t="str">
        <f aca="false">VLOOKUP($A5860,INSUMOS_AUX!$A$3:$H$813,3,0)</f>
        <v>M.O.</v>
      </c>
      <c r="D5860" s="156" t="s">
        <v>1444</v>
      </c>
      <c r="E5860" s="154" t="n">
        <v>0.10943726</v>
      </c>
      <c r="F5860" s="149" t="n">
        <f aca="false">IF(C5860="MAT.",VLOOKUP(A5860,INSUMOS_AUX!$A$3:$H$813,6,0),0)</f>
        <v>0</v>
      </c>
      <c r="G5860" s="149" t="n">
        <f aca="false">IF(C5860="M.O.",VLOOKUP(A5860,INSUMOS_AUX!A:F,6,0),0)</f>
        <v>20.22</v>
      </c>
    </row>
    <row r="5861" customFormat="false" ht="21" hidden="false" customHeight="false" outlineLevel="0" collapsed="false">
      <c r="A5861" s="150" t="n">
        <v>93673</v>
      </c>
      <c r="B5861" s="151" t="s">
        <v>2480</v>
      </c>
      <c r="C5861" s="152" t="s">
        <v>59</v>
      </c>
      <c r="D5861" s="152" t="s">
        <v>31</v>
      </c>
      <c r="E5861" s="150"/>
      <c r="F5861" s="153" t="n">
        <f aca="false">(SUMPRODUCT($E5862:$E5871,F5862:F5871))*1</f>
        <v>68.530916</v>
      </c>
      <c r="G5861" s="153" t="n">
        <f aca="false">(SUMPRODUCT($E5862:$E5871,G5862:G5871))*1</f>
        <v>19.71592216272</v>
      </c>
    </row>
    <row r="5862" customFormat="false" ht="21" hidden="false" customHeight="false" outlineLevel="0" collapsed="false">
      <c r="A5862" s="154" t="n">
        <v>37370</v>
      </c>
      <c r="B5862" s="155" t="s">
        <v>1443</v>
      </c>
      <c r="C5862" s="148" t="str">
        <f aca="false">VLOOKUP($A5862,INSUMOS_AUX!$A$3:$H$813,3,0)</f>
        <v>MAT.</v>
      </c>
      <c r="D5862" s="156" t="s">
        <v>1444</v>
      </c>
      <c r="E5862" s="154" t="n">
        <v>1.1354</v>
      </c>
      <c r="F5862" s="149" t="n">
        <f aca="false">IF(C5862="MAT.",VLOOKUP(A5862,INSUMOS_AUX!$A$3:$H$813,6,0),0)</f>
        <v>3.32</v>
      </c>
      <c r="G5862" s="149" t="n">
        <f aca="false">IF(C5862="M.O.",VLOOKUP(A5862,INSUMOS_AUX!A:F,6,0),0)</f>
        <v>0</v>
      </c>
    </row>
    <row r="5863" customFormat="false" ht="21" hidden="false" customHeight="false" outlineLevel="0" collapsed="false">
      <c r="A5863" s="154" t="n">
        <v>43484</v>
      </c>
      <c r="B5863" s="155" t="s">
        <v>1523</v>
      </c>
      <c r="C5863" s="148" t="str">
        <f aca="false">VLOOKUP($A5863,INSUMOS_AUX!$A$3:$H$813,3,0)</f>
        <v>MAT.</v>
      </c>
      <c r="D5863" s="156" t="s">
        <v>1444</v>
      </c>
      <c r="E5863" s="154" t="n">
        <v>1.1354</v>
      </c>
      <c r="F5863" s="149" t="n">
        <f aca="false">IF(C5863="MAT.",VLOOKUP(A5863,INSUMOS_AUX!$A$3:$H$813,6,0),0)</f>
        <v>1.26</v>
      </c>
      <c r="G5863" s="149" t="n">
        <f aca="false">IF(C5863="M.O.",VLOOKUP(A5863,INSUMOS_AUX!A:F,6,0),0)</f>
        <v>0</v>
      </c>
    </row>
    <row r="5864" customFormat="false" ht="21" hidden="false" customHeight="false" outlineLevel="0" collapsed="false">
      <c r="A5864" s="154" t="n">
        <v>37372</v>
      </c>
      <c r="B5864" s="155" t="s">
        <v>1446</v>
      </c>
      <c r="C5864" s="148" t="str">
        <f aca="false">VLOOKUP($A5864,INSUMOS_AUX!$A$3:$H$813,3,0)</f>
        <v>MAT.</v>
      </c>
      <c r="D5864" s="156" t="s">
        <v>1444</v>
      </c>
      <c r="E5864" s="154" t="n">
        <v>1.1354</v>
      </c>
      <c r="F5864" s="149" t="n">
        <f aca="false">IF(C5864="MAT.",VLOOKUP(A5864,INSUMOS_AUX!$A$3:$H$813,6,0),0)</f>
        <v>1.43</v>
      </c>
      <c r="G5864" s="149" t="n">
        <f aca="false">IF(C5864="M.O.",VLOOKUP(A5864,INSUMOS_AUX!A:F,6,0),0)</f>
        <v>0</v>
      </c>
    </row>
    <row r="5865" customFormat="false" ht="21" hidden="false" customHeight="false" outlineLevel="0" collapsed="false">
      <c r="A5865" s="154" t="n">
        <v>43460</v>
      </c>
      <c r="B5865" s="155" t="s">
        <v>1524</v>
      </c>
      <c r="C5865" s="148" t="str">
        <f aca="false">VLOOKUP($A5865,INSUMOS_AUX!$A$3:$H$813,3,0)</f>
        <v>MAT.</v>
      </c>
      <c r="D5865" s="156" t="s">
        <v>1444</v>
      </c>
      <c r="E5865" s="154" t="n">
        <v>1.1354</v>
      </c>
      <c r="F5865" s="149" t="n">
        <f aca="false">IF(C5865="MAT.",VLOOKUP(A5865,INSUMOS_AUX!$A$3:$H$813,6,0),0)</f>
        <v>0.86</v>
      </c>
      <c r="G5865" s="149" t="n">
        <f aca="false">IF(C5865="M.O.",VLOOKUP(A5865,INSUMOS_AUX!A:F,6,0),0)</f>
        <v>0</v>
      </c>
    </row>
    <row r="5866" customFormat="false" ht="21" hidden="false" customHeight="false" outlineLevel="0" collapsed="false">
      <c r="A5866" s="154" t="n">
        <v>37373</v>
      </c>
      <c r="B5866" s="155" t="s">
        <v>1448</v>
      </c>
      <c r="C5866" s="148" t="str">
        <f aca="false">VLOOKUP($A5866,INSUMOS_AUX!$A$3:$H$813,3,0)</f>
        <v>MAT.</v>
      </c>
      <c r="D5866" s="156" t="s">
        <v>1444</v>
      </c>
      <c r="E5866" s="154" t="n">
        <v>1.1354</v>
      </c>
      <c r="F5866" s="149" t="n">
        <f aca="false">IF(C5866="MAT.",VLOOKUP(A5866,INSUMOS_AUX!$A$3:$H$813,6,0),0)</f>
        <v>0.08</v>
      </c>
      <c r="G5866" s="149" t="n">
        <f aca="false">IF(C5866="M.O.",VLOOKUP(A5866,INSUMOS_AUX!A:F,6,0),0)</f>
        <v>0</v>
      </c>
    </row>
    <row r="5867" customFormat="false" ht="21" hidden="false" customHeight="false" outlineLevel="0" collapsed="false">
      <c r="A5867" s="154" t="n">
        <v>37371</v>
      </c>
      <c r="B5867" s="155" t="s">
        <v>1449</v>
      </c>
      <c r="C5867" s="148" t="str">
        <f aca="false">VLOOKUP($A5867,INSUMOS_AUX!$A$3:$H$813,3,0)</f>
        <v>MAT.</v>
      </c>
      <c r="D5867" s="156" t="s">
        <v>1444</v>
      </c>
      <c r="E5867" s="154" t="n">
        <v>1.1354</v>
      </c>
      <c r="F5867" s="149" t="n">
        <f aca="false">IF(C5867="MAT.",VLOOKUP(A5867,INSUMOS_AUX!$A$3:$H$813,6,0),0)</f>
        <v>0.59</v>
      </c>
      <c r="G5867" s="149" t="n">
        <f aca="false">IF(C5867="M.O.",VLOOKUP(A5867,INSUMOS_AUX!A:F,6,0),0)</f>
        <v>0</v>
      </c>
    </row>
    <row r="5868" customFormat="false" ht="21" hidden="false" customHeight="false" outlineLevel="0" collapsed="false">
      <c r="A5868" s="154" t="n">
        <v>34709</v>
      </c>
      <c r="B5868" s="155" t="s">
        <v>2479</v>
      </c>
      <c r="C5868" s="148" t="str">
        <f aca="false">VLOOKUP($A5868,INSUMOS_AUX!$A$3:$H$813,3,0)</f>
        <v>MAT.</v>
      </c>
      <c r="D5868" s="156" t="s">
        <v>31</v>
      </c>
      <c r="E5868" s="154" t="n">
        <v>1</v>
      </c>
      <c r="F5868" s="149" t="n">
        <f aca="false">IF(C5868="MAT.",VLOOKUP(A5868,INSUMOS_AUX!$A$3:$H$813,6,0),0)</f>
        <v>59.97</v>
      </c>
      <c r="G5868" s="149" t="n">
        <f aca="false">IF(C5868="M.O.",VLOOKUP(A5868,INSUMOS_AUX!A:F,6,0),0)</f>
        <v>0</v>
      </c>
    </row>
    <row r="5869" customFormat="false" ht="21" hidden="false" customHeight="false" outlineLevel="0" collapsed="false">
      <c r="A5869" s="154" t="n">
        <v>1575</v>
      </c>
      <c r="B5869" s="155" t="s">
        <v>2481</v>
      </c>
      <c r="C5869" s="148" t="s">
        <v>59</v>
      </c>
      <c r="D5869" s="156" t="s">
        <v>31</v>
      </c>
      <c r="E5869" s="154" t="n">
        <v>3</v>
      </c>
      <c r="F5869" s="149" t="n">
        <f aca="false">IF(C5869="MAT.",VLOOKUP(A5869,INSUMOS_AUX!$A$3:$H$813,6,0),0)</f>
        <v>0</v>
      </c>
      <c r="G5869" s="149" t="n">
        <f aca="false">IF(C5869="M.O.",VLOOKUP(A5869,INSUMOS_AUX!A:F,6,0),0)</f>
        <v>0</v>
      </c>
    </row>
    <row r="5870" customFormat="false" ht="15" hidden="false" customHeight="false" outlineLevel="0" collapsed="false">
      <c r="A5870" s="154" t="n">
        <v>247</v>
      </c>
      <c r="B5870" s="155" t="s">
        <v>1554</v>
      </c>
      <c r="C5870" s="148" t="str">
        <f aca="false">VLOOKUP($A5870,INSUMOS_AUX!$A$3:$H$813,3,0)</f>
        <v>M.O.</v>
      </c>
      <c r="D5870" s="156" t="s">
        <v>1444</v>
      </c>
      <c r="E5870" s="154" t="n">
        <v>0.588886564</v>
      </c>
      <c r="F5870" s="149" t="n">
        <f aca="false">IF(C5870="MAT.",VLOOKUP(A5870,INSUMOS_AUX!$A$3:$H$813,6,0),0)</f>
        <v>0</v>
      </c>
      <c r="G5870" s="149" t="n">
        <f aca="false">IF(C5870="M.O.",VLOOKUP(A5870,INSUMOS_AUX!A:F,6,0),0)</f>
        <v>13.26</v>
      </c>
    </row>
    <row r="5871" customFormat="false" ht="15" hidden="false" customHeight="false" outlineLevel="0" collapsed="false">
      <c r="A5871" s="154" t="n">
        <v>2436</v>
      </c>
      <c r="B5871" s="155" t="s">
        <v>1557</v>
      </c>
      <c r="C5871" s="148" t="str">
        <f aca="false">VLOOKUP($A5871,INSUMOS_AUX!$A$3:$H$813,3,0)</f>
        <v>M.O.</v>
      </c>
      <c r="D5871" s="156" t="s">
        <v>1444</v>
      </c>
      <c r="E5871" s="154" t="n">
        <v>0.588886564</v>
      </c>
      <c r="F5871" s="149" t="n">
        <f aca="false">IF(C5871="MAT.",VLOOKUP(A5871,INSUMOS_AUX!$A$3:$H$813,6,0),0)</f>
        <v>0</v>
      </c>
      <c r="G5871" s="149" t="n">
        <f aca="false">IF(C5871="M.O.",VLOOKUP(A5871,INSUMOS_AUX!A:F,6,0),0)</f>
        <v>20.22</v>
      </c>
    </row>
    <row r="5872" customFormat="false" ht="21" hidden="false" customHeight="false" outlineLevel="0" collapsed="false">
      <c r="A5872" s="150" t="s">
        <v>971</v>
      </c>
      <c r="B5872" s="151" t="s">
        <v>2482</v>
      </c>
      <c r="C5872" s="152" t="s">
        <v>59</v>
      </c>
      <c r="D5872" s="152" t="s">
        <v>31</v>
      </c>
      <c r="E5872" s="150"/>
      <c r="F5872" s="153" t="n">
        <f aca="false">(SUMPRODUCT($E5873:$E5882,F5873:F5882))*1</f>
        <v>86.460916</v>
      </c>
      <c r="G5872" s="153" t="n">
        <f aca="false">(SUMPRODUCT($E5873:$E5882,G5873:G5882))*1</f>
        <v>11.90728632408</v>
      </c>
    </row>
    <row r="5873" customFormat="false" ht="21" hidden="false" customHeight="false" outlineLevel="0" collapsed="false">
      <c r="A5873" s="154" t="n">
        <v>37370</v>
      </c>
      <c r="B5873" s="155" t="s">
        <v>1443</v>
      </c>
      <c r="C5873" s="148" t="str">
        <f aca="false">VLOOKUP($A5873,INSUMOS_AUX!$A$3:$H$813,3,0)</f>
        <v>MAT.</v>
      </c>
      <c r="D5873" s="156" t="s">
        <v>1444</v>
      </c>
      <c r="E5873" s="154" t="n">
        <v>1.1354</v>
      </c>
      <c r="F5873" s="149" t="n">
        <f aca="false">IF(C5873="MAT.",VLOOKUP(A5873,INSUMOS_AUX!$A$3:$H$813,6,0),0)</f>
        <v>3.32</v>
      </c>
      <c r="G5873" s="149" t="n">
        <f aca="false">IF(C5873="M.O.",VLOOKUP(A5873,INSUMOS_AUX!A:F,6,0),0)</f>
        <v>0</v>
      </c>
    </row>
    <row r="5874" customFormat="false" ht="21" hidden="false" customHeight="false" outlineLevel="0" collapsed="false">
      <c r="A5874" s="154" t="n">
        <v>43484</v>
      </c>
      <c r="B5874" s="155" t="s">
        <v>1523</v>
      </c>
      <c r="C5874" s="148" t="str">
        <f aca="false">VLOOKUP($A5874,INSUMOS_AUX!$A$3:$H$813,3,0)</f>
        <v>MAT.</v>
      </c>
      <c r="D5874" s="156" t="s">
        <v>1444</v>
      </c>
      <c r="E5874" s="154" t="n">
        <v>1.1354</v>
      </c>
      <c r="F5874" s="149" t="n">
        <f aca="false">IF(C5874="MAT.",VLOOKUP(A5874,INSUMOS_AUX!$A$3:$H$813,6,0),0)</f>
        <v>1.26</v>
      </c>
      <c r="G5874" s="149" t="n">
        <f aca="false">IF(C5874="M.O.",VLOOKUP(A5874,INSUMOS_AUX!A:F,6,0),0)</f>
        <v>0</v>
      </c>
    </row>
    <row r="5875" customFormat="false" ht="21" hidden="false" customHeight="false" outlineLevel="0" collapsed="false">
      <c r="A5875" s="154" t="n">
        <v>37372</v>
      </c>
      <c r="B5875" s="155" t="s">
        <v>1446</v>
      </c>
      <c r="C5875" s="148" t="str">
        <f aca="false">VLOOKUP($A5875,INSUMOS_AUX!$A$3:$H$813,3,0)</f>
        <v>MAT.</v>
      </c>
      <c r="D5875" s="156" t="s">
        <v>1444</v>
      </c>
      <c r="E5875" s="154" t="n">
        <v>1.1354</v>
      </c>
      <c r="F5875" s="149" t="n">
        <f aca="false">IF(C5875="MAT.",VLOOKUP(A5875,INSUMOS_AUX!$A$3:$H$813,6,0),0)</f>
        <v>1.43</v>
      </c>
      <c r="G5875" s="149" t="n">
        <f aca="false">IF(C5875="M.O.",VLOOKUP(A5875,INSUMOS_AUX!A:F,6,0),0)</f>
        <v>0</v>
      </c>
    </row>
    <row r="5876" customFormat="false" ht="21" hidden="false" customHeight="false" outlineLevel="0" collapsed="false">
      <c r="A5876" s="154" t="n">
        <v>43460</v>
      </c>
      <c r="B5876" s="155" t="s">
        <v>1524</v>
      </c>
      <c r="C5876" s="148" t="str">
        <f aca="false">VLOOKUP($A5876,INSUMOS_AUX!$A$3:$H$813,3,0)</f>
        <v>MAT.</v>
      </c>
      <c r="D5876" s="156" t="s">
        <v>1444</v>
      </c>
      <c r="E5876" s="154" t="n">
        <v>1.1354</v>
      </c>
      <c r="F5876" s="149" t="n">
        <f aca="false">IF(C5876="MAT.",VLOOKUP(A5876,INSUMOS_AUX!$A$3:$H$813,6,0),0)</f>
        <v>0.86</v>
      </c>
      <c r="G5876" s="149" t="n">
        <f aca="false">IF(C5876="M.O.",VLOOKUP(A5876,INSUMOS_AUX!A:F,6,0),0)</f>
        <v>0</v>
      </c>
    </row>
    <row r="5877" customFormat="false" ht="21" hidden="false" customHeight="false" outlineLevel="0" collapsed="false">
      <c r="A5877" s="154" t="n">
        <v>37373</v>
      </c>
      <c r="B5877" s="155" t="s">
        <v>1448</v>
      </c>
      <c r="C5877" s="148" t="str">
        <f aca="false">VLOOKUP($A5877,INSUMOS_AUX!$A$3:$H$813,3,0)</f>
        <v>MAT.</v>
      </c>
      <c r="D5877" s="156" t="s">
        <v>1444</v>
      </c>
      <c r="E5877" s="154" t="n">
        <v>1.1354</v>
      </c>
      <c r="F5877" s="149" t="n">
        <f aca="false">IF(C5877="MAT.",VLOOKUP(A5877,INSUMOS_AUX!$A$3:$H$813,6,0),0)</f>
        <v>0.08</v>
      </c>
      <c r="G5877" s="149" t="n">
        <f aca="false">IF(C5877="M.O.",VLOOKUP(A5877,INSUMOS_AUX!A:F,6,0),0)</f>
        <v>0</v>
      </c>
    </row>
    <row r="5878" customFormat="false" ht="21" hidden="false" customHeight="false" outlineLevel="0" collapsed="false">
      <c r="A5878" s="154" t="n">
        <v>37371</v>
      </c>
      <c r="B5878" s="155" t="s">
        <v>1449</v>
      </c>
      <c r="C5878" s="148" t="str">
        <f aca="false">VLOOKUP($A5878,INSUMOS_AUX!$A$3:$H$813,3,0)</f>
        <v>MAT.</v>
      </c>
      <c r="D5878" s="156" t="s">
        <v>1444</v>
      </c>
      <c r="E5878" s="154" t="n">
        <v>1.1354</v>
      </c>
      <c r="F5878" s="149" t="n">
        <f aca="false">IF(C5878="MAT.",VLOOKUP(A5878,INSUMOS_AUX!$A$3:$H$813,6,0),0)</f>
        <v>0.59</v>
      </c>
      <c r="G5878" s="149" t="n">
        <f aca="false">IF(C5878="M.O.",VLOOKUP(A5878,INSUMOS_AUX!A:F,6,0),0)</f>
        <v>0</v>
      </c>
    </row>
    <row r="5879" customFormat="false" ht="21" hidden="false" customHeight="false" outlineLevel="0" collapsed="false">
      <c r="A5879" s="154" t="n">
        <v>34714</v>
      </c>
      <c r="B5879" s="155" t="s">
        <v>2483</v>
      </c>
      <c r="C5879" s="148" t="str">
        <f aca="false">VLOOKUP($A5879,INSUMOS_AUX!$A$3:$H$813,3,0)</f>
        <v>MAT.</v>
      </c>
      <c r="D5879" s="156" t="s">
        <v>31</v>
      </c>
      <c r="E5879" s="154" t="n">
        <v>1</v>
      </c>
      <c r="F5879" s="149" t="n">
        <f aca="false">IF(C5879="MAT.",VLOOKUP(A5879,INSUMOS_AUX!$A$3:$H$813,6,0),0)</f>
        <v>71.63</v>
      </c>
      <c r="G5879" s="149" t="n">
        <f aca="false">IF(C5879="M.O.",VLOOKUP(A5879,INSUMOS_AUX!A:F,6,0),0)</f>
        <v>0</v>
      </c>
    </row>
    <row r="5880" customFormat="false" ht="21" hidden="false" customHeight="false" outlineLevel="0" collapsed="false">
      <c r="A5880" s="154" t="n">
        <v>1575</v>
      </c>
      <c r="B5880" s="155" t="s">
        <v>2481</v>
      </c>
      <c r="C5880" s="148" t="str">
        <f aca="false">VLOOKUP($A5880,INSUMOS_AUX!$A$3:$H$813,3,0)</f>
        <v>MAT.</v>
      </c>
      <c r="D5880" s="156" t="s">
        <v>31</v>
      </c>
      <c r="E5880" s="154" t="n">
        <v>3</v>
      </c>
      <c r="F5880" s="149" t="n">
        <f aca="false">IF(C5880="MAT.",VLOOKUP(A5880,INSUMOS_AUX!$A$3:$H$813,6,0),0)</f>
        <v>2.09</v>
      </c>
      <c r="G5880" s="149" t="n">
        <f aca="false">IF(C5880="M.O.",VLOOKUP(A5880,INSUMOS_AUX!A:F,6,0),0)</f>
        <v>0</v>
      </c>
    </row>
    <row r="5881" customFormat="false" ht="15" hidden="false" customHeight="false" outlineLevel="0" collapsed="false">
      <c r="A5881" s="154" t="n">
        <v>247</v>
      </c>
      <c r="B5881" s="155" t="s">
        <v>1554</v>
      </c>
      <c r="C5881" s="148" t="s">
        <v>59</v>
      </c>
      <c r="D5881" s="156" t="s">
        <v>1444</v>
      </c>
      <c r="E5881" s="154" t="n">
        <v>0.588886564</v>
      </c>
      <c r="F5881" s="149" t="n">
        <f aca="false">IF(C5881="MAT.",VLOOKUP(A5881,INSUMOS_AUX!$A$3:$H$813,6,0),0)</f>
        <v>0</v>
      </c>
      <c r="G5881" s="149" t="n">
        <f aca="false">IF(C5881="M.O.",VLOOKUP(A5881,INSUMOS_AUX!A:F,6,0),0)</f>
        <v>0</v>
      </c>
    </row>
    <row r="5882" customFormat="false" ht="15" hidden="false" customHeight="false" outlineLevel="0" collapsed="false">
      <c r="A5882" s="154" t="n">
        <v>2436</v>
      </c>
      <c r="B5882" s="155" t="s">
        <v>1557</v>
      </c>
      <c r="C5882" s="148" t="str">
        <f aca="false">VLOOKUP($A5882,INSUMOS_AUX!$A$3:$H$813,3,0)</f>
        <v>M.O.</v>
      </c>
      <c r="D5882" s="156" t="s">
        <v>1444</v>
      </c>
      <c r="E5882" s="154" t="n">
        <v>0.588886564</v>
      </c>
      <c r="F5882" s="149" t="n">
        <f aca="false">IF(C5882="MAT.",VLOOKUP(A5882,INSUMOS_AUX!$A$3:$H$813,6,0),0)</f>
        <v>0</v>
      </c>
      <c r="G5882" s="149" t="n">
        <f aca="false">IF(C5882="M.O.",VLOOKUP(A5882,INSUMOS_AUX!A:F,6,0),0)</f>
        <v>20.22</v>
      </c>
    </row>
    <row r="5883" customFormat="false" ht="21" hidden="false" customHeight="false" outlineLevel="0" collapsed="false">
      <c r="A5883" s="150" t="n">
        <v>101895</v>
      </c>
      <c r="B5883" s="151" t="s">
        <v>2484</v>
      </c>
      <c r="C5883" s="152" t="s">
        <v>59</v>
      </c>
      <c r="D5883" s="152" t="s">
        <v>31</v>
      </c>
      <c r="E5883" s="150"/>
      <c r="F5883" s="153" t="n">
        <f aca="false">(SUMPRODUCT($E5884:$E5893,F5884:F5893))*1</f>
        <v>364.063856</v>
      </c>
      <c r="G5883" s="153" t="n">
        <f aca="false">(SUMPRODUCT($E5884:$E5893,G5884:G5893))*1</f>
        <v>18.20043498624</v>
      </c>
    </row>
    <row r="5884" customFormat="false" ht="21" hidden="false" customHeight="false" outlineLevel="0" collapsed="false">
      <c r="A5884" s="154" t="n">
        <v>37370</v>
      </c>
      <c r="B5884" s="155" t="s">
        <v>1443</v>
      </c>
      <c r="C5884" s="148" t="str">
        <f aca="false">VLOOKUP($A5884,INSUMOS_AUX!$A$3:$H$813,3,0)</f>
        <v>MAT.</v>
      </c>
      <c r="D5884" s="156" t="s">
        <v>1444</v>
      </c>
      <c r="E5884" s="154" t="n">
        <v>2.6464</v>
      </c>
      <c r="F5884" s="149" t="n">
        <f aca="false">IF(C5884="MAT.",VLOOKUP(A5884,INSUMOS_AUX!$A$3:$H$813,6,0),0)</f>
        <v>3.32</v>
      </c>
      <c r="G5884" s="149" t="n">
        <f aca="false">IF(C5884="M.O.",VLOOKUP(A5884,INSUMOS_AUX!A:F,6,0),0)</f>
        <v>0</v>
      </c>
    </row>
    <row r="5885" customFormat="false" ht="21" hidden="false" customHeight="false" outlineLevel="0" collapsed="false">
      <c r="A5885" s="154" t="n">
        <v>43484</v>
      </c>
      <c r="B5885" s="155" t="s">
        <v>1523</v>
      </c>
      <c r="C5885" s="148" t="str">
        <f aca="false">VLOOKUP($A5885,INSUMOS_AUX!$A$3:$H$813,3,0)</f>
        <v>MAT.</v>
      </c>
      <c r="D5885" s="156" t="s">
        <v>1444</v>
      </c>
      <c r="E5885" s="154" t="n">
        <v>2.6464</v>
      </c>
      <c r="F5885" s="149" t="n">
        <f aca="false">IF(C5885="MAT.",VLOOKUP(A5885,INSUMOS_AUX!$A$3:$H$813,6,0),0)</f>
        <v>1.26</v>
      </c>
      <c r="G5885" s="149" t="n">
        <f aca="false">IF(C5885="M.O.",VLOOKUP(A5885,INSUMOS_AUX!A:F,6,0),0)</f>
        <v>0</v>
      </c>
    </row>
    <row r="5886" customFormat="false" ht="21" hidden="false" customHeight="false" outlineLevel="0" collapsed="false">
      <c r="A5886" s="154" t="n">
        <v>37372</v>
      </c>
      <c r="B5886" s="155" t="s">
        <v>1446</v>
      </c>
      <c r="C5886" s="148" t="str">
        <f aca="false">VLOOKUP($A5886,INSUMOS_AUX!$A$3:$H$813,3,0)</f>
        <v>MAT.</v>
      </c>
      <c r="D5886" s="156" t="s">
        <v>1444</v>
      </c>
      <c r="E5886" s="154" t="n">
        <v>2.6464</v>
      </c>
      <c r="F5886" s="149" t="n">
        <f aca="false">IF(C5886="MAT.",VLOOKUP(A5886,INSUMOS_AUX!$A$3:$H$813,6,0),0)</f>
        <v>1.43</v>
      </c>
      <c r="G5886" s="149" t="n">
        <f aca="false">IF(C5886="M.O.",VLOOKUP(A5886,INSUMOS_AUX!A:F,6,0),0)</f>
        <v>0</v>
      </c>
    </row>
    <row r="5887" customFormat="false" ht="21" hidden="false" customHeight="false" outlineLevel="0" collapsed="false">
      <c r="A5887" s="154" t="n">
        <v>43460</v>
      </c>
      <c r="B5887" s="155" t="s">
        <v>1524</v>
      </c>
      <c r="C5887" s="148" t="str">
        <f aca="false">VLOOKUP($A5887,INSUMOS_AUX!$A$3:$H$813,3,0)</f>
        <v>MAT.</v>
      </c>
      <c r="D5887" s="156" t="s">
        <v>1444</v>
      </c>
      <c r="E5887" s="154" t="n">
        <v>2.6464</v>
      </c>
      <c r="F5887" s="149" t="n">
        <f aca="false">IF(C5887="MAT.",VLOOKUP(A5887,INSUMOS_AUX!$A$3:$H$813,6,0),0)</f>
        <v>0.86</v>
      </c>
      <c r="G5887" s="149" t="n">
        <f aca="false">IF(C5887="M.O.",VLOOKUP(A5887,INSUMOS_AUX!A:F,6,0),0)</f>
        <v>0</v>
      </c>
    </row>
    <row r="5888" customFormat="false" ht="21" hidden="false" customHeight="false" outlineLevel="0" collapsed="false">
      <c r="A5888" s="154" t="n">
        <v>37373</v>
      </c>
      <c r="B5888" s="155" t="s">
        <v>1448</v>
      </c>
      <c r="C5888" s="148" t="str">
        <f aca="false">VLOOKUP($A5888,INSUMOS_AUX!$A$3:$H$813,3,0)</f>
        <v>MAT.</v>
      </c>
      <c r="D5888" s="156" t="s">
        <v>1444</v>
      </c>
      <c r="E5888" s="154" t="n">
        <v>2.6464</v>
      </c>
      <c r="F5888" s="149" t="n">
        <f aca="false">IF(C5888="MAT.",VLOOKUP(A5888,INSUMOS_AUX!$A$3:$H$813,6,0),0)</f>
        <v>0.08</v>
      </c>
      <c r="G5888" s="149" t="n">
        <f aca="false">IF(C5888="M.O.",VLOOKUP(A5888,INSUMOS_AUX!A:F,6,0),0)</f>
        <v>0</v>
      </c>
    </row>
    <row r="5889" customFormat="false" ht="21" hidden="false" customHeight="false" outlineLevel="0" collapsed="false">
      <c r="A5889" s="154" t="n">
        <v>37371</v>
      </c>
      <c r="B5889" s="155" t="s">
        <v>1449</v>
      </c>
      <c r="C5889" s="148" t="str">
        <f aca="false">VLOOKUP($A5889,INSUMOS_AUX!$A$3:$H$813,3,0)</f>
        <v>MAT.</v>
      </c>
      <c r="D5889" s="156" t="s">
        <v>1444</v>
      </c>
      <c r="E5889" s="154" t="n">
        <v>2.6464</v>
      </c>
      <c r="F5889" s="149" t="n">
        <f aca="false">IF(C5889="MAT.",VLOOKUP(A5889,INSUMOS_AUX!$A$3:$H$813,6,0),0)</f>
        <v>0.59</v>
      </c>
      <c r="G5889" s="149" t="n">
        <f aca="false">IF(C5889="M.O.",VLOOKUP(A5889,INSUMOS_AUX!A:F,6,0),0)</f>
        <v>0</v>
      </c>
    </row>
    <row r="5890" customFormat="false" ht="15" hidden="false" customHeight="false" outlineLevel="0" collapsed="false">
      <c r="A5890" s="154" t="n">
        <v>2391</v>
      </c>
      <c r="B5890" s="155" t="s">
        <v>2485</v>
      </c>
      <c r="C5890" s="148" t="str">
        <f aca="false">VLOOKUP($A5890,INSUMOS_AUX!$A$3:$H$813,3,0)</f>
        <v>MAT.</v>
      </c>
      <c r="D5890" s="156" t="s">
        <v>31</v>
      </c>
      <c r="E5890" s="154" t="n">
        <v>1</v>
      </c>
      <c r="F5890" s="149" t="n">
        <f aca="false">IF(C5890="MAT.",VLOOKUP(A5890,INSUMOS_AUX!$A$3:$H$813,6,0),0)</f>
        <v>327.13</v>
      </c>
      <c r="G5890" s="149" t="n">
        <f aca="false">IF(C5890="M.O.",VLOOKUP(A5890,INSUMOS_AUX!A:F,6,0),0)</f>
        <v>0</v>
      </c>
    </row>
    <row r="5891" customFormat="false" ht="21" hidden="false" customHeight="false" outlineLevel="0" collapsed="false">
      <c r="A5891" s="154" t="n">
        <v>1578</v>
      </c>
      <c r="B5891" s="155" t="s">
        <v>2486</v>
      </c>
      <c r="C5891" s="148" t="str">
        <f aca="false">VLOOKUP($A5891,INSUMOS_AUX!$A$3:$H$813,3,0)</f>
        <v>MAT.</v>
      </c>
      <c r="D5891" s="156" t="s">
        <v>31</v>
      </c>
      <c r="E5891" s="154" t="n">
        <v>3</v>
      </c>
      <c r="F5891" s="149" t="n">
        <f aca="false">IF(C5891="MAT.",VLOOKUP(A5891,INSUMOS_AUX!$A$3:$H$813,6,0),0)</f>
        <v>5.66</v>
      </c>
      <c r="G5891" s="149" t="n">
        <f aca="false">IF(C5891="M.O.",VLOOKUP(A5891,INSUMOS_AUX!A:F,6,0),0)</f>
        <v>0</v>
      </c>
    </row>
    <row r="5892" customFormat="false" ht="15" hidden="false" customHeight="false" outlineLevel="0" collapsed="false">
      <c r="A5892" s="154" t="n">
        <v>247</v>
      </c>
      <c r="B5892" s="155" t="s">
        <v>1554</v>
      </c>
      <c r="C5892" s="148" t="str">
        <f aca="false">VLOOKUP($A5892,INSUMOS_AUX!$A$3:$H$813,3,0)</f>
        <v>M.O.</v>
      </c>
      <c r="D5892" s="156" t="s">
        <v>1444</v>
      </c>
      <c r="E5892" s="154" t="n">
        <v>1.372581824</v>
      </c>
      <c r="F5892" s="149" t="n">
        <f aca="false">IF(C5892="MAT.",VLOOKUP(A5892,INSUMOS_AUX!$A$3:$H$813,6,0),0)</f>
        <v>0</v>
      </c>
      <c r="G5892" s="149" t="n">
        <f aca="false">IF(C5892="M.O.",VLOOKUP(A5892,INSUMOS_AUX!A:F,6,0),0)</f>
        <v>13.26</v>
      </c>
    </row>
    <row r="5893" customFormat="false" ht="15" hidden="false" customHeight="false" outlineLevel="0" collapsed="false">
      <c r="A5893" s="154" t="n">
        <v>2436</v>
      </c>
      <c r="B5893" s="155" t="s">
        <v>1557</v>
      </c>
      <c r="C5893" s="148" t="s">
        <v>59</v>
      </c>
      <c r="D5893" s="156" t="s">
        <v>1444</v>
      </c>
      <c r="E5893" s="154" t="n">
        <v>1.372581824</v>
      </c>
      <c r="F5893" s="149" t="n">
        <f aca="false">IF(C5893="MAT.",VLOOKUP(A5893,INSUMOS_AUX!$A$3:$H$813,6,0),0)</f>
        <v>0</v>
      </c>
      <c r="G5893" s="149" t="n">
        <f aca="false">IF(C5893="M.O.",VLOOKUP(A5893,INSUMOS_AUX!A:F,6,0),0)</f>
        <v>0</v>
      </c>
    </row>
    <row r="5894" customFormat="false" ht="21" hidden="false" customHeight="false" outlineLevel="0" collapsed="false">
      <c r="A5894" s="150" t="n">
        <v>101897</v>
      </c>
      <c r="B5894" s="151" t="s">
        <v>2487</v>
      </c>
      <c r="C5894" s="152" t="s">
        <v>59</v>
      </c>
      <c r="D5894" s="152" t="s">
        <v>31</v>
      </c>
      <c r="E5894" s="150"/>
      <c r="F5894" s="153" t="n">
        <f aca="false">(SUMPRODUCT($E5895:$E5904,F5895:F5904))*1</f>
        <v>928.773856</v>
      </c>
      <c r="G5894" s="153" t="n">
        <f aca="false">(SUMPRODUCT($E5895:$E5904,G5895:G5904))*1</f>
        <v>45.95403946752</v>
      </c>
    </row>
    <row r="5895" customFormat="false" ht="21" hidden="false" customHeight="false" outlineLevel="0" collapsed="false">
      <c r="A5895" s="154" t="n">
        <v>37370</v>
      </c>
      <c r="B5895" s="155" t="s">
        <v>1443</v>
      </c>
      <c r="C5895" s="148" t="str">
        <f aca="false">VLOOKUP($A5895,INSUMOS_AUX!$A$3:$H$813,3,0)</f>
        <v>MAT.</v>
      </c>
      <c r="D5895" s="156" t="s">
        <v>1444</v>
      </c>
      <c r="E5895" s="154" t="n">
        <v>2.6464</v>
      </c>
      <c r="F5895" s="149" t="n">
        <f aca="false">IF(C5895="MAT.",VLOOKUP(A5895,INSUMOS_AUX!$A$3:$H$813,6,0),0)</f>
        <v>3.32</v>
      </c>
      <c r="G5895" s="149" t="n">
        <f aca="false">IF(C5895="M.O.",VLOOKUP(A5895,INSUMOS_AUX!A:F,6,0),0)</f>
        <v>0</v>
      </c>
    </row>
    <row r="5896" customFormat="false" ht="21" hidden="false" customHeight="false" outlineLevel="0" collapsed="false">
      <c r="A5896" s="154" t="n">
        <v>43484</v>
      </c>
      <c r="B5896" s="155" t="s">
        <v>1523</v>
      </c>
      <c r="C5896" s="148" t="str">
        <f aca="false">VLOOKUP($A5896,INSUMOS_AUX!$A$3:$H$813,3,0)</f>
        <v>MAT.</v>
      </c>
      <c r="D5896" s="156" t="s">
        <v>1444</v>
      </c>
      <c r="E5896" s="154" t="n">
        <v>2.6464</v>
      </c>
      <c r="F5896" s="149" t="n">
        <f aca="false">IF(C5896="MAT.",VLOOKUP(A5896,INSUMOS_AUX!$A$3:$H$813,6,0),0)</f>
        <v>1.26</v>
      </c>
      <c r="G5896" s="149" t="n">
        <f aca="false">IF(C5896="M.O.",VLOOKUP(A5896,INSUMOS_AUX!A:F,6,0),0)</f>
        <v>0</v>
      </c>
    </row>
    <row r="5897" customFormat="false" ht="21" hidden="false" customHeight="false" outlineLevel="0" collapsed="false">
      <c r="A5897" s="154" t="n">
        <v>37372</v>
      </c>
      <c r="B5897" s="155" t="s">
        <v>1446</v>
      </c>
      <c r="C5897" s="148" t="str">
        <f aca="false">VLOOKUP($A5897,INSUMOS_AUX!$A$3:$H$813,3,0)</f>
        <v>MAT.</v>
      </c>
      <c r="D5897" s="156" t="s">
        <v>1444</v>
      </c>
      <c r="E5897" s="154" t="n">
        <v>2.6464</v>
      </c>
      <c r="F5897" s="149" t="n">
        <f aca="false">IF(C5897="MAT.",VLOOKUP(A5897,INSUMOS_AUX!$A$3:$H$813,6,0),0)</f>
        <v>1.43</v>
      </c>
      <c r="G5897" s="149" t="n">
        <f aca="false">IF(C5897="M.O.",VLOOKUP(A5897,INSUMOS_AUX!A:F,6,0),0)</f>
        <v>0</v>
      </c>
    </row>
    <row r="5898" customFormat="false" ht="21" hidden="false" customHeight="false" outlineLevel="0" collapsed="false">
      <c r="A5898" s="154" t="n">
        <v>43460</v>
      </c>
      <c r="B5898" s="155" t="s">
        <v>1524</v>
      </c>
      <c r="C5898" s="148" t="str">
        <f aca="false">VLOOKUP($A5898,INSUMOS_AUX!$A$3:$H$813,3,0)</f>
        <v>MAT.</v>
      </c>
      <c r="D5898" s="156" t="s">
        <v>1444</v>
      </c>
      <c r="E5898" s="154" t="n">
        <v>2.6464</v>
      </c>
      <c r="F5898" s="149" t="n">
        <f aca="false">IF(C5898="MAT.",VLOOKUP(A5898,INSUMOS_AUX!$A$3:$H$813,6,0),0)</f>
        <v>0.86</v>
      </c>
      <c r="G5898" s="149" t="n">
        <f aca="false">IF(C5898="M.O.",VLOOKUP(A5898,INSUMOS_AUX!A:F,6,0),0)</f>
        <v>0</v>
      </c>
    </row>
    <row r="5899" customFormat="false" ht="21" hidden="false" customHeight="false" outlineLevel="0" collapsed="false">
      <c r="A5899" s="154" t="n">
        <v>37373</v>
      </c>
      <c r="B5899" s="155" t="s">
        <v>1448</v>
      </c>
      <c r="C5899" s="148" t="str">
        <f aca="false">VLOOKUP($A5899,INSUMOS_AUX!$A$3:$H$813,3,0)</f>
        <v>MAT.</v>
      </c>
      <c r="D5899" s="156" t="s">
        <v>1444</v>
      </c>
      <c r="E5899" s="154" t="n">
        <v>2.6464</v>
      </c>
      <c r="F5899" s="149" t="n">
        <f aca="false">IF(C5899="MAT.",VLOOKUP(A5899,INSUMOS_AUX!$A$3:$H$813,6,0),0)</f>
        <v>0.08</v>
      </c>
      <c r="G5899" s="149" t="n">
        <f aca="false">IF(C5899="M.O.",VLOOKUP(A5899,INSUMOS_AUX!A:F,6,0),0)</f>
        <v>0</v>
      </c>
    </row>
    <row r="5900" customFormat="false" ht="21" hidden="false" customHeight="false" outlineLevel="0" collapsed="false">
      <c r="A5900" s="154" t="n">
        <v>37371</v>
      </c>
      <c r="B5900" s="155" t="s">
        <v>1449</v>
      </c>
      <c r="C5900" s="148" t="str">
        <f aca="false">VLOOKUP($A5900,INSUMOS_AUX!$A$3:$H$813,3,0)</f>
        <v>MAT.</v>
      </c>
      <c r="D5900" s="156" t="s">
        <v>1444</v>
      </c>
      <c r="E5900" s="154" t="n">
        <v>2.6464</v>
      </c>
      <c r="F5900" s="149" t="n">
        <f aca="false">IF(C5900="MAT.",VLOOKUP(A5900,INSUMOS_AUX!$A$3:$H$813,6,0),0)</f>
        <v>0.59</v>
      </c>
      <c r="G5900" s="149" t="n">
        <f aca="false">IF(C5900="M.O.",VLOOKUP(A5900,INSUMOS_AUX!A:F,6,0),0)</f>
        <v>0</v>
      </c>
    </row>
    <row r="5901" customFormat="false" ht="15" hidden="false" customHeight="false" outlineLevel="0" collapsed="false">
      <c r="A5901" s="154" t="n">
        <v>2393</v>
      </c>
      <c r="B5901" s="155" t="s">
        <v>2488</v>
      </c>
      <c r="C5901" s="148" t="str">
        <f aca="false">VLOOKUP($A5901,INSUMOS_AUX!$A$3:$H$813,3,0)</f>
        <v>MAT.</v>
      </c>
      <c r="D5901" s="156" t="s">
        <v>31</v>
      </c>
      <c r="E5901" s="154" t="n">
        <v>1</v>
      </c>
      <c r="F5901" s="149" t="n">
        <f aca="false">IF(C5901="MAT.",VLOOKUP(A5901,INSUMOS_AUX!$A$3:$H$813,6,0),0)</f>
        <v>872.19</v>
      </c>
      <c r="G5901" s="149" t="n">
        <f aca="false">IF(C5901="M.O.",VLOOKUP(A5901,INSUMOS_AUX!A:F,6,0),0)</f>
        <v>0</v>
      </c>
    </row>
    <row r="5902" customFormat="false" ht="21" hidden="false" customHeight="false" outlineLevel="0" collapsed="false">
      <c r="A5902" s="154" t="n">
        <v>1581</v>
      </c>
      <c r="B5902" s="155" t="s">
        <v>2489</v>
      </c>
      <c r="C5902" s="148" t="str">
        <f aca="false">VLOOKUP($A5902,INSUMOS_AUX!$A$3:$H$813,3,0)</f>
        <v>MAT.</v>
      </c>
      <c r="D5902" s="156" t="s">
        <v>31</v>
      </c>
      <c r="E5902" s="154" t="n">
        <v>3</v>
      </c>
      <c r="F5902" s="149" t="n">
        <f aca="false">IF(C5902="MAT.",VLOOKUP(A5902,INSUMOS_AUX!$A$3:$H$813,6,0),0)</f>
        <v>12.21</v>
      </c>
      <c r="G5902" s="149" t="n">
        <f aca="false">IF(C5902="M.O.",VLOOKUP(A5902,INSUMOS_AUX!A:F,6,0),0)</f>
        <v>0</v>
      </c>
    </row>
    <row r="5903" customFormat="false" ht="15" hidden="false" customHeight="false" outlineLevel="0" collapsed="false">
      <c r="A5903" s="154" t="n">
        <v>247</v>
      </c>
      <c r="B5903" s="155" t="s">
        <v>1554</v>
      </c>
      <c r="C5903" s="148" t="str">
        <f aca="false">VLOOKUP($A5903,INSUMOS_AUX!$A$3:$H$813,3,0)</f>
        <v>M.O.</v>
      </c>
      <c r="D5903" s="156" t="s">
        <v>1444</v>
      </c>
      <c r="E5903" s="154" t="n">
        <v>1.372581824</v>
      </c>
      <c r="F5903" s="149" t="n">
        <f aca="false">IF(C5903="MAT.",VLOOKUP(A5903,INSUMOS_AUX!$A$3:$H$813,6,0),0)</f>
        <v>0</v>
      </c>
      <c r="G5903" s="149" t="n">
        <f aca="false">IF(C5903="M.O.",VLOOKUP(A5903,INSUMOS_AUX!A:F,6,0),0)</f>
        <v>13.26</v>
      </c>
    </row>
    <row r="5904" customFormat="false" ht="15" hidden="false" customHeight="false" outlineLevel="0" collapsed="false">
      <c r="A5904" s="154" t="n">
        <v>2436</v>
      </c>
      <c r="B5904" s="155" t="s">
        <v>1557</v>
      </c>
      <c r="C5904" s="148" t="str">
        <f aca="false">VLOOKUP($A5904,INSUMOS_AUX!$A$3:$H$813,3,0)</f>
        <v>M.O.</v>
      </c>
      <c r="D5904" s="156" t="s">
        <v>1444</v>
      </c>
      <c r="E5904" s="154" t="n">
        <v>1.372581824</v>
      </c>
      <c r="F5904" s="149" t="n">
        <f aca="false">IF(C5904="MAT.",VLOOKUP(A5904,INSUMOS_AUX!$A$3:$H$813,6,0),0)</f>
        <v>0</v>
      </c>
      <c r="G5904" s="149" t="n">
        <f aca="false">IF(C5904="M.O.",VLOOKUP(A5904,INSUMOS_AUX!A:F,6,0),0)</f>
        <v>20.22</v>
      </c>
    </row>
    <row r="5905" customFormat="false" ht="21" hidden="false" customHeight="false" outlineLevel="0" collapsed="false">
      <c r="A5905" s="150" t="s">
        <v>975</v>
      </c>
      <c r="B5905" s="151" t="s">
        <v>2490</v>
      </c>
      <c r="C5905" s="152" t="s">
        <v>59</v>
      </c>
      <c r="D5905" s="152" t="s">
        <v>31</v>
      </c>
      <c r="E5905" s="150"/>
      <c r="F5905" s="153" t="n">
        <f aca="false">(SUMPRODUCT($E5906:$E5915,F5906:F5915))*1</f>
        <v>137.207904</v>
      </c>
      <c r="G5905" s="153" t="n">
        <f aca="false">(SUMPRODUCT($E5906:$E5915,G5906:G5915))*1</f>
        <v>6.90421935168</v>
      </c>
    </row>
    <row r="5906" customFormat="false" ht="21" hidden="false" customHeight="false" outlineLevel="0" collapsed="false">
      <c r="A5906" s="154" t="n">
        <v>37370</v>
      </c>
      <c r="B5906" s="155" t="s">
        <v>1443</v>
      </c>
      <c r="C5906" s="148" t="str">
        <f aca="false">VLOOKUP($A5906,INSUMOS_AUX!$A$3:$H$813,3,0)</f>
        <v>MAT.</v>
      </c>
      <c r="D5906" s="156" t="s">
        <v>1444</v>
      </c>
      <c r="E5906" s="154" t="n">
        <v>0.3976</v>
      </c>
      <c r="F5906" s="149" t="n">
        <f aca="false">IF(C5906="MAT.",VLOOKUP(A5906,INSUMOS_AUX!$A$3:$H$813,6,0),0)</f>
        <v>3.32</v>
      </c>
      <c r="G5906" s="149" t="n">
        <f aca="false">IF(C5906="M.O.",VLOOKUP(A5906,INSUMOS_AUX!A:F,6,0),0)</f>
        <v>0</v>
      </c>
    </row>
    <row r="5907" customFormat="false" ht="21" hidden="false" customHeight="false" outlineLevel="0" collapsed="false">
      <c r="A5907" s="154" t="n">
        <v>43484</v>
      </c>
      <c r="B5907" s="155" t="s">
        <v>1523</v>
      </c>
      <c r="C5907" s="148" t="str">
        <f aca="false">VLOOKUP($A5907,INSUMOS_AUX!$A$3:$H$813,3,0)</f>
        <v>MAT.</v>
      </c>
      <c r="D5907" s="156" t="s">
        <v>1444</v>
      </c>
      <c r="E5907" s="154" t="n">
        <v>0.3976</v>
      </c>
      <c r="F5907" s="149" t="n">
        <f aca="false">IF(C5907="MAT.",VLOOKUP(A5907,INSUMOS_AUX!$A$3:$H$813,6,0),0)</f>
        <v>1.26</v>
      </c>
      <c r="G5907" s="149" t="n">
        <f aca="false">IF(C5907="M.O.",VLOOKUP(A5907,INSUMOS_AUX!A:F,6,0),0)</f>
        <v>0</v>
      </c>
    </row>
    <row r="5908" customFormat="false" ht="21" hidden="false" customHeight="false" outlineLevel="0" collapsed="false">
      <c r="A5908" s="154" t="n">
        <v>37372</v>
      </c>
      <c r="B5908" s="155" t="s">
        <v>1446</v>
      </c>
      <c r="C5908" s="148" t="str">
        <f aca="false">VLOOKUP($A5908,INSUMOS_AUX!$A$3:$H$813,3,0)</f>
        <v>MAT.</v>
      </c>
      <c r="D5908" s="156" t="s">
        <v>1444</v>
      </c>
      <c r="E5908" s="154" t="n">
        <v>0.3976</v>
      </c>
      <c r="F5908" s="149" t="n">
        <f aca="false">IF(C5908="MAT.",VLOOKUP(A5908,INSUMOS_AUX!$A$3:$H$813,6,0),0)</f>
        <v>1.43</v>
      </c>
      <c r="G5908" s="149" t="n">
        <f aca="false">IF(C5908="M.O.",VLOOKUP(A5908,INSUMOS_AUX!A:F,6,0),0)</f>
        <v>0</v>
      </c>
    </row>
    <row r="5909" customFormat="false" ht="21" hidden="false" customHeight="false" outlineLevel="0" collapsed="false">
      <c r="A5909" s="154" t="n">
        <v>43460</v>
      </c>
      <c r="B5909" s="155" t="s">
        <v>1524</v>
      </c>
      <c r="C5909" s="148" t="str">
        <f aca="false">VLOOKUP($A5909,INSUMOS_AUX!$A$3:$H$813,3,0)</f>
        <v>MAT.</v>
      </c>
      <c r="D5909" s="156" t="s">
        <v>1444</v>
      </c>
      <c r="E5909" s="154" t="n">
        <v>0.3976</v>
      </c>
      <c r="F5909" s="149" t="n">
        <f aca="false">IF(C5909="MAT.",VLOOKUP(A5909,INSUMOS_AUX!$A$3:$H$813,6,0),0)</f>
        <v>0.86</v>
      </c>
      <c r="G5909" s="149" t="n">
        <f aca="false">IF(C5909="M.O.",VLOOKUP(A5909,INSUMOS_AUX!A:F,6,0),0)</f>
        <v>0</v>
      </c>
    </row>
    <row r="5910" customFormat="false" ht="21" hidden="false" customHeight="false" outlineLevel="0" collapsed="false">
      <c r="A5910" s="154" t="n">
        <v>37373</v>
      </c>
      <c r="B5910" s="155" t="s">
        <v>1448</v>
      </c>
      <c r="C5910" s="148" t="str">
        <f aca="false">VLOOKUP($A5910,INSUMOS_AUX!$A$3:$H$813,3,0)</f>
        <v>MAT.</v>
      </c>
      <c r="D5910" s="156" t="s">
        <v>1444</v>
      </c>
      <c r="E5910" s="154" t="n">
        <v>0.3976</v>
      </c>
      <c r="F5910" s="149" t="n">
        <f aca="false">IF(C5910="MAT.",VLOOKUP(A5910,INSUMOS_AUX!$A$3:$H$813,6,0),0)</f>
        <v>0.08</v>
      </c>
      <c r="G5910" s="149" t="n">
        <f aca="false">IF(C5910="M.O.",VLOOKUP(A5910,INSUMOS_AUX!A:F,6,0),0)</f>
        <v>0</v>
      </c>
    </row>
    <row r="5911" customFormat="false" ht="21" hidden="false" customHeight="false" outlineLevel="0" collapsed="false">
      <c r="A5911" s="154" t="n">
        <v>37371</v>
      </c>
      <c r="B5911" s="155" t="s">
        <v>1449</v>
      </c>
      <c r="C5911" s="148" t="str">
        <f aca="false">VLOOKUP($A5911,INSUMOS_AUX!$A$3:$H$813,3,0)</f>
        <v>MAT.</v>
      </c>
      <c r="D5911" s="156" t="s">
        <v>1444</v>
      </c>
      <c r="E5911" s="154" t="n">
        <v>0.3976</v>
      </c>
      <c r="F5911" s="149" t="n">
        <f aca="false">IF(C5911="MAT.",VLOOKUP(A5911,INSUMOS_AUX!$A$3:$H$813,6,0),0)</f>
        <v>0.59</v>
      </c>
      <c r="G5911" s="149" t="n">
        <f aca="false">IF(C5911="M.O.",VLOOKUP(A5911,INSUMOS_AUX!A:F,6,0),0)</f>
        <v>0</v>
      </c>
    </row>
    <row r="5912" customFormat="false" ht="21" hidden="false" customHeight="false" outlineLevel="0" collapsed="false">
      <c r="A5912" s="154" t="n">
        <v>39445</v>
      </c>
      <c r="B5912" s="155" t="s">
        <v>2491</v>
      </c>
      <c r="C5912" s="148" t="str">
        <f aca="false">VLOOKUP($A5912,INSUMOS_AUX!$A$3:$H$813,3,0)</f>
        <v>MAT.</v>
      </c>
      <c r="D5912" s="156" t="s">
        <v>31</v>
      </c>
      <c r="E5912" s="154" t="n">
        <v>1</v>
      </c>
      <c r="F5912" s="149" t="n">
        <f aca="false">IF(C5912="MAT.",VLOOKUP(A5912,INSUMOS_AUX!$A$3:$H$813,6,0),0)</f>
        <v>131.49</v>
      </c>
      <c r="G5912" s="149" t="n">
        <f aca="false">IF(C5912="M.O.",VLOOKUP(A5912,INSUMOS_AUX!A:F,6,0),0)</f>
        <v>0</v>
      </c>
    </row>
    <row r="5913" customFormat="false" ht="21" hidden="false" customHeight="false" outlineLevel="0" collapsed="false">
      <c r="A5913" s="154" t="n">
        <v>1571</v>
      </c>
      <c r="B5913" s="155" t="s">
        <v>2477</v>
      </c>
      <c r="C5913" s="148" t="str">
        <f aca="false">VLOOKUP($A5913,INSUMOS_AUX!$A$3:$H$813,3,0)</f>
        <v>MAT.</v>
      </c>
      <c r="D5913" s="156" t="s">
        <v>31</v>
      </c>
      <c r="E5913" s="154" t="n">
        <v>2</v>
      </c>
      <c r="F5913" s="149" t="n">
        <f aca="false">IF(C5913="MAT.",VLOOKUP(A5913,INSUMOS_AUX!$A$3:$H$813,6,0),0)</f>
        <v>1.36</v>
      </c>
      <c r="G5913" s="149" t="n">
        <f aca="false">IF(C5913="M.O.",VLOOKUP(A5913,INSUMOS_AUX!A:F,6,0),0)</f>
        <v>0</v>
      </c>
    </row>
    <row r="5914" customFormat="false" ht="15" hidden="false" customHeight="false" outlineLevel="0" collapsed="false">
      <c r="A5914" s="154" t="n">
        <v>247</v>
      </c>
      <c r="B5914" s="155" t="s">
        <v>1554</v>
      </c>
      <c r="C5914" s="148" t="str">
        <f aca="false">VLOOKUP($A5914,INSUMOS_AUX!$A$3:$H$813,3,0)</f>
        <v>M.O.</v>
      </c>
      <c r="D5914" s="156" t="s">
        <v>1444</v>
      </c>
      <c r="E5914" s="154" t="n">
        <v>0.206219216</v>
      </c>
      <c r="F5914" s="149" t="n">
        <f aca="false">IF(C5914="MAT.",VLOOKUP(A5914,INSUMOS_AUX!$A$3:$H$813,6,0),0)</f>
        <v>0</v>
      </c>
      <c r="G5914" s="149" t="n">
        <f aca="false">IF(C5914="M.O.",VLOOKUP(A5914,INSUMOS_AUX!A:F,6,0),0)</f>
        <v>13.26</v>
      </c>
    </row>
    <row r="5915" customFormat="false" ht="15" hidden="false" customHeight="false" outlineLevel="0" collapsed="false">
      <c r="A5915" s="154" t="n">
        <v>2436</v>
      </c>
      <c r="B5915" s="155" t="s">
        <v>1557</v>
      </c>
      <c r="C5915" s="148" t="str">
        <f aca="false">VLOOKUP($A5915,INSUMOS_AUX!$A$3:$H$813,3,0)</f>
        <v>M.O.</v>
      </c>
      <c r="D5915" s="156" t="s">
        <v>1444</v>
      </c>
      <c r="E5915" s="154" t="n">
        <v>0.206219216</v>
      </c>
      <c r="F5915" s="149" t="n">
        <f aca="false">IF(C5915="MAT.",VLOOKUP(A5915,INSUMOS_AUX!$A$3:$H$813,6,0),0)</f>
        <v>0</v>
      </c>
      <c r="G5915" s="149" t="n">
        <f aca="false">IF(C5915="M.O.",VLOOKUP(A5915,INSUMOS_AUX!A:F,6,0),0)</f>
        <v>20.22</v>
      </c>
    </row>
    <row r="5916" customFormat="false" ht="21" hidden="false" customHeight="false" outlineLevel="0" collapsed="false">
      <c r="A5916" s="150" t="s">
        <v>977</v>
      </c>
      <c r="B5916" s="151" t="s">
        <v>2492</v>
      </c>
      <c r="C5916" s="152" t="s">
        <v>59</v>
      </c>
      <c r="D5916" s="152" t="s">
        <v>31</v>
      </c>
      <c r="E5916" s="150"/>
      <c r="F5916" s="153" t="n">
        <f aca="false">(SUMPRODUCT($E5917:$E5926,F5917:F5926))*1</f>
        <v>180.236352</v>
      </c>
      <c r="G5916" s="153" t="n">
        <f aca="false">(SUMPRODUCT($E5917:$E5926,G5917:G5926))*1</f>
        <v>6.57081640512</v>
      </c>
    </row>
    <row r="5917" customFormat="false" ht="21" hidden="false" customHeight="false" outlineLevel="0" collapsed="false">
      <c r="A5917" s="154" t="n">
        <v>37370</v>
      </c>
      <c r="B5917" s="155" t="s">
        <v>1443</v>
      </c>
      <c r="C5917" s="148" t="str">
        <f aca="false">VLOOKUP($A5917,INSUMOS_AUX!$A$3:$H$813,3,0)</f>
        <v>MAT.</v>
      </c>
      <c r="D5917" s="156" t="s">
        <v>1444</v>
      </c>
      <c r="E5917" s="154" t="n">
        <v>0.3784</v>
      </c>
      <c r="F5917" s="149" t="n">
        <f aca="false">IF(C5917="MAT.",VLOOKUP(A5917,INSUMOS_AUX!$A$3:$H$813,6,0),0)</f>
        <v>3.32</v>
      </c>
      <c r="G5917" s="149" t="n">
        <f aca="false">IF(C5917="M.O.",VLOOKUP(A5917,INSUMOS_AUX!A:F,6,0),0)</f>
        <v>0</v>
      </c>
    </row>
    <row r="5918" customFormat="false" ht="21" hidden="false" customHeight="false" outlineLevel="0" collapsed="false">
      <c r="A5918" s="154" t="n">
        <v>43484</v>
      </c>
      <c r="B5918" s="155" t="s">
        <v>1523</v>
      </c>
      <c r="C5918" s="148" t="s">
        <v>59</v>
      </c>
      <c r="D5918" s="156" t="s">
        <v>1444</v>
      </c>
      <c r="E5918" s="154" t="n">
        <v>0.3784</v>
      </c>
      <c r="F5918" s="149" t="n">
        <f aca="false">IF(C5918="MAT.",VLOOKUP(A5918,INSUMOS_AUX!$A$3:$H$813,6,0),0)</f>
        <v>0</v>
      </c>
      <c r="G5918" s="149" t="n">
        <f aca="false">IF(C5918="M.O.",VLOOKUP(A5918,INSUMOS_AUX!A:F,6,0),0)</f>
        <v>0</v>
      </c>
    </row>
    <row r="5919" customFormat="false" ht="21" hidden="false" customHeight="false" outlineLevel="0" collapsed="false">
      <c r="A5919" s="154" t="n">
        <v>37372</v>
      </c>
      <c r="B5919" s="155" t="s">
        <v>1446</v>
      </c>
      <c r="C5919" s="148" t="str">
        <f aca="false">VLOOKUP($A5919,INSUMOS_AUX!$A$3:$H$813,3,0)</f>
        <v>MAT.</v>
      </c>
      <c r="D5919" s="156" t="s">
        <v>1444</v>
      </c>
      <c r="E5919" s="154" t="n">
        <v>0.3784</v>
      </c>
      <c r="F5919" s="149" t="n">
        <f aca="false">IF(C5919="MAT.",VLOOKUP(A5919,INSUMOS_AUX!$A$3:$H$813,6,0),0)</f>
        <v>1.43</v>
      </c>
      <c r="G5919" s="149" t="n">
        <f aca="false">IF(C5919="M.O.",VLOOKUP(A5919,INSUMOS_AUX!A:F,6,0),0)</f>
        <v>0</v>
      </c>
    </row>
    <row r="5920" customFormat="false" ht="21" hidden="false" customHeight="false" outlineLevel="0" collapsed="false">
      <c r="A5920" s="154" t="n">
        <v>43460</v>
      </c>
      <c r="B5920" s="155" t="s">
        <v>1524</v>
      </c>
      <c r="C5920" s="148" t="str">
        <f aca="false">VLOOKUP($A5920,INSUMOS_AUX!$A$3:$H$813,3,0)</f>
        <v>MAT.</v>
      </c>
      <c r="D5920" s="156" t="s">
        <v>1444</v>
      </c>
      <c r="E5920" s="154" t="n">
        <v>0.3784</v>
      </c>
      <c r="F5920" s="149" t="n">
        <f aca="false">IF(C5920="MAT.",VLOOKUP(A5920,INSUMOS_AUX!$A$3:$H$813,6,0),0)</f>
        <v>0.86</v>
      </c>
      <c r="G5920" s="149" t="n">
        <f aca="false">IF(C5920="M.O.",VLOOKUP(A5920,INSUMOS_AUX!A:F,6,0),0)</f>
        <v>0</v>
      </c>
    </row>
    <row r="5921" customFormat="false" ht="21" hidden="false" customHeight="false" outlineLevel="0" collapsed="false">
      <c r="A5921" s="154" t="n">
        <v>37373</v>
      </c>
      <c r="B5921" s="155" t="s">
        <v>1448</v>
      </c>
      <c r="C5921" s="148" t="str">
        <f aca="false">VLOOKUP($A5921,INSUMOS_AUX!$A$3:$H$813,3,0)</f>
        <v>MAT.</v>
      </c>
      <c r="D5921" s="156" t="s">
        <v>1444</v>
      </c>
      <c r="E5921" s="154" t="n">
        <v>0.3784</v>
      </c>
      <c r="F5921" s="149" t="n">
        <f aca="false">IF(C5921="MAT.",VLOOKUP(A5921,INSUMOS_AUX!$A$3:$H$813,6,0),0)</f>
        <v>0.08</v>
      </c>
      <c r="G5921" s="149" t="n">
        <f aca="false">IF(C5921="M.O.",VLOOKUP(A5921,INSUMOS_AUX!A:F,6,0),0)</f>
        <v>0</v>
      </c>
    </row>
    <row r="5922" customFormat="false" ht="21" hidden="false" customHeight="false" outlineLevel="0" collapsed="false">
      <c r="A5922" s="154" t="n">
        <v>37371</v>
      </c>
      <c r="B5922" s="155" t="s">
        <v>1449</v>
      </c>
      <c r="C5922" s="148" t="str">
        <f aca="false">VLOOKUP($A5922,INSUMOS_AUX!$A$3:$H$813,3,0)</f>
        <v>MAT.</v>
      </c>
      <c r="D5922" s="156" t="s">
        <v>1444</v>
      </c>
      <c r="E5922" s="154" t="n">
        <v>0.3784</v>
      </c>
      <c r="F5922" s="149" t="n">
        <f aca="false">IF(C5922="MAT.",VLOOKUP(A5922,INSUMOS_AUX!$A$3:$H$813,6,0),0)</f>
        <v>0.59</v>
      </c>
      <c r="G5922" s="149" t="n">
        <f aca="false">IF(C5922="M.O.",VLOOKUP(A5922,INSUMOS_AUX!A:F,6,0),0)</f>
        <v>0</v>
      </c>
    </row>
    <row r="5923" customFormat="false" ht="21" hidden="false" customHeight="false" outlineLevel="0" collapsed="false">
      <c r="A5923" s="154" t="n">
        <v>39472</v>
      </c>
      <c r="B5923" s="155" t="s">
        <v>2493</v>
      </c>
      <c r="C5923" s="148" t="str">
        <f aca="false">VLOOKUP($A5923,INSUMOS_AUX!$A$3:$H$813,3,0)</f>
        <v>MAT.</v>
      </c>
      <c r="D5923" s="156" t="s">
        <v>31</v>
      </c>
      <c r="E5923" s="154" t="n">
        <v>1</v>
      </c>
      <c r="F5923" s="149" t="n">
        <f aca="false">IF(C5923="MAT.",VLOOKUP(A5923,INSUMOS_AUX!$A$3:$H$813,6,0),0)</f>
        <v>170.81</v>
      </c>
      <c r="G5923" s="149" t="n">
        <f aca="false">IF(C5923="M.O.",VLOOKUP(A5923,INSUMOS_AUX!A:F,6,0),0)</f>
        <v>0</v>
      </c>
    </row>
    <row r="5924" customFormat="false" ht="21" hidden="false" customHeight="false" outlineLevel="0" collapsed="false">
      <c r="A5924" s="154" t="n">
        <v>1579</v>
      </c>
      <c r="B5924" s="155" t="s">
        <v>2494</v>
      </c>
      <c r="C5924" s="148" t="str">
        <f aca="false">VLOOKUP($A5924,INSUMOS_AUX!$A$3:$H$813,3,0)</f>
        <v>MAT.</v>
      </c>
      <c r="D5924" s="156" t="s">
        <v>31</v>
      </c>
      <c r="E5924" s="154" t="n">
        <v>1</v>
      </c>
      <c r="F5924" s="149" t="n">
        <f aca="false">IF(C5924="MAT.",VLOOKUP(A5924,INSUMOS_AUX!$A$3:$H$813,6,0),0)</f>
        <v>7.05</v>
      </c>
      <c r="G5924" s="149" t="n">
        <f aca="false">IF(C5924="M.O.",VLOOKUP(A5924,INSUMOS_AUX!A:F,6,0),0)</f>
        <v>0</v>
      </c>
    </row>
    <row r="5925" customFormat="false" ht="15" hidden="false" customHeight="false" outlineLevel="0" collapsed="false">
      <c r="A5925" s="154" t="n">
        <v>247</v>
      </c>
      <c r="B5925" s="155" t="s">
        <v>1554</v>
      </c>
      <c r="C5925" s="148" t="str">
        <f aca="false">VLOOKUP($A5925,INSUMOS_AUX!$A$3:$H$813,3,0)</f>
        <v>M.O.</v>
      </c>
      <c r="D5925" s="156" t="s">
        <v>1444</v>
      </c>
      <c r="E5925" s="154" t="n">
        <v>0.196260944</v>
      </c>
      <c r="F5925" s="149" t="n">
        <f aca="false">IF(C5925="MAT.",VLOOKUP(A5925,INSUMOS_AUX!$A$3:$H$813,6,0),0)</f>
        <v>0</v>
      </c>
      <c r="G5925" s="149" t="n">
        <f aca="false">IF(C5925="M.O.",VLOOKUP(A5925,INSUMOS_AUX!A:F,6,0),0)</f>
        <v>13.26</v>
      </c>
    </row>
    <row r="5926" customFormat="false" ht="15" hidden="false" customHeight="false" outlineLevel="0" collapsed="false">
      <c r="A5926" s="154" t="n">
        <v>2436</v>
      </c>
      <c r="B5926" s="155" t="s">
        <v>1557</v>
      </c>
      <c r="C5926" s="148" t="str">
        <f aca="false">VLOOKUP($A5926,INSUMOS_AUX!$A$3:$H$813,3,0)</f>
        <v>M.O.</v>
      </c>
      <c r="D5926" s="156" t="s">
        <v>1444</v>
      </c>
      <c r="E5926" s="154" t="n">
        <v>0.196260944</v>
      </c>
      <c r="F5926" s="149" t="n">
        <f aca="false">IF(C5926="MAT.",VLOOKUP(A5926,INSUMOS_AUX!$A$3:$H$813,6,0),0)</f>
        <v>0</v>
      </c>
      <c r="G5926" s="149" t="n">
        <f aca="false">IF(C5926="M.O.",VLOOKUP(A5926,INSUMOS_AUX!A:F,6,0),0)</f>
        <v>20.22</v>
      </c>
    </row>
    <row r="5927" customFormat="false" ht="31.5" hidden="false" customHeight="false" outlineLevel="0" collapsed="false">
      <c r="A5927" s="150" t="s">
        <v>981</v>
      </c>
      <c r="B5927" s="151" t="s">
        <v>2495</v>
      </c>
      <c r="C5927" s="152" t="s">
        <v>59</v>
      </c>
      <c r="D5927" s="152" t="s">
        <v>31</v>
      </c>
      <c r="E5927" s="150"/>
      <c r="F5927" s="153" t="n">
        <f aca="false">(SUMPRODUCT($E5928:$E5942,F5928:F5942))*1</f>
        <v>1452.0458611625</v>
      </c>
      <c r="G5927" s="153" t="n">
        <f aca="false">(SUMPRODUCT($E5928:$E5942,G5928:G5942))*1</f>
        <v>30.910140847125</v>
      </c>
    </row>
    <row r="5928" customFormat="false" ht="21" hidden="false" customHeight="false" outlineLevel="0" collapsed="false">
      <c r="A5928" s="154" t="n">
        <v>37370</v>
      </c>
      <c r="B5928" s="155" t="s">
        <v>1443</v>
      </c>
      <c r="C5928" s="148" t="str">
        <f aca="false">VLOOKUP($A5928,INSUMOS_AUX!$A$3:$H$813,3,0)</f>
        <v>MAT.</v>
      </c>
      <c r="D5928" s="156" t="s">
        <v>1444</v>
      </c>
      <c r="E5928" s="154" t="n">
        <v>1.84330875</v>
      </c>
      <c r="F5928" s="149" t="n">
        <f aca="false">IF(C5928="MAT.",VLOOKUP(A5928,INSUMOS_AUX!$A$3:$H$813,6,0),0)</f>
        <v>3.32</v>
      </c>
      <c r="G5928" s="149" t="n">
        <f aca="false">IF(C5928="M.O.",VLOOKUP(A5928,INSUMOS_AUX!A:F,6,0),0)</f>
        <v>0</v>
      </c>
    </row>
    <row r="5929" customFormat="false" ht="21" hidden="false" customHeight="false" outlineLevel="0" collapsed="false">
      <c r="A5929" s="154" t="n">
        <v>43484</v>
      </c>
      <c r="B5929" s="155" t="s">
        <v>1523</v>
      </c>
      <c r="C5929" s="148" t="str">
        <f aca="false">VLOOKUP($A5929,INSUMOS_AUX!$A$3:$H$813,3,0)</f>
        <v>MAT.</v>
      </c>
      <c r="D5929" s="156" t="s">
        <v>1444</v>
      </c>
      <c r="E5929" s="154" t="n">
        <v>1.578</v>
      </c>
      <c r="F5929" s="149" t="n">
        <f aca="false">IF(C5929="MAT.",VLOOKUP(A5929,INSUMOS_AUX!$A$3:$H$813,6,0),0)</f>
        <v>1.26</v>
      </c>
      <c r="G5929" s="149" t="n">
        <f aca="false">IF(C5929="M.O.",VLOOKUP(A5929,INSUMOS_AUX!A:F,6,0),0)</f>
        <v>0</v>
      </c>
    </row>
    <row r="5930" customFormat="false" ht="21" hidden="false" customHeight="false" outlineLevel="0" collapsed="false">
      <c r="A5930" s="154" t="n">
        <v>43491</v>
      </c>
      <c r="B5930" s="155" t="s">
        <v>1457</v>
      </c>
      <c r="C5930" s="148" t="s">
        <v>59</v>
      </c>
      <c r="D5930" s="156" t="s">
        <v>1444</v>
      </c>
      <c r="E5930" s="154" t="n">
        <v>0.26530875</v>
      </c>
      <c r="F5930" s="149" t="n">
        <f aca="false">IF(C5930="MAT.",VLOOKUP(A5930,INSUMOS_AUX!$A$3:$H$813,6,0),0)</f>
        <v>0</v>
      </c>
      <c r="G5930" s="149" t="n">
        <f aca="false">IF(C5930="M.O.",VLOOKUP(A5930,INSUMOS_AUX!A:F,6,0),0)</f>
        <v>0</v>
      </c>
    </row>
    <row r="5931" customFormat="false" ht="21" hidden="false" customHeight="false" outlineLevel="0" collapsed="false">
      <c r="A5931" s="154" t="n">
        <v>37372</v>
      </c>
      <c r="B5931" s="155" t="s">
        <v>1446</v>
      </c>
      <c r="C5931" s="148" t="str">
        <f aca="false">VLOOKUP($A5931,INSUMOS_AUX!$A$3:$H$813,3,0)</f>
        <v>MAT.</v>
      </c>
      <c r="D5931" s="156" t="s">
        <v>1444</v>
      </c>
      <c r="E5931" s="154" t="n">
        <v>1.84330875</v>
      </c>
      <c r="F5931" s="149" t="n">
        <f aca="false">IF(C5931="MAT.",VLOOKUP(A5931,INSUMOS_AUX!$A$3:$H$813,6,0),0)</f>
        <v>1.43</v>
      </c>
      <c r="G5931" s="149" t="n">
        <f aca="false">IF(C5931="M.O.",VLOOKUP(A5931,INSUMOS_AUX!A:F,6,0),0)</f>
        <v>0</v>
      </c>
    </row>
    <row r="5932" customFormat="false" ht="21" hidden="false" customHeight="false" outlineLevel="0" collapsed="false">
      <c r="A5932" s="154" t="n">
        <v>43460</v>
      </c>
      <c r="B5932" s="155" t="s">
        <v>1524</v>
      </c>
      <c r="C5932" s="148" t="str">
        <f aca="false">VLOOKUP($A5932,INSUMOS_AUX!$A$3:$H$813,3,0)</f>
        <v>MAT.</v>
      </c>
      <c r="D5932" s="156" t="s">
        <v>1444</v>
      </c>
      <c r="E5932" s="154" t="n">
        <v>1.578</v>
      </c>
      <c r="F5932" s="149" t="n">
        <f aca="false">IF(C5932="MAT.",VLOOKUP(A5932,INSUMOS_AUX!$A$3:$H$813,6,0),0)</f>
        <v>0.86</v>
      </c>
      <c r="G5932" s="149" t="n">
        <f aca="false">IF(C5932="M.O.",VLOOKUP(A5932,INSUMOS_AUX!A:F,6,0),0)</f>
        <v>0</v>
      </c>
    </row>
    <row r="5933" customFormat="false" ht="21" hidden="false" customHeight="false" outlineLevel="0" collapsed="false">
      <c r="A5933" s="154" t="n">
        <v>43467</v>
      </c>
      <c r="B5933" s="155" t="s">
        <v>1459</v>
      </c>
      <c r="C5933" s="148" t="str">
        <f aca="false">VLOOKUP($A5933,INSUMOS_AUX!$A$3:$H$813,3,0)</f>
        <v>MAT.</v>
      </c>
      <c r="D5933" s="156" t="s">
        <v>1444</v>
      </c>
      <c r="E5933" s="154" t="n">
        <v>0.26530875</v>
      </c>
      <c r="F5933" s="149" t="n">
        <f aca="false">IF(C5933="MAT.",VLOOKUP(A5933,INSUMOS_AUX!$A$3:$H$813,6,0),0)</f>
        <v>0.61</v>
      </c>
      <c r="G5933" s="149" t="n">
        <f aca="false">IF(C5933="M.O.",VLOOKUP(A5933,INSUMOS_AUX!A:F,6,0),0)</f>
        <v>0</v>
      </c>
    </row>
    <row r="5934" customFormat="false" ht="21" hidden="false" customHeight="false" outlineLevel="0" collapsed="false">
      <c r="A5934" s="154" t="n">
        <v>37373</v>
      </c>
      <c r="B5934" s="155" t="s">
        <v>1448</v>
      </c>
      <c r="C5934" s="148" t="str">
        <f aca="false">VLOOKUP($A5934,INSUMOS_AUX!$A$3:$H$813,3,0)</f>
        <v>MAT.</v>
      </c>
      <c r="D5934" s="156" t="s">
        <v>1444</v>
      </c>
      <c r="E5934" s="154" t="n">
        <v>1.84330875</v>
      </c>
      <c r="F5934" s="149" t="n">
        <f aca="false">IF(C5934="MAT.",VLOOKUP(A5934,INSUMOS_AUX!$A$3:$H$813,6,0),0)</f>
        <v>0.08</v>
      </c>
      <c r="G5934" s="149" t="n">
        <f aca="false">IF(C5934="M.O.",VLOOKUP(A5934,INSUMOS_AUX!A:F,6,0),0)</f>
        <v>0</v>
      </c>
    </row>
    <row r="5935" customFormat="false" ht="21" hidden="false" customHeight="false" outlineLevel="0" collapsed="false">
      <c r="A5935" s="154" t="n">
        <v>37371</v>
      </c>
      <c r="B5935" s="155" t="s">
        <v>1449</v>
      </c>
      <c r="C5935" s="148" t="str">
        <f aca="false">VLOOKUP($A5935,INSUMOS_AUX!$A$3:$H$813,3,0)</f>
        <v>MAT.</v>
      </c>
      <c r="D5935" s="156" t="s">
        <v>1444</v>
      </c>
      <c r="E5935" s="154" t="n">
        <v>1.84330875</v>
      </c>
      <c r="F5935" s="149" t="n">
        <f aca="false">IF(C5935="MAT.",VLOOKUP(A5935,INSUMOS_AUX!$A$3:$H$813,6,0),0)</f>
        <v>0.59</v>
      </c>
      <c r="G5935" s="149" t="n">
        <f aca="false">IF(C5935="M.O.",VLOOKUP(A5935,INSUMOS_AUX!A:F,6,0),0)</f>
        <v>0</v>
      </c>
    </row>
    <row r="5936" customFormat="false" ht="21" hidden="false" customHeight="false" outlineLevel="0" collapsed="false">
      <c r="A5936" s="154" t="n">
        <v>370</v>
      </c>
      <c r="B5936" s="155" t="s">
        <v>1527</v>
      </c>
      <c r="C5936" s="148" t="str">
        <f aca="false">VLOOKUP($A5936,INSUMOS_AUX!$A$3:$H$813,3,0)</f>
        <v>MAT.</v>
      </c>
      <c r="D5936" s="156" t="s">
        <v>1442</v>
      </c>
      <c r="E5936" s="154" t="n">
        <v>0.027405</v>
      </c>
      <c r="F5936" s="149" t="n">
        <f aca="false">IF(C5936="MAT.",VLOOKUP(A5936,INSUMOS_AUX!$A$3:$H$813,6,0),0)</f>
        <v>150</v>
      </c>
      <c r="G5936" s="149" t="n">
        <f aca="false">IF(C5936="M.O.",VLOOKUP(A5936,INSUMOS_AUX!A:F,6,0),0)</f>
        <v>0</v>
      </c>
    </row>
    <row r="5937" customFormat="false" ht="15" hidden="false" customHeight="false" outlineLevel="0" collapsed="false">
      <c r="A5937" s="154" t="n">
        <v>1106</v>
      </c>
      <c r="B5937" s="155" t="s">
        <v>1745</v>
      </c>
      <c r="C5937" s="148" t="str">
        <f aca="false">VLOOKUP($A5937,INSUMOS_AUX!$A$3:$H$813,3,0)</f>
        <v>MAT.</v>
      </c>
      <c r="D5937" s="156" t="s">
        <v>1513</v>
      </c>
      <c r="E5937" s="154" t="n">
        <v>2.74995</v>
      </c>
      <c r="F5937" s="149" t="n">
        <f aca="false">IF(C5937="MAT.",VLOOKUP(A5937,INSUMOS_AUX!$A$3:$H$813,6,0),0)</f>
        <v>1.39</v>
      </c>
      <c r="G5937" s="149" t="n">
        <f aca="false">IF(C5937="M.O.",VLOOKUP(A5937,INSUMOS_AUX!A:F,6,0),0)</f>
        <v>0</v>
      </c>
    </row>
    <row r="5938" customFormat="false" ht="15" hidden="false" customHeight="false" outlineLevel="0" collapsed="false">
      <c r="A5938" s="154" t="n">
        <v>1379</v>
      </c>
      <c r="B5938" s="155" t="s">
        <v>1535</v>
      </c>
      <c r="C5938" s="148" t="str">
        <f aca="false">VLOOKUP($A5938,INSUMOS_AUX!$A$3:$H$813,3,0)</f>
        <v>MAT.</v>
      </c>
      <c r="D5938" s="156" t="s">
        <v>1513</v>
      </c>
      <c r="E5938" s="154" t="n">
        <v>6.18715125</v>
      </c>
      <c r="F5938" s="149" t="n">
        <f aca="false">IF(C5938="MAT.",VLOOKUP(A5938,INSUMOS_AUX!$A$3:$H$813,6,0),0)</f>
        <v>0.72</v>
      </c>
      <c r="G5938" s="149" t="n">
        <f aca="false">IF(C5938="M.O.",VLOOKUP(A5938,INSUMOS_AUX!A:F,6,0),0)</f>
        <v>0</v>
      </c>
    </row>
    <row r="5939" customFormat="false" ht="31.5" hidden="false" customHeight="false" outlineLevel="0" collapsed="false">
      <c r="A5939" s="154" t="s">
        <v>2496</v>
      </c>
      <c r="B5939" s="155" t="s">
        <v>2497</v>
      </c>
      <c r="C5939" s="148" t="str">
        <f aca="false">VLOOKUP($A5939,INSUMOS_AUX!$A$3:$H$813,3,0)</f>
        <v>MAT.</v>
      </c>
      <c r="D5939" s="156" t="s">
        <v>31</v>
      </c>
      <c r="E5939" s="154" t="n">
        <v>1</v>
      </c>
      <c r="F5939" s="149" t="n">
        <f aca="false">IF(C5939="MAT.",VLOOKUP(A5939,INSUMOS_AUX!$A$3:$H$813,6,0),0)</f>
        <v>1426.16</v>
      </c>
      <c r="G5939" s="149" t="n">
        <f aca="false">IF(C5939="M.O.",VLOOKUP(A5939,INSUMOS_AUX!A:F,6,0),0)</f>
        <v>0</v>
      </c>
    </row>
    <row r="5940" customFormat="false" ht="15" hidden="false" customHeight="false" outlineLevel="0" collapsed="false">
      <c r="A5940" s="154" t="n">
        <v>247</v>
      </c>
      <c r="B5940" s="155" t="s">
        <v>1554</v>
      </c>
      <c r="C5940" s="148" t="str">
        <f aca="false">VLOOKUP($A5940,INSUMOS_AUX!$A$3:$H$813,3,0)</f>
        <v>M.O.</v>
      </c>
      <c r="D5940" s="156" t="s">
        <v>1444</v>
      </c>
      <c r="E5940" s="154" t="n">
        <v>0.81844548</v>
      </c>
      <c r="F5940" s="149" t="n">
        <f aca="false">IF(C5940="MAT.",VLOOKUP(A5940,INSUMOS_AUX!$A$3:$H$813,6,0),0)</f>
        <v>0</v>
      </c>
      <c r="G5940" s="149" t="n">
        <f aca="false">IF(C5940="M.O.",VLOOKUP(A5940,INSUMOS_AUX!A:F,6,0),0)</f>
        <v>13.26</v>
      </c>
    </row>
    <row r="5941" customFormat="false" ht="15" hidden="false" customHeight="false" outlineLevel="0" collapsed="false">
      <c r="A5941" s="154" t="n">
        <v>2436</v>
      </c>
      <c r="B5941" s="155" t="s">
        <v>1557</v>
      </c>
      <c r="C5941" s="148" t="str">
        <f aca="false">VLOOKUP($A5941,INSUMOS_AUX!$A$3:$H$813,3,0)</f>
        <v>M.O.</v>
      </c>
      <c r="D5941" s="156" t="s">
        <v>1444</v>
      </c>
      <c r="E5941" s="154" t="n">
        <v>0.81844548</v>
      </c>
      <c r="F5941" s="149" t="n">
        <f aca="false">IF(C5941="MAT.",VLOOKUP(A5941,INSUMOS_AUX!$A$3:$H$813,6,0),0)</f>
        <v>0</v>
      </c>
      <c r="G5941" s="149" t="n">
        <f aca="false">IF(C5941="M.O.",VLOOKUP(A5941,INSUMOS_AUX!A:F,6,0),0)</f>
        <v>20.22</v>
      </c>
    </row>
    <row r="5942" customFormat="false" ht="15" hidden="false" customHeight="false" outlineLevel="0" collapsed="false">
      <c r="A5942" s="154" t="n">
        <v>6111</v>
      </c>
      <c r="B5942" s="155" t="s">
        <v>1464</v>
      </c>
      <c r="C5942" s="148" t="str">
        <f aca="false">VLOOKUP($A5942,INSUMOS_AUX!$A$3:$H$813,3,0)</f>
        <v>M.O.</v>
      </c>
      <c r="D5942" s="156" t="s">
        <v>1444</v>
      </c>
      <c r="E5942" s="154" t="n">
        <v>0.2709332955</v>
      </c>
      <c r="F5942" s="149" t="n">
        <f aca="false">IF(C5942="MAT.",VLOOKUP(A5942,INSUMOS_AUX!$A$3:$H$813,6,0),0)</f>
        <v>0</v>
      </c>
      <c r="G5942" s="149" t="n">
        <f aca="false">IF(C5942="M.O.",VLOOKUP(A5942,INSUMOS_AUX!A:F,6,0),0)</f>
        <v>12.95</v>
      </c>
    </row>
    <row r="5943" customFormat="false" ht="31.5" hidden="false" customHeight="false" outlineLevel="0" collapsed="false">
      <c r="A5943" s="150" t="s">
        <v>983</v>
      </c>
      <c r="B5943" s="151" t="s">
        <v>2498</v>
      </c>
      <c r="C5943" s="152" t="s">
        <v>59</v>
      </c>
      <c r="D5943" s="152" t="s">
        <v>31</v>
      </c>
      <c r="E5943" s="150"/>
      <c r="F5943" s="153" t="n">
        <f aca="false">(SUMPRODUCT($E5944:$E5958,F5944:F5958))*1</f>
        <v>2697.326504455</v>
      </c>
      <c r="G5943" s="153" t="n">
        <f aca="false">(SUMPRODUCT($E5944:$E5958,G5944:G5958))*1</f>
        <v>28.344855386295</v>
      </c>
    </row>
    <row r="5944" customFormat="false" ht="21" hidden="false" customHeight="false" outlineLevel="0" collapsed="false">
      <c r="A5944" s="154" t="n">
        <v>37370</v>
      </c>
      <c r="B5944" s="155" t="s">
        <v>1443</v>
      </c>
      <c r="C5944" s="148" t="str">
        <f aca="false">VLOOKUP($A5944,INSUMOS_AUX!$A$3:$H$813,3,0)</f>
        <v>MAT.</v>
      </c>
      <c r="D5944" s="156" t="s">
        <v>1444</v>
      </c>
      <c r="E5944" s="154" t="n">
        <v>2.60583225</v>
      </c>
      <c r="F5944" s="149" t="n">
        <f aca="false">IF(C5944="MAT.",VLOOKUP(A5944,INSUMOS_AUX!$A$3:$H$813,6,0),0)</f>
        <v>3.32</v>
      </c>
      <c r="G5944" s="149" t="n">
        <f aca="false">IF(C5944="M.O.",VLOOKUP(A5944,INSUMOS_AUX!A:F,6,0),0)</f>
        <v>0</v>
      </c>
    </row>
    <row r="5945" customFormat="false" ht="21" hidden="false" customHeight="false" outlineLevel="0" collapsed="false">
      <c r="A5945" s="154" t="n">
        <v>43484</v>
      </c>
      <c r="B5945" s="155" t="s">
        <v>1523</v>
      </c>
      <c r="C5945" s="148" t="str">
        <f aca="false">VLOOKUP($A5945,INSUMOS_AUX!$A$3:$H$813,3,0)</f>
        <v>MAT.</v>
      </c>
      <c r="D5945" s="156" t="s">
        <v>1444</v>
      </c>
      <c r="E5945" s="154" t="n">
        <v>2.2344</v>
      </c>
      <c r="F5945" s="149" t="n">
        <f aca="false">IF(C5945="MAT.",VLOOKUP(A5945,INSUMOS_AUX!$A$3:$H$813,6,0),0)</f>
        <v>1.26</v>
      </c>
      <c r="G5945" s="149" t="n">
        <f aca="false">IF(C5945="M.O.",VLOOKUP(A5945,INSUMOS_AUX!A:F,6,0),0)</f>
        <v>0</v>
      </c>
    </row>
    <row r="5946" customFormat="false" ht="21" hidden="false" customHeight="false" outlineLevel="0" collapsed="false">
      <c r="A5946" s="154" t="n">
        <v>43491</v>
      </c>
      <c r="B5946" s="155" t="s">
        <v>1457</v>
      </c>
      <c r="C5946" s="148" t="str">
        <f aca="false">VLOOKUP($A5946,INSUMOS_AUX!$A$3:$H$813,3,0)</f>
        <v>MAT.</v>
      </c>
      <c r="D5946" s="156" t="s">
        <v>1444</v>
      </c>
      <c r="E5946" s="154" t="n">
        <v>0.37143225</v>
      </c>
      <c r="F5946" s="149" t="n">
        <f aca="false">IF(C5946="MAT.",VLOOKUP(A5946,INSUMOS_AUX!$A$3:$H$813,6,0),0)</f>
        <v>1.39</v>
      </c>
      <c r="G5946" s="149" t="n">
        <f aca="false">IF(C5946="M.O.",VLOOKUP(A5946,INSUMOS_AUX!A:F,6,0),0)</f>
        <v>0</v>
      </c>
    </row>
    <row r="5947" customFormat="false" ht="21" hidden="false" customHeight="false" outlineLevel="0" collapsed="false">
      <c r="A5947" s="154" t="n">
        <v>37372</v>
      </c>
      <c r="B5947" s="155" t="s">
        <v>1446</v>
      </c>
      <c r="C5947" s="148" t="str">
        <f aca="false">VLOOKUP($A5947,INSUMOS_AUX!$A$3:$H$813,3,0)</f>
        <v>MAT.</v>
      </c>
      <c r="D5947" s="156" t="s">
        <v>1444</v>
      </c>
      <c r="E5947" s="154" t="n">
        <v>2.60583225</v>
      </c>
      <c r="F5947" s="149" t="n">
        <f aca="false">IF(C5947="MAT.",VLOOKUP(A5947,INSUMOS_AUX!$A$3:$H$813,6,0),0)</f>
        <v>1.43</v>
      </c>
      <c r="G5947" s="149" t="n">
        <f aca="false">IF(C5947="M.O.",VLOOKUP(A5947,INSUMOS_AUX!A:F,6,0),0)</f>
        <v>0</v>
      </c>
    </row>
    <row r="5948" customFormat="false" ht="21" hidden="false" customHeight="false" outlineLevel="0" collapsed="false">
      <c r="A5948" s="154" t="n">
        <v>43460</v>
      </c>
      <c r="B5948" s="155" t="s">
        <v>1524</v>
      </c>
      <c r="C5948" s="148" t="str">
        <f aca="false">VLOOKUP($A5948,INSUMOS_AUX!$A$3:$H$813,3,0)</f>
        <v>MAT.</v>
      </c>
      <c r="D5948" s="156" t="s">
        <v>1444</v>
      </c>
      <c r="E5948" s="154" t="n">
        <v>2.2344</v>
      </c>
      <c r="F5948" s="149" t="n">
        <f aca="false">IF(C5948="MAT.",VLOOKUP(A5948,INSUMOS_AUX!$A$3:$H$813,6,0),0)</f>
        <v>0.86</v>
      </c>
      <c r="G5948" s="149" t="n">
        <f aca="false">IF(C5948="M.O.",VLOOKUP(A5948,INSUMOS_AUX!A:F,6,0),0)</f>
        <v>0</v>
      </c>
    </row>
    <row r="5949" customFormat="false" ht="21" hidden="false" customHeight="false" outlineLevel="0" collapsed="false">
      <c r="A5949" s="154" t="n">
        <v>43467</v>
      </c>
      <c r="B5949" s="155" t="s">
        <v>1459</v>
      </c>
      <c r="C5949" s="148" t="str">
        <f aca="false">VLOOKUP($A5949,INSUMOS_AUX!$A$3:$H$813,3,0)</f>
        <v>MAT.</v>
      </c>
      <c r="D5949" s="156" t="s">
        <v>1444</v>
      </c>
      <c r="E5949" s="154" t="n">
        <v>0.37143225</v>
      </c>
      <c r="F5949" s="149" t="n">
        <f aca="false">IF(C5949="MAT.",VLOOKUP(A5949,INSUMOS_AUX!$A$3:$H$813,6,0),0)</f>
        <v>0.61</v>
      </c>
      <c r="G5949" s="149" t="n">
        <f aca="false">IF(C5949="M.O.",VLOOKUP(A5949,INSUMOS_AUX!A:F,6,0),0)</f>
        <v>0</v>
      </c>
    </row>
    <row r="5950" customFormat="false" ht="21" hidden="false" customHeight="false" outlineLevel="0" collapsed="false">
      <c r="A5950" s="154" t="n">
        <v>37373</v>
      </c>
      <c r="B5950" s="155" t="s">
        <v>1448</v>
      </c>
      <c r="C5950" s="148" t="str">
        <f aca="false">VLOOKUP($A5950,INSUMOS_AUX!$A$3:$H$813,3,0)</f>
        <v>MAT.</v>
      </c>
      <c r="D5950" s="156" t="s">
        <v>1444</v>
      </c>
      <c r="E5950" s="154" t="n">
        <v>2.60583225</v>
      </c>
      <c r="F5950" s="149" t="n">
        <f aca="false">IF(C5950="MAT.",VLOOKUP(A5950,INSUMOS_AUX!$A$3:$H$813,6,0),0)</f>
        <v>0.08</v>
      </c>
      <c r="G5950" s="149" t="n">
        <f aca="false">IF(C5950="M.O.",VLOOKUP(A5950,INSUMOS_AUX!A:F,6,0),0)</f>
        <v>0</v>
      </c>
    </row>
    <row r="5951" customFormat="false" ht="21" hidden="false" customHeight="false" outlineLevel="0" collapsed="false">
      <c r="A5951" s="154" t="n">
        <v>37371</v>
      </c>
      <c r="B5951" s="155" t="s">
        <v>1449</v>
      </c>
      <c r="C5951" s="148" t="str">
        <f aca="false">VLOOKUP($A5951,INSUMOS_AUX!$A$3:$H$813,3,0)</f>
        <v>MAT.</v>
      </c>
      <c r="D5951" s="156" t="s">
        <v>1444</v>
      </c>
      <c r="E5951" s="154" t="n">
        <v>2.60583225</v>
      </c>
      <c r="F5951" s="149" t="n">
        <f aca="false">IF(C5951="MAT.",VLOOKUP(A5951,INSUMOS_AUX!$A$3:$H$813,6,0),0)</f>
        <v>0.59</v>
      </c>
      <c r="G5951" s="149" t="n">
        <f aca="false">IF(C5951="M.O.",VLOOKUP(A5951,INSUMOS_AUX!A:F,6,0),0)</f>
        <v>0</v>
      </c>
    </row>
    <row r="5952" customFormat="false" ht="21" hidden="false" customHeight="false" outlineLevel="0" collapsed="false">
      <c r="A5952" s="154" t="n">
        <v>370</v>
      </c>
      <c r="B5952" s="155" t="s">
        <v>1527</v>
      </c>
      <c r="C5952" s="148" t="str">
        <f aca="false">VLOOKUP($A5952,INSUMOS_AUX!$A$3:$H$813,3,0)</f>
        <v>MAT.</v>
      </c>
      <c r="D5952" s="156" t="s">
        <v>1442</v>
      </c>
      <c r="E5952" s="154" t="n">
        <v>0.038367</v>
      </c>
      <c r="F5952" s="149" t="n">
        <f aca="false">IF(C5952="MAT.",VLOOKUP(A5952,INSUMOS_AUX!$A$3:$H$813,6,0),0)</f>
        <v>150</v>
      </c>
      <c r="G5952" s="149" t="n">
        <f aca="false">IF(C5952="M.O.",VLOOKUP(A5952,INSUMOS_AUX!A:F,6,0),0)</f>
        <v>0</v>
      </c>
    </row>
    <row r="5953" customFormat="false" ht="15" hidden="false" customHeight="false" outlineLevel="0" collapsed="false">
      <c r="A5953" s="154" t="n">
        <v>1106</v>
      </c>
      <c r="B5953" s="155" t="s">
        <v>1745</v>
      </c>
      <c r="C5953" s="148" t="str">
        <f aca="false">VLOOKUP($A5953,INSUMOS_AUX!$A$3:$H$813,3,0)</f>
        <v>MAT.</v>
      </c>
      <c r="D5953" s="156" t="s">
        <v>1513</v>
      </c>
      <c r="E5953" s="154" t="n">
        <v>3.84993</v>
      </c>
      <c r="F5953" s="149" t="n">
        <f aca="false">IF(C5953="MAT.",VLOOKUP(A5953,INSUMOS_AUX!$A$3:$H$813,6,0),0)</f>
        <v>1.39</v>
      </c>
      <c r="G5953" s="149" t="n">
        <f aca="false">IF(C5953="M.O.",VLOOKUP(A5953,INSUMOS_AUX!A:F,6,0),0)</f>
        <v>0</v>
      </c>
    </row>
    <row r="5954" customFormat="false" ht="15" hidden="false" customHeight="false" outlineLevel="0" collapsed="false">
      <c r="A5954" s="154" t="n">
        <v>1379</v>
      </c>
      <c r="B5954" s="155" t="s">
        <v>1535</v>
      </c>
      <c r="C5954" s="148" t="str">
        <f aca="false">VLOOKUP($A5954,INSUMOS_AUX!$A$3:$H$813,3,0)</f>
        <v>MAT.</v>
      </c>
      <c r="D5954" s="156" t="s">
        <v>1513</v>
      </c>
      <c r="E5954" s="154" t="n">
        <v>8.66201175</v>
      </c>
      <c r="F5954" s="149" t="n">
        <f aca="false">IF(C5954="MAT.",VLOOKUP(A5954,INSUMOS_AUX!$A$3:$H$813,6,0),0)</f>
        <v>0.72</v>
      </c>
      <c r="G5954" s="149" t="n">
        <f aca="false">IF(C5954="M.O.",VLOOKUP(A5954,INSUMOS_AUX!A:F,6,0),0)</f>
        <v>0</v>
      </c>
    </row>
    <row r="5955" customFormat="false" ht="31.5" hidden="false" customHeight="false" outlineLevel="0" collapsed="false">
      <c r="A5955" s="154" t="s">
        <v>2499</v>
      </c>
      <c r="B5955" s="155" t="s">
        <v>2500</v>
      </c>
      <c r="C5955" s="148" t="str">
        <f aca="false">VLOOKUP($A5955,INSUMOS_AUX!$A$3:$H$813,3,0)</f>
        <v>MAT.</v>
      </c>
      <c r="D5955" s="156" t="s">
        <v>31</v>
      </c>
      <c r="E5955" s="154" t="n">
        <v>1</v>
      </c>
      <c r="F5955" s="149" t="n">
        <f aca="false">IF(C5955="MAT.",VLOOKUP(A5955,INSUMOS_AUX!$A$3:$H$813,6,0),0)</f>
        <v>2660.38</v>
      </c>
      <c r="G5955" s="149" t="n">
        <f aca="false">IF(C5955="M.O.",VLOOKUP(A5955,INSUMOS_AUX!A:F,6,0),0)</f>
        <v>0</v>
      </c>
    </row>
    <row r="5956" customFormat="false" ht="15" hidden="false" customHeight="false" outlineLevel="0" collapsed="false">
      <c r="A5956" s="154" t="n">
        <v>247</v>
      </c>
      <c r="B5956" s="155" t="s">
        <v>1554</v>
      </c>
      <c r="C5956" s="148" t="s">
        <v>59</v>
      </c>
      <c r="D5956" s="156" t="s">
        <v>1444</v>
      </c>
      <c r="E5956" s="154" t="n">
        <v>1.158893904</v>
      </c>
      <c r="F5956" s="149" t="n">
        <f aca="false">IF(C5956="MAT.",VLOOKUP(A5956,INSUMOS_AUX!$A$3:$H$813,6,0),0)</f>
        <v>0</v>
      </c>
      <c r="G5956" s="149" t="n">
        <f aca="false">IF(C5956="M.O.",VLOOKUP(A5956,INSUMOS_AUX!A:F,6,0),0)</f>
        <v>0</v>
      </c>
    </row>
    <row r="5957" customFormat="false" ht="15" hidden="false" customHeight="false" outlineLevel="0" collapsed="false">
      <c r="A5957" s="154" t="n">
        <v>2436</v>
      </c>
      <c r="B5957" s="155" t="s">
        <v>1557</v>
      </c>
      <c r="C5957" s="148" t="str">
        <f aca="false">VLOOKUP($A5957,INSUMOS_AUX!$A$3:$H$813,3,0)</f>
        <v>M.O.</v>
      </c>
      <c r="D5957" s="156" t="s">
        <v>1444</v>
      </c>
      <c r="E5957" s="154" t="n">
        <v>1.158893904</v>
      </c>
      <c r="F5957" s="149" t="n">
        <f aca="false">IF(C5957="MAT.",VLOOKUP(A5957,INSUMOS_AUX!$A$3:$H$813,6,0),0)</f>
        <v>0</v>
      </c>
      <c r="G5957" s="149" t="n">
        <f aca="false">IF(C5957="M.O.",VLOOKUP(A5957,INSUMOS_AUX!A:F,6,0),0)</f>
        <v>20.22</v>
      </c>
    </row>
    <row r="5958" customFormat="false" ht="15" hidden="false" customHeight="false" outlineLevel="0" collapsed="false">
      <c r="A5958" s="154" t="n">
        <v>6111</v>
      </c>
      <c r="B5958" s="155" t="s">
        <v>1464</v>
      </c>
      <c r="C5958" s="148" t="str">
        <f aca="false">VLOOKUP($A5958,INSUMOS_AUX!$A$3:$H$813,3,0)</f>
        <v>M.O.</v>
      </c>
      <c r="D5958" s="156" t="s">
        <v>1444</v>
      </c>
      <c r="E5958" s="154" t="n">
        <v>0.3793066137</v>
      </c>
      <c r="F5958" s="149" t="n">
        <f aca="false">IF(C5958="MAT.",VLOOKUP(A5958,INSUMOS_AUX!$A$3:$H$813,6,0),0)</f>
        <v>0</v>
      </c>
      <c r="G5958" s="149" t="n">
        <f aca="false">IF(C5958="M.O.",VLOOKUP(A5958,INSUMOS_AUX!A:F,6,0),0)</f>
        <v>12.95</v>
      </c>
    </row>
    <row r="5959" customFormat="false" ht="21" hidden="false" customHeight="false" outlineLevel="0" collapsed="false">
      <c r="A5959" s="150" t="s">
        <v>987</v>
      </c>
      <c r="B5959" s="151" t="s">
        <v>2501</v>
      </c>
      <c r="C5959" s="152" t="s">
        <v>59</v>
      </c>
      <c r="D5959" s="152" t="s">
        <v>31</v>
      </c>
      <c r="E5959" s="150"/>
      <c r="F5959" s="153" t="n">
        <f aca="false">(SUMPRODUCT($E5960:$E5969,F5960:F5969))*1</f>
        <v>82.4280826666667</v>
      </c>
      <c r="G5959" s="153" t="n">
        <f aca="false">(SUMPRODUCT($E5960:$E5969,G5960:G5969))*1</f>
        <v>6.81674838</v>
      </c>
    </row>
    <row r="5960" customFormat="false" ht="21" hidden="false" customHeight="false" outlineLevel="0" collapsed="false">
      <c r="A5960" s="154" t="n">
        <v>37370</v>
      </c>
      <c r="B5960" s="155" t="s">
        <v>1443</v>
      </c>
      <c r="C5960" s="148" t="str">
        <f aca="false">VLOOKUP($A5960,INSUMOS_AUX!$A$3:$H$813,3,0)</f>
        <v>MAT.</v>
      </c>
      <c r="D5960" s="156" t="s">
        <v>1444</v>
      </c>
      <c r="E5960" s="154" t="n">
        <v>0.4604</v>
      </c>
      <c r="F5960" s="149" t="n">
        <f aca="false">IF(C5960="MAT.",VLOOKUP(A5960,INSUMOS_AUX!$A$3:$H$813,6,0),0)</f>
        <v>3.32</v>
      </c>
      <c r="G5960" s="149" t="n">
        <f aca="false">IF(C5960="M.O.",VLOOKUP(A5960,INSUMOS_AUX!A:F,6,0),0)</f>
        <v>0</v>
      </c>
    </row>
    <row r="5961" customFormat="false" ht="21" hidden="false" customHeight="false" outlineLevel="0" collapsed="false">
      <c r="A5961" s="154" t="n">
        <v>43484</v>
      </c>
      <c r="B5961" s="155" t="s">
        <v>1523</v>
      </c>
      <c r="C5961" s="148" t="str">
        <f aca="false">VLOOKUP($A5961,INSUMOS_AUX!$A$3:$H$813,3,0)</f>
        <v>MAT.</v>
      </c>
      <c r="D5961" s="156" t="s">
        <v>1444</v>
      </c>
      <c r="E5961" s="154" t="n">
        <v>0.4604</v>
      </c>
      <c r="F5961" s="149" t="n">
        <f aca="false">IF(C5961="MAT.",VLOOKUP(A5961,INSUMOS_AUX!$A$3:$H$813,6,0),0)</f>
        <v>1.26</v>
      </c>
      <c r="G5961" s="149" t="n">
        <f aca="false">IF(C5961="M.O.",VLOOKUP(A5961,INSUMOS_AUX!A:F,6,0),0)</f>
        <v>0</v>
      </c>
    </row>
    <row r="5962" customFormat="false" ht="21" hidden="false" customHeight="false" outlineLevel="0" collapsed="false">
      <c r="A5962" s="154" t="n">
        <v>37372</v>
      </c>
      <c r="B5962" s="155" t="s">
        <v>1446</v>
      </c>
      <c r="C5962" s="148" t="str">
        <f aca="false">VLOOKUP($A5962,INSUMOS_AUX!$A$3:$H$813,3,0)</f>
        <v>MAT.</v>
      </c>
      <c r="D5962" s="156" t="s">
        <v>1444</v>
      </c>
      <c r="E5962" s="154" t="n">
        <v>0.4604</v>
      </c>
      <c r="F5962" s="149" t="n">
        <f aca="false">IF(C5962="MAT.",VLOOKUP(A5962,INSUMOS_AUX!$A$3:$H$813,6,0),0)</f>
        <v>1.43</v>
      </c>
      <c r="G5962" s="149" t="n">
        <f aca="false">IF(C5962="M.O.",VLOOKUP(A5962,INSUMOS_AUX!A:F,6,0),0)</f>
        <v>0</v>
      </c>
    </row>
    <row r="5963" customFormat="false" ht="21" hidden="false" customHeight="false" outlineLevel="0" collapsed="false">
      <c r="A5963" s="154" t="n">
        <v>43460</v>
      </c>
      <c r="B5963" s="155" t="s">
        <v>1524</v>
      </c>
      <c r="C5963" s="148" t="str">
        <f aca="false">VLOOKUP($A5963,INSUMOS_AUX!$A$3:$H$813,3,0)</f>
        <v>MAT.</v>
      </c>
      <c r="D5963" s="156" t="s">
        <v>1444</v>
      </c>
      <c r="E5963" s="154" t="n">
        <v>0.4604</v>
      </c>
      <c r="F5963" s="149" t="n">
        <f aca="false">IF(C5963="MAT.",VLOOKUP(A5963,INSUMOS_AUX!$A$3:$H$813,6,0),0)</f>
        <v>0.86</v>
      </c>
      <c r="G5963" s="149" t="n">
        <f aca="false">IF(C5963="M.O.",VLOOKUP(A5963,INSUMOS_AUX!A:F,6,0),0)</f>
        <v>0</v>
      </c>
    </row>
    <row r="5964" customFormat="false" ht="21" hidden="false" customHeight="false" outlineLevel="0" collapsed="false">
      <c r="A5964" s="154" t="n">
        <v>37373</v>
      </c>
      <c r="B5964" s="155" t="s">
        <v>1448</v>
      </c>
      <c r="C5964" s="148" t="str">
        <f aca="false">VLOOKUP($A5964,INSUMOS_AUX!$A$3:$H$813,3,0)</f>
        <v>MAT.</v>
      </c>
      <c r="D5964" s="156" t="s">
        <v>1444</v>
      </c>
      <c r="E5964" s="154" t="n">
        <v>0.4604</v>
      </c>
      <c r="F5964" s="149" t="n">
        <f aca="false">IF(C5964="MAT.",VLOOKUP(A5964,INSUMOS_AUX!$A$3:$H$813,6,0),0)</f>
        <v>0.08</v>
      </c>
      <c r="G5964" s="149" t="n">
        <f aca="false">IF(C5964="M.O.",VLOOKUP(A5964,INSUMOS_AUX!A:F,6,0),0)</f>
        <v>0</v>
      </c>
    </row>
    <row r="5965" customFormat="false" ht="21" hidden="false" customHeight="false" outlineLevel="0" collapsed="false">
      <c r="A5965" s="154" t="n">
        <v>37371</v>
      </c>
      <c r="B5965" s="155" t="s">
        <v>1449</v>
      </c>
      <c r="C5965" s="148" t="str">
        <f aca="false">VLOOKUP($A5965,INSUMOS_AUX!$A$3:$H$813,3,0)</f>
        <v>MAT.</v>
      </c>
      <c r="D5965" s="156" t="s">
        <v>1444</v>
      </c>
      <c r="E5965" s="154" t="n">
        <v>0.4604</v>
      </c>
      <c r="F5965" s="149" t="n">
        <f aca="false">IF(C5965="MAT.",VLOOKUP(A5965,INSUMOS_AUX!$A$3:$H$813,6,0),0)</f>
        <v>0.59</v>
      </c>
      <c r="G5965" s="149" t="n">
        <f aca="false">IF(C5965="M.O.",VLOOKUP(A5965,INSUMOS_AUX!A:F,6,0),0)</f>
        <v>0</v>
      </c>
    </row>
    <row r="5966" customFormat="false" ht="15" hidden="false" customHeight="false" outlineLevel="0" collapsed="false">
      <c r="A5966" s="154" t="n">
        <v>39386</v>
      </c>
      <c r="B5966" s="155" t="s">
        <v>2502</v>
      </c>
      <c r="C5966" s="148" t="str">
        <f aca="false">VLOOKUP($A5966,INSUMOS_AUX!$A$3:$H$813,3,0)</f>
        <v>MAT.</v>
      </c>
      <c r="D5966" s="156" t="s">
        <v>31</v>
      </c>
      <c r="E5966" s="154" t="n">
        <v>2</v>
      </c>
      <c r="F5966" s="149" t="n">
        <f aca="false">IF(C5966="MAT.",VLOOKUP(A5966,INSUMOS_AUX!$A$3:$H$813,6,0),0)</f>
        <v>6.15</v>
      </c>
      <c r="G5966" s="149" t="n">
        <f aca="false">IF(C5966="M.O.",VLOOKUP(A5966,INSUMOS_AUX!A:F,6,0),0)</f>
        <v>0</v>
      </c>
    </row>
    <row r="5967" customFormat="false" ht="21" hidden="false" customHeight="false" outlineLevel="0" collapsed="false">
      <c r="A5967" s="154" t="s">
        <v>2503</v>
      </c>
      <c r="B5967" s="155" t="s">
        <v>2504</v>
      </c>
      <c r="C5967" s="148" t="str">
        <f aca="false">VLOOKUP($A5967,INSUMOS_AUX!$A$3:$H$813,3,0)</f>
        <v>MAT.</v>
      </c>
      <c r="D5967" s="156" t="s">
        <v>31</v>
      </c>
      <c r="E5967" s="154" t="n">
        <v>1</v>
      </c>
      <c r="F5967" s="149" t="n">
        <f aca="false">IF(C5967="MAT.",VLOOKUP(A5967,INSUMOS_AUX!$A$3:$H$813,6,0),0)</f>
        <v>66.6566666666667</v>
      </c>
      <c r="G5967" s="149" t="n">
        <f aca="false">IF(C5967="M.O.",VLOOKUP(A5967,INSUMOS_AUX!A:F,6,0),0)</f>
        <v>0</v>
      </c>
    </row>
    <row r="5968" customFormat="false" ht="15" hidden="false" customHeight="false" outlineLevel="0" collapsed="false">
      <c r="A5968" s="154" t="n">
        <v>247</v>
      </c>
      <c r="B5968" s="155" t="s">
        <v>1554</v>
      </c>
      <c r="C5968" s="148" t="s">
        <v>59</v>
      </c>
      <c r="D5968" s="156" t="s">
        <v>1444</v>
      </c>
      <c r="E5968" s="154" t="n">
        <v>0.140453128</v>
      </c>
      <c r="F5968" s="149" t="n">
        <f aca="false">IF(C5968="MAT.",VLOOKUP(A5968,INSUMOS_AUX!$A$3:$H$813,6,0),0)</f>
        <v>0</v>
      </c>
      <c r="G5968" s="149" t="n">
        <f aca="false">IF(C5968="M.O.",VLOOKUP(A5968,INSUMOS_AUX!A:F,6,0),0)</f>
        <v>0</v>
      </c>
    </row>
    <row r="5969" customFormat="false" ht="15" hidden="false" customHeight="false" outlineLevel="0" collapsed="false">
      <c r="A5969" s="154" t="n">
        <v>2436</v>
      </c>
      <c r="B5969" s="155" t="s">
        <v>1557</v>
      </c>
      <c r="C5969" s="148" t="str">
        <f aca="false">VLOOKUP($A5969,INSUMOS_AUX!$A$3:$H$813,3,0)</f>
        <v>M.O.</v>
      </c>
      <c r="D5969" s="156" t="s">
        <v>1444</v>
      </c>
      <c r="E5969" s="154" t="n">
        <v>0.337129</v>
      </c>
      <c r="F5969" s="149" t="n">
        <f aca="false">IF(C5969="MAT.",VLOOKUP(A5969,INSUMOS_AUX!$A$3:$H$813,6,0),0)</f>
        <v>0</v>
      </c>
      <c r="G5969" s="149" t="n">
        <f aca="false">IF(C5969="M.O.",VLOOKUP(A5969,INSUMOS_AUX!A:F,6,0),0)</f>
        <v>20.22</v>
      </c>
    </row>
    <row r="5970" customFormat="false" ht="21" hidden="false" customHeight="false" outlineLevel="0" collapsed="false">
      <c r="A5970" s="150" t="s">
        <v>989</v>
      </c>
      <c r="B5970" s="151" t="s">
        <v>2505</v>
      </c>
      <c r="C5970" s="152" t="s">
        <v>59</v>
      </c>
      <c r="D5970" s="152" t="s">
        <v>31</v>
      </c>
      <c r="E5970" s="150"/>
      <c r="F5970" s="153" t="n">
        <f aca="false">(SUMPRODUCT($E5971:$E5980,F5971:F5980))*1</f>
        <v>205.094749333333</v>
      </c>
      <c r="G5970" s="153" t="n">
        <f aca="false">(SUMPRODUCT($E5971:$E5980,G5971:G5980))*1</f>
        <v>1.86240847728</v>
      </c>
    </row>
    <row r="5971" customFormat="false" ht="21" hidden="false" customHeight="false" outlineLevel="0" collapsed="false">
      <c r="A5971" s="154" t="n">
        <v>37370</v>
      </c>
      <c r="B5971" s="155" t="s">
        <v>1443</v>
      </c>
      <c r="C5971" s="148" t="str">
        <f aca="false">VLOOKUP($A5971,INSUMOS_AUX!$A$3:$H$813,3,0)</f>
        <v>MAT.</v>
      </c>
      <c r="D5971" s="156" t="s">
        <v>1444</v>
      </c>
      <c r="E5971" s="154" t="n">
        <v>0.4604</v>
      </c>
      <c r="F5971" s="149" t="n">
        <f aca="false">IF(C5971="MAT.",VLOOKUP(A5971,INSUMOS_AUX!$A$3:$H$813,6,0),0)</f>
        <v>3.32</v>
      </c>
      <c r="G5971" s="149" t="n">
        <f aca="false">IF(C5971="M.O.",VLOOKUP(A5971,INSUMOS_AUX!A:F,6,0),0)</f>
        <v>0</v>
      </c>
    </row>
    <row r="5972" customFormat="false" ht="21" hidden="false" customHeight="false" outlineLevel="0" collapsed="false">
      <c r="A5972" s="154" t="n">
        <v>43484</v>
      </c>
      <c r="B5972" s="155" t="s">
        <v>1523</v>
      </c>
      <c r="C5972" s="148" t="str">
        <f aca="false">VLOOKUP($A5972,INSUMOS_AUX!$A$3:$H$813,3,0)</f>
        <v>MAT.</v>
      </c>
      <c r="D5972" s="156" t="s">
        <v>1444</v>
      </c>
      <c r="E5972" s="154" t="n">
        <v>0.4604</v>
      </c>
      <c r="F5972" s="149" t="n">
        <f aca="false">IF(C5972="MAT.",VLOOKUP(A5972,INSUMOS_AUX!$A$3:$H$813,6,0),0)</f>
        <v>1.26</v>
      </c>
      <c r="G5972" s="149" t="n">
        <f aca="false">IF(C5972="M.O.",VLOOKUP(A5972,INSUMOS_AUX!A:F,6,0),0)</f>
        <v>0</v>
      </c>
    </row>
    <row r="5973" customFormat="false" ht="21" hidden="false" customHeight="false" outlineLevel="0" collapsed="false">
      <c r="A5973" s="154" t="n">
        <v>37372</v>
      </c>
      <c r="B5973" s="155" t="s">
        <v>1446</v>
      </c>
      <c r="C5973" s="148" t="str">
        <f aca="false">VLOOKUP($A5973,INSUMOS_AUX!$A$3:$H$813,3,0)</f>
        <v>MAT.</v>
      </c>
      <c r="D5973" s="156" t="s">
        <v>1444</v>
      </c>
      <c r="E5973" s="154" t="n">
        <v>0.4604</v>
      </c>
      <c r="F5973" s="149" t="n">
        <f aca="false">IF(C5973="MAT.",VLOOKUP(A5973,INSUMOS_AUX!$A$3:$H$813,6,0),0)</f>
        <v>1.43</v>
      </c>
      <c r="G5973" s="149" t="n">
        <f aca="false">IF(C5973="M.O.",VLOOKUP(A5973,INSUMOS_AUX!A:F,6,0),0)</f>
        <v>0</v>
      </c>
    </row>
    <row r="5974" customFormat="false" ht="21" hidden="false" customHeight="false" outlineLevel="0" collapsed="false">
      <c r="A5974" s="154" t="n">
        <v>43460</v>
      </c>
      <c r="B5974" s="155" t="s">
        <v>1524</v>
      </c>
      <c r="C5974" s="148" t="str">
        <f aca="false">VLOOKUP($A5974,INSUMOS_AUX!$A$3:$H$813,3,0)</f>
        <v>MAT.</v>
      </c>
      <c r="D5974" s="156" t="s">
        <v>1444</v>
      </c>
      <c r="E5974" s="154" t="n">
        <v>0.4604</v>
      </c>
      <c r="F5974" s="149" t="n">
        <f aca="false">IF(C5974="MAT.",VLOOKUP(A5974,INSUMOS_AUX!$A$3:$H$813,6,0),0)</f>
        <v>0.86</v>
      </c>
      <c r="G5974" s="149" t="n">
        <f aca="false">IF(C5974="M.O.",VLOOKUP(A5974,INSUMOS_AUX!A:F,6,0),0)</f>
        <v>0</v>
      </c>
    </row>
    <row r="5975" customFormat="false" ht="21" hidden="false" customHeight="false" outlineLevel="0" collapsed="false">
      <c r="A5975" s="154" t="n">
        <v>37373</v>
      </c>
      <c r="B5975" s="155" t="s">
        <v>1448</v>
      </c>
      <c r="C5975" s="148" t="str">
        <f aca="false">VLOOKUP($A5975,INSUMOS_AUX!$A$3:$H$813,3,0)</f>
        <v>MAT.</v>
      </c>
      <c r="D5975" s="156" t="s">
        <v>1444</v>
      </c>
      <c r="E5975" s="154" t="n">
        <v>0.4604</v>
      </c>
      <c r="F5975" s="149" t="n">
        <f aca="false">IF(C5975="MAT.",VLOOKUP(A5975,INSUMOS_AUX!$A$3:$H$813,6,0),0)</f>
        <v>0.08</v>
      </c>
      <c r="G5975" s="149" t="n">
        <f aca="false">IF(C5975="M.O.",VLOOKUP(A5975,INSUMOS_AUX!A:F,6,0),0)</f>
        <v>0</v>
      </c>
    </row>
    <row r="5976" customFormat="false" ht="21" hidden="false" customHeight="false" outlineLevel="0" collapsed="false">
      <c r="A5976" s="154" t="n">
        <v>37371</v>
      </c>
      <c r="B5976" s="155" t="s">
        <v>1449</v>
      </c>
      <c r="C5976" s="148" t="str">
        <f aca="false">VLOOKUP($A5976,INSUMOS_AUX!$A$3:$H$813,3,0)</f>
        <v>MAT.</v>
      </c>
      <c r="D5976" s="156" t="s">
        <v>1444</v>
      </c>
      <c r="E5976" s="154" t="n">
        <v>0.4604</v>
      </c>
      <c r="F5976" s="149" t="n">
        <f aca="false">IF(C5976="MAT.",VLOOKUP(A5976,INSUMOS_AUX!$A$3:$H$813,6,0),0)</f>
        <v>0.59</v>
      </c>
      <c r="G5976" s="149" t="n">
        <f aca="false">IF(C5976="M.O.",VLOOKUP(A5976,INSUMOS_AUX!A:F,6,0),0)</f>
        <v>0</v>
      </c>
    </row>
    <row r="5977" customFormat="false" ht="15" hidden="false" customHeight="false" outlineLevel="0" collapsed="false">
      <c r="A5977" s="154" t="n">
        <v>39386</v>
      </c>
      <c r="B5977" s="155" t="s">
        <v>2502</v>
      </c>
      <c r="C5977" s="148" t="str">
        <f aca="false">VLOOKUP($A5977,INSUMOS_AUX!$A$3:$H$813,3,0)</f>
        <v>MAT.</v>
      </c>
      <c r="D5977" s="156" t="s">
        <v>31</v>
      </c>
      <c r="E5977" s="154" t="n">
        <v>4</v>
      </c>
      <c r="F5977" s="149" t="n">
        <f aca="false">IF(C5977="MAT.",VLOOKUP(A5977,INSUMOS_AUX!$A$3:$H$813,6,0),0)</f>
        <v>6.15</v>
      </c>
      <c r="G5977" s="149" t="n">
        <f aca="false">IF(C5977="M.O.",VLOOKUP(A5977,INSUMOS_AUX!A:F,6,0),0)</f>
        <v>0</v>
      </c>
    </row>
    <row r="5978" customFormat="false" ht="21" hidden="false" customHeight="false" outlineLevel="0" collapsed="false">
      <c r="A5978" s="154" t="s">
        <v>2506</v>
      </c>
      <c r="B5978" s="155" t="s">
        <v>2507</v>
      </c>
      <c r="C5978" s="148" t="str">
        <f aca="false">VLOOKUP($A5978,INSUMOS_AUX!$A$3:$H$813,3,0)</f>
        <v>MAT.</v>
      </c>
      <c r="D5978" s="156" t="s">
        <v>31</v>
      </c>
      <c r="E5978" s="154" t="n">
        <v>1</v>
      </c>
      <c r="F5978" s="149" t="n">
        <f aca="false">IF(C5978="MAT.",VLOOKUP(A5978,INSUMOS_AUX!$A$3:$H$813,6,0),0)</f>
        <v>177.023333333333</v>
      </c>
      <c r="G5978" s="149" t="n">
        <f aca="false">IF(C5978="M.O.",VLOOKUP(A5978,INSUMOS_AUX!A:F,6,0),0)</f>
        <v>0</v>
      </c>
    </row>
    <row r="5979" customFormat="false" ht="15" hidden="false" customHeight="false" outlineLevel="0" collapsed="false">
      <c r="A5979" s="154" t="n">
        <v>247</v>
      </c>
      <c r="B5979" s="155" t="s">
        <v>1554</v>
      </c>
      <c r="C5979" s="148" t="str">
        <f aca="false">VLOOKUP($A5979,INSUMOS_AUX!$A$3:$H$813,3,0)</f>
        <v>M.O.</v>
      </c>
      <c r="D5979" s="156" t="s">
        <v>1444</v>
      </c>
      <c r="E5979" s="154" t="n">
        <v>0.140453128</v>
      </c>
      <c r="F5979" s="149" t="n">
        <f aca="false">IF(C5979="MAT.",VLOOKUP(A5979,INSUMOS_AUX!$A$3:$H$813,6,0),0)</f>
        <v>0</v>
      </c>
      <c r="G5979" s="149" t="n">
        <f aca="false">IF(C5979="M.O.",VLOOKUP(A5979,INSUMOS_AUX!A:F,6,0),0)</f>
        <v>13.26</v>
      </c>
    </row>
    <row r="5980" customFormat="false" ht="15" hidden="false" customHeight="false" outlineLevel="0" collapsed="false">
      <c r="A5980" s="154" t="n">
        <v>2436</v>
      </c>
      <c r="B5980" s="155" t="s">
        <v>1557</v>
      </c>
      <c r="C5980" s="148" t="s">
        <v>59</v>
      </c>
      <c r="D5980" s="156" t="s">
        <v>1444</v>
      </c>
      <c r="E5980" s="154" t="n">
        <v>0.337129</v>
      </c>
      <c r="F5980" s="149" t="n">
        <f aca="false">IF(C5980="MAT.",VLOOKUP(A5980,INSUMOS_AUX!$A$3:$H$813,6,0),0)</f>
        <v>0</v>
      </c>
      <c r="G5980" s="149" t="n">
        <f aca="false">IF(C5980="M.O.",VLOOKUP(A5980,INSUMOS_AUX!A:F,6,0),0)</f>
        <v>0</v>
      </c>
    </row>
    <row r="5981" customFormat="false" ht="21" hidden="false" customHeight="false" outlineLevel="0" collapsed="false">
      <c r="A5981" s="150" t="s">
        <v>991</v>
      </c>
      <c r="B5981" s="151" t="s">
        <v>2508</v>
      </c>
      <c r="C5981" s="152" t="s">
        <v>59</v>
      </c>
      <c r="D5981" s="152" t="s">
        <v>31</v>
      </c>
      <c r="E5981" s="150"/>
      <c r="F5981" s="153" t="n">
        <f aca="false">(SUMPRODUCT($E5982:$E5990,F5982:F5990))*1</f>
        <v>23.8337773333333</v>
      </c>
      <c r="G5981" s="153" t="n">
        <f aca="false">(SUMPRODUCT($E5982:$E5990,G5982:G5990))*1</f>
        <v>11.26276828848</v>
      </c>
    </row>
    <row r="5982" customFormat="false" ht="21" hidden="false" customHeight="false" outlineLevel="0" collapsed="false">
      <c r="A5982" s="154" t="n">
        <v>37370</v>
      </c>
      <c r="B5982" s="155" t="s">
        <v>1443</v>
      </c>
      <c r="C5982" s="148" t="str">
        <f aca="false">VLOOKUP($A5982,INSUMOS_AUX!$A$3:$H$813,3,0)</f>
        <v>MAT.</v>
      </c>
      <c r="D5982" s="156" t="s">
        <v>1444</v>
      </c>
      <c r="E5982" s="154" t="n">
        <v>0.6486</v>
      </c>
      <c r="F5982" s="149" t="n">
        <f aca="false">IF(C5982="MAT.",VLOOKUP(A5982,INSUMOS_AUX!$A$3:$H$813,6,0),0)</f>
        <v>3.32</v>
      </c>
      <c r="G5982" s="149" t="n">
        <f aca="false">IF(C5982="M.O.",VLOOKUP(A5982,INSUMOS_AUX!A:F,6,0),0)</f>
        <v>0</v>
      </c>
    </row>
    <row r="5983" customFormat="false" ht="21" hidden="false" customHeight="false" outlineLevel="0" collapsed="false">
      <c r="A5983" s="154" t="n">
        <v>43484</v>
      </c>
      <c r="B5983" s="155" t="s">
        <v>1523</v>
      </c>
      <c r="C5983" s="148" t="str">
        <f aca="false">VLOOKUP($A5983,INSUMOS_AUX!$A$3:$H$813,3,0)</f>
        <v>MAT.</v>
      </c>
      <c r="D5983" s="156" t="s">
        <v>1444</v>
      </c>
      <c r="E5983" s="154" t="n">
        <v>0.6486</v>
      </c>
      <c r="F5983" s="149" t="n">
        <f aca="false">IF(C5983="MAT.",VLOOKUP(A5983,INSUMOS_AUX!$A$3:$H$813,6,0),0)</f>
        <v>1.26</v>
      </c>
      <c r="G5983" s="149" t="n">
        <f aca="false">IF(C5983="M.O.",VLOOKUP(A5983,INSUMOS_AUX!A:F,6,0),0)</f>
        <v>0</v>
      </c>
    </row>
    <row r="5984" customFormat="false" ht="21" hidden="false" customHeight="false" outlineLevel="0" collapsed="false">
      <c r="A5984" s="154" t="n">
        <v>37372</v>
      </c>
      <c r="B5984" s="155" t="s">
        <v>1446</v>
      </c>
      <c r="C5984" s="148" t="str">
        <f aca="false">VLOOKUP($A5984,INSUMOS_AUX!$A$3:$H$813,3,0)</f>
        <v>MAT.</v>
      </c>
      <c r="D5984" s="156" t="s">
        <v>1444</v>
      </c>
      <c r="E5984" s="154" t="n">
        <v>0.6486</v>
      </c>
      <c r="F5984" s="149" t="n">
        <f aca="false">IF(C5984="MAT.",VLOOKUP(A5984,INSUMOS_AUX!$A$3:$H$813,6,0),0)</f>
        <v>1.43</v>
      </c>
      <c r="G5984" s="149" t="n">
        <f aca="false">IF(C5984="M.O.",VLOOKUP(A5984,INSUMOS_AUX!A:F,6,0),0)</f>
        <v>0</v>
      </c>
    </row>
    <row r="5985" customFormat="false" ht="21" hidden="false" customHeight="false" outlineLevel="0" collapsed="false">
      <c r="A5985" s="154" t="n">
        <v>43460</v>
      </c>
      <c r="B5985" s="155" t="s">
        <v>1524</v>
      </c>
      <c r="C5985" s="148" t="str">
        <f aca="false">VLOOKUP($A5985,INSUMOS_AUX!$A$3:$H$813,3,0)</f>
        <v>MAT.</v>
      </c>
      <c r="D5985" s="156" t="s">
        <v>1444</v>
      </c>
      <c r="E5985" s="154" t="n">
        <v>0.6486</v>
      </c>
      <c r="F5985" s="149" t="n">
        <f aca="false">IF(C5985="MAT.",VLOOKUP(A5985,INSUMOS_AUX!$A$3:$H$813,6,0),0)</f>
        <v>0.86</v>
      </c>
      <c r="G5985" s="149" t="n">
        <f aca="false">IF(C5985="M.O.",VLOOKUP(A5985,INSUMOS_AUX!A:F,6,0),0)</f>
        <v>0</v>
      </c>
    </row>
    <row r="5986" customFormat="false" ht="21" hidden="false" customHeight="false" outlineLevel="0" collapsed="false">
      <c r="A5986" s="154" t="n">
        <v>37373</v>
      </c>
      <c r="B5986" s="155" t="s">
        <v>1448</v>
      </c>
      <c r="C5986" s="148" t="str">
        <f aca="false">VLOOKUP($A5986,INSUMOS_AUX!$A$3:$H$813,3,0)</f>
        <v>MAT.</v>
      </c>
      <c r="D5986" s="156" t="s">
        <v>1444</v>
      </c>
      <c r="E5986" s="154" t="n">
        <v>0.6486</v>
      </c>
      <c r="F5986" s="149" t="n">
        <f aca="false">IF(C5986="MAT.",VLOOKUP(A5986,INSUMOS_AUX!$A$3:$H$813,6,0),0)</f>
        <v>0.08</v>
      </c>
      <c r="G5986" s="149" t="n">
        <f aca="false">IF(C5986="M.O.",VLOOKUP(A5986,INSUMOS_AUX!A:F,6,0),0)</f>
        <v>0</v>
      </c>
    </row>
    <row r="5987" customFormat="false" ht="21" hidden="false" customHeight="false" outlineLevel="0" collapsed="false">
      <c r="A5987" s="154" t="n">
        <v>37371</v>
      </c>
      <c r="B5987" s="155" t="s">
        <v>1449</v>
      </c>
      <c r="C5987" s="148" t="str">
        <f aca="false">VLOOKUP($A5987,INSUMOS_AUX!$A$3:$H$813,3,0)</f>
        <v>MAT.</v>
      </c>
      <c r="D5987" s="156" t="s">
        <v>1444</v>
      </c>
      <c r="E5987" s="154" t="n">
        <v>0.6486</v>
      </c>
      <c r="F5987" s="149" t="n">
        <f aca="false">IF(C5987="MAT.",VLOOKUP(A5987,INSUMOS_AUX!$A$3:$H$813,6,0),0)</f>
        <v>0.59</v>
      </c>
      <c r="G5987" s="149" t="n">
        <f aca="false">IF(C5987="M.O.",VLOOKUP(A5987,INSUMOS_AUX!A:F,6,0),0)</f>
        <v>0</v>
      </c>
    </row>
    <row r="5988" customFormat="false" ht="21" hidden="false" customHeight="false" outlineLevel="0" collapsed="false">
      <c r="A5988" s="154" t="s">
        <v>2509</v>
      </c>
      <c r="B5988" s="155" t="s">
        <v>2510</v>
      </c>
      <c r="C5988" s="148" t="str">
        <f aca="false">VLOOKUP($A5988,INSUMOS_AUX!$A$3:$H$813,3,0)</f>
        <v>MAT.</v>
      </c>
      <c r="D5988" s="156" t="s">
        <v>31</v>
      </c>
      <c r="E5988" s="154" t="n">
        <v>1</v>
      </c>
      <c r="F5988" s="149" t="n">
        <f aca="false">IF(C5988="MAT.",VLOOKUP(A5988,INSUMOS_AUX!$A$3:$H$813,6,0),0)</f>
        <v>18.9433333333333</v>
      </c>
      <c r="G5988" s="149" t="n">
        <f aca="false">IF(C5988="M.O.",VLOOKUP(A5988,INSUMOS_AUX!A:F,6,0),0)</f>
        <v>0</v>
      </c>
    </row>
    <row r="5989" customFormat="false" ht="15" hidden="false" customHeight="false" outlineLevel="0" collapsed="false">
      <c r="A5989" s="154" t="n">
        <v>247</v>
      </c>
      <c r="B5989" s="155" t="s">
        <v>1554</v>
      </c>
      <c r="C5989" s="148" t="str">
        <f aca="false">VLOOKUP($A5989,INSUMOS_AUX!$A$3:$H$813,3,0)</f>
        <v>M.O.</v>
      </c>
      <c r="D5989" s="156" t="s">
        <v>1444</v>
      </c>
      <c r="E5989" s="154" t="n">
        <v>0.336402876</v>
      </c>
      <c r="F5989" s="149" t="n">
        <f aca="false">IF(C5989="MAT.",VLOOKUP(A5989,INSUMOS_AUX!$A$3:$H$813,6,0),0)</f>
        <v>0</v>
      </c>
      <c r="G5989" s="149" t="n">
        <f aca="false">IF(C5989="M.O.",VLOOKUP(A5989,INSUMOS_AUX!A:F,6,0),0)</f>
        <v>13.26</v>
      </c>
    </row>
    <row r="5990" customFormat="false" ht="15" hidden="false" customHeight="false" outlineLevel="0" collapsed="false">
      <c r="A5990" s="154" t="n">
        <v>2436</v>
      </c>
      <c r="B5990" s="155" t="s">
        <v>1557</v>
      </c>
      <c r="C5990" s="148" t="str">
        <f aca="false">VLOOKUP($A5990,INSUMOS_AUX!$A$3:$H$813,3,0)</f>
        <v>M.O.</v>
      </c>
      <c r="D5990" s="156" t="s">
        <v>1444</v>
      </c>
      <c r="E5990" s="154" t="n">
        <v>0.336402876</v>
      </c>
      <c r="F5990" s="149" t="n">
        <f aca="false">IF(C5990="MAT.",VLOOKUP(A5990,INSUMOS_AUX!$A$3:$H$813,6,0),0)</f>
        <v>0</v>
      </c>
      <c r="G5990" s="149" t="n">
        <f aca="false">IF(C5990="M.O.",VLOOKUP(A5990,INSUMOS_AUX!A:F,6,0),0)</f>
        <v>20.22</v>
      </c>
    </row>
    <row r="5991" customFormat="false" ht="21" hidden="false" customHeight="false" outlineLevel="0" collapsed="false">
      <c r="A5991" s="150" t="s">
        <v>993</v>
      </c>
      <c r="B5991" s="151" t="s">
        <v>2511</v>
      </c>
      <c r="C5991" s="152" t="s">
        <v>59</v>
      </c>
      <c r="D5991" s="152" t="s">
        <v>31</v>
      </c>
      <c r="E5991" s="150"/>
      <c r="F5991" s="153" t="n">
        <f aca="false">(SUMPRODUCT($E5992:$E6000,F5992:F6000))*1</f>
        <v>13.245215828</v>
      </c>
      <c r="G5991" s="153" t="n">
        <f aca="false">(SUMPRODUCT($E5992:$E6000,G5992:G6000))*1</f>
        <v>12.206859389989</v>
      </c>
    </row>
    <row r="5992" customFormat="false" ht="21" hidden="false" customHeight="false" outlineLevel="0" collapsed="false">
      <c r="A5992" s="154" t="n">
        <v>37370</v>
      </c>
      <c r="B5992" s="155" t="s">
        <v>1443</v>
      </c>
      <c r="C5992" s="148" t="s">
        <v>59</v>
      </c>
      <c r="D5992" s="156" t="s">
        <v>1444</v>
      </c>
      <c r="E5992" s="154" t="n">
        <v>0.6339374</v>
      </c>
      <c r="F5992" s="149" t="n">
        <f aca="false">IF(C5992="MAT.",VLOOKUP(A5992,INSUMOS_AUX!$A$3:$H$813,6,0),0)</f>
        <v>0</v>
      </c>
      <c r="G5992" s="149" t="n">
        <f aca="false">IF(C5992="M.O.",VLOOKUP(A5992,INSUMOS_AUX!A:F,6,0),0)</f>
        <v>0</v>
      </c>
    </row>
    <row r="5993" customFormat="false" ht="21" hidden="false" customHeight="false" outlineLevel="0" collapsed="false">
      <c r="A5993" s="154" t="n">
        <v>43484</v>
      </c>
      <c r="B5993" s="155" t="s">
        <v>1523</v>
      </c>
      <c r="C5993" s="148" t="str">
        <f aca="false">VLOOKUP($A5993,INSUMOS_AUX!$A$3:$H$813,3,0)</f>
        <v>MAT.</v>
      </c>
      <c r="D5993" s="156" t="s">
        <v>1444</v>
      </c>
      <c r="E5993" s="154" t="n">
        <v>0.6339374</v>
      </c>
      <c r="F5993" s="149" t="n">
        <f aca="false">IF(C5993="MAT.",VLOOKUP(A5993,INSUMOS_AUX!$A$3:$H$813,6,0),0)</f>
        <v>1.26</v>
      </c>
      <c r="G5993" s="149" t="n">
        <f aca="false">IF(C5993="M.O.",VLOOKUP(A5993,INSUMOS_AUX!A:F,6,0),0)</f>
        <v>0</v>
      </c>
    </row>
    <row r="5994" customFormat="false" ht="21" hidden="false" customHeight="false" outlineLevel="0" collapsed="false">
      <c r="A5994" s="154" t="n">
        <v>37372</v>
      </c>
      <c r="B5994" s="155" t="s">
        <v>1446</v>
      </c>
      <c r="C5994" s="148" t="str">
        <f aca="false">VLOOKUP($A5994,INSUMOS_AUX!$A$3:$H$813,3,0)</f>
        <v>MAT.</v>
      </c>
      <c r="D5994" s="156" t="s">
        <v>1444</v>
      </c>
      <c r="E5994" s="154" t="n">
        <v>0.6339374</v>
      </c>
      <c r="F5994" s="149" t="n">
        <f aca="false">IF(C5994="MAT.",VLOOKUP(A5994,INSUMOS_AUX!$A$3:$H$813,6,0),0)</f>
        <v>1.43</v>
      </c>
      <c r="G5994" s="149" t="n">
        <f aca="false">IF(C5994="M.O.",VLOOKUP(A5994,INSUMOS_AUX!A:F,6,0),0)</f>
        <v>0</v>
      </c>
    </row>
    <row r="5995" customFormat="false" ht="21" hidden="false" customHeight="false" outlineLevel="0" collapsed="false">
      <c r="A5995" s="154" t="n">
        <v>43460</v>
      </c>
      <c r="B5995" s="155" t="s">
        <v>1524</v>
      </c>
      <c r="C5995" s="148" t="str">
        <f aca="false">VLOOKUP($A5995,INSUMOS_AUX!$A$3:$H$813,3,0)</f>
        <v>MAT.</v>
      </c>
      <c r="D5995" s="156" t="s">
        <v>1444</v>
      </c>
      <c r="E5995" s="154" t="n">
        <v>0.6339374</v>
      </c>
      <c r="F5995" s="149" t="n">
        <f aca="false">IF(C5995="MAT.",VLOOKUP(A5995,INSUMOS_AUX!$A$3:$H$813,6,0),0)</f>
        <v>0.86</v>
      </c>
      <c r="G5995" s="149" t="n">
        <f aca="false">IF(C5995="M.O.",VLOOKUP(A5995,INSUMOS_AUX!A:F,6,0),0)</f>
        <v>0</v>
      </c>
    </row>
    <row r="5996" customFormat="false" ht="21" hidden="false" customHeight="false" outlineLevel="0" collapsed="false">
      <c r="A5996" s="154" t="n">
        <v>37373</v>
      </c>
      <c r="B5996" s="155" t="s">
        <v>1448</v>
      </c>
      <c r="C5996" s="148" t="str">
        <f aca="false">VLOOKUP($A5996,INSUMOS_AUX!$A$3:$H$813,3,0)</f>
        <v>MAT.</v>
      </c>
      <c r="D5996" s="156" t="s">
        <v>1444</v>
      </c>
      <c r="E5996" s="154" t="n">
        <v>0.6339374</v>
      </c>
      <c r="F5996" s="149" t="n">
        <f aca="false">IF(C5996="MAT.",VLOOKUP(A5996,INSUMOS_AUX!$A$3:$H$813,6,0),0)</f>
        <v>0.08</v>
      </c>
      <c r="G5996" s="149" t="n">
        <f aca="false">IF(C5996="M.O.",VLOOKUP(A5996,INSUMOS_AUX!A:F,6,0),0)</f>
        <v>0</v>
      </c>
    </row>
    <row r="5997" customFormat="false" ht="21" hidden="false" customHeight="false" outlineLevel="0" collapsed="false">
      <c r="A5997" s="154" t="n">
        <v>37371</v>
      </c>
      <c r="B5997" s="155" t="s">
        <v>1449</v>
      </c>
      <c r="C5997" s="148" t="str">
        <f aca="false">VLOOKUP($A5997,INSUMOS_AUX!$A$3:$H$813,3,0)</f>
        <v>MAT.</v>
      </c>
      <c r="D5997" s="156" t="s">
        <v>1444</v>
      </c>
      <c r="E5997" s="154" t="n">
        <v>0.6339374</v>
      </c>
      <c r="F5997" s="149" t="n">
        <f aca="false">IF(C5997="MAT.",VLOOKUP(A5997,INSUMOS_AUX!$A$3:$H$813,6,0),0)</f>
        <v>0.59</v>
      </c>
      <c r="G5997" s="149" t="n">
        <f aca="false">IF(C5997="M.O.",VLOOKUP(A5997,INSUMOS_AUX!A:F,6,0),0)</f>
        <v>0</v>
      </c>
    </row>
    <row r="5998" customFormat="false" ht="21" hidden="false" customHeight="false" outlineLevel="0" collapsed="false">
      <c r="A5998" s="154" t="n">
        <v>39385</v>
      </c>
      <c r="B5998" s="155" t="s">
        <v>2512</v>
      </c>
      <c r="C5998" s="148" t="str">
        <f aca="false">VLOOKUP($A5998,INSUMOS_AUX!$A$3:$H$813,3,0)</f>
        <v>MAT.</v>
      </c>
      <c r="D5998" s="156" t="s">
        <v>31</v>
      </c>
      <c r="E5998" s="154" t="n">
        <v>1</v>
      </c>
      <c r="F5998" s="149" t="n">
        <f aca="false">IF(C5998="MAT.",VLOOKUP(A5998,INSUMOS_AUX!$A$3:$H$813,6,0),0)</f>
        <v>10.57</v>
      </c>
      <c r="G5998" s="149" t="n">
        <f aca="false">IF(C5998="M.O.",VLOOKUP(A5998,INSUMOS_AUX!A:F,6,0),0)</f>
        <v>0</v>
      </c>
    </row>
    <row r="5999" customFormat="false" ht="15" hidden="false" customHeight="false" outlineLevel="0" collapsed="false">
      <c r="A5999" s="154" t="n">
        <v>247</v>
      </c>
      <c r="B5999" s="155" t="s">
        <v>1554</v>
      </c>
      <c r="C5999" s="148" t="str">
        <f aca="false">VLOOKUP($A5999,INSUMOS_AUX!$A$3:$H$813,3,0)</f>
        <v>M.O.</v>
      </c>
      <c r="D5999" s="156" t="s">
        <v>1444</v>
      </c>
      <c r="E5999" s="154" t="n">
        <v>0.1565704875</v>
      </c>
      <c r="F5999" s="149" t="n">
        <f aca="false">IF(C5999="MAT.",VLOOKUP(A5999,INSUMOS_AUX!$A$3:$H$813,6,0),0)</f>
        <v>0</v>
      </c>
      <c r="G5999" s="149" t="n">
        <f aca="false">IF(C5999="M.O.",VLOOKUP(A5999,INSUMOS_AUX!A:F,6,0),0)</f>
        <v>13.26</v>
      </c>
    </row>
    <row r="6000" customFormat="false" ht="15" hidden="false" customHeight="false" outlineLevel="0" collapsed="false">
      <c r="A6000" s="154" t="n">
        <v>2436</v>
      </c>
      <c r="B6000" s="155" t="s">
        <v>1557</v>
      </c>
      <c r="C6000" s="148" t="str">
        <f aca="false">VLOOKUP($A6000,INSUMOS_AUX!$A$3:$H$813,3,0)</f>
        <v>M.O.</v>
      </c>
      <c r="D6000" s="156" t="s">
        <v>1444</v>
      </c>
      <c r="E6000" s="154" t="n">
        <v>0.501025456268</v>
      </c>
      <c r="F6000" s="149" t="n">
        <f aca="false">IF(C6000="MAT.",VLOOKUP(A6000,INSUMOS_AUX!$A$3:$H$813,6,0),0)</f>
        <v>0</v>
      </c>
      <c r="G6000" s="149" t="n">
        <f aca="false">IF(C6000="M.O.",VLOOKUP(A6000,INSUMOS_AUX!A:F,6,0),0)</f>
        <v>20.22</v>
      </c>
    </row>
    <row r="6001" customFormat="false" ht="21" hidden="false" customHeight="false" outlineLevel="0" collapsed="false">
      <c r="A6001" s="150" t="s">
        <v>995</v>
      </c>
      <c r="B6001" s="151" t="s">
        <v>2513</v>
      </c>
      <c r="C6001" s="152" t="s">
        <v>59</v>
      </c>
      <c r="D6001" s="152" t="s">
        <v>31</v>
      </c>
      <c r="E6001" s="150"/>
      <c r="F6001" s="153" t="n">
        <f aca="false">(SUMPRODUCT($E6002:$E6011,F6002:F6011))*1</f>
        <v>153.630514333333</v>
      </c>
      <c r="G6001" s="153" t="n">
        <f aca="false">(SUMPRODUCT($E6002:$E6011,G6002:G6011))*1</f>
        <v>11.0673434244</v>
      </c>
    </row>
    <row r="6002" customFormat="false" ht="21" hidden="false" customHeight="false" outlineLevel="0" collapsed="false">
      <c r="A6002" s="154" t="n">
        <v>37370</v>
      </c>
      <c r="B6002" s="155" t="s">
        <v>1443</v>
      </c>
      <c r="C6002" s="148" t="str">
        <f aca="false">VLOOKUP($A6002,INSUMOS_AUX!$A$3:$H$813,3,0)</f>
        <v>MAT.</v>
      </c>
      <c r="D6002" s="156" t="s">
        <v>1444</v>
      </c>
      <c r="E6002" s="154" t="n">
        <v>0.5871</v>
      </c>
      <c r="F6002" s="149" t="n">
        <f aca="false">IF(C6002="MAT.",VLOOKUP(A6002,INSUMOS_AUX!$A$3:$H$813,6,0),0)</f>
        <v>3.32</v>
      </c>
      <c r="G6002" s="149" t="n">
        <f aca="false">IF(C6002="M.O.",VLOOKUP(A6002,INSUMOS_AUX!A:F,6,0),0)</f>
        <v>0</v>
      </c>
    </row>
    <row r="6003" customFormat="false" ht="21" hidden="false" customHeight="false" outlineLevel="0" collapsed="false">
      <c r="A6003" s="154" t="n">
        <v>43484</v>
      </c>
      <c r="B6003" s="155" t="s">
        <v>1523</v>
      </c>
      <c r="C6003" s="148" t="str">
        <f aca="false">VLOOKUP($A6003,INSUMOS_AUX!$A$3:$H$813,3,0)</f>
        <v>MAT.</v>
      </c>
      <c r="D6003" s="156" t="s">
        <v>1444</v>
      </c>
      <c r="E6003" s="154" t="n">
        <v>0.5871</v>
      </c>
      <c r="F6003" s="149" t="n">
        <f aca="false">IF(C6003="MAT.",VLOOKUP(A6003,INSUMOS_AUX!$A$3:$H$813,6,0),0)</f>
        <v>1.26</v>
      </c>
      <c r="G6003" s="149" t="n">
        <f aca="false">IF(C6003="M.O.",VLOOKUP(A6003,INSUMOS_AUX!A:F,6,0),0)</f>
        <v>0</v>
      </c>
    </row>
    <row r="6004" customFormat="false" ht="21" hidden="false" customHeight="false" outlineLevel="0" collapsed="false">
      <c r="A6004" s="154" t="n">
        <v>37372</v>
      </c>
      <c r="B6004" s="155" t="s">
        <v>1446</v>
      </c>
      <c r="C6004" s="148" t="s">
        <v>59</v>
      </c>
      <c r="D6004" s="156" t="s">
        <v>1444</v>
      </c>
      <c r="E6004" s="154" t="n">
        <v>0.5871</v>
      </c>
      <c r="F6004" s="149" t="n">
        <f aca="false">IF(C6004="MAT.",VLOOKUP(A6004,INSUMOS_AUX!$A$3:$H$813,6,0),0)</f>
        <v>0</v>
      </c>
      <c r="G6004" s="149" t="n">
        <f aca="false">IF(C6004="M.O.",VLOOKUP(A6004,INSUMOS_AUX!A:F,6,0),0)</f>
        <v>0</v>
      </c>
    </row>
    <row r="6005" customFormat="false" ht="21" hidden="false" customHeight="false" outlineLevel="0" collapsed="false">
      <c r="A6005" s="154" t="n">
        <v>43460</v>
      </c>
      <c r="B6005" s="155" t="s">
        <v>1524</v>
      </c>
      <c r="C6005" s="148" t="str">
        <f aca="false">VLOOKUP($A6005,INSUMOS_AUX!$A$3:$H$813,3,0)</f>
        <v>MAT.</v>
      </c>
      <c r="D6005" s="156" t="s">
        <v>1444</v>
      </c>
      <c r="E6005" s="154" t="n">
        <v>0.5871</v>
      </c>
      <c r="F6005" s="149" t="n">
        <f aca="false">IF(C6005="MAT.",VLOOKUP(A6005,INSUMOS_AUX!$A$3:$H$813,6,0),0)</f>
        <v>0.86</v>
      </c>
      <c r="G6005" s="149" t="n">
        <f aca="false">IF(C6005="M.O.",VLOOKUP(A6005,INSUMOS_AUX!A:F,6,0),0)</f>
        <v>0</v>
      </c>
    </row>
    <row r="6006" customFormat="false" ht="21" hidden="false" customHeight="false" outlineLevel="0" collapsed="false">
      <c r="A6006" s="154" t="n">
        <v>37373</v>
      </c>
      <c r="B6006" s="155" t="s">
        <v>1448</v>
      </c>
      <c r="C6006" s="148" t="str">
        <f aca="false">VLOOKUP($A6006,INSUMOS_AUX!$A$3:$H$813,3,0)</f>
        <v>MAT.</v>
      </c>
      <c r="D6006" s="156" t="s">
        <v>1444</v>
      </c>
      <c r="E6006" s="154" t="n">
        <v>0.5871</v>
      </c>
      <c r="F6006" s="149" t="n">
        <f aca="false">IF(C6006="MAT.",VLOOKUP(A6006,INSUMOS_AUX!$A$3:$H$813,6,0),0)</f>
        <v>0.08</v>
      </c>
      <c r="G6006" s="149" t="n">
        <f aca="false">IF(C6006="M.O.",VLOOKUP(A6006,INSUMOS_AUX!A:F,6,0),0)</f>
        <v>0</v>
      </c>
    </row>
    <row r="6007" customFormat="false" ht="21" hidden="false" customHeight="false" outlineLevel="0" collapsed="false">
      <c r="A6007" s="154" t="n">
        <v>37371</v>
      </c>
      <c r="B6007" s="155" t="s">
        <v>1449</v>
      </c>
      <c r="C6007" s="148" t="str">
        <f aca="false">VLOOKUP($A6007,INSUMOS_AUX!$A$3:$H$813,3,0)</f>
        <v>MAT.</v>
      </c>
      <c r="D6007" s="156" t="s">
        <v>1444</v>
      </c>
      <c r="E6007" s="154" t="n">
        <v>0.5871</v>
      </c>
      <c r="F6007" s="149" t="n">
        <f aca="false">IF(C6007="MAT.",VLOOKUP(A6007,INSUMOS_AUX!$A$3:$H$813,6,0),0)</f>
        <v>0.59</v>
      </c>
      <c r="G6007" s="149" t="n">
        <f aca="false">IF(C6007="M.O.",VLOOKUP(A6007,INSUMOS_AUX!A:F,6,0),0)</f>
        <v>0</v>
      </c>
    </row>
    <row r="6008" customFormat="false" ht="15" hidden="false" customHeight="false" outlineLevel="0" collapsed="false">
      <c r="A6008" s="154" t="n">
        <v>39387</v>
      </c>
      <c r="B6008" s="155" t="s">
        <v>2514</v>
      </c>
      <c r="C6008" s="148" t="str">
        <f aca="false">VLOOKUP($A6008,INSUMOS_AUX!$A$3:$H$813,3,0)</f>
        <v>MAT.</v>
      </c>
      <c r="D6008" s="156" t="s">
        <v>31</v>
      </c>
      <c r="E6008" s="154" t="n">
        <v>2</v>
      </c>
      <c r="F6008" s="149" t="n">
        <f aca="false">IF(C6008="MAT.",VLOOKUP(A6008,INSUMOS_AUX!$A$3:$H$813,6,0),0)</f>
        <v>8.82</v>
      </c>
      <c r="G6008" s="149" t="n">
        <f aca="false">IF(C6008="M.O.",VLOOKUP(A6008,INSUMOS_AUX!A:F,6,0),0)</f>
        <v>0</v>
      </c>
    </row>
    <row r="6009" customFormat="false" ht="21" hidden="false" customHeight="false" outlineLevel="0" collapsed="false">
      <c r="A6009" s="154" t="s">
        <v>2515</v>
      </c>
      <c r="B6009" s="155" t="s">
        <v>2516</v>
      </c>
      <c r="C6009" s="148" t="str">
        <f aca="false">VLOOKUP($A6009,INSUMOS_AUX!$A$3:$H$813,3,0)</f>
        <v>MAT.</v>
      </c>
      <c r="D6009" s="156" t="s">
        <v>31</v>
      </c>
      <c r="E6009" s="154" t="n">
        <v>1</v>
      </c>
      <c r="F6009" s="149" t="n">
        <f aca="false">IF(C6009="MAT.",VLOOKUP(A6009,INSUMOS_AUX!$A$3:$H$813,6,0),0)</f>
        <v>132.403333333333</v>
      </c>
      <c r="G6009" s="149" t="n">
        <f aca="false">IF(C6009="M.O.",VLOOKUP(A6009,INSUMOS_AUX!A:F,6,0),0)</f>
        <v>0</v>
      </c>
    </row>
    <row r="6010" customFormat="false" ht="15" hidden="false" customHeight="false" outlineLevel="0" collapsed="false">
      <c r="A6010" s="154" t="n">
        <v>247</v>
      </c>
      <c r="B6010" s="155" t="s">
        <v>1554</v>
      </c>
      <c r="C6010" s="148" t="str">
        <f aca="false">VLOOKUP($A6010,INSUMOS_AUX!$A$3:$H$813,3,0)</f>
        <v>M.O.</v>
      </c>
      <c r="D6010" s="156" t="s">
        <v>1444</v>
      </c>
      <c r="E6010" s="154" t="n">
        <v>0.179145164</v>
      </c>
      <c r="F6010" s="149" t="n">
        <f aca="false">IF(C6010="MAT.",VLOOKUP(A6010,INSUMOS_AUX!$A$3:$H$813,6,0),0)</f>
        <v>0</v>
      </c>
      <c r="G6010" s="149" t="n">
        <f aca="false">IF(C6010="M.O.",VLOOKUP(A6010,INSUMOS_AUX!A:F,6,0),0)</f>
        <v>13.26</v>
      </c>
    </row>
    <row r="6011" customFormat="false" ht="15" hidden="false" customHeight="false" outlineLevel="0" collapsed="false">
      <c r="A6011" s="154" t="n">
        <v>2436</v>
      </c>
      <c r="B6011" s="155" t="s">
        <v>1557</v>
      </c>
      <c r="C6011" s="148" t="str">
        <f aca="false">VLOOKUP($A6011,INSUMOS_AUX!$A$3:$H$813,3,0)</f>
        <v>M.O.</v>
      </c>
      <c r="D6011" s="156" t="s">
        <v>1444</v>
      </c>
      <c r="E6011" s="154" t="n">
        <v>0.429865408</v>
      </c>
      <c r="F6011" s="149" t="n">
        <f aca="false">IF(C6011="MAT.",VLOOKUP(A6011,INSUMOS_AUX!$A$3:$H$813,6,0),0)</f>
        <v>0</v>
      </c>
      <c r="G6011" s="149" t="n">
        <f aca="false">IF(C6011="M.O.",VLOOKUP(A6011,INSUMOS_AUX!A:F,6,0),0)</f>
        <v>20.22</v>
      </c>
    </row>
    <row r="6012" customFormat="false" ht="21" hidden="false" customHeight="false" outlineLevel="0" collapsed="false">
      <c r="A6012" s="150" t="s">
        <v>997</v>
      </c>
      <c r="B6012" s="151" t="s">
        <v>2517</v>
      </c>
      <c r="C6012" s="152" t="s">
        <v>59</v>
      </c>
      <c r="D6012" s="152" t="s">
        <v>31</v>
      </c>
      <c r="E6012" s="150"/>
      <c r="F6012" s="153" t="n">
        <f aca="false">(SUMPRODUCT($E6013:$E6022,F6013:F6022))*1</f>
        <v>92.8150893333333</v>
      </c>
      <c r="G6012" s="153" t="n">
        <f aca="false">(SUMPRODUCT($E6013:$E6022,G6013:G6022))*1</f>
        <v>14.7360330684</v>
      </c>
    </row>
    <row r="6013" customFormat="false" ht="21" hidden="false" customHeight="false" outlineLevel="0" collapsed="false">
      <c r="A6013" s="154" t="n">
        <v>37370</v>
      </c>
      <c r="B6013" s="155" t="s">
        <v>1443</v>
      </c>
      <c r="C6013" s="148" t="str">
        <f aca="false">VLOOKUP($A6013,INSUMOS_AUX!$A$3:$H$813,3,0)</f>
        <v>MAT.</v>
      </c>
      <c r="D6013" s="156" t="s">
        <v>1444</v>
      </c>
      <c r="E6013" s="154" t="n">
        <v>0.7817</v>
      </c>
      <c r="F6013" s="149" t="n">
        <f aca="false">IF(C6013="MAT.",VLOOKUP(A6013,INSUMOS_AUX!$A$3:$H$813,6,0),0)</f>
        <v>3.32</v>
      </c>
      <c r="G6013" s="149" t="n">
        <f aca="false">IF(C6013="M.O.",VLOOKUP(A6013,INSUMOS_AUX!A:F,6,0),0)</f>
        <v>0</v>
      </c>
    </row>
    <row r="6014" customFormat="false" ht="21" hidden="false" customHeight="false" outlineLevel="0" collapsed="false">
      <c r="A6014" s="154" t="n">
        <v>43484</v>
      </c>
      <c r="B6014" s="155" t="s">
        <v>1523</v>
      </c>
      <c r="C6014" s="148" t="str">
        <f aca="false">VLOOKUP($A6014,INSUMOS_AUX!$A$3:$H$813,3,0)</f>
        <v>MAT.</v>
      </c>
      <c r="D6014" s="156" t="s">
        <v>1444</v>
      </c>
      <c r="E6014" s="154" t="n">
        <v>0.7817</v>
      </c>
      <c r="F6014" s="149" t="n">
        <f aca="false">IF(C6014="MAT.",VLOOKUP(A6014,INSUMOS_AUX!$A$3:$H$813,6,0),0)</f>
        <v>1.26</v>
      </c>
      <c r="G6014" s="149" t="n">
        <f aca="false">IF(C6014="M.O.",VLOOKUP(A6014,INSUMOS_AUX!A:F,6,0),0)</f>
        <v>0</v>
      </c>
    </row>
    <row r="6015" customFormat="false" ht="21" hidden="false" customHeight="false" outlineLevel="0" collapsed="false">
      <c r="A6015" s="154" t="n">
        <v>37372</v>
      </c>
      <c r="B6015" s="155" t="s">
        <v>1446</v>
      </c>
      <c r="C6015" s="148" t="str">
        <f aca="false">VLOOKUP($A6015,INSUMOS_AUX!$A$3:$H$813,3,0)</f>
        <v>MAT.</v>
      </c>
      <c r="D6015" s="156" t="s">
        <v>1444</v>
      </c>
      <c r="E6015" s="154" t="n">
        <v>0.7817</v>
      </c>
      <c r="F6015" s="149" t="n">
        <f aca="false">IF(C6015="MAT.",VLOOKUP(A6015,INSUMOS_AUX!$A$3:$H$813,6,0),0)</f>
        <v>1.43</v>
      </c>
      <c r="G6015" s="149" t="n">
        <f aca="false">IF(C6015="M.O.",VLOOKUP(A6015,INSUMOS_AUX!A:F,6,0),0)</f>
        <v>0</v>
      </c>
    </row>
    <row r="6016" customFormat="false" ht="21" hidden="false" customHeight="false" outlineLevel="0" collapsed="false">
      <c r="A6016" s="154" t="n">
        <v>43460</v>
      </c>
      <c r="B6016" s="155" t="s">
        <v>1524</v>
      </c>
      <c r="C6016" s="148" t="s">
        <v>59</v>
      </c>
      <c r="D6016" s="156" t="s">
        <v>1444</v>
      </c>
      <c r="E6016" s="154" t="n">
        <v>0.7817</v>
      </c>
      <c r="F6016" s="149" t="n">
        <f aca="false">IF(C6016="MAT.",VLOOKUP(A6016,INSUMOS_AUX!$A$3:$H$813,6,0),0)</f>
        <v>0</v>
      </c>
      <c r="G6016" s="149" t="n">
        <f aca="false">IF(C6016="M.O.",VLOOKUP(A6016,INSUMOS_AUX!A:F,6,0),0)</f>
        <v>0</v>
      </c>
    </row>
    <row r="6017" customFormat="false" ht="21" hidden="false" customHeight="false" outlineLevel="0" collapsed="false">
      <c r="A6017" s="154" t="n">
        <v>37373</v>
      </c>
      <c r="B6017" s="155" t="s">
        <v>1448</v>
      </c>
      <c r="C6017" s="148" t="str">
        <f aca="false">VLOOKUP($A6017,INSUMOS_AUX!$A$3:$H$813,3,0)</f>
        <v>MAT.</v>
      </c>
      <c r="D6017" s="156" t="s">
        <v>1444</v>
      </c>
      <c r="E6017" s="154" t="n">
        <v>0.7817</v>
      </c>
      <c r="F6017" s="149" t="n">
        <f aca="false">IF(C6017="MAT.",VLOOKUP(A6017,INSUMOS_AUX!$A$3:$H$813,6,0),0)</f>
        <v>0.08</v>
      </c>
      <c r="G6017" s="149" t="n">
        <f aca="false">IF(C6017="M.O.",VLOOKUP(A6017,INSUMOS_AUX!A:F,6,0),0)</f>
        <v>0</v>
      </c>
    </row>
    <row r="6018" customFormat="false" ht="21" hidden="false" customHeight="false" outlineLevel="0" collapsed="false">
      <c r="A6018" s="154" t="n">
        <v>37371</v>
      </c>
      <c r="B6018" s="155" t="s">
        <v>1449</v>
      </c>
      <c r="C6018" s="148" t="str">
        <f aca="false">VLOOKUP($A6018,INSUMOS_AUX!$A$3:$H$813,3,0)</f>
        <v>MAT.</v>
      </c>
      <c r="D6018" s="156" t="s">
        <v>1444</v>
      </c>
      <c r="E6018" s="154" t="n">
        <v>0.7817</v>
      </c>
      <c r="F6018" s="149" t="n">
        <f aca="false">IF(C6018="MAT.",VLOOKUP(A6018,INSUMOS_AUX!$A$3:$H$813,6,0),0)</f>
        <v>0.59</v>
      </c>
      <c r="G6018" s="149" t="n">
        <f aca="false">IF(C6018="M.O.",VLOOKUP(A6018,INSUMOS_AUX!A:F,6,0),0)</f>
        <v>0</v>
      </c>
    </row>
    <row r="6019" customFormat="false" ht="15" hidden="false" customHeight="false" outlineLevel="0" collapsed="false">
      <c r="A6019" s="154" t="s">
        <v>2518</v>
      </c>
      <c r="B6019" s="155" t="s">
        <v>2519</v>
      </c>
      <c r="C6019" s="148" t="str">
        <f aca="false">VLOOKUP($A6019,INSUMOS_AUX!$A$3:$H$813,3,0)</f>
        <v>MAT.</v>
      </c>
      <c r="D6019" s="156" t="s">
        <v>31</v>
      </c>
      <c r="E6019" s="154" t="n">
        <v>1</v>
      </c>
      <c r="F6019" s="149" t="n">
        <f aca="false">IF(C6019="MAT.",VLOOKUP(A6019,INSUMOS_AUX!$A$3:$H$813,6,0),0)</f>
        <v>6.80333333333333</v>
      </c>
      <c r="G6019" s="149" t="n">
        <f aca="false">IF(C6019="M.O.",VLOOKUP(A6019,INSUMOS_AUX!A:F,6,0),0)</f>
        <v>0</v>
      </c>
    </row>
    <row r="6020" customFormat="false" ht="31.5" hidden="false" customHeight="false" outlineLevel="0" collapsed="false">
      <c r="A6020" s="154" t="n">
        <v>38775</v>
      </c>
      <c r="B6020" s="155" t="s">
        <v>2520</v>
      </c>
      <c r="C6020" s="148" t="str">
        <f aca="false">VLOOKUP($A6020,INSUMOS_AUX!$A$3:$H$813,3,0)</f>
        <v>MAT.</v>
      </c>
      <c r="D6020" s="156" t="s">
        <v>31</v>
      </c>
      <c r="E6020" s="154" t="n">
        <v>1</v>
      </c>
      <c r="F6020" s="149" t="n">
        <f aca="false">IF(C6020="MAT.",VLOOKUP(A6020,INSUMOS_AUX!$A$3:$H$813,6,0),0)</f>
        <v>80.79</v>
      </c>
      <c r="G6020" s="149" t="n">
        <f aca="false">IF(C6020="M.O.",VLOOKUP(A6020,INSUMOS_AUX!A:F,6,0),0)</f>
        <v>0</v>
      </c>
    </row>
    <row r="6021" customFormat="false" ht="15" hidden="false" customHeight="false" outlineLevel="0" collapsed="false">
      <c r="A6021" s="154" t="n">
        <v>247</v>
      </c>
      <c r="B6021" s="155" t="s">
        <v>1554</v>
      </c>
      <c r="C6021" s="148" t="str">
        <f aca="false">VLOOKUP($A6021,INSUMOS_AUX!$A$3:$H$813,3,0)</f>
        <v>M.O.</v>
      </c>
      <c r="D6021" s="156" t="s">
        <v>1444</v>
      </c>
      <c r="E6021" s="154" t="n">
        <v>0.238479868</v>
      </c>
      <c r="F6021" s="149" t="n">
        <f aca="false">IF(C6021="MAT.",VLOOKUP(A6021,INSUMOS_AUX!$A$3:$H$813,6,0),0)</f>
        <v>0</v>
      </c>
      <c r="G6021" s="149" t="n">
        <f aca="false">IF(C6021="M.O.",VLOOKUP(A6021,INSUMOS_AUX!A:F,6,0),0)</f>
        <v>13.26</v>
      </c>
    </row>
    <row r="6022" customFormat="false" ht="15" hidden="false" customHeight="false" outlineLevel="0" collapsed="false">
      <c r="A6022" s="154" t="n">
        <v>2436</v>
      </c>
      <c r="B6022" s="155" t="s">
        <v>1557</v>
      </c>
      <c r="C6022" s="148" t="str">
        <f aca="false">VLOOKUP($A6022,INSUMOS_AUX!$A$3:$H$813,3,0)</f>
        <v>M.O.</v>
      </c>
      <c r="D6022" s="156" t="s">
        <v>1444</v>
      </c>
      <c r="E6022" s="154" t="n">
        <v>0.572393176</v>
      </c>
      <c r="F6022" s="149" t="n">
        <f aca="false">IF(C6022="MAT.",VLOOKUP(A6022,INSUMOS_AUX!$A$3:$H$813,6,0),0)</f>
        <v>0</v>
      </c>
      <c r="G6022" s="149" t="n">
        <f aca="false">IF(C6022="M.O.",VLOOKUP(A6022,INSUMOS_AUX!A:F,6,0),0)</f>
        <v>20.22</v>
      </c>
    </row>
    <row r="6023" customFormat="false" ht="21" hidden="false" customHeight="false" outlineLevel="0" collapsed="false">
      <c r="A6023" s="150" t="s">
        <v>999</v>
      </c>
      <c r="B6023" s="151" t="s">
        <v>2521</v>
      </c>
      <c r="C6023" s="152" t="s">
        <v>59</v>
      </c>
      <c r="D6023" s="152" t="s">
        <v>31</v>
      </c>
      <c r="E6023" s="150"/>
      <c r="F6023" s="153" t="n">
        <f aca="false">(SUMPRODUCT($E6024:$E6032,F6024:F6032))*1</f>
        <v>31.076144</v>
      </c>
      <c r="G6023" s="153" t="n">
        <f aca="false">(SUMPRODUCT($E6024:$E6032,G6024:G6032))*1</f>
        <v>12.63764466432</v>
      </c>
    </row>
    <row r="6024" customFormat="false" ht="21" hidden="false" customHeight="false" outlineLevel="0" collapsed="false">
      <c r="A6024" s="154" t="n">
        <v>37370</v>
      </c>
      <c r="B6024" s="155" t="s">
        <v>1443</v>
      </c>
      <c r="C6024" s="148" t="str">
        <f aca="false">VLOOKUP($A6024,INSUMOS_AUX!$A$3:$H$813,3,0)</f>
        <v>MAT.</v>
      </c>
      <c r="D6024" s="156" t="s">
        <v>1444</v>
      </c>
      <c r="E6024" s="154" t="n">
        <v>0.6704</v>
      </c>
      <c r="F6024" s="149" t="n">
        <f aca="false">IF(C6024="MAT.",VLOOKUP(A6024,INSUMOS_AUX!$A$3:$H$813,6,0),0)</f>
        <v>3.32</v>
      </c>
      <c r="G6024" s="149" t="n">
        <f aca="false">IF(C6024="M.O.",VLOOKUP(A6024,INSUMOS_AUX!A:F,6,0),0)</f>
        <v>0</v>
      </c>
    </row>
    <row r="6025" customFormat="false" ht="21" hidden="false" customHeight="false" outlineLevel="0" collapsed="false">
      <c r="A6025" s="154" t="n">
        <v>43484</v>
      </c>
      <c r="B6025" s="155" t="s">
        <v>1523</v>
      </c>
      <c r="C6025" s="148" t="str">
        <f aca="false">VLOOKUP($A6025,INSUMOS_AUX!$A$3:$H$813,3,0)</f>
        <v>MAT.</v>
      </c>
      <c r="D6025" s="156" t="s">
        <v>1444</v>
      </c>
      <c r="E6025" s="154" t="n">
        <v>0.6704</v>
      </c>
      <c r="F6025" s="149" t="n">
        <f aca="false">IF(C6025="MAT.",VLOOKUP(A6025,INSUMOS_AUX!$A$3:$H$813,6,0),0)</f>
        <v>1.26</v>
      </c>
      <c r="G6025" s="149" t="n">
        <f aca="false">IF(C6025="M.O.",VLOOKUP(A6025,INSUMOS_AUX!A:F,6,0),0)</f>
        <v>0</v>
      </c>
    </row>
    <row r="6026" customFormat="false" ht="21" hidden="false" customHeight="false" outlineLevel="0" collapsed="false">
      <c r="A6026" s="154" t="n">
        <v>37372</v>
      </c>
      <c r="B6026" s="155" t="s">
        <v>1446</v>
      </c>
      <c r="C6026" s="148" t="s">
        <v>59</v>
      </c>
      <c r="D6026" s="156" t="s">
        <v>1444</v>
      </c>
      <c r="E6026" s="154" t="n">
        <v>0.6704</v>
      </c>
      <c r="F6026" s="149" t="n">
        <f aca="false">IF(C6026="MAT.",VLOOKUP(A6026,INSUMOS_AUX!$A$3:$H$813,6,0),0)</f>
        <v>0</v>
      </c>
      <c r="G6026" s="149" t="n">
        <f aca="false">IF(C6026="M.O.",VLOOKUP(A6026,INSUMOS_AUX!A:F,6,0),0)</f>
        <v>0</v>
      </c>
    </row>
    <row r="6027" customFormat="false" ht="21" hidden="false" customHeight="false" outlineLevel="0" collapsed="false">
      <c r="A6027" s="154" t="n">
        <v>43460</v>
      </c>
      <c r="B6027" s="155" t="s">
        <v>1524</v>
      </c>
      <c r="C6027" s="148" t="str">
        <f aca="false">VLOOKUP($A6027,INSUMOS_AUX!$A$3:$H$813,3,0)</f>
        <v>MAT.</v>
      </c>
      <c r="D6027" s="156" t="s">
        <v>1444</v>
      </c>
      <c r="E6027" s="154" t="n">
        <v>0.6704</v>
      </c>
      <c r="F6027" s="149" t="n">
        <f aca="false">IF(C6027="MAT.",VLOOKUP(A6027,INSUMOS_AUX!$A$3:$H$813,6,0),0)</f>
        <v>0.86</v>
      </c>
      <c r="G6027" s="149" t="n">
        <f aca="false">IF(C6027="M.O.",VLOOKUP(A6027,INSUMOS_AUX!A:F,6,0),0)</f>
        <v>0</v>
      </c>
    </row>
    <row r="6028" customFormat="false" ht="21" hidden="false" customHeight="false" outlineLevel="0" collapsed="false">
      <c r="A6028" s="154" t="n">
        <v>37373</v>
      </c>
      <c r="B6028" s="155" t="s">
        <v>1448</v>
      </c>
      <c r="C6028" s="148" t="str">
        <f aca="false">VLOOKUP($A6028,INSUMOS_AUX!$A$3:$H$813,3,0)</f>
        <v>MAT.</v>
      </c>
      <c r="D6028" s="156" t="s">
        <v>1444</v>
      </c>
      <c r="E6028" s="154" t="n">
        <v>0.6704</v>
      </c>
      <c r="F6028" s="149" t="n">
        <f aca="false">IF(C6028="MAT.",VLOOKUP(A6028,INSUMOS_AUX!$A$3:$H$813,6,0),0)</f>
        <v>0.08</v>
      </c>
      <c r="G6028" s="149" t="n">
        <f aca="false">IF(C6028="M.O.",VLOOKUP(A6028,INSUMOS_AUX!A:F,6,0),0)</f>
        <v>0</v>
      </c>
    </row>
    <row r="6029" customFormat="false" ht="21" hidden="false" customHeight="false" outlineLevel="0" collapsed="false">
      <c r="A6029" s="154" t="n">
        <v>37371</v>
      </c>
      <c r="B6029" s="155" t="s">
        <v>1449</v>
      </c>
      <c r="C6029" s="148" t="str">
        <f aca="false">VLOOKUP($A6029,INSUMOS_AUX!$A$3:$H$813,3,0)</f>
        <v>MAT.</v>
      </c>
      <c r="D6029" s="156" t="s">
        <v>1444</v>
      </c>
      <c r="E6029" s="154" t="n">
        <v>0.6704</v>
      </c>
      <c r="F6029" s="149" t="n">
        <f aca="false">IF(C6029="MAT.",VLOOKUP(A6029,INSUMOS_AUX!$A$3:$H$813,6,0),0)</f>
        <v>0.59</v>
      </c>
      <c r="G6029" s="149" t="n">
        <f aca="false">IF(C6029="M.O.",VLOOKUP(A6029,INSUMOS_AUX!A:F,6,0),0)</f>
        <v>0</v>
      </c>
    </row>
    <row r="6030" customFormat="false" ht="15" hidden="false" customHeight="false" outlineLevel="0" collapsed="false">
      <c r="A6030" s="154" t="n">
        <v>39391</v>
      </c>
      <c r="B6030" s="155" t="s">
        <v>2522</v>
      </c>
      <c r="C6030" s="148" t="str">
        <f aca="false">VLOOKUP($A6030,INSUMOS_AUX!$A$3:$H$813,3,0)</f>
        <v>MAT.</v>
      </c>
      <c r="D6030" s="156" t="s">
        <v>31</v>
      </c>
      <c r="E6030" s="154" t="n">
        <v>1</v>
      </c>
      <c r="F6030" s="149" t="n">
        <f aca="false">IF(C6030="MAT.",VLOOKUP(A6030,INSUMOS_AUX!$A$3:$H$813,6,0),0)</f>
        <v>26.98</v>
      </c>
      <c r="G6030" s="149" t="n">
        <f aca="false">IF(C6030="M.O.",VLOOKUP(A6030,INSUMOS_AUX!A:F,6,0),0)</f>
        <v>0</v>
      </c>
    </row>
    <row r="6031" customFormat="false" ht="15" hidden="false" customHeight="false" outlineLevel="0" collapsed="false">
      <c r="A6031" s="154" t="n">
        <v>247</v>
      </c>
      <c r="B6031" s="155" t="s">
        <v>1554</v>
      </c>
      <c r="C6031" s="148" t="str">
        <f aca="false">VLOOKUP($A6031,INSUMOS_AUX!$A$3:$H$813,3,0)</f>
        <v>M.O.</v>
      </c>
      <c r="D6031" s="156" t="s">
        <v>1444</v>
      </c>
      <c r="E6031" s="154" t="n">
        <v>0.204559504</v>
      </c>
      <c r="F6031" s="149" t="n">
        <f aca="false">IF(C6031="MAT.",VLOOKUP(A6031,INSUMOS_AUX!$A$3:$H$813,6,0),0)</f>
        <v>0</v>
      </c>
      <c r="G6031" s="149" t="n">
        <f aca="false">IF(C6031="M.O.",VLOOKUP(A6031,INSUMOS_AUX!A:F,6,0),0)</f>
        <v>13.26</v>
      </c>
    </row>
    <row r="6032" customFormat="false" ht="15" hidden="false" customHeight="false" outlineLevel="0" collapsed="false">
      <c r="A6032" s="154" t="n">
        <v>2436</v>
      </c>
      <c r="B6032" s="155" t="s">
        <v>1557</v>
      </c>
      <c r="C6032" s="148" t="str">
        <f aca="false">VLOOKUP($A6032,INSUMOS_AUX!$A$3:$H$813,3,0)</f>
        <v>M.O.</v>
      </c>
      <c r="D6032" s="156" t="s">
        <v>1444</v>
      </c>
      <c r="E6032" s="154" t="n">
        <v>0.490859824</v>
      </c>
      <c r="F6032" s="149" t="n">
        <f aca="false">IF(C6032="MAT.",VLOOKUP(A6032,INSUMOS_AUX!$A$3:$H$813,6,0),0)</f>
        <v>0</v>
      </c>
      <c r="G6032" s="149" t="n">
        <f aca="false">IF(C6032="M.O.",VLOOKUP(A6032,INSUMOS_AUX!A:F,6,0),0)</f>
        <v>20.22</v>
      </c>
    </row>
    <row r="6033" customFormat="false" ht="15" hidden="false" customHeight="false" outlineLevel="0" collapsed="false">
      <c r="A6033" s="150" t="s">
        <v>1002</v>
      </c>
      <c r="B6033" s="151" t="s">
        <v>2523</v>
      </c>
      <c r="C6033" s="152" t="s">
        <v>59</v>
      </c>
      <c r="D6033" s="152" t="s">
        <v>31</v>
      </c>
      <c r="E6033" s="150"/>
      <c r="F6033" s="153" t="n">
        <f aca="false">(SUMPRODUCT($E6034:$E6042,F6034:F6042))*1</f>
        <v>46523.3166666667</v>
      </c>
      <c r="G6033" s="153" t="n">
        <f aca="false">(SUMPRODUCT($E6034:$E6042,G6034:G6042))*1</f>
        <v>86.823684</v>
      </c>
    </row>
    <row r="6034" customFormat="false" ht="21" hidden="false" customHeight="false" outlineLevel="0" collapsed="false">
      <c r="A6034" s="154" t="n">
        <v>37370</v>
      </c>
      <c r="B6034" s="155" t="s">
        <v>1443</v>
      </c>
      <c r="C6034" s="148" t="str">
        <f aca="false">VLOOKUP($A6034,INSUMOS_AUX!$A$3:$H$813,3,0)</f>
        <v>MAT.</v>
      </c>
      <c r="D6034" s="156" t="s">
        <v>1444</v>
      </c>
      <c r="E6034" s="154" t="n">
        <v>5</v>
      </c>
      <c r="F6034" s="149" t="n">
        <f aca="false">IF(C6034="MAT.",VLOOKUP(A6034,INSUMOS_AUX!$A$3:$H$813,6,0),0)</f>
        <v>3.32</v>
      </c>
      <c r="G6034" s="149" t="n">
        <f aca="false">IF(C6034="M.O.",VLOOKUP(A6034,INSUMOS_AUX!A:F,6,0),0)</f>
        <v>0</v>
      </c>
    </row>
    <row r="6035" customFormat="false" ht="21" hidden="false" customHeight="false" outlineLevel="0" collapsed="false">
      <c r="A6035" s="154" t="n">
        <v>43484</v>
      </c>
      <c r="B6035" s="155" t="s">
        <v>1523</v>
      </c>
      <c r="C6035" s="148" t="str">
        <f aca="false">VLOOKUP($A6035,INSUMOS_AUX!$A$3:$H$813,3,0)</f>
        <v>MAT.</v>
      </c>
      <c r="D6035" s="156" t="s">
        <v>1444</v>
      </c>
      <c r="E6035" s="154" t="n">
        <v>5</v>
      </c>
      <c r="F6035" s="149" t="n">
        <f aca="false">IF(C6035="MAT.",VLOOKUP(A6035,INSUMOS_AUX!$A$3:$H$813,6,0),0)</f>
        <v>1.26</v>
      </c>
      <c r="G6035" s="149" t="n">
        <f aca="false">IF(C6035="M.O.",VLOOKUP(A6035,INSUMOS_AUX!A:F,6,0),0)</f>
        <v>0</v>
      </c>
    </row>
    <row r="6036" customFormat="false" ht="21" hidden="false" customHeight="false" outlineLevel="0" collapsed="false">
      <c r="A6036" s="154" t="n">
        <v>37372</v>
      </c>
      <c r="B6036" s="155" t="s">
        <v>1446</v>
      </c>
      <c r="C6036" s="148" t="str">
        <f aca="false">VLOOKUP($A6036,INSUMOS_AUX!$A$3:$H$813,3,0)</f>
        <v>MAT.</v>
      </c>
      <c r="D6036" s="156" t="s">
        <v>1444</v>
      </c>
      <c r="E6036" s="154" t="n">
        <v>5</v>
      </c>
      <c r="F6036" s="149" t="n">
        <f aca="false">IF(C6036="MAT.",VLOOKUP(A6036,INSUMOS_AUX!$A$3:$H$813,6,0),0)</f>
        <v>1.43</v>
      </c>
      <c r="G6036" s="149" t="n">
        <f aca="false">IF(C6036="M.O.",VLOOKUP(A6036,INSUMOS_AUX!A:F,6,0),0)</f>
        <v>0</v>
      </c>
    </row>
    <row r="6037" customFormat="false" ht="21" hidden="false" customHeight="false" outlineLevel="0" collapsed="false">
      <c r="A6037" s="154" t="n">
        <v>43460</v>
      </c>
      <c r="B6037" s="155" t="s">
        <v>1524</v>
      </c>
      <c r="C6037" s="148" t="s">
        <v>59</v>
      </c>
      <c r="D6037" s="156" t="s">
        <v>1444</v>
      </c>
      <c r="E6037" s="154" t="n">
        <v>5</v>
      </c>
      <c r="F6037" s="149" t="n">
        <f aca="false">IF(C6037="MAT.",VLOOKUP(A6037,INSUMOS_AUX!$A$3:$H$813,6,0),0)</f>
        <v>0</v>
      </c>
      <c r="G6037" s="149" t="n">
        <f aca="false">IF(C6037="M.O.",VLOOKUP(A6037,INSUMOS_AUX!A:F,6,0),0)</f>
        <v>0</v>
      </c>
    </row>
    <row r="6038" customFormat="false" ht="21" hidden="false" customHeight="false" outlineLevel="0" collapsed="false">
      <c r="A6038" s="154" t="n">
        <v>37373</v>
      </c>
      <c r="B6038" s="155" t="s">
        <v>1448</v>
      </c>
      <c r="C6038" s="148" t="str">
        <f aca="false">VLOOKUP($A6038,INSUMOS_AUX!$A$3:$H$813,3,0)</f>
        <v>MAT.</v>
      </c>
      <c r="D6038" s="156" t="s">
        <v>1444</v>
      </c>
      <c r="E6038" s="154" t="n">
        <v>5</v>
      </c>
      <c r="F6038" s="149" t="n">
        <f aca="false">IF(C6038="MAT.",VLOOKUP(A6038,INSUMOS_AUX!$A$3:$H$813,6,0),0)</f>
        <v>0.08</v>
      </c>
      <c r="G6038" s="149" t="n">
        <f aca="false">IF(C6038="M.O.",VLOOKUP(A6038,INSUMOS_AUX!A:F,6,0),0)</f>
        <v>0</v>
      </c>
    </row>
    <row r="6039" customFormat="false" ht="21" hidden="false" customHeight="false" outlineLevel="0" collapsed="false">
      <c r="A6039" s="154" t="n">
        <v>37371</v>
      </c>
      <c r="B6039" s="155" t="s">
        <v>1449</v>
      </c>
      <c r="C6039" s="148" t="str">
        <f aca="false">VLOOKUP($A6039,INSUMOS_AUX!$A$3:$H$813,3,0)</f>
        <v>MAT.</v>
      </c>
      <c r="D6039" s="156" t="s">
        <v>1444</v>
      </c>
      <c r="E6039" s="154" t="n">
        <v>5</v>
      </c>
      <c r="F6039" s="149" t="n">
        <f aca="false">IF(C6039="MAT.",VLOOKUP(A6039,INSUMOS_AUX!$A$3:$H$813,6,0),0)</f>
        <v>0.59</v>
      </c>
      <c r="G6039" s="149" t="n">
        <f aca="false">IF(C6039="M.O.",VLOOKUP(A6039,INSUMOS_AUX!A:F,6,0),0)</f>
        <v>0</v>
      </c>
    </row>
    <row r="6040" customFormat="false" ht="15" hidden="false" customHeight="false" outlineLevel="0" collapsed="false">
      <c r="A6040" s="154" t="s">
        <v>2524</v>
      </c>
      <c r="B6040" s="155" t="s">
        <v>2525</v>
      </c>
      <c r="C6040" s="148" t="str">
        <f aca="false">VLOOKUP($A6040,INSUMOS_AUX!$A$3:$H$813,3,0)</f>
        <v>MAT.</v>
      </c>
      <c r="D6040" s="156" t="s">
        <v>31</v>
      </c>
      <c r="E6040" s="154" t="n">
        <v>1</v>
      </c>
      <c r="F6040" s="149" t="n">
        <f aca="false">IF(C6040="MAT.",VLOOKUP(A6040,INSUMOS_AUX!$A$3:$H$813,6,0),0)</f>
        <v>46489.9166666667</v>
      </c>
      <c r="G6040" s="149" t="n">
        <f aca="false">IF(C6040="M.O.",VLOOKUP(A6040,INSUMOS_AUX!A:F,6,0),0)</f>
        <v>0</v>
      </c>
    </row>
    <row r="6041" customFormat="false" ht="15" hidden="false" customHeight="false" outlineLevel="0" collapsed="false">
      <c r="A6041" s="154" t="n">
        <v>247</v>
      </c>
      <c r="B6041" s="155" t="s">
        <v>1554</v>
      </c>
      <c r="C6041" s="148" t="str">
        <f aca="false">VLOOKUP($A6041,INSUMOS_AUX!$A$3:$H$813,3,0)</f>
        <v>M.O.</v>
      </c>
      <c r="D6041" s="156" t="s">
        <v>1444</v>
      </c>
      <c r="E6041" s="154" t="n">
        <v>2.5933</v>
      </c>
      <c r="F6041" s="149" t="n">
        <f aca="false">IF(C6041="MAT.",VLOOKUP(A6041,INSUMOS_AUX!$A$3:$H$813,6,0),0)</f>
        <v>0</v>
      </c>
      <c r="G6041" s="149" t="n">
        <f aca="false">IF(C6041="M.O.",VLOOKUP(A6041,INSUMOS_AUX!A:F,6,0),0)</f>
        <v>13.26</v>
      </c>
    </row>
    <row r="6042" customFormat="false" ht="15" hidden="false" customHeight="false" outlineLevel="0" collapsed="false">
      <c r="A6042" s="154" t="n">
        <v>2436</v>
      </c>
      <c r="B6042" s="155" t="s">
        <v>1557</v>
      </c>
      <c r="C6042" s="148" t="str">
        <f aca="false">VLOOKUP($A6042,INSUMOS_AUX!$A$3:$H$813,3,0)</f>
        <v>M.O.</v>
      </c>
      <c r="D6042" s="156" t="s">
        <v>1444</v>
      </c>
      <c r="E6042" s="154" t="n">
        <v>2.5933</v>
      </c>
      <c r="F6042" s="149" t="n">
        <f aca="false">IF(C6042="MAT.",VLOOKUP(A6042,INSUMOS_AUX!$A$3:$H$813,6,0),0)</f>
        <v>0</v>
      </c>
      <c r="G6042" s="149" t="n">
        <f aca="false">IF(C6042="M.O.",VLOOKUP(A6042,INSUMOS_AUX!A:F,6,0),0)</f>
        <v>20.22</v>
      </c>
    </row>
    <row r="6043" customFormat="false" ht="21" hidden="false" customHeight="false" outlineLevel="0" collapsed="false">
      <c r="A6043" s="150" t="s">
        <v>1004</v>
      </c>
      <c r="B6043" s="151" t="s">
        <v>2526</v>
      </c>
      <c r="C6043" s="152" t="s">
        <v>59</v>
      </c>
      <c r="D6043" s="152" t="s">
        <v>31</v>
      </c>
      <c r="E6043" s="150"/>
      <c r="F6043" s="153" t="n">
        <f aca="false">(SUMPRODUCT($E6044:$E6053,F6044:F6053))*1</f>
        <v>8947.43</v>
      </c>
      <c r="G6043" s="153" t="n">
        <f aca="false">(SUMPRODUCT($E6044:$E6053,G6044:G6053))*1</f>
        <v>523.77968</v>
      </c>
    </row>
    <row r="6044" customFormat="false" ht="21" hidden="false" customHeight="false" outlineLevel="0" collapsed="false">
      <c r="A6044" s="154" t="n">
        <v>37370</v>
      </c>
      <c r="B6044" s="155" t="s">
        <v>1443</v>
      </c>
      <c r="C6044" s="148" t="str">
        <f aca="false">VLOOKUP($A6044,INSUMOS_AUX!$A$3:$H$813,3,0)</f>
        <v>MAT.</v>
      </c>
      <c r="D6044" s="156" t="s">
        <v>1444</v>
      </c>
      <c r="E6044" s="154" t="n">
        <v>30</v>
      </c>
      <c r="F6044" s="149" t="n">
        <f aca="false">IF(C6044="MAT.",VLOOKUP(A6044,INSUMOS_AUX!$A$3:$H$813,6,0),0)</f>
        <v>3.32</v>
      </c>
      <c r="G6044" s="149" t="n">
        <f aca="false">IF(C6044="M.O.",VLOOKUP(A6044,INSUMOS_AUX!A:F,6,0),0)</f>
        <v>0</v>
      </c>
    </row>
    <row r="6045" customFormat="false" ht="21" hidden="false" customHeight="false" outlineLevel="0" collapsed="false">
      <c r="A6045" s="154" t="n">
        <v>43484</v>
      </c>
      <c r="B6045" s="155" t="s">
        <v>1523</v>
      </c>
      <c r="C6045" s="148" t="str">
        <f aca="false">VLOOKUP($A6045,INSUMOS_AUX!$A$3:$H$813,3,0)</f>
        <v>MAT.</v>
      </c>
      <c r="D6045" s="156" t="s">
        <v>1444</v>
      </c>
      <c r="E6045" s="154" t="n">
        <v>30</v>
      </c>
      <c r="F6045" s="149" t="n">
        <f aca="false">IF(C6045="MAT.",VLOOKUP(A6045,INSUMOS_AUX!$A$3:$H$813,6,0),0)</f>
        <v>1.26</v>
      </c>
      <c r="G6045" s="149" t="n">
        <f aca="false">IF(C6045="M.O.",VLOOKUP(A6045,INSUMOS_AUX!A:F,6,0),0)</f>
        <v>0</v>
      </c>
    </row>
    <row r="6046" customFormat="false" ht="21" hidden="false" customHeight="false" outlineLevel="0" collapsed="false">
      <c r="A6046" s="154" t="n">
        <v>37372</v>
      </c>
      <c r="B6046" s="155" t="s">
        <v>1446</v>
      </c>
      <c r="C6046" s="148" t="str">
        <f aca="false">VLOOKUP($A6046,INSUMOS_AUX!$A$3:$H$813,3,0)</f>
        <v>MAT.</v>
      </c>
      <c r="D6046" s="156" t="s">
        <v>1444</v>
      </c>
      <c r="E6046" s="154" t="n">
        <v>30</v>
      </c>
      <c r="F6046" s="149" t="n">
        <f aca="false">IF(C6046="MAT.",VLOOKUP(A6046,INSUMOS_AUX!$A$3:$H$813,6,0),0)</f>
        <v>1.43</v>
      </c>
      <c r="G6046" s="149" t="n">
        <f aca="false">IF(C6046="M.O.",VLOOKUP(A6046,INSUMOS_AUX!A:F,6,0),0)</f>
        <v>0</v>
      </c>
    </row>
    <row r="6047" customFormat="false" ht="21" hidden="false" customHeight="false" outlineLevel="0" collapsed="false">
      <c r="A6047" s="154" t="n">
        <v>43460</v>
      </c>
      <c r="B6047" s="155" t="s">
        <v>1524</v>
      </c>
      <c r="C6047" s="148" t="str">
        <f aca="false">VLOOKUP($A6047,INSUMOS_AUX!$A$3:$H$813,3,0)</f>
        <v>MAT.</v>
      </c>
      <c r="D6047" s="156" t="s">
        <v>1444</v>
      </c>
      <c r="E6047" s="154" t="n">
        <v>30</v>
      </c>
      <c r="F6047" s="149" t="n">
        <f aca="false">IF(C6047="MAT.",VLOOKUP(A6047,INSUMOS_AUX!$A$3:$H$813,6,0),0)</f>
        <v>0.86</v>
      </c>
      <c r="G6047" s="149" t="n">
        <f aca="false">IF(C6047="M.O.",VLOOKUP(A6047,INSUMOS_AUX!A:F,6,0),0)</f>
        <v>0</v>
      </c>
    </row>
    <row r="6048" customFormat="false" ht="21" hidden="false" customHeight="false" outlineLevel="0" collapsed="false">
      <c r="A6048" s="154" t="n">
        <v>37373</v>
      </c>
      <c r="B6048" s="155" t="s">
        <v>1448</v>
      </c>
      <c r="C6048" s="148" t="s">
        <v>59</v>
      </c>
      <c r="D6048" s="156" t="s">
        <v>1444</v>
      </c>
      <c r="E6048" s="154" t="n">
        <v>30</v>
      </c>
      <c r="F6048" s="149" t="n">
        <f aca="false">IF(C6048="MAT.",VLOOKUP(A6048,INSUMOS_AUX!$A$3:$H$813,6,0),0)</f>
        <v>0</v>
      </c>
      <c r="G6048" s="149" t="n">
        <f aca="false">IF(C6048="M.O.",VLOOKUP(A6048,INSUMOS_AUX!A:F,6,0),0)</f>
        <v>0</v>
      </c>
    </row>
    <row r="6049" customFormat="false" ht="21" hidden="false" customHeight="false" outlineLevel="0" collapsed="false">
      <c r="A6049" s="154" t="n">
        <v>37371</v>
      </c>
      <c r="B6049" s="155" t="s">
        <v>1449</v>
      </c>
      <c r="C6049" s="148" t="str">
        <f aca="false">VLOOKUP($A6049,INSUMOS_AUX!$A$3:$H$813,3,0)</f>
        <v>MAT.</v>
      </c>
      <c r="D6049" s="156" t="s">
        <v>1444</v>
      </c>
      <c r="E6049" s="154" t="n">
        <v>30</v>
      </c>
      <c r="F6049" s="149" t="n">
        <f aca="false">IF(C6049="MAT.",VLOOKUP(A6049,INSUMOS_AUX!$A$3:$H$813,6,0),0)</f>
        <v>0.59</v>
      </c>
      <c r="G6049" s="149" t="n">
        <f aca="false">IF(C6049="M.O.",VLOOKUP(A6049,INSUMOS_AUX!A:F,6,0),0)</f>
        <v>0</v>
      </c>
    </row>
    <row r="6050" customFormat="false" ht="15" hidden="false" customHeight="false" outlineLevel="0" collapsed="false">
      <c r="A6050" s="154" t="s">
        <v>2527</v>
      </c>
      <c r="B6050" s="155" t="s">
        <v>2528</v>
      </c>
      <c r="C6050" s="148" t="str">
        <f aca="false">VLOOKUP($A6050,INSUMOS_AUX!$A$3:$H$813,3,0)</f>
        <v>MAT.</v>
      </c>
      <c r="D6050" s="156" t="s">
        <v>31</v>
      </c>
      <c r="E6050" s="154" t="n">
        <v>1</v>
      </c>
      <c r="F6050" s="149" t="n">
        <f aca="false">IF(C6050="MAT.",VLOOKUP(A6050,INSUMOS_AUX!$A$3:$H$813,6,0),0)</f>
        <v>8723.63</v>
      </c>
      <c r="G6050" s="149" t="n">
        <f aca="false">IF(C6050="M.O.",VLOOKUP(A6050,INSUMOS_AUX!A:F,6,0),0)</f>
        <v>0</v>
      </c>
    </row>
    <row r="6051" customFormat="false" ht="15" hidden="false" customHeight="false" outlineLevel="0" collapsed="false">
      <c r="A6051" s="154" t="n">
        <v>247</v>
      </c>
      <c r="B6051" s="155" t="s">
        <v>1554</v>
      </c>
      <c r="C6051" s="148" t="str">
        <f aca="false">VLOOKUP($A6051,INSUMOS_AUX!$A$3:$H$813,3,0)</f>
        <v>M.O.</v>
      </c>
      <c r="D6051" s="156" t="s">
        <v>1444</v>
      </c>
      <c r="E6051" s="154" t="n">
        <v>10.3732</v>
      </c>
      <c r="F6051" s="149" t="n">
        <f aca="false">IF(C6051="MAT.",VLOOKUP(A6051,INSUMOS_AUX!$A$3:$H$813,6,0),0)</f>
        <v>0</v>
      </c>
      <c r="G6051" s="149" t="n">
        <f aca="false">IF(C6051="M.O.",VLOOKUP(A6051,INSUMOS_AUX!A:F,6,0),0)</f>
        <v>13.26</v>
      </c>
    </row>
    <row r="6052" customFormat="false" ht="15" hidden="false" customHeight="false" outlineLevel="0" collapsed="false">
      <c r="A6052" s="154" t="n">
        <v>2436</v>
      </c>
      <c r="B6052" s="155" t="s">
        <v>1557</v>
      </c>
      <c r="C6052" s="148" t="str">
        <f aca="false">VLOOKUP($A6052,INSUMOS_AUX!$A$3:$H$813,3,0)</f>
        <v>M.O.</v>
      </c>
      <c r="D6052" s="156" t="s">
        <v>1444</v>
      </c>
      <c r="E6052" s="154" t="n">
        <v>10.3732</v>
      </c>
      <c r="F6052" s="149" t="n">
        <f aca="false">IF(C6052="MAT.",VLOOKUP(A6052,INSUMOS_AUX!$A$3:$H$813,6,0),0)</f>
        <v>0</v>
      </c>
      <c r="G6052" s="149" t="n">
        <f aca="false">IF(C6052="M.O.",VLOOKUP(A6052,INSUMOS_AUX!A:F,6,0),0)</f>
        <v>20.22</v>
      </c>
    </row>
    <row r="6053" customFormat="false" ht="15" hidden="false" customHeight="false" outlineLevel="0" collapsed="false">
      <c r="A6053" s="154" t="n">
        <v>34761</v>
      </c>
      <c r="B6053" s="155" t="s">
        <v>2529</v>
      </c>
      <c r="C6053" s="148" t="str">
        <f aca="false">VLOOKUP($A6053,INSUMOS_AUX!$A$3:$H$813,3,0)</f>
        <v>M.O.</v>
      </c>
      <c r="D6053" s="156" t="s">
        <v>1444</v>
      </c>
      <c r="E6053" s="154" t="n">
        <v>10.3087</v>
      </c>
      <c r="F6053" s="149" t="n">
        <f aca="false">IF(C6053="MAT.",VLOOKUP(A6053,INSUMOS_AUX!$A$3:$H$813,6,0),0)</f>
        <v>0</v>
      </c>
      <c r="G6053" s="149" t="n">
        <f aca="false">IF(C6053="M.O.",VLOOKUP(A6053,INSUMOS_AUX!A:F,6,0),0)</f>
        <v>17.12</v>
      </c>
    </row>
    <row r="6054" customFormat="false" ht="31.5" hidden="false" customHeight="false" outlineLevel="0" collapsed="false">
      <c r="A6054" s="150" t="n">
        <v>97881</v>
      </c>
      <c r="B6054" s="151" t="s">
        <v>2530</v>
      </c>
      <c r="C6054" s="152" t="s">
        <v>59</v>
      </c>
      <c r="D6054" s="152" t="s">
        <v>31</v>
      </c>
      <c r="E6054" s="150"/>
      <c r="F6054" s="153" t="n">
        <f aca="false">(SUMPRODUCT($E6055:$E6091,F6055:F6091))*1</f>
        <v>115.76125043628</v>
      </c>
      <c r="G6054" s="153" t="n">
        <f aca="false">(SUMPRODUCT($E6055:$E6091,G6055:G6091))*1</f>
        <v>18.5789001700331</v>
      </c>
    </row>
    <row r="6055" customFormat="false" ht="21" hidden="false" customHeight="false" outlineLevel="0" collapsed="false">
      <c r="A6055" s="154" t="n">
        <v>37370</v>
      </c>
      <c r="B6055" s="155" t="s">
        <v>1443</v>
      </c>
      <c r="C6055" s="148" t="str">
        <f aca="false">VLOOKUP($A6055,INSUMOS_AUX!$A$3:$H$813,3,0)</f>
        <v>MAT.</v>
      </c>
      <c r="D6055" s="156" t="s">
        <v>1444</v>
      </c>
      <c r="E6055" s="154" t="n">
        <v>1.095618049496</v>
      </c>
      <c r="F6055" s="149" t="n">
        <f aca="false">IF(C6055="MAT.",VLOOKUP(A6055,INSUMOS_AUX!$A$3:$H$813,6,0),0)</f>
        <v>3.32</v>
      </c>
      <c r="G6055" s="149" t="n">
        <f aca="false">IF(C6055="M.O.",VLOOKUP(A6055,INSUMOS_AUX!A:F,6,0),0)</f>
        <v>0</v>
      </c>
    </row>
    <row r="6056" customFormat="false" ht="21" hidden="false" customHeight="false" outlineLevel="0" collapsed="false">
      <c r="A6056" s="154" t="n">
        <v>43483</v>
      </c>
      <c r="B6056" s="155" t="s">
        <v>1486</v>
      </c>
      <c r="C6056" s="148" t="str">
        <f aca="false">VLOOKUP($A6056,INSUMOS_AUX!$A$3:$H$813,3,0)</f>
        <v>MAT.</v>
      </c>
      <c r="D6056" s="156" t="s">
        <v>1444</v>
      </c>
      <c r="E6056" s="154" t="n">
        <v>0.09902802</v>
      </c>
      <c r="F6056" s="149" t="n">
        <f aca="false">IF(C6056="MAT.",VLOOKUP(A6056,INSUMOS_AUX!$A$3:$H$813,6,0),0)</f>
        <v>1.43</v>
      </c>
      <c r="G6056" s="149" t="n">
        <f aca="false">IF(C6056="M.O.",VLOOKUP(A6056,INSUMOS_AUX!A:F,6,0),0)</f>
        <v>0</v>
      </c>
    </row>
    <row r="6057" customFormat="false" ht="21" hidden="false" customHeight="false" outlineLevel="0" collapsed="false">
      <c r="A6057" s="154" t="n">
        <v>43488</v>
      </c>
      <c r="B6057" s="155" t="s">
        <v>1445</v>
      </c>
      <c r="C6057" s="148" t="str">
        <f aca="false">VLOOKUP($A6057,INSUMOS_AUX!$A$3:$H$813,3,0)</f>
        <v>MAT.</v>
      </c>
      <c r="D6057" s="156" t="s">
        <v>1444</v>
      </c>
      <c r="E6057" s="154" t="n">
        <v>0.035138162</v>
      </c>
      <c r="F6057" s="149" t="n">
        <f aca="false">IF(C6057="MAT.",VLOOKUP(A6057,INSUMOS_AUX!$A$3:$H$813,6,0),0)</f>
        <v>0.89</v>
      </c>
      <c r="G6057" s="149" t="n">
        <f aca="false">IF(C6057="M.O.",VLOOKUP(A6057,INSUMOS_AUX!A:F,6,0),0)</f>
        <v>0</v>
      </c>
    </row>
    <row r="6058" customFormat="false" ht="21" hidden="false" customHeight="false" outlineLevel="0" collapsed="false">
      <c r="A6058" s="154" t="n">
        <v>43489</v>
      </c>
      <c r="B6058" s="155" t="s">
        <v>1456</v>
      </c>
      <c r="C6058" s="148" t="str">
        <f aca="false">VLOOKUP($A6058,INSUMOS_AUX!$A$3:$H$813,3,0)</f>
        <v>MAT.</v>
      </c>
      <c r="D6058" s="156" t="s">
        <v>1444</v>
      </c>
      <c r="E6058" s="154" t="n">
        <v>0.494937503496</v>
      </c>
      <c r="F6058" s="149" t="n">
        <f aca="false">IF(C6058="MAT.",VLOOKUP(A6058,INSUMOS_AUX!$A$3:$H$813,6,0),0)</f>
        <v>1.31</v>
      </c>
      <c r="G6058" s="149" t="n">
        <f aca="false">IF(C6058="M.O.",VLOOKUP(A6058,INSUMOS_AUX!A:F,6,0),0)</f>
        <v>0</v>
      </c>
    </row>
    <row r="6059" customFormat="false" ht="21" hidden="false" customHeight="false" outlineLevel="0" collapsed="false">
      <c r="A6059" s="154" t="n">
        <v>43491</v>
      </c>
      <c r="B6059" s="155" t="s">
        <v>1457</v>
      </c>
      <c r="C6059" s="148" t="s">
        <v>59</v>
      </c>
      <c r="D6059" s="156" t="s">
        <v>1444</v>
      </c>
      <c r="E6059" s="154" t="n">
        <v>0.466514364</v>
      </c>
      <c r="F6059" s="149" t="n">
        <f aca="false">IF(C6059="MAT.",VLOOKUP(A6059,INSUMOS_AUX!$A$3:$H$813,6,0),0)</f>
        <v>0</v>
      </c>
      <c r="G6059" s="149" t="n">
        <f aca="false">IF(C6059="M.O.",VLOOKUP(A6059,INSUMOS_AUX!A:F,6,0),0)</f>
        <v>0</v>
      </c>
    </row>
    <row r="6060" customFormat="false" ht="21" hidden="false" customHeight="false" outlineLevel="0" collapsed="false">
      <c r="A6060" s="154" t="n">
        <v>37372</v>
      </c>
      <c r="B6060" s="155" t="s">
        <v>1446</v>
      </c>
      <c r="C6060" s="148" t="str">
        <f aca="false">VLOOKUP($A6060,INSUMOS_AUX!$A$3:$H$813,3,0)</f>
        <v>MAT.</v>
      </c>
      <c r="D6060" s="156" t="s">
        <v>1444</v>
      </c>
      <c r="E6060" s="154" t="n">
        <v>1.095618049496</v>
      </c>
      <c r="F6060" s="149" t="n">
        <f aca="false">IF(C6060="MAT.",VLOOKUP(A6060,INSUMOS_AUX!$A$3:$H$813,6,0),0)</f>
        <v>1.43</v>
      </c>
      <c r="G6060" s="149" t="n">
        <f aca="false">IF(C6060="M.O.",VLOOKUP(A6060,INSUMOS_AUX!A:F,6,0),0)</f>
        <v>0</v>
      </c>
    </row>
    <row r="6061" customFormat="false" ht="21" hidden="false" customHeight="false" outlineLevel="0" collapsed="false">
      <c r="A6061" s="154" t="n">
        <v>43459</v>
      </c>
      <c r="B6061" s="155" t="s">
        <v>1487</v>
      </c>
      <c r="C6061" s="148" t="str">
        <f aca="false">VLOOKUP($A6061,INSUMOS_AUX!$A$3:$H$813,3,0)</f>
        <v>MAT.</v>
      </c>
      <c r="D6061" s="156" t="s">
        <v>1444</v>
      </c>
      <c r="E6061" s="154" t="n">
        <v>0.09902802</v>
      </c>
      <c r="F6061" s="149" t="n">
        <f aca="false">IF(C6061="MAT.",VLOOKUP(A6061,INSUMOS_AUX!$A$3:$H$813,6,0),0)</f>
        <v>0.44</v>
      </c>
      <c r="G6061" s="149" t="n">
        <f aca="false">IF(C6061="M.O.",VLOOKUP(A6061,INSUMOS_AUX!A:F,6,0),0)</f>
        <v>0</v>
      </c>
    </row>
    <row r="6062" customFormat="false" ht="21" hidden="false" customHeight="false" outlineLevel="0" collapsed="false">
      <c r="A6062" s="154" t="n">
        <v>43464</v>
      </c>
      <c r="B6062" s="155" t="s">
        <v>1447</v>
      </c>
      <c r="C6062" s="148" t="str">
        <f aca="false">VLOOKUP($A6062,INSUMOS_AUX!$A$3:$H$813,3,0)</f>
        <v>MAT.</v>
      </c>
      <c r="D6062" s="156" t="s">
        <v>1444</v>
      </c>
      <c r="E6062" s="154" t="n">
        <v>0.035138162</v>
      </c>
      <c r="F6062" s="149" t="n">
        <f aca="false">IF(C6062="MAT.",VLOOKUP(A6062,INSUMOS_AUX!$A$3:$H$813,6,0),0)</f>
        <v>0.01</v>
      </c>
      <c r="G6062" s="149" t="n">
        <f aca="false">IF(C6062="M.O.",VLOOKUP(A6062,INSUMOS_AUX!A:F,6,0),0)</f>
        <v>0</v>
      </c>
    </row>
    <row r="6063" customFormat="false" ht="21" hidden="false" customHeight="false" outlineLevel="0" collapsed="false">
      <c r="A6063" s="154" t="n">
        <v>43465</v>
      </c>
      <c r="B6063" s="155" t="s">
        <v>1458</v>
      </c>
      <c r="C6063" s="148" t="str">
        <f aca="false">VLOOKUP($A6063,INSUMOS_AUX!$A$3:$H$813,3,0)</f>
        <v>MAT.</v>
      </c>
      <c r="D6063" s="156" t="s">
        <v>1444</v>
      </c>
      <c r="E6063" s="154" t="n">
        <v>0.494937503496</v>
      </c>
      <c r="F6063" s="149" t="n">
        <f aca="false">IF(C6063="MAT.",VLOOKUP(A6063,INSUMOS_AUX!$A$3:$H$813,6,0),0)</f>
        <v>0.78</v>
      </c>
      <c r="G6063" s="149" t="n">
        <f aca="false">IF(C6063="M.O.",VLOOKUP(A6063,INSUMOS_AUX!A:F,6,0),0)</f>
        <v>0</v>
      </c>
    </row>
    <row r="6064" customFormat="false" ht="21" hidden="false" customHeight="false" outlineLevel="0" collapsed="false">
      <c r="A6064" s="154" t="n">
        <v>43467</v>
      </c>
      <c r="B6064" s="155" t="s">
        <v>1459</v>
      </c>
      <c r="C6064" s="148" t="str">
        <f aca="false">VLOOKUP($A6064,INSUMOS_AUX!$A$3:$H$813,3,0)</f>
        <v>MAT.</v>
      </c>
      <c r="D6064" s="156" t="s">
        <v>1444</v>
      </c>
      <c r="E6064" s="154" t="n">
        <v>0.466514364</v>
      </c>
      <c r="F6064" s="149" t="n">
        <f aca="false">IF(C6064="MAT.",VLOOKUP(A6064,INSUMOS_AUX!$A$3:$H$813,6,0),0)</f>
        <v>0.61</v>
      </c>
      <c r="G6064" s="149" t="n">
        <f aca="false">IF(C6064="M.O.",VLOOKUP(A6064,INSUMOS_AUX!A:F,6,0),0)</f>
        <v>0</v>
      </c>
    </row>
    <row r="6065" customFormat="false" ht="21" hidden="false" customHeight="false" outlineLevel="0" collapsed="false">
      <c r="A6065" s="154" t="n">
        <v>37373</v>
      </c>
      <c r="B6065" s="155" t="s">
        <v>1448</v>
      </c>
      <c r="C6065" s="148" t="str">
        <f aca="false">VLOOKUP($A6065,INSUMOS_AUX!$A$3:$H$813,3,0)</f>
        <v>MAT.</v>
      </c>
      <c r="D6065" s="156" t="s">
        <v>1444</v>
      </c>
      <c r="E6065" s="154" t="n">
        <v>1.095618049496</v>
      </c>
      <c r="F6065" s="149" t="n">
        <f aca="false">IF(C6065="MAT.",VLOOKUP(A6065,INSUMOS_AUX!$A$3:$H$813,6,0),0)</f>
        <v>0.08</v>
      </c>
      <c r="G6065" s="149" t="n">
        <f aca="false">IF(C6065="M.O.",VLOOKUP(A6065,INSUMOS_AUX!A:F,6,0),0)</f>
        <v>0</v>
      </c>
    </row>
    <row r="6066" customFormat="false" ht="21" hidden="false" customHeight="false" outlineLevel="0" collapsed="false">
      <c r="A6066" s="154" t="n">
        <v>37371</v>
      </c>
      <c r="B6066" s="155" t="s">
        <v>1449</v>
      </c>
      <c r="C6066" s="148" t="str">
        <f aca="false">VLOOKUP($A6066,INSUMOS_AUX!$A$3:$H$813,3,0)</f>
        <v>MAT.</v>
      </c>
      <c r="D6066" s="156" t="s">
        <v>1444</v>
      </c>
      <c r="E6066" s="154" t="n">
        <v>1.095618049496</v>
      </c>
      <c r="F6066" s="149" t="n">
        <f aca="false">IF(C6066="MAT.",VLOOKUP(A6066,INSUMOS_AUX!$A$3:$H$813,6,0),0)</f>
        <v>0.59</v>
      </c>
      <c r="G6066" s="149" t="n">
        <f aca="false">IF(C6066="M.O.",VLOOKUP(A6066,INSUMOS_AUX!A:F,6,0),0)</f>
        <v>0</v>
      </c>
    </row>
    <row r="6067" customFormat="false" ht="31.5" hidden="false" customHeight="false" outlineLevel="0" collapsed="false">
      <c r="A6067" s="154" t="n">
        <v>36397</v>
      </c>
      <c r="B6067" s="155" t="s">
        <v>1888</v>
      </c>
      <c r="C6067" s="148" t="str">
        <f aca="false">VLOOKUP($A6067,INSUMOS_AUX!$A$3:$H$813,3,0)</f>
        <v>MAT.</v>
      </c>
      <c r="D6067" s="156" t="s">
        <v>31</v>
      </c>
      <c r="E6067" s="154" t="n">
        <v>1.5675210096E-006</v>
      </c>
      <c r="F6067" s="149" t="n">
        <f aca="false">IF(C6067="MAT.",VLOOKUP(A6067,INSUMOS_AUX!$A$3:$H$813,6,0),0)</f>
        <v>19114.57</v>
      </c>
      <c r="G6067" s="149" t="n">
        <f aca="false">IF(C6067="M.O.",VLOOKUP(A6067,INSUMOS_AUX!A:F,6,0),0)</f>
        <v>0</v>
      </c>
    </row>
    <row r="6068" customFormat="false" ht="21" hidden="false" customHeight="false" outlineLevel="0" collapsed="false">
      <c r="A6068" s="154" t="n">
        <v>13458</v>
      </c>
      <c r="B6068" s="155" t="s">
        <v>1723</v>
      </c>
      <c r="C6068" s="148" t="str">
        <f aca="false">VLOOKUP($A6068,INSUMOS_AUX!$A$3:$H$813,3,0)</f>
        <v>MAT.</v>
      </c>
      <c r="D6068" s="156" t="s">
        <v>31</v>
      </c>
      <c r="E6068" s="154" t="n">
        <v>5.092164E-007</v>
      </c>
      <c r="F6068" s="149" t="n">
        <f aca="false">IF(C6068="MAT.",VLOOKUP(A6068,INSUMOS_AUX!$A$3:$H$813,6,0),0)</f>
        <v>15839.74</v>
      </c>
      <c r="G6068" s="149" t="n">
        <f aca="false">IF(C6068="M.O.",VLOOKUP(A6068,INSUMOS_AUX!A:F,6,0),0)</f>
        <v>0</v>
      </c>
    </row>
    <row r="6069" customFormat="false" ht="21" hidden="false" customHeight="false" outlineLevel="0" collapsed="false">
      <c r="A6069" s="154" t="n">
        <v>14618</v>
      </c>
      <c r="B6069" s="155" t="s">
        <v>1592</v>
      </c>
      <c r="C6069" s="148" t="str">
        <f aca="false">VLOOKUP($A6069,INSUMOS_AUX!$A$3:$H$813,3,0)</f>
        <v>MAT.</v>
      </c>
      <c r="D6069" s="156" t="s">
        <v>31</v>
      </c>
      <c r="E6069" s="154" t="n">
        <v>1.784593356E-006</v>
      </c>
      <c r="F6069" s="149" t="n">
        <f aca="false">IF(C6069="MAT.",VLOOKUP(A6069,INSUMOS_AUX!$A$3:$H$813,6,0),0)</f>
        <v>1283.38</v>
      </c>
      <c r="G6069" s="149" t="n">
        <f aca="false">IF(C6069="M.O.",VLOOKUP(A6069,INSUMOS_AUX!A:F,6,0),0)</f>
        <v>0</v>
      </c>
    </row>
    <row r="6070" customFormat="false" ht="21" hidden="false" customHeight="false" outlineLevel="0" collapsed="false">
      <c r="A6070" s="154" t="n">
        <v>13896</v>
      </c>
      <c r="B6070" s="155" t="s">
        <v>1564</v>
      </c>
      <c r="C6070" s="148" t="s">
        <v>59</v>
      </c>
      <c r="D6070" s="156" t="s">
        <v>31</v>
      </c>
      <c r="E6070" s="154" t="n">
        <v>4.1499894072E-005</v>
      </c>
      <c r="F6070" s="149" t="n">
        <f aca="false">IF(C6070="MAT.",VLOOKUP(A6070,INSUMOS_AUX!$A$3:$H$813,6,0),0)</f>
        <v>0</v>
      </c>
      <c r="G6070" s="149" t="n">
        <f aca="false">IF(C6070="M.O.",VLOOKUP(A6070,INSUMOS_AUX!A:F,6,0),0)</f>
        <v>0</v>
      </c>
    </row>
    <row r="6071" customFormat="false" ht="15" hidden="false" customHeight="false" outlineLevel="0" collapsed="false">
      <c r="A6071" s="154" t="n">
        <v>2705</v>
      </c>
      <c r="B6071" s="155" t="s">
        <v>1467</v>
      </c>
      <c r="C6071" s="148" t="str">
        <f aca="false">VLOOKUP($A6071,INSUMOS_AUX!$A$3:$H$813,3,0)</f>
        <v>MAT.</v>
      </c>
      <c r="D6071" s="156" t="s">
        <v>1468</v>
      </c>
      <c r="E6071" s="154" t="n">
        <v>0.0585357136</v>
      </c>
      <c r="F6071" s="149" t="n">
        <f aca="false">IF(C6071="MAT.",VLOOKUP(A6071,INSUMOS_AUX!$A$3:$H$813,6,0),0)</f>
        <v>0.92</v>
      </c>
      <c r="G6071" s="149" t="n">
        <f aca="false">IF(C6071="M.O.",VLOOKUP(A6071,INSUMOS_AUX!A:F,6,0),0)</f>
        <v>0</v>
      </c>
    </row>
    <row r="6072" customFormat="false" ht="15" hidden="false" customHeight="false" outlineLevel="0" collapsed="false">
      <c r="A6072" s="154" t="n">
        <v>43059</v>
      </c>
      <c r="B6072" s="155" t="s">
        <v>1630</v>
      </c>
      <c r="C6072" s="148" t="str">
        <f aca="false">VLOOKUP($A6072,INSUMOS_AUX!$A$3:$H$813,3,0)</f>
        <v>MAT.</v>
      </c>
      <c r="D6072" s="156" t="s">
        <v>1513</v>
      </c>
      <c r="E6072" s="154" t="n">
        <v>0.4152470231</v>
      </c>
      <c r="F6072" s="149" t="n">
        <f aca="false">IF(C6072="MAT.",VLOOKUP(A6072,INSUMOS_AUX!$A$3:$H$813,6,0),0)</f>
        <v>7.26</v>
      </c>
      <c r="G6072" s="149" t="n">
        <f aca="false">IF(C6072="M.O.",VLOOKUP(A6072,INSUMOS_AUX!A:F,6,0),0)</f>
        <v>0</v>
      </c>
    </row>
    <row r="6073" customFormat="false" ht="21" hidden="false" customHeight="false" outlineLevel="0" collapsed="false">
      <c r="A6073" s="154" t="n">
        <v>43132</v>
      </c>
      <c r="B6073" s="155" t="s">
        <v>1565</v>
      </c>
      <c r="C6073" s="148" t="str">
        <f aca="false">VLOOKUP($A6073,INSUMOS_AUX!$A$3:$H$813,3,0)</f>
        <v>MAT.</v>
      </c>
      <c r="D6073" s="156" t="s">
        <v>1513</v>
      </c>
      <c r="E6073" s="154" t="n">
        <v>0.00970203325</v>
      </c>
      <c r="F6073" s="149" t="n">
        <f aca="false">IF(C6073="MAT.",VLOOKUP(A6073,INSUMOS_AUX!$A$3:$H$813,6,0),0)</f>
        <v>28</v>
      </c>
      <c r="G6073" s="149" t="n">
        <f aca="false">IF(C6073="M.O.",VLOOKUP(A6073,INSUMOS_AUX!A:F,6,0),0)</f>
        <v>0</v>
      </c>
    </row>
    <row r="6074" customFormat="false" ht="21" hidden="false" customHeight="false" outlineLevel="0" collapsed="false">
      <c r="A6074" s="154" t="n">
        <v>370</v>
      </c>
      <c r="B6074" s="155" t="s">
        <v>1527</v>
      </c>
      <c r="C6074" s="148" t="str">
        <f aca="false">VLOOKUP($A6074,INSUMOS_AUX!$A$3:$H$813,3,0)</f>
        <v>MAT.</v>
      </c>
      <c r="D6074" s="156" t="s">
        <v>1442</v>
      </c>
      <c r="E6074" s="154" t="n">
        <v>0.0079443</v>
      </c>
      <c r="F6074" s="149" t="n">
        <f aca="false">IF(C6074="MAT.",VLOOKUP(A6074,INSUMOS_AUX!$A$3:$H$813,6,0),0)</f>
        <v>150</v>
      </c>
      <c r="G6074" s="149" t="n">
        <f aca="false">IF(C6074="M.O.",VLOOKUP(A6074,INSUMOS_AUX!A:F,6,0),0)</f>
        <v>0</v>
      </c>
    </row>
    <row r="6075" customFormat="false" ht="21" hidden="false" customHeight="false" outlineLevel="0" collapsed="false">
      <c r="A6075" s="154" t="n">
        <v>43429</v>
      </c>
      <c r="B6075" s="155" t="s">
        <v>2531</v>
      </c>
      <c r="C6075" s="148" t="str">
        <f aca="false">VLOOKUP($A6075,INSUMOS_AUX!$A$3:$H$813,3,0)</f>
        <v>MAT.</v>
      </c>
      <c r="D6075" s="156" t="s">
        <v>31</v>
      </c>
      <c r="E6075" s="154" t="n">
        <v>1</v>
      </c>
      <c r="F6075" s="149" t="n">
        <f aca="false">IF(C6075="MAT.",VLOOKUP(A6075,INSUMOS_AUX!$A$3:$H$813,6,0),0)</f>
        <v>98.13</v>
      </c>
      <c r="G6075" s="149" t="n">
        <f aca="false">IF(C6075="M.O.",VLOOKUP(A6075,INSUMOS_AUX!A:F,6,0),0)</f>
        <v>0</v>
      </c>
    </row>
    <row r="6076" customFormat="false" ht="31.5" hidden="false" customHeight="false" outlineLevel="0" collapsed="false">
      <c r="A6076" s="154" t="n">
        <v>1358</v>
      </c>
      <c r="B6076" s="155" t="s">
        <v>1641</v>
      </c>
      <c r="C6076" s="148" t="str">
        <f aca="false">VLOOKUP($A6076,INSUMOS_AUX!$A$3:$H$813,3,0)</f>
        <v>MAT.</v>
      </c>
      <c r="D6076" s="156" t="s">
        <v>1477</v>
      </c>
      <c r="E6076" s="154" t="n">
        <v>0.0271089</v>
      </c>
      <c r="F6076" s="149" t="n">
        <f aca="false">IF(C6076="MAT.",VLOOKUP(A6076,INSUMOS_AUX!$A$3:$H$813,6,0),0)</f>
        <v>57.71</v>
      </c>
      <c r="G6076" s="149" t="n">
        <f aca="false">IF(C6076="M.O.",VLOOKUP(A6076,INSUMOS_AUX!A:F,6,0),0)</f>
        <v>0</v>
      </c>
    </row>
    <row r="6077" customFormat="false" ht="15" hidden="false" customHeight="false" outlineLevel="0" collapsed="false">
      <c r="A6077" s="154" t="n">
        <v>1379</v>
      </c>
      <c r="B6077" s="155" t="s">
        <v>1535</v>
      </c>
      <c r="C6077" s="148" t="str">
        <f aca="false">VLOOKUP($A6077,INSUMOS_AUX!$A$3:$H$813,3,0)</f>
        <v>MAT.</v>
      </c>
      <c r="D6077" s="156" t="s">
        <v>1513</v>
      </c>
      <c r="E6077" s="154" t="n">
        <v>3.985180836</v>
      </c>
      <c r="F6077" s="149" t="n">
        <f aca="false">IF(C6077="MAT.",VLOOKUP(A6077,INSUMOS_AUX!$A$3:$H$813,6,0),0)</f>
        <v>0.72</v>
      </c>
      <c r="G6077" s="149" t="n">
        <f aca="false">IF(C6077="M.O.",VLOOKUP(A6077,INSUMOS_AUX!A:F,6,0),0)</f>
        <v>0</v>
      </c>
    </row>
    <row r="6078" customFormat="false" ht="21" hidden="false" customHeight="false" outlineLevel="0" collapsed="false">
      <c r="A6078" s="154" t="n">
        <v>2692</v>
      </c>
      <c r="B6078" s="155" t="s">
        <v>1570</v>
      </c>
      <c r="C6078" s="148" t="str">
        <f aca="false">VLOOKUP($A6078,INSUMOS_AUX!$A$3:$H$813,3,0)</f>
        <v>MAT.</v>
      </c>
      <c r="D6078" s="156" t="s">
        <v>1452</v>
      </c>
      <c r="E6078" s="154" t="n">
        <v>0.001092</v>
      </c>
      <c r="F6078" s="149" t="n">
        <f aca="false">IF(C6078="MAT.",VLOOKUP(A6078,INSUMOS_AUX!$A$3:$H$813,6,0),0)</f>
        <v>6.52</v>
      </c>
      <c r="G6078" s="149" t="n">
        <f aca="false">IF(C6078="M.O.",VLOOKUP(A6078,INSUMOS_AUX!A:F,6,0),0)</f>
        <v>0</v>
      </c>
    </row>
    <row r="6079" customFormat="false" ht="21" hidden="false" customHeight="false" outlineLevel="0" collapsed="false">
      <c r="A6079" s="154" t="n">
        <v>39017</v>
      </c>
      <c r="B6079" s="155" t="s">
        <v>1621</v>
      </c>
      <c r="C6079" s="148" t="str">
        <f aca="false">VLOOKUP($A6079,INSUMOS_AUX!$A$3:$H$813,3,0)</f>
        <v>MAT.</v>
      </c>
      <c r="D6079" s="156" t="s">
        <v>31</v>
      </c>
      <c r="E6079" s="154" t="n">
        <v>1.09283702528</v>
      </c>
      <c r="F6079" s="149" t="n">
        <f aca="false">IF(C6079="MAT.",VLOOKUP(A6079,INSUMOS_AUX!$A$3:$H$813,6,0),0)</f>
        <v>0.22</v>
      </c>
      <c r="G6079" s="149" t="n">
        <f aca="false">IF(C6079="M.O.",VLOOKUP(A6079,INSUMOS_AUX!A:F,6,0),0)</f>
        <v>0</v>
      </c>
    </row>
    <row r="6080" customFormat="false" ht="15" hidden="false" customHeight="false" outlineLevel="0" collapsed="false">
      <c r="A6080" s="154" t="n">
        <v>4222</v>
      </c>
      <c r="B6080" s="155" t="s">
        <v>1572</v>
      </c>
      <c r="C6080" s="148" t="str">
        <f aca="false">VLOOKUP($A6080,INSUMOS_AUX!$A$3:$H$813,3,0)</f>
        <v>MAT.</v>
      </c>
      <c r="D6080" s="156" t="s">
        <v>1452</v>
      </c>
      <c r="E6080" s="154" t="n">
        <v>0.002662344</v>
      </c>
      <c r="F6080" s="149" t="n">
        <f aca="false">IF(C6080="MAT.",VLOOKUP(A6080,INSUMOS_AUX!$A$3:$H$813,6,0),0)</f>
        <v>6.4</v>
      </c>
      <c r="G6080" s="149" t="n">
        <f aca="false">IF(C6080="M.O.",VLOOKUP(A6080,INSUMOS_AUX!A:F,6,0),0)</f>
        <v>0</v>
      </c>
    </row>
    <row r="6081" customFormat="false" ht="21" hidden="false" customHeight="false" outlineLevel="0" collapsed="false">
      <c r="A6081" s="154" t="n">
        <v>4720</v>
      </c>
      <c r="B6081" s="155" t="s">
        <v>2214</v>
      </c>
      <c r="C6081" s="148" t="s">
        <v>59</v>
      </c>
      <c r="D6081" s="156" t="s">
        <v>1442</v>
      </c>
      <c r="E6081" s="154" t="n">
        <v>0.0396</v>
      </c>
      <c r="F6081" s="149" t="n">
        <f aca="false">IF(C6081="MAT.",VLOOKUP(A6081,INSUMOS_AUX!$A$3:$H$813,6,0),0)</f>
        <v>0</v>
      </c>
      <c r="G6081" s="149" t="n">
        <f aca="false">IF(C6081="M.O.",VLOOKUP(A6081,INSUMOS_AUX!A:F,6,0),0)</f>
        <v>0</v>
      </c>
    </row>
    <row r="6082" customFormat="false" ht="21" hidden="false" customHeight="false" outlineLevel="0" collapsed="false">
      <c r="A6082" s="154" t="n">
        <v>4721</v>
      </c>
      <c r="B6082" s="155" t="s">
        <v>1593</v>
      </c>
      <c r="C6082" s="148" t="str">
        <f aca="false">VLOOKUP($A6082,INSUMOS_AUX!$A$3:$H$813,3,0)</f>
        <v>MAT.</v>
      </c>
      <c r="D6082" s="156" t="s">
        <v>1442</v>
      </c>
      <c r="E6082" s="154" t="n">
        <v>0.006521424</v>
      </c>
      <c r="F6082" s="149" t="n">
        <f aca="false">IF(C6082="MAT.",VLOOKUP(A6082,INSUMOS_AUX!$A$3:$H$813,6,0),0)</f>
        <v>115.7</v>
      </c>
      <c r="G6082" s="149" t="n">
        <f aca="false">IF(C6082="M.O.",VLOOKUP(A6082,INSUMOS_AUX!A:F,6,0),0)</f>
        <v>0</v>
      </c>
    </row>
    <row r="6083" customFormat="false" ht="15" hidden="false" customHeight="false" outlineLevel="0" collapsed="false">
      <c r="A6083" s="154" t="n">
        <v>20247</v>
      </c>
      <c r="B6083" s="155" t="s">
        <v>1695</v>
      </c>
      <c r="C6083" s="148" t="str">
        <f aca="false">VLOOKUP($A6083,INSUMOS_AUX!$A$3:$H$813,3,0)</f>
        <v>MAT.</v>
      </c>
      <c r="D6083" s="156" t="s">
        <v>1513</v>
      </c>
      <c r="E6083" s="154" t="n">
        <v>0.00586495</v>
      </c>
      <c r="F6083" s="149" t="n">
        <f aca="false">IF(C6083="MAT.",VLOOKUP(A6083,INSUMOS_AUX!$A$3:$H$813,6,0),0)</f>
        <v>22.53</v>
      </c>
      <c r="G6083" s="149" t="n">
        <f aca="false">IF(C6083="M.O.",VLOOKUP(A6083,INSUMOS_AUX!A:F,6,0),0)</f>
        <v>0</v>
      </c>
    </row>
    <row r="6084" customFormat="false" ht="15" hidden="false" customHeight="false" outlineLevel="0" collapsed="false">
      <c r="A6084" s="154" t="n">
        <v>6114</v>
      </c>
      <c r="B6084" s="155" t="s">
        <v>1588</v>
      </c>
      <c r="C6084" s="148" t="str">
        <f aca="false">VLOOKUP($A6084,INSUMOS_AUX!$A$3:$H$813,3,0)</f>
        <v>M.O.</v>
      </c>
      <c r="D6084" s="156" t="s">
        <v>1444</v>
      </c>
      <c r="E6084" s="154" t="n">
        <v>0.0127189371489617</v>
      </c>
      <c r="F6084" s="149" t="n">
        <f aca="false">IF(C6084="MAT.",VLOOKUP(A6084,INSUMOS_AUX!$A$3:$H$813,6,0),0)</f>
        <v>0</v>
      </c>
      <c r="G6084" s="149" t="n">
        <f aca="false">IF(C6084="M.O.",VLOOKUP(A6084,INSUMOS_AUX!A:F,6,0),0)</f>
        <v>13.26</v>
      </c>
    </row>
    <row r="6085" customFormat="false" ht="15" hidden="false" customHeight="false" outlineLevel="0" collapsed="false">
      <c r="A6085" s="154" t="n">
        <v>378</v>
      </c>
      <c r="B6085" s="155" t="s">
        <v>1589</v>
      </c>
      <c r="C6085" s="148" t="str">
        <f aca="false">VLOOKUP($A6085,INSUMOS_AUX!$A$3:$H$813,3,0)</f>
        <v>M.O.</v>
      </c>
      <c r="D6085" s="156" t="s">
        <v>1444</v>
      </c>
      <c r="E6085" s="154" t="n">
        <v>0.0780408859633822</v>
      </c>
      <c r="F6085" s="149" t="n">
        <f aca="false">IF(C6085="MAT.",VLOOKUP(A6085,INSUMOS_AUX!$A$3:$H$813,6,0),0)</f>
        <v>0</v>
      </c>
      <c r="G6085" s="149" t="n">
        <f aca="false">IF(C6085="M.O.",VLOOKUP(A6085,INSUMOS_AUX!A:F,6,0),0)</f>
        <v>20.22</v>
      </c>
    </row>
    <row r="6086" customFormat="false" ht="15" hidden="false" customHeight="false" outlineLevel="0" collapsed="false">
      <c r="A6086" s="154" t="n">
        <v>6117</v>
      </c>
      <c r="B6086" s="155" t="s">
        <v>1555</v>
      </c>
      <c r="C6086" s="148" t="str">
        <f aca="false">VLOOKUP($A6086,INSUMOS_AUX!$A$3:$H$813,3,0)</f>
        <v>M.O.</v>
      </c>
      <c r="D6086" s="156" t="s">
        <v>1444</v>
      </c>
      <c r="E6086" s="154" t="n">
        <v>0.0167482789292</v>
      </c>
      <c r="F6086" s="149" t="n">
        <f aca="false">IF(C6086="MAT.",VLOOKUP(A6086,INSUMOS_AUX!$A$3:$H$813,6,0),0)</f>
        <v>0</v>
      </c>
      <c r="G6086" s="149" t="n">
        <f aca="false">IF(C6086="M.O.",VLOOKUP(A6086,INSUMOS_AUX!A:F,6,0),0)</f>
        <v>13.26</v>
      </c>
    </row>
    <row r="6087" customFormat="false" ht="15" hidden="false" customHeight="false" outlineLevel="0" collapsed="false">
      <c r="A6087" s="154" t="n">
        <v>1214</v>
      </c>
      <c r="B6087" s="155" t="s">
        <v>1556</v>
      </c>
      <c r="C6087" s="148" t="str">
        <f aca="false">VLOOKUP($A6087,INSUMOS_AUX!$A$3:$H$813,3,0)</f>
        <v>M.O.</v>
      </c>
      <c r="D6087" s="156" t="s">
        <v>1444</v>
      </c>
      <c r="E6087" s="154" t="n">
        <v>0.083741394646</v>
      </c>
      <c r="F6087" s="149" t="n">
        <f aca="false">IF(C6087="MAT.",VLOOKUP(A6087,INSUMOS_AUX!$A$3:$H$813,6,0),0)</f>
        <v>0</v>
      </c>
      <c r="G6087" s="149" t="n">
        <f aca="false">IF(C6087="M.O.",VLOOKUP(A6087,INSUMOS_AUX!A:F,6,0),0)</f>
        <v>19.04</v>
      </c>
    </row>
    <row r="6088" customFormat="false" ht="15" hidden="false" customHeight="false" outlineLevel="0" collapsed="false">
      <c r="A6088" s="154" t="n">
        <v>37666</v>
      </c>
      <c r="B6088" s="155" t="s">
        <v>1558</v>
      </c>
      <c r="C6088" s="148" t="str">
        <f aca="false">VLOOKUP($A6088,INSUMOS_AUX!$A$3:$H$813,3,0)</f>
        <v>M.O.</v>
      </c>
      <c r="D6088" s="156" t="s">
        <v>1444</v>
      </c>
      <c r="E6088" s="154" t="n">
        <v>0.01376453257452</v>
      </c>
      <c r="F6088" s="149" t="n">
        <f aca="false">IF(C6088="MAT.",VLOOKUP(A6088,INSUMOS_AUX!$A$3:$H$813,6,0),0)</f>
        <v>0</v>
      </c>
      <c r="G6088" s="149" t="n">
        <f aca="false">IF(C6088="M.O.",VLOOKUP(A6088,INSUMOS_AUX!A:F,6,0),0)</f>
        <v>11.87</v>
      </c>
    </row>
    <row r="6089" customFormat="false" ht="21" hidden="false" customHeight="false" outlineLevel="0" collapsed="false">
      <c r="A6089" s="154" t="n">
        <v>4230</v>
      </c>
      <c r="B6089" s="155" t="s">
        <v>1597</v>
      </c>
      <c r="C6089" s="148" t="str">
        <f aca="false">VLOOKUP($A6089,INSUMOS_AUX!$A$3:$H$813,3,0)</f>
        <v>M.O.</v>
      </c>
      <c r="D6089" s="156" t="s">
        <v>1444</v>
      </c>
      <c r="E6089" s="154" t="n">
        <v>0.0217350307878</v>
      </c>
      <c r="F6089" s="149" t="n">
        <f aca="false">IF(C6089="MAT.",VLOOKUP(A6089,INSUMOS_AUX!$A$3:$H$813,6,0),0)</f>
        <v>0</v>
      </c>
      <c r="G6089" s="149" t="n">
        <f aca="false">IF(C6089="M.O.",VLOOKUP(A6089,INSUMOS_AUX!A:F,6,0),0)</f>
        <v>14.53</v>
      </c>
    </row>
    <row r="6090" customFormat="false" ht="15" hidden="false" customHeight="false" outlineLevel="0" collapsed="false">
      <c r="A6090" s="154" t="n">
        <v>4750</v>
      </c>
      <c r="B6090" s="155" t="s">
        <v>1463</v>
      </c>
      <c r="C6090" s="148" t="str">
        <f aca="false">VLOOKUP($A6090,INSUMOS_AUX!$A$3:$H$813,3,0)</f>
        <v>M.O.</v>
      </c>
      <c r="D6090" s="156" t="s">
        <v>1444</v>
      </c>
      <c r="E6090" s="154" t="n">
        <v>0.41380361772</v>
      </c>
      <c r="F6090" s="149" t="n">
        <f aca="false">IF(C6090="MAT.",VLOOKUP(A6090,INSUMOS_AUX!$A$3:$H$813,6,0),0)</f>
        <v>0</v>
      </c>
      <c r="G6090" s="149" t="n">
        <f aca="false">IF(C6090="M.O.",VLOOKUP(A6090,INSUMOS_AUX!A:F,6,0),0)</f>
        <v>20.22</v>
      </c>
    </row>
    <row r="6091" customFormat="false" ht="15" hidden="false" customHeight="false" outlineLevel="0" collapsed="false">
      <c r="A6091" s="154" t="n">
        <v>6111</v>
      </c>
      <c r="B6091" s="155" t="s">
        <v>1464</v>
      </c>
      <c r="C6091" s="148" t="str">
        <f aca="false">VLOOKUP($A6091,INSUMOS_AUX!$A$3:$H$813,3,0)</f>
        <v>M.O.</v>
      </c>
      <c r="D6091" s="156" t="s">
        <v>1444</v>
      </c>
      <c r="E6091" s="154" t="n">
        <v>0.4764044685168</v>
      </c>
      <c r="F6091" s="149" t="n">
        <f aca="false">IF(C6091="MAT.",VLOOKUP(A6091,INSUMOS_AUX!$A$3:$H$813,6,0),0)</f>
        <v>0</v>
      </c>
      <c r="G6091" s="149" t="n">
        <f aca="false">IF(C6091="M.O.",VLOOKUP(A6091,INSUMOS_AUX!A:F,6,0),0)</f>
        <v>12.95</v>
      </c>
    </row>
    <row r="6092" customFormat="false" ht="31.5" hidden="false" customHeight="false" outlineLevel="0" collapsed="false">
      <c r="A6092" s="150" t="n">
        <v>101798</v>
      </c>
      <c r="B6092" s="151" t="s">
        <v>2532</v>
      </c>
      <c r="C6092" s="152" t="s">
        <v>59</v>
      </c>
      <c r="D6092" s="152" t="s">
        <v>31</v>
      </c>
      <c r="E6092" s="150"/>
      <c r="F6092" s="153" t="n">
        <f aca="false">(SUMPRODUCT($E6093:$E6110,F6093:F6110))*1</f>
        <v>257.78638596</v>
      </c>
      <c r="G6092" s="153" t="n">
        <f aca="false">(SUMPRODUCT($E6093:$E6110,G6093:G6110))*1</f>
        <v>31.4956340578056</v>
      </c>
    </row>
    <row r="6093" customFormat="false" ht="21" hidden="false" customHeight="false" outlineLevel="0" collapsed="false">
      <c r="A6093" s="154" t="n">
        <v>37370</v>
      </c>
      <c r="B6093" s="155" t="s">
        <v>1443</v>
      </c>
      <c r="C6093" s="148" t="str">
        <f aca="false">VLOOKUP($A6093,INSUMOS_AUX!$A$3:$H$813,3,0)</f>
        <v>MAT.</v>
      </c>
      <c r="D6093" s="156" t="s">
        <v>1444</v>
      </c>
      <c r="E6093" s="154" t="n">
        <v>1.816648</v>
      </c>
      <c r="F6093" s="149" t="n">
        <f aca="false">IF(C6093="MAT.",VLOOKUP(A6093,INSUMOS_AUX!$A$3:$H$813,6,0),0)</f>
        <v>3.32</v>
      </c>
      <c r="G6093" s="149" t="n">
        <f aca="false">IF(C6093="M.O.",VLOOKUP(A6093,INSUMOS_AUX!A:F,6,0),0)</f>
        <v>0</v>
      </c>
    </row>
    <row r="6094" customFormat="false" ht="21" hidden="false" customHeight="false" outlineLevel="0" collapsed="false">
      <c r="A6094" s="154" t="n">
        <v>43488</v>
      </c>
      <c r="B6094" s="155" t="s">
        <v>1445</v>
      </c>
      <c r="C6094" s="148" t="str">
        <f aca="false">VLOOKUP($A6094,INSUMOS_AUX!$A$3:$H$813,3,0)</f>
        <v>MAT.</v>
      </c>
      <c r="D6094" s="156" t="s">
        <v>1444</v>
      </c>
      <c r="E6094" s="154" t="n">
        <v>0.015048</v>
      </c>
      <c r="F6094" s="149" t="n">
        <f aca="false">IF(C6094="MAT.",VLOOKUP(A6094,INSUMOS_AUX!$A$3:$H$813,6,0),0)</f>
        <v>0.89</v>
      </c>
      <c r="G6094" s="149" t="n">
        <f aca="false">IF(C6094="M.O.",VLOOKUP(A6094,INSUMOS_AUX!A:F,6,0),0)</f>
        <v>0</v>
      </c>
    </row>
    <row r="6095" customFormat="false" ht="21" hidden="false" customHeight="false" outlineLevel="0" collapsed="false">
      <c r="A6095" s="154" t="n">
        <v>43489</v>
      </c>
      <c r="B6095" s="155" t="s">
        <v>1456</v>
      </c>
      <c r="C6095" s="148" t="str">
        <f aca="false">VLOOKUP($A6095,INSUMOS_AUX!$A$3:$H$813,3,0)</f>
        <v>MAT.</v>
      </c>
      <c r="D6095" s="156" t="s">
        <v>1444</v>
      </c>
      <c r="E6095" s="154" t="n">
        <v>1.0089</v>
      </c>
      <c r="F6095" s="149" t="n">
        <f aca="false">IF(C6095="MAT.",VLOOKUP(A6095,INSUMOS_AUX!$A$3:$H$813,6,0),0)</f>
        <v>1.31</v>
      </c>
      <c r="G6095" s="149" t="n">
        <f aca="false">IF(C6095="M.O.",VLOOKUP(A6095,INSUMOS_AUX!A:F,6,0),0)</f>
        <v>0</v>
      </c>
    </row>
    <row r="6096" customFormat="false" ht="21" hidden="false" customHeight="false" outlineLevel="0" collapsed="false">
      <c r="A6096" s="154" t="n">
        <v>43491</v>
      </c>
      <c r="B6096" s="155" t="s">
        <v>1457</v>
      </c>
      <c r="C6096" s="148" t="str">
        <f aca="false">VLOOKUP($A6096,INSUMOS_AUX!$A$3:$H$813,3,0)</f>
        <v>MAT.</v>
      </c>
      <c r="D6096" s="156" t="s">
        <v>1444</v>
      </c>
      <c r="E6096" s="154" t="n">
        <v>0.7927</v>
      </c>
      <c r="F6096" s="149" t="n">
        <f aca="false">IF(C6096="MAT.",VLOOKUP(A6096,INSUMOS_AUX!$A$3:$H$813,6,0),0)</f>
        <v>1.39</v>
      </c>
      <c r="G6096" s="149" t="n">
        <f aca="false">IF(C6096="M.O.",VLOOKUP(A6096,INSUMOS_AUX!A:F,6,0),0)</f>
        <v>0</v>
      </c>
    </row>
    <row r="6097" customFormat="false" ht="21" hidden="false" customHeight="false" outlineLevel="0" collapsed="false">
      <c r="A6097" s="154" t="n">
        <v>37372</v>
      </c>
      <c r="B6097" s="155" t="s">
        <v>1446</v>
      </c>
      <c r="C6097" s="148" t="str">
        <f aca="false">VLOOKUP($A6097,INSUMOS_AUX!$A$3:$H$813,3,0)</f>
        <v>MAT.</v>
      </c>
      <c r="D6097" s="156" t="s">
        <v>1444</v>
      </c>
      <c r="E6097" s="154" t="n">
        <v>1.816648</v>
      </c>
      <c r="F6097" s="149" t="n">
        <f aca="false">IF(C6097="MAT.",VLOOKUP(A6097,INSUMOS_AUX!$A$3:$H$813,6,0),0)</f>
        <v>1.43</v>
      </c>
      <c r="G6097" s="149" t="n">
        <f aca="false">IF(C6097="M.O.",VLOOKUP(A6097,INSUMOS_AUX!A:F,6,0),0)</f>
        <v>0</v>
      </c>
    </row>
    <row r="6098" customFormat="false" ht="21" hidden="false" customHeight="false" outlineLevel="0" collapsed="false">
      <c r="A6098" s="154" t="n">
        <v>43464</v>
      </c>
      <c r="B6098" s="155" t="s">
        <v>1447</v>
      </c>
      <c r="C6098" s="148" t="str">
        <f aca="false">VLOOKUP($A6098,INSUMOS_AUX!$A$3:$H$813,3,0)</f>
        <v>MAT.</v>
      </c>
      <c r="D6098" s="156" t="s">
        <v>1444</v>
      </c>
      <c r="E6098" s="154" t="n">
        <v>0.015048</v>
      </c>
      <c r="F6098" s="149" t="n">
        <f aca="false">IF(C6098="MAT.",VLOOKUP(A6098,INSUMOS_AUX!$A$3:$H$813,6,0),0)</f>
        <v>0.01</v>
      </c>
      <c r="G6098" s="149" t="n">
        <f aca="false">IF(C6098="M.O.",VLOOKUP(A6098,INSUMOS_AUX!A:F,6,0),0)</f>
        <v>0</v>
      </c>
    </row>
    <row r="6099" customFormat="false" ht="21" hidden="false" customHeight="false" outlineLevel="0" collapsed="false">
      <c r="A6099" s="154" t="n">
        <v>43465</v>
      </c>
      <c r="B6099" s="155" t="s">
        <v>1458</v>
      </c>
      <c r="C6099" s="148" t="str">
        <f aca="false">VLOOKUP($A6099,INSUMOS_AUX!$A$3:$H$813,3,0)</f>
        <v>MAT.</v>
      </c>
      <c r="D6099" s="156" t="s">
        <v>1444</v>
      </c>
      <c r="E6099" s="154" t="n">
        <v>1.0089</v>
      </c>
      <c r="F6099" s="149" t="n">
        <f aca="false">IF(C6099="MAT.",VLOOKUP(A6099,INSUMOS_AUX!$A$3:$H$813,6,0),0)</f>
        <v>0.78</v>
      </c>
      <c r="G6099" s="149" t="n">
        <f aca="false">IF(C6099="M.O.",VLOOKUP(A6099,INSUMOS_AUX!A:F,6,0),0)</f>
        <v>0</v>
      </c>
    </row>
    <row r="6100" customFormat="false" ht="21" hidden="false" customHeight="false" outlineLevel="0" collapsed="false">
      <c r="A6100" s="154" t="n">
        <v>43467</v>
      </c>
      <c r="B6100" s="155" t="s">
        <v>1459</v>
      </c>
      <c r="C6100" s="148" t="str">
        <f aca="false">VLOOKUP($A6100,INSUMOS_AUX!$A$3:$H$813,3,0)</f>
        <v>MAT.</v>
      </c>
      <c r="D6100" s="156" t="s">
        <v>1444</v>
      </c>
      <c r="E6100" s="154" t="n">
        <v>0.7927</v>
      </c>
      <c r="F6100" s="149" t="n">
        <f aca="false">IF(C6100="MAT.",VLOOKUP(A6100,INSUMOS_AUX!$A$3:$H$813,6,0),0)</f>
        <v>0.61</v>
      </c>
      <c r="G6100" s="149" t="n">
        <f aca="false">IF(C6100="M.O.",VLOOKUP(A6100,INSUMOS_AUX!A:F,6,0),0)</f>
        <v>0</v>
      </c>
    </row>
    <row r="6101" customFormat="false" ht="21" hidden="false" customHeight="false" outlineLevel="0" collapsed="false">
      <c r="A6101" s="154" t="n">
        <v>37373</v>
      </c>
      <c r="B6101" s="155" t="s">
        <v>1448</v>
      </c>
      <c r="C6101" s="148" t="str">
        <f aca="false">VLOOKUP($A6101,INSUMOS_AUX!$A$3:$H$813,3,0)</f>
        <v>MAT.</v>
      </c>
      <c r="D6101" s="156" t="s">
        <v>1444</v>
      </c>
      <c r="E6101" s="154" t="n">
        <v>1.816648</v>
      </c>
      <c r="F6101" s="149" t="n">
        <f aca="false">IF(C6101="MAT.",VLOOKUP(A6101,INSUMOS_AUX!$A$3:$H$813,6,0),0)</f>
        <v>0.08</v>
      </c>
      <c r="G6101" s="149" t="n">
        <f aca="false">IF(C6101="M.O.",VLOOKUP(A6101,INSUMOS_AUX!A:F,6,0),0)</f>
        <v>0</v>
      </c>
    </row>
    <row r="6102" customFormat="false" ht="21" hidden="false" customHeight="false" outlineLevel="0" collapsed="false">
      <c r="A6102" s="154" t="n">
        <v>37371</v>
      </c>
      <c r="B6102" s="155" t="s">
        <v>1449</v>
      </c>
      <c r="C6102" s="148" t="str">
        <f aca="false">VLOOKUP($A6102,INSUMOS_AUX!$A$3:$H$813,3,0)</f>
        <v>MAT.</v>
      </c>
      <c r="D6102" s="156" t="s">
        <v>1444</v>
      </c>
      <c r="E6102" s="154" t="n">
        <v>1.816648</v>
      </c>
      <c r="F6102" s="149" t="n">
        <f aca="false">IF(C6102="MAT.",VLOOKUP(A6102,INSUMOS_AUX!$A$3:$H$813,6,0),0)</f>
        <v>0.59</v>
      </c>
      <c r="G6102" s="149" t="n">
        <f aca="false">IF(C6102="M.O.",VLOOKUP(A6102,INSUMOS_AUX!A:F,6,0),0)</f>
        <v>0</v>
      </c>
    </row>
    <row r="6103" customFormat="false" ht="31.5" hidden="false" customHeight="false" outlineLevel="0" collapsed="false">
      <c r="A6103" s="154" t="n">
        <v>10535</v>
      </c>
      <c r="B6103" s="155" t="s">
        <v>1525</v>
      </c>
      <c r="C6103" s="148" t="s">
        <v>59</v>
      </c>
      <c r="D6103" s="156" t="s">
        <v>31</v>
      </c>
      <c r="E6103" s="154" t="n">
        <v>1.4321824E-006</v>
      </c>
      <c r="F6103" s="149" t="n">
        <f aca="false">IF(C6103="MAT.",VLOOKUP(A6103,INSUMOS_AUX!$A$3:$H$813,6,0),0)</f>
        <v>0</v>
      </c>
      <c r="G6103" s="149" t="n">
        <f aca="false">IF(C6103="M.O.",VLOOKUP(A6103,INSUMOS_AUX!A:F,6,0),0)</f>
        <v>0</v>
      </c>
    </row>
    <row r="6104" customFormat="false" ht="15" hidden="false" customHeight="false" outlineLevel="0" collapsed="false">
      <c r="A6104" s="154" t="n">
        <v>2705</v>
      </c>
      <c r="B6104" s="155" t="s">
        <v>1467</v>
      </c>
      <c r="C6104" s="148" t="str">
        <f aca="false">VLOOKUP($A6104,INSUMOS_AUX!$A$3:$H$813,3,0)</f>
        <v>MAT.</v>
      </c>
      <c r="D6104" s="156" t="s">
        <v>1468</v>
      </c>
      <c r="E6104" s="154" t="n">
        <v>0.0044</v>
      </c>
      <c r="F6104" s="149" t="n">
        <f aca="false">IF(C6104="MAT.",VLOOKUP(A6104,INSUMOS_AUX!$A$3:$H$813,6,0),0)</f>
        <v>0.92</v>
      </c>
      <c r="G6104" s="149" t="n">
        <f aca="false">IF(C6104="M.O.",VLOOKUP(A6104,INSUMOS_AUX!A:F,6,0),0)</f>
        <v>0</v>
      </c>
    </row>
    <row r="6105" customFormat="false" ht="21" hidden="false" customHeight="false" outlineLevel="0" collapsed="false">
      <c r="A6105" s="154" t="n">
        <v>370</v>
      </c>
      <c r="B6105" s="155" t="s">
        <v>1527</v>
      </c>
      <c r="C6105" s="148" t="str">
        <f aca="false">VLOOKUP($A6105,INSUMOS_AUX!$A$3:$H$813,3,0)</f>
        <v>MAT.</v>
      </c>
      <c r="D6105" s="156" t="s">
        <v>1442</v>
      </c>
      <c r="E6105" s="154" t="n">
        <v>0.004708</v>
      </c>
      <c r="F6105" s="149" t="n">
        <f aca="false">IF(C6105="MAT.",VLOOKUP(A6105,INSUMOS_AUX!$A$3:$H$813,6,0),0)</f>
        <v>150</v>
      </c>
      <c r="G6105" s="149" t="n">
        <f aca="false">IF(C6105="M.O.",VLOOKUP(A6105,INSUMOS_AUX!A:F,6,0),0)</f>
        <v>0</v>
      </c>
    </row>
    <row r="6106" customFormat="false" ht="15" hidden="false" customHeight="false" outlineLevel="0" collapsed="false">
      <c r="A6106" s="154" t="n">
        <v>1379</v>
      </c>
      <c r="B6106" s="155" t="s">
        <v>1535</v>
      </c>
      <c r="C6106" s="148" t="str">
        <f aca="false">VLOOKUP($A6106,INSUMOS_AUX!$A$3:$H$813,3,0)</f>
        <v>MAT.</v>
      </c>
      <c r="D6106" s="156" t="s">
        <v>1513</v>
      </c>
      <c r="E6106" s="154" t="n">
        <v>2.12828</v>
      </c>
      <c r="F6106" s="149" t="n">
        <f aca="false">IF(C6106="MAT.",VLOOKUP(A6106,INSUMOS_AUX!$A$3:$H$813,6,0),0)</f>
        <v>0.72</v>
      </c>
      <c r="G6106" s="149" t="n">
        <f aca="false">IF(C6106="M.O.",VLOOKUP(A6106,INSUMOS_AUX!A:F,6,0),0)</f>
        <v>0</v>
      </c>
    </row>
    <row r="6107" customFormat="false" ht="31.5" hidden="false" customHeight="false" outlineLevel="0" collapsed="false">
      <c r="A6107" s="154" t="n">
        <v>14112</v>
      </c>
      <c r="B6107" s="155" t="s">
        <v>2533</v>
      </c>
      <c r="C6107" s="148" t="str">
        <f aca="false">VLOOKUP($A6107,INSUMOS_AUX!$A$3:$H$813,3,0)</f>
        <v>MAT.</v>
      </c>
      <c r="D6107" s="156" t="s">
        <v>31</v>
      </c>
      <c r="E6107" s="154" t="n">
        <v>1</v>
      </c>
      <c r="F6107" s="149" t="n">
        <f aca="false">IF(C6107="MAT.",VLOOKUP(A6107,INSUMOS_AUX!$A$3:$H$813,6,0),0)</f>
        <v>241.99</v>
      </c>
      <c r="G6107" s="149" t="n">
        <f aca="false">IF(C6107="M.O.",VLOOKUP(A6107,INSUMOS_AUX!A:F,6,0),0)</f>
        <v>0</v>
      </c>
    </row>
    <row r="6108" customFormat="false" ht="15" hidden="false" customHeight="false" outlineLevel="0" collapsed="false">
      <c r="A6108" s="154" t="n">
        <v>37666</v>
      </c>
      <c r="B6108" s="155" t="s">
        <v>1558</v>
      </c>
      <c r="C6108" s="148" t="str">
        <f aca="false">VLOOKUP($A6108,INSUMOS_AUX!$A$3:$H$813,3,0)</f>
        <v>M.O.</v>
      </c>
      <c r="D6108" s="156" t="s">
        <v>1444</v>
      </c>
      <c r="E6108" s="154" t="n">
        <v>0.01517304888</v>
      </c>
      <c r="F6108" s="149" t="n">
        <f aca="false">IF(C6108="MAT.",VLOOKUP(A6108,INSUMOS_AUX!$A$3:$H$813,6,0),0)</f>
        <v>0</v>
      </c>
      <c r="G6108" s="149" t="n">
        <f aca="false">IF(C6108="M.O.",VLOOKUP(A6108,INSUMOS_AUX!A:F,6,0),0)</f>
        <v>11.87</v>
      </c>
    </row>
    <row r="6109" customFormat="false" ht="15" hidden="false" customHeight="false" outlineLevel="0" collapsed="false">
      <c r="A6109" s="154" t="n">
        <v>4750</v>
      </c>
      <c r="B6109" s="155" t="s">
        <v>1463</v>
      </c>
      <c r="C6109" s="148" t="str">
        <f aca="false">VLOOKUP($A6109,INSUMOS_AUX!$A$3:$H$813,3,0)</f>
        <v>M.O.</v>
      </c>
      <c r="D6109" s="156" t="s">
        <v>1444</v>
      </c>
      <c r="E6109" s="154" t="n">
        <v>1.03028868</v>
      </c>
      <c r="F6109" s="149" t="n">
        <f aca="false">IF(C6109="MAT.",VLOOKUP(A6109,INSUMOS_AUX!$A$3:$H$813,6,0),0)</f>
        <v>0</v>
      </c>
      <c r="G6109" s="149" t="n">
        <f aca="false">IF(C6109="M.O.",VLOOKUP(A6109,INSUMOS_AUX!A:F,6,0),0)</f>
        <v>20.22</v>
      </c>
    </row>
    <row r="6110" customFormat="false" ht="15" hidden="false" customHeight="false" outlineLevel="0" collapsed="false">
      <c r="A6110" s="154" t="n">
        <v>6111</v>
      </c>
      <c r="B6110" s="155" t="s">
        <v>1464</v>
      </c>
      <c r="C6110" s="148" t="str">
        <f aca="false">VLOOKUP($A6110,INSUMOS_AUX!$A$3:$H$813,3,0)</f>
        <v>M.O.</v>
      </c>
      <c r="D6110" s="156" t="s">
        <v>1444</v>
      </c>
      <c r="E6110" s="154" t="n">
        <v>0.80950524</v>
      </c>
      <c r="F6110" s="149" t="n">
        <f aca="false">IF(C6110="MAT.",VLOOKUP(A6110,INSUMOS_AUX!$A$3:$H$813,6,0),0)</f>
        <v>0</v>
      </c>
      <c r="G6110" s="149" t="n">
        <f aca="false">IF(C6110="M.O.",VLOOKUP(A6110,INSUMOS_AUX!A:F,6,0),0)</f>
        <v>12.95</v>
      </c>
    </row>
    <row r="6111" customFormat="false" ht="21" hidden="false" customHeight="false" outlineLevel="0" collapsed="false">
      <c r="A6111" s="150" t="s">
        <v>1011</v>
      </c>
      <c r="B6111" s="151" t="s">
        <v>2534</v>
      </c>
      <c r="C6111" s="152" t="s">
        <v>59</v>
      </c>
      <c r="D6111" s="152" t="s">
        <v>1455</v>
      </c>
      <c r="E6111" s="150"/>
      <c r="F6111" s="153" t="n">
        <f aca="false">(SUMPRODUCT($E6112:$E6121,F6112:F6121))*1</f>
        <v>11.627522</v>
      </c>
      <c r="G6111" s="153" t="n">
        <f aca="false">(SUMPRODUCT($E6112:$E6121,G6112:G6121))*1</f>
        <v>1.0071547344</v>
      </c>
    </row>
    <row r="6112" customFormat="false" ht="21" hidden="false" customHeight="false" outlineLevel="0" collapsed="false">
      <c r="A6112" s="154" t="n">
        <v>37370</v>
      </c>
      <c r="B6112" s="155" t="s">
        <v>1443</v>
      </c>
      <c r="C6112" s="148" t="str">
        <f aca="false">VLOOKUP($A6112,INSUMOS_AUX!$A$3:$H$813,3,0)</f>
        <v>MAT.</v>
      </c>
      <c r="D6112" s="156" t="s">
        <v>1444</v>
      </c>
      <c r="E6112" s="154" t="n">
        <v>0.058</v>
      </c>
      <c r="F6112" s="149" t="n">
        <f aca="false">IF(C6112="MAT.",VLOOKUP(A6112,INSUMOS_AUX!$A$3:$H$813,6,0),0)</f>
        <v>3.32</v>
      </c>
      <c r="G6112" s="149" t="n">
        <f aca="false">IF(C6112="M.O.",VLOOKUP(A6112,INSUMOS_AUX!A:F,6,0),0)</f>
        <v>0</v>
      </c>
    </row>
    <row r="6113" customFormat="false" ht="21" hidden="false" customHeight="false" outlineLevel="0" collapsed="false">
      <c r="A6113" s="154" t="n">
        <v>43484</v>
      </c>
      <c r="B6113" s="155" t="s">
        <v>1523</v>
      </c>
      <c r="C6113" s="148" t="str">
        <f aca="false">VLOOKUP($A6113,INSUMOS_AUX!$A$3:$H$813,3,0)</f>
        <v>MAT.</v>
      </c>
      <c r="D6113" s="156" t="s">
        <v>1444</v>
      </c>
      <c r="E6113" s="154" t="n">
        <v>0.058</v>
      </c>
      <c r="F6113" s="149" t="n">
        <f aca="false">IF(C6113="MAT.",VLOOKUP(A6113,INSUMOS_AUX!$A$3:$H$813,6,0),0)</f>
        <v>1.26</v>
      </c>
      <c r="G6113" s="149" t="n">
        <f aca="false">IF(C6113="M.O.",VLOOKUP(A6113,INSUMOS_AUX!A:F,6,0),0)</f>
        <v>0</v>
      </c>
    </row>
    <row r="6114" customFormat="false" ht="21" hidden="false" customHeight="false" outlineLevel="0" collapsed="false">
      <c r="A6114" s="154" t="n">
        <v>37372</v>
      </c>
      <c r="B6114" s="155" t="s">
        <v>1446</v>
      </c>
      <c r="C6114" s="148" t="s">
        <v>59</v>
      </c>
      <c r="D6114" s="156" t="s">
        <v>1444</v>
      </c>
      <c r="E6114" s="154" t="n">
        <v>0.058</v>
      </c>
      <c r="F6114" s="149" t="n">
        <f aca="false">IF(C6114="MAT.",VLOOKUP(A6114,INSUMOS_AUX!$A$3:$H$813,6,0),0)</f>
        <v>0</v>
      </c>
      <c r="G6114" s="149" t="n">
        <f aca="false">IF(C6114="M.O.",VLOOKUP(A6114,INSUMOS_AUX!A:F,6,0),0)</f>
        <v>0</v>
      </c>
    </row>
    <row r="6115" customFormat="false" ht="21" hidden="false" customHeight="false" outlineLevel="0" collapsed="false">
      <c r="A6115" s="154" t="n">
        <v>43460</v>
      </c>
      <c r="B6115" s="155" t="s">
        <v>1524</v>
      </c>
      <c r="C6115" s="148" t="str">
        <f aca="false">VLOOKUP($A6115,INSUMOS_AUX!$A$3:$H$813,3,0)</f>
        <v>MAT.</v>
      </c>
      <c r="D6115" s="156" t="s">
        <v>1444</v>
      </c>
      <c r="E6115" s="154" t="n">
        <v>0.058</v>
      </c>
      <c r="F6115" s="149" t="n">
        <f aca="false">IF(C6115="MAT.",VLOOKUP(A6115,INSUMOS_AUX!$A$3:$H$813,6,0),0)</f>
        <v>0.86</v>
      </c>
      <c r="G6115" s="149" t="n">
        <f aca="false">IF(C6115="M.O.",VLOOKUP(A6115,INSUMOS_AUX!A:F,6,0),0)</f>
        <v>0</v>
      </c>
    </row>
    <row r="6116" customFormat="false" ht="21" hidden="false" customHeight="false" outlineLevel="0" collapsed="false">
      <c r="A6116" s="154" t="n">
        <v>37373</v>
      </c>
      <c r="B6116" s="155" t="s">
        <v>1448</v>
      </c>
      <c r="C6116" s="148" t="str">
        <f aca="false">VLOOKUP($A6116,INSUMOS_AUX!$A$3:$H$813,3,0)</f>
        <v>MAT.</v>
      </c>
      <c r="D6116" s="156" t="s">
        <v>1444</v>
      </c>
      <c r="E6116" s="154" t="n">
        <v>0.058</v>
      </c>
      <c r="F6116" s="149" t="n">
        <f aca="false">IF(C6116="MAT.",VLOOKUP(A6116,INSUMOS_AUX!$A$3:$H$813,6,0),0)</f>
        <v>0.08</v>
      </c>
      <c r="G6116" s="149" t="n">
        <f aca="false">IF(C6116="M.O.",VLOOKUP(A6116,INSUMOS_AUX!A:F,6,0),0)</f>
        <v>0</v>
      </c>
    </row>
    <row r="6117" customFormat="false" ht="21" hidden="false" customHeight="false" outlineLevel="0" collapsed="false">
      <c r="A6117" s="154" t="n">
        <v>37371</v>
      </c>
      <c r="B6117" s="155" t="s">
        <v>1449</v>
      </c>
      <c r="C6117" s="148" t="str">
        <f aca="false">VLOOKUP($A6117,INSUMOS_AUX!$A$3:$H$813,3,0)</f>
        <v>MAT.</v>
      </c>
      <c r="D6117" s="156" t="s">
        <v>1444</v>
      </c>
      <c r="E6117" s="154" t="n">
        <v>0.058</v>
      </c>
      <c r="F6117" s="149" t="n">
        <f aca="false">IF(C6117="MAT.",VLOOKUP(A6117,INSUMOS_AUX!$A$3:$H$813,6,0),0)</f>
        <v>0.59</v>
      </c>
      <c r="G6117" s="149" t="n">
        <f aca="false">IF(C6117="M.O.",VLOOKUP(A6117,INSUMOS_AUX!A:F,6,0),0)</f>
        <v>0</v>
      </c>
    </row>
    <row r="6118" customFormat="false" ht="31.5" hidden="false" customHeight="false" outlineLevel="0" collapsed="false">
      <c r="A6118" s="154" t="n">
        <v>39258</v>
      </c>
      <c r="B6118" s="155" t="s">
        <v>2535</v>
      </c>
      <c r="C6118" s="148" t="str">
        <f aca="false">VLOOKUP($A6118,INSUMOS_AUX!$A$3:$H$813,3,0)</f>
        <v>MAT.</v>
      </c>
      <c r="D6118" s="156" t="s">
        <v>1455</v>
      </c>
      <c r="E6118" s="154" t="n">
        <v>1.2434</v>
      </c>
      <c r="F6118" s="149" t="n">
        <f aca="false">IF(C6118="MAT.",VLOOKUP(A6118,INSUMOS_AUX!$A$3:$H$813,6,0),0)</f>
        <v>9.04</v>
      </c>
      <c r="G6118" s="149" t="n">
        <f aca="false">IF(C6118="M.O.",VLOOKUP(A6118,INSUMOS_AUX!A:F,6,0),0)</f>
        <v>0</v>
      </c>
    </row>
    <row r="6119" customFormat="false" ht="21" hidden="false" customHeight="false" outlineLevel="0" collapsed="false">
      <c r="A6119" s="154" t="n">
        <v>21127</v>
      </c>
      <c r="B6119" s="155" t="s">
        <v>1542</v>
      </c>
      <c r="C6119" s="148" t="str">
        <f aca="false">VLOOKUP($A6119,INSUMOS_AUX!$A$3:$H$813,3,0)</f>
        <v>MAT.</v>
      </c>
      <c r="D6119" s="156" t="s">
        <v>31</v>
      </c>
      <c r="E6119" s="154" t="n">
        <v>0.0094</v>
      </c>
      <c r="F6119" s="149" t="n">
        <f aca="false">IF(C6119="MAT.",VLOOKUP(A6119,INSUMOS_AUX!$A$3:$H$813,6,0),0)</f>
        <v>3.49</v>
      </c>
      <c r="G6119" s="149" t="n">
        <f aca="false">IF(C6119="M.O.",VLOOKUP(A6119,INSUMOS_AUX!A:F,6,0),0)</f>
        <v>0</v>
      </c>
    </row>
    <row r="6120" customFormat="false" ht="15" hidden="false" customHeight="false" outlineLevel="0" collapsed="false">
      <c r="A6120" s="154" t="n">
        <v>247</v>
      </c>
      <c r="B6120" s="155" t="s">
        <v>1554</v>
      </c>
      <c r="C6120" s="148" t="str">
        <f aca="false">VLOOKUP($A6120,INSUMOS_AUX!$A$3:$H$813,3,0)</f>
        <v>M.O.</v>
      </c>
      <c r="D6120" s="156" t="s">
        <v>1444</v>
      </c>
      <c r="E6120" s="154" t="n">
        <v>0.03008228</v>
      </c>
      <c r="F6120" s="149" t="n">
        <f aca="false">IF(C6120="MAT.",VLOOKUP(A6120,INSUMOS_AUX!$A$3:$H$813,6,0),0)</f>
        <v>0</v>
      </c>
      <c r="G6120" s="149" t="n">
        <f aca="false">IF(C6120="M.O.",VLOOKUP(A6120,INSUMOS_AUX!A:F,6,0),0)</f>
        <v>13.26</v>
      </c>
    </row>
    <row r="6121" customFormat="false" ht="15" hidden="false" customHeight="false" outlineLevel="0" collapsed="false">
      <c r="A6121" s="154" t="n">
        <v>2436</v>
      </c>
      <c r="B6121" s="155" t="s">
        <v>1557</v>
      </c>
      <c r="C6121" s="148" t="str">
        <f aca="false">VLOOKUP($A6121,INSUMOS_AUX!$A$3:$H$813,3,0)</f>
        <v>M.O.</v>
      </c>
      <c r="D6121" s="156" t="s">
        <v>1444</v>
      </c>
      <c r="E6121" s="154" t="n">
        <v>0.03008228</v>
      </c>
      <c r="F6121" s="149" t="n">
        <f aca="false">IF(C6121="MAT.",VLOOKUP(A6121,INSUMOS_AUX!$A$3:$H$813,6,0),0)</f>
        <v>0</v>
      </c>
      <c r="G6121" s="149" t="n">
        <f aca="false">IF(C6121="M.O.",VLOOKUP(A6121,INSUMOS_AUX!A:F,6,0),0)</f>
        <v>20.22</v>
      </c>
    </row>
    <row r="6122" customFormat="false" ht="21" hidden="false" customHeight="false" outlineLevel="0" collapsed="false">
      <c r="A6122" s="150" t="s">
        <v>1013</v>
      </c>
      <c r="B6122" s="151" t="s">
        <v>2536</v>
      </c>
      <c r="C6122" s="152" t="s">
        <v>59</v>
      </c>
      <c r="D6122" s="152" t="s">
        <v>31</v>
      </c>
      <c r="E6122" s="150"/>
      <c r="F6122" s="153" t="n">
        <f aca="false">(SUMPRODUCT($E6123:$E6131,F6123:F6131))*1</f>
        <v>17.65374</v>
      </c>
      <c r="G6122" s="153" t="n">
        <f aca="false">(SUMPRODUCT($E6123:$E6131,G6123:G6131))*1</f>
        <v>11.0092431312</v>
      </c>
    </row>
    <row r="6123" customFormat="false" ht="21" hidden="false" customHeight="false" outlineLevel="0" collapsed="false">
      <c r="A6123" s="154" t="n">
        <v>37370</v>
      </c>
      <c r="B6123" s="155" t="s">
        <v>1443</v>
      </c>
      <c r="C6123" s="148" t="str">
        <f aca="false">VLOOKUP($A6123,INSUMOS_AUX!$A$3:$H$813,3,0)</f>
        <v>MAT.</v>
      </c>
      <c r="D6123" s="156" t="s">
        <v>1444</v>
      </c>
      <c r="E6123" s="154" t="n">
        <v>0.634</v>
      </c>
      <c r="F6123" s="149" t="n">
        <f aca="false">IF(C6123="MAT.",VLOOKUP(A6123,INSUMOS_AUX!$A$3:$H$813,6,0),0)</f>
        <v>3.32</v>
      </c>
      <c r="G6123" s="149" t="n">
        <f aca="false">IF(C6123="M.O.",VLOOKUP(A6123,INSUMOS_AUX!A:F,6,0),0)</f>
        <v>0</v>
      </c>
    </row>
    <row r="6124" customFormat="false" ht="21" hidden="false" customHeight="false" outlineLevel="0" collapsed="false">
      <c r="A6124" s="154" t="n">
        <v>43484</v>
      </c>
      <c r="B6124" s="155" t="s">
        <v>1523</v>
      </c>
      <c r="C6124" s="148" t="str">
        <f aca="false">VLOOKUP($A6124,INSUMOS_AUX!$A$3:$H$813,3,0)</f>
        <v>MAT.</v>
      </c>
      <c r="D6124" s="156" t="s">
        <v>1444</v>
      </c>
      <c r="E6124" s="154" t="n">
        <v>0.634</v>
      </c>
      <c r="F6124" s="149" t="n">
        <f aca="false">IF(C6124="MAT.",VLOOKUP(A6124,INSUMOS_AUX!$A$3:$H$813,6,0),0)</f>
        <v>1.26</v>
      </c>
      <c r="G6124" s="149" t="n">
        <f aca="false">IF(C6124="M.O.",VLOOKUP(A6124,INSUMOS_AUX!A:F,6,0),0)</f>
        <v>0</v>
      </c>
    </row>
    <row r="6125" customFormat="false" ht="21" hidden="false" customHeight="false" outlineLevel="0" collapsed="false">
      <c r="A6125" s="154" t="n">
        <v>37372</v>
      </c>
      <c r="B6125" s="155" t="s">
        <v>1446</v>
      </c>
      <c r="C6125" s="148" t="s">
        <v>59</v>
      </c>
      <c r="D6125" s="156" t="s">
        <v>1444</v>
      </c>
      <c r="E6125" s="154" t="n">
        <v>0.634</v>
      </c>
      <c r="F6125" s="149" t="n">
        <f aca="false">IF(C6125="MAT.",VLOOKUP(A6125,INSUMOS_AUX!$A$3:$H$813,6,0),0)</f>
        <v>0</v>
      </c>
      <c r="G6125" s="149" t="n">
        <f aca="false">IF(C6125="M.O.",VLOOKUP(A6125,INSUMOS_AUX!A:F,6,0),0)</f>
        <v>0</v>
      </c>
    </row>
    <row r="6126" customFormat="false" ht="21" hidden="false" customHeight="false" outlineLevel="0" collapsed="false">
      <c r="A6126" s="154" t="n">
        <v>43460</v>
      </c>
      <c r="B6126" s="155" t="s">
        <v>1524</v>
      </c>
      <c r="C6126" s="148" t="str">
        <f aca="false">VLOOKUP($A6126,INSUMOS_AUX!$A$3:$H$813,3,0)</f>
        <v>MAT.</v>
      </c>
      <c r="D6126" s="156" t="s">
        <v>1444</v>
      </c>
      <c r="E6126" s="154" t="n">
        <v>0.634</v>
      </c>
      <c r="F6126" s="149" t="n">
        <f aca="false">IF(C6126="MAT.",VLOOKUP(A6126,INSUMOS_AUX!$A$3:$H$813,6,0),0)</f>
        <v>0.86</v>
      </c>
      <c r="G6126" s="149" t="n">
        <f aca="false">IF(C6126="M.O.",VLOOKUP(A6126,INSUMOS_AUX!A:F,6,0),0)</f>
        <v>0</v>
      </c>
    </row>
    <row r="6127" customFormat="false" ht="21" hidden="false" customHeight="false" outlineLevel="0" collapsed="false">
      <c r="A6127" s="154" t="n">
        <v>37373</v>
      </c>
      <c r="B6127" s="155" t="s">
        <v>1448</v>
      </c>
      <c r="C6127" s="148" t="str">
        <f aca="false">VLOOKUP($A6127,INSUMOS_AUX!$A$3:$H$813,3,0)</f>
        <v>MAT.</v>
      </c>
      <c r="D6127" s="156" t="s">
        <v>1444</v>
      </c>
      <c r="E6127" s="154" t="n">
        <v>0.634</v>
      </c>
      <c r="F6127" s="149" t="n">
        <f aca="false">IF(C6127="MAT.",VLOOKUP(A6127,INSUMOS_AUX!$A$3:$H$813,6,0),0)</f>
        <v>0.08</v>
      </c>
      <c r="G6127" s="149" t="n">
        <f aca="false">IF(C6127="M.O.",VLOOKUP(A6127,INSUMOS_AUX!A:F,6,0),0)</f>
        <v>0</v>
      </c>
    </row>
    <row r="6128" customFormat="false" ht="21" hidden="false" customHeight="false" outlineLevel="0" collapsed="false">
      <c r="A6128" s="154" t="n">
        <v>37371</v>
      </c>
      <c r="B6128" s="155" t="s">
        <v>1449</v>
      </c>
      <c r="C6128" s="148" t="str">
        <f aca="false">VLOOKUP($A6128,INSUMOS_AUX!$A$3:$H$813,3,0)</f>
        <v>MAT.</v>
      </c>
      <c r="D6128" s="156" t="s">
        <v>1444</v>
      </c>
      <c r="E6128" s="154" t="n">
        <v>0.634</v>
      </c>
      <c r="F6128" s="149" t="n">
        <f aca="false">IF(C6128="MAT.",VLOOKUP(A6128,INSUMOS_AUX!$A$3:$H$813,6,0),0)</f>
        <v>0.59</v>
      </c>
      <c r="G6128" s="149" t="n">
        <f aca="false">IF(C6128="M.O.",VLOOKUP(A6128,INSUMOS_AUX!A:F,6,0),0)</f>
        <v>0</v>
      </c>
    </row>
    <row r="6129" customFormat="false" ht="15" hidden="false" customHeight="false" outlineLevel="0" collapsed="false">
      <c r="A6129" s="154" t="s">
        <v>2537</v>
      </c>
      <c r="B6129" s="155" t="s">
        <v>2538</v>
      </c>
      <c r="C6129" s="148" t="str">
        <f aca="false">VLOOKUP($A6129,INSUMOS_AUX!$A$3:$H$813,3,0)</f>
        <v>MAT.</v>
      </c>
      <c r="D6129" s="156" t="s">
        <v>31</v>
      </c>
      <c r="E6129" s="154" t="n">
        <v>1</v>
      </c>
      <c r="F6129" s="149" t="n">
        <f aca="false">IF(C6129="MAT.",VLOOKUP(A6129,INSUMOS_AUX!$A$3:$H$813,6,0),0)</f>
        <v>13.78</v>
      </c>
      <c r="G6129" s="149" t="n">
        <f aca="false">IF(C6129="M.O.",VLOOKUP(A6129,INSUMOS_AUX!A:F,6,0),0)</f>
        <v>0</v>
      </c>
    </row>
    <row r="6130" customFormat="false" ht="15" hidden="false" customHeight="false" outlineLevel="0" collapsed="false">
      <c r="A6130" s="154" t="n">
        <v>247</v>
      </c>
      <c r="B6130" s="155" t="s">
        <v>1554</v>
      </c>
      <c r="C6130" s="148" t="str">
        <f aca="false">VLOOKUP($A6130,INSUMOS_AUX!$A$3:$H$813,3,0)</f>
        <v>M.O.</v>
      </c>
      <c r="D6130" s="156" t="s">
        <v>1444</v>
      </c>
      <c r="E6130" s="154" t="n">
        <v>0.32883044</v>
      </c>
      <c r="F6130" s="149" t="n">
        <f aca="false">IF(C6130="MAT.",VLOOKUP(A6130,INSUMOS_AUX!$A$3:$H$813,6,0),0)</f>
        <v>0</v>
      </c>
      <c r="G6130" s="149" t="n">
        <f aca="false">IF(C6130="M.O.",VLOOKUP(A6130,INSUMOS_AUX!A:F,6,0),0)</f>
        <v>13.26</v>
      </c>
    </row>
    <row r="6131" customFormat="false" ht="15" hidden="false" customHeight="false" outlineLevel="0" collapsed="false">
      <c r="A6131" s="154" t="n">
        <v>2436</v>
      </c>
      <c r="B6131" s="155" t="s">
        <v>1557</v>
      </c>
      <c r="C6131" s="148" t="str">
        <f aca="false">VLOOKUP($A6131,INSUMOS_AUX!$A$3:$H$813,3,0)</f>
        <v>M.O.</v>
      </c>
      <c r="D6131" s="156" t="s">
        <v>1444</v>
      </c>
      <c r="E6131" s="154" t="n">
        <v>0.32883044</v>
      </c>
      <c r="F6131" s="149" t="n">
        <f aca="false">IF(C6131="MAT.",VLOOKUP(A6131,INSUMOS_AUX!$A$3:$H$813,6,0),0)</f>
        <v>0</v>
      </c>
      <c r="G6131" s="149" t="n">
        <f aca="false">IF(C6131="M.O.",VLOOKUP(A6131,INSUMOS_AUX!A:F,6,0),0)</f>
        <v>20.22</v>
      </c>
    </row>
    <row r="6132" customFormat="false" ht="21" hidden="false" customHeight="false" outlineLevel="0" collapsed="false">
      <c r="A6132" s="150" t="n">
        <v>91994</v>
      </c>
      <c r="B6132" s="151" t="s">
        <v>2539</v>
      </c>
      <c r="C6132" s="152" t="s">
        <v>59</v>
      </c>
      <c r="D6132" s="152" t="s">
        <v>31</v>
      </c>
      <c r="E6132" s="150"/>
      <c r="F6132" s="153" t="n">
        <f aca="false">(SUMPRODUCT($E6133:$E6141,F6133:F6141))*1</f>
        <v>11.26512</v>
      </c>
      <c r="G6132" s="153" t="n">
        <f aca="false">(SUMPRODUCT($E6133:$E6141,G6133:G6141))*1</f>
        <v>11.0092431312</v>
      </c>
    </row>
    <row r="6133" customFormat="false" ht="21" hidden="false" customHeight="false" outlineLevel="0" collapsed="false">
      <c r="A6133" s="154" t="n">
        <v>37370</v>
      </c>
      <c r="B6133" s="155" t="s">
        <v>1443</v>
      </c>
      <c r="C6133" s="148" t="str">
        <f aca="false">VLOOKUP($A6133,INSUMOS_AUX!$A$3:$H$813,3,0)</f>
        <v>MAT.</v>
      </c>
      <c r="D6133" s="156" t="s">
        <v>1444</v>
      </c>
      <c r="E6133" s="154" t="n">
        <v>0.634</v>
      </c>
      <c r="F6133" s="149" t="n">
        <f aca="false">IF(C6133="MAT.",VLOOKUP(A6133,INSUMOS_AUX!$A$3:$H$813,6,0),0)</f>
        <v>3.32</v>
      </c>
      <c r="G6133" s="149" t="n">
        <f aca="false">IF(C6133="M.O.",VLOOKUP(A6133,INSUMOS_AUX!A:F,6,0),0)</f>
        <v>0</v>
      </c>
    </row>
    <row r="6134" customFormat="false" ht="21" hidden="false" customHeight="false" outlineLevel="0" collapsed="false">
      <c r="A6134" s="154" t="n">
        <v>43484</v>
      </c>
      <c r="B6134" s="155" t="s">
        <v>1523</v>
      </c>
      <c r="C6134" s="148" t="str">
        <f aca="false">VLOOKUP($A6134,INSUMOS_AUX!$A$3:$H$813,3,0)</f>
        <v>MAT.</v>
      </c>
      <c r="D6134" s="156" t="s">
        <v>1444</v>
      </c>
      <c r="E6134" s="154" t="n">
        <v>0.634</v>
      </c>
      <c r="F6134" s="149" t="n">
        <f aca="false">IF(C6134="MAT.",VLOOKUP(A6134,INSUMOS_AUX!$A$3:$H$813,6,0),0)</f>
        <v>1.26</v>
      </c>
      <c r="G6134" s="149" t="n">
        <f aca="false">IF(C6134="M.O.",VLOOKUP(A6134,INSUMOS_AUX!A:F,6,0),0)</f>
        <v>0</v>
      </c>
    </row>
    <row r="6135" customFormat="false" ht="21" hidden="false" customHeight="false" outlineLevel="0" collapsed="false">
      <c r="A6135" s="154" t="n">
        <v>37372</v>
      </c>
      <c r="B6135" s="155" t="s">
        <v>1446</v>
      </c>
      <c r="C6135" s="148" t="str">
        <f aca="false">VLOOKUP($A6135,INSUMOS_AUX!$A$3:$H$813,3,0)</f>
        <v>MAT.</v>
      </c>
      <c r="D6135" s="156" t="s">
        <v>1444</v>
      </c>
      <c r="E6135" s="154" t="n">
        <v>0.634</v>
      </c>
      <c r="F6135" s="149" t="n">
        <f aca="false">IF(C6135="MAT.",VLOOKUP(A6135,INSUMOS_AUX!$A$3:$H$813,6,0),0)</f>
        <v>1.43</v>
      </c>
      <c r="G6135" s="149" t="n">
        <f aca="false">IF(C6135="M.O.",VLOOKUP(A6135,INSUMOS_AUX!A:F,6,0),0)</f>
        <v>0</v>
      </c>
    </row>
    <row r="6136" customFormat="false" ht="21" hidden="false" customHeight="false" outlineLevel="0" collapsed="false">
      <c r="A6136" s="154" t="n">
        <v>43460</v>
      </c>
      <c r="B6136" s="155" t="s">
        <v>1524</v>
      </c>
      <c r="C6136" s="148" t="s">
        <v>59</v>
      </c>
      <c r="D6136" s="156" t="s">
        <v>1444</v>
      </c>
      <c r="E6136" s="154" t="n">
        <v>0.634</v>
      </c>
      <c r="F6136" s="149" t="n">
        <f aca="false">IF(C6136="MAT.",VLOOKUP(A6136,INSUMOS_AUX!$A$3:$H$813,6,0),0)</f>
        <v>0</v>
      </c>
      <c r="G6136" s="149" t="n">
        <f aca="false">IF(C6136="M.O.",VLOOKUP(A6136,INSUMOS_AUX!A:F,6,0),0)</f>
        <v>0</v>
      </c>
    </row>
    <row r="6137" customFormat="false" ht="21" hidden="false" customHeight="false" outlineLevel="0" collapsed="false">
      <c r="A6137" s="154" t="n">
        <v>37373</v>
      </c>
      <c r="B6137" s="155" t="s">
        <v>1448</v>
      </c>
      <c r="C6137" s="148" t="str">
        <f aca="false">VLOOKUP($A6137,INSUMOS_AUX!$A$3:$H$813,3,0)</f>
        <v>MAT.</v>
      </c>
      <c r="D6137" s="156" t="s">
        <v>1444</v>
      </c>
      <c r="E6137" s="154" t="n">
        <v>0.634</v>
      </c>
      <c r="F6137" s="149" t="n">
        <f aca="false">IF(C6137="MAT.",VLOOKUP(A6137,INSUMOS_AUX!$A$3:$H$813,6,0),0)</f>
        <v>0.08</v>
      </c>
      <c r="G6137" s="149" t="n">
        <f aca="false">IF(C6137="M.O.",VLOOKUP(A6137,INSUMOS_AUX!A:F,6,0),0)</f>
        <v>0</v>
      </c>
    </row>
    <row r="6138" customFormat="false" ht="21" hidden="false" customHeight="false" outlineLevel="0" collapsed="false">
      <c r="A6138" s="154" t="n">
        <v>37371</v>
      </c>
      <c r="B6138" s="155" t="s">
        <v>1449</v>
      </c>
      <c r="C6138" s="148" t="str">
        <f aca="false">VLOOKUP($A6138,INSUMOS_AUX!$A$3:$H$813,3,0)</f>
        <v>MAT.</v>
      </c>
      <c r="D6138" s="156" t="s">
        <v>1444</v>
      </c>
      <c r="E6138" s="154" t="n">
        <v>0.634</v>
      </c>
      <c r="F6138" s="149" t="n">
        <f aca="false">IF(C6138="MAT.",VLOOKUP(A6138,INSUMOS_AUX!$A$3:$H$813,6,0),0)</f>
        <v>0.59</v>
      </c>
      <c r="G6138" s="149" t="n">
        <f aca="false">IF(C6138="M.O.",VLOOKUP(A6138,INSUMOS_AUX!A:F,6,0),0)</f>
        <v>0</v>
      </c>
    </row>
    <row r="6139" customFormat="false" ht="15" hidden="false" customHeight="false" outlineLevel="0" collapsed="false">
      <c r="A6139" s="154" t="n">
        <v>38101</v>
      </c>
      <c r="B6139" s="155" t="s">
        <v>1551</v>
      </c>
      <c r="C6139" s="148" t="str">
        <f aca="false">VLOOKUP($A6139,INSUMOS_AUX!$A$3:$H$813,3,0)</f>
        <v>MAT.</v>
      </c>
      <c r="D6139" s="156" t="s">
        <v>31</v>
      </c>
      <c r="E6139" s="154" t="n">
        <v>1</v>
      </c>
      <c r="F6139" s="149" t="n">
        <f aca="false">IF(C6139="MAT.",VLOOKUP(A6139,INSUMOS_AUX!$A$3:$H$813,6,0),0)</f>
        <v>7.03</v>
      </c>
      <c r="G6139" s="149" t="n">
        <f aca="false">IF(C6139="M.O.",VLOOKUP(A6139,INSUMOS_AUX!A:F,6,0),0)</f>
        <v>0</v>
      </c>
    </row>
    <row r="6140" customFormat="false" ht="15" hidden="false" customHeight="false" outlineLevel="0" collapsed="false">
      <c r="A6140" s="154" t="n">
        <v>247</v>
      </c>
      <c r="B6140" s="155" t="s">
        <v>1554</v>
      </c>
      <c r="C6140" s="148" t="str">
        <f aca="false">VLOOKUP($A6140,INSUMOS_AUX!$A$3:$H$813,3,0)</f>
        <v>M.O.</v>
      </c>
      <c r="D6140" s="156" t="s">
        <v>1444</v>
      </c>
      <c r="E6140" s="154" t="n">
        <v>0.32883044</v>
      </c>
      <c r="F6140" s="149" t="n">
        <f aca="false">IF(C6140="MAT.",VLOOKUP(A6140,INSUMOS_AUX!$A$3:$H$813,6,0),0)</f>
        <v>0</v>
      </c>
      <c r="G6140" s="149" t="n">
        <f aca="false">IF(C6140="M.O.",VLOOKUP(A6140,INSUMOS_AUX!A:F,6,0),0)</f>
        <v>13.26</v>
      </c>
    </row>
    <row r="6141" customFormat="false" ht="15" hidden="false" customHeight="false" outlineLevel="0" collapsed="false">
      <c r="A6141" s="154" t="n">
        <v>2436</v>
      </c>
      <c r="B6141" s="155" t="s">
        <v>1557</v>
      </c>
      <c r="C6141" s="148" t="str">
        <f aca="false">VLOOKUP($A6141,INSUMOS_AUX!$A$3:$H$813,3,0)</f>
        <v>M.O.</v>
      </c>
      <c r="D6141" s="156" t="s">
        <v>1444</v>
      </c>
      <c r="E6141" s="154" t="n">
        <v>0.32883044</v>
      </c>
      <c r="F6141" s="149" t="n">
        <f aca="false">IF(C6141="MAT.",VLOOKUP(A6141,INSUMOS_AUX!$A$3:$H$813,6,0),0)</f>
        <v>0</v>
      </c>
      <c r="G6141" s="149" t="n">
        <f aca="false">IF(C6141="M.O.",VLOOKUP(A6141,INSUMOS_AUX!A:F,6,0),0)</f>
        <v>20.22</v>
      </c>
    </row>
    <row r="6142" customFormat="false" ht="15" hidden="false" customHeight="false" outlineLevel="0" collapsed="false">
      <c r="A6142" s="150" t="s">
        <v>1021</v>
      </c>
      <c r="B6142" s="151" t="s">
        <v>2540</v>
      </c>
      <c r="C6142" s="152" t="s">
        <v>59</v>
      </c>
      <c r="D6142" s="152" t="s">
        <v>31</v>
      </c>
      <c r="E6142" s="150"/>
      <c r="F6142" s="153" t="n">
        <f aca="false">(SUMPRODUCT($E6143:$E6151,F6143:F6151))*1</f>
        <v>2271.838112</v>
      </c>
      <c r="G6142" s="153" t="n">
        <f aca="false">(SUMPRODUCT($E6143:$E6151,G6143:G6151))*1</f>
        <v>427.99214085696</v>
      </c>
    </row>
    <row r="6143" customFormat="false" ht="21" hidden="false" customHeight="false" outlineLevel="0" collapsed="false">
      <c r="A6143" s="154" t="n">
        <v>37370</v>
      </c>
      <c r="B6143" s="155" t="s">
        <v>1443</v>
      </c>
      <c r="C6143" s="148" t="str">
        <f aca="false">VLOOKUP($A6143,INSUMOS_AUX!$A$3:$H$813,3,0)</f>
        <v>MAT.</v>
      </c>
      <c r="D6143" s="156" t="s">
        <v>1444</v>
      </c>
      <c r="E6143" s="154" t="n">
        <v>24.6472</v>
      </c>
      <c r="F6143" s="149" t="n">
        <f aca="false">IF(C6143="MAT.",VLOOKUP(A6143,INSUMOS_AUX!$A$3:$H$813,6,0),0)</f>
        <v>3.32</v>
      </c>
      <c r="G6143" s="149" t="n">
        <f aca="false">IF(C6143="M.O.",VLOOKUP(A6143,INSUMOS_AUX!A:F,6,0),0)</f>
        <v>0</v>
      </c>
    </row>
    <row r="6144" customFormat="false" ht="21" hidden="false" customHeight="false" outlineLevel="0" collapsed="false">
      <c r="A6144" s="154" t="n">
        <v>43484</v>
      </c>
      <c r="B6144" s="155" t="s">
        <v>1523</v>
      </c>
      <c r="C6144" s="148" t="str">
        <f aca="false">VLOOKUP($A6144,INSUMOS_AUX!$A$3:$H$813,3,0)</f>
        <v>MAT.</v>
      </c>
      <c r="D6144" s="156" t="s">
        <v>1444</v>
      </c>
      <c r="E6144" s="154" t="n">
        <v>24.6472</v>
      </c>
      <c r="F6144" s="149" t="n">
        <f aca="false">IF(C6144="MAT.",VLOOKUP(A6144,INSUMOS_AUX!$A$3:$H$813,6,0),0)</f>
        <v>1.26</v>
      </c>
      <c r="G6144" s="149" t="n">
        <f aca="false">IF(C6144="M.O.",VLOOKUP(A6144,INSUMOS_AUX!A:F,6,0),0)</f>
        <v>0</v>
      </c>
    </row>
    <row r="6145" customFormat="false" ht="21" hidden="false" customHeight="false" outlineLevel="0" collapsed="false">
      <c r="A6145" s="154" t="n">
        <v>37372</v>
      </c>
      <c r="B6145" s="155" t="s">
        <v>1446</v>
      </c>
      <c r="C6145" s="148" t="str">
        <f aca="false">VLOOKUP($A6145,INSUMOS_AUX!$A$3:$H$813,3,0)</f>
        <v>MAT.</v>
      </c>
      <c r="D6145" s="156" t="s">
        <v>1444</v>
      </c>
      <c r="E6145" s="154" t="n">
        <v>24.6472</v>
      </c>
      <c r="F6145" s="149" t="n">
        <f aca="false">IF(C6145="MAT.",VLOOKUP(A6145,INSUMOS_AUX!$A$3:$H$813,6,0),0)</f>
        <v>1.43</v>
      </c>
      <c r="G6145" s="149" t="n">
        <f aca="false">IF(C6145="M.O.",VLOOKUP(A6145,INSUMOS_AUX!A:F,6,0),0)</f>
        <v>0</v>
      </c>
    </row>
    <row r="6146" customFormat="false" ht="21" hidden="false" customHeight="false" outlineLevel="0" collapsed="false">
      <c r="A6146" s="154" t="n">
        <v>43460</v>
      </c>
      <c r="B6146" s="155" t="s">
        <v>1524</v>
      </c>
      <c r="C6146" s="148" t="str">
        <f aca="false">VLOOKUP($A6146,INSUMOS_AUX!$A$3:$H$813,3,0)</f>
        <v>MAT.</v>
      </c>
      <c r="D6146" s="156" t="s">
        <v>1444</v>
      </c>
      <c r="E6146" s="154" t="n">
        <v>24.6472</v>
      </c>
      <c r="F6146" s="149" t="n">
        <f aca="false">IF(C6146="MAT.",VLOOKUP(A6146,INSUMOS_AUX!$A$3:$H$813,6,0),0)</f>
        <v>0.86</v>
      </c>
      <c r="G6146" s="149" t="n">
        <f aca="false">IF(C6146="M.O.",VLOOKUP(A6146,INSUMOS_AUX!A:F,6,0),0)</f>
        <v>0</v>
      </c>
    </row>
    <row r="6147" customFormat="false" ht="21" hidden="false" customHeight="false" outlineLevel="0" collapsed="false">
      <c r="A6147" s="154" t="n">
        <v>37373</v>
      </c>
      <c r="B6147" s="155" t="s">
        <v>1448</v>
      </c>
      <c r="C6147" s="148" t="s">
        <v>59</v>
      </c>
      <c r="D6147" s="156" t="s">
        <v>1444</v>
      </c>
      <c r="E6147" s="154" t="n">
        <v>24.6472</v>
      </c>
      <c r="F6147" s="149" t="n">
        <f aca="false">IF(C6147="MAT.",VLOOKUP(A6147,INSUMOS_AUX!$A$3:$H$813,6,0),0)</f>
        <v>0</v>
      </c>
      <c r="G6147" s="149" t="n">
        <f aca="false">IF(C6147="M.O.",VLOOKUP(A6147,INSUMOS_AUX!A:F,6,0),0)</f>
        <v>0</v>
      </c>
    </row>
    <row r="6148" customFormat="false" ht="21" hidden="false" customHeight="false" outlineLevel="0" collapsed="false">
      <c r="A6148" s="154" t="n">
        <v>37371</v>
      </c>
      <c r="B6148" s="155" t="s">
        <v>1449</v>
      </c>
      <c r="C6148" s="148" t="str">
        <f aca="false">VLOOKUP($A6148,INSUMOS_AUX!$A$3:$H$813,3,0)</f>
        <v>MAT.</v>
      </c>
      <c r="D6148" s="156" t="s">
        <v>1444</v>
      </c>
      <c r="E6148" s="154" t="n">
        <v>24.6472</v>
      </c>
      <c r="F6148" s="149" t="n">
        <f aca="false">IF(C6148="MAT.",VLOOKUP(A6148,INSUMOS_AUX!$A$3:$H$813,6,0),0)</f>
        <v>0.59</v>
      </c>
      <c r="G6148" s="149" t="n">
        <f aca="false">IF(C6148="M.O.",VLOOKUP(A6148,INSUMOS_AUX!A:F,6,0),0)</f>
        <v>0</v>
      </c>
    </row>
    <row r="6149" customFormat="false" ht="21" hidden="false" customHeight="false" outlineLevel="0" collapsed="false">
      <c r="A6149" s="154" t="s">
        <v>2541</v>
      </c>
      <c r="B6149" s="155" t="s">
        <v>2542</v>
      </c>
      <c r="C6149" s="148" t="str">
        <f aca="false">VLOOKUP($A6149,INSUMOS_AUX!$A$3:$H$813,3,0)</f>
        <v>MAT.</v>
      </c>
      <c r="D6149" s="156" t="s">
        <v>31</v>
      </c>
      <c r="E6149" s="154" t="n">
        <v>1</v>
      </c>
      <c r="F6149" s="149" t="n">
        <f aca="false">IF(C6149="MAT.",VLOOKUP(A6149,INSUMOS_AUX!$A$3:$H$813,6,0),0)</f>
        <v>2087.97</v>
      </c>
      <c r="G6149" s="149" t="n">
        <f aca="false">IF(C6149="M.O.",VLOOKUP(A6149,INSUMOS_AUX!A:F,6,0),0)</f>
        <v>0</v>
      </c>
    </row>
    <row r="6150" customFormat="false" ht="15" hidden="false" customHeight="false" outlineLevel="0" collapsed="false">
      <c r="A6150" s="154" t="n">
        <v>247</v>
      </c>
      <c r="B6150" s="155" t="s">
        <v>1554</v>
      </c>
      <c r="C6150" s="148" t="str">
        <f aca="false">VLOOKUP($A6150,INSUMOS_AUX!$A$3:$H$813,3,0)</f>
        <v>M.O.</v>
      </c>
      <c r="D6150" s="156" t="s">
        <v>1444</v>
      </c>
      <c r="E6150" s="154" t="n">
        <v>12.783516752</v>
      </c>
      <c r="F6150" s="149" t="n">
        <f aca="false">IF(C6150="MAT.",VLOOKUP(A6150,INSUMOS_AUX!$A$3:$H$813,6,0),0)</f>
        <v>0</v>
      </c>
      <c r="G6150" s="149" t="n">
        <f aca="false">IF(C6150="M.O.",VLOOKUP(A6150,INSUMOS_AUX!A:F,6,0),0)</f>
        <v>13.26</v>
      </c>
    </row>
    <row r="6151" customFormat="false" ht="15" hidden="false" customHeight="false" outlineLevel="0" collapsed="false">
      <c r="A6151" s="154" t="n">
        <v>2436</v>
      </c>
      <c r="B6151" s="155" t="s">
        <v>1557</v>
      </c>
      <c r="C6151" s="148" t="str">
        <f aca="false">VLOOKUP($A6151,INSUMOS_AUX!$A$3:$H$813,3,0)</f>
        <v>M.O.</v>
      </c>
      <c r="D6151" s="156" t="s">
        <v>1444</v>
      </c>
      <c r="E6151" s="154" t="n">
        <v>12.783516752</v>
      </c>
      <c r="F6151" s="149" t="n">
        <f aca="false">IF(C6151="MAT.",VLOOKUP(A6151,INSUMOS_AUX!$A$3:$H$813,6,0),0)</f>
        <v>0</v>
      </c>
      <c r="G6151" s="149" t="n">
        <f aca="false">IF(C6151="M.O.",VLOOKUP(A6151,INSUMOS_AUX!A:F,6,0),0)</f>
        <v>20.22</v>
      </c>
    </row>
    <row r="6152" customFormat="false" ht="21" hidden="false" customHeight="false" outlineLevel="0" collapsed="false">
      <c r="A6152" s="150" t="s">
        <v>1025</v>
      </c>
      <c r="B6152" s="151" t="s">
        <v>2543</v>
      </c>
      <c r="C6152" s="152" t="s">
        <v>59</v>
      </c>
      <c r="D6152" s="152" t="s">
        <v>31</v>
      </c>
      <c r="E6152" s="150"/>
      <c r="F6152" s="153" t="n">
        <f aca="false">(SUMPRODUCT($E6153:$E6161,F6153:F6161))*1</f>
        <v>6.559496</v>
      </c>
      <c r="G6152" s="153" t="n">
        <f aca="false">(SUMPRODUCT($E6153:$E6161,G6153:G6161))*1</f>
        <v>7.16121745632</v>
      </c>
    </row>
    <row r="6153" customFormat="false" ht="21" hidden="false" customHeight="false" outlineLevel="0" collapsed="false">
      <c r="A6153" s="154" t="n">
        <v>37370</v>
      </c>
      <c r="B6153" s="155" t="s">
        <v>1443</v>
      </c>
      <c r="C6153" s="148" t="str">
        <f aca="false">VLOOKUP($A6153,INSUMOS_AUX!$A$3:$H$813,3,0)</f>
        <v>MAT.</v>
      </c>
      <c r="D6153" s="156" t="s">
        <v>1444</v>
      </c>
      <c r="E6153" s="154" t="n">
        <v>0.4124</v>
      </c>
      <c r="F6153" s="149" t="n">
        <f aca="false">IF(C6153="MAT.",VLOOKUP(A6153,INSUMOS_AUX!$A$3:$H$813,6,0),0)</f>
        <v>3.32</v>
      </c>
      <c r="G6153" s="149" t="n">
        <f aca="false">IF(C6153="M.O.",VLOOKUP(A6153,INSUMOS_AUX!A:F,6,0),0)</f>
        <v>0</v>
      </c>
    </row>
    <row r="6154" customFormat="false" ht="21" hidden="false" customHeight="false" outlineLevel="0" collapsed="false">
      <c r="A6154" s="154" t="n">
        <v>43484</v>
      </c>
      <c r="B6154" s="155" t="s">
        <v>1523</v>
      </c>
      <c r="C6154" s="148" t="str">
        <f aca="false">VLOOKUP($A6154,INSUMOS_AUX!$A$3:$H$813,3,0)</f>
        <v>MAT.</v>
      </c>
      <c r="D6154" s="156" t="s">
        <v>1444</v>
      </c>
      <c r="E6154" s="154" t="n">
        <v>0.4124</v>
      </c>
      <c r="F6154" s="149" t="n">
        <f aca="false">IF(C6154="MAT.",VLOOKUP(A6154,INSUMOS_AUX!$A$3:$H$813,6,0),0)</f>
        <v>1.26</v>
      </c>
      <c r="G6154" s="149" t="n">
        <f aca="false">IF(C6154="M.O.",VLOOKUP(A6154,INSUMOS_AUX!A:F,6,0),0)</f>
        <v>0</v>
      </c>
    </row>
    <row r="6155" customFormat="false" ht="21" hidden="false" customHeight="false" outlineLevel="0" collapsed="false">
      <c r="A6155" s="154" t="n">
        <v>37372</v>
      </c>
      <c r="B6155" s="155" t="s">
        <v>1446</v>
      </c>
      <c r="C6155" s="148" t="str">
        <f aca="false">VLOOKUP($A6155,INSUMOS_AUX!$A$3:$H$813,3,0)</f>
        <v>MAT.</v>
      </c>
      <c r="D6155" s="156" t="s">
        <v>1444</v>
      </c>
      <c r="E6155" s="154" t="n">
        <v>0.4124</v>
      </c>
      <c r="F6155" s="149" t="n">
        <f aca="false">IF(C6155="MAT.",VLOOKUP(A6155,INSUMOS_AUX!$A$3:$H$813,6,0),0)</f>
        <v>1.43</v>
      </c>
      <c r="G6155" s="149" t="n">
        <f aca="false">IF(C6155="M.O.",VLOOKUP(A6155,INSUMOS_AUX!A:F,6,0),0)</f>
        <v>0</v>
      </c>
    </row>
    <row r="6156" customFormat="false" ht="21" hidden="false" customHeight="false" outlineLevel="0" collapsed="false">
      <c r="A6156" s="154" t="n">
        <v>43460</v>
      </c>
      <c r="B6156" s="155" t="s">
        <v>1524</v>
      </c>
      <c r="C6156" s="148" t="str">
        <f aca="false">VLOOKUP($A6156,INSUMOS_AUX!$A$3:$H$813,3,0)</f>
        <v>MAT.</v>
      </c>
      <c r="D6156" s="156" t="s">
        <v>1444</v>
      </c>
      <c r="E6156" s="154" t="n">
        <v>0.4124</v>
      </c>
      <c r="F6156" s="149" t="n">
        <f aca="false">IF(C6156="MAT.",VLOOKUP(A6156,INSUMOS_AUX!$A$3:$H$813,6,0),0)</f>
        <v>0.86</v>
      </c>
      <c r="G6156" s="149" t="n">
        <f aca="false">IF(C6156="M.O.",VLOOKUP(A6156,INSUMOS_AUX!A:F,6,0),0)</f>
        <v>0</v>
      </c>
    </row>
    <row r="6157" customFormat="false" ht="21" hidden="false" customHeight="false" outlineLevel="0" collapsed="false">
      <c r="A6157" s="154" t="n">
        <v>37373</v>
      </c>
      <c r="B6157" s="155" t="s">
        <v>1448</v>
      </c>
      <c r="C6157" s="148" t="str">
        <f aca="false">VLOOKUP($A6157,INSUMOS_AUX!$A$3:$H$813,3,0)</f>
        <v>MAT.</v>
      </c>
      <c r="D6157" s="156" t="s">
        <v>1444</v>
      </c>
      <c r="E6157" s="154" t="n">
        <v>0.4124</v>
      </c>
      <c r="F6157" s="149" t="n">
        <f aca="false">IF(C6157="MAT.",VLOOKUP(A6157,INSUMOS_AUX!$A$3:$H$813,6,0),0)</f>
        <v>0.08</v>
      </c>
      <c r="G6157" s="149" t="n">
        <f aca="false">IF(C6157="M.O.",VLOOKUP(A6157,INSUMOS_AUX!A:F,6,0),0)</f>
        <v>0</v>
      </c>
    </row>
    <row r="6158" customFormat="false" ht="21" hidden="false" customHeight="false" outlineLevel="0" collapsed="false">
      <c r="A6158" s="154" t="n">
        <v>37371</v>
      </c>
      <c r="B6158" s="155" t="s">
        <v>1449</v>
      </c>
      <c r="C6158" s="148" t="str">
        <f aca="false">VLOOKUP($A6158,INSUMOS_AUX!$A$3:$H$813,3,0)</f>
        <v>MAT.</v>
      </c>
      <c r="D6158" s="156" t="s">
        <v>1444</v>
      </c>
      <c r="E6158" s="154" t="n">
        <v>0.4124</v>
      </c>
      <c r="F6158" s="149" t="n">
        <f aca="false">IF(C6158="MAT.",VLOOKUP(A6158,INSUMOS_AUX!$A$3:$H$813,6,0),0)</f>
        <v>0.59</v>
      </c>
      <c r="G6158" s="149" t="n">
        <f aca="false">IF(C6158="M.O.",VLOOKUP(A6158,INSUMOS_AUX!A:F,6,0),0)</f>
        <v>0</v>
      </c>
    </row>
    <row r="6159" customFormat="false" ht="15" hidden="false" customHeight="false" outlineLevel="0" collapsed="false">
      <c r="A6159" s="154" t="n">
        <v>39603</v>
      </c>
      <c r="B6159" s="155" t="s">
        <v>2544</v>
      </c>
      <c r="C6159" s="148" t="str">
        <f aca="false">VLOOKUP($A6159,INSUMOS_AUX!$A$3:$H$813,3,0)</f>
        <v>MAT.</v>
      </c>
      <c r="D6159" s="156" t="s">
        <v>31</v>
      </c>
      <c r="E6159" s="154" t="n">
        <v>1</v>
      </c>
      <c r="F6159" s="149" t="n">
        <f aca="false">IF(C6159="MAT.",VLOOKUP(A6159,INSUMOS_AUX!$A$3:$H$813,6,0),0)</f>
        <v>3.45</v>
      </c>
      <c r="G6159" s="149" t="n">
        <f aca="false">IF(C6159="M.O.",VLOOKUP(A6159,INSUMOS_AUX!A:F,6,0),0)</f>
        <v>0</v>
      </c>
    </row>
    <row r="6160" customFormat="false" ht="15" hidden="false" customHeight="false" outlineLevel="0" collapsed="false">
      <c r="A6160" s="154" t="n">
        <v>247</v>
      </c>
      <c r="B6160" s="155" t="s">
        <v>1554</v>
      </c>
      <c r="C6160" s="148" t="str">
        <f aca="false">VLOOKUP($A6160,INSUMOS_AUX!$A$3:$H$813,3,0)</f>
        <v>M.O.</v>
      </c>
      <c r="D6160" s="156" t="s">
        <v>1444</v>
      </c>
      <c r="E6160" s="154" t="n">
        <v>0.213895384</v>
      </c>
      <c r="F6160" s="149" t="n">
        <f aca="false">IF(C6160="MAT.",VLOOKUP(A6160,INSUMOS_AUX!$A$3:$H$813,6,0),0)</f>
        <v>0</v>
      </c>
      <c r="G6160" s="149" t="n">
        <f aca="false">IF(C6160="M.O.",VLOOKUP(A6160,INSUMOS_AUX!A:F,6,0),0)</f>
        <v>13.26</v>
      </c>
    </row>
    <row r="6161" customFormat="false" ht="15" hidden="false" customHeight="false" outlineLevel="0" collapsed="false">
      <c r="A6161" s="154" t="n">
        <v>2436</v>
      </c>
      <c r="B6161" s="155" t="s">
        <v>1557</v>
      </c>
      <c r="C6161" s="148" t="str">
        <f aca="false">VLOOKUP($A6161,INSUMOS_AUX!$A$3:$H$813,3,0)</f>
        <v>M.O.</v>
      </c>
      <c r="D6161" s="156" t="s">
        <v>1444</v>
      </c>
      <c r="E6161" s="154" t="n">
        <v>0.213895384</v>
      </c>
      <c r="F6161" s="149" t="n">
        <f aca="false">IF(C6161="MAT.",VLOOKUP(A6161,INSUMOS_AUX!$A$3:$H$813,6,0),0)</f>
        <v>0</v>
      </c>
      <c r="G6161" s="149" t="n">
        <f aca="false">IF(C6161="M.O.",VLOOKUP(A6161,INSUMOS_AUX!A:F,6,0),0)</f>
        <v>20.22</v>
      </c>
    </row>
    <row r="6162" customFormat="false" ht="21" hidden="false" customHeight="false" outlineLevel="0" collapsed="false">
      <c r="A6162" s="150" t="n">
        <v>98304</v>
      </c>
      <c r="B6162" s="151" t="s">
        <v>2545</v>
      </c>
      <c r="C6162" s="152" t="s">
        <v>59</v>
      </c>
      <c r="D6162" s="152" t="s">
        <v>31</v>
      </c>
      <c r="E6162" s="150"/>
      <c r="F6162" s="153" t="n">
        <f aca="false">(SUMPRODUCT($E6163:$E6171,F6163:F6171))*1</f>
        <v>3199.031184</v>
      </c>
      <c r="G6162" s="153" t="n">
        <f aca="false">(SUMPRODUCT($E6163:$E6171,G6163:G6171))*1</f>
        <v>427.99214085696</v>
      </c>
    </row>
    <row r="6163" customFormat="false" ht="21" hidden="false" customHeight="false" outlineLevel="0" collapsed="false">
      <c r="A6163" s="154" t="n">
        <v>37370</v>
      </c>
      <c r="B6163" s="155" t="s">
        <v>1443</v>
      </c>
      <c r="C6163" s="148" t="s">
        <v>59</v>
      </c>
      <c r="D6163" s="156" t="s">
        <v>1444</v>
      </c>
      <c r="E6163" s="154" t="n">
        <v>24.6472</v>
      </c>
      <c r="F6163" s="149" t="n">
        <f aca="false">IF(C6163="MAT.",VLOOKUP(A6163,INSUMOS_AUX!$A$3:$H$813,6,0),0)</f>
        <v>0</v>
      </c>
      <c r="G6163" s="149" t="n">
        <f aca="false">IF(C6163="M.O.",VLOOKUP(A6163,INSUMOS_AUX!A:F,6,0),0)</f>
        <v>0</v>
      </c>
    </row>
    <row r="6164" customFormat="false" ht="21" hidden="false" customHeight="false" outlineLevel="0" collapsed="false">
      <c r="A6164" s="154" t="n">
        <v>43484</v>
      </c>
      <c r="B6164" s="155" t="s">
        <v>1523</v>
      </c>
      <c r="C6164" s="148" t="str">
        <f aca="false">VLOOKUP($A6164,INSUMOS_AUX!$A$3:$H$813,3,0)</f>
        <v>MAT.</v>
      </c>
      <c r="D6164" s="156" t="s">
        <v>1444</v>
      </c>
      <c r="E6164" s="154" t="n">
        <v>24.6472</v>
      </c>
      <c r="F6164" s="149" t="n">
        <f aca="false">IF(C6164="MAT.",VLOOKUP(A6164,INSUMOS_AUX!$A$3:$H$813,6,0),0)</f>
        <v>1.26</v>
      </c>
      <c r="G6164" s="149" t="n">
        <f aca="false">IF(C6164="M.O.",VLOOKUP(A6164,INSUMOS_AUX!A:F,6,0),0)</f>
        <v>0</v>
      </c>
    </row>
    <row r="6165" customFormat="false" ht="21" hidden="false" customHeight="false" outlineLevel="0" collapsed="false">
      <c r="A6165" s="154" t="n">
        <v>37372</v>
      </c>
      <c r="B6165" s="155" t="s">
        <v>1446</v>
      </c>
      <c r="C6165" s="148" t="str">
        <f aca="false">VLOOKUP($A6165,INSUMOS_AUX!$A$3:$H$813,3,0)</f>
        <v>MAT.</v>
      </c>
      <c r="D6165" s="156" t="s">
        <v>1444</v>
      </c>
      <c r="E6165" s="154" t="n">
        <v>24.6472</v>
      </c>
      <c r="F6165" s="149" t="n">
        <f aca="false">IF(C6165="MAT.",VLOOKUP(A6165,INSUMOS_AUX!$A$3:$H$813,6,0),0)</f>
        <v>1.43</v>
      </c>
      <c r="G6165" s="149" t="n">
        <f aca="false">IF(C6165="M.O.",VLOOKUP(A6165,INSUMOS_AUX!A:F,6,0),0)</f>
        <v>0</v>
      </c>
    </row>
    <row r="6166" customFormat="false" ht="21" hidden="false" customHeight="false" outlineLevel="0" collapsed="false">
      <c r="A6166" s="154" t="n">
        <v>43460</v>
      </c>
      <c r="B6166" s="155" t="s">
        <v>1524</v>
      </c>
      <c r="C6166" s="148" t="str">
        <f aca="false">VLOOKUP($A6166,INSUMOS_AUX!$A$3:$H$813,3,0)</f>
        <v>MAT.</v>
      </c>
      <c r="D6166" s="156" t="s">
        <v>1444</v>
      </c>
      <c r="E6166" s="154" t="n">
        <v>24.6472</v>
      </c>
      <c r="F6166" s="149" t="n">
        <f aca="false">IF(C6166="MAT.",VLOOKUP(A6166,INSUMOS_AUX!$A$3:$H$813,6,0),0)</f>
        <v>0.86</v>
      </c>
      <c r="G6166" s="149" t="n">
        <f aca="false">IF(C6166="M.O.",VLOOKUP(A6166,INSUMOS_AUX!A:F,6,0),0)</f>
        <v>0</v>
      </c>
    </row>
    <row r="6167" customFormat="false" ht="21" hidden="false" customHeight="false" outlineLevel="0" collapsed="false">
      <c r="A6167" s="154" t="n">
        <v>37373</v>
      </c>
      <c r="B6167" s="155" t="s">
        <v>1448</v>
      </c>
      <c r="C6167" s="148" t="str">
        <f aca="false">VLOOKUP($A6167,INSUMOS_AUX!$A$3:$H$813,3,0)</f>
        <v>MAT.</v>
      </c>
      <c r="D6167" s="156" t="s">
        <v>1444</v>
      </c>
      <c r="E6167" s="154" t="n">
        <v>24.6472</v>
      </c>
      <c r="F6167" s="149" t="n">
        <f aca="false">IF(C6167="MAT.",VLOOKUP(A6167,INSUMOS_AUX!$A$3:$H$813,6,0),0)</f>
        <v>0.08</v>
      </c>
      <c r="G6167" s="149" t="n">
        <f aca="false">IF(C6167="M.O.",VLOOKUP(A6167,INSUMOS_AUX!A:F,6,0),0)</f>
        <v>0</v>
      </c>
    </row>
    <row r="6168" customFormat="false" ht="21" hidden="false" customHeight="false" outlineLevel="0" collapsed="false">
      <c r="A6168" s="154" t="n">
        <v>37371</v>
      </c>
      <c r="B6168" s="155" t="s">
        <v>1449</v>
      </c>
      <c r="C6168" s="148" t="str">
        <f aca="false">VLOOKUP($A6168,INSUMOS_AUX!$A$3:$H$813,3,0)</f>
        <v>MAT.</v>
      </c>
      <c r="D6168" s="156" t="s">
        <v>1444</v>
      </c>
      <c r="E6168" s="154" t="n">
        <v>24.6472</v>
      </c>
      <c r="F6168" s="149" t="n">
        <f aca="false">IF(C6168="MAT.",VLOOKUP(A6168,INSUMOS_AUX!$A$3:$H$813,6,0),0)</f>
        <v>0.59</v>
      </c>
      <c r="G6168" s="149" t="n">
        <f aca="false">IF(C6168="M.O.",VLOOKUP(A6168,INSUMOS_AUX!A:F,6,0),0)</f>
        <v>0</v>
      </c>
    </row>
    <row r="6169" customFormat="false" ht="21" hidden="false" customHeight="false" outlineLevel="0" collapsed="false">
      <c r="A6169" s="154" t="n">
        <v>39597</v>
      </c>
      <c r="B6169" s="155" t="s">
        <v>2546</v>
      </c>
      <c r="C6169" s="148" t="str">
        <f aca="false">VLOOKUP($A6169,INSUMOS_AUX!$A$3:$H$813,3,0)</f>
        <v>MAT.</v>
      </c>
      <c r="D6169" s="156" t="s">
        <v>31</v>
      </c>
      <c r="E6169" s="154" t="n">
        <v>1</v>
      </c>
      <c r="F6169" s="149" t="n">
        <f aca="false">IF(C6169="MAT.",VLOOKUP(A6169,INSUMOS_AUX!$A$3:$H$813,6,0),0)</f>
        <v>3095.02</v>
      </c>
      <c r="G6169" s="149" t="n">
        <f aca="false">IF(C6169="M.O.",VLOOKUP(A6169,INSUMOS_AUX!A:F,6,0),0)</f>
        <v>0</v>
      </c>
    </row>
    <row r="6170" customFormat="false" ht="15" hidden="false" customHeight="false" outlineLevel="0" collapsed="false">
      <c r="A6170" s="154" t="n">
        <v>247</v>
      </c>
      <c r="B6170" s="155" t="s">
        <v>1554</v>
      </c>
      <c r="C6170" s="148" t="str">
        <f aca="false">VLOOKUP($A6170,INSUMOS_AUX!$A$3:$H$813,3,0)</f>
        <v>M.O.</v>
      </c>
      <c r="D6170" s="156" t="s">
        <v>1444</v>
      </c>
      <c r="E6170" s="154" t="n">
        <v>12.783516752</v>
      </c>
      <c r="F6170" s="149" t="n">
        <f aca="false">IF(C6170="MAT.",VLOOKUP(A6170,INSUMOS_AUX!$A$3:$H$813,6,0),0)</f>
        <v>0</v>
      </c>
      <c r="G6170" s="149" t="n">
        <f aca="false">IF(C6170="M.O.",VLOOKUP(A6170,INSUMOS_AUX!A:F,6,0),0)</f>
        <v>13.26</v>
      </c>
    </row>
    <row r="6171" customFormat="false" ht="15" hidden="false" customHeight="false" outlineLevel="0" collapsed="false">
      <c r="A6171" s="154" t="n">
        <v>2436</v>
      </c>
      <c r="B6171" s="155" t="s">
        <v>1557</v>
      </c>
      <c r="C6171" s="148" t="str">
        <f aca="false">VLOOKUP($A6171,INSUMOS_AUX!$A$3:$H$813,3,0)</f>
        <v>M.O.</v>
      </c>
      <c r="D6171" s="156" t="s">
        <v>1444</v>
      </c>
      <c r="E6171" s="154" t="n">
        <v>12.783516752</v>
      </c>
      <c r="F6171" s="149" t="n">
        <f aca="false">IF(C6171="MAT.",VLOOKUP(A6171,INSUMOS_AUX!$A$3:$H$813,6,0),0)</f>
        <v>0</v>
      </c>
      <c r="G6171" s="149" t="n">
        <f aca="false">IF(C6171="M.O.",VLOOKUP(A6171,INSUMOS_AUX!A:F,6,0),0)</f>
        <v>20.22</v>
      </c>
    </row>
    <row r="6172" customFormat="false" ht="21" hidden="false" customHeight="false" outlineLevel="0" collapsed="false">
      <c r="A6172" s="150" t="n">
        <v>98302</v>
      </c>
      <c r="B6172" s="151" t="s">
        <v>2547</v>
      </c>
      <c r="C6172" s="152" t="s">
        <v>59</v>
      </c>
      <c r="D6172" s="152" t="s">
        <v>31</v>
      </c>
      <c r="E6172" s="150"/>
      <c r="F6172" s="153" t="n">
        <f aca="false">(SUMPRODUCT($E6173:$E6181,F6173:F6181))*1</f>
        <v>93.506556</v>
      </c>
      <c r="G6172" s="153" t="n">
        <f aca="false">(SUMPRODUCT($E6173:$E6181,G6173:G6181))*1</f>
        <v>215.34704695152</v>
      </c>
    </row>
    <row r="6173" customFormat="false" ht="21" hidden="false" customHeight="false" outlineLevel="0" collapsed="false">
      <c r="A6173" s="154" t="n">
        <v>37370</v>
      </c>
      <c r="B6173" s="155" t="s">
        <v>1443</v>
      </c>
      <c r="C6173" s="148" t="str">
        <f aca="false">VLOOKUP($A6173,INSUMOS_AUX!$A$3:$H$813,3,0)</f>
        <v>MAT.</v>
      </c>
      <c r="D6173" s="156" t="s">
        <v>1444</v>
      </c>
      <c r="E6173" s="154" t="n">
        <v>12.4014</v>
      </c>
      <c r="F6173" s="149" t="n">
        <f aca="false">IF(C6173="MAT.",VLOOKUP(A6173,INSUMOS_AUX!$A$3:$H$813,6,0),0)</f>
        <v>3.32</v>
      </c>
      <c r="G6173" s="149" t="n">
        <f aca="false">IF(C6173="M.O.",VLOOKUP(A6173,INSUMOS_AUX!A:F,6,0),0)</f>
        <v>0</v>
      </c>
    </row>
    <row r="6174" customFormat="false" ht="21" hidden="false" customHeight="false" outlineLevel="0" collapsed="false">
      <c r="A6174" s="154" t="n">
        <v>43484</v>
      </c>
      <c r="B6174" s="155" t="s">
        <v>1523</v>
      </c>
      <c r="C6174" s="148" t="str">
        <f aca="false">VLOOKUP($A6174,INSUMOS_AUX!$A$3:$H$813,3,0)</f>
        <v>MAT.</v>
      </c>
      <c r="D6174" s="156" t="s">
        <v>1444</v>
      </c>
      <c r="E6174" s="154" t="n">
        <v>12.4014</v>
      </c>
      <c r="F6174" s="149" t="n">
        <f aca="false">IF(C6174="MAT.",VLOOKUP(A6174,INSUMOS_AUX!$A$3:$H$813,6,0),0)</f>
        <v>1.26</v>
      </c>
      <c r="G6174" s="149" t="n">
        <f aca="false">IF(C6174="M.O.",VLOOKUP(A6174,INSUMOS_AUX!A:F,6,0),0)</f>
        <v>0</v>
      </c>
    </row>
    <row r="6175" customFormat="false" ht="21" hidden="false" customHeight="false" outlineLevel="0" collapsed="false">
      <c r="A6175" s="154" t="n">
        <v>37372</v>
      </c>
      <c r="B6175" s="155" t="s">
        <v>1446</v>
      </c>
      <c r="C6175" s="148" t="str">
        <f aca="false">VLOOKUP($A6175,INSUMOS_AUX!$A$3:$H$813,3,0)</f>
        <v>MAT.</v>
      </c>
      <c r="D6175" s="156" t="s">
        <v>1444</v>
      </c>
      <c r="E6175" s="154" t="n">
        <v>12.4014</v>
      </c>
      <c r="F6175" s="149" t="n">
        <f aca="false">IF(C6175="MAT.",VLOOKUP(A6175,INSUMOS_AUX!$A$3:$H$813,6,0),0)</f>
        <v>1.43</v>
      </c>
      <c r="G6175" s="149" t="n">
        <f aca="false">IF(C6175="M.O.",VLOOKUP(A6175,INSUMOS_AUX!A:F,6,0),0)</f>
        <v>0</v>
      </c>
    </row>
    <row r="6176" customFormat="false" ht="21" hidden="false" customHeight="false" outlineLevel="0" collapsed="false">
      <c r="A6176" s="154" t="n">
        <v>43460</v>
      </c>
      <c r="B6176" s="155" t="s">
        <v>1524</v>
      </c>
      <c r="C6176" s="148" t="str">
        <f aca="false">VLOOKUP($A6176,INSUMOS_AUX!$A$3:$H$813,3,0)</f>
        <v>MAT.</v>
      </c>
      <c r="D6176" s="156" t="s">
        <v>1444</v>
      </c>
      <c r="E6176" s="154" t="n">
        <v>12.4014</v>
      </c>
      <c r="F6176" s="149" t="n">
        <f aca="false">IF(C6176="MAT.",VLOOKUP(A6176,INSUMOS_AUX!$A$3:$H$813,6,0),0)</f>
        <v>0.86</v>
      </c>
      <c r="G6176" s="149" t="n">
        <f aca="false">IF(C6176="M.O.",VLOOKUP(A6176,INSUMOS_AUX!A:F,6,0),0)</f>
        <v>0</v>
      </c>
    </row>
    <row r="6177" customFormat="false" ht="21" hidden="false" customHeight="false" outlineLevel="0" collapsed="false">
      <c r="A6177" s="154" t="n">
        <v>37373</v>
      </c>
      <c r="B6177" s="155" t="s">
        <v>1448</v>
      </c>
      <c r="C6177" s="148" t="str">
        <f aca="false">VLOOKUP($A6177,INSUMOS_AUX!$A$3:$H$813,3,0)</f>
        <v>MAT.</v>
      </c>
      <c r="D6177" s="156" t="s">
        <v>1444</v>
      </c>
      <c r="E6177" s="154" t="n">
        <v>12.4014</v>
      </c>
      <c r="F6177" s="149" t="n">
        <f aca="false">IF(C6177="MAT.",VLOOKUP(A6177,INSUMOS_AUX!$A$3:$H$813,6,0),0)</f>
        <v>0.08</v>
      </c>
      <c r="G6177" s="149" t="n">
        <f aca="false">IF(C6177="M.O.",VLOOKUP(A6177,INSUMOS_AUX!A:F,6,0),0)</f>
        <v>0</v>
      </c>
    </row>
    <row r="6178" customFormat="false" ht="21" hidden="false" customHeight="false" outlineLevel="0" collapsed="false">
      <c r="A6178" s="154" t="n">
        <v>37371</v>
      </c>
      <c r="B6178" s="155" t="s">
        <v>1449</v>
      </c>
      <c r="C6178" s="148" t="str">
        <f aca="false">VLOOKUP($A6178,INSUMOS_AUX!$A$3:$H$813,3,0)</f>
        <v>MAT.</v>
      </c>
      <c r="D6178" s="156" t="s">
        <v>1444</v>
      </c>
      <c r="E6178" s="154" t="n">
        <v>12.4014</v>
      </c>
      <c r="F6178" s="149" t="n">
        <f aca="false">IF(C6178="MAT.",VLOOKUP(A6178,INSUMOS_AUX!$A$3:$H$813,6,0),0)</f>
        <v>0.59</v>
      </c>
      <c r="G6178" s="149" t="n">
        <f aca="false">IF(C6178="M.O.",VLOOKUP(A6178,INSUMOS_AUX!A:F,6,0),0)</f>
        <v>0</v>
      </c>
    </row>
    <row r="6179" customFormat="false" ht="21" hidden="false" customHeight="false" outlineLevel="0" collapsed="false">
      <c r="A6179" s="154" t="n">
        <v>39596</v>
      </c>
      <c r="B6179" s="155" t="s">
        <v>2548</v>
      </c>
      <c r="C6179" s="148" t="s">
        <v>59</v>
      </c>
      <c r="D6179" s="156" t="s">
        <v>31</v>
      </c>
      <c r="E6179" s="154" t="n">
        <v>1</v>
      </c>
      <c r="F6179" s="149" t="n">
        <f aca="false">IF(C6179="MAT.",VLOOKUP(A6179,INSUMOS_AUX!$A$3:$H$813,6,0),0)</f>
        <v>0</v>
      </c>
      <c r="G6179" s="149" t="n">
        <f aca="false">IF(C6179="M.O.",VLOOKUP(A6179,INSUMOS_AUX!A:F,6,0),0)</f>
        <v>0</v>
      </c>
    </row>
    <row r="6180" customFormat="false" ht="15" hidden="false" customHeight="false" outlineLevel="0" collapsed="false">
      <c r="A6180" s="154" t="n">
        <v>247</v>
      </c>
      <c r="B6180" s="155" t="s">
        <v>1554</v>
      </c>
      <c r="C6180" s="148" t="str">
        <f aca="false">VLOOKUP($A6180,INSUMOS_AUX!$A$3:$H$813,3,0)</f>
        <v>M.O.</v>
      </c>
      <c r="D6180" s="156" t="s">
        <v>1444</v>
      </c>
      <c r="E6180" s="154" t="n">
        <v>6.432110124</v>
      </c>
      <c r="F6180" s="149" t="n">
        <f aca="false">IF(C6180="MAT.",VLOOKUP(A6180,INSUMOS_AUX!$A$3:$H$813,6,0),0)</f>
        <v>0</v>
      </c>
      <c r="G6180" s="149" t="n">
        <f aca="false">IF(C6180="M.O.",VLOOKUP(A6180,INSUMOS_AUX!A:F,6,0),0)</f>
        <v>13.26</v>
      </c>
    </row>
    <row r="6181" customFormat="false" ht="15" hidden="false" customHeight="false" outlineLevel="0" collapsed="false">
      <c r="A6181" s="154" t="n">
        <v>2436</v>
      </c>
      <c r="B6181" s="155" t="s">
        <v>1557</v>
      </c>
      <c r="C6181" s="148" t="str">
        <f aca="false">VLOOKUP($A6181,INSUMOS_AUX!$A$3:$H$813,3,0)</f>
        <v>M.O.</v>
      </c>
      <c r="D6181" s="156" t="s">
        <v>1444</v>
      </c>
      <c r="E6181" s="154" t="n">
        <v>6.432110124</v>
      </c>
      <c r="F6181" s="149" t="n">
        <f aca="false">IF(C6181="MAT.",VLOOKUP(A6181,INSUMOS_AUX!$A$3:$H$813,6,0),0)</f>
        <v>0</v>
      </c>
      <c r="G6181" s="149" t="n">
        <f aca="false">IF(C6181="M.O.",VLOOKUP(A6181,INSUMOS_AUX!A:F,6,0),0)</f>
        <v>20.22</v>
      </c>
    </row>
    <row r="6182" customFormat="false" ht="21" hidden="false" customHeight="false" outlineLevel="0" collapsed="false">
      <c r="A6182" s="150" t="s">
        <v>1031</v>
      </c>
      <c r="B6182" s="151" t="s">
        <v>2549</v>
      </c>
      <c r="C6182" s="152" t="s">
        <v>59</v>
      </c>
      <c r="D6182" s="152" t="s">
        <v>31</v>
      </c>
      <c r="E6182" s="150"/>
      <c r="F6182" s="153" t="n">
        <f aca="false">(SUMPRODUCT($E6183:$E6193,F6183:F6193))*1</f>
        <v>3102.24874666667</v>
      </c>
      <c r="G6182" s="153" t="n">
        <f aca="false">(SUMPRODUCT($E6183:$E6193,G6183:G6193))*1</f>
        <v>35.6324399136</v>
      </c>
    </row>
    <row r="6183" customFormat="false" ht="21" hidden="false" customHeight="false" outlineLevel="0" collapsed="false">
      <c r="A6183" s="154" t="n">
        <v>37370</v>
      </c>
      <c r="B6183" s="155" t="s">
        <v>1443</v>
      </c>
      <c r="C6183" s="148" t="str">
        <f aca="false">VLOOKUP($A6183,INSUMOS_AUX!$A$3:$H$813,3,0)</f>
        <v>MAT.</v>
      </c>
      <c r="D6183" s="156" t="s">
        <v>1444</v>
      </c>
      <c r="E6183" s="154" t="n">
        <v>2.052</v>
      </c>
      <c r="F6183" s="149" t="n">
        <f aca="false">IF(C6183="MAT.",VLOOKUP(A6183,INSUMOS_AUX!$A$3:$H$813,6,0),0)</f>
        <v>3.32</v>
      </c>
      <c r="G6183" s="149" t="n">
        <f aca="false">IF(C6183="M.O.",VLOOKUP(A6183,INSUMOS_AUX!A:F,6,0),0)</f>
        <v>0</v>
      </c>
    </row>
    <row r="6184" customFormat="false" ht="21" hidden="false" customHeight="false" outlineLevel="0" collapsed="false">
      <c r="A6184" s="154" t="n">
        <v>43484</v>
      </c>
      <c r="B6184" s="155" t="s">
        <v>1523</v>
      </c>
      <c r="C6184" s="148" t="str">
        <f aca="false">VLOOKUP($A6184,INSUMOS_AUX!$A$3:$H$813,3,0)</f>
        <v>MAT.</v>
      </c>
      <c r="D6184" s="156" t="s">
        <v>1444</v>
      </c>
      <c r="E6184" s="154" t="n">
        <v>2.052</v>
      </c>
      <c r="F6184" s="149" t="n">
        <f aca="false">IF(C6184="MAT.",VLOOKUP(A6184,INSUMOS_AUX!$A$3:$H$813,6,0),0)</f>
        <v>1.26</v>
      </c>
      <c r="G6184" s="149" t="n">
        <f aca="false">IF(C6184="M.O.",VLOOKUP(A6184,INSUMOS_AUX!A:F,6,0),0)</f>
        <v>0</v>
      </c>
    </row>
    <row r="6185" customFormat="false" ht="21" hidden="false" customHeight="false" outlineLevel="0" collapsed="false">
      <c r="A6185" s="154" t="n">
        <v>37372</v>
      </c>
      <c r="B6185" s="155" t="s">
        <v>1446</v>
      </c>
      <c r="C6185" s="148" t="str">
        <f aca="false">VLOOKUP($A6185,INSUMOS_AUX!$A$3:$H$813,3,0)</f>
        <v>MAT.</v>
      </c>
      <c r="D6185" s="156" t="s">
        <v>1444</v>
      </c>
      <c r="E6185" s="154" t="n">
        <v>2.052</v>
      </c>
      <c r="F6185" s="149" t="n">
        <f aca="false">IF(C6185="MAT.",VLOOKUP(A6185,INSUMOS_AUX!$A$3:$H$813,6,0),0)</f>
        <v>1.43</v>
      </c>
      <c r="G6185" s="149" t="n">
        <f aca="false">IF(C6185="M.O.",VLOOKUP(A6185,INSUMOS_AUX!A:F,6,0),0)</f>
        <v>0</v>
      </c>
    </row>
    <row r="6186" customFormat="false" ht="21" hidden="false" customHeight="false" outlineLevel="0" collapsed="false">
      <c r="A6186" s="154" t="n">
        <v>43460</v>
      </c>
      <c r="B6186" s="155" t="s">
        <v>1524</v>
      </c>
      <c r="C6186" s="148" t="str">
        <f aca="false">VLOOKUP($A6186,INSUMOS_AUX!$A$3:$H$813,3,0)</f>
        <v>MAT.</v>
      </c>
      <c r="D6186" s="156" t="s">
        <v>1444</v>
      </c>
      <c r="E6186" s="154" t="n">
        <v>2.052</v>
      </c>
      <c r="F6186" s="149" t="n">
        <f aca="false">IF(C6186="MAT.",VLOOKUP(A6186,INSUMOS_AUX!$A$3:$H$813,6,0),0)</f>
        <v>0.86</v>
      </c>
      <c r="G6186" s="149" t="n">
        <f aca="false">IF(C6186="M.O.",VLOOKUP(A6186,INSUMOS_AUX!A:F,6,0),0)</f>
        <v>0</v>
      </c>
    </row>
    <row r="6187" customFormat="false" ht="21" hidden="false" customHeight="false" outlineLevel="0" collapsed="false">
      <c r="A6187" s="154" t="n">
        <v>37373</v>
      </c>
      <c r="B6187" s="155" t="s">
        <v>1448</v>
      </c>
      <c r="C6187" s="148" t="str">
        <f aca="false">VLOOKUP($A6187,INSUMOS_AUX!$A$3:$H$813,3,0)</f>
        <v>MAT.</v>
      </c>
      <c r="D6187" s="156" t="s">
        <v>1444</v>
      </c>
      <c r="E6187" s="154" t="n">
        <v>2.052</v>
      </c>
      <c r="F6187" s="149" t="n">
        <f aca="false">IF(C6187="MAT.",VLOOKUP(A6187,INSUMOS_AUX!$A$3:$H$813,6,0),0)</f>
        <v>0.08</v>
      </c>
      <c r="G6187" s="149" t="n">
        <f aca="false">IF(C6187="M.O.",VLOOKUP(A6187,INSUMOS_AUX!A:F,6,0),0)</f>
        <v>0</v>
      </c>
    </row>
    <row r="6188" customFormat="false" ht="21" hidden="false" customHeight="false" outlineLevel="0" collapsed="false">
      <c r="A6188" s="154" t="n">
        <v>37371</v>
      </c>
      <c r="B6188" s="155" t="s">
        <v>1449</v>
      </c>
      <c r="C6188" s="148" t="str">
        <f aca="false">VLOOKUP($A6188,INSUMOS_AUX!$A$3:$H$813,3,0)</f>
        <v>MAT.</v>
      </c>
      <c r="D6188" s="156" t="s">
        <v>1444</v>
      </c>
      <c r="E6188" s="154" t="n">
        <v>2.052</v>
      </c>
      <c r="F6188" s="149" t="n">
        <f aca="false">IF(C6188="MAT.",VLOOKUP(A6188,INSUMOS_AUX!$A$3:$H$813,6,0),0)</f>
        <v>0.59</v>
      </c>
      <c r="G6188" s="149" t="n">
        <f aca="false">IF(C6188="M.O.",VLOOKUP(A6188,INSUMOS_AUX!A:F,6,0),0)</f>
        <v>0</v>
      </c>
    </row>
    <row r="6189" customFormat="false" ht="15" hidden="false" customHeight="false" outlineLevel="0" collapsed="false">
      <c r="A6189" s="154" t="s">
        <v>2550</v>
      </c>
      <c r="B6189" s="155" t="s">
        <v>2551</v>
      </c>
      <c r="C6189" s="148" t="str">
        <f aca="false">VLOOKUP($A6189,INSUMOS_AUX!$A$3:$H$813,3,0)</f>
        <v>MAT.</v>
      </c>
      <c r="D6189" s="156" t="s">
        <v>31</v>
      </c>
      <c r="E6189" s="154" t="n">
        <v>2</v>
      </c>
      <c r="F6189" s="149" t="n">
        <f aca="false">IF(C6189="MAT.",VLOOKUP(A6189,INSUMOS_AUX!$A$3:$H$813,6,0),0)</f>
        <v>96.9366666666667</v>
      </c>
      <c r="G6189" s="149" t="n">
        <f aca="false">IF(C6189="M.O.",VLOOKUP(A6189,INSUMOS_AUX!A:F,6,0),0)</f>
        <v>0</v>
      </c>
    </row>
    <row r="6190" customFormat="false" ht="15" hidden="false" customHeight="false" outlineLevel="0" collapsed="false">
      <c r="A6190" s="154" t="s">
        <v>2552</v>
      </c>
      <c r="B6190" s="155" t="s">
        <v>2553</v>
      </c>
      <c r="C6190" s="148" t="s">
        <v>59</v>
      </c>
      <c r="D6190" s="156" t="s">
        <v>31</v>
      </c>
      <c r="E6190" s="154" t="n">
        <v>2</v>
      </c>
      <c r="F6190" s="149" t="n">
        <f aca="false">IF(C6190="MAT.",VLOOKUP(A6190,INSUMOS_AUX!$A$3:$H$813,6,0),0)</f>
        <v>0</v>
      </c>
      <c r="G6190" s="149" t="n">
        <f aca="false">IF(C6190="M.O.",VLOOKUP(A6190,INSUMOS_AUX!A:F,6,0),0)</f>
        <v>0</v>
      </c>
    </row>
    <row r="6191" customFormat="false" ht="15" hidden="false" customHeight="false" outlineLevel="0" collapsed="false">
      <c r="A6191" s="154" t="s">
        <v>2554</v>
      </c>
      <c r="B6191" s="155" t="s">
        <v>2555</v>
      </c>
      <c r="C6191" s="148" t="str">
        <f aca="false">VLOOKUP($A6191,INSUMOS_AUX!$A$3:$H$813,3,0)</f>
        <v>MAT.</v>
      </c>
      <c r="D6191" s="156" t="s">
        <v>31</v>
      </c>
      <c r="E6191" s="154" t="n">
        <v>1</v>
      </c>
      <c r="F6191" s="149" t="n">
        <f aca="false">IF(C6191="MAT.",VLOOKUP(A6191,INSUMOS_AUX!$A$3:$H$813,6,0),0)</f>
        <v>2892.90333333333</v>
      </c>
      <c r="G6191" s="149" t="n">
        <f aca="false">IF(C6191="M.O.",VLOOKUP(A6191,INSUMOS_AUX!A:F,6,0),0)</f>
        <v>0</v>
      </c>
    </row>
    <row r="6192" customFormat="false" ht="15" hidden="false" customHeight="false" outlineLevel="0" collapsed="false">
      <c r="A6192" s="154" t="n">
        <v>247</v>
      </c>
      <c r="B6192" s="155" t="s">
        <v>1554</v>
      </c>
      <c r="C6192" s="148" t="str">
        <f aca="false">VLOOKUP($A6192,INSUMOS_AUX!$A$3:$H$813,3,0)</f>
        <v>M.O.</v>
      </c>
      <c r="D6192" s="156" t="s">
        <v>1444</v>
      </c>
      <c r="E6192" s="154" t="n">
        <v>1.06429032</v>
      </c>
      <c r="F6192" s="149" t="n">
        <f aca="false">IF(C6192="MAT.",VLOOKUP(A6192,INSUMOS_AUX!$A$3:$H$813,6,0),0)</f>
        <v>0</v>
      </c>
      <c r="G6192" s="149" t="n">
        <f aca="false">IF(C6192="M.O.",VLOOKUP(A6192,INSUMOS_AUX!A:F,6,0),0)</f>
        <v>13.26</v>
      </c>
    </row>
    <row r="6193" customFormat="false" ht="15" hidden="false" customHeight="false" outlineLevel="0" collapsed="false">
      <c r="A6193" s="154" t="n">
        <v>2436</v>
      </c>
      <c r="B6193" s="155" t="s">
        <v>1557</v>
      </c>
      <c r="C6193" s="148" t="str">
        <f aca="false">VLOOKUP($A6193,INSUMOS_AUX!$A$3:$H$813,3,0)</f>
        <v>M.O.</v>
      </c>
      <c r="D6193" s="156" t="s">
        <v>1444</v>
      </c>
      <c r="E6193" s="154" t="n">
        <v>1.06429032</v>
      </c>
      <c r="F6193" s="149" t="n">
        <f aca="false">IF(C6193="MAT.",VLOOKUP(A6193,INSUMOS_AUX!$A$3:$H$813,6,0),0)</f>
        <v>0</v>
      </c>
      <c r="G6193" s="149" t="n">
        <f aca="false">IF(C6193="M.O.",VLOOKUP(A6193,INSUMOS_AUX!A:F,6,0),0)</f>
        <v>20.22</v>
      </c>
    </row>
    <row r="6194" customFormat="false" ht="21" hidden="false" customHeight="false" outlineLevel="0" collapsed="false">
      <c r="A6194" s="150" t="s">
        <v>1035</v>
      </c>
      <c r="B6194" s="151" t="s">
        <v>2556</v>
      </c>
      <c r="C6194" s="152" t="s">
        <v>59</v>
      </c>
      <c r="D6194" s="152" t="s">
        <v>31</v>
      </c>
      <c r="E6194" s="150"/>
      <c r="F6194" s="153" t="n">
        <f aca="false">(SUMPRODUCT($E6195:$E6203,F6195:F6203))*1</f>
        <v>37.7</v>
      </c>
      <c r="G6194" s="153" t="n">
        <f aca="false">(SUMPRODUCT($E6195:$E6203,G6195:G6203))*1</f>
        <v>86.823684</v>
      </c>
    </row>
    <row r="6195" customFormat="false" ht="21" hidden="false" customHeight="false" outlineLevel="0" collapsed="false">
      <c r="A6195" s="154" t="n">
        <v>37370</v>
      </c>
      <c r="B6195" s="155" t="s">
        <v>1443</v>
      </c>
      <c r="C6195" s="148" t="str">
        <f aca="false">VLOOKUP($A6195,INSUMOS_AUX!$A$3:$H$813,3,0)</f>
        <v>MAT.</v>
      </c>
      <c r="D6195" s="156" t="s">
        <v>1444</v>
      </c>
      <c r="E6195" s="154" t="n">
        <v>5</v>
      </c>
      <c r="F6195" s="149" t="n">
        <f aca="false">IF(C6195="MAT.",VLOOKUP(A6195,INSUMOS_AUX!$A$3:$H$813,6,0),0)</f>
        <v>3.32</v>
      </c>
      <c r="G6195" s="149" t="n">
        <f aca="false">IF(C6195="M.O.",VLOOKUP(A6195,INSUMOS_AUX!A:F,6,0),0)</f>
        <v>0</v>
      </c>
    </row>
    <row r="6196" customFormat="false" ht="21" hidden="false" customHeight="false" outlineLevel="0" collapsed="false">
      <c r="A6196" s="154" t="n">
        <v>43484</v>
      </c>
      <c r="B6196" s="155" t="s">
        <v>1523</v>
      </c>
      <c r="C6196" s="148" t="str">
        <f aca="false">VLOOKUP($A6196,INSUMOS_AUX!$A$3:$H$813,3,0)</f>
        <v>MAT.</v>
      </c>
      <c r="D6196" s="156" t="s">
        <v>1444</v>
      </c>
      <c r="E6196" s="154" t="n">
        <v>5</v>
      </c>
      <c r="F6196" s="149" t="n">
        <f aca="false">IF(C6196="MAT.",VLOOKUP(A6196,INSUMOS_AUX!$A$3:$H$813,6,0),0)</f>
        <v>1.26</v>
      </c>
      <c r="G6196" s="149" t="n">
        <f aca="false">IF(C6196="M.O.",VLOOKUP(A6196,INSUMOS_AUX!A:F,6,0),0)</f>
        <v>0</v>
      </c>
    </row>
    <row r="6197" customFormat="false" ht="21" hidden="false" customHeight="false" outlineLevel="0" collapsed="false">
      <c r="A6197" s="154" t="n">
        <v>37372</v>
      </c>
      <c r="B6197" s="155" t="s">
        <v>1446</v>
      </c>
      <c r="C6197" s="148" t="str">
        <f aca="false">VLOOKUP($A6197,INSUMOS_AUX!$A$3:$H$813,3,0)</f>
        <v>MAT.</v>
      </c>
      <c r="D6197" s="156" t="s">
        <v>1444</v>
      </c>
      <c r="E6197" s="154" t="n">
        <v>5</v>
      </c>
      <c r="F6197" s="149" t="n">
        <f aca="false">IF(C6197="MAT.",VLOOKUP(A6197,INSUMOS_AUX!$A$3:$H$813,6,0),0)</f>
        <v>1.43</v>
      </c>
      <c r="G6197" s="149" t="n">
        <f aca="false">IF(C6197="M.O.",VLOOKUP(A6197,INSUMOS_AUX!A:F,6,0),0)</f>
        <v>0</v>
      </c>
    </row>
    <row r="6198" customFormat="false" ht="21" hidden="false" customHeight="false" outlineLevel="0" collapsed="false">
      <c r="A6198" s="154" t="n">
        <v>43460</v>
      </c>
      <c r="B6198" s="155" t="s">
        <v>1524</v>
      </c>
      <c r="C6198" s="148" t="str">
        <f aca="false">VLOOKUP($A6198,INSUMOS_AUX!$A$3:$H$813,3,0)</f>
        <v>MAT.</v>
      </c>
      <c r="D6198" s="156" t="s">
        <v>1444</v>
      </c>
      <c r="E6198" s="154" t="n">
        <v>5</v>
      </c>
      <c r="F6198" s="149" t="n">
        <f aca="false">IF(C6198="MAT.",VLOOKUP(A6198,INSUMOS_AUX!$A$3:$H$813,6,0),0)</f>
        <v>0.86</v>
      </c>
      <c r="G6198" s="149" t="n">
        <f aca="false">IF(C6198="M.O.",VLOOKUP(A6198,INSUMOS_AUX!A:F,6,0),0)</f>
        <v>0</v>
      </c>
    </row>
    <row r="6199" customFormat="false" ht="21" hidden="false" customHeight="false" outlineLevel="0" collapsed="false">
      <c r="A6199" s="154" t="n">
        <v>37373</v>
      </c>
      <c r="B6199" s="155" t="s">
        <v>1448</v>
      </c>
      <c r="C6199" s="148" t="str">
        <f aca="false">VLOOKUP($A6199,INSUMOS_AUX!$A$3:$H$813,3,0)</f>
        <v>MAT.</v>
      </c>
      <c r="D6199" s="156" t="s">
        <v>1444</v>
      </c>
      <c r="E6199" s="154" t="n">
        <v>5</v>
      </c>
      <c r="F6199" s="149" t="n">
        <f aca="false">IF(C6199="MAT.",VLOOKUP(A6199,INSUMOS_AUX!$A$3:$H$813,6,0),0)</f>
        <v>0.08</v>
      </c>
      <c r="G6199" s="149" t="n">
        <f aca="false">IF(C6199="M.O.",VLOOKUP(A6199,INSUMOS_AUX!A:F,6,0),0)</f>
        <v>0</v>
      </c>
    </row>
    <row r="6200" customFormat="false" ht="21" hidden="false" customHeight="false" outlineLevel="0" collapsed="false">
      <c r="A6200" s="154" t="n">
        <v>37371</v>
      </c>
      <c r="B6200" s="155" t="s">
        <v>1449</v>
      </c>
      <c r="C6200" s="148" t="str">
        <f aca="false">VLOOKUP($A6200,INSUMOS_AUX!$A$3:$H$813,3,0)</f>
        <v>MAT.</v>
      </c>
      <c r="D6200" s="156" t="s">
        <v>1444</v>
      </c>
      <c r="E6200" s="154" t="n">
        <v>5</v>
      </c>
      <c r="F6200" s="149" t="n">
        <f aca="false">IF(C6200="MAT.",VLOOKUP(A6200,INSUMOS_AUX!$A$3:$H$813,6,0),0)</f>
        <v>0.59</v>
      </c>
      <c r="G6200" s="149" t="n">
        <f aca="false">IF(C6200="M.O.",VLOOKUP(A6200,INSUMOS_AUX!A:F,6,0),0)</f>
        <v>0</v>
      </c>
    </row>
    <row r="6201" customFormat="false" ht="21" hidden="false" customHeight="false" outlineLevel="0" collapsed="false">
      <c r="A6201" s="154" t="s">
        <v>2557</v>
      </c>
      <c r="B6201" s="155" t="s">
        <v>2558</v>
      </c>
      <c r="C6201" s="148" t="s">
        <v>59</v>
      </c>
      <c r="D6201" s="156" t="s">
        <v>31</v>
      </c>
      <c r="E6201" s="154" t="n">
        <v>1</v>
      </c>
      <c r="F6201" s="149" t="n">
        <f aca="false">IF(C6201="MAT.",VLOOKUP(A6201,INSUMOS_AUX!$A$3:$H$813,6,0),0)</f>
        <v>0</v>
      </c>
      <c r="G6201" s="149" t="n">
        <f aca="false">IF(C6201="M.O.",VLOOKUP(A6201,INSUMOS_AUX!A:F,6,0),0)</f>
        <v>0</v>
      </c>
    </row>
    <row r="6202" customFormat="false" ht="15" hidden="false" customHeight="false" outlineLevel="0" collapsed="false">
      <c r="A6202" s="154" t="n">
        <v>247</v>
      </c>
      <c r="B6202" s="155" t="s">
        <v>1554</v>
      </c>
      <c r="C6202" s="148" t="str">
        <f aca="false">VLOOKUP($A6202,INSUMOS_AUX!$A$3:$H$813,3,0)</f>
        <v>M.O.</v>
      </c>
      <c r="D6202" s="156" t="s">
        <v>1444</v>
      </c>
      <c r="E6202" s="154" t="n">
        <v>2.5933</v>
      </c>
      <c r="F6202" s="149" t="n">
        <f aca="false">IF(C6202="MAT.",VLOOKUP(A6202,INSUMOS_AUX!$A$3:$H$813,6,0),0)</f>
        <v>0</v>
      </c>
      <c r="G6202" s="149" t="n">
        <f aca="false">IF(C6202="M.O.",VLOOKUP(A6202,INSUMOS_AUX!A:F,6,0),0)</f>
        <v>13.26</v>
      </c>
    </row>
    <row r="6203" customFormat="false" ht="15" hidden="false" customHeight="false" outlineLevel="0" collapsed="false">
      <c r="A6203" s="154" t="n">
        <v>2436</v>
      </c>
      <c r="B6203" s="155" t="s">
        <v>1557</v>
      </c>
      <c r="C6203" s="148" t="str">
        <f aca="false">VLOOKUP($A6203,INSUMOS_AUX!$A$3:$H$813,3,0)</f>
        <v>M.O.</v>
      </c>
      <c r="D6203" s="156" t="s">
        <v>1444</v>
      </c>
      <c r="E6203" s="154" t="n">
        <v>2.5933</v>
      </c>
      <c r="F6203" s="149" t="n">
        <f aca="false">IF(C6203="MAT.",VLOOKUP(A6203,INSUMOS_AUX!$A$3:$H$813,6,0),0)</f>
        <v>0</v>
      </c>
      <c r="G6203" s="149" t="n">
        <f aca="false">IF(C6203="M.O.",VLOOKUP(A6203,INSUMOS_AUX!A:F,6,0),0)</f>
        <v>20.22</v>
      </c>
    </row>
    <row r="6204" customFormat="false" ht="21" hidden="false" customHeight="false" outlineLevel="0" collapsed="false">
      <c r="A6204" s="150" t="s">
        <v>1041</v>
      </c>
      <c r="B6204" s="151" t="s">
        <v>2559</v>
      </c>
      <c r="C6204" s="152" t="s">
        <v>59</v>
      </c>
      <c r="D6204" s="152" t="s">
        <v>1455</v>
      </c>
      <c r="E6204" s="150"/>
      <c r="F6204" s="153" t="n">
        <f aca="false">(SUMPRODUCT($E6205:$E6213,F6205:F6213))*1</f>
        <v>0.08294</v>
      </c>
      <c r="G6204" s="153" t="n">
        <f aca="false">(SUMPRODUCT($E6205:$E6213,G6205:G6213))*1</f>
        <v>0.1910121048</v>
      </c>
    </row>
    <row r="6205" customFormat="false" ht="21" hidden="false" customHeight="false" outlineLevel="0" collapsed="false">
      <c r="A6205" s="154" t="n">
        <v>37370</v>
      </c>
      <c r="B6205" s="155" t="s">
        <v>1443</v>
      </c>
      <c r="C6205" s="148" t="str">
        <f aca="false">VLOOKUP($A6205,INSUMOS_AUX!$A$3:$H$813,3,0)</f>
        <v>MAT.</v>
      </c>
      <c r="D6205" s="156" t="s">
        <v>1444</v>
      </c>
      <c r="E6205" s="154" t="n">
        <v>0.011</v>
      </c>
      <c r="F6205" s="149" t="n">
        <f aca="false">IF(C6205="MAT.",VLOOKUP(A6205,INSUMOS_AUX!$A$3:$H$813,6,0),0)</f>
        <v>3.32</v>
      </c>
      <c r="G6205" s="149" t="n">
        <f aca="false">IF(C6205="M.O.",VLOOKUP(A6205,INSUMOS_AUX!A:F,6,0),0)</f>
        <v>0</v>
      </c>
    </row>
    <row r="6206" customFormat="false" ht="21" hidden="false" customHeight="false" outlineLevel="0" collapsed="false">
      <c r="A6206" s="154" t="n">
        <v>43484</v>
      </c>
      <c r="B6206" s="155" t="s">
        <v>1523</v>
      </c>
      <c r="C6206" s="148" t="str">
        <f aca="false">VLOOKUP($A6206,INSUMOS_AUX!$A$3:$H$813,3,0)</f>
        <v>MAT.</v>
      </c>
      <c r="D6206" s="156" t="s">
        <v>1444</v>
      </c>
      <c r="E6206" s="154" t="n">
        <v>0.011</v>
      </c>
      <c r="F6206" s="149" t="n">
        <f aca="false">IF(C6206="MAT.",VLOOKUP(A6206,INSUMOS_AUX!$A$3:$H$813,6,0),0)</f>
        <v>1.26</v>
      </c>
      <c r="G6206" s="149" t="n">
        <f aca="false">IF(C6206="M.O.",VLOOKUP(A6206,INSUMOS_AUX!A:F,6,0),0)</f>
        <v>0</v>
      </c>
    </row>
    <row r="6207" customFormat="false" ht="21" hidden="false" customHeight="false" outlineLevel="0" collapsed="false">
      <c r="A6207" s="154" t="n">
        <v>37372</v>
      </c>
      <c r="B6207" s="155" t="s">
        <v>1446</v>
      </c>
      <c r="C6207" s="148" t="str">
        <f aca="false">VLOOKUP($A6207,INSUMOS_AUX!$A$3:$H$813,3,0)</f>
        <v>MAT.</v>
      </c>
      <c r="D6207" s="156" t="s">
        <v>1444</v>
      </c>
      <c r="E6207" s="154" t="n">
        <v>0.011</v>
      </c>
      <c r="F6207" s="149" t="n">
        <f aca="false">IF(C6207="MAT.",VLOOKUP(A6207,INSUMOS_AUX!$A$3:$H$813,6,0),0)</f>
        <v>1.43</v>
      </c>
      <c r="G6207" s="149" t="n">
        <f aca="false">IF(C6207="M.O.",VLOOKUP(A6207,INSUMOS_AUX!A:F,6,0),0)</f>
        <v>0</v>
      </c>
    </row>
    <row r="6208" customFormat="false" ht="21" hidden="false" customHeight="false" outlineLevel="0" collapsed="false">
      <c r="A6208" s="154" t="n">
        <v>43460</v>
      </c>
      <c r="B6208" s="155" t="s">
        <v>1524</v>
      </c>
      <c r="C6208" s="148" t="str">
        <f aca="false">VLOOKUP($A6208,INSUMOS_AUX!$A$3:$H$813,3,0)</f>
        <v>MAT.</v>
      </c>
      <c r="D6208" s="156" t="s">
        <v>1444</v>
      </c>
      <c r="E6208" s="154" t="n">
        <v>0.011</v>
      </c>
      <c r="F6208" s="149" t="n">
        <f aca="false">IF(C6208="MAT.",VLOOKUP(A6208,INSUMOS_AUX!$A$3:$H$813,6,0),0)</f>
        <v>0.86</v>
      </c>
      <c r="G6208" s="149" t="n">
        <f aca="false">IF(C6208="M.O.",VLOOKUP(A6208,INSUMOS_AUX!A:F,6,0),0)</f>
        <v>0</v>
      </c>
    </row>
    <row r="6209" customFormat="false" ht="21" hidden="false" customHeight="false" outlineLevel="0" collapsed="false">
      <c r="A6209" s="154" t="n">
        <v>37373</v>
      </c>
      <c r="B6209" s="155" t="s">
        <v>1448</v>
      </c>
      <c r="C6209" s="148" t="str">
        <f aca="false">VLOOKUP($A6209,INSUMOS_AUX!$A$3:$H$813,3,0)</f>
        <v>MAT.</v>
      </c>
      <c r="D6209" s="156" t="s">
        <v>1444</v>
      </c>
      <c r="E6209" s="154" t="n">
        <v>0.011</v>
      </c>
      <c r="F6209" s="149" t="n">
        <f aca="false">IF(C6209="MAT.",VLOOKUP(A6209,INSUMOS_AUX!$A$3:$H$813,6,0),0)</f>
        <v>0.08</v>
      </c>
      <c r="G6209" s="149" t="n">
        <f aca="false">IF(C6209="M.O.",VLOOKUP(A6209,INSUMOS_AUX!A:F,6,0),0)</f>
        <v>0</v>
      </c>
    </row>
    <row r="6210" customFormat="false" ht="21" hidden="false" customHeight="false" outlineLevel="0" collapsed="false">
      <c r="A6210" s="154" t="n">
        <v>37371</v>
      </c>
      <c r="B6210" s="155" t="s">
        <v>1449</v>
      </c>
      <c r="C6210" s="148" t="str">
        <f aca="false">VLOOKUP($A6210,INSUMOS_AUX!$A$3:$H$813,3,0)</f>
        <v>MAT.</v>
      </c>
      <c r="D6210" s="156" t="s">
        <v>1444</v>
      </c>
      <c r="E6210" s="154" t="n">
        <v>0.011</v>
      </c>
      <c r="F6210" s="149" t="n">
        <f aca="false">IF(C6210="MAT.",VLOOKUP(A6210,INSUMOS_AUX!$A$3:$H$813,6,0),0)</f>
        <v>0.59</v>
      </c>
      <c r="G6210" s="149" t="n">
        <f aca="false">IF(C6210="M.O.",VLOOKUP(A6210,INSUMOS_AUX!A:F,6,0),0)</f>
        <v>0</v>
      </c>
    </row>
    <row r="6211" customFormat="false" ht="21" hidden="false" customHeight="false" outlineLevel="0" collapsed="false">
      <c r="A6211" s="154" t="n">
        <v>39599</v>
      </c>
      <c r="B6211" s="155" t="s">
        <v>2560</v>
      </c>
      <c r="C6211" s="148" t="s">
        <v>59</v>
      </c>
      <c r="D6211" s="156" t="s">
        <v>1455</v>
      </c>
      <c r="E6211" s="154" t="n">
        <v>1.05</v>
      </c>
      <c r="F6211" s="149" t="n">
        <f aca="false">IF(C6211="MAT.",VLOOKUP(A6211,INSUMOS_AUX!$A$3:$H$813,6,0),0)</f>
        <v>0</v>
      </c>
      <c r="G6211" s="149" t="n">
        <f aca="false">IF(C6211="M.O.",VLOOKUP(A6211,INSUMOS_AUX!A:F,6,0),0)</f>
        <v>0</v>
      </c>
    </row>
    <row r="6212" customFormat="false" ht="15" hidden="false" customHeight="false" outlineLevel="0" collapsed="false">
      <c r="A6212" s="154" t="n">
        <v>247</v>
      </c>
      <c r="B6212" s="155" t="s">
        <v>1554</v>
      </c>
      <c r="C6212" s="148" t="str">
        <f aca="false">VLOOKUP($A6212,INSUMOS_AUX!$A$3:$H$813,3,0)</f>
        <v>M.O.</v>
      </c>
      <c r="D6212" s="156" t="s">
        <v>1444</v>
      </c>
      <c r="E6212" s="154" t="n">
        <v>0.00570526</v>
      </c>
      <c r="F6212" s="149" t="n">
        <f aca="false">IF(C6212="MAT.",VLOOKUP(A6212,INSUMOS_AUX!$A$3:$H$813,6,0),0)</f>
        <v>0</v>
      </c>
      <c r="G6212" s="149" t="n">
        <f aca="false">IF(C6212="M.O.",VLOOKUP(A6212,INSUMOS_AUX!A:F,6,0),0)</f>
        <v>13.26</v>
      </c>
    </row>
    <row r="6213" customFormat="false" ht="15" hidden="false" customHeight="false" outlineLevel="0" collapsed="false">
      <c r="A6213" s="154" t="n">
        <v>2436</v>
      </c>
      <c r="B6213" s="155" t="s">
        <v>1557</v>
      </c>
      <c r="C6213" s="148" t="str">
        <f aca="false">VLOOKUP($A6213,INSUMOS_AUX!$A$3:$H$813,3,0)</f>
        <v>M.O.</v>
      </c>
      <c r="D6213" s="156" t="s">
        <v>1444</v>
      </c>
      <c r="E6213" s="154" t="n">
        <v>0.00570526</v>
      </c>
      <c r="F6213" s="149" t="n">
        <f aca="false">IF(C6213="MAT.",VLOOKUP(A6213,INSUMOS_AUX!$A$3:$H$813,6,0),0)</f>
        <v>0</v>
      </c>
      <c r="G6213" s="149" t="n">
        <f aca="false">IF(C6213="M.O.",VLOOKUP(A6213,INSUMOS_AUX!A:F,6,0),0)</f>
        <v>20.22</v>
      </c>
    </row>
    <row r="6214" customFormat="false" ht="21" hidden="false" customHeight="false" outlineLevel="0" collapsed="false">
      <c r="A6214" s="150" t="s">
        <v>1044</v>
      </c>
      <c r="B6214" s="151" t="s">
        <v>2561</v>
      </c>
      <c r="C6214" s="152" t="s">
        <v>59</v>
      </c>
      <c r="D6214" s="152" t="s">
        <v>31</v>
      </c>
      <c r="E6214" s="150"/>
      <c r="F6214" s="153" t="n">
        <f aca="false">(SUMPRODUCT($E6215:$E6229,F6215:F6229))*1</f>
        <v>73.387275</v>
      </c>
      <c r="G6214" s="153" t="n">
        <f aca="false">(SUMPRODUCT($E6215:$E6229,G6215:G6229))*1</f>
        <v>14.98492285404</v>
      </c>
    </row>
    <row r="6215" customFormat="false" ht="21" hidden="false" customHeight="false" outlineLevel="0" collapsed="false">
      <c r="A6215" s="154" t="n">
        <v>37370</v>
      </c>
      <c r="B6215" s="155" t="s">
        <v>1443</v>
      </c>
      <c r="C6215" s="148" t="str">
        <f aca="false">VLOOKUP($A6215,INSUMOS_AUX!$A$3:$H$813,3,0)</f>
        <v>MAT.</v>
      </c>
      <c r="D6215" s="156" t="s">
        <v>1444</v>
      </c>
      <c r="E6215" s="154" t="n">
        <v>0.885978</v>
      </c>
      <c r="F6215" s="149" t="n">
        <f aca="false">IF(C6215="MAT.",VLOOKUP(A6215,INSUMOS_AUX!$A$3:$H$813,6,0),0)</f>
        <v>3.32</v>
      </c>
      <c r="G6215" s="149" t="n">
        <f aca="false">IF(C6215="M.O.",VLOOKUP(A6215,INSUMOS_AUX!A:F,6,0),0)</f>
        <v>0</v>
      </c>
    </row>
    <row r="6216" customFormat="false" ht="21" hidden="false" customHeight="false" outlineLevel="0" collapsed="false">
      <c r="A6216" s="154" t="n">
        <v>43484</v>
      </c>
      <c r="B6216" s="155" t="s">
        <v>1523</v>
      </c>
      <c r="C6216" s="148" t="str">
        <f aca="false">VLOOKUP($A6216,INSUMOS_AUX!$A$3:$H$813,3,0)</f>
        <v>MAT.</v>
      </c>
      <c r="D6216" s="156" t="s">
        <v>1444</v>
      </c>
      <c r="E6216" s="154" t="n">
        <v>0.7894</v>
      </c>
      <c r="F6216" s="149" t="n">
        <f aca="false">IF(C6216="MAT.",VLOOKUP(A6216,INSUMOS_AUX!$A$3:$H$813,6,0),0)</f>
        <v>1.26</v>
      </c>
      <c r="G6216" s="149" t="n">
        <f aca="false">IF(C6216="M.O.",VLOOKUP(A6216,INSUMOS_AUX!A:F,6,0),0)</f>
        <v>0</v>
      </c>
    </row>
    <row r="6217" customFormat="false" ht="21" hidden="false" customHeight="false" outlineLevel="0" collapsed="false">
      <c r="A6217" s="154" t="n">
        <v>43491</v>
      </c>
      <c r="B6217" s="155" t="s">
        <v>1457</v>
      </c>
      <c r="C6217" s="148" t="str">
        <f aca="false">VLOOKUP($A6217,INSUMOS_AUX!$A$3:$H$813,3,0)</f>
        <v>MAT.</v>
      </c>
      <c r="D6217" s="156" t="s">
        <v>1444</v>
      </c>
      <c r="E6217" s="154" t="n">
        <v>0.096578</v>
      </c>
      <c r="F6217" s="149" t="n">
        <f aca="false">IF(C6217="MAT.",VLOOKUP(A6217,INSUMOS_AUX!$A$3:$H$813,6,0),0)</f>
        <v>1.39</v>
      </c>
      <c r="G6217" s="149" t="n">
        <f aca="false">IF(C6217="M.O.",VLOOKUP(A6217,INSUMOS_AUX!A:F,6,0),0)</f>
        <v>0</v>
      </c>
    </row>
    <row r="6218" customFormat="false" ht="21" hidden="false" customHeight="false" outlineLevel="0" collapsed="false">
      <c r="A6218" s="154" t="n">
        <v>37372</v>
      </c>
      <c r="B6218" s="155" t="s">
        <v>1446</v>
      </c>
      <c r="C6218" s="148" t="str">
        <f aca="false">VLOOKUP($A6218,INSUMOS_AUX!$A$3:$H$813,3,0)</f>
        <v>MAT.</v>
      </c>
      <c r="D6218" s="156" t="s">
        <v>1444</v>
      </c>
      <c r="E6218" s="154" t="n">
        <v>0.885978</v>
      </c>
      <c r="F6218" s="149" t="n">
        <f aca="false">IF(C6218="MAT.",VLOOKUP(A6218,INSUMOS_AUX!$A$3:$H$813,6,0),0)</f>
        <v>1.43</v>
      </c>
      <c r="G6218" s="149" t="n">
        <f aca="false">IF(C6218="M.O.",VLOOKUP(A6218,INSUMOS_AUX!A:F,6,0),0)</f>
        <v>0</v>
      </c>
    </row>
    <row r="6219" customFormat="false" ht="21" hidden="false" customHeight="false" outlineLevel="0" collapsed="false">
      <c r="A6219" s="154" t="n">
        <v>43460</v>
      </c>
      <c r="B6219" s="155" t="s">
        <v>1524</v>
      </c>
      <c r="C6219" s="148" t="str">
        <f aca="false">VLOOKUP($A6219,INSUMOS_AUX!$A$3:$H$813,3,0)</f>
        <v>MAT.</v>
      </c>
      <c r="D6219" s="156" t="s">
        <v>1444</v>
      </c>
      <c r="E6219" s="154" t="n">
        <v>0.7894</v>
      </c>
      <c r="F6219" s="149" t="n">
        <f aca="false">IF(C6219="MAT.",VLOOKUP(A6219,INSUMOS_AUX!$A$3:$H$813,6,0),0)</f>
        <v>0.86</v>
      </c>
      <c r="G6219" s="149" t="n">
        <f aca="false">IF(C6219="M.O.",VLOOKUP(A6219,INSUMOS_AUX!A:F,6,0),0)</f>
        <v>0</v>
      </c>
    </row>
    <row r="6220" customFormat="false" ht="21" hidden="false" customHeight="false" outlineLevel="0" collapsed="false">
      <c r="A6220" s="154" t="n">
        <v>43467</v>
      </c>
      <c r="B6220" s="155" t="s">
        <v>1459</v>
      </c>
      <c r="C6220" s="148" t="str">
        <f aca="false">VLOOKUP($A6220,INSUMOS_AUX!$A$3:$H$813,3,0)</f>
        <v>MAT.</v>
      </c>
      <c r="D6220" s="156" t="s">
        <v>1444</v>
      </c>
      <c r="E6220" s="154" t="n">
        <v>0.096578</v>
      </c>
      <c r="F6220" s="149" t="n">
        <f aca="false">IF(C6220="MAT.",VLOOKUP(A6220,INSUMOS_AUX!$A$3:$H$813,6,0),0)</f>
        <v>0.61</v>
      </c>
      <c r="G6220" s="149" t="n">
        <f aca="false">IF(C6220="M.O.",VLOOKUP(A6220,INSUMOS_AUX!A:F,6,0),0)</f>
        <v>0</v>
      </c>
    </row>
    <row r="6221" customFormat="false" ht="21" hidden="false" customHeight="false" outlineLevel="0" collapsed="false">
      <c r="A6221" s="154" t="n">
        <v>37373</v>
      </c>
      <c r="B6221" s="155" t="s">
        <v>1448</v>
      </c>
      <c r="C6221" s="148" t="s">
        <v>59</v>
      </c>
      <c r="D6221" s="156" t="s">
        <v>1444</v>
      </c>
      <c r="E6221" s="154" t="n">
        <v>0.885978</v>
      </c>
      <c r="F6221" s="149" t="n">
        <f aca="false">IF(C6221="MAT.",VLOOKUP(A6221,INSUMOS_AUX!$A$3:$H$813,6,0),0)</f>
        <v>0</v>
      </c>
      <c r="G6221" s="149" t="n">
        <f aca="false">IF(C6221="M.O.",VLOOKUP(A6221,INSUMOS_AUX!A:F,6,0),0)</f>
        <v>0</v>
      </c>
    </row>
    <row r="6222" customFormat="false" ht="21" hidden="false" customHeight="false" outlineLevel="0" collapsed="false">
      <c r="A6222" s="154" t="n">
        <v>37371</v>
      </c>
      <c r="B6222" s="155" t="s">
        <v>1449</v>
      </c>
      <c r="C6222" s="148" t="str">
        <f aca="false">VLOOKUP($A6222,INSUMOS_AUX!$A$3:$H$813,3,0)</f>
        <v>MAT.</v>
      </c>
      <c r="D6222" s="156" t="s">
        <v>1444</v>
      </c>
      <c r="E6222" s="154" t="n">
        <v>0.885978</v>
      </c>
      <c r="F6222" s="149" t="n">
        <f aca="false">IF(C6222="MAT.",VLOOKUP(A6222,INSUMOS_AUX!$A$3:$H$813,6,0),0)</f>
        <v>0.59</v>
      </c>
      <c r="G6222" s="149" t="n">
        <f aca="false">IF(C6222="M.O.",VLOOKUP(A6222,INSUMOS_AUX!A:F,6,0),0)</f>
        <v>0</v>
      </c>
    </row>
    <row r="6223" customFormat="false" ht="21" hidden="false" customHeight="false" outlineLevel="0" collapsed="false">
      <c r="A6223" s="154" t="n">
        <v>370</v>
      </c>
      <c r="B6223" s="155" t="s">
        <v>1527</v>
      </c>
      <c r="C6223" s="148" t="str">
        <f aca="false">VLOOKUP($A6223,INSUMOS_AUX!$A$3:$H$813,3,0)</f>
        <v>MAT.</v>
      </c>
      <c r="D6223" s="156" t="s">
        <v>1442</v>
      </c>
      <c r="E6223" s="154" t="n">
        <v>0.009976</v>
      </c>
      <c r="F6223" s="149" t="n">
        <f aca="false">IF(C6223="MAT.",VLOOKUP(A6223,INSUMOS_AUX!$A$3:$H$813,6,0),0)</f>
        <v>150</v>
      </c>
      <c r="G6223" s="149" t="n">
        <f aca="false">IF(C6223="M.O.",VLOOKUP(A6223,INSUMOS_AUX!A:F,6,0),0)</f>
        <v>0</v>
      </c>
    </row>
    <row r="6224" customFormat="false" ht="21" hidden="false" customHeight="false" outlineLevel="0" collapsed="false">
      <c r="A6224" s="154" t="n">
        <v>39812</v>
      </c>
      <c r="B6224" s="155" t="s">
        <v>2562</v>
      </c>
      <c r="C6224" s="148" t="str">
        <f aca="false">VLOOKUP($A6224,INSUMOS_AUX!$A$3:$H$813,3,0)</f>
        <v>MAT.</v>
      </c>
      <c r="D6224" s="156" t="s">
        <v>31</v>
      </c>
      <c r="E6224" s="154" t="n">
        <v>1</v>
      </c>
      <c r="F6224" s="149" t="n">
        <f aca="false">IF(C6224="MAT.",VLOOKUP(A6224,INSUMOS_AUX!$A$3:$H$813,6,0),0)</f>
        <v>62.28</v>
      </c>
      <c r="G6224" s="149" t="n">
        <f aca="false">IF(C6224="M.O.",VLOOKUP(A6224,INSUMOS_AUX!A:F,6,0),0)</f>
        <v>0</v>
      </c>
    </row>
    <row r="6225" customFormat="false" ht="15" hidden="false" customHeight="false" outlineLevel="0" collapsed="false">
      <c r="A6225" s="154" t="n">
        <v>1106</v>
      </c>
      <c r="B6225" s="155" t="s">
        <v>1745</v>
      </c>
      <c r="C6225" s="148" t="str">
        <f aca="false">VLOOKUP($A6225,INSUMOS_AUX!$A$3:$H$813,3,0)</f>
        <v>MAT.</v>
      </c>
      <c r="D6225" s="156" t="s">
        <v>1513</v>
      </c>
      <c r="E6225" s="154" t="n">
        <v>1.00104</v>
      </c>
      <c r="F6225" s="149" t="n">
        <f aca="false">IF(C6225="MAT.",VLOOKUP(A6225,INSUMOS_AUX!$A$3:$H$813,6,0),0)</f>
        <v>1.39</v>
      </c>
      <c r="G6225" s="149" t="n">
        <f aca="false">IF(C6225="M.O.",VLOOKUP(A6225,INSUMOS_AUX!A:F,6,0),0)</f>
        <v>0</v>
      </c>
    </row>
    <row r="6226" customFormat="false" ht="15" hidden="false" customHeight="false" outlineLevel="0" collapsed="false">
      <c r="A6226" s="154" t="n">
        <v>1379</v>
      </c>
      <c r="B6226" s="155" t="s">
        <v>1535</v>
      </c>
      <c r="C6226" s="148" t="str">
        <f aca="false">VLOOKUP($A6226,INSUMOS_AUX!$A$3:$H$813,3,0)</f>
        <v>MAT.</v>
      </c>
      <c r="D6226" s="156" t="s">
        <v>1513</v>
      </c>
      <c r="E6226" s="154" t="n">
        <v>2.252254</v>
      </c>
      <c r="F6226" s="149" t="n">
        <f aca="false">IF(C6226="MAT.",VLOOKUP(A6226,INSUMOS_AUX!$A$3:$H$813,6,0),0)</f>
        <v>0.72</v>
      </c>
      <c r="G6226" s="149" t="n">
        <f aca="false">IF(C6226="M.O.",VLOOKUP(A6226,INSUMOS_AUX!A:F,6,0),0)</f>
        <v>0</v>
      </c>
    </row>
    <row r="6227" customFormat="false" ht="15" hidden="false" customHeight="false" outlineLevel="0" collapsed="false">
      <c r="A6227" s="154" t="n">
        <v>247</v>
      </c>
      <c r="B6227" s="155" t="s">
        <v>1554</v>
      </c>
      <c r="C6227" s="148" t="str">
        <f aca="false">VLOOKUP($A6227,INSUMOS_AUX!$A$3:$H$813,3,0)</f>
        <v>M.O.</v>
      </c>
      <c r="D6227" s="156" t="s">
        <v>1444</v>
      </c>
      <c r="E6227" s="154" t="n">
        <v>0.409430204</v>
      </c>
      <c r="F6227" s="149" t="n">
        <f aca="false">IF(C6227="MAT.",VLOOKUP(A6227,INSUMOS_AUX!$A$3:$H$813,6,0),0)</f>
        <v>0</v>
      </c>
      <c r="G6227" s="149" t="n">
        <f aca="false">IF(C6227="M.O.",VLOOKUP(A6227,INSUMOS_AUX!A:F,6,0),0)</f>
        <v>13.26</v>
      </c>
    </row>
    <row r="6228" customFormat="false" ht="15" hidden="false" customHeight="false" outlineLevel="0" collapsed="false">
      <c r="A6228" s="154" t="n">
        <v>2436</v>
      </c>
      <c r="B6228" s="155" t="s">
        <v>1557</v>
      </c>
      <c r="C6228" s="148" t="str">
        <f aca="false">VLOOKUP($A6228,INSUMOS_AUX!$A$3:$H$813,3,0)</f>
        <v>M.O.</v>
      </c>
      <c r="D6228" s="156" t="s">
        <v>1444</v>
      </c>
      <c r="E6228" s="154" t="n">
        <v>0.409430204</v>
      </c>
      <c r="F6228" s="149" t="n">
        <f aca="false">IF(C6228="MAT.",VLOOKUP(A6228,INSUMOS_AUX!$A$3:$H$813,6,0),0)</f>
        <v>0</v>
      </c>
      <c r="G6228" s="149" t="n">
        <f aca="false">IF(C6228="M.O.",VLOOKUP(A6228,INSUMOS_AUX!A:F,6,0),0)</f>
        <v>20.22</v>
      </c>
    </row>
    <row r="6229" customFormat="false" ht="15" hidden="false" customHeight="false" outlineLevel="0" collapsed="false">
      <c r="A6229" s="154" t="n">
        <v>6111</v>
      </c>
      <c r="B6229" s="155" t="s">
        <v>1464</v>
      </c>
      <c r="C6229" s="148" t="str">
        <f aca="false">VLOOKUP($A6229,INSUMOS_AUX!$A$3:$H$813,3,0)</f>
        <v>M.O.</v>
      </c>
      <c r="D6229" s="156" t="s">
        <v>1444</v>
      </c>
      <c r="E6229" s="154" t="n">
        <v>0.0986254536</v>
      </c>
      <c r="F6229" s="149" t="n">
        <f aca="false">IF(C6229="MAT.",VLOOKUP(A6229,INSUMOS_AUX!$A$3:$H$813,6,0),0)</f>
        <v>0</v>
      </c>
      <c r="G6229" s="149" t="n">
        <f aca="false">IF(C6229="M.O.",VLOOKUP(A6229,INSUMOS_AUX!A:F,6,0),0)</f>
        <v>12.95</v>
      </c>
    </row>
    <row r="6230" customFormat="false" ht="15" hidden="false" customHeight="false" outlineLevel="0" collapsed="false">
      <c r="A6230" s="150" t="s">
        <v>1047</v>
      </c>
      <c r="B6230" s="151" t="s">
        <v>2563</v>
      </c>
      <c r="C6230" s="152" t="s">
        <v>59</v>
      </c>
      <c r="D6230" s="152" t="s">
        <v>31</v>
      </c>
      <c r="E6230" s="150"/>
      <c r="F6230" s="153" t="n">
        <f aca="false">(SUMPRODUCT($E6231:$E6241,F6231:F6241))*1</f>
        <v>64.8432053333333</v>
      </c>
      <c r="G6230" s="153" t="n">
        <f aca="false">(SUMPRODUCT($E6231:$E6241,G6231:G6241))*1</f>
        <v>7.16121745632</v>
      </c>
    </row>
    <row r="6231" customFormat="false" ht="21" hidden="false" customHeight="false" outlineLevel="0" collapsed="false">
      <c r="A6231" s="154" t="n">
        <v>37370</v>
      </c>
      <c r="B6231" s="155" t="s">
        <v>1443</v>
      </c>
      <c r="C6231" s="148" t="str">
        <f aca="false">VLOOKUP($A6231,INSUMOS_AUX!$A$3:$H$813,3,0)</f>
        <v>MAT.</v>
      </c>
      <c r="D6231" s="156" t="s">
        <v>1444</v>
      </c>
      <c r="E6231" s="154" t="n">
        <v>0.4124</v>
      </c>
      <c r="F6231" s="149" t="n">
        <f aca="false">IF(C6231="MAT.",VLOOKUP(A6231,INSUMOS_AUX!$A$3:$H$813,6,0),0)</f>
        <v>3.32</v>
      </c>
      <c r="G6231" s="149" t="n">
        <f aca="false">IF(C6231="M.O.",VLOOKUP(A6231,INSUMOS_AUX!A:F,6,0),0)</f>
        <v>0</v>
      </c>
    </row>
    <row r="6232" customFormat="false" ht="21" hidden="false" customHeight="false" outlineLevel="0" collapsed="false">
      <c r="A6232" s="154" t="n">
        <v>43484</v>
      </c>
      <c r="B6232" s="155" t="s">
        <v>1523</v>
      </c>
      <c r="C6232" s="148" t="s">
        <v>59</v>
      </c>
      <c r="D6232" s="156" t="s">
        <v>1444</v>
      </c>
      <c r="E6232" s="154" t="n">
        <v>0.4124</v>
      </c>
      <c r="F6232" s="149" t="n">
        <f aca="false">IF(C6232="MAT.",VLOOKUP(A6232,INSUMOS_AUX!$A$3:$H$813,6,0),0)</f>
        <v>0</v>
      </c>
      <c r="G6232" s="149" t="n">
        <f aca="false">IF(C6232="M.O.",VLOOKUP(A6232,INSUMOS_AUX!A:F,6,0),0)</f>
        <v>0</v>
      </c>
    </row>
    <row r="6233" customFormat="false" ht="21" hidden="false" customHeight="false" outlineLevel="0" collapsed="false">
      <c r="A6233" s="154" t="n">
        <v>37372</v>
      </c>
      <c r="B6233" s="155" t="s">
        <v>1446</v>
      </c>
      <c r="C6233" s="148" t="str">
        <f aca="false">VLOOKUP($A6233,INSUMOS_AUX!$A$3:$H$813,3,0)</f>
        <v>MAT.</v>
      </c>
      <c r="D6233" s="156" t="s">
        <v>1444</v>
      </c>
      <c r="E6233" s="154" t="n">
        <v>0.4124</v>
      </c>
      <c r="F6233" s="149" t="n">
        <f aca="false">IF(C6233="MAT.",VLOOKUP(A6233,INSUMOS_AUX!$A$3:$H$813,6,0),0)</f>
        <v>1.43</v>
      </c>
      <c r="G6233" s="149" t="n">
        <f aca="false">IF(C6233="M.O.",VLOOKUP(A6233,INSUMOS_AUX!A:F,6,0),0)</f>
        <v>0</v>
      </c>
    </row>
    <row r="6234" customFormat="false" ht="21" hidden="false" customHeight="false" outlineLevel="0" collapsed="false">
      <c r="A6234" s="154" t="n">
        <v>43460</v>
      </c>
      <c r="B6234" s="155" t="s">
        <v>1524</v>
      </c>
      <c r="C6234" s="148" t="str">
        <f aca="false">VLOOKUP($A6234,INSUMOS_AUX!$A$3:$H$813,3,0)</f>
        <v>MAT.</v>
      </c>
      <c r="D6234" s="156" t="s">
        <v>1444</v>
      </c>
      <c r="E6234" s="154" t="n">
        <v>0.4124</v>
      </c>
      <c r="F6234" s="149" t="n">
        <f aca="false">IF(C6234="MAT.",VLOOKUP(A6234,INSUMOS_AUX!$A$3:$H$813,6,0),0)</f>
        <v>0.86</v>
      </c>
      <c r="G6234" s="149" t="n">
        <f aca="false">IF(C6234="M.O.",VLOOKUP(A6234,INSUMOS_AUX!A:F,6,0),0)</f>
        <v>0</v>
      </c>
    </row>
    <row r="6235" customFormat="false" ht="21" hidden="false" customHeight="false" outlineLevel="0" collapsed="false">
      <c r="A6235" s="154" t="n">
        <v>37373</v>
      </c>
      <c r="B6235" s="155" t="s">
        <v>1448</v>
      </c>
      <c r="C6235" s="148" t="str">
        <f aca="false">VLOOKUP($A6235,INSUMOS_AUX!$A$3:$H$813,3,0)</f>
        <v>MAT.</v>
      </c>
      <c r="D6235" s="156" t="s">
        <v>1444</v>
      </c>
      <c r="E6235" s="154" t="n">
        <v>0.4124</v>
      </c>
      <c r="F6235" s="149" t="n">
        <f aca="false">IF(C6235="MAT.",VLOOKUP(A6235,INSUMOS_AUX!$A$3:$H$813,6,0),0)</f>
        <v>0.08</v>
      </c>
      <c r="G6235" s="149" t="n">
        <f aca="false">IF(C6235="M.O.",VLOOKUP(A6235,INSUMOS_AUX!A:F,6,0),0)</f>
        <v>0</v>
      </c>
    </row>
    <row r="6236" customFormat="false" ht="21" hidden="false" customHeight="false" outlineLevel="0" collapsed="false">
      <c r="A6236" s="154" t="n">
        <v>37371</v>
      </c>
      <c r="B6236" s="155" t="s">
        <v>1449</v>
      </c>
      <c r="C6236" s="148" t="str">
        <f aca="false">VLOOKUP($A6236,INSUMOS_AUX!$A$3:$H$813,3,0)</f>
        <v>MAT.</v>
      </c>
      <c r="D6236" s="156" t="s">
        <v>1444</v>
      </c>
      <c r="E6236" s="154" t="n">
        <v>0.4124</v>
      </c>
      <c r="F6236" s="149" t="n">
        <f aca="false">IF(C6236="MAT.",VLOOKUP(A6236,INSUMOS_AUX!$A$3:$H$813,6,0),0)</f>
        <v>0.59</v>
      </c>
      <c r="G6236" s="149" t="n">
        <f aca="false">IF(C6236="M.O.",VLOOKUP(A6236,INSUMOS_AUX!A:F,6,0),0)</f>
        <v>0</v>
      </c>
    </row>
    <row r="6237" customFormat="false" ht="21" hidden="false" customHeight="false" outlineLevel="0" collapsed="false">
      <c r="A6237" s="154" t="n">
        <v>38094</v>
      </c>
      <c r="B6237" s="155" t="s">
        <v>1541</v>
      </c>
      <c r="C6237" s="148" t="str">
        <f aca="false">VLOOKUP($A6237,INSUMOS_AUX!$A$3:$H$813,3,0)</f>
        <v>MAT.</v>
      </c>
      <c r="D6237" s="156" t="s">
        <v>31</v>
      </c>
      <c r="E6237" s="154" t="n">
        <v>1</v>
      </c>
      <c r="F6237" s="149" t="n">
        <f aca="false">IF(C6237="MAT.",VLOOKUP(A6237,INSUMOS_AUX!$A$3:$H$813,6,0),0)</f>
        <v>2.62</v>
      </c>
      <c r="G6237" s="149" t="n">
        <f aca="false">IF(C6237="M.O.",VLOOKUP(A6237,INSUMOS_AUX!A:F,6,0),0)</f>
        <v>0</v>
      </c>
    </row>
    <row r="6238" customFormat="false" ht="31.5" hidden="false" customHeight="false" outlineLevel="0" collapsed="false">
      <c r="A6238" s="154" t="n">
        <v>38099</v>
      </c>
      <c r="B6238" s="155" t="s">
        <v>1549</v>
      </c>
      <c r="C6238" s="148" t="str">
        <f aca="false">VLOOKUP($A6238,INSUMOS_AUX!$A$3:$H$813,3,0)</f>
        <v>MAT.</v>
      </c>
      <c r="D6238" s="156" t="s">
        <v>31</v>
      </c>
      <c r="E6238" s="154" t="n">
        <v>1</v>
      </c>
      <c r="F6238" s="149" t="n">
        <f aca="false">IF(C6238="MAT.",VLOOKUP(A6238,INSUMOS_AUX!$A$3:$H$813,6,0),0)</f>
        <v>1.36</v>
      </c>
      <c r="G6238" s="149" t="n">
        <f aca="false">IF(C6238="M.O.",VLOOKUP(A6238,INSUMOS_AUX!A:F,6,0),0)</f>
        <v>0</v>
      </c>
    </row>
    <row r="6239" customFormat="false" ht="15" hidden="false" customHeight="false" outlineLevel="0" collapsed="false">
      <c r="A6239" s="154" t="s">
        <v>2564</v>
      </c>
      <c r="B6239" s="155" t="s">
        <v>2565</v>
      </c>
      <c r="C6239" s="148" t="str">
        <f aca="false">VLOOKUP($A6239,INSUMOS_AUX!$A$3:$H$813,3,0)</f>
        <v>MAT.</v>
      </c>
      <c r="D6239" s="156" t="s">
        <v>31</v>
      </c>
      <c r="E6239" s="154" t="n">
        <v>2</v>
      </c>
      <c r="F6239" s="149" t="n">
        <f aca="false">IF(C6239="MAT.",VLOOKUP(A6239,INSUMOS_AUX!$A$3:$H$813,6,0),0)</f>
        <v>29.1366666666667</v>
      </c>
      <c r="G6239" s="149" t="n">
        <f aca="false">IF(C6239="M.O.",VLOOKUP(A6239,INSUMOS_AUX!A:F,6,0),0)</f>
        <v>0</v>
      </c>
    </row>
    <row r="6240" customFormat="false" ht="15" hidden="false" customHeight="false" outlineLevel="0" collapsed="false">
      <c r="A6240" s="154" t="n">
        <v>247</v>
      </c>
      <c r="B6240" s="155" t="s">
        <v>1554</v>
      </c>
      <c r="C6240" s="148" t="str">
        <f aca="false">VLOOKUP($A6240,INSUMOS_AUX!$A$3:$H$813,3,0)</f>
        <v>M.O.</v>
      </c>
      <c r="D6240" s="156" t="s">
        <v>1444</v>
      </c>
      <c r="E6240" s="154" t="n">
        <v>0.213895384</v>
      </c>
      <c r="F6240" s="149" t="n">
        <f aca="false">IF(C6240="MAT.",VLOOKUP(A6240,INSUMOS_AUX!$A$3:$H$813,6,0),0)</f>
        <v>0</v>
      </c>
      <c r="G6240" s="149" t="n">
        <f aca="false">IF(C6240="M.O.",VLOOKUP(A6240,INSUMOS_AUX!A:F,6,0),0)</f>
        <v>13.26</v>
      </c>
    </row>
    <row r="6241" customFormat="false" ht="15" hidden="false" customHeight="false" outlineLevel="0" collapsed="false">
      <c r="A6241" s="154" t="n">
        <v>2436</v>
      </c>
      <c r="B6241" s="155" t="s">
        <v>1557</v>
      </c>
      <c r="C6241" s="148" t="str">
        <f aca="false">VLOOKUP($A6241,INSUMOS_AUX!$A$3:$H$813,3,0)</f>
        <v>M.O.</v>
      </c>
      <c r="D6241" s="156" t="s">
        <v>1444</v>
      </c>
      <c r="E6241" s="154" t="n">
        <v>0.213895384</v>
      </c>
      <c r="F6241" s="149" t="n">
        <f aca="false">IF(C6241="MAT.",VLOOKUP(A6241,INSUMOS_AUX!$A$3:$H$813,6,0),0)</f>
        <v>0</v>
      </c>
      <c r="G6241" s="149" t="n">
        <f aca="false">IF(C6241="M.O.",VLOOKUP(A6241,INSUMOS_AUX!A:F,6,0),0)</f>
        <v>20.22</v>
      </c>
    </row>
    <row r="6242" customFormat="false" ht="31.5" hidden="false" customHeight="false" outlineLevel="0" collapsed="false">
      <c r="A6242" s="150" t="s">
        <v>1052</v>
      </c>
      <c r="B6242" s="151" t="s">
        <v>2566</v>
      </c>
      <c r="C6242" s="152" t="s">
        <v>59</v>
      </c>
      <c r="D6242" s="152" t="s">
        <v>31</v>
      </c>
      <c r="E6242" s="150"/>
      <c r="F6242" s="153" t="n">
        <f aca="false">(SUMPRODUCT($E6243:$E6253,F6243:F6253))*1</f>
        <v>64.8384213333334</v>
      </c>
      <c r="G6242" s="153" t="n">
        <f aca="false">(SUMPRODUCT($E6243:$E6253,G6243:G6253))*1</f>
        <v>6.67385962464</v>
      </c>
    </row>
    <row r="6243" customFormat="false" ht="21" hidden="false" customHeight="false" outlineLevel="0" collapsed="false">
      <c r="A6243" s="154" t="n">
        <v>37370</v>
      </c>
      <c r="B6243" s="155" t="s">
        <v>1443</v>
      </c>
      <c r="C6243" s="148" t="s">
        <v>59</v>
      </c>
      <c r="D6243" s="156" t="s">
        <v>1444</v>
      </c>
      <c r="E6243" s="154" t="n">
        <v>0.9704</v>
      </c>
      <c r="F6243" s="149" t="n">
        <f aca="false">IF(C6243="MAT.",VLOOKUP(A6243,INSUMOS_AUX!$A$3:$H$813,6,0),0)</f>
        <v>0</v>
      </c>
      <c r="G6243" s="149" t="n">
        <f aca="false">IF(C6243="M.O.",VLOOKUP(A6243,INSUMOS_AUX!A:F,6,0),0)</f>
        <v>0</v>
      </c>
    </row>
    <row r="6244" customFormat="false" ht="21" hidden="false" customHeight="false" outlineLevel="0" collapsed="false">
      <c r="A6244" s="154" t="n">
        <v>43484</v>
      </c>
      <c r="B6244" s="155" t="s">
        <v>1523</v>
      </c>
      <c r="C6244" s="148" t="str">
        <f aca="false">VLOOKUP($A6244,INSUMOS_AUX!$A$3:$H$813,3,0)</f>
        <v>MAT.</v>
      </c>
      <c r="D6244" s="156" t="s">
        <v>1444</v>
      </c>
      <c r="E6244" s="154" t="n">
        <v>0.9704</v>
      </c>
      <c r="F6244" s="149" t="n">
        <f aca="false">IF(C6244="MAT.",VLOOKUP(A6244,INSUMOS_AUX!$A$3:$H$813,6,0),0)</f>
        <v>1.26</v>
      </c>
      <c r="G6244" s="149" t="n">
        <f aca="false">IF(C6244="M.O.",VLOOKUP(A6244,INSUMOS_AUX!A:F,6,0),0)</f>
        <v>0</v>
      </c>
    </row>
    <row r="6245" customFormat="false" ht="21" hidden="false" customHeight="false" outlineLevel="0" collapsed="false">
      <c r="A6245" s="154" t="n">
        <v>37372</v>
      </c>
      <c r="B6245" s="155" t="s">
        <v>1446</v>
      </c>
      <c r="C6245" s="148" t="str">
        <f aca="false">VLOOKUP($A6245,INSUMOS_AUX!$A$3:$H$813,3,0)</f>
        <v>MAT.</v>
      </c>
      <c r="D6245" s="156" t="s">
        <v>1444</v>
      </c>
      <c r="E6245" s="154" t="n">
        <v>0.9704</v>
      </c>
      <c r="F6245" s="149" t="n">
        <f aca="false">IF(C6245="MAT.",VLOOKUP(A6245,INSUMOS_AUX!$A$3:$H$813,6,0),0)</f>
        <v>1.43</v>
      </c>
      <c r="G6245" s="149" t="n">
        <f aca="false">IF(C6245="M.O.",VLOOKUP(A6245,INSUMOS_AUX!A:F,6,0),0)</f>
        <v>0</v>
      </c>
    </row>
    <row r="6246" customFormat="false" ht="21" hidden="false" customHeight="false" outlineLevel="0" collapsed="false">
      <c r="A6246" s="154" t="n">
        <v>43460</v>
      </c>
      <c r="B6246" s="155" t="s">
        <v>1524</v>
      </c>
      <c r="C6246" s="148" t="str">
        <f aca="false">VLOOKUP($A6246,INSUMOS_AUX!$A$3:$H$813,3,0)</f>
        <v>MAT.</v>
      </c>
      <c r="D6246" s="156" t="s">
        <v>1444</v>
      </c>
      <c r="E6246" s="154" t="n">
        <v>0.9704</v>
      </c>
      <c r="F6246" s="149" t="n">
        <f aca="false">IF(C6246="MAT.",VLOOKUP(A6246,INSUMOS_AUX!$A$3:$H$813,6,0),0)</f>
        <v>0.86</v>
      </c>
      <c r="G6246" s="149" t="n">
        <f aca="false">IF(C6246="M.O.",VLOOKUP(A6246,INSUMOS_AUX!A:F,6,0),0)</f>
        <v>0</v>
      </c>
    </row>
    <row r="6247" customFormat="false" ht="21" hidden="false" customHeight="false" outlineLevel="0" collapsed="false">
      <c r="A6247" s="154" t="n">
        <v>37373</v>
      </c>
      <c r="B6247" s="155" t="s">
        <v>1448</v>
      </c>
      <c r="C6247" s="148" t="str">
        <f aca="false">VLOOKUP($A6247,INSUMOS_AUX!$A$3:$H$813,3,0)</f>
        <v>MAT.</v>
      </c>
      <c r="D6247" s="156" t="s">
        <v>1444</v>
      </c>
      <c r="E6247" s="154" t="n">
        <v>0.9704</v>
      </c>
      <c r="F6247" s="149" t="n">
        <f aca="false">IF(C6247="MAT.",VLOOKUP(A6247,INSUMOS_AUX!$A$3:$H$813,6,0),0)</f>
        <v>0.08</v>
      </c>
      <c r="G6247" s="149" t="n">
        <f aca="false">IF(C6247="M.O.",VLOOKUP(A6247,INSUMOS_AUX!A:F,6,0),0)</f>
        <v>0</v>
      </c>
    </row>
    <row r="6248" customFormat="false" ht="21" hidden="false" customHeight="false" outlineLevel="0" collapsed="false">
      <c r="A6248" s="154" t="n">
        <v>37371</v>
      </c>
      <c r="B6248" s="155" t="s">
        <v>1449</v>
      </c>
      <c r="C6248" s="148" t="str">
        <f aca="false">VLOOKUP($A6248,INSUMOS_AUX!$A$3:$H$813,3,0)</f>
        <v>MAT.</v>
      </c>
      <c r="D6248" s="156" t="s">
        <v>1444</v>
      </c>
      <c r="E6248" s="154" t="n">
        <v>0.9704</v>
      </c>
      <c r="F6248" s="149" t="n">
        <f aca="false">IF(C6248="MAT.",VLOOKUP(A6248,INSUMOS_AUX!$A$3:$H$813,6,0),0)</f>
        <v>0.59</v>
      </c>
      <c r="G6248" s="149" t="n">
        <f aca="false">IF(C6248="M.O.",VLOOKUP(A6248,INSUMOS_AUX!A:F,6,0),0)</f>
        <v>0</v>
      </c>
    </row>
    <row r="6249" customFormat="false" ht="21" hidden="false" customHeight="false" outlineLevel="0" collapsed="false">
      <c r="A6249" s="154" t="s">
        <v>2567</v>
      </c>
      <c r="B6249" s="155" t="s">
        <v>2568</v>
      </c>
      <c r="C6249" s="148" t="str">
        <f aca="false">VLOOKUP($A6249,INSUMOS_AUX!$A$3:$H$813,3,0)</f>
        <v>MAT.</v>
      </c>
      <c r="D6249" s="156" t="s">
        <v>31</v>
      </c>
      <c r="E6249" s="154" t="n">
        <v>1</v>
      </c>
      <c r="F6249" s="149" t="n">
        <f aca="false">IF(C6249="MAT.",VLOOKUP(A6249,INSUMOS_AUX!$A$3:$H$813,6,0),0)</f>
        <v>37.8766666666667</v>
      </c>
      <c r="G6249" s="149" t="n">
        <f aca="false">IF(C6249="M.O.",VLOOKUP(A6249,INSUMOS_AUX!A:F,6,0),0)</f>
        <v>0</v>
      </c>
    </row>
    <row r="6250" customFormat="false" ht="31.5" hidden="false" customHeight="false" outlineLevel="0" collapsed="false">
      <c r="A6250" s="154" t="n">
        <v>13246</v>
      </c>
      <c r="B6250" s="155" t="s">
        <v>1811</v>
      </c>
      <c r="C6250" s="148" t="str">
        <f aca="false">VLOOKUP($A6250,INSUMOS_AUX!$A$3:$H$813,3,0)</f>
        <v>MAT.</v>
      </c>
      <c r="D6250" s="156" t="s">
        <v>31</v>
      </c>
      <c r="E6250" s="154" t="n">
        <v>16.8</v>
      </c>
      <c r="F6250" s="149" t="n">
        <f aca="false">IF(C6250="MAT.",VLOOKUP(A6250,INSUMOS_AUX!$A$3:$H$813,6,0),0)</f>
        <v>0.5</v>
      </c>
      <c r="G6250" s="149" t="n">
        <f aca="false">IF(C6250="M.O.",VLOOKUP(A6250,INSUMOS_AUX!A:F,6,0),0)</f>
        <v>0</v>
      </c>
    </row>
    <row r="6251" customFormat="false" ht="21" hidden="false" customHeight="false" outlineLevel="0" collapsed="false">
      <c r="A6251" s="154" t="s">
        <v>2426</v>
      </c>
      <c r="B6251" s="155" t="s">
        <v>2427</v>
      </c>
      <c r="C6251" s="148" t="str">
        <f aca="false">VLOOKUP($A6251,INSUMOS_AUX!$A$3:$H$813,3,0)</f>
        <v>MAT.</v>
      </c>
      <c r="D6251" s="156" t="s">
        <v>31</v>
      </c>
      <c r="E6251" s="154" t="n">
        <v>4</v>
      </c>
      <c r="F6251" s="149" t="n">
        <f aca="false">IF(C6251="MAT.",VLOOKUP(A6251,INSUMOS_AUX!$A$3:$H$813,6,0),0)</f>
        <v>3.61666666666667</v>
      </c>
      <c r="G6251" s="149" t="n">
        <f aca="false">IF(C6251="M.O.",VLOOKUP(A6251,INSUMOS_AUX!A:F,6,0),0)</f>
        <v>0</v>
      </c>
    </row>
    <row r="6252" customFormat="false" ht="15" hidden="false" customHeight="false" outlineLevel="0" collapsed="false">
      <c r="A6252" s="154" t="n">
        <v>247</v>
      </c>
      <c r="B6252" s="155" t="s">
        <v>1554</v>
      </c>
      <c r="C6252" s="148" t="str">
        <f aca="false">VLOOKUP($A6252,INSUMOS_AUX!$A$3:$H$813,3,0)</f>
        <v>M.O.</v>
      </c>
      <c r="D6252" s="156" t="s">
        <v>1444</v>
      </c>
      <c r="E6252" s="154" t="n">
        <v>0.503307664</v>
      </c>
      <c r="F6252" s="149" t="n">
        <f aca="false">IF(C6252="MAT.",VLOOKUP(A6252,INSUMOS_AUX!$A$3:$H$813,6,0),0)</f>
        <v>0</v>
      </c>
      <c r="G6252" s="149" t="n">
        <f aca="false">IF(C6252="M.O.",VLOOKUP(A6252,INSUMOS_AUX!A:F,6,0),0)</f>
        <v>13.26</v>
      </c>
    </row>
    <row r="6253" customFormat="false" ht="15" hidden="false" customHeight="false" outlineLevel="0" collapsed="false">
      <c r="A6253" s="154" t="n">
        <v>2436</v>
      </c>
      <c r="B6253" s="155" t="s">
        <v>1557</v>
      </c>
      <c r="C6253" s="148" t="s">
        <v>59</v>
      </c>
      <c r="D6253" s="156" t="s">
        <v>1444</v>
      </c>
      <c r="E6253" s="154" t="n">
        <v>0.503307664</v>
      </c>
      <c r="F6253" s="149" t="n">
        <f aca="false">IF(C6253="MAT.",VLOOKUP(A6253,INSUMOS_AUX!$A$3:$H$813,6,0),0)</f>
        <v>0</v>
      </c>
      <c r="G6253" s="149" t="n">
        <f aca="false">IF(C6253="M.O.",VLOOKUP(A6253,INSUMOS_AUX!A:F,6,0),0)</f>
        <v>0</v>
      </c>
    </row>
    <row r="6254" customFormat="false" ht="31.5" hidden="false" customHeight="false" outlineLevel="0" collapsed="false">
      <c r="A6254" s="150" t="s">
        <v>1054</v>
      </c>
      <c r="B6254" s="151" t="s">
        <v>2569</v>
      </c>
      <c r="C6254" s="152" t="s">
        <v>59</v>
      </c>
      <c r="D6254" s="152" t="s">
        <v>31</v>
      </c>
      <c r="E6254" s="150"/>
      <c r="F6254" s="153" t="n">
        <f aca="false">(SUMPRODUCT($E6255:$E6265,F6255:F6265))*1</f>
        <v>38.556816</v>
      </c>
      <c r="G6254" s="153" t="n">
        <f aca="false">(SUMPRODUCT($E6255:$E6265,G6255:G6265))*1</f>
        <v>16.85074059072</v>
      </c>
    </row>
    <row r="6255" customFormat="false" ht="21" hidden="false" customHeight="false" outlineLevel="0" collapsed="false">
      <c r="A6255" s="154" t="n">
        <v>37370</v>
      </c>
      <c r="B6255" s="155" t="s">
        <v>1443</v>
      </c>
      <c r="C6255" s="148" t="str">
        <f aca="false">VLOOKUP($A6255,INSUMOS_AUX!$A$3:$H$813,3,0)</f>
        <v>MAT.</v>
      </c>
      <c r="D6255" s="156" t="s">
        <v>1444</v>
      </c>
      <c r="E6255" s="154" t="n">
        <v>0.9704</v>
      </c>
      <c r="F6255" s="149" t="n">
        <f aca="false">IF(C6255="MAT.",VLOOKUP(A6255,INSUMOS_AUX!$A$3:$H$813,6,0),0)</f>
        <v>3.32</v>
      </c>
      <c r="G6255" s="149" t="n">
        <f aca="false">IF(C6255="M.O.",VLOOKUP(A6255,INSUMOS_AUX!A:F,6,0),0)</f>
        <v>0</v>
      </c>
    </row>
    <row r="6256" customFormat="false" ht="21" hidden="false" customHeight="false" outlineLevel="0" collapsed="false">
      <c r="A6256" s="154" t="n">
        <v>43484</v>
      </c>
      <c r="B6256" s="155" t="s">
        <v>1523</v>
      </c>
      <c r="C6256" s="148" t="str">
        <f aca="false">VLOOKUP($A6256,INSUMOS_AUX!$A$3:$H$813,3,0)</f>
        <v>MAT.</v>
      </c>
      <c r="D6256" s="156" t="s">
        <v>1444</v>
      </c>
      <c r="E6256" s="154" t="n">
        <v>0.9704</v>
      </c>
      <c r="F6256" s="149" t="n">
        <f aca="false">IF(C6256="MAT.",VLOOKUP(A6256,INSUMOS_AUX!$A$3:$H$813,6,0),0)</f>
        <v>1.26</v>
      </c>
      <c r="G6256" s="149" t="n">
        <f aca="false">IF(C6256="M.O.",VLOOKUP(A6256,INSUMOS_AUX!A:F,6,0),0)</f>
        <v>0</v>
      </c>
    </row>
    <row r="6257" customFormat="false" ht="21" hidden="false" customHeight="false" outlineLevel="0" collapsed="false">
      <c r="A6257" s="154" t="n">
        <v>37372</v>
      </c>
      <c r="B6257" s="155" t="s">
        <v>1446</v>
      </c>
      <c r="C6257" s="148" t="str">
        <f aca="false">VLOOKUP($A6257,INSUMOS_AUX!$A$3:$H$813,3,0)</f>
        <v>MAT.</v>
      </c>
      <c r="D6257" s="156" t="s">
        <v>1444</v>
      </c>
      <c r="E6257" s="154" t="n">
        <v>0.9704</v>
      </c>
      <c r="F6257" s="149" t="n">
        <f aca="false">IF(C6257="MAT.",VLOOKUP(A6257,INSUMOS_AUX!$A$3:$H$813,6,0),0)</f>
        <v>1.43</v>
      </c>
      <c r="G6257" s="149" t="n">
        <f aca="false">IF(C6257="M.O.",VLOOKUP(A6257,INSUMOS_AUX!A:F,6,0),0)</f>
        <v>0</v>
      </c>
    </row>
    <row r="6258" customFormat="false" ht="21" hidden="false" customHeight="false" outlineLevel="0" collapsed="false">
      <c r="A6258" s="154" t="n">
        <v>43460</v>
      </c>
      <c r="B6258" s="155" t="s">
        <v>1524</v>
      </c>
      <c r="C6258" s="148" t="str">
        <f aca="false">VLOOKUP($A6258,INSUMOS_AUX!$A$3:$H$813,3,0)</f>
        <v>MAT.</v>
      </c>
      <c r="D6258" s="156" t="s">
        <v>1444</v>
      </c>
      <c r="E6258" s="154" t="n">
        <v>0.9704</v>
      </c>
      <c r="F6258" s="149" t="n">
        <f aca="false">IF(C6258="MAT.",VLOOKUP(A6258,INSUMOS_AUX!$A$3:$H$813,6,0),0)</f>
        <v>0.86</v>
      </c>
      <c r="G6258" s="149" t="n">
        <f aca="false">IF(C6258="M.O.",VLOOKUP(A6258,INSUMOS_AUX!A:F,6,0),0)</f>
        <v>0</v>
      </c>
    </row>
    <row r="6259" customFormat="false" ht="21" hidden="false" customHeight="false" outlineLevel="0" collapsed="false">
      <c r="A6259" s="154" t="n">
        <v>37373</v>
      </c>
      <c r="B6259" s="155" t="s">
        <v>1448</v>
      </c>
      <c r="C6259" s="148" t="str">
        <f aca="false">VLOOKUP($A6259,INSUMOS_AUX!$A$3:$H$813,3,0)</f>
        <v>MAT.</v>
      </c>
      <c r="D6259" s="156" t="s">
        <v>1444</v>
      </c>
      <c r="E6259" s="154" t="n">
        <v>0.9704</v>
      </c>
      <c r="F6259" s="149" t="n">
        <f aca="false">IF(C6259="MAT.",VLOOKUP(A6259,INSUMOS_AUX!$A$3:$H$813,6,0),0)</f>
        <v>0.08</v>
      </c>
      <c r="G6259" s="149" t="n">
        <f aca="false">IF(C6259="M.O.",VLOOKUP(A6259,INSUMOS_AUX!A:F,6,0),0)</f>
        <v>0</v>
      </c>
    </row>
    <row r="6260" customFormat="false" ht="21" hidden="false" customHeight="false" outlineLevel="0" collapsed="false">
      <c r="A6260" s="154" t="n">
        <v>37371</v>
      </c>
      <c r="B6260" s="155" t="s">
        <v>1449</v>
      </c>
      <c r="C6260" s="148" t="str">
        <f aca="false">VLOOKUP($A6260,INSUMOS_AUX!$A$3:$H$813,3,0)</f>
        <v>MAT.</v>
      </c>
      <c r="D6260" s="156" t="s">
        <v>1444</v>
      </c>
      <c r="E6260" s="154" t="n">
        <v>0.9704</v>
      </c>
      <c r="F6260" s="149" t="n">
        <f aca="false">IF(C6260="MAT.",VLOOKUP(A6260,INSUMOS_AUX!$A$3:$H$813,6,0),0)</f>
        <v>0.59</v>
      </c>
      <c r="G6260" s="149" t="n">
        <f aca="false">IF(C6260="M.O.",VLOOKUP(A6260,INSUMOS_AUX!A:F,6,0),0)</f>
        <v>0</v>
      </c>
    </row>
    <row r="6261" customFormat="false" ht="21" hidden="false" customHeight="false" outlineLevel="0" collapsed="false">
      <c r="A6261" s="154" t="s">
        <v>2570</v>
      </c>
      <c r="B6261" s="155" t="s">
        <v>2571</v>
      </c>
      <c r="C6261" s="148" t="str">
        <f aca="false">VLOOKUP($A6261,INSUMOS_AUX!$A$3:$H$813,3,0)</f>
        <v>MAT.</v>
      </c>
      <c r="D6261" s="156" t="s">
        <v>31</v>
      </c>
      <c r="E6261" s="154" t="n">
        <v>1</v>
      </c>
      <c r="F6261" s="149" t="n">
        <f aca="false">IF(C6261="MAT.",VLOOKUP(A6261,INSUMOS_AUX!$A$3:$H$813,6,0),0)</f>
        <v>22.84</v>
      </c>
      <c r="G6261" s="149" t="n">
        <f aca="false">IF(C6261="M.O.",VLOOKUP(A6261,INSUMOS_AUX!A:F,6,0),0)</f>
        <v>0</v>
      </c>
    </row>
    <row r="6262" customFormat="false" ht="31.5" hidden="false" customHeight="false" outlineLevel="0" collapsed="false">
      <c r="A6262" s="154" t="n">
        <v>13246</v>
      </c>
      <c r="B6262" s="155" t="s">
        <v>1811</v>
      </c>
      <c r="C6262" s="148" t="str">
        <f aca="false">VLOOKUP($A6262,INSUMOS_AUX!$A$3:$H$813,3,0)</f>
        <v>MAT.</v>
      </c>
      <c r="D6262" s="156" t="s">
        <v>31</v>
      </c>
      <c r="E6262" s="154" t="n">
        <v>16.8</v>
      </c>
      <c r="F6262" s="149" t="n">
        <f aca="false">IF(C6262="MAT.",VLOOKUP(A6262,INSUMOS_AUX!$A$3:$H$813,6,0),0)</f>
        <v>0.5</v>
      </c>
      <c r="G6262" s="149" t="n">
        <f aca="false">IF(C6262="M.O.",VLOOKUP(A6262,INSUMOS_AUX!A:F,6,0),0)</f>
        <v>0</v>
      </c>
    </row>
    <row r="6263" customFormat="false" ht="21" hidden="false" customHeight="false" outlineLevel="0" collapsed="false">
      <c r="A6263" s="154" t="s">
        <v>2426</v>
      </c>
      <c r="B6263" s="155" t="s">
        <v>2427</v>
      </c>
      <c r="C6263" s="148" t="s">
        <v>59</v>
      </c>
      <c r="D6263" s="156" t="s">
        <v>31</v>
      </c>
      <c r="E6263" s="154" t="n">
        <v>4</v>
      </c>
      <c r="F6263" s="149" t="n">
        <f aca="false">IF(C6263="MAT.",VLOOKUP(A6263,INSUMOS_AUX!$A$3:$H$813,6,0),0)</f>
        <v>0</v>
      </c>
      <c r="G6263" s="149" t="n">
        <f aca="false">IF(C6263="M.O.",VLOOKUP(A6263,INSUMOS_AUX!A:F,6,0),0)</f>
        <v>0</v>
      </c>
    </row>
    <row r="6264" customFormat="false" ht="15" hidden="false" customHeight="false" outlineLevel="0" collapsed="false">
      <c r="A6264" s="154" t="n">
        <v>247</v>
      </c>
      <c r="B6264" s="155" t="s">
        <v>1554</v>
      </c>
      <c r="C6264" s="148" t="str">
        <f aca="false">VLOOKUP($A6264,INSUMOS_AUX!$A$3:$H$813,3,0)</f>
        <v>M.O.</v>
      </c>
      <c r="D6264" s="156" t="s">
        <v>1444</v>
      </c>
      <c r="E6264" s="154" t="n">
        <v>0.503307664</v>
      </c>
      <c r="F6264" s="149" t="n">
        <f aca="false">IF(C6264="MAT.",VLOOKUP(A6264,INSUMOS_AUX!$A$3:$H$813,6,0),0)</f>
        <v>0</v>
      </c>
      <c r="G6264" s="149" t="n">
        <f aca="false">IF(C6264="M.O.",VLOOKUP(A6264,INSUMOS_AUX!A:F,6,0),0)</f>
        <v>13.26</v>
      </c>
    </row>
    <row r="6265" customFormat="false" ht="15" hidden="false" customHeight="false" outlineLevel="0" collapsed="false">
      <c r="A6265" s="154" t="n">
        <v>2436</v>
      </c>
      <c r="B6265" s="155" t="s">
        <v>1557</v>
      </c>
      <c r="C6265" s="148" t="str">
        <f aca="false">VLOOKUP($A6265,INSUMOS_AUX!$A$3:$H$813,3,0)</f>
        <v>M.O.</v>
      </c>
      <c r="D6265" s="156" t="s">
        <v>1444</v>
      </c>
      <c r="E6265" s="154" t="n">
        <v>0.503307664</v>
      </c>
      <c r="F6265" s="149" t="n">
        <f aca="false">IF(C6265="MAT.",VLOOKUP(A6265,INSUMOS_AUX!$A$3:$H$813,6,0),0)</f>
        <v>0</v>
      </c>
      <c r="G6265" s="149" t="n">
        <f aca="false">IF(C6265="M.O.",VLOOKUP(A6265,INSUMOS_AUX!A:F,6,0),0)</f>
        <v>20.22</v>
      </c>
    </row>
    <row r="6266" customFormat="false" ht="31.5" hidden="false" customHeight="false" outlineLevel="0" collapsed="false">
      <c r="A6266" s="150" t="s">
        <v>1056</v>
      </c>
      <c r="B6266" s="151" t="s">
        <v>2572</v>
      </c>
      <c r="C6266" s="152" t="s">
        <v>59</v>
      </c>
      <c r="D6266" s="152" t="s">
        <v>31</v>
      </c>
      <c r="E6266" s="150"/>
      <c r="F6266" s="153" t="n">
        <f aca="false">(SUMPRODUCT($E6267:$E6277,F6267:F6277))*1</f>
        <v>48.036816</v>
      </c>
      <c r="G6266" s="153" t="n">
        <f aca="false">(SUMPRODUCT($E6267:$E6277,G6267:G6277))*1</f>
        <v>16.85074059072</v>
      </c>
    </row>
    <row r="6267" customFormat="false" ht="21" hidden="false" customHeight="false" outlineLevel="0" collapsed="false">
      <c r="A6267" s="154" t="n">
        <v>37370</v>
      </c>
      <c r="B6267" s="155" t="s">
        <v>1443</v>
      </c>
      <c r="C6267" s="148" t="str">
        <f aca="false">VLOOKUP($A6267,INSUMOS_AUX!$A$3:$H$813,3,0)</f>
        <v>MAT.</v>
      </c>
      <c r="D6267" s="156" t="s">
        <v>1444</v>
      </c>
      <c r="E6267" s="154" t="n">
        <v>0.9704</v>
      </c>
      <c r="F6267" s="149" t="n">
        <f aca="false">IF(C6267="MAT.",VLOOKUP(A6267,INSUMOS_AUX!$A$3:$H$813,6,0),0)</f>
        <v>3.32</v>
      </c>
      <c r="G6267" s="149" t="n">
        <f aca="false">IF(C6267="M.O.",VLOOKUP(A6267,INSUMOS_AUX!A:F,6,0),0)</f>
        <v>0</v>
      </c>
    </row>
    <row r="6268" customFormat="false" ht="21" hidden="false" customHeight="false" outlineLevel="0" collapsed="false">
      <c r="A6268" s="154" t="n">
        <v>43484</v>
      </c>
      <c r="B6268" s="155" t="s">
        <v>1523</v>
      </c>
      <c r="C6268" s="148" t="str">
        <f aca="false">VLOOKUP($A6268,INSUMOS_AUX!$A$3:$H$813,3,0)</f>
        <v>MAT.</v>
      </c>
      <c r="D6268" s="156" t="s">
        <v>1444</v>
      </c>
      <c r="E6268" s="154" t="n">
        <v>0.9704</v>
      </c>
      <c r="F6268" s="149" t="n">
        <f aca="false">IF(C6268="MAT.",VLOOKUP(A6268,INSUMOS_AUX!$A$3:$H$813,6,0),0)</f>
        <v>1.26</v>
      </c>
      <c r="G6268" s="149" t="n">
        <f aca="false">IF(C6268="M.O.",VLOOKUP(A6268,INSUMOS_AUX!A:F,6,0),0)</f>
        <v>0</v>
      </c>
    </row>
    <row r="6269" customFormat="false" ht="21" hidden="false" customHeight="false" outlineLevel="0" collapsed="false">
      <c r="A6269" s="154" t="n">
        <v>37372</v>
      </c>
      <c r="B6269" s="155" t="s">
        <v>1446</v>
      </c>
      <c r="C6269" s="148" t="str">
        <f aca="false">VLOOKUP($A6269,INSUMOS_AUX!$A$3:$H$813,3,0)</f>
        <v>MAT.</v>
      </c>
      <c r="D6269" s="156" t="s">
        <v>1444</v>
      </c>
      <c r="E6269" s="154" t="n">
        <v>0.9704</v>
      </c>
      <c r="F6269" s="149" t="n">
        <f aca="false">IF(C6269="MAT.",VLOOKUP(A6269,INSUMOS_AUX!$A$3:$H$813,6,0),0)</f>
        <v>1.43</v>
      </c>
      <c r="G6269" s="149" t="n">
        <f aca="false">IF(C6269="M.O.",VLOOKUP(A6269,INSUMOS_AUX!A:F,6,0),0)</f>
        <v>0</v>
      </c>
    </row>
    <row r="6270" customFormat="false" ht="21" hidden="false" customHeight="false" outlineLevel="0" collapsed="false">
      <c r="A6270" s="154" t="n">
        <v>43460</v>
      </c>
      <c r="B6270" s="155" t="s">
        <v>1524</v>
      </c>
      <c r="C6270" s="148" t="str">
        <f aca="false">VLOOKUP($A6270,INSUMOS_AUX!$A$3:$H$813,3,0)</f>
        <v>MAT.</v>
      </c>
      <c r="D6270" s="156" t="s">
        <v>1444</v>
      </c>
      <c r="E6270" s="154" t="n">
        <v>0.9704</v>
      </c>
      <c r="F6270" s="149" t="n">
        <f aca="false">IF(C6270="MAT.",VLOOKUP(A6270,INSUMOS_AUX!$A$3:$H$813,6,0),0)</f>
        <v>0.86</v>
      </c>
      <c r="G6270" s="149" t="n">
        <f aca="false">IF(C6270="M.O.",VLOOKUP(A6270,INSUMOS_AUX!A:F,6,0),0)</f>
        <v>0</v>
      </c>
    </row>
    <row r="6271" customFormat="false" ht="21" hidden="false" customHeight="false" outlineLevel="0" collapsed="false">
      <c r="A6271" s="154" t="n">
        <v>37373</v>
      </c>
      <c r="B6271" s="155" t="s">
        <v>1448</v>
      </c>
      <c r="C6271" s="148" t="str">
        <f aca="false">VLOOKUP($A6271,INSUMOS_AUX!$A$3:$H$813,3,0)</f>
        <v>MAT.</v>
      </c>
      <c r="D6271" s="156" t="s">
        <v>1444</v>
      </c>
      <c r="E6271" s="154" t="n">
        <v>0.9704</v>
      </c>
      <c r="F6271" s="149" t="n">
        <f aca="false">IF(C6271="MAT.",VLOOKUP(A6271,INSUMOS_AUX!$A$3:$H$813,6,0),0)</f>
        <v>0.08</v>
      </c>
      <c r="G6271" s="149" t="n">
        <f aca="false">IF(C6271="M.O.",VLOOKUP(A6271,INSUMOS_AUX!A:F,6,0),0)</f>
        <v>0</v>
      </c>
    </row>
    <row r="6272" customFormat="false" ht="21" hidden="false" customHeight="false" outlineLevel="0" collapsed="false">
      <c r="A6272" s="154" t="n">
        <v>37371</v>
      </c>
      <c r="B6272" s="155" t="s">
        <v>1449</v>
      </c>
      <c r="C6272" s="148" t="str">
        <f aca="false">VLOOKUP($A6272,INSUMOS_AUX!$A$3:$H$813,3,0)</f>
        <v>MAT.</v>
      </c>
      <c r="D6272" s="156" t="s">
        <v>1444</v>
      </c>
      <c r="E6272" s="154" t="n">
        <v>0.9704</v>
      </c>
      <c r="F6272" s="149" t="n">
        <f aca="false">IF(C6272="MAT.",VLOOKUP(A6272,INSUMOS_AUX!$A$3:$H$813,6,0),0)</f>
        <v>0.59</v>
      </c>
      <c r="G6272" s="149" t="n">
        <f aca="false">IF(C6272="M.O.",VLOOKUP(A6272,INSUMOS_AUX!A:F,6,0),0)</f>
        <v>0</v>
      </c>
    </row>
    <row r="6273" customFormat="false" ht="21" hidden="false" customHeight="false" outlineLevel="0" collapsed="false">
      <c r="A6273" s="154" t="s">
        <v>2573</v>
      </c>
      <c r="B6273" s="155" t="s">
        <v>2574</v>
      </c>
      <c r="C6273" s="148" t="str">
        <f aca="false">VLOOKUP($A6273,INSUMOS_AUX!$A$3:$H$813,3,0)</f>
        <v>MAT.</v>
      </c>
      <c r="D6273" s="156" t="s">
        <v>31</v>
      </c>
      <c r="E6273" s="154" t="n">
        <v>1</v>
      </c>
      <c r="F6273" s="149" t="n">
        <f aca="false">IF(C6273="MAT.",VLOOKUP(A6273,INSUMOS_AUX!$A$3:$H$813,6,0),0)</f>
        <v>26.2533333333333</v>
      </c>
      <c r="G6273" s="149" t="n">
        <f aca="false">IF(C6273="M.O.",VLOOKUP(A6273,INSUMOS_AUX!A:F,6,0),0)</f>
        <v>0</v>
      </c>
    </row>
    <row r="6274" customFormat="false" ht="31.5" hidden="false" customHeight="false" outlineLevel="0" collapsed="false">
      <c r="A6274" s="154" t="n">
        <v>13246</v>
      </c>
      <c r="B6274" s="155" t="s">
        <v>1811</v>
      </c>
      <c r="C6274" s="148" t="s">
        <v>59</v>
      </c>
      <c r="D6274" s="156" t="s">
        <v>31</v>
      </c>
      <c r="E6274" s="154" t="n">
        <v>16.8</v>
      </c>
      <c r="F6274" s="149" t="n">
        <f aca="false">IF(C6274="MAT.",VLOOKUP(A6274,INSUMOS_AUX!$A$3:$H$813,6,0),0)</f>
        <v>0</v>
      </c>
      <c r="G6274" s="149" t="n">
        <f aca="false">IF(C6274="M.O.",VLOOKUP(A6274,INSUMOS_AUX!A:F,6,0),0)</f>
        <v>0</v>
      </c>
    </row>
    <row r="6275" customFormat="false" ht="21" hidden="false" customHeight="false" outlineLevel="0" collapsed="false">
      <c r="A6275" s="154" t="s">
        <v>2426</v>
      </c>
      <c r="B6275" s="155" t="s">
        <v>2427</v>
      </c>
      <c r="C6275" s="148" t="str">
        <f aca="false">VLOOKUP($A6275,INSUMOS_AUX!$A$3:$H$813,3,0)</f>
        <v>MAT.</v>
      </c>
      <c r="D6275" s="156" t="s">
        <v>31</v>
      </c>
      <c r="E6275" s="154" t="n">
        <v>4</v>
      </c>
      <c r="F6275" s="149" t="n">
        <f aca="false">IF(C6275="MAT.",VLOOKUP(A6275,INSUMOS_AUX!$A$3:$H$813,6,0),0)</f>
        <v>3.61666666666667</v>
      </c>
      <c r="G6275" s="149" t="n">
        <f aca="false">IF(C6275="M.O.",VLOOKUP(A6275,INSUMOS_AUX!A:F,6,0),0)</f>
        <v>0</v>
      </c>
    </row>
    <row r="6276" customFormat="false" ht="15" hidden="false" customHeight="false" outlineLevel="0" collapsed="false">
      <c r="A6276" s="154" t="n">
        <v>247</v>
      </c>
      <c r="B6276" s="155" t="s">
        <v>1554</v>
      </c>
      <c r="C6276" s="148" t="str">
        <f aca="false">VLOOKUP($A6276,INSUMOS_AUX!$A$3:$H$813,3,0)</f>
        <v>M.O.</v>
      </c>
      <c r="D6276" s="156" t="s">
        <v>1444</v>
      </c>
      <c r="E6276" s="154" t="n">
        <v>0.503307664</v>
      </c>
      <c r="F6276" s="149" t="n">
        <f aca="false">IF(C6276="MAT.",VLOOKUP(A6276,INSUMOS_AUX!$A$3:$H$813,6,0),0)</f>
        <v>0</v>
      </c>
      <c r="G6276" s="149" t="n">
        <f aca="false">IF(C6276="M.O.",VLOOKUP(A6276,INSUMOS_AUX!A:F,6,0),0)</f>
        <v>13.26</v>
      </c>
    </row>
    <row r="6277" customFormat="false" ht="15" hidden="false" customHeight="false" outlineLevel="0" collapsed="false">
      <c r="A6277" s="154" t="n">
        <v>2436</v>
      </c>
      <c r="B6277" s="155" t="s">
        <v>1557</v>
      </c>
      <c r="C6277" s="148" t="str">
        <f aca="false">VLOOKUP($A6277,INSUMOS_AUX!$A$3:$H$813,3,0)</f>
        <v>M.O.</v>
      </c>
      <c r="D6277" s="156" t="s">
        <v>1444</v>
      </c>
      <c r="E6277" s="154" t="n">
        <v>0.503307664</v>
      </c>
      <c r="F6277" s="149" t="n">
        <f aca="false">IF(C6277="MAT.",VLOOKUP(A6277,INSUMOS_AUX!$A$3:$H$813,6,0),0)</f>
        <v>0</v>
      </c>
      <c r="G6277" s="149" t="n">
        <f aca="false">IF(C6277="M.O.",VLOOKUP(A6277,INSUMOS_AUX!A:F,6,0),0)</f>
        <v>20.22</v>
      </c>
    </row>
    <row r="6278" customFormat="false" ht="31.5" hidden="false" customHeight="false" outlineLevel="0" collapsed="false">
      <c r="A6278" s="150" t="n">
        <v>91839</v>
      </c>
      <c r="B6278" s="151" t="s">
        <v>2575</v>
      </c>
      <c r="C6278" s="152" t="s">
        <v>59</v>
      </c>
      <c r="D6278" s="152" t="s">
        <v>1455</v>
      </c>
      <c r="E6278" s="150"/>
      <c r="F6278" s="153" t="n">
        <f aca="false">(SUMPRODUCT($E6279:$E6292,F6279:F6292))*1</f>
        <v>8.369291</v>
      </c>
      <c r="G6278" s="153" t="n">
        <f aca="false">(SUMPRODUCT($E6279:$E6292,G6279:G6292))*1</f>
        <v>8.64588229224</v>
      </c>
    </row>
    <row r="6279" customFormat="false" ht="21" hidden="false" customHeight="false" outlineLevel="0" collapsed="false">
      <c r="A6279" s="154" t="n">
        <v>37370</v>
      </c>
      <c r="B6279" s="155" t="s">
        <v>1443</v>
      </c>
      <c r="C6279" s="148" t="str">
        <f aca="false">VLOOKUP($A6279,INSUMOS_AUX!$A$3:$H$813,3,0)</f>
        <v>MAT.</v>
      </c>
      <c r="D6279" s="156" t="s">
        <v>1444</v>
      </c>
      <c r="E6279" s="154" t="n">
        <v>0.4694</v>
      </c>
      <c r="F6279" s="149" t="n">
        <f aca="false">IF(C6279="MAT.",VLOOKUP(A6279,INSUMOS_AUX!$A$3:$H$813,6,0),0)</f>
        <v>3.32</v>
      </c>
      <c r="G6279" s="149" t="n">
        <f aca="false">IF(C6279="M.O.",VLOOKUP(A6279,INSUMOS_AUX!A:F,6,0),0)</f>
        <v>0</v>
      </c>
    </row>
    <row r="6280" customFormat="false" ht="21" hidden="false" customHeight="false" outlineLevel="0" collapsed="false">
      <c r="A6280" s="154" t="n">
        <v>43484</v>
      </c>
      <c r="B6280" s="155" t="s">
        <v>1523</v>
      </c>
      <c r="C6280" s="148" t="str">
        <f aca="false">VLOOKUP($A6280,INSUMOS_AUX!$A$3:$H$813,3,0)</f>
        <v>MAT.</v>
      </c>
      <c r="D6280" s="156" t="s">
        <v>1444</v>
      </c>
      <c r="E6280" s="154" t="n">
        <v>0.21</v>
      </c>
      <c r="F6280" s="149" t="n">
        <f aca="false">IF(C6280="MAT.",VLOOKUP(A6280,INSUMOS_AUX!$A$3:$H$813,6,0),0)</f>
        <v>1.26</v>
      </c>
      <c r="G6280" s="149" t="n">
        <f aca="false">IF(C6280="M.O.",VLOOKUP(A6280,INSUMOS_AUX!A:F,6,0),0)</f>
        <v>0</v>
      </c>
    </row>
    <row r="6281" customFormat="false" ht="21" hidden="false" customHeight="false" outlineLevel="0" collapsed="false">
      <c r="A6281" s="154" t="n">
        <v>43485</v>
      </c>
      <c r="B6281" s="155" t="s">
        <v>1481</v>
      </c>
      <c r="C6281" s="148" t="str">
        <f aca="false">VLOOKUP($A6281,INSUMOS_AUX!$A$3:$H$813,3,0)</f>
        <v>MAT.</v>
      </c>
      <c r="D6281" s="156" t="s">
        <v>1444</v>
      </c>
      <c r="E6281" s="154" t="n">
        <v>0.2594</v>
      </c>
      <c r="F6281" s="149" t="n">
        <f aca="false">IF(C6281="MAT.",VLOOKUP(A6281,INSUMOS_AUX!$A$3:$H$813,6,0),0)</f>
        <v>1.13</v>
      </c>
      <c r="G6281" s="149" t="n">
        <f aca="false">IF(C6281="M.O.",VLOOKUP(A6281,INSUMOS_AUX!A:F,6,0),0)</f>
        <v>0</v>
      </c>
    </row>
    <row r="6282" customFormat="false" ht="21" hidden="false" customHeight="false" outlineLevel="0" collapsed="false">
      <c r="A6282" s="154" t="n">
        <v>37372</v>
      </c>
      <c r="B6282" s="155" t="s">
        <v>1446</v>
      </c>
      <c r="C6282" s="148" t="str">
        <f aca="false">VLOOKUP($A6282,INSUMOS_AUX!$A$3:$H$813,3,0)</f>
        <v>MAT.</v>
      </c>
      <c r="D6282" s="156" t="s">
        <v>1444</v>
      </c>
      <c r="E6282" s="154" t="n">
        <v>0.4694</v>
      </c>
      <c r="F6282" s="149" t="n">
        <f aca="false">IF(C6282="MAT.",VLOOKUP(A6282,INSUMOS_AUX!$A$3:$H$813,6,0),0)</f>
        <v>1.43</v>
      </c>
      <c r="G6282" s="149" t="n">
        <f aca="false">IF(C6282="M.O.",VLOOKUP(A6282,INSUMOS_AUX!A:F,6,0),0)</f>
        <v>0</v>
      </c>
    </row>
    <row r="6283" customFormat="false" ht="21" hidden="false" customHeight="false" outlineLevel="0" collapsed="false">
      <c r="A6283" s="154" t="n">
        <v>43460</v>
      </c>
      <c r="B6283" s="155" t="s">
        <v>1524</v>
      </c>
      <c r="C6283" s="148" t="str">
        <f aca="false">VLOOKUP($A6283,INSUMOS_AUX!$A$3:$H$813,3,0)</f>
        <v>MAT.</v>
      </c>
      <c r="D6283" s="156" t="s">
        <v>1444</v>
      </c>
      <c r="E6283" s="154" t="n">
        <v>0.21</v>
      </c>
      <c r="F6283" s="149" t="n">
        <f aca="false">IF(C6283="MAT.",VLOOKUP(A6283,INSUMOS_AUX!$A$3:$H$813,6,0),0)</f>
        <v>0.86</v>
      </c>
      <c r="G6283" s="149" t="n">
        <f aca="false">IF(C6283="M.O.",VLOOKUP(A6283,INSUMOS_AUX!A:F,6,0),0)</f>
        <v>0</v>
      </c>
    </row>
    <row r="6284" customFormat="false" ht="21" hidden="false" customHeight="false" outlineLevel="0" collapsed="false">
      <c r="A6284" s="154" t="n">
        <v>43461</v>
      </c>
      <c r="B6284" s="155" t="s">
        <v>1482</v>
      </c>
      <c r="C6284" s="148" t="str">
        <f aca="false">VLOOKUP($A6284,INSUMOS_AUX!$A$3:$H$813,3,0)</f>
        <v>MAT.</v>
      </c>
      <c r="D6284" s="156" t="s">
        <v>1444</v>
      </c>
      <c r="E6284" s="154" t="n">
        <v>0.2594</v>
      </c>
      <c r="F6284" s="149" t="n">
        <f aca="false">IF(C6284="MAT.",VLOOKUP(A6284,INSUMOS_AUX!$A$3:$H$813,6,0),0)</f>
        <v>0.31</v>
      </c>
      <c r="G6284" s="149" t="n">
        <f aca="false">IF(C6284="M.O.",VLOOKUP(A6284,INSUMOS_AUX!A:F,6,0),0)</f>
        <v>0</v>
      </c>
    </row>
    <row r="6285" customFormat="false" ht="21" hidden="false" customHeight="false" outlineLevel="0" collapsed="false">
      <c r="A6285" s="154" t="n">
        <v>37373</v>
      </c>
      <c r="B6285" s="155" t="s">
        <v>1448</v>
      </c>
      <c r="C6285" s="148" t="str">
        <f aca="false">VLOOKUP($A6285,INSUMOS_AUX!$A$3:$H$813,3,0)</f>
        <v>MAT.</v>
      </c>
      <c r="D6285" s="156" t="s">
        <v>1444</v>
      </c>
      <c r="E6285" s="154" t="n">
        <v>0.4694</v>
      </c>
      <c r="F6285" s="149" t="n">
        <f aca="false">IF(C6285="MAT.",VLOOKUP(A6285,INSUMOS_AUX!$A$3:$H$813,6,0),0)</f>
        <v>0.08</v>
      </c>
      <c r="G6285" s="149" t="n">
        <f aca="false">IF(C6285="M.O.",VLOOKUP(A6285,INSUMOS_AUX!A:F,6,0),0)</f>
        <v>0</v>
      </c>
    </row>
    <row r="6286" customFormat="false" ht="21" hidden="false" customHeight="false" outlineLevel="0" collapsed="false">
      <c r="A6286" s="154" t="n">
        <v>37371</v>
      </c>
      <c r="B6286" s="155" t="s">
        <v>1449</v>
      </c>
      <c r="C6286" s="148" t="str">
        <f aca="false">VLOOKUP($A6286,INSUMOS_AUX!$A$3:$H$813,3,0)</f>
        <v>MAT.</v>
      </c>
      <c r="D6286" s="156" t="s">
        <v>1444</v>
      </c>
      <c r="E6286" s="154" t="n">
        <v>0.4694</v>
      </c>
      <c r="F6286" s="149" t="n">
        <f aca="false">IF(C6286="MAT.",VLOOKUP(A6286,INSUMOS_AUX!$A$3:$H$813,6,0),0)</f>
        <v>0.59</v>
      </c>
      <c r="G6286" s="149" t="n">
        <f aca="false">IF(C6286="M.O.",VLOOKUP(A6286,INSUMOS_AUX!A:F,6,0),0)</f>
        <v>0</v>
      </c>
    </row>
    <row r="6287" customFormat="false" ht="21" hidden="false" customHeight="false" outlineLevel="0" collapsed="false">
      <c r="A6287" s="154" t="n">
        <v>392</v>
      </c>
      <c r="B6287" s="155" t="s">
        <v>2386</v>
      </c>
      <c r="C6287" s="148" t="str">
        <f aca="false">VLOOKUP($A6287,INSUMOS_AUX!$A$3:$H$813,3,0)</f>
        <v>MAT.</v>
      </c>
      <c r="D6287" s="156" t="s">
        <v>31</v>
      </c>
      <c r="E6287" s="154" t="n">
        <v>1.7857</v>
      </c>
      <c r="F6287" s="149" t="n">
        <f aca="false">IF(C6287="MAT.",VLOOKUP(A6287,INSUMOS_AUX!$A$3:$H$813,6,0),0)</f>
        <v>1.51</v>
      </c>
      <c r="G6287" s="149" t="n">
        <f aca="false">IF(C6287="M.O.",VLOOKUP(A6287,INSUMOS_AUX!A:F,6,0),0)</f>
        <v>0</v>
      </c>
    </row>
    <row r="6288" customFormat="false" ht="21" hidden="false" customHeight="false" outlineLevel="0" collapsed="false">
      <c r="A6288" s="154" t="n">
        <v>40401</v>
      </c>
      <c r="B6288" s="155" t="s">
        <v>2576</v>
      </c>
      <c r="C6288" s="148" t="str">
        <f aca="false">VLOOKUP($A6288,INSUMOS_AUX!$A$3:$H$813,3,0)</f>
        <v>MAT.</v>
      </c>
      <c r="D6288" s="156" t="s">
        <v>1455</v>
      </c>
      <c r="E6288" s="154" t="n">
        <v>1.1</v>
      </c>
      <c r="F6288" s="149" t="n">
        <f aca="false">IF(C6288="MAT.",VLOOKUP(A6288,INSUMOS_AUX!$A$3:$H$813,6,0),0)</f>
        <v>2.1</v>
      </c>
      <c r="G6288" s="149" t="n">
        <f aca="false">IF(C6288="M.O.",VLOOKUP(A6288,INSUMOS_AUX!A:F,6,0),0)</f>
        <v>0</v>
      </c>
    </row>
    <row r="6289" customFormat="false" ht="15" hidden="false" customHeight="false" outlineLevel="0" collapsed="false">
      <c r="A6289" s="154" t="n">
        <v>247</v>
      </c>
      <c r="B6289" s="155" t="s">
        <v>1554</v>
      </c>
      <c r="C6289" s="148" t="str">
        <f aca="false">VLOOKUP($A6289,INSUMOS_AUX!$A$3:$H$813,3,0)</f>
        <v>M.O.</v>
      </c>
      <c r="D6289" s="156" t="s">
        <v>1444</v>
      </c>
      <c r="E6289" s="154" t="n">
        <v>0.1089186</v>
      </c>
      <c r="F6289" s="149" t="n">
        <f aca="false">IF(C6289="MAT.",VLOOKUP(A6289,INSUMOS_AUX!$A$3:$H$813,6,0),0)</f>
        <v>0</v>
      </c>
      <c r="G6289" s="149" t="n">
        <f aca="false">IF(C6289="M.O.",VLOOKUP(A6289,INSUMOS_AUX!A:F,6,0),0)</f>
        <v>13.26</v>
      </c>
    </row>
    <row r="6290" customFormat="false" ht="15" hidden="false" customHeight="false" outlineLevel="0" collapsed="false">
      <c r="A6290" s="154" t="n">
        <v>246</v>
      </c>
      <c r="B6290" s="155" t="s">
        <v>1752</v>
      </c>
      <c r="C6290" s="148" t="str">
        <f aca="false">VLOOKUP($A6290,INSUMOS_AUX!$A$3:$H$813,3,0)</f>
        <v>M.O.</v>
      </c>
      <c r="D6290" s="156" t="s">
        <v>1444</v>
      </c>
      <c r="E6290" s="154" t="n">
        <v>0.04886304</v>
      </c>
      <c r="F6290" s="149" t="n">
        <f aca="false">IF(C6290="MAT.",VLOOKUP(A6290,INSUMOS_AUX!$A$3:$H$813,6,0),0)</f>
        <v>0</v>
      </c>
      <c r="G6290" s="149" t="n">
        <f aca="false">IF(C6290="M.O.",VLOOKUP(A6290,INSUMOS_AUX!A:F,6,0),0)</f>
        <v>13.26</v>
      </c>
    </row>
    <row r="6291" customFormat="false" ht="15" hidden="false" customHeight="false" outlineLevel="0" collapsed="false">
      <c r="A6291" s="154" t="n">
        <v>2436</v>
      </c>
      <c r="B6291" s="155" t="s">
        <v>1557</v>
      </c>
      <c r="C6291" s="148" t="str">
        <f aca="false">VLOOKUP($A6291,INSUMOS_AUX!$A$3:$H$813,3,0)</f>
        <v>M.O.</v>
      </c>
      <c r="D6291" s="156" t="s">
        <v>1444</v>
      </c>
      <c r="E6291" s="154" t="n">
        <v>0.1089186</v>
      </c>
      <c r="F6291" s="149" t="n">
        <f aca="false">IF(C6291="MAT.",VLOOKUP(A6291,INSUMOS_AUX!$A$3:$H$813,6,0),0)</f>
        <v>0</v>
      </c>
      <c r="G6291" s="149" t="n">
        <f aca="false">IF(C6291="M.O.",VLOOKUP(A6291,INSUMOS_AUX!A:F,6,0),0)</f>
        <v>20.22</v>
      </c>
    </row>
    <row r="6292" customFormat="false" ht="15" hidden="false" customHeight="false" outlineLevel="0" collapsed="false">
      <c r="A6292" s="154" t="n">
        <v>2696</v>
      </c>
      <c r="B6292" s="155" t="s">
        <v>1483</v>
      </c>
      <c r="C6292" s="148" t="str">
        <f aca="false">VLOOKUP($A6292,INSUMOS_AUX!$A$3:$H$813,3,0)</f>
        <v>M.O.</v>
      </c>
      <c r="D6292" s="156" t="s">
        <v>1444</v>
      </c>
      <c r="E6292" s="154" t="n">
        <v>0.215200972</v>
      </c>
      <c r="F6292" s="149" t="n">
        <f aca="false">IF(C6292="MAT.",VLOOKUP(A6292,INSUMOS_AUX!$A$3:$H$813,6,0),0)</f>
        <v>0</v>
      </c>
      <c r="G6292" s="149" t="n">
        <f aca="false">IF(C6292="M.O.",VLOOKUP(A6292,INSUMOS_AUX!A:F,6,0),0)</f>
        <v>20.22</v>
      </c>
    </row>
    <row r="6293" customFormat="false" ht="31.5" hidden="false" customHeight="false" outlineLevel="0" collapsed="false">
      <c r="A6293" s="150" t="n">
        <v>97669</v>
      </c>
      <c r="B6293" s="151" t="s">
        <v>2577</v>
      </c>
      <c r="C6293" s="152" t="s">
        <v>59</v>
      </c>
      <c r="D6293" s="152" t="s">
        <v>1455</v>
      </c>
      <c r="E6293" s="150"/>
      <c r="F6293" s="153" t="n">
        <f aca="false">(SUMPRODUCT($E6294:$E6302,F6294:F6302))*1</f>
        <v>10.352588</v>
      </c>
      <c r="G6293" s="153" t="n">
        <f aca="false">(SUMPRODUCT($E6294:$E6302,G6294:G6302))*1</f>
        <v>5.24762346096</v>
      </c>
    </row>
    <row r="6294" customFormat="false" ht="21" hidden="false" customHeight="false" outlineLevel="0" collapsed="false">
      <c r="A6294" s="154" t="n">
        <v>37370</v>
      </c>
      <c r="B6294" s="155" t="s">
        <v>1443</v>
      </c>
      <c r="C6294" s="148" t="str">
        <f aca="false">VLOOKUP($A6294,INSUMOS_AUX!$A$3:$H$813,3,0)</f>
        <v>MAT.</v>
      </c>
      <c r="D6294" s="156" t="s">
        <v>1444</v>
      </c>
      <c r="E6294" s="154" t="n">
        <v>0.3022</v>
      </c>
      <c r="F6294" s="149" t="n">
        <f aca="false">IF(C6294="MAT.",VLOOKUP(A6294,INSUMOS_AUX!$A$3:$H$813,6,0),0)</f>
        <v>3.32</v>
      </c>
      <c r="G6294" s="149" t="n">
        <f aca="false">IF(C6294="M.O.",VLOOKUP(A6294,INSUMOS_AUX!A:F,6,0),0)</f>
        <v>0</v>
      </c>
    </row>
    <row r="6295" customFormat="false" ht="21" hidden="false" customHeight="false" outlineLevel="0" collapsed="false">
      <c r="A6295" s="154" t="n">
        <v>43484</v>
      </c>
      <c r="B6295" s="155" t="s">
        <v>1523</v>
      </c>
      <c r="C6295" s="148" t="str">
        <f aca="false">VLOOKUP($A6295,INSUMOS_AUX!$A$3:$H$813,3,0)</f>
        <v>MAT.</v>
      </c>
      <c r="D6295" s="156" t="s">
        <v>1444</v>
      </c>
      <c r="E6295" s="154" t="n">
        <v>0.3022</v>
      </c>
      <c r="F6295" s="149" t="n">
        <f aca="false">IF(C6295="MAT.",VLOOKUP(A6295,INSUMOS_AUX!$A$3:$H$813,6,0),0)</f>
        <v>1.26</v>
      </c>
      <c r="G6295" s="149" t="n">
        <f aca="false">IF(C6295="M.O.",VLOOKUP(A6295,INSUMOS_AUX!A:F,6,0),0)</f>
        <v>0</v>
      </c>
    </row>
    <row r="6296" customFormat="false" ht="21" hidden="false" customHeight="false" outlineLevel="0" collapsed="false">
      <c r="A6296" s="154" t="n">
        <v>37372</v>
      </c>
      <c r="B6296" s="155" t="s">
        <v>1446</v>
      </c>
      <c r="C6296" s="148" t="str">
        <f aca="false">VLOOKUP($A6296,INSUMOS_AUX!$A$3:$H$813,3,0)</f>
        <v>MAT.</v>
      </c>
      <c r="D6296" s="156" t="s">
        <v>1444</v>
      </c>
      <c r="E6296" s="154" t="n">
        <v>0.3022</v>
      </c>
      <c r="F6296" s="149" t="n">
        <f aca="false">IF(C6296="MAT.",VLOOKUP(A6296,INSUMOS_AUX!$A$3:$H$813,6,0),0)</f>
        <v>1.43</v>
      </c>
      <c r="G6296" s="149" t="n">
        <f aca="false">IF(C6296="M.O.",VLOOKUP(A6296,INSUMOS_AUX!A:F,6,0),0)</f>
        <v>0</v>
      </c>
    </row>
    <row r="6297" customFormat="false" ht="21" hidden="false" customHeight="false" outlineLevel="0" collapsed="false">
      <c r="A6297" s="154" t="n">
        <v>43460</v>
      </c>
      <c r="B6297" s="155" t="s">
        <v>1524</v>
      </c>
      <c r="C6297" s="148" t="str">
        <f aca="false">VLOOKUP($A6297,INSUMOS_AUX!$A$3:$H$813,3,0)</f>
        <v>MAT.</v>
      </c>
      <c r="D6297" s="156" t="s">
        <v>1444</v>
      </c>
      <c r="E6297" s="154" t="n">
        <v>0.3022</v>
      </c>
      <c r="F6297" s="149" t="n">
        <f aca="false">IF(C6297="MAT.",VLOOKUP(A6297,INSUMOS_AUX!$A$3:$H$813,6,0),0)</f>
        <v>0.86</v>
      </c>
      <c r="G6297" s="149" t="n">
        <f aca="false">IF(C6297="M.O.",VLOOKUP(A6297,INSUMOS_AUX!A:F,6,0),0)</f>
        <v>0</v>
      </c>
    </row>
    <row r="6298" customFormat="false" ht="21" hidden="false" customHeight="false" outlineLevel="0" collapsed="false">
      <c r="A6298" s="154" t="n">
        <v>37373</v>
      </c>
      <c r="B6298" s="155" t="s">
        <v>1448</v>
      </c>
      <c r="C6298" s="148" t="str">
        <f aca="false">VLOOKUP($A6298,INSUMOS_AUX!$A$3:$H$813,3,0)</f>
        <v>MAT.</v>
      </c>
      <c r="D6298" s="156" t="s">
        <v>1444</v>
      </c>
      <c r="E6298" s="154" t="n">
        <v>0.3022</v>
      </c>
      <c r="F6298" s="149" t="n">
        <f aca="false">IF(C6298="MAT.",VLOOKUP(A6298,INSUMOS_AUX!$A$3:$H$813,6,0),0)</f>
        <v>0.08</v>
      </c>
      <c r="G6298" s="149" t="n">
        <f aca="false">IF(C6298="M.O.",VLOOKUP(A6298,INSUMOS_AUX!A:F,6,0),0)</f>
        <v>0</v>
      </c>
    </row>
    <row r="6299" customFormat="false" ht="21" hidden="false" customHeight="false" outlineLevel="0" collapsed="false">
      <c r="A6299" s="154" t="n">
        <v>37371</v>
      </c>
      <c r="B6299" s="155" t="s">
        <v>1449</v>
      </c>
      <c r="C6299" s="148" t="str">
        <f aca="false">VLOOKUP($A6299,INSUMOS_AUX!$A$3:$H$813,3,0)</f>
        <v>MAT.</v>
      </c>
      <c r="D6299" s="156" t="s">
        <v>1444</v>
      </c>
      <c r="E6299" s="154" t="n">
        <v>0.3022</v>
      </c>
      <c r="F6299" s="149" t="n">
        <f aca="false">IF(C6299="MAT.",VLOOKUP(A6299,INSUMOS_AUX!$A$3:$H$813,6,0),0)</f>
        <v>0.59</v>
      </c>
      <c r="G6299" s="149" t="n">
        <f aca="false">IF(C6299="M.O.",VLOOKUP(A6299,INSUMOS_AUX!A:F,6,0),0)</f>
        <v>0</v>
      </c>
    </row>
    <row r="6300" customFormat="false" ht="31.5" hidden="false" customHeight="false" outlineLevel="0" collapsed="false">
      <c r="A6300" s="154" t="n">
        <v>2442</v>
      </c>
      <c r="B6300" s="155" t="s">
        <v>2578</v>
      </c>
      <c r="C6300" s="148" t="str">
        <f aca="false">VLOOKUP($A6300,INSUMOS_AUX!$A$3:$H$813,3,0)</f>
        <v>MAT.</v>
      </c>
      <c r="D6300" s="156" t="s">
        <v>1455</v>
      </c>
      <c r="E6300" s="154" t="n">
        <v>1.1</v>
      </c>
      <c r="F6300" s="149" t="n">
        <f aca="false">IF(C6300="MAT.",VLOOKUP(A6300,INSUMOS_AUX!$A$3:$H$813,6,0),0)</f>
        <v>7.34</v>
      </c>
      <c r="G6300" s="149" t="n">
        <f aca="false">IF(C6300="M.O.",VLOOKUP(A6300,INSUMOS_AUX!A:F,6,0),0)</f>
        <v>0</v>
      </c>
    </row>
    <row r="6301" customFormat="false" ht="15" hidden="false" customHeight="false" outlineLevel="0" collapsed="false">
      <c r="A6301" s="154" t="n">
        <v>247</v>
      </c>
      <c r="B6301" s="155" t="s">
        <v>1554</v>
      </c>
      <c r="C6301" s="148" t="str">
        <f aca="false">VLOOKUP($A6301,INSUMOS_AUX!$A$3:$H$813,3,0)</f>
        <v>M.O.</v>
      </c>
      <c r="D6301" s="156" t="s">
        <v>1444</v>
      </c>
      <c r="E6301" s="154" t="n">
        <v>0.156739052</v>
      </c>
      <c r="F6301" s="149" t="n">
        <f aca="false">IF(C6301="MAT.",VLOOKUP(A6301,INSUMOS_AUX!$A$3:$H$813,6,0),0)</f>
        <v>0</v>
      </c>
      <c r="G6301" s="149" t="n">
        <f aca="false">IF(C6301="M.O.",VLOOKUP(A6301,INSUMOS_AUX!A:F,6,0),0)</f>
        <v>13.26</v>
      </c>
    </row>
    <row r="6302" customFormat="false" ht="15" hidden="false" customHeight="false" outlineLevel="0" collapsed="false">
      <c r="A6302" s="154" t="n">
        <v>2436</v>
      </c>
      <c r="B6302" s="155" t="s">
        <v>1557</v>
      </c>
      <c r="C6302" s="148" t="str">
        <f aca="false">VLOOKUP($A6302,INSUMOS_AUX!$A$3:$H$813,3,0)</f>
        <v>M.O.</v>
      </c>
      <c r="D6302" s="156" t="s">
        <v>1444</v>
      </c>
      <c r="E6302" s="154" t="n">
        <v>0.156739052</v>
      </c>
      <c r="F6302" s="149" t="n">
        <f aca="false">IF(C6302="MAT.",VLOOKUP(A6302,INSUMOS_AUX!$A$3:$H$813,6,0),0)</f>
        <v>0</v>
      </c>
      <c r="G6302" s="149" t="n">
        <f aca="false">IF(C6302="M.O.",VLOOKUP(A6302,INSUMOS_AUX!A:F,6,0),0)</f>
        <v>20.22</v>
      </c>
    </row>
    <row r="6303" customFormat="false" ht="31.5" hidden="false" customHeight="false" outlineLevel="0" collapsed="false">
      <c r="A6303" s="150" t="n">
        <v>91834</v>
      </c>
      <c r="B6303" s="151" t="s">
        <v>2579</v>
      </c>
      <c r="C6303" s="152" t="s">
        <v>59</v>
      </c>
      <c r="D6303" s="152" t="s">
        <v>1455</v>
      </c>
      <c r="E6303" s="150"/>
      <c r="F6303" s="153" t="n">
        <f aca="false">(SUMPRODUCT($E6304:$E6317,F6304:F6317))*1</f>
        <v>5.450764</v>
      </c>
      <c r="G6303" s="153" t="n">
        <f aca="false">(SUMPRODUCT($E6304:$E6317,G6304:G6317))*1</f>
        <v>8.15966966184</v>
      </c>
    </row>
    <row r="6304" customFormat="false" ht="21" hidden="false" customHeight="false" outlineLevel="0" collapsed="false">
      <c r="A6304" s="154" t="n">
        <v>37370</v>
      </c>
      <c r="B6304" s="155" t="s">
        <v>1443</v>
      </c>
      <c r="C6304" s="148" t="str">
        <f aca="false">VLOOKUP($A6304,INSUMOS_AUX!$A$3:$H$813,3,0)</f>
        <v>MAT.</v>
      </c>
      <c r="D6304" s="156" t="s">
        <v>1444</v>
      </c>
      <c r="E6304" s="154" t="n">
        <v>0.4414</v>
      </c>
      <c r="F6304" s="149" t="n">
        <f aca="false">IF(C6304="MAT.",VLOOKUP(A6304,INSUMOS_AUX!$A$3:$H$813,6,0),0)</f>
        <v>3.32</v>
      </c>
      <c r="G6304" s="149" t="n">
        <f aca="false">IF(C6304="M.O.",VLOOKUP(A6304,INSUMOS_AUX!A:F,6,0),0)</f>
        <v>0</v>
      </c>
    </row>
    <row r="6305" customFormat="false" ht="21" hidden="false" customHeight="false" outlineLevel="0" collapsed="false">
      <c r="A6305" s="154" t="n">
        <v>43484</v>
      </c>
      <c r="B6305" s="155" t="s">
        <v>1523</v>
      </c>
      <c r="C6305" s="148" t="str">
        <f aca="false">VLOOKUP($A6305,INSUMOS_AUX!$A$3:$H$813,3,0)</f>
        <v>MAT.</v>
      </c>
      <c r="D6305" s="156" t="s">
        <v>1444</v>
      </c>
      <c r="E6305" s="154" t="n">
        <v>0.182</v>
      </c>
      <c r="F6305" s="149" t="n">
        <f aca="false">IF(C6305="MAT.",VLOOKUP(A6305,INSUMOS_AUX!$A$3:$H$813,6,0),0)</f>
        <v>1.26</v>
      </c>
      <c r="G6305" s="149" t="n">
        <f aca="false">IF(C6305="M.O.",VLOOKUP(A6305,INSUMOS_AUX!A:F,6,0),0)</f>
        <v>0</v>
      </c>
    </row>
    <row r="6306" customFormat="false" ht="21" hidden="false" customHeight="false" outlineLevel="0" collapsed="false">
      <c r="A6306" s="154" t="n">
        <v>43485</v>
      </c>
      <c r="B6306" s="155" t="s">
        <v>1481</v>
      </c>
      <c r="C6306" s="148" t="str">
        <f aca="false">VLOOKUP($A6306,INSUMOS_AUX!$A$3:$H$813,3,0)</f>
        <v>MAT.</v>
      </c>
      <c r="D6306" s="156" t="s">
        <v>1444</v>
      </c>
      <c r="E6306" s="154" t="n">
        <v>0.2594</v>
      </c>
      <c r="F6306" s="149" t="n">
        <f aca="false">IF(C6306="MAT.",VLOOKUP(A6306,INSUMOS_AUX!$A$3:$H$813,6,0),0)</f>
        <v>1.13</v>
      </c>
      <c r="G6306" s="149" t="n">
        <f aca="false">IF(C6306="M.O.",VLOOKUP(A6306,INSUMOS_AUX!A:F,6,0),0)</f>
        <v>0</v>
      </c>
    </row>
    <row r="6307" customFormat="false" ht="21" hidden="false" customHeight="false" outlineLevel="0" collapsed="false">
      <c r="A6307" s="154" t="n">
        <v>37372</v>
      </c>
      <c r="B6307" s="155" t="s">
        <v>1446</v>
      </c>
      <c r="C6307" s="148" t="str">
        <f aca="false">VLOOKUP($A6307,INSUMOS_AUX!$A$3:$H$813,3,0)</f>
        <v>MAT.</v>
      </c>
      <c r="D6307" s="156" t="s">
        <v>1444</v>
      </c>
      <c r="E6307" s="154" t="n">
        <v>0.4414</v>
      </c>
      <c r="F6307" s="149" t="n">
        <f aca="false">IF(C6307="MAT.",VLOOKUP(A6307,INSUMOS_AUX!$A$3:$H$813,6,0),0)</f>
        <v>1.43</v>
      </c>
      <c r="G6307" s="149" t="n">
        <f aca="false">IF(C6307="M.O.",VLOOKUP(A6307,INSUMOS_AUX!A:F,6,0),0)</f>
        <v>0</v>
      </c>
    </row>
    <row r="6308" customFormat="false" ht="21" hidden="false" customHeight="false" outlineLevel="0" collapsed="false">
      <c r="A6308" s="154" t="n">
        <v>43460</v>
      </c>
      <c r="B6308" s="155" t="s">
        <v>1524</v>
      </c>
      <c r="C6308" s="148" t="str">
        <f aca="false">VLOOKUP($A6308,INSUMOS_AUX!$A$3:$H$813,3,0)</f>
        <v>MAT.</v>
      </c>
      <c r="D6308" s="156" t="s">
        <v>1444</v>
      </c>
      <c r="E6308" s="154" t="n">
        <v>0.182</v>
      </c>
      <c r="F6308" s="149" t="n">
        <f aca="false">IF(C6308="MAT.",VLOOKUP(A6308,INSUMOS_AUX!$A$3:$H$813,6,0),0)</f>
        <v>0.86</v>
      </c>
      <c r="G6308" s="149" t="n">
        <f aca="false">IF(C6308="M.O.",VLOOKUP(A6308,INSUMOS_AUX!A:F,6,0),0)</f>
        <v>0</v>
      </c>
    </row>
    <row r="6309" customFormat="false" ht="21" hidden="false" customHeight="false" outlineLevel="0" collapsed="false">
      <c r="A6309" s="154" t="n">
        <v>43461</v>
      </c>
      <c r="B6309" s="155" t="s">
        <v>1482</v>
      </c>
      <c r="C6309" s="148" t="str">
        <f aca="false">VLOOKUP($A6309,INSUMOS_AUX!$A$3:$H$813,3,0)</f>
        <v>MAT.</v>
      </c>
      <c r="D6309" s="156" t="s">
        <v>1444</v>
      </c>
      <c r="E6309" s="154" t="n">
        <v>0.2594</v>
      </c>
      <c r="F6309" s="149" t="n">
        <f aca="false">IF(C6309="MAT.",VLOOKUP(A6309,INSUMOS_AUX!$A$3:$H$813,6,0),0)</f>
        <v>0.31</v>
      </c>
      <c r="G6309" s="149" t="n">
        <f aca="false">IF(C6309="M.O.",VLOOKUP(A6309,INSUMOS_AUX!A:F,6,0),0)</f>
        <v>0</v>
      </c>
    </row>
    <row r="6310" customFormat="false" ht="21" hidden="false" customHeight="false" outlineLevel="0" collapsed="false">
      <c r="A6310" s="154" t="n">
        <v>37373</v>
      </c>
      <c r="B6310" s="155" t="s">
        <v>1448</v>
      </c>
      <c r="C6310" s="148" t="str">
        <f aca="false">VLOOKUP($A6310,INSUMOS_AUX!$A$3:$H$813,3,0)</f>
        <v>MAT.</v>
      </c>
      <c r="D6310" s="156" t="s">
        <v>1444</v>
      </c>
      <c r="E6310" s="154" t="n">
        <v>0.4414</v>
      </c>
      <c r="F6310" s="149" t="n">
        <f aca="false">IF(C6310="MAT.",VLOOKUP(A6310,INSUMOS_AUX!$A$3:$H$813,6,0),0)</f>
        <v>0.08</v>
      </c>
      <c r="G6310" s="149" t="n">
        <f aca="false">IF(C6310="M.O.",VLOOKUP(A6310,INSUMOS_AUX!A:F,6,0),0)</f>
        <v>0</v>
      </c>
    </row>
    <row r="6311" customFormat="false" ht="21" hidden="false" customHeight="false" outlineLevel="0" collapsed="false">
      <c r="A6311" s="154" t="n">
        <v>37371</v>
      </c>
      <c r="B6311" s="155" t="s">
        <v>1449</v>
      </c>
      <c r="C6311" s="148" t="str">
        <f aca="false">VLOOKUP($A6311,INSUMOS_AUX!$A$3:$H$813,3,0)</f>
        <v>MAT.</v>
      </c>
      <c r="D6311" s="156" t="s">
        <v>1444</v>
      </c>
      <c r="E6311" s="154" t="n">
        <v>0.4414</v>
      </c>
      <c r="F6311" s="149" t="n">
        <f aca="false">IF(C6311="MAT.",VLOOKUP(A6311,INSUMOS_AUX!$A$3:$H$813,6,0),0)</f>
        <v>0.59</v>
      </c>
      <c r="G6311" s="149" t="n">
        <f aca="false">IF(C6311="M.O.",VLOOKUP(A6311,INSUMOS_AUX!A:F,6,0),0)</f>
        <v>0</v>
      </c>
    </row>
    <row r="6312" customFormat="false" ht="21" hidden="false" customHeight="false" outlineLevel="0" collapsed="false">
      <c r="A6312" s="154" t="n">
        <v>392</v>
      </c>
      <c r="B6312" s="155" t="s">
        <v>2386</v>
      </c>
      <c r="C6312" s="148" t="s">
        <v>59</v>
      </c>
      <c r="D6312" s="156" t="s">
        <v>31</v>
      </c>
      <c r="E6312" s="154" t="n">
        <v>1.7857</v>
      </c>
      <c r="F6312" s="149" t="n">
        <f aca="false">IF(C6312="MAT.",VLOOKUP(A6312,INSUMOS_AUX!$A$3:$H$813,6,0),0)</f>
        <v>0</v>
      </c>
      <c r="G6312" s="149" t="n">
        <f aca="false">IF(C6312="M.O.",VLOOKUP(A6312,INSUMOS_AUX!A:F,6,0),0)</f>
        <v>0</v>
      </c>
    </row>
    <row r="6313" customFormat="false" ht="15" hidden="false" customHeight="false" outlineLevel="0" collapsed="false">
      <c r="A6313" s="154" t="n">
        <v>2688</v>
      </c>
      <c r="B6313" s="155" t="s">
        <v>2580</v>
      </c>
      <c r="C6313" s="148" t="str">
        <f aca="false">VLOOKUP($A6313,INSUMOS_AUX!$A$3:$H$813,3,0)</f>
        <v>MAT.</v>
      </c>
      <c r="D6313" s="156" t="s">
        <v>1455</v>
      </c>
      <c r="E6313" s="154" t="n">
        <v>1.1</v>
      </c>
      <c r="F6313" s="149" t="n">
        <f aca="false">IF(C6313="MAT.",VLOOKUP(A6313,INSUMOS_AUX!$A$3:$H$813,6,0),0)</f>
        <v>2.09</v>
      </c>
      <c r="G6313" s="149" t="n">
        <f aca="false">IF(C6313="M.O.",VLOOKUP(A6313,INSUMOS_AUX!A:F,6,0),0)</f>
        <v>0</v>
      </c>
    </row>
    <row r="6314" customFormat="false" ht="15" hidden="false" customHeight="false" outlineLevel="0" collapsed="false">
      <c r="A6314" s="154" t="n">
        <v>247</v>
      </c>
      <c r="B6314" s="155" t="s">
        <v>1554</v>
      </c>
      <c r="C6314" s="148" t="str">
        <f aca="false">VLOOKUP($A6314,INSUMOS_AUX!$A$3:$H$813,3,0)</f>
        <v>M.O.</v>
      </c>
      <c r="D6314" s="156" t="s">
        <v>1444</v>
      </c>
      <c r="E6314" s="154" t="n">
        <v>0.09439612</v>
      </c>
      <c r="F6314" s="149" t="n">
        <f aca="false">IF(C6314="MAT.",VLOOKUP(A6314,INSUMOS_AUX!$A$3:$H$813,6,0),0)</f>
        <v>0</v>
      </c>
      <c r="G6314" s="149" t="n">
        <f aca="false">IF(C6314="M.O.",VLOOKUP(A6314,INSUMOS_AUX!A:F,6,0),0)</f>
        <v>13.26</v>
      </c>
    </row>
    <row r="6315" customFormat="false" ht="15" hidden="false" customHeight="false" outlineLevel="0" collapsed="false">
      <c r="A6315" s="154" t="n">
        <v>246</v>
      </c>
      <c r="B6315" s="155" t="s">
        <v>1752</v>
      </c>
      <c r="C6315" s="148" t="str">
        <f aca="false">VLOOKUP($A6315,INSUMOS_AUX!$A$3:$H$813,3,0)</f>
        <v>M.O.</v>
      </c>
      <c r="D6315" s="156" t="s">
        <v>1444</v>
      </c>
      <c r="E6315" s="154" t="n">
        <v>0.04886304</v>
      </c>
      <c r="F6315" s="149" t="n">
        <f aca="false">IF(C6315="MAT.",VLOOKUP(A6315,INSUMOS_AUX!$A$3:$H$813,6,0),0)</f>
        <v>0</v>
      </c>
      <c r="G6315" s="149" t="n">
        <f aca="false">IF(C6315="M.O.",VLOOKUP(A6315,INSUMOS_AUX!A:F,6,0),0)</f>
        <v>13.26</v>
      </c>
    </row>
    <row r="6316" customFormat="false" ht="15" hidden="false" customHeight="false" outlineLevel="0" collapsed="false">
      <c r="A6316" s="154" t="n">
        <v>2436</v>
      </c>
      <c r="B6316" s="155" t="s">
        <v>1557</v>
      </c>
      <c r="C6316" s="148" t="str">
        <f aca="false">VLOOKUP($A6316,INSUMOS_AUX!$A$3:$H$813,3,0)</f>
        <v>M.O.</v>
      </c>
      <c r="D6316" s="156" t="s">
        <v>1444</v>
      </c>
      <c r="E6316" s="154" t="n">
        <v>0.09439612</v>
      </c>
      <c r="F6316" s="149" t="n">
        <f aca="false">IF(C6316="MAT.",VLOOKUP(A6316,INSUMOS_AUX!$A$3:$H$813,6,0),0)</f>
        <v>0</v>
      </c>
      <c r="G6316" s="149" t="n">
        <f aca="false">IF(C6316="M.O.",VLOOKUP(A6316,INSUMOS_AUX!A:F,6,0),0)</f>
        <v>20.22</v>
      </c>
    </row>
    <row r="6317" customFormat="false" ht="15" hidden="false" customHeight="false" outlineLevel="0" collapsed="false">
      <c r="A6317" s="154" t="n">
        <v>2696</v>
      </c>
      <c r="B6317" s="155" t="s">
        <v>1483</v>
      </c>
      <c r="C6317" s="148" t="str">
        <f aca="false">VLOOKUP($A6317,INSUMOS_AUX!$A$3:$H$813,3,0)</f>
        <v>M.O.</v>
      </c>
      <c r="D6317" s="156" t="s">
        <v>1444</v>
      </c>
      <c r="E6317" s="154" t="n">
        <v>0.215200972</v>
      </c>
      <c r="F6317" s="149" t="n">
        <f aca="false">IF(C6317="MAT.",VLOOKUP(A6317,INSUMOS_AUX!$A$3:$H$813,6,0),0)</f>
        <v>0</v>
      </c>
      <c r="G6317" s="149" t="n">
        <f aca="false">IF(C6317="M.O.",VLOOKUP(A6317,INSUMOS_AUX!A:F,6,0),0)</f>
        <v>20.22</v>
      </c>
    </row>
    <row r="6318" customFormat="false" ht="21" hidden="false" customHeight="false" outlineLevel="0" collapsed="false">
      <c r="A6318" s="150" t="s">
        <v>1065</v>
      </c>
      <c r="B6318" s="151" t="s">
        <v>2581</v>
      </c>
      <c r="C6318" s="152" t="s">
        <v>59</v>
      </c>
      <c r="D6318" s="152" t="s">
        <v>31</v>
      </c>
      <c r="E6318" s="150"/>
      <c r="F6318" s="153" t="n">
        <f aca="false">(SUMPRODUCT($E6319:$E6327,F6319:F6327))*1</f>
        <v>685.853491333333</v>
      </c>
      <c r="G6318" s="153" t="n">
        <f aca="false">(SUMPRODUCT($E6319:$E6327,G6319:G6327))*1</f>
        <v>63.57907927368</v>
      </c>
    </row>
    <row r="6319" customFormat="false" ht="21" hidden="false" customHeight="false" outlineLevel="0" collapsed="false">
      <c r="A6319" s="154" t="n">
        <v>37370</v>
      </c>
      <c r="B6319" s="155" t="s">
        <v>1443</v>
      </c>
      <c r="C6319" s="148" t="str">
        <f aca="false">VLOOKUP($A6319,INSUMOS_AUX!$A$3:$H$813,3,0)</f>
        <v>MAT.</v>
      </c>
      <c r="D6319" s="156" t="s">
        <v>1444</v>
      </c>
      <c r="E6319" s="154" t="n">
        <v>3.3727</v>
      </c>
      <c r="F6319" s="149" t="n">
        <f aca="false">IF(C6319="MAT.",VLOOKUP(A6319,INSUMOS_AUX!$A$3:$H$813,6,0),0)</f>
        <v>3.32</v>
      </c>
      <c r="G6319" s="149" t="n">
        <f aca="false">IF(C6319="M.O.",VLOOKUP(A6319,INSUMOS_AUX!A:F,6,0),0)</f>
        <v>0</v>
      </c>
    </row>
    <row r="6320" customFormat="false" ht="21" hidden="false" customHeight="false" outlineLevel="0" collapsed="false">
      <c r="A6320" s="154" t="n">
        <v>43484</v>
      </c>
      <c r="B6320" s="155" t="s">
        <v>1523</v>
      </c>
      <c r="C6320" s="148" t="str">
        <f aca="false">VLOOKUP($A6320,INSUMOS_AUX!$A$3:$H$813,3,0)</f>
        <v>MAT.</v>
      </c>
      <c r="D6320" s="156" t="s">
        <v>1444</v>
      </c>
      <c r="E6320" s="154" t="n">
        <v>3.3727</v>
      </c>
      <c r="F6320" s="149" t="n">
        <f aca="false">IF(C6320="MAT.",VLOOKUP(A6320,INSUMOS_AUX!$A$3:$H$813,6,0),0)</f>
        <v>1.26</v>
      </c>
      <c r="G6320" s="149" t="n">
        <f aca="false">IF(C6320="M.O.",VLOOKUP(A6320,INSUMOS_AUX!A:F,6,0),0)</f>
        <v>0</v>
      </c>
    </row>
    <row r="6321" customFormat="false" ht="21" hidden="false" customHeight="false" outlineLevel="0" collapsed="false">
      <c r="A6321" s="154" t="n">
        <v>37372</v>
      </c>
      <c r="B6321" s="155" t="s">
        <v>1446</v>
      </c>
      <c r="C6321" s="148" t="str">
        <f aca="false">VLOOKUP($A6321,INSUMOS_AUX!$A$3:$H$813,3,0)</f>
        <v>MAT.</v>
      </c>
      <c r="D6321" s="156" t="s">
        <v>1444</v>
      </c>
      <c r="E6321" s="154" t="n">
        <v>3.3727</v>
      </c>
      <c r="F6321" s="149" t="n">
        <f aca="false">IF(C6321="MAT.",VLOOKUP(A6321,INSUMOS_AUX!$A$3:$H$813,6,0),0)</f>
        <v>1.43</v>
      </c>
      <c r="G6321" s="149" t="n">
        <f aca="false">IF(C6321="M.O.",VLOOKUP(A6321,INSUMOS_AUX!A:F,6,0),0)</f>
        <v>0</v>
      </c>
    </row>
    <row r="6322" customFormat="false" ht="21" hidden="false" customHeight="false" outlineLevel="0" collapsed="false">
      <c r="A6322" s="154" t="n">
        <v>43460</v>
      </c>
      <c r="B6322" s="155" t="s">
        <v>1524</v>
      </c>
      <c r="C6322" s="148" t="str">
        <f aca="false">VLOOKUP($A6322,INSUMOS_AUX!$A$3:$H$813,3,0)</f>
        <v>MAT.</v>
      </c>
      <c r="D6322" s="156" t="s">
        <v>1444</v>
      </c>
      <c r="E6322" s="154" t="n">
        <v>3.3727</v>
      </c>
      <c r="F6322" s="149" t="n">
        <f aca="false">IF(C6322="MAT.",VLOOKUP(A6322,INSUMOS_AUX!$A$3:$H$813,6,0),0)</f>
        <v>0.86</v>
      </c>
      <c r="G6322" s="149" t="n">
        <f aca="false">IF(C6322="M.O.",VLOOKUP(A6322,INSUMOS_AUX!A:F,6,0),0)</f>
        <v>0</v>
      </c>
    </row>
    <row r="6323" customFormat="false" ht="21" hidden="false" customHeight="false" outlineLevel="0" collapsed="false">
      <c r="A6323" s="154" t="n">
        <v>37373</v>
      </c>
      <c r="B6323" s="155" t="s">
        <v>1448</v>
      </c>
      <c r="C6323" s="148" t="str">
        <f aca="false">VLOOKUP($A6323,INSUMOS_AUX!$A$3:$H$813,3,0)</f>
        <v>MAT.</v>
      </c>
      <c r="D6323" s="156" t="s">
        <v>1444</v>
      </c>
      <c r="E6323" s="154" t="n">
        <v>3.3727</v>
      </c>
      <c r="F6323" s="149" t="n">
        <f aca="false">IF(C6323="MAT.",VLOOKUP(A6323,INSUMOS_AUX!$A$3:$H$813,6,0),0)</f>
        <v>0.08</v>
      </c>
      <c r="G6323" s="149" t="n">
        <f aca="false">IF(C6323="M.O.",VLOOKUP(A6323,INSUMOS_AUX!A:F,6,0),0)</f>
        <v>0</v>
      </c>
    </row>
    <row r="6324" customFormat="false" ht="21" hidden="false" customHeight="false" outlineLevel="0" collapsed="false">
      <c r="A6324" s="154" t="n">
        <v>37371</v>
      </c>
      <c r="B6324" s="155" t="s">
        <v>1449</v>
      </c>
      <c r="C6324" s="148" t="str">
        <f aca="false">VLOOKUP($A6324,INSUMOS_AUX!$A$3:$H$813,3,0)</f>
        <v>MAT.</v>
      </c>
      <c r="D6324" s="156" t="s">
        <v>1444</v>
      </c>
      <c r="E6324" s="154" t="n">
        <v>3.3727</v>
      </c>
      <c r="F6324" s="149" t="n">
        <f aca="false">IF(C6324="MAT.",VLOOKUP(A6324,INSUMOS_AUX!$A$3:$H$813,6,0),0)</f>
        <v>0.59</v>
      </c>
      <c r="G6324" s="149" t="n">
        <f aca="false">IF(C6324="M.O.",VLOOKUP(A6324,INSUMOS_AUX!A:F,6,0),0)</f>
        <v>0</v>
      </c>
    </row>
    <row r="6325" customFormat="false" ht="15" hidden="false" customHeight="false" outlineLevel="0" collapsed="false">
      <c r="A6325" s="154" t="s">
        <v>2582</v>
      </c>
      <c r="B6325" s="155" t="s">
        <v>2583</v>
      </c>
      <c r="C6325" s="148" t="str">
        <f aca="false">VLOOKUP($A6325,INSUMOS_AUX!$A$3:$H$813,3,0)</f>
        <v>MAT.</v>
      </c>
      <c r="D6325" s="156" t="s">
        <v>31</v>
      </c>
      <c r="E6325" s="154" t="n">
        <v>1</v>
      </c>
      <c r="F6325" s="149" t="n">
        <f aca="false">IF(C6325="MAT.",VLOOKUP(A6325,INSUMOS_AUX!$A$3:$H$813,6,0),0)</f>
        <v>660.423333333333</v>
      </c>
      <c r="G6325" s="149" t="n">
        <f aca="false">IF(C6325="M.O.",VLOOKUP(A6325,INSUMOS_AUX!A:F,6,0),0)</f>
        <v>0</v>
      </c>
    </row>
    <row r="6326" customFormat="false" ht="15" hidden="false" customHeight="false" outlineLevel="0" collapsed="false">
      <c r="A6326" s="154" t="n">
        <v>247</v>
      </c>
      <c r="B6326" s="155" t="s">
        <v>1554</v>
      </c>
      <c r="C6326" s="148" t="str">
        <f aca="false">VLOOKUP($A6326,INSUMOS_AUX!$A$3:$H$813,3,0)</f>
        <v>M.O.</v>
      </c>
      <c r="D6326" s="156" t="s">
        <v>1444</v>
      </c>
      <c r="E6326" s="154" t="n">
        <v>1.02902144</v>
      </c>
      <c r="F6326" s="149" t="n">
        <f aca="false">IF(C6326="MAT.",VLOOKUP(A6326,INSUMOS_AUX!$A$3:$H$813,6,0),0)</f>
        <v>0</v>
      </c>
      <c r="G6326" s="149" t="n">
        <f aca="false">IF(C6326="M.O.",VLOOKUP(A6326,INSUMOS_AUX!A:F,6,0),0)</f>
        <v>13.26</v>
      </c>
    </row>
    <row r="6327" customFormat="false" ht="15" hidden="false" customHeight="false" outlineLevel="0" collapsed="false">
      <c r="A6327" s="154" t="n">
        <v>2436</v>
      </c>
      <c r="B6327" s="155" t="s">
        <v>1557</v>
      </c>
      <c r="C6327" s="148" t="str">
        <f aca="false">VLOOKUP($A6327,INSUMOS_AUX!$A$3:$H$813,3,0)</f>
        <v>M.O.</v>
      </c>
      <c r="D6327" s="156" t="s">
        <v>1444</v>
      </c>
      <c r="E6327" s="154" t="n">
        <v>2.469547724</v>
      </c>
      <c r="F6327" s="149" t="n">
        <f aca="false">IF(C6327="MAT.",VLOOKUP(A6327,INSUMOS_AUX!$A$3:$H$813,6,0),0)</f>
        <v>0</v>
      </c>
      <c r="G6327" s="149" t="n">
        <f aca="false">IF(C6327="M.O.",VLOOKUP(A6327,INSUMOS_AUX!A:F,6,0),0)</f>
        <v>20.22</v>
      </c>
    </row>
    <row r="6328" customFormat="false" ht="21" hidden="false" customHeight="false" outlineLevel="0" collapsed="false">
      <c r="A6328" s="150" t="s">
        <v>1069</v>
      </c>
      <c r="B6328" s="151" t="s">
        <v>2584</v>
      </c>
      <c r="C6328" s="152" t="s">
        <v>59</v>
      </c>
      <c r="D6328" s="152" t="s">
        <v>31</v>
      </c>
      <c r="E6328" s="150"/>
      <c r="F6328" s="153" t="n">
        <f aca="false">(SUMPRODUCT($E6329:$E6338,F6329:F6338))*1</f>
        <v>1404.36306666667</v>
      </c>
      <c r="G6328" s="153" t="n">
        <f aca="false">(SUMPRODUCT($E6329:$E6338,G6329:G6338))*1</f>
        <v>225.7415784</v>
      </c>
    </row>
    <row r="6329" customFormat="false" ht="21" hidden="false" customHeight="false" outlineLevel="0" collapsed="false">
      <c r="A6329" s="154" t="n">
        <v>37370</v>
      </c>
      <c r="B6329" s="155" t="s">
        <v>1443</v>
      </c>
      <c r="C6329" s="148" t="str">
        <f aca="false">VLOOKUP($A6329,INSUMOS_AUX!$A$3:$H$813,3,0)</f>
        <v>MAT.</v>
      </c>
      <c r="D6329" s="156" t="s">
        <v>1444</v>
      </c>
      <c r="E6329" s="154" t="n">
        <v>13</v>
      </c>
      <c r="F6329" s="149" t="n">
        <f aca="false">IF(C6329="MAT.",VLOOKUP(A6329,INSUMOS_AUX!$A$3:$H$813,6,0),0)</f>
        <v>3.32</v>
      </c>
      <c r="G6329" s="149" t="n">
        <f aca="false">IF(C6329="M.O.",VLOOKUP(A6329,INSUMOS_AUX!A:F,6,0),0)</f>
        <v>0</v>
      </c>
    </row>
    <row r="6330" customFormat="false" ht="21" hidden="false" customHeight="false" outlineLevel="0" collapsed="false">
      <c r="A6330" s="154" t="n">
        <v>43484</v>
      </c>
      <c r="B6330" s="155" t="s">
        <v>1523</v>
      </c>
      <c r="C6330" s="148" t="str">
        <f aca="false">VLOOKUP($A6330,INSUMOS_AUX!$A$3:$H$813,3,0)</f>
        <v>MAT.</v>
      </c>
      <c r="D6330" s="156" t="s">
        <v>1444</v>
      </c>
      <c r="E6330" s="154" t="n">
        <v>13</v>
      </c>
      <c r="F6330" s="149" t="n">
        <f aca="false">IF(C6330="MAT.",VLOOKUP(A6330,INSUMOS_AUX!$A$3:$H$813,6,0),0)</f>
        <v>1.26</v>
      </c>
      <c r="G6330" s="149" t="n">
        <f aca="false">IF(C6330="M.O.",VLOOKUP(A6330,INSUMOS_AUX!A:F,6,0),0)</f>
        <v>0</v>
      </c>
    </row>
    <row r="6331" customFormat="false" ht="21" hidden="false" customHeight="false" outlineLevel="0" collapsed="false">
      <c r="A6331" s="154" t="n">
        <v>37372</v>
      </c>
      <c r="B6331" s="155" t="s">
        <v>1446</v>
      </c>
      <c r="C6331" s="148" t="s">
        <v>59</v>
      </c>
      <c r="D6331" s="156" t="s">
        <v>1444</v>
      </c>
      <c r="E6331" s="154" t="n">
        <v>13</v>
      </c>
      <c r="F6331" s="149" t="n">
        <f aca="false">IF(C6331="MAT.",VLOOKUP(A6331,INSUMOS_AUX!$A$3:$H$813,6,0),0)</f>
        <v>0</v>
      </c>
      <c r="G6331" s="149" t="n">
        <f aca="false">IF(C6331="M.O.",VLOOKUP(A6331,INSUMOS_AUX!A:F,6,0),0)</f>
        <v>0</v>
      </c>
    </row>
    <row r="6332" customFormat="false" ht="21" hidden="false" customHeight="false" outlineLevel="0" collapsed="false">
      <c r="A6332" s="154" t="n">
        <v>43460</v>
      </c>
      <c r="B6332" s="155" t="s">
        <v>1524</v>
      </c>
      <c r="C6332" s="148" t="str">
        <f aca="false">VLOOKUP($A6332,INSUMOS_AUX!$A$3:$H$813,3,0)</f>
        <v>MAT.</v>
      </c>
      <c r="D6332" s="156" t="s">
        <v>1444</v>
      </c>
      <c r="E6332" s="154" t="n">
        <v>13</v>
      </c>
      <c r="F6332" s="149" t="n">
        <f aca="false">IF(C6332="MAT.",VLOOKUP(A6332,INSUMOS_AUX!$A$3:$H$813,6,0),0)</f>
        <v>0.86</v>
      </c>
      <c r="G6332" s="149" t="n">
        <f aca="false">IF(C6332="M.O.",VLOOKUP(A6332,INSUMOS_AUX!A:F,6,0),0)</f>
        <v>0</v>
      </c>
    </row>
    <row r="6333" customFormat="false" ht="21" hidden="false" customHeight="false" outlineLevel="0" collapsed="false">
      <c r="A6333" s="154" t="n">
        <v>37373</v>
      </c>
      <c r="B6333" s="155" t="s">
        <v>1448</v>
      </c>
      <c r="C6333" s="148" t="str">
        <f aca="false">VLOOKUP($A6333,INSUMOS_AUX!$A$3:$H$813,3,0)</f>
        <v>MAT.</v>
      </c>
      <c r="D6333" s="156" t="s">
        <v>1444</v>
      </c>
      <c r="E6333" s="154" t="n">
        <v>13</v>
      </c>
      <c r="F6333" s="149" t="n">
        <f aca="false">IF(C6333="MAT.",VLOOKUP(A6333,INSUMOS_AUX!$A$3:$H$813,6,0),0)</f>
        <v>0.08</v>
      </c>
      <c r="G6333" s="149" t="n">
        <f aca="false">IF(C6333="M.O.",VLOOKUP(A6333,INSUMOS_AUX!A:F,6,0),0)</f>
        <v>0</v>
      </c>
    </row>
    <row r="6334" customFormat="false" ht="21" hidden="false" customHeight="false" outlineLevel="0" collapsed="false">
      <c r="A6334" s="154" t="n">
        <v>37371</v>
      </c>
      <c r="B6334" s="155" t="s">
        <v>1449</v>
      </c>
      <c r="C6334" s="148" t="str">
        <f aca="false">VLOOKUP($A6334,INSUMOS_AUX!$A$3:$H$813,3,0)</f>
        <v>MAT.</v>
      </c>
      <c r="D6334" s="156" t="s">
        <v>1444</v>
      </c>
      <c r="E6334" s="154" t="n">
        <v>13</v>
      </c>
      <c r="F6334" s="149" t="n">
        <f aca="false">IF(C6334="MAT.",VLOOKUP(A6334,INSUMOS_AUX!$A$3:$H$813,6,0),0)</f>
        <v>0.59</v>
      </c>
      <c r="G6334" s="149" t="n">
        <f aca="false">IF(C6334="M.O.",VLOOKUP(A6334,INSUMOS_AUX!A:F,6,0),0)</f>
        <v>0</v>
      </c>
    </row>
    <row r="6335" customFormat="false" ht="15" hidden="false" customHeight="false" outlineLevel="0" collapsed="false">
      <c r="A6335" s="154" t="s">
        <v>2585</v>
      </c>
      <c r="B6335" s="155" t="s">
        <v>2586</v>
      </c>
      <c r="C6335" s="148" t="str">
        <f aca="false">VLOOKUP($A6335,INSUMOS_AUX!$A$3:$H$813,3,0)</f>
        <v>MAT.</v>
      </c>
      <c r="D6335" s="156" t="s">
        <v>1455</v>
      </c>
      <c r="E6335" s="154" t="n">
        <v>2</v>
      </c>
      <c r="F6335" s="149" t="n">
        <f aca="false">IF(C6335="MAT.",VLOOKUP(A6335,INSUMOS_AUX!$A$3:$H$813,6,0),0)</f>
        <v>4.04986666666667</v>
      </c>
      <c r="G6335" s="149" t="n">
        <f aca="false">IF(C6335="M.O.",VLOOKUP(A6335,INSUMOS_AUX!A:F,6,0),0)</f>
        <v>0</v>
      </c>
    </row>
    <row r="6336" customFormat="false" ht="15" hidden="false" customHeight="false" outlineLevel="0" collapsed="false">
      <c r="A6336" s="154" t="s">
        <v>2587</v>
      </c>
      <c r="B6336" s="155" t="s">
        <v>2588</v>
      </c>
      <c r="C6336" s="148" t="str">
        <f aca="false">VLOOKUP($A6336,INSUMOS_AUX!$A$3:$H$813,3,0)</f>
        <v>MAT.</v>
      </c>
      <c r="D6336" s="156" t="s">
        <v>31</v>
      </c>
      <c r="E6336" s="154" t="n">
        <v>50</v>
      </c>
      <c r="F6336" s="149" t="n">
        <f aca="false">IF(C6336="MAT.",VLOOKUP(A6336,INSUMOS_AUX!$A$3:$H$813,6,0),0)</f>
        <v>26.3366666666667</v>
      </c>
      <c r="G6336" s="149" t="n">
        <f aca="false">IF(C6336="M.O.",VLOOKUP(A6336,INSUMOS_AUX!A:F,6,0),0)</f>
        <v>0</v>
      </c>
    </row>
    <row r="6337" customFormat="false" ht="15" hidden="false" customHeight="false" outlineLevel="0" collapsed="false">
      <c r="A6337" s="154" t="n">
        <v>247</v>
      </c>
      <c r="B6337" s="155" t="s">
        <v>1554</v>
      </c>
      <c r="C6337" s="148" t="str">
        <f aca="false">VLOOKUP($A6337,INSUMOS_AUX!$A$3:$H$813,3,0)</f>
        <v>M.O.</v>
      </c>
      <c r="D6337" s="156" t="s">
        <v>1444</v>
      </c>
      <c r="E6337" s="154" t="n">
        <v>6.74258</v>
      </c>
      <c r="F6337" s="149" t="n">
        <f aca="false">IF(C6337="MAT.",VLOOKUP(A6337,INSUMOS_AUX!$A$3:$H$813,6,0),0)</f>
        <v>0</v>
      </c>
      <c r="G6337" s="149" t="n">
        <f aca="false">IF(C6337="M.O.",VLOOKUP(A6337,INSUMOS_AUX!A:F,6,0),0)</f>
        <v>13.26</v>
      </c>
    </row>
    <row r="6338" customFormat="false" ht="15" hidden="false" customHeight="false" outlineLevel="0" collapsed="false">
      <c r="A6338" s="154" t="n">
        <v>2436</v>
      </c>
      <c r="B6338" s="155" t="s">
        <v>1557</v>
      </c>
      <c r="C6338" s="148" t="str">
        <f aca="false">VLOOKUP($A6338,INSUMOS_AUX!$A$3:$H$813,3,0)</f>
        <v>M.O.</v>
      </c>
      <c r="D6338" s="156" t="s">
        <v>1444</v>
      </c>
      <c r="E6338" s="154" t="n">
        <v>6.74258</v>
      </c>
      <c r="F6338" s="149" t="n">
        <f aca="false">IF(C6338="MAT.",VLOOKUP(A6338,INSUMOS_AUX!$A$3:$H$813,6,0),0)</f>
        <v>0</v>
      </c>
      <c r="G6338" s="149" t="n">
        <f aca="false">IF(C6338="M.O.",VLOOKUP(A6338,INSUMOS_AUX!A:F,6,0),0)</f>
        <v>20.22</v>
      </c>
    </row>
    <row r="6339" customFormat="false" ht="21" hidden="false" customHeight="false" outlineLevel="0" collapsed="false">
      <c r="A6339" s="150" t="s">
        <v>1071</v>
      </c>
      <c r="B6339" s="151" t="s">
        <v>2589</v>
      </c>
      <c r="C6339" s="152" t="s">
        <v>59</v>
      </c>
      <c r="D6339" s="152" t="s">
        <v>31</v>
      </c>
      <c r="E6339" s="150"/>
      <c r="F6339" s="153" t="n">
        <f aca="false">(SUMPRODUCT($E6340:$E6348,F6340:F6348))*1</f>
        <v>3233.72333333333</v>
      </c>
      <c r="G6339" s="153" t="n">
        <f aca="false">(SUMPRODUCT($E6340:$E6348,G6340:G6348))*1</f>
        <v>69.4589472</v>
      </c>
    </row>
    <row r="6340" customFormat="false" ht="21" hidden="false" customHeight="false" outlineLevel="0" collapsed="false">
      <c r="A6340" s="154" t="n">
        <v>37370</v>
      </c>
      <c r="B6340" s="155" t="s">
        <v>1443</v>
      </c>
      <c r="C6340" s="148" t="str">
        <f aca="false">VLOOKUP($A6340,INSUMOS_AUX!$A$3:$H$813,3,0)</f>
        <v>MAT.</v>
      </c>
      <c r="D6340" s="156" t="s">
        <v>1444</v>
      </c>
      <c r="E6340" s="154" t="n">
        <v>4</v>
      </c>
      <c r="F6340" s="149" t="n">
        <f aca="false">IF(C6340="MAT.",VLOOKUP(A6340,INSUMOS_AUX!$A$3:$H$813,6,0),0)</f>
        <v>3.32</v>
      </c>
      <c r="G6340" s="149" t="n">
        <f aca="false">IF(C6340="M.O.",VLOOKUP(A6340,INSUMOS_AUX!A:F,6,0),0)</f>
        <v>0</v>
      </c>
    </row>
    <row r="6341" customFormat="false" ht="21" hidden="false" customHeight="false" outlineLevel="0" collapsed="false">
      <c r="A6341" s="154" t="n">
        <v>43484</v>
      </c>
      <c r="B6341" s="155" t="s">
        <v>1523</v>
      </c>
      <c r="C6341" s="148" t="str">
        <f aca="false">VLOOKUP($A6341,INSUMOS_AUX!$A$3:$H$813,3,0)</f>
        <v>MAT.</v>
      </c>
      <c r="D6341" s="156" t="s">
        <v>1444</v>
      </c>
      <c r="E6341" s="154" t="n">
        <v>4</v>
      </c>
      <c r="F6341" s="149" t="n">
        <f aca="false">IF(C6341="MAT.",VLOOKUP(A6341,INSUMOS_AUX!$A$3:$H$813,6,0),0)</f>
        <v>1.26</v>
      </c>
      <c r="G6341" s="149" t="n">
        <f aca="false">IF(C6341="M.O.",VLOOKUP(A6341,INSUMOS_AUX!A:F,6,0),0)</f>
        <v>0</v>
      </c>
    </row>
    <row r="6342" customFormat="false" ht="21" hidden="false" customHeight="false" outlineLevel="0" collapsed="false">
      <c r="A6342" s="154" t="n">
        <v>37372</v>
      </c>
      <c r="B6342" s="155" t="s">
        <v>1446</v>
      </c>
      <c r="C6342" s="148" t="s">
        <v>59</v>
      </c>
      <c r="D6342" s="156" t="s">
        <v>1444</v>
      </c>
      <c r="E6342" s="154" t="n">
        <v>4</v>
      </c>
      <c r="F6342" s="149" t="n">
        <f aca="false">IF(C6342="MAT.",VLOOKUP(A6342,INSUMOS_AUX!$A$3:$H$813,6,0),0)</f>
        <v>0</v>
      </c>
      <c r="G6342" s="149" t="n">
        <f aca="false">IF(C6342="M.O.",VLOOKUP(A6342,INSUMOS_AUX!A:F,6,0),0)</f>
        <v>0</v>
      </c>
    </row>
    <row r="6343" customFormat="false" ht="21" hidden="false" customHeight="false" outlineLevel="0" collapsed="false">
      <c r="A6343" s="154" t="n">
        <v>43460</v>
      </c>
      <c r="B6343" s="155" t="s">
        <v>1524</v>
      </c>
      <c r="C6343" s="148" t="str">
        <f aca="false">VLOOKUP($A6343,INSUMOS_AUX!$A$3:$H$813,3,0)</f>
        <v>MAT.</v>
      </c>
      <c r="D6343" s="156" t="s">
        <v>1444</v>
      </c>
      <c r="E6343" s="154" t="n">
        <v>4</v>
      </c>
      <c r="F6343" s="149" t="n">
        <f aca="false">IF(C6343="MAT.",VLOOKUP(A6343,INSUMOS_AUX!$A$3:$H$813,6,0),0)</f>
        <v>0.86</v>
      </c>
      <c r="G6343" s="149" t="n">
        <f aca="false">IF(C6343="M.O.",VLOOKUP(A6343,INSUMOS_AUX!A:F,6,0),0)</f>
        <v>0</v>
      </c>
    </row>
    <row r="6344" customFormat="false" ht="21" hidden="false" customHeight="false" outlineLevel="0" collapsed="false">
      <c r="A6344" s="154" t="n">
        <v>37373</v>
      </c>
      <c r="B6344" s="155" t="s">
        <v>1448</v>
      </c>
      <c r="C6344" s="148" t="str">
        <f aca="false">VLOOKUP($A6344,INSUMOS_AUX!$A$3:$H$813,3,0)</f>
        <v>MAT.</v>
      </c>
      <c r="D6344" s="156" t="s">
        <v>1444</v>
      </c>
      <c r="E6344" s="154" t="n">
        <v>4</v>
      </c>
      <c r="F6344" s="149" t="n">
        <f aca="false">IF(C6344="MAT.",VLOOKUP(A6344,INSUMOS_AUX!$A$3:$H$813,6,0),0)</f>
        <v>0.08</v>
      </c>
      <c r="G6344" s="149" t="n">
        <f aca="false">IF(C6344="M.O.",VLOOKUP(A6344,INSUMOS_AUX!A:F,6,0),0)</f>
        <v>0</v>
      </c>
    </row>
    <row r="6345" customFormat="false" ht="21" hidden="false" customHeight="false" outlineLevel="0" collapsed="false">
      <c r="A6345" s="154" t="n">
        <v>37371</v>
      </c>
      <c r="B6345" s="155" t="s">
        <v>1449</v>
      </c>
      <c r="C6345" s="148" t="str">
        <f aca="false">VLOOKUP($A6345,INSUMOS_AUX!$A$3:$H$813,3,0)</f>
        <v>MAT.</v>
      </c>
      <c r="D6345" s="156" t="s">
        <v>1444</v>
      </c>
      <c r="E6345" s="154" t="n">
        <v>4</v>
      </c>
      <c r="F6345" s="149" t="n">
        <f aca="false">IF(C6345="MAT.",VLOOKUP(A6345,INSUMOS_AUX!$A$3:$H$813,6,0),0)</f>
        <v>0.59</v>
      </c>
      <c r="G6345" s="149" t="n">
        <f aca="false">IF(C6345="M.O.",VLOOKUP(A6345,INSUMOS_AUX!A:F,6,0),0)</f>
        <v>0</v>
      </c>
    </row>
    <row r="6346" customFormat="false" ht="15" hidden="false" customHeight="false" outlineLevel="0" collapsed="false">
      <c r="A6346" s="154" t="s">
        <v>2590</v>
      </c>
      <c r="B6346" s="155" t="s">
        <v>2591</v>
      </c>
      <c r="C6346" s="148" t="str">
        <f aca="false">VLOOKUP($A6346,INSUMOS_AUX!$A$3:$H$813,3,0)</f>
        <v>MAT.</v>
      </c>
      <c r="D6346" s="156" t="s">
        <v>31</v>
      </c>
      <c r="E6346" s="154" t="n">
        <v>1</v>
      </c>
      <c r="F6346" s="149" t="n">
        <f aca="false">IF(C6346="MAT.",VLOOKUP(A6346,INSUMOS_AUX!$A$3:$H$813,6,0),0)</f>
        <v>3209.28333333333</v>
      </c>
      <c r="G6346" s="149" t="n">
        <f aca="false">IF(C6346="M.O.",VLOOKUP(A6346,INSUMOS_AUX!A:F,6,0),0)</f>
        <v>0</v>
      </c>
    </row>
    <row r="6347" customFormat="false" ht="15" hidden="false" customHeight="false" outlineLevel="0" collapsed="false">
      <c r="A6347" s="154" t="n">
        <v>247</v>
      </c>
      <c r="B6347" s="155" t="s">
        <v>1554</v>
      </c>
      <c r="C6347" s="148" t="str">
        <f aca="false">VLOOKUP($A6347,INSUMOS_AUX!$A$3:$H$813,3,0)</f>
        <v>M.O.</v>
      </c>
      <c r="D6347" s="156" t="s">
        <v>1444</v>
      </c>
      <c r="E6347" s="154" t="n">
        <v>2.07464</v>
      </c>
      <c r="F6347" s="149" t="n">
        <f aca="false">IF(C6347="MAT.",VLOOKUP(A6347,INSUMOS_AUX!$A$3:$H$813,6,0),0)</f>
        <v>0</v>
      </c>
      <c r="G6347" s="149" t="n">
        <f aca="false">IF(C6347="M.O.",VLOOKUP(A6347,INSUMOS_AUX!A:F,6,0),0)</f>
        <v>13.26</v>
      </c>
    </row>
    <row r="6348" customFormat="false" ht="15" hidden="false" customHeight="false" outlineLevel="0" collapsed="false">
      <c r="A6348" s="154" t="n">
        <v>2436</v>
      </c>
      <c r="B6348" s="155" t="s">
        <v>1557</v>
      </c>
      <c r="C6348" s="148" t="str">
        <f aca="false">VLOOKUP($A6348,INSUMOS_AUX!$A$3:$H$813,3,0)</f>
        <v>M.O.</v>
      </c>
      <c r="D6348" s="156" t="s">
        <v>1444</v>
      </c>
      <c r="E6348" s="154" t="n">
        <v>2.07464</v>
      </c>
      <c r="F6348" s="149" t="n">
        <f aca="false">IF(C6348="MAT.",VLOOKUP(A6348,INSUMOS_AUX!$A$3:$H$813,6,0),0)</f>
        <v>0</v>
      </c>
      <c r="G6348" s="149" t="n">
        <f aca="false">IF(C6348="M.O.",VLOOKUP(A6348,INSUMOS_AUX!A:F,6,0),0)</f>
        <v>20.22</v>
      </c>
    </row>
    <row r="6349" customFormat="false" ht="21" hidden="false" customHeight="false" outlineLevel="0" collapsed="false">
      <c r="A6349" s="150" t="s">
        <v>1073</v>
      </c>
      <c r="B6349" s="151" t="s">
        <v>2592</v>
      </c>
      <c r="C6349" s="152" t="s">
        <v>59</v>
      </c>
      <c r="D6349" s="152" t="s">
        <v>31</v>
      </c>
      <c r="E6349" s="150"/>
      <c r="F6349" s="153" t="n">
        <f aca="false">(SUMPRODUCT($E6350:$E6358,F6350:F6358))*1</f>
        <v>527.362946</v>
      </c>
      <c r="G6349" s="153" t="n">
        <f aca="false">(SUMPRODUCT($E6350:$E6358,G6350:G6358))*1</f>
        <v>11.26276828848</v>
      </c>
    </row>
    <row r="6350" customFormat="false" ht="21" hidden="false" customHeight="false" outlineLevel="0" collapsed="false">
      <c r="A6350" s="154" t="n">
        <v>37370</v>
      </c>
      <c r="B6350" s="155" t="s">
        <v>1443</v>
      </c>
      <c r="C6350" s="148" t="str">
        <f aca="false">VLOOKUP($A6350,INSUMOS_AUX!$A$3:$H$813,3,0)</f>
        <v>MAT.</v>
      </c>
      <c r="D6350" s="156" t="s">
        <v>1444</v>
      </c>
      <c r="E6350" s="154" t="n">
        <v>0.6486</v>
      </c>
      <c r="F6350" s="149" t="n">
        <f aca="false">IF(C6350="MAT.",VLOOKUP(A6350,INSUMOS_AUX!$A$3:$H$813,6,0),0)</f>
        <v>3.32</v>
      </c>
      <c r="G6350" s="149" t="n">
        <f aca="false">IF(C6350="M.O.",VLOOKUP(A6350,INSUMOS_AUX!A:F,6,0),0)</f>
        <v>0</v>
      </c>
    </row>
    <row r="6351" customFormat="false" ht="21" hidden="false" customHeight="false" outlineLevel="0" collapsed="false">
      <c r="A6351" s="154" t="n">
        <v>43484</v>
      </c>
      <c r="B6351" s="155" t="s">
        <v>1523</v>
      </c>
      <c r="C6351" s="148" t="str">
        <f aca="false">VLOOKUP($A6351,INSUMOS_AUX!$A$3:$H$813,3,0)</f>
        <v>MAT.</v>
      </c>
      <c r="D6351" s="156" t="s">
        <v>1444</v>
      </c>
      <c r="E6351" s="154" t="n">
        <v>0.6486</v>
      </c>
      <c r="F6351" s="149" t="n">
        <f aca="false">IF(C6351="MAT.",VLOOKUP(A6351,INSUMOS_AUX!$A$3:$H$813,6,0),0)</f>
        <v>1.26</v>
      </c>
      <c r="G6351" s="149" t="n">
        <f aca="false">IF(C6351="M.O.",VLOOKUP(A6351,INSUMOS_AUX!A:F,6,0),0)</f>
        <v>0</v>
      </c>
    </row>
    <row r="6352" customFormat="false" ht="21" hidden="false" customHeight="false" outlineLevel="0" collapsed="false">
      <c r="A6352" s="154" t="n">
        <v>37372</v>
      </c>
      <c r="B6352" s="155" t="s">
        <v>1446</v>
      </c>
      <c r="C6352" s="148" t="s">
        <v>59</v>
      </c>
      <c r="D6352" s="156" t="s">
        <v>1444</v>
      </c>
      <c r="E6352" s="154" t="n">
        <v>0.6486</v>
      </c>
      <c r="F6352" s="149" t="n">
        <f aca="false">IF(C6352="MAT.",VLOOKUP(A6352,INSUMOS_AUX!$A$3:$H$813,6,0),0)</f>
        <v>0</v>
      </c>
      <c r="G6352" s="149" t="n">
        <f aca="false">IF(C6352="M.O.",VLOOKUP(A6352,INSUMOS_AUX!A:F,6,0),0)</f>
        <v>0</v>
      </c>
    </row>
    <row r="6353" customFormat="false" ht="21" hidden="false" customHeight="false" outlineLevel="0" collapsed="false">
      <c r="A6353" s="154" t="n">
        <v>43460</v>
      </c>
      <c r="B6353" s="155" t="s">
        <v>1524</v>
      </c>
      <c r="C6353" s="148" t="str">
        <f aca="false">VLOOKUP($A6353,INSUMOS_AUX!$A$3:$H$813,3,0)</f>
        <v>MAT.</v>
      </c>
      <c r="D6353" s="156" t="s">
        <v>1444</v>
      </c>
      <c r="E6353" s="154" t="n">
        <v>0.6486</v>
      </c>
      <c r="F6353" s="149" t="n">
        <f aca="false">IF(C6353="MAT.",VLOOKUP(A6353,INSUMOS_AUX!$A$3:$H$813,6,0),0)</f>
        <v>0.86</v>
      </c>
      <c r="G6353" s="149" t="n">
        <f aca="false">IF(C6353="M.O.",VLOOKUP(A6353,INSUMOS_AUX!A:F,6,0),0)</f>
        <v>0</v>
      </c>
    </row>
    <row r="6354" customFormat="false" ht="21" hidden="false" customHeight="false" outlineLevel="0" collapsed="false">
      <c r="A6354" s="154" t="n">
        <v>37373</v>
      </c>
      <c r="B6354" s="155" t="s">
        <v>1448</v>
      </c>
      <c r="C6354" s="148" t="str">
        <f aca="false">VLOOKUP($A6354,INSUMOS_AUX!$A$3:$H$813,3,0)</f>
        <v>MAT.</v>
      </c>
      <c r="D6354" s="156" t="s">
        <v>1444</v>
      </c>
      <c r="E6354" s="154" t="n">
        <v>0.6486</v>
      </c>
      <c r="F6354" s="149" t="n">
        <f aca="false">IF(C6354="MAT.",VLOOKUP(A6354,INSUMOS_AUX!$A$3:$H$813,6,0),0)</f>
        <v>0.08</v>
      </c>
      <c r="G6354" s="149" t="n">
        <f aca="false">IF(C6354="M.O.",VLOOKUP(A6354,INSUMOS_AUX!A:F,6,0),0)</f>
        <v>0</v>
      </c>
    </row>
    <row r="6355" customFormat="false" ht="21" hidden="false" customHeight="false" outlineLevel="0" collapsed="false">
      <c r="A6355" s="154" t="n">
        <v>37371</v>
      </c>
      <c r="B6355" s="155" t="s">
        <v>1449</v>
      </c>
      <c r="C6355" s="148" t="str">
        <f aca="false">VLOOKUP($A6355,INSUMOS_AUX!$A$3:$H$813,3,0)</f>
        <v>MAT.</v>
      </c>
      <c r="D6355" s="156" t="s">
        <v>1444</v>
      </c>
      <c r="E6355" s="154" t="n">
        <v>0.6486</v>
      </c>
      <c r="F6355" s="149" t="n">
        <f aca="false">IF(C6355="MAT.",VLOOKUP(A6355,INSUMOS_AUX!$A$3:$H$813,6,0),0)</f>
        <v>0.59</v>
      </c>
      <c r="G6355" s="149" t="n">
        <f aca="false">IF(C6355="M.O.",VLOOKUP(A6355,INSUMOS_AUX!A:F,6,0),0)</f>
        <v>0</v>
      </c>
    </row>
    <row r="6356" customFormat="false" ht="15" hidden="false" customHeight="false" outlineLevel="0" collapsed="false">
      <c r="A6356" s="154" t="s">
        <v>2593</v>
      </c>
      <c r="B6356" s="155" t="s">
        <v>2594</v>
      </c>
      <c r="C6356" s="148" t="str">
        <f aca="false">VLOOKUP($A6356,INSUMOS_AUX!$A$3:$H$813,3,0)</f>
        <v>MAT.</v>
      </c>
      <c r="D6356" s="156" t="s">
        <v>31</v>
      </c>
      <c r="E6356" s="154" t="n">
        <v>1</v>
      </c>
      <c r="F6356" s="149" t="n">
        <f aca="false">IF(C6356="MAT.",VLOOKUP(A6356,INSUMOS_AUX!$A$3:$H$813,6,0),0)</f>
        <v>523.4</v>
      </c>
      <c r="G6356" s="149" t="n">
        <f aca="false">IF(C6356="M.O.",VLOOKUP(A6356,INSUMOS_AUX!A:F,6,0),0)</f>
        <v>0</v>
      </c>
    </row>
    <row r="6357" customFormat="false" ht="15" hidden="false" customHeight="false" outlineLevel="0" collapsed="false">
      <c r="A6357" s="154" t="n">
        <v>247</v>
      </c>
      <c r="B6357" s="155" t="s">
        <v>1554</v>
      </c>
      <c r="C6357" s="148" t="str">
        <f aca="false">VLOOKUP($A6357,INSUMOS_AUX!$A$3:$H$813,3,0)</f>
        <v>M.O.</v>
      </c>
      <c r="D6357" s="156" t="s">
        <v>1444</v>
      </c>
      <c r="E6357" s="154" t="n">
        <v>0.336402876</v>
      </c>
      <c r="F6357" s="149" t="n">
        <f aca="false">IF(C6357="MAT.",VLOOKUP(A6357,INSUMOS_AUX!$A$3:$H$813,6,0),0)</f>
        <v>0</v>
      </c>
      <c r="G6357" s="149" t="n">
        <f aca="false">IF(C6357="M.O.",VLOOKUP(A6357,INSUMOS_AUX!A:F,6,0),0)</f>
        <v>13.26</v>
      </c>
    </row>
    <row r="6358" customFormat="false" ht="15" hidden="false" customHeight="false" outlineLevel="0" collapsed="false">
      <c r="A6358" s="154" t="n">
        <v>2436</v>
      </c>
      <c r="B6358" s="155" t="s">
        <v>1557</v>
      </c>
      <c r="C6358" s="148" t="str">
        <f aca="false">VLOOKUP($A6358,INSUMOS_AUX!$A$3:$H$813,3,0)</f>
        <v>M.O.</v>
      </c>
      <c r="D6358" s="156" t="s">
        <v>1444</v>
      </c>
      <c r="E6358" s="154" t="n">
        <v>0.336402876</v>
      </c>
      <c r="F6358" s="149" t="n">
        <f aca="false">IF(C6358="MAT.",VLOOKUP(A6358,INSUMOS_AUX!$A$3:$H$813,6,0),0)</f>
        <v>0</v>
      </c>
      <c r="G6358" s="149" t="n">
        <f aca="false">IF(C6358="M.O.",VLOOKUP(A6358,INSUMOS_AUX!A:F,6,0),0)</f>
        <v>20.22</v>
      </c>
    </row>
    <row r="6359" customFormat="false" ht="15" hidden="false" customHeight="false" outlineLevel="0" collapsed="false">
      <c r="A6359" s="150" t="s">
        <v>1075</v>
      </c>
      <c r="B6359" s="151" t="s">
        <v>2595</v>
      </c>
      <c r="C6359" s="152" t="s">
        <v>59</v>
      </c>
      <c r="D6359" s="152" t="s">
        <v>1455</v>
      </c>
      <c r="E6359" s="150"/>
      <c r="F6359" s="153" t="n">
        <f aca="false">(SUMPRODUCT($E6360:$E6368,F6360:F6368))*1</f>
        <v>4.85092886666667</v>
      </c>
      <c r="G6359" s="153" t="n">
        <f aca="false">(SUMPRODUCT($E6360:$E6368,G6360:G6368))*1</f>
        <v>1.0071547344</v>
      </c>
    </row>
    <row r="6360" customFormat="false" ht="21" hidden="false" customHeight="false" outlineLevel="0" collapsed="false">
      <c r="A6360" s="154" t="n">
        <v>37370</v>
      </c>
      <c r="B6360" s="155" t="s">
        <v>1443</v>
      </c>
      <c r="C6360" s="148" t="str">
        <f aca="false">VLOOKUP($A6360,INSUMOS_AUX!$A$3:$H$813,3,0)</f>
        <v>MAT.</v>
      </c>
      <c r="D6360" s="156" t="s">
        <v>1444</v>
      </c>
      <c r="E6360" s="154" t="n">
        <v>0.058</v>
      </c>
      <c r="F6360" s="149" t="n">
        <f aca="false">IF(C6360="MAT.",VLOOKUP(A6360,INSUMOS_AUX!$A$3:$H$813,6,0),0)</f>
        <v>3.32</v>
      </c>
      <c r="G6360" s="149" t="n">
        <f aca="false">IF(C6360="M.O.",VLOOKUP(A6360,INSUMOS_AUX!A:F,6,0),0)</f>
        <v>0</v>
      </c>
    </row>
    <row r="6361" customFormat="false" ht="21" hidden="false" customHeight="false" outlineLevel="0" collapsed="false">
      <c r="A6361" s="154" t="n">
        <v>43484</v>
      </c>
      <c r="B6361" s="155" t="s">
        <v>1523</v>
      </c>
      <c r="C6361" s="148" t="str">
        <f aca="false">VLOOKUP($A6361,INSUMOS_AUX!$A$3:$H$813,3,0)</f>
        <v>MAT.</v>
      </c>
      <c r="D6361" s="156" t="s">
        <v>1444</v>
      </c>
      <c r="E6361" s="154" t="n">
        <v>0.058</v>
      </c>
      <c r="F6361" s="149" t="n">
        <f aca="false">IF(C6361="MAT.",VLOOKUP(A6361,INSUMOS_AUX!$A$3:$H$813,6,0),0)</f>
        <v>1.26</v>
      </c>
      <c r="G6361" s="149" t="n">
        <f aca="false">IF(C6361="M.O.",VLOOKUP(A6361,INSUMOS_AUX!A:F,6,0),0)</f>
        <v>0</v>
      </c>
    </row>
    <row r="6362" customFormat="false" ht="21" hidden="false" customHeight="false" outlineLevel="0" collapsed="false">
      <c r="A6362" s="154" t="n">
        <v>37372</v>
      </c>
      <c r="B6362" s="155" t="s">
        <v>1446</v>
      </c>
      <c r="C6362" s="148" t="s">
        <v>59</v>
      </c>
      <c r="D6362" s="156" t="s">
        <v>1444</v>
      </c>
      <c r="E6362" s="154" t="n">
        <v>0.058</v>
      </c>
      <c r="F6362" s="149" t="n">
        <f aca="false">IF(C6362="MAT.",VLOOKUP(A6362,INSUMOS_AUX!$A$3:$H$813,6,0),0)</f>
        <v>0</v>
      </c>
      <c r="G6362" s="149" t="n">
        <f aca="false">IF(C6362="M.O.",VLOOKUP(A6362,INSUMOS_AUX!A:F,6,0),0)</f>
        <v>0</v>
      </c>
    </row>
    <row r="6363" customFormat="false" ht="21" hidden="false" customHeight="false" outlineLevel="0" collapsed="false">
      <c r="A6363" s="154" t="n">
        <v>43460</v>
      </c>
      <c r="B6363" s="155" t="s">
        <v>1524</v>
      </c>
      <c r="C6363" s="148" t="str">
        <f aca="false">VLOOKUP($A6363,INSUMOS_AUX!$A$3:$H$813,3,0)</f>
        <v>MAT.</v>
      </c>
      <c r="D6363" s="156" t="s">
        <v>1444</v>
      </c>
      <c r="E6363" s="154" t="n">
        <v>0.058</v>
      </c>
      <c r="F6363" s="149" t="n">
        <f aca="false">IF(C6363="MAT.",VLOOKUP(A6363,INSUMOS_AUX!$A$3:$H$813,6,0),0)</f>
        <v>0.86</v>
      </c>
      <c r="G6363" s="149" t="n">
        <f aca="false">IF(C6363="M.O.",VLOOKUP(A6363,INSUMOS_AUX!A:F,6,0),0)</f>
        <v>0</v>
      </c>
    </row>
    <row r="6364" customFormat="false" ht="21" hidden="false" customHeight="false" outlineLevel="0" collapsed="false">
      <c r="A6364" s="154" t="n">
        <v>37373</v>
      </c>
      <c r="B6364" s="155" t="s">
        <v>1448</v>
      </c>
      <c r="C6364" s="148" t="str">
        <f aca="false">VLOOKUP($A6364,INSUMOS_AUX!$A$3:$H$813,3,0)</f>
        <v>MAT.</v>
      </c>
      <c r="D6364" s="156" t="s">
        <v>1444</v>
      </c>
      <c r="E6364" s="154" t="n">
        <v>0.058</v>
      </c>
      <c r="F6364" s="149" t="n">
        <f aca="false">IF(C6364="MAT.",VLOOKUP(A6364,INSUMOS_AUX!$A$3:$H$813,6,0),0)</f>
        <v>0.08</v>
      </c>
      <c r="G6364" s="149" t="n">
        <f aca="false">IF(C6364="M.O.",VLOOKUP(A6364,INSUMOS_AUX!A:F,6,0),0)</f>
        <v>0</v>
      </c>
    </row>
    <row r="6365" customFormat="false" ht="21" hidden="false" customHeight="false" outlineLevel="0" collapsed="false">
      <c r="A6365" s="154" t="n">
        <v>37371</v>
      </c>
      <c r="B6365" s="155" t="s">
        <v>1449</v>
      </c>
      <c r="C6365" s="148" t="str">
        <f aca="false">VLOOKUP($A6365,INSUMOS_AUX!$A$3:$H$813,3,0)</f>
        <v>MAT.</v>
      </c>
      <c r="D6365" s="156" t="s">
        <v>1444</v>
      </c>
      <c r="E6365" s="154" t="n">
        <v>0.058</v>
      </c>
      <c r="F6365" s="149" t="n">
        <f aca="false">IF(C6365="MAT.",VLOOKUP(A6365,INSUMOS_AUX!$A$3:$H$813,6,0),0)</f>
        <v>0.59</v>
      </c>
      <c r="G6365" s="149" t="n">
        <f aca="false">IF(C6365="M.O.",VLOOKUP(A6365,INSUMOS_AUX!A:F,6,0),0)</f>
        <v>0</v>
      </c>
    </row>
    <row r="6366" customFormat="false" ht="15" hidden="false" customHeight="false" outlineLevel="0" collapsed="false">
      <c r="A6366" s="154" t="s">
        <v>2596</v>
      </c>
      <c r="B6366" s="155" t="s">
        <v>2597</v>
      </c>
      <c r="C6366" s="148" t="str">
        <f aca="false">VLOOKUP($A6366,INSUMOS_AUX!$A$3:$H$813,3,0)</f>
        <v>MAT.</v>
      </c>
      <c r="D6366" s="156" t="s">
        <v>1455</v>
      </c>
      <c r="E6366" s="154" t="n">
        <v>1.2434</v>
      </c>
      <c r="F6366" s="149" t="n">
        <f aca="false">IF(C6366="MAT.",VLOOKUP(A6366,INSUMOS_AUX!$A$3:$H$813,6,0),0)</f>
        <v>3.61633333333333</v>
      </c>
      <c r="G6366" s="149" t="n">
        <f aca="false">IF(C6366="M.O.",VLOOKUP(A6366,INSUMOS_AUX!A:F,6,0),0)</f>
        <v>0</v>
      </c>
    </row>
    <row r="6367" customFormat="false" ht="15" hidden="false" customHeight="false" outlineLevel="0" collapsed="false">
      <c r="A6367" s="154" t="n">
        <v>247</v>
      </c>
      <c r="B6367" s="155" t="s">
        <v>1554</v>
      </c>
      <c r="C6367" s="148" t="str">
        <f aca="false">VLOOKUP($A6367,INSUMOS_AUX!$A$3:$H$813,3,0)</f>
        <v>M.O.</v>
      </c>
      <c r="D6367" s="156" t="s">
        <v>1444</v>
      </c>
      <c r="E6367" s="154" t="n">
        <v>0.03008228</v>
      </c>
      <c r="F6367" s="149" t="n">
        <f aca="false">IF(C6367="MAT.",VLOOKUP(A6367,INSUMOS_AUX!$A$3:$H$813,6,0),0)</f>
        <v>0</v>
      </c>
      <c r="G6367" s="149" t="n">
        <f aca="false">IF(C6367="M.O.",VLOOKUP(A6367,INSUMOS_AUX!A:F,6,0),0)</f>
        <v>13.26</v>
      </c>
    </row>
    <row r="6368" customFormat="false" ht="15" hidden="false" customHeight="false" outlineLevel="0" collapsed="false">
      <c r="A6368" s="154" t="n">
        <v>2436</v>
      </c>
      <c r="B6368" s="155" t="s">
        <v>1557</v>
      </c>
      <c r="C6368" s="148" t="str">
        <f aca="false">VLOOKUP($A6368,INSUMOS_AUX!$A$3:$H$813,3,0)</f>
        <v>M.O.</v>
      </c>
      <c r="D6368" s="156" t="s">
        <v>1444</v>
      </c>
      <c r="E6368" s="154" t="n">
        <v>0.03008228</v>
      </c>
      <c r="F6368" s="149" t="n">
        <f aca="false">IF(C6368="MAT.",VLOOKUP(A6368,INSUMOS_AUX!$A$3:$H$813,6,0),0)</f>
        <v>0</v>
      </c>
      <c r="G6368" s="149" t="n">
        <f aca="false">IF(C6368="M.O.",VLOOKUP(A6368,INSUMOS_AUX!A:F,6,0),0)</f>
        <v>20.22</v>
      </c>
    </row>
    <row r="6369" customFormat="false" ht="31.5" hidden="false" customHeight="false" outlineLevel="0" collapsed="false">
      <c r="A6369" s="150" t="s">
        <v>1078</v>
      </c>
      <c r="B6369" s="151" t="s">
        <v>2598</v>
      </c>
      <c r="C6369" s="152" t="s">
        <v>59</v>
      </c>
      <c r="D6369" s="152" t="s">
        <v>31</v>
      </c>
      <c r="E6369" s="150"/>
      <c r="F6369" s="153" t="n">
        <f aca="false">(SUMPRODUCT($E6370:$E6380,F6370:F6380))*1</f>
        <v>59.2802626666667</v>
      </c>
      <c r="G6369" s="153" t="n">
        <f aca="false">(SUMPRODUCT($E6370:$E6380,G6370:G6380))*1</f>
        <v>9.78676566048</v>
      </c>
    </row>
    <row r="6370" customFormat="false" ht="21" hidden="false" customHeight="false" outlineLevel="0" collapsed="false">
      <c r="A6370" s="154" t="n">
        <v>37370</v>
      </c>
      <c r="B6370" s="155" t="s">
        <v>1443</v>
      </c>
      <c r="C6370" s="148" t="str">
        <f aca="false">VLOOKUP($A6370,INSUMOS_AUX!$A$3:$H$813,3,0)</f>
        <v>MAT.</v>
      </c>
      <c r="D6370" s="156" t="s">
        <v>1444</v>
      </c>
      <c r="E6370" s="154" t="n">
        <v>0.5636</v>
      </c>
      <c r="F6370" s="149" t="n">
        <f aca="false">IF(C6370="MAT.",VLOOKUP(A6370,INSUMOS_AUX!$A$3:$H$813,6,0),0)</f>
        <v>3.32</v>
      </c>
      <c r="G6370" s="149" t="n">
        <f aca="false">IF(C6370="M.O.",VLOOKUP(A6370,INSUMOS_AUX!A:F,6,0),0)</f>
        <v>0</v>
      </c>
    </row>
    <row r="6371" customFormat="false" ht="21" hidden="false" customHeight="false" outlineLevel="0" collapsed="false">
      <c r="A6371" s="154" t="n">
        <v>43484</v>
      </c>
      <c r="B6371" s="155" t="s">
        <v>1523</v>
      </c>
      <c r="C6371" s="148" t="str">
        <f aca="false">VLOOKUP($A6371,INSUMOS_AUX!$A$3:$H$813,3,0)</f>
        <v>MAT.</v>
      </c>
      <c r="D6371" s="156" t="s">
        <v>1444</v>
      </c>
      <c r="E6371" s="154" t="n">
        <v>0.5636</v>
      </c>
      <c r="F6371" s="149" t="n">
        <f aca="false">IF(C6371="MAT.",VLOOKUP(A6371,INSUMOS_AUX!$A$3:$H$813,6,0),0)</f>
        <v>1.26</v>
      </c>
      <c r="G6371" s="149" t="n">
        <f aca="false">IF(C6371="M.O.",VLOOKUP(A6371,INSUMOS_AUX!A:F,6,0),0)</f>
        <v>0</v>
      </c>
    </row>
    <row r="6372" customFormat="false" ht="21" hidden="false" customHeight="false" outlineLevel="0" collapsed="false">
      <c r="A6372" s="154" t="n">
        <v>37372</v>
      </c>
      <c r="B6372" s="155" t="s">
        <v>1446</v>
      </c>
      <c r="C6372" s="148" t="s">
        <v>59</v>
      </c>
      <c r="D6372" s="156" t="s">
        <v>1444</v>
      </c>
      <c r="E6372" s="154" t="n">
        <v>0.5636</v>
      </c>
      <c r="F6372" s="149" t="n">
        <f aca="false">IF(C6372="MAT.",VLOOKUP(A6372,INSUMOS_AUX!$A$3:$H$813,6,0),0)</f>
        <v>0</v>
      </c>
      <c r="G6372" s="149" t="n">
        <f aca="false">IF(C6372="M.O.",VLOOKUP(A6372,INSUMOS_AUX!A:F,6,0),0)</f>
        <v>0</v>
      </c>
    </row>
    <row r="6373" customFormat="false" ht="21" hidden="false" customHeight="false" outlineLevel="0" collapsed="false">
      <c r="A6373" s="154" t="n">
        <v>43460</v>
      </c>
      <c r="B6373" s="155" t="s">
        <v>1524</v>
      </c>
      <c r="C6373" s="148" t="str">
        <f aca="false">VLOOKUP($A6373,INSUMOS_AUX!$A$3:$H$813,3,0)</f>
        <v>MAT.</v>
      </c>
      <c r="D6373" s="156" t="s">
        <v>1444</v>
      </c>
      <c r="E6373" s="154" t="n">
        <v>0.5636</v>
      </c>
      <c r="F6373" s="149" t="n">
        <f aca="false">IF(C6373="MAT.",VLOOKUP(A6373,INSUMOS_AUX!$A$3:$H$813,6,0),0)</f>
        <v>0.86</v>
      </c>
      <c r="G6373" s="149" t="n">
        <f aca="false">IF(C6373="M.O.",VLOOKUP(A6373,INSUMOS_AUX!A:F,6,0),0)</f>
        <v>0</v>
      </c>
    </row>
    <row r="6374" customFormat="false" ht="21" hidden="false" customHeight="false" outlineLevel="0" collapsed="false">
      <c r="A6374" s="154" t="n">
        <v>37373</v>
      </c>
      <c r="B6374" s="155" t="s">
        <v>1448</v>
      </c>
      <c r="C6374" s="148" t="str">
        <f aca="false">VLOOKUP($A6374,INSUMOS_AUX!$A$3:$H$813,3,0)</f>
        <v>MAT.</v>
      </c>
      <c r="D6374" s="156" t="s">
        <v>1444</v>
      </c>
      <c r="E6374" s="154" t="n">
        <v>0.5636</v>
      </c>
      <c r="F6374" s="149" t="n">
        <f aca="false">IF(C6374="MAT.",VLOOKUP(A6374,INSUMOS_AUX!$A$3:$H$813,6,0),0)</f>
        <v>0.08</v>
      </c>
      <c r="G6374" s="149" t="n">
        <f aca="false">IF(C6374="M.O.",VLOOKUP(A6374,INSUMOS_AUX!A:F,6,0),0)</f>
        <v>0</v>
      </c>
    </row>
    <row r="6375" customFormat="false" ht="21" hidden="false" customHeight="false" outlineLevel="0" collapsed="false">
      <c r="A6375" s="154" t="n">
        <v>37371</v>
      </c>
      <c r="B6375" s="155" t="s">
        <v>1449</v>
      </c>
      <c r="C6375" s="148" t="str">
        <f aca="false">VLOOKUP($A6375,INSUMOS_AUX!$A$3:$H$813,3,0)</f>
        <v>MAT.</v>
      </c>
      <c r="D6375" s="156" t="s">
        <v>1444</v>
      </c>
      <c r="E6375" s="154" t="n">
        <v>0.5636</v>
      </c>
      <c r="F6375" s="149" t="n">
        <f aca="false">IF(C6375="MAT.",VLOOKUP(A6375,INSUMOS_AUX!$A$3:$H$813,6,0),0)</f>
        <v>0.59</v>
      </c>
      <c r="G6375" s="149" t="n">
        <f aca="false">IF(C6375="M.O.",VLOOKUP(A6375,INSUMOS_AUX!A:F,6,0),0)</f>
        <v>0</v>
      </c>
    </row>
    <row r="6376" customFormat="false" ht="21" hidden="false" customHeight="false" outlineLevel="0" collapsed="false">
      <c r="A6376" s="154" t="s">
        <v>2567</v>
      </c>
      <c r="B6376" s="155" t="s">
        <v>2568</v>
      </c>
      <c r="C6376" s="148" t="str">
        <f aca="false">VLOOKUP($A6376,INSUMOS_AUX!$A$3:$H$813,3,0)</f>
        <v>MAT.</v>
      </c>
      <c r="D6376" s="156" t="s">
        <v>31</v>
      </c>
      <c r="E6376" s="154" t="n">
        <v>1</v>
      </c>
      <c r="F6376" s="149" t="n">
        <f aca="false">IF(C6376="MAT.",VLOOKUP(A6376,INSUMOS_AUX!$A$3:$H$813,6,0),0)</f>
        <v>37.8766666666667</v>
      </c>
      <c r="G6376" s="149" t="n">
        <f aca="false">IF(C6376="M.O.",VLOOKUP(A6376,INSUMOS_AUX!A:F,6,0),0)</f>
        <v>0</v>
      </c>
    </row>
    <row r="6377" customFormat="false" ht="31.5" hidden="false" customHeight="false" outlineLevel="0" collapsed="false">
      <c r="A6377" s="154" t="n">
        <v>13246</v>
      </c>
      <c r="B6377" s="155" t="s">
        <v>1811</v>
      </c>
      <c r="C6377" s="148" t="str">
        <f aca="false">VLOOKUP($A6377,INSUMOS_AUX!$A$3:$H$813,3,0)</f>
        <v>MAT.</v>
      </c>
      <c r="D6377" s="156" t="s">
        <v>31</v>
      </c>
      <c r="E6377" s="154" t="n">
        <v>16.8</v>
      </c>
      <c r="F6377" s="149" t="n">
        <f aca="false">IF(C6377="MAT.",VLOOKUP(A6377,INSUMOS_AUX!$A$3:$H$813,6,0),0)</f>
        <v>0.5</v>
      </c>
      <c r="G6377" s="149" t="n">
        <f aca="false">IF(C6377="M.O.",VLOOKUP(A6377,INSUMOS_AUX!A:F,6,0),0)</f>
        <v>0</v>
      </c>
    </row>
    <row r="6378" customFormat="false" ht="21" hidden="false" customHeight="false" outlineLevel="0" collapsed="false">
      <c r="A6378" s="154" t="s">
        <v>2402</v>
      </c>
      <c r="B6378" s="155" t="s">
        <v>2408</v>
      </c>
      <c r="C6378" s="148" t="str">
        <f aca="false">VLOOKUP($A6378,INSUMOS_AUX!$A$3:$H$813,3,0)</f>
        <v>MAT.</v>
      </c>
      <c r="D6378" s="156" t="s">
        <v>31</v>
      </c>
      <c r="E6378" s="154" t="n">
        <v>4</v>
      </c>
      <c r="F6378" s="149" t="n">
        <f aca="false">IF(C6378="MAT.",VLOOKUP(A6378,INSUMOS_AUX!$A$3:$H$813,6,0),0)</f>
        <v>2.39</v>
      </c>
      <c r="G6378" s="149" t="n">
        <f aca="false">IF(C6378="M.O.",VLOOKUP(A6378,INSUMOS_AUX!A:F,6,0),0)</f>
        <v>0</v>
      </c>
    </row>
    <row r="6379" customFormat="false" ht="15" hidden="false" customHeight="false" outlineLevel="0" collapsed="false">
      <c r="A6379" s="154" t="n">
        <v>247</v>
      </c>
      <c r="B6379" s="155" t="s">
        <v>1554</v>
      </c>
      <c r="C6379" s="148" t="str">
        <f aca="false">VLOOKUP($A6379,INSUMOS_AUX!$A$3:$H$813,3,0)</f>
        <v>M.O.</v>
      </c>
      <c r="D6379" s="156" t="s">
        <v>1444</v>
      </c>
      <c r="E6379" s="154" t="n">
        <v>0.292316776</v>
      </c>
      <c r="F6379" s="149" t="n">
        <f aca="false">IF(C6379="MAT.",VLOOKUP(A6379,INSUMOS_AUX!$A$3:$H$813,6,0),0)</f>
        <v>0</v>
      </c>
      <c r="G6379" s="149" t="n">
        <f aca="false">IF(C6379="M.O.",VLOOKUP(A6379,INSUMOS_AUX!A:F,6,0),0)</f>
        <v>13.26</v>
      </c>
    </row>
    <row r="6380" customFormat="false" ht="15" hidden="false" customHeight="false" outlineLevel="0" collapsed="false">
      <c r="A6380" s="154" t="n">
        <v>2436</v>
      </c>
      <c r="B6380" s="155" t="s">
        <v>1557</v>
      </c>
      <c r="C6380" s="148" t="str">
        <f aca="false">VLOOKUP($A6380,INSUMOS_AUX!$A$3:$H$813,3,0)</f>
        <v>M.O.</v>
      </c>
      <c r="D6380" s="156" t="s">
        <v>1444</v>
      </c>
      <c r="E6380" s="154" t="n">
        <v>0.292316776</v>
      </c>
      <c r="F6380" s="149" t="n">
        <f aca="false">IF(C6380="MAT.",VLOOKUP(A6380,INSUMOS_AUX!$A$3:$H$813,6,0),0)</f>
        <v>0</v>
      </c>
      <c r="G6380" s="149" t="n">
        <f aca="false">IF(C6380="M.O.",VLOOKUP(A6380,INSUMOS_AUX!A:F,6,0),0)</f>
        <v>20.22</v>
      </c>
    </row>
    <row r="6381" customFormat="false" ht="15" hidden="false" customHeight="false" outlineLevel="0" collapsed="false">
      <c r="A6381" s="150" t="s">
        <v>1084</v>
      </c>
      <c r="B6381" s="151" t="s">
        <v>2599</v>
      </c>
      <c r="C6381" s="152" t="s">
        <v>59</v>
      </c>
      <c r="D6381" s="152" t="s">
        <v>31</v>
      </c>
      <c r="E6381" s="150"/>
      <c r="F6381" s="153" t="n">
        <f aca="false">(SUMPRODUCT($E6382:$E6388,F6382:F6388))*1</f>
        <v>6.33</v>
      </c>
      <c r="G6381" s="153" t="n">
        <f aca="false">(SUMPRODUCT($E6382:$E6388,G6382:G6388))*1</f>
        <v>31.4619156</v>
      </c>
    </row>
    <row r="6382" customFormat="false" ht="21" hidden="false" customHeight="false" outlineLevel="0" collapsed="false">
      <c r="A6382" s="154" t="n">
        <v>37370</v>
      </c>
      <c r="B6382" s="155" t="s">
        <v>1443</v>
      </c>
      <c r="C6382" s="148" t="s">
        <v>59</v>
      </c>
      <c r="D6382" s="156" t="s">
        <v>1444</v>
      </c>
      <c r="E6382" s="154" t="n">
        <v>1.5</v>
      </c>
      <c r="F6382" s="149" t="n">
        <f aca="false">IF(C6382="MAT.",VLOOKUP(A6382,INSUMOS_AUX!$A$3:$H$813,6,0),0)</f>
        <v>0</v>
      </c>
      <c r="G6382" s="149" t="n">
        <f aca="false">IF(C6382="M.O.",VLOOKUP(A6382,INSUMOS_AUX!A:F,6,0),0)</f>
        <v>0</v>
      </c>
    </row>
    <row r="6383" customFormat="false" ht="21" hidden="false" customHeight="false" outlineLevel="0" collapsed="false">
      <c r="A6383" s="154" t="n">
        <v>43484</v>
      </c>
      <c r="B6383" s="155" t="s">
        <v>1523</v>
      </c>
      <c r="C6383" s="148" t="str">
        <f aca="false">VLOOKUP($A6383,INSUMOS_AUX!$A$3:$H$813,3,0)</f>
        <v>MAT.</v>
      </c>
      <c r="D6383" s="156" t="s">
        <v>1444</v>
      </c>
      <c r="E6383" s="154" t="n">
        <v>1.5</v>
      </c>
      <c r="F6383" s="149" t="n">
        <f aca="false">IF(C6383="MAT.",VLOOKUP(A6383,INSUMOS_AUX!$A$3:$H$813,6,0),0)</f>
        <v>1.26</v>
      </c>
      <c r="G6383" s="149" t="n">
        <f aca="false">IF(C6383="M.O.",VLOOKUP(A6383,INSUMOS_AUX!A:F,6,0),0)</f>
        <v>0</v>
      </c>
    </row>
    <row r="6384" customFormat="false" ht="21" hidden="false" customHeight="false" outlineLevel="0" collapsed="false">
      <c r="A6384" s="154" t="n">
        <v>37372</v>
      </c>
      <c r="B6384" s="155" t="s">
        <v>1446</v>
      </c>
      <c r="C6384" s="148" t="str">
        <f aca="false">VLOOKUP($A6384,INSUMOS_AUX!$A$3:$H$813,3,0)</f>
        <v>MAT.</v>
      </c>
      <c r="D6384" s="156" t="s">
        <v>1444</v>
      </c>
      <c r="E6384" s="154" t="n">
        <v>1.5</v>
      </c>
      <c r="F6384" s="149" t="n">
        <f aca="false">IF(C6384="MAT.",VLOOKUP(A6384,INSUMOS_AUX!$A$3:$H$813,6,0),0)</f>
        <v>1.43</v>
      </c>
      <c r="G6384" s="149" t="n">
        <f aca="false">IF(C6384="M.O.",VLOOKUP(A6384,INSUMOS_AUX!A:F,6,0),0)</f>
        <v>0</v>
      </c>
    </row>
    <row r="6385" customFormat="false" ht="21" hidden="false" customHeight="false" outlineLevel="0" collapsed="false">
      <c r="A6385" s="154" t="n">
        <v>43460</v>
      </c>
      <c r="B6385" s="155" t="s">
        <v>1524</v>
      </c>
      <c r="C6385" s="148" t="str">
        <f aca="false">VLOOKUP($A6385,INSUMOS_AUX!$A$3:$H$813,3,0)</f>
        <v>MAT.</v>
      </c>
      <c r="D6385" s="156" t="s">
        <v>1444</v>
      </c>
      <c r="E6385" s="154" t="n">
        <v>1.5</v>
      </c>
      <c r="F6385" s="149" t="n">
        <f aca="false">IF(C6385="MAT.",VLOOKUP(A6385,INSUMOS_AUX!$A$3:$H$813,6,0),0)</f>
        <v>0.86</v>
      </c>
      <c r="G6385" s="149" t="n">
        <f aca="false">IF(C6385="M.O.",VLOOKUP(A6385,INSUMOS_AUX!A:F,6,0),0)</f>
        <v>0</v>
      </c>
    </row>
    <row r="6386" customFormat="false" ht="21" hidden="false" customHeight="false" outlineLevel="0" collapsed="false">
      <c r="A6386" s="154" t="n">
        <v>37373</v>
      </c>
      <c r="B6386" s="155" t="s">
        <v>1448</v>
      </c>
      <c r="C6386" s="148" t="str">
        <f aca="false">VLOOKUP($A6386,INSUMOS_AUX!$A$3:$H$813,3,0)</f>
        <v>MAT.</v>
      </c>
      <c r="D6386" s="156" t="s">
        <v>1444</v>
      </c>
      <c r="E6386" s="154" t="n">
        <v>1.5</v>
      </c>
      <c r="F6386" s="149" t="n">
        <f aca="false">IF(C6386="MAT.",VLOOKUP(A6386,INSUMOS_AUX!$A$3:$H$813,6,0),0)</f>
        <v>0.08</v>
      </c>
      <c r="G6386" s="149" t="n">
        <f aca="false">IF(C6386="M.O.",VLOOKUP(A6386,INSUMOS_AUX!A:F,6,0),0)</f>
        <v>0</v>
      </c>
    </row>
    <row r="6387" customFormat="false" ht="21" hidden="false" customHeight="false" outlineLevel="0" collapsed="false">
      <c r="A6387" s="154" t="n">
        <v>37371</v>
      </c>
      <c r="B6387" s="155" t="s">
        <v>1449</v>
      </c>
      <c r="C6387" s="148" t="str">
        <f aca="false">VLOOKUP($A6387,INSUMOS_AUX!$A$3:$H$813,3,0)</f>
        <v>MAT.</v>
      </c>
      <c r="D6387" s="156" t="s">
        <v>1444</v>
      </c>
      <c r="E6387" s="154" t="n">
        <v>1.5</v>
      </c>
      <c r="F6387" s="149" t="n">
        <f aca="false">IF(C6387="MAT.",VLOOKUP(A6387,INSUMOS_AUX!$A$3:$H$813,6,0),0)</f>
        <v>0.59</v>
      </c>
      <c r="G6387" s="149" t="n">
        <f aca="false">IF(C6387="M.O.",VLOOKUP(A6387,INSUMOS_AUX!A:F,6,0),0)</f>
        <v>0</v>
      </c>
    </row>
    <row r="6388" customFormat="false" ht="15" hidden="false" customHeight="false" outlineLevel="0" collapsed="false">
      <c r="A6388" s="154" t="n">
        <v>2436</v>
      </c>
      <c r="B6388" s="155" t="s">
        <v>1557</v>
      </c>
      <c r="C6388" s="148" t="str">
        <f aca="false">VLOOKUP($A6388,INSUMOS_AUX!$A$3:$H$813,3,0)</f>
        <v>M.O.</v>
      </c>
      <c r="D6388" s="156" t="s">
        <v>1444</v>
      </c>
      <c r="E6388" s="154" t="n">
        <v>1.55598</v>
      </c>
      <c r="F6388" s="149" t="n">
        <f aca="false">IF(C6388="MAT.",VLOOKUP(A6388,INSUMOS_AUX!$A$3:$H$813,6,0),0)</f>
        <v>0</v>
      </c>
      <c r="G6388" s="149" t="n">
        <f aca="false">IF(C6388="M.O.",VLOOKUP(A6388,INSUMOS_AUX!A:F,6,0),0)</f>
        <v>20.22</v>
      </c>
    </row>
    <row r="6389" customFormat="false" ht="15" hidden="false" customHeight="false" outlineLevel="0" collapsed="false">
      <c r="A6389" s="150" t="n">
        <v>93358</v>
      </c>
      <c r="B6389" s="151" t="s">
        <v>2600</v>
      </c>
      <c r="C6389" s="152" t="s">
        <v>59</v>
      </c>
      <c r="D6389" s="152" t="s">
        <v>1442</v>
      </c>
      <c r="E6389" s="150"/>
      <c r="F6389" s="153" t="n">
        <f aca="false">(SUMPRODUCT($E6390:$E6396,F6390:F6396))*1</f>
        <v>23.695042533</v>
      </c>
      <c r="G6389" s="153" t="n">
        <f aca="false">(SUMPRODUCT($E6390:$E6396,G6390:G6396))*1</f>
        <v>52.313194954818</v>
      </c>
    </row>
    <row r="6390" customFormat="false" ht="21" hidden="false" customHeight="false" outlineLevel="0" collapsed="false">
      <c r="A6390" s="154" t="n">
        <v>37370</v>
      </c>
      <c r="B6390" s="155" t="s">
        <v>1443</v>
      </c>
      <c r="C6390" s="148" t="str">
        <f aca="false">VLOOKUP($A6390,INSUMOS_AUX!$A$3:$H$813,3,0)</f>
        <v>MAT.</v>
      </c>
      <c r="D6390" s="156" t="s">
        <v>1444</v>
      </c>
      <c r="E6390" s="154" t="n">
        <v>3.9557667</v>
      </c>
      <c r="F6390" s="149" t="n">
        <f aca="false">IF(C6390="MAT.",VLOOKUP(A6390,INSUMOS_AUX!$A$3:$H$813,6,0),0)</f>
        <v>3.32</v>
      </c>
      <c r="G6390" s="149" t="n">
        <f aca="false">IF(C6390="M.O.",VLOOKUP(A6390,INSUMOS_AUX!A:F,6,0),0)</f>
        <v>0</v>
      </c>
    </row>
    <row r="6391" customFormat="false" ht="21" hidden="false" customHeight="false" outlineLevel="0" collapsed="false">
      <c r="A6391" s="154" t="n">
        <v>43491</v>
      </c>
      <c r="B6391" s="155" t="s">
        <v>1457</v>
      </c>
      <c r="C6391" s="148" t="str">
        <f aca="false">VLOOKUP($A6391,INSUMOS_AUX!$A$3:$H$813,3,0)</f>
        <v>MAT.</v>
      </c>
      <c r="D6391" s="156" t="s">
        <v>1444</v>
      </c>
      <c r="E6391" s="154" t="n">
        <v>3.9557667</v>
      </c>
      <c r="F6391" s="149" t="n">
        <f aca="false">IF(C6391="MAT.",VLOOKUP(A6391,INSUMOS_AUX!$A$3:$H$813,6,0),0)</f>
        <v>1.39</v>
      </c>
      <c r="G6391" s="149" t="n">
        <f aca="false">IF(C6391="M.O.",VLOOKUP(A6391,INSUMOS_AUX!A:F,6,0),0)</f>
        <v>0</v>
      </c>
    </row>
    <row r="6392" customFormat="false" ht="21" hidden="false" customHeight="false" outlineLevel="0" collapsed="false">
      <c r="A6392" s="154" t="n">
        <v>37372</v>
      </c>
      <c r="B6392" s="155" t="s">
        <v>1446</v>
      </c>
      <c r="C6392" s="148" t="s">
        <v>59</v>
      </c>
      <c r="D6392" s="156" t="s">
        <v>1444</v>
      </c>
      <c r="E6392" s="154" t="n">
        <v>3.9557667</v>
      </c>
      <c r="F6392" s="149" t="n">
        <f aca="false">IF(C6392="MAT.",VLOOKUP(A6392,INSUMOS_AUX!$A$3:$H$813,6,0),0)</f>
        <v>0</v>
      </c>
      <c r="G6392" s="149" t="n">
        <f aca="false">IF(C6392="M.O.",VLOOKUP(A6392,INSUMOS_AUX!A:F,6,0),0)</f>
        <v>0</v>
      </c>
    </row>
    <row r="6393" customFormat="false" ht="21" hidden="false" customHeight="false" outlineLevel="0" collapsed="false">
      <c r="A6393" s="154" t="n">
        <v>43467</v>
      </c>
      <c r="B6393" s="155" t="s">
        <v>1459</v>
      </c>
      <c r="C6393" s="148" t="str">
        <f aca="false">VLOOKUP($A6393,INSUMOS_AUX!$A$3:$H$813,3,0)</f>
        <v>MAT.</v>
      </c>
      <c r="D6393" s="156" t="s">
        <v>1444</v>
      </c>
      <c r="E6393" s="154" t="n">
        <v>3.9557667</v>
      </c>
      <c r="F6393" s="149" t="n">
        <f aca="false">IF(C6393="MAT.",VLOOKUP(A6393,INSUMOS_AUX!$A$3:$H$813,6,0),0)</f>
        <v>0.61</v>
      </c>
      <c r="G6393" s="149" t="n">
        <f aca="false">IF(C6393="M.O.",VLOOKUP(A6393,INSUMOS_AUX!A:F,6,0),0)</f>
        <v>0</v>
      </c>
    </row>
    <row r="6394" customFormat="false" ht="21" hidden="false" customHeight="false" outlineLevel="0" collapsed="false">
      <c r="A6394" s="154" t="n">
        <v>37373</v>
      </c>
      <c r="B6394" s="155" t="s">
        <v>1448</v>
      </c>
      <c r="C6394" s="148" t="str">
        <f aca="false">VLOOKUP($A6394,INSUMOS_AUX!$A$3:$H$813,3,0)</f>
        <v>MAT.</v>
      </c>
      <c r="D6394" s="156" t="s">
        <v>1444</v>
      </c>
      <c r="E6394" s="154" t="n">
        <v>3.9557667</v>
      </c>
      <c r="F6394" s="149" t="n">
        <f aca="false">IF(C6394="MAT.",VLOOKUP(A6394,INSUMOS_AUX!$A$3:$H$813,6,0),0)</f>
        <v>0.08</v>
      </c>
      <c r="G6394" s="149" t="n">
        <f aca="false">IF(C6394="M.O.",VLOOKUP(A6394,INSUMOS_AUX!A:F,6,0),0)</f>
        <v>0</v>
      </c>
    </row>
    <row r="6395" customFormat="false" ht="21" hidden="false" customHeight="false" outlineLevel="0" collapsed="false">
      <c r="A6395" s="154" t="n">
        <v>37371</v>
      </c>
      <c r="B6395" s="155" t="s">
        <v>1449</v>
      </c>
      <c r="C6395" s="148" t="str">
        <f aca="false">VLOOKUP($A6395,INSUMOS_AUX!$A$3:$H$813,3,0)</f>
        <v>MAT.</v>
      </c>
      <c r="D6395" s="156" t="s">
        <v>1444</v>
      </c>
      <c r="E6395" s="154" t="n">
        <v>3.9557667</v>
      </c>
      <c r="F6395" s="149" t="n">
        <f aca="false">IF(C6395="MAT.",VLOOKUP(A6395,INSUMOS_AUX!$A$3:$H$813,6,0),0)</f>
        <v>0.59</v>
      </c>
      <c r="G6395" s="149" t="n">
        <f aca="false">IF(C6395="M.O.",VLOOKUP(A6395,INSUMOS_AUX!A:F,6,0),0)</f>
        <v>0</v>
      </c>
    </row>
    <row r="6396" customFormat="false" ht="15" hidden="false" customHeight="false" outlineLevel="0" collapsed="false">
      <c r="A6396" s="154" t="n">
        <v>6111</v>
      </c>
      <c r="B6396" s="155" t="s">
        <v>1464</v>
      </c>
      <c r="C6396" s="148" t="str">
        <f aca="false">VLOOKUP($A6396,INSUMOS_AUX!$A$3:$H$813,3,0)</f>
        <v>M.O.</v>
      </c>
      <c r="D6396" s="156" t="s">
        <v>1444</v>
      </c>
      <c r="E6396" s="154" t="n">
        <v>4.03962895404</v>
      </c>
      <c r="F6396" s="149" t="n">
        <f aca="false">IF(C6396="MAT.",VLOOKUP(A6396,INSUMOS_AUX!$A$3:$H$813,6,0),0)</f>
        <v>0</v>
      </c>
      <c r="G6396" s="149" t="n">
        <f aca="false">IF(C6396="M.O.",VLOOKUP(A6396,INSUMOS_AUX!A:F,6,0),0)</f>
        <v>12.95</v>
      </c>
    </row>
    <row r="6397" customFormat="false" ht="15" hidden="false" customHeight="false" outlineLevel="0" collapsed="false">
      <c r="A6397" s="150" t="n">
        <v>104737</v>
      </c>
      <c r="B6397" s="151" t="s">
        <v>2601</v>
      </c>
      <c r="C6397" s="152" t="s">
        <v>59</v>
      </c>
      <c r="D6397" s="152" t="s">
        <v>1442</v>
      </c>
      <c r="E6397" s="150"/>
      <c r="F6397" s="153" t="n">
        <f aca="false">(SUMPRODUCT($E6398:$E6412,F6398:F6412))*1</f>
        <v>9.2288723008834</v>
      </c>
      <c r="G6397" s="153" t="n">
        <f aca="false">(SUMPRODUCT($E6398:$E6412,G6398:G6412))*1</f>
        <v>11.7898882572</v>
      </c>
    </row>
    <row r="6398" customFormat="false" ht="21" hidden="false" customHeight="false" outlineLevel="0" collapsed="false">
      <c r="A6398" s="154" t="n">
        <v>37370</v>
      </c>
      <c r="B6398" s="155" t="s">
        <v>1443</v>
      </c>
      <c r="C6398" s="148" t="str">
        <f aca="false">VLOOKUP($A6398,INSUMOS_AUX!$A$3:$H$813,3,0)</f>
        <v>MAT.</v>
      </c>
      <c r="D6398" s="156" t="s">
        <v>1444</v>
      </c>
      <c r="E6398" s="154" t="n">
        <v>0.8869</v>
      </c>
      <c r="F6398" s="149" t="n">
        <f aca="false">IF(C6398="MAT.",VLOOKUP(A6398,INSUMOS_AUX!$A$3:$H$813,6,0),0)</f>
        <v>3.32</v>
      </c>
      <c r="G6398" s="149" t="n">
        <f aca="false">IF(C6398="M.O.",VLOOKUP(A6398,INSUMOS_AUX!A:F,6,0),0)</f>
        <v>0</v>
      </c>
    </row>
    <row r="6399" customFormat="false" ht="21" hidden="false" customHeight="false" outlineLevel="0" collapsed="false">
      <c r="A6399" s="154" t="n">
        <v>43488</v>
      </c>
      <c r="B6399" s="155" t="s">
        <v>1445</v>
      </c>
      <c r="C6399" s="148" t="str">
        <f aca="false">VLOOKUP($A6399,INSUMOS_AUX!$A$3:$H$813,3,0)</f>
        <v>MAT.</v>
      </c>
      <c r="D6399" s="156" t="s">
        <v>1444</v>
      </c>
      <c r="E6399" s="154" t="n">
        <v>0.006</v>
      </c>
      <c r="F6399" s="149" t="n">
        <f aca="false">IF(C6399="MAT.",VLOOKUP(A6399,INSUMOS_AUX!$A$3:$H$813,6,0),0)</f>
        <v>0.89</v>
      </c>
      <c r="G6399" s="149" t="n">
        <f aca="false">IF(C6399="M.O.",VLOOKUP(A6399,INSUMOS_AUX!A:F,6,0),0)</f>
        <v>0</v>
      </c>
    </row>
    <row r="6400" customFormat="false" ht="21" hidden="false" customHeight="false" outlineLevel="0" collapsed="false">
      <c r="A6400" s="154" t="n">
        <v>43491</v>
      </c>
      <c r="B6400" s="155" t="s">
        <v>1457</v>
      </c>
      <c r="C6400" s="148" t="str">
        <f aca="false">VLOOKUP($A6400,INSUMOS_AUX!$A$3:$H$813,3,0)</f>
        <v>MAT.</v>
      </c>
      <c r="D6400" s="156" t="s">
        <v>1444</v>
      </c>
      <c r="E6400" s="154" t="n">
        <v>0.8809</v>
      </c>
      <c r="F6400" s="149" t="n">
        <f aca="false">IF(C6400="MAT.",VLOOKUP(A6400,INSUMOS_AUX!$A$3:$H$813,6,0),0)</f>
        <v>1.39</v>
      </c>
      <c r="G6400" s="149" t="n">
        <f aca="false">IF(C6400="M.O.",VLOOKUP(A6400,INSUMOS_AUX!A:F,6,0),0)</f>
        <v>0</v>
      </c>
    </row>
    <row r="6401" customFormat="false" ht="21" hidden="false" customHeight="false" outlineLevel="0" collapsed="false">
      <c r="A6401" s="154" t="n">
        <v>37372</v>
      </c>
      <c r="B6401" s="155" t="s">
        <v>1446</v>
      </c>
      <c r="C6401" s="148" t="str">
        <f aca="false">VLOOKUP($A6401,INSUMOS_AUX!$A$3:$H$813,3,0)</f>
        <v>MAT.</v>
      </c>
      <c r="D6401" s="156" t="s">
        <v>1444</v>
      </c>
      <c r="E6401" s="154" t="n">
        <v>0.8869</v>
      </c>
      <c r="F6401" s="149" t="n">
        <f aca="false">IF(C6401="MAT.",VLOOKUP(A6401,INSUMOS_AUX!$A$3:$H$813,6,0),0)</f>
        <v>1.43</v>
      </c>
      <c r="G6401" s="149" t="n">
        <f aca="false">IF(C6401="M.O.",VLOOKUP(A6401,INSUMOS_AUX!A:F,6,0),0)</f>
        <v>0</v>
      </c>
    </row>
    <row r="6402" customFormat="false" ht="21" hidden="false" customHeight="false" outlineLevel="0" collapsed="false">
      <c r="A6402" s="154" t="n">
        <v>43464</v>
      </c>
      <c r="B6402" s="155" t="s">
        <v>1447</v>
      </c>
      <c r="C6402" s="148" t="s">
        <v>59</v>
      </c>
      <c r="D6402" s="156" t="s">
        <v>1444</v>
      </c>
      <c r="E6402" s="154" t="n">
        <v>0.006</v>
      </c>
      <c r="F6402" s="149" t="n">
        <f aca="false">IF(C6402="MAT.",VLOOKUP(A6402,INSUMOS_AUX!$A$3:$H$813,6,0),0)</f>
        <v>0</v>
      </c>
      <c r="G6402" s="149" t="n">
        <f aca="false">IF(C6402="M.O.",VLOOKUP(A6402,INSUMOS_AUX!A:F,6,0),0)</f>
        <v>0</v>
      </c>
    </row>
    <row r="6403" customFormat="false" ht="21" hidden="false" customHeight="false" outlineLevel="0" collapsed="false">
      <c r="A6403" s="154" t="n">
        <v>43467</v>
      </c>
      <c r="B6403" s="155" t="s">
        <v>1459</v>
      </c>
      <c r="C6403" s="148" t="str">
        <f aca="false">VLOOKUP($A6403,INSUMOS_AUX!$A$3:$H$813,3,0)</f>
        <v>MAT.</v>
      </c>
      <c r="D6403" s="156" t="s">
        <v>1444</v>
      </c>
      <c r="E6403" s="154" t="n">
        <v>0.8809</v>
      </c>
      <c r="F6403" s="149" t="n">
        <f aca="false">IF(C6403="MAT.",VLOOKUP(A6403,INSUMOS_AUX!$A$3:$H$813,6,0),0)</f>
        <v>0.61</v>
      </c>
      <c r="G6403" s="149" t="n">
        <f aca="false">IF(C6403="M.O.",VLOOKUP(A6403,INSUMOS_AUX!A:F,6,0),0)</f>
        <v>0</v>
      </c>
    </row>
    <row r="6404" customFormat="false" ht="21" hidden="false" customHeight="false" outlineLevel="0" collapsed="false">
      <c r="A6404" s="154" t="n">
        <v>37373</v>
      </c>
      <c r="B6404" s="155" t="s">
        <v>1448</v>
      </c>
      <c r="C6404" s="148" t="str">
        <f aca="false">VLOOKUP($A6404,INSUMOS_AUX!$A$3:$H$813,3,0)</f>
        <v>MAT.</v>
      </c>
      <c r="D6404" s="156" t="s">
        <v>1444</v>
      </c>
      <c r="E6404" s="154" t="n">
        <v>0.8869</v>
      </c>
      <c r="F6404" s="149" t="n">
        <f aca="false">IF(C6404="MAT.",VLOOKUP(A6404,INSUMOS_AUX!$A$3:$H$813,6,0),0)</f>
        <v>0.08</v>
      </c>
      <c r="G6404" s="149" t="n">
        <f aca="false">IF(C6404="M.O.",VLOOKUP(A6404,INSUMOS_AUX!A:F,6,0),0)</f>
        <v>0</v>
      </c>
    </row>
    <row r="6405" customFormat="false" ht="21" hidden="false" customHeight="false" outlineLevel="0" collapsed="false">
      <c r="A6405" s="154" t="n">
        <v>37371</v>
      </c>
      <c r="B6405" s="155" t="s">
        <v>1449</v>
      </c>
      <c r="C6405" s="148" t="str">
        <f aca="false">VLOOKUP($A6405,INSUMOS_AUX!$A$3:$H$813,3,0)</f>
        <v>MAT.</v>
      </c>
      <c r="D6405" s="156" t="s">
        <v>1444</v>
      </c>
      <c r="E6405" s="154" t="n">
        <v>0.8869</v>
      </c>
      <c r="F6405" s="149" t="n">
        <f aca="false">IF(C6405="MAT.",VLOOKUP(A6405,INSUMOS_AUX!$A$3:$H$813,6,0),0)</f>
        <v>0.59</v>
      </c>
      <c r="G6405" s="149" t="n">
        <f aca="false">IF(C6405="M.O.",VLOOKUP(A6405,INSUMOS_AUX!A:F,6,0),0)</f>
        <v>0</v>
      </c>
    </row>
    <row r="6406" customFormat="false" ht="31.5" hidden="false" customHeight="false" outlineLevel="0" collapsed="false">
      <c r="A6406" s="154" t="n">
        <v>37758</v>
      </c>
      <c r="B6406" s="155" t="s">
        <v>1472</v>
      </c>
      <c r="C6406" s="148" t="str">
        <f aca="false">VLOOKUP($A6406,INSUMOS_AUX!$A$3:$H$813,3,0)</f>
        <v>MAT.</v>
      </c>
      <c r="D6406" s="156" t="s">
        <v>31</v>
      </c>
      <c r="E6406" s="154" t="n">
        <v>6.7182E-007</v>
      </c>
      <c r="F6406" s="149" t="n">
        <f aca="false">IF(C6406="MAT.",VLOOKUP(A6406,INSUMOS_AUX!$A$3:$H$813,6,0),0)</f>
        <v>728477.1</v>
      </c>
      <c r="G6406" s="149" t="n">
        <f aca="false">IF(C6406="M.O.",VLOOKUP(A6406,INSUMOS_AUX!A:F,6,0),0)</f>
        <v>0</v>
      </c>
    </row>
    <row r="6407" customFormat="false" ht="42" hidden="false" customHeight="false" outlineLevel="0" collapsed="false">
      <c r="A6407" s="154" t="n">
        <v>1442</v>
      </c>
      <c r="B6407" s="155" t="s">
        <v>1562</v>
      </c>
      <c r="C6407" s="148" t="str">
        <f aca="false">VLOOKUP($A6407,INSUMOS_AUX!$A$3:$H$813,3,0)</f>
        <v>MAT.</v>
      </c>
      <c r="D6407" s="156" t="s">
        <v>31</v>
      </c>
      <c r="E6407" s="154" t="n">
        <v>1.265106E-005</v>
      </c>
      <c r="F6407" s="149" t="n">
        <f aca="false">IF(C6407="MAT.",VLOOKUP(A6407,INSUMOS_AUX!$A$3:$H$813,6,0),0)</f>
        <v>10731.19</v>
      </c>
      <c r="G6407" s="149" t="n">
        <f aca="false">IF(C6407="M.O.",VLOOKUP(A6407,INSUMOS_AUX!A:F,6,0),0)</f>
        <v>0</v>
      </c>
    </row>
    <row r="6408" customFormat="false" ht="42" hidden="false" customHeight="false" outlineLevel="0" collapsed="false">
      <c r="A6408" s="154" t="n">
        <v>37736</v>
      </c>
      <c r="B6408" s="155" t="s">
        <v>1501</v>
      </c>
      <c r="C6408" s="148" t="str">
        <f aca="false">VLOOKUP($A6408,INSUMOS_AUX!$A$3:$H$813,3,0)</f>
        <v>MAT.</v>
      </c>
      <c r="D6408" s="156" t="s">
        <v>31</v>
      </c>
      <c r="E6408" s="154" t="n">
        <v>8.2386E-007</v>
      </c>
      <c r="F6408" s="149" t="n">
        <f aca="false">IF(C6408="MAT.",VLOOKUP(A6408,INSUMOS_AUX!$A$3:$H$813,6,0),0)</f>
        <v>85950</v>
      </c>
      <c r="G6408" s="149" t="n">
        <f aca="false">IF(C6408="M.O.",VLOOKUP(A6408,INSUMOS_AUX!A:F,6,0),0)</f>
        <v>0</v>
      </c>
    </row>
    <row r="6409" customFormat="false" ht="15" hidden="false" customHeight="false" outlineLevel="0" collapsed="false">
      <c r="A6409" s="154" t="n">
        <v>4222</v>
      </c>
      <c r="B6409" s="155" t="s">
        <v>1572</v>
      </c>
      <c r="C6409" s="148" t="str">
        <f aca="false">VLOOKUP($A6409,INSUMOS_AUX!$A$3:$H$813,3,0)</f>
        <v>MAT.</v>
      </c>
      <c r="D6409" s="156" t="s">
        <v>1452</v>
      </c>
      <c r="E6409" s="154" t="n">
        <v>0.135648</v>
      </c>
      <c r="F6409" s="149" t="n">
        <f aca="false">IF(C6409="MAT.",VLOOKUP(A6409,INSUMOS_AUX!$A$3:$H$813,6,0),0)</f>
        <v>6.4</v>
      </c>
      <c r="G6409" s="149" t="n">
        <f aca="false">IF(C6409="M.O.",VLOOKUP(A6409,INSUMOS_AUX!A:F,6,0),0)</f>
        <v>0</v>
      </c>
    </row>
    <row r="6410" customFormat="false" ht="15" hidden="false" customHeight="false" outlineLevel="0" collapsed="false">
      <c r="A6410" s="154" t="n">
        <v>4221</v>
      </c>
      <c r="B6410" s="155" t="s">
        <v>1451</v>
      </c>
      <c r="C6410" s="148" t="str">
        <f aca="false">VLOOKUP($A6410,INSUMOS_AUX!$A$3:$H$813,3,0)</f>
        <v>MAT.</v>
      </c>
      <c r="D6410" s="156" t="s">
        <v>1452</v>
      </c>
      <c r="E6410" s="154" t="n">
        <v>0.173664</v>
      </c>
      <c r="F6410" s="149" t="n">
        <f aca="false">IF(C6410="MAT.",VLOOKUP(A6410,INSUMOS_AUX!$A$3:$H$813,6,0),0)</f>
        <v>6.28</v>
      </c>
      <c r="G6410" s="149" t="n">
        <f aca="false">IF(C6410="M.O.",VLOOKUP(A6410,INSUMOS_AUX!A:F,6,0),0)</f>
        <v>0</v>
      </c>
    </row>
    <row r="6411" customFormat="false" ht="15" hidden="false" customHeight="false" outlineLevel="0" collapsed="false">
      <c r="A6411" s="154" t="n">
        <v>4093</v>
      </c>
      <c r="B6411" s="155" t="s">
        <v>1502</v>
      </c>
      <c r="C6411" s="148" t="str">
        <f aca="false">VLOOKUP($A6411,INSUMOS_AUX!$A$3:$H$813,3,0)</f>
        <v>M.O.</v>
      </c>
      <c r="D6411" s="156" t="s">
        <v>1444</v>
      </c>
      <c r="E6411" s="154" t="n">
        <v>0.00603054</v>
      </c>
      <c r="F6411" s="149" t="n">
        <f aca="false">IF(C6411="MAT.",VLOOKUP(A6411,INSUMOS_AUX!$A$3:$H$813,6,0),0)</f>
        <v>0</v>
      </c>
      <c r="G6411" s="149" t="n">
        <f aca="false">IF(C6411="M.O.",VLOOKUP(A6411,INSUMOS_AUX!A:F,6,0),0)</f>
        <v>23.28</v>
      </c>
    </row>
    <row r="6412" customFormat="false" ht="15" hidden="false" customHeight="false" outlineLevel="0" collapsed="false">
      <c r="A6412" s="154" t="n">
        <v>6111</v>
      </c>
      <c r="B6412" s="155" t="s">
        <v>1464</v>
      </c>
      <c r="C6412" s="148" t="str">
        <f aca="false">VLOOKUP($A6412,INSUMOS_AUX!$A$3:$H$813,3,0)</f>
        <v>M.O.</v>
      </c>
      <c r="D6412" s="156" t="s">
        <v>1444</v>
      </c>
      <c r="E6412" s="154" t="n">
        <v>0.89957508</v>
      </c>
      <c r="F6412" s="149" t="n">
        <f aca="false">IF(C6412="MAT.",VLOOKUP(A6412,INSUMOS_AUX!$A$3:$H$813,6,0),0)</f>
        <v>0</v>
      </c>
      <c r="G6412" s="149" t="n">
        <f aca="false">IF(C6412="M.O.",VLOOKUP(A6412,INSUMOS_AUX!A:F,6,0),0)</f>
        <v>12.95</v>
      </c>
    </row>
    <row r="6413" customFormat="false" ht="21" hidden="false" customHeight="false" outlineLevel="0" collapsed="false">
      <c r="A6413" s="150" t="n">
        <v>104746</v>
      </c>
      <c r="B6413" s="151" t="s">
        <v>2602</v>
      </c>
      <c r="C6413" s="152" t="s">
        <v>59</v>
      </c>
      <c r="D6413" s="152" t="s">
        <v>31</v>
      </c>
      <c r="E6413" s="150"/>
      <c r="F6413" s="153" t="n">
        <f aca="false">(SUMPRODUCT($E6414:$E6424,F6414:F6424))*1</f>
        <v>19.70782</v>
      </c>
      <c r="G6413" s="153" t="n">
        <f aca="false">(SUMPRODUCT($E6414:$E6424,G6414:G6424))*1</f>
        <v>2.6203014396</v>
      </c>
    </row>
    <row r="6414" customFormat="false" ht="21" hidden="false" customHeight="false" outlineLevel="0" collapsed="false">
      <c r="A6414" s="154" t="n">
        <v>37370</v>
      </c>
      <c r="B6414" s="155" t="s">
        <v>1443</v>
      </c>
      <c r="C6414" s="148" t="s">
        <v>59</v>
      </c>
      <c r="D6414" s="156" t="s">
        <v>1444</v>
      </c>
      <c r="E6414" s="154" t="n">
        <v>0.381</v>
      </c>
      <c r="F6414" s="149" t="n">
        <f aca="false">IF(C6414="MAT.",VLOOKUP(A6414,INSUMOS_AUX!$A$3:$H$813,6,0),0)</f>
        <v>0</v>
      </c>
      <c r="G6414" s="149" t="n">
        <f aca="false">IF(C6414="M.O.",VLOOKUP(A6414,INSUMOS_AUX!A:F,6,0),0)</f>
        <v>0</v>
      </c>
    </row>
    <row r="6415" customFormat="false" ht="21" hidden="false" customHeight="false" outlineLevel="0" collapsed="false">
      <c r="A6415" s="154" t="n">
        <v>43484</v>
      </c>
      <c r="B6415" s="155" t="s">
        <v>1523</v>
      </c>
      <c r="C6415" s="148" t="str">
        <f aca="false">VLOOKUP($A6415,INSUMOS_AUX!$A$3:$H$813,3,0)</f>
        <v>MAT.</v>
      </c>
      <c r="D6415" s="156" t="s">
        <v>1444</v>
      </c>
      <c r="E6415" s="154" t="n">
        <v>0.381</v>
      </c>
      <c r="F6415" s="149" t="n">
        <f aca="false">IF(C6415="MAT.",VLOOKUP(A6415,INSUMOS_AUX!$A$3:$H$813,6,0),0)</f>
        <v>1.26</v>
      </c>
      <c r="G6415" s="149" t="n">
        <f aca="false">IF(C6415="M.O.",VLOOKUP(A6415,INSUMOS_AUX!A:F,6,0),0)</f>
        <v>0</v>
      </c>
    </row>
    <row r="6416" customFormat="false" ht="21" hidden="false" customHeight="false" outlineLevel="0" collapsed="false">
      <c r="A6416" s="154" t="n">
        <v>37372</v>
      </c>
      <c r="B6416" s="155" t="s">
        <v>1446</v>
      </c>
      <c r="C6416" s="148" t="str">
        <f aca="false">VLOOKUP($A6416,INSUMOS_AUX!$A$3:$H$813,3,0)</f>
        <v>MAT.</v>
      </c>
      <c r="D6416" s="156" t="s">
        <v>1444</v>
      </c>
      <c r="E6416" s="154" t="n">
        <v>0.381</v>
      </c>
      <c r="F6416" s="149" t="n">
        <f aca="false">IF(C6416="MAT.",VLOOKUP(A6416,INSUMOS_AUX!$A$3:$H$813,6,0),0)</f>
        <v>1.43</v>
      </c>
      <c r="G6416" s="149" t="n">
        <f aca="false">IF(C6416="M.O.",VLOOKUP(A6416,INSUMOS_AUX!A:F,6,0),0)</f>
        <v>0</v>
      </c>
    </row>
    <row r="6417" customFormat="false" ht="21" hidden="false" customHeight="false" outlineLevel="0" collapsed="false">
      <c r="A6417" s="154" t="n">
        <v>43460</v>
      </c>
      <c r="B6417" s="155" t="s">
        <v>1524</v>
      </c>
      <c r="C6417" s="148" t="str">
        <f aca="false">VLOOKUP($A6417,INSUMOS_AUX!$A$3:$H$813,3,0)</f>
        <v>MAT.</v>
      </c>
      <c r="D6417" s="156" t="s">
        <v>1444</v>
      </c>
      <c r="E6417" s="154" t="n">
        <v>0.381</v>
      </c>
      <c r="F6417" s="149" t="n">
        <f aca="false">IF(C6417="MAT.",VLOOKUP(A6417,INSUMOS_AUX!$A$3:$H$813,6,0),0)</f>
        <v>0.86</v>
      </c>
      <c r="G6417" s="149" t="n">
        <f aca="false">IF(C6417="M.O.",VLOOKUP(A6417,INSUMOS_AUX!A:F,6,0),0)</f>
        <v>0</v>
      </c>
    </row>
    <row r="6418" customFormat="false" ht="21" hidden="false" customHeight="false" outlineLevel="0" collapsed="false">
      <c r="A6418" s="154" t="n">
        <v>37373</v>
      </c>
      <c r="B6418" s="155" t="s">
        <v>1448</v>
      </c>
      <c r="C6418" s="148" t="str">
        <f aca="false">VLOOKUP($A6418,INSUMOS_AUX!$A$3:$H$813,3,0)</f>
        <v>MAT.</v>
      </c>
      <c r="D6418" s="156" t="s">
        <v>1444</v>
      </c>
      <c r="E6418" s="154" t="n">
        <v>0.381</v>
      </c>
      <c r="F6418" s="149" t="n">
        <f aca="false">IF(C6418="MAT.",VLOOKUP(A6418,INSUMOS_AUX!$A$3:$H$813,6,0),0)</f>
        <v>0.08</v>
      </c>
      <c r="G6418" s="149" t="n">
        <f aca="false">IF(C6418="M.O.",VLOOKUP(A6418,INSUMOS_AUX!A:F,6,0),0)</f>
        <v>0</v>
      </c>
    </row>
    <row r="6419" customFormat="false" ht="21" hidden="false" customHeight="false" outlineLevel="0" collapsed="false">
      <c r="A6419" s="154" t="n">
        <v>37371</v>
      </c>
      <c r="B6419" s="155" t="s">
        <v>1449</v>
      </c>
      <c r="C6419" s="148" t="str">
        <f aca="false">VLOOKUP($A6419,INSUMOS_AUX!$A$3:$H$813,3,0)</f>
        <v>MAT.</v>
      </c>
      <c r="D6419" s="156" t="s">
        <v>1444</v>
      </c>
      <c r="E6419" s="154" t="n">
        <v>0.381</v>
      </c>
      <c r="F6419" s="149" t="n">
        <f aca="false">IF(C6419="MAT.",VLOOKUP(A6419,INSUMOS_AUX!$A$3:$H$813,6,0),0)</f>
        <v>0.59</v>
      </c>
      <c r="G6419" s="149" t="n">
        <f aca="false">IF(C6419="M.O.",VLOOKUP(A6419,INSUMOS_AUX!A:F,6,0),0)</f>
        <v>0</v>
      </c>
    </row>
    <row r="6420" customFormat="false" ht="31.5" hidden="false" customHeight="false" outlineLevel="0" collapsed="false">
      <c r="A6420" s="154" t="n">
        <v>11267</v>
      </c>
      <c r="B6420" s="155" t="s">
        <v>2431</v>
      </c>
      <c r="C6420" s="148" t="str">
        <f aca="false">VLOOKUP($A6420,INSUMOS_AUX!$A$3:$H$813,3,0)</f>
        <v>MAT.</v>
      </c>
      <c r="D6420" s="156" t="s">
        <v>31</v>
      </c>
      <c r="E6420" s="154" t="n">
        <v>2</v>
      </c>
      <c r="F6420" s="149" t="n">
        <f aca="false">IF(C6420="MAT.",VLOOKUP(A6420,INSUMOS_AUX!$A$3:$H$813,6,0),0)</f>
        <v>1.43</v>
      </c>
      <c r="G6420" s="149" t="n">
        <f aca="false">IF(C6420="M.O.",VLOOKUP(A6420,INSUMOS_AUX!A:F,6,0),0)</f>
        <v>0</v>
      </c>
    </row>
    <row r="6421" customFormat="false" ht="31.5" hidden="false" customHeight="false" outlineLevel="0" collapsed="false">
      <c r="A6421" s="154" t="n">
        <v>7583</v>
      </c>
      <c r="B6421" s="155" t="s">
        <v>2603</v>
      </c>
      <c r="C6421" s="148" t="str">
        <f aca="false">VLOOKUP($A6421,INSUMOS_AUX!$A$3:$H$813,3,0)</f>
        <v>MAT.</v>
      </c>
      <c r="D6421" s="156" t="s">
        <v>31</v>
      </c>
      <c r="E6421" s="154" t="n">
        <v>2</v>
      </c>
      <c r="F6421" s="149" t="n">
        <f aca="false">IF(C6421="MAT.",VLOOKUP(A6421,INSUMOS_AUX!$A$3:$H$813,6,0),0)</f>
        <v>0.54</v>
      </c>
      <c r="G6421" s="149" t="n">
        <f aca="false">IF(C6421="M.O.",VLOOKUP(A6421,INSUMOS_AUX!A:F,6,0),0)</f>
        <v>0</v>
      </c>
    </row>
    <row r="6422" customFormat="false" ht="21" hidden="false" customHeight="false" outlineLevel="0" collapsed="false">
      <c r="A6422" s="154" t="n">
        <v>41426</v>
      </c>
      <c r="B6422" s="155" t="s">
        <v>2604</v>
      </c>
      <c r="C6422" s="148" t="str">
        <f aca="false">VLOOKUP($A6422,INSUMOS_AUX!$A$3:$H$813,3,0)</f>
        <v>MAT.</v>
      </c>
      <c r="D6422" s="156" t="s">
        <v>31</v>
      </c>
      <c r="E6422" s="154" t="n">
        <v>1</v>
      </c>
      <c r="F6422" s="149" t="n">
        <f aca="false">IF(C6422="MAT.",VLOOKUP(A6422,INSUMOS_AUX!$A$3:$H$813,6,0),0)</f>
        <v>14.16</v>
      </c>
      <c r="G6422" s="149" t="n">
        <f aca="false">IF(C6422="M.O.",VLOOKUP(A6422,INSUMOS_AUX!A:F,6,0),0)</f>
        <v>0</v>
      </c>
    </row>
    <row r="6423" customFormat="false" ht="15" hidden="false" customHeight="false" outlineLevel="0" collapsed="false">
      <c r="A6423" s="154" t="n">
        <v>247</v>
      </c>
      <c r="B6423" s="155" t="s">
        <v>1554</v>
      </c>
      <c r="C6423" s="148" t="str">
        <f aca="false">VLOOKUP($A6423,INSUMOS_AUX!$A$3:$H$813,3,0)</f>
        <v>M.O.</v>
      </c>
      <c r="D6423" s="156" t="s">
        <v>1444</v>
      </c>
      <c r="E6423" s="154" t="n">
        <v>0.19760946</v>
      </c>
      <c r="F6423" s="149" t="n">
        <f aca="false">IF(C6423="MAT.",VLOOKUP(A6423,INSUMOS_AUX!$A$3:$H$813,6,0),0)</f>
        <v>0</v>
      </c>
      <c r="G6423" s="149" t="n">
        <f aca="false">IF(C6423="M.O.",VLOOKUP(A6423,INSUMOS_AUX!A:F,6,0),0)</f>
        <v>13.26</v>
      </c>
    </row>
    <row r="6424" customFormat="false" ht="15" hidden="false" customHeight="false" outlineLevel="0" collapsed="false">
      <c r="A6424" s="154" t="n">
        <v>2436</v>
      </c>
      <c r="B6424" s="155" t="s">
        <v>1557</v>
      </c>
      <c r="C6424" s="148" t="s">
        <v>59</v>
      </c>
      <c r="D6424" s="156" t="s">
        <v>1444</v>
      </c>
      <c r="E6424" s="154" t="n">
        <v>0.19760946</v>
      </c>
      <c r="F6424" s="149" t="n">
        <f aca="false">IF(C6424="MAT.",VLOOKUP(A6424,INSUMOS_AUX!$A$3:$H$813,6,0),0)</f>
        <v>0</v>
      </c>
      <c r="G6424" s="149" t="n">
        <f aca="false">IF(C6424="M.O.",VLOOKUP(A6424,INSUMOS_AUX!A:F,6,0),0)</f>
        <v>0</v>
      </c>
    </row>
    <row r="6425" customFormat="false" ht="21" hidden="false" customHeight="false" outlineLevel="0" collapsed="false">
      <c r="A6425" s="150" t="s">
        <v>1094</v>
      </c>
      <c r="B6425" s="151" t="s">
        <v>2605</v>
      </c>
      <c r="C6425" s="152" t="s">
        <v>59</v>
      </c>
      <c r="D6425" s="152" t="s">
        <v>1455</v>
      </c>
      <c r="E6425" s="150"/>
      <c r="F6425" s="153" t="n">
        <f aca="false">(SUMPRODUCT($E6426:$E6436,F6426:F6436))*1</f>
        <v>62.153049</v>
      </c>
      <c r="G6425" s="153" t="n">
        <f aca="false">(SUMPRODUCT($E6426:$E6436,G6426:G6436))*1</f>
        <v>18.30590553456</v>
      </c>
    </row>
    <row r="6426" customFormat="false" ht="21" hidden="false" customHeight="false" outlineLevel="0" collapsed="false">
      <c r="A6426" s="154" t="n">
        <v>37370</v>
      </c>
      <c r="B6426" s="155" t="s">
        <v>1443</v>
      </c>
      <c r="C6426" s="148" t="str">
        <f aca="false">VLOOKUP($A6426,INSUMOS_AUX!$A$3:$H$813,3,0)</f>
        <v>MAT.</v>
      </c>
      <c r="D6426" s="156" t="s">
        <v>1444</v>
      </c>
      <c r="E6426" s="154" t="n">
        <v>1.0542</v>
      </c>
      <c r="F6426" s="149" t="n">
        <f aca="false">IF(C6426="MAT.",VLOOKUP(A6426,INSUMOS_AUX!$A$3:$H$813,6,0),0)</f>
        <v>3.32</v>
      </c>
      <c r="G6426" s="149" t="n">
        <f aca="false">IF(C6426="M.O.",VLOOKUP(A6426,INSUMOS_AUX!A:F,6,0),0)</f>
        <v>0</v>
      </c>
    </row>
    <row r="6427" customFormat="false" ht="21" hidden="false" customHeight="false" outlineLevel="0" collapsed="false">
      <c r="A6427" s="154" t="n">
        <v>43484</v>
      </c>
      <c r="B6427" s="155" t="s">
        <v>1523</v>
      </c>
      <c r="C6427" s="148" t="str">
        <f aca="false">VLOOKUP($A6427,INSUMOS_AUX!$A$3:$H$813,3,0)</f>
        <v>MAT.</v>
      </c>
      <c r="D6427" s="156" t="s">
        <v>1444</v>
      </c>
      <c r="E6427" s="154" t="n">
        <v>1.0542</v>
      </c>
      <c r="F6427" s="149" t="n">
        <f aca="false">IF(C6427="MAT.",VLOOKUP(A6427,INSUMOS_AUX!$A$3:$H$813,6,0),0)</f>
        <v>1.26</v>
      </c>
      <c r="G6427" s="149" t="n">
        <f aca="false">IF(C6427="M.O.",VLOOKUP(A6427,INSUMOS_AUX!A:F,6,0),0)</f>
        <v>0</v>
      </c>
    </row>
    <row r="6428" customFormat="false" ht="21" hidden="false" customHeight="false" outlineLevel="0" collapsed="false">
      <c r="A6428" s="154" t="n">
        <v>37372</v>
      </c>
      <c r="B6428" s="155" t="s">
        <v>1446</v>
      </c>
      <c r="C6428" s="148" t="str">
        <f aca="false">VLOOKUP($A6428,INSUMOS_AUX!$A$3:$H$813,3,0)</f>
        <v>MAT.</v>
      </c>
      <c r="D6428" s="156" t="s">
        <v>1444</v>
      </c>
      <c r="E6428" s="154" t="n">
        <v>1.0542</v>
      </c>
      <c r="F6428" s="149" t="n">
        <f aca="false">IF(C6428="MAT.",VLOOKUP(A6428,INSUMOS_AUX!$A$3:$H$813,6,0),0)</f>
        <v>1.43</v>
      </c>
      <c r="G6428" s="149" t="n">
        <f aca="false">IF(C6428="M.O.",VLOOKUP(A6428,INSUMOS_AUX!A:F,6,0),0)</f>
        <v>0</v>
      </c>
    </row>
    <row r="6429" customFormat="false" ht="21" hidden="false" customHeight="false" outlineLevel="0" collapsed="false">
      <c r="A6429" s="154" t="n">
        <v>43460</v>
      </c>
      <c r="B6429" s="155" t="s">
        <v>1524</v>
      </c>
      <c r="C6429" s="148" t="str">
        <f aca="false">VLOOKUP($A6429,INSUMOS_AUX!$A$3:$H$813,3,0)</f>
        <v>MAT.</v>
      </c>
      <c r="D6429" s="156" t="s">
        <v>1444</v>
      </c>
      <c r="E6429" s="154" t="n">
        <v>1.0542</v>
      </c>
      <c r="F6429" s="149" t="n">
        <f aca="false">IF(C6429="MAT.",VLOOKUP(A6429,INSUMOS_AUX!$A$3:$H$813,6,0),0)</f>
        <v>0.86</v>
      </c>
      <c r="G6429" s="149" t="n">
        <f aca="false">IF(C6429="M.O.",VLOOKUP(A6429,INSUMOS_AUX!A:F,6,0),0)</f>
        <v>0</v>
      </c>
    </row>
    <row r="6430" customFormat="false" ht="21" hidden="false" customHeight="false" outlineLevel="0" collapsed="false">
      <c r="A6430" s="154" t="n">
        <v>37373</v>
      </c>
      <c r="B6430" s="155" t="s">
        <v>1448</v>
      </c>
      <c r="C6430" s="148" t="str">
        <f aca="false">VLOOKUP($A6430,INSUMOS_AUX!$A$3:$H$813,3,0)</f>
        <v>MAT.</v>
      </c>
      <c r="D6430" s="156" t="s">
        <v>1444</v>
      </c>
      <c r="E6430" s="154" t="n">
        <v>1.0542</v>
      </c>
      <c r="F6430" s="149" t="n">
        <f aca="false">IF(C6430="MAT.",VLOOKUP(A6430,INSUMOS_AUX!$A$3:$H$813,6,0),0)</f>
        <v>0.08</v>
      </c>
      <c r="G6430" s="149" t="n">
        <f aca="false">IF(C6430="M.O.",VLOOKUP(A6430,INSUMOS_AUX!A:F,6,0),0)</f>
        <v>0</v>
      </c>
    </row>
    <row r="6431" customFormat="false" ht="21" hidden="false" customHeight="false" outlineLevel="0" collapsed="false">
      <c r="A6431" s="154" t="n">
        <v>37371</v>
      </c>
      <c r="B6431" s="155" t="s">
        <v>1449</v>
      </c>
      <c r="C6431" s="148" t="str">
        <f aca="false">VLOOKUP($A6431,INSUMOS_AUX!$A$3:$H$813,3,0)</f>
        <v>MAT.</v>
      </c>
      <c r="D6431" s="156" t="s">
        <v>1444</v>
      </c>
      <c r="E6431" s="154" t="n">
        <v>1.0542</v>
      </c>
      <c r="F6431" s="149" t="n">
        <f aca="false">IF(C6431="MAT.",VLOOKUP(A6431,INSUMOS_AUX!$A$3:$H$813,6,0),0)</f>
        <v>0.59</v>
      </c>
      <c r="G6431" s="149" t="n">
        <f aca="false">IF(C6431="M.O.",VLOOKUP(A6431,INSUMOS_AUX!A:F,6,0),0)</f>
        <v>0</v>
      </c>
    </row>
    <row r="6432" customFormat="false" ht="31.5" hidden="false" customHeight="false" outlineLevel="0" collapsed="false">
      <c r="A6432" s="154" t="n">
        <v>11267</v>
      </c>
      <c r="B6432" s="155" t="s">
        <v>2431</v>
      </c>
      <c r="C6432" s="148" t="str">
        <f aca="false">VLOOKUP($A6432,INSUMOS_AUX!$A$3:$H$813,3,0)</f>
        <v>MAT.</v>
      </c>
      <c r="D6432" s="156" t="s">
        <v>31</v>
      </c>
      <c r="E6432" s="154" t="n">
        <v>1.6667</v>
      </c>
      <c r="F6432" s="149" t="n">
        <f aca="false">IF(C6432="MAT.",VLOOKUP(A6432,INSUMOS_AUX!$A$3:$H$813,6,0),0)</f>
        <v>1.43</v>
      </c>
      <c r="G6432" s="149" t="n">
        <f aca="false">IF(C6432="M.O.",VLOOKUP(A6432,INSUMOS_AUX!A:F,6,0),0)</f>
        <v>0</v>
      </c>
    </row>
    <row r="6433" customFormat="false" ht="15" hidden="false" customHeight="false" outlineLevel="0" collapsed="false">
      <c r="A6433" s="154" t="s">
        <v>2606</v>
      </c>
      <c r="B6433" s="155" t="s">
        <v>2607</v>
      </c>
      <c r="C6433" s="148" t="str">
        <f aca="false">VLOOKUP($A6433,INSUMOS_AUX!$A$3:$H$813,3,0)</f>
        <v>MAT.</v>
      </c>
      <c r="D6433" s="156" t="s">
        <v>1455</v>
      </c>
      <c r="E6433" s="154" t="n">
        <v>1.05</v>
      </c>
      <c r="F6433" s="149" t="n">
        <f aca="false">IF(C6433="MAT.",VLOOKUP(A6433,INSUMOS_AUX!$A$3:$H$813,6,0),0)</f>
        <v>49.3533333333333</v>
      </c>
      <c r="G6433" s="149" t="n">
        <f aca="false">IF(C6433="M.O.",VLOOKUP(A6433,INSUMOS_AUX!A:F,6,0),0)</f>
        <v>0</v>
      </c>
    </row>
    <row r="6434" customFormat="false" ht="31.5" hidden="false" customHeight="false" outlineLevel="0" collapsed="false">
      <c r="A6434" s="154" t="n">
        <v>7583</v>
      </c>
      <c r="B6434" s="155" t="s">
        <v>2603</v>
      </c>
      <c r="C6434" s="148" t="s">
        <v>59</v>
      </c>
      <c r="D6434" s="156" t="s">
        <v>31</v>
      </c>
      <c r="E6434" s="154" t="n">
        <v>1.6667</v>
      </c>
      <c r="F6434" s="149" t="n">
        <f aca="false">IF(C6434="MAT.",VLOOKUP(A6434,INSUMOS_AUX!$A$3:$H$813,6,0),0)</f>
        <v>0</v>
      </c>
      <c r="G6434" s="149" t="n">
        <f aca="false">IF(C6434="M.O.",VLOOKUP(A6434,INSUMOS_AUX!A:F,6,0),0)</f>
        <v>0</v>
      </c>
    </row>
    <row r="6435" customFormat="false" ht="15" hidden="false" customHeight="false" outlineLevel="0" collapsed="false">
      <c r="A6435" s="154" t="n">
        <v>247</v>
      </c>
      <c r="B6435" s="155" t="s">
        <v>1554</v>
      </c>
      <c r="C6435" s="148" t="str">
        <f aca="false">VLOOKUP($A6435,INSUMOS_AUX!$A$3:$H$813,3,0)</f>
        <v>M.O.</v>
      </c>
      <c r="D6435" s="156" t="s">
        <v>1444</v>
      </c>
      <c r="E6435" s="154" t="n">
        <v>0.546771372</v>
      </c>
      <c r="F6435" s="149" t="n">
        <f aca="false">IF(C6435="MAT.",VLOOKUP(A6435,INSUMOS_AUX!$A$3:$H$813,6,0),0)</f>
        <v>0</v>
      </c>
      <c r="G6435" s="149" t="n">
        <f aca="false">IF(C6435="M.O.",VLOOKUP(A6435,INSUMOS_AUX!A:F,6,0),0)</f>
        <v>13.26</v>
      </c>
    </row>
    <row r="6436" customFormat="false" ht="15" hidden="false" customHeight="false" outlineLevel="0" collapsed="false">
      <c r="A6436" s="154" t="n">
        <v>2436</v>
      </c>
      <c r="B6436" s="155" t="s">
        <v>1557</v>
      </c>
      <c r="C6436" s="148" t="str">
        <f aca="false">VLOOKUP($A6436,INSUMOS_AUX!$A$3:$H$813,3,0)</f>
        <v>M.O.</v>
      </c>
      <c r="D6436" s="156" t="s">
        <v>1444</v>
      </c>
      <c r="E6436" s="154" t="n">
        <v>0.546771372</v>
      </c>
      <c r="F6436" s="149" t="n">
        <f aca="false">IF(C6436="MAT.",VLOOKUP(A6436,INSUMOS_AUX!$A$3:$H$813,6,0),0)</f>
        <v>0</v>
      </c>
      <c r="G6436" s="149" t="n">
        <f aca="false">IF(C6436="M.O.",VLOOKUP(A6436,INSUMOS_AUX!A:F,6,0),0)</f>
        <v>20.22</v>
      </c>
    </row>
    <row r="6437" customFormat="false" ht="21" hidden="false" customHeight="false" outlineLevel="0" collapsed="false">
      <c r="A6437" s="150" t="s">
        <v>1096</v>
      </c>
      <c r="B6437" s="151" t="s">
        <v>2608</v>
      </c>
      <c r="C6437" s="152" t="s">
        <v>59</v>
      </c>
      <c r="D6437" s="152" t="s">
        <v>31</v>
      </c>
      <c r="E6437" s="150"/>
      <c r="F6437" s="153" t="n">
        <f aca="false">(SUMPRODUCT($E6438:$E6448,F6438:F6448))*1</f>
        <v>21.618668</v>
      </c>
      <c r="G6437" s="153" t="n">
        <f aca="false">(SUMPRODUCT($E6438:$E6448,G6438:G6448))*1</f>
        <v>18.30590553456</v>
      </c>
    </row>
    <row r="6438" customFormat="false" ht="21" hidden="false" customHeight="false" outlineLevel="0" collapsed="false">
      <c r="A6438" s="154" t="n">
        <v>37370</v>
      </c>
      <c r="B6438" s="155" t="s">
        <v>1443</v>
      </c>
      <c r="C6438" s="148" t="str">
        <f aca="false">VLOOKUP($A6438,INSUMOS_AUX!$A$3:$H$813,3,0)</f>
        <v>MAT.</v>
      </c>
      <c r="D6438" s="156" t="s">
        <v>1444</v>
      </c>
      <c r="E6438" s="154" t="n">
        <v>1.0542</v>
      </c>
      <c r="F6438" s="149" t="n">
        <f aca="false">IF(C6438="MAT.",VLOOKUP(A6438,INSUMOS_AUX!$A$3:$H$813,6,0),0)</f>
        <v>3.32</v>
      </c>
      <c r="G6438" s="149" t="n">
        <f aca="false">IF(C6438="M.O.",VLOOKUP(A6438,INSUMOS_AUX!A:F,6,0),0)</f>
        <v>0</v>
      </c>
    </row>
    <row r="6439" customFormat="false" ht="21" hidden="false" customHeight="false" outlineLevel="0" collapsed="false">
      <c r="A6439" s="154" t="n">
        <v>43484</v>
      </c>
      <c r="B6439" s="155" t="s">
        <v>1523</v>
      </c>
      <c r="C6439" s="148" t="str">
        <f aca="false">VLOOKUP($A6439,INSUMOS_AUX!$A$3:$H$813,3,0)</f>
        <v>MAT.</v>
      </c>
      <c r="D6439" s="156" t="s">
        <v>1444</v>
      </c>
      <c r="E6439" s="154" t="n">
        <v>1.0542</v>
      </c>
      <c r="F6439" s="149" t="n">
        <f aca="false">IF(C6439="MAT.",VLOOKUP(A6439,INSUMOS_AUX!$A$3:$H$813,6,0),0)</f>
        <v>1.26</v>
      </c>
      <c r="G6439" s="149" t="n">
        <f aca="false">IF(C6439="M.O.",VLOOKUP(A6439,INSUMOS_AUX!A:F,6,0),0)</f>
        <v>0</v>
      </c>
    </row>
    <row r="6440" customFormat="false" ht="21" hidden="false" customHeight="false" outlineLevel="0" collapsed="false">
      <c r="A6440" s="154" t="n">
        <v>37372</v>
      </c>
      <c r="B6440" s="155" t="s">
        <v>1446</v>
      </c>
      <c r="C6440" s="148" t="str">
        <f aca="false">VLOOKUP($A6440,INSUMOS_AUX!$A$3:$H$813,3,0)</f>
        <v>MAT.</v>
      </c>
      <c r="D6440" s="156" t="s">
        <v>1444</v>
      </c>
      <c r="E6440" s="154" t="n">
        <v>1.0542</v>
      </c>
      <c r="F6440" s="149" t="n">
        <f aca="false">IF(C6440="MAT.",VLOOKUP(A6440,INSUMOS_AUX!$A$3:$H$813,6,0),0)</f>
        <v>1.43</v>
      </c>
      <c r="G6440" s="149" t="n">
        <f aca="false">IF(C6440="M.O.",VLOOKUP(A6440,INSUMOS_AUX!A:F,6,0),0)</f>
        <v>0</v>
      </c>
    </row>
    <row r="6441" customFormat="false" ht="21" hidden="false" customHeight="false" outlineLevel="0" collapsed="false">
      <c r="A6441" s="154" t="n">
        <v>43460</v>
      </c>
      <c r="B6441" s="155" t="s">
        <v>1524</v>
      </c>
      <c r="C6441" s="148" t="str">
        <f aca="false">VLOOKUP($A6441,INSUMOS_AUX!$A$3:$H$813,3,0)</f>
        <v>MAT.</v>
      </c>
      <c r="D6441" s="156" t="s">
        <v>1444</v>
      </c>
      <c r="E6441" s="154" t="n">
        <v>1.0542</v>
      </c>
      <c r="F6441" s="149" t="n">
        <f aca="false">IF(C6441="MAT.",VLOOKUP(A6441,INSUMOS_AUX!$A$3:$H$813,6,0),0)</f>
        <v>0.86</v>
      </c>
      <c r="G6441" s="149" t="n">
        <f aca="false">IF(C6441="M.O.",VLOOKUP(A6441,INSUMOS_AUX!A:F,6,0),0)</f>
        <v>0</v>
      </c>
    </row>
    <row r="6442" customFormat="false" ht="21" hidden="false" customHeight="false" outlineLevel="0" collapsed="false">
      <c r="A6442" s="154" t="n">
        <v>37373</v>
      </c>
      <c r="B6442" s="155" t="s">
        <v>1448</v>
      </c>
      <c r="C6442" s="148" t="str">
        <f aca="false">VLOOKUP($A6442,INSUMOS_AUX!$A$3:$H$813,3,0)</f>
        <v>MAT.</v>
      </c>
      <c r="D6442" s="156" t="s">
        <v>1444</v>
      </c>
      <c r="E6442" s="154" t="n">
        <v>1.0542</v>
      </c>
      <c r="F6442" s="149" t="n">
        <f aca="false">IF(C6442="MAT.",VLOOKUP(A6442,INSUMOS_AUX!$A$3:$H$813,6,0),0)</f>
        <v>0.08</v>
      </c>
      <c r="G6442" s="149" t="n">
        <f aca="false">IF(C6442="M.O.",VLOOKUP(A6442,INSUMOS_AUX!A:F,6,0),0)</f>
        <v>0</v>
      </c>
    </row>
    <row r="6443" customFormat="false" ht="21" hidden="false" customHeight="false" outlineLevel="0" collapsed="false">
      <c r="A6443" s="154" t="n">
        <v>37371</v>
      </c>
      <c r="B6443" s="155" t="s">
        <v>1449</v>
      </c>
      <c r="C6443" s="148" t="str">
        <f aca="false">VLOOKUP($A6443,INSUMOS_AUX!$A$3:$H$813,3,0)</f>
        <v>MAT.</v>
      </c>
      <c r="D6443" s="156" t="s">
        <v>1444</v>
      </c>
      <c r="E6443" s="154" t="n">
        <v>1.0542</v>
      </c>
      <c r="F6443" s="149" t="n">
        <f aca="false">IF(C6443="MAT.",VLOOKUP(A6443,INSUMOS_AUX!$A$3:$H$813,6,0),0)</f>
        <v>0.59</v>
      </c>
      <c r="G6443" s="149" t="n">
        <f aca="false">IF(C6443="M.O.",VLOOKUP(A6443,INSUMOS_AUX!A:F,6,0),0)</f>
        <v>0</v>
      </c>
    </row>
    <row r="6444" customFormat="false" ht="31.5" hidden="false" customHeight="false" outlineLevel="0" collapsed="false">
      <c r="A6444" s="154" t="n">
        <v>11267</v>
      </c>
      <c r="B6444" s="155" t="s">
        <v>2431</v>
      </c>
      <c r="C6444" s="148" t="str">
        <f aca="false">VLOOKUP($A6444,INSUMOS_AUX!$A$3:$H$813,3,0)</f>
        <v>MAT.</v>
      </c>
      <c r="D6444" s="156" t="s">
        <v>31</v>
      </c>
      <c r="E6444" s="154" t="n">
        <v>2</v>
      </c>
      <c r="F6444" s="149" t="n">
        <f aca="false">IF(C6444="MAT.",VLOOKUP(A6444,INSUMOS_AUX!$A$3:$H$813,6,0),0)</f>
        <v>1.43</v>
      </c>
      <c r="G6444" s="149" t="n">
        <f aca="false">IF(C6444="M.O.",VLOOKUP(A6444,INSUMOS_AUX!A:F,6,0),0)</f>
        <v>0</v>
      </c>
    </row>
    <row r="6445" customFormat="false" ht="31.5" hidden="false" customHeight="false" outlineLevel="0" collapsed="false">
      <c r="A6445" s="154" t="n">
        <v>7583</v>
      </c>
      <c r="B6445" s="155" t="s">
        <v>2603</v>
      </c>
      <c r="C6445" s="148" t="str">
        <f aca="false">VLOOKUP($A6445,INSUMOS_AUX!$A$3:$H$813,3,0)</f>
        <v>MAT.</v>
      </c>
      <c r="D6445" s="156" t="s">
        <v>31</v>
      </c>
      <c r="E6445" s="154" t="n">
        <v>2</v>
      </c>
      <c r="F6445" s="149" t="n">
        <f aca="false">IF(C6445="MAT.",VLOOKUP(A6445,INSUMOS_AUX!$A$3:$H$813,6,0),0)</f>
        <v>0.54</v>
      </c>
      <c r="G6445" s="149" t="n">
        <f aca="false">IF(C6445="M.O.",VLOOKUP(A6445,INSUMOS_AUX!A:F,6,0),0)</f>
        <v>0</v>
      </c>
    </row>
    <row r="6446" customFormat="false" ht="15" hidden="false" customHeight="false" outlineLevel="0" collapsed="false">
      <c r="A6446" s="154" t="s">
        <v>2609</v>
      </c>
      <c r="B6446" s="155" t="s">
        <v>2610</v>
      </c>
      <c r="C6446" s="148" t="str">
        <f aca="false">VLOOKUP($A6446,INSUMOS_AUX!$A$3:$H$813,3,0)</f>
        <v>MAT.</v>
      </c>
      <c r="D6446" s="156" t="s">
        <v>31</v>
      </c>
      <c r="E6446" s="154" t="n">
        <v>1</v>
      </c>
      <c r="F6446" s="149" t="n">
        <f aca="false">IF(C6446="MAT.",VLOOKUP(A6446,INSUMOS_AUX!$A$3:$H$813,6,0),0)</f>
        <v>9.73</v>
      </c>
      <c r="G6446" s="149" t="n">
        <f aca="false">IF(C6446="M.O.",VLOOKUP(A6446,INSUMOS_AUX!A:F,6,0),0)</f>
        <v>0</v>
      </c>
    </row>
    <row r="6447" customFormat="false" ht="15" hidden="false" customHeight="false" outlineLevel="0" collapsed="false">
      <c r="A6447" s="154" t="n">
        <v>247</v>
      </c>
      <c r="B6447" s="155" t="s">
        <v>1554</v>
      </c>
      <c r="C6447" s="148" t="str">
        <f aca="false">VLOOKUP($A6447,INSUMOS_AUX!$A$3:$H$813,3,0)</f>
        <v>M.O.</v>
      </c>
      <c r="D6447" s="156" t="s">
        <v>1444</v>
      </c>
      <c r="E6447" s="154" t="n">
        <v>0.546771372</v>
      </c>
      <c r="F6447" s="149" t="n">
        <f aca="false">IF(C6447="MAT.",VLOOKUP(A6447,INSUMOS_AUX!$A$3:$H$813,6,0),0)</f>
        <v>0</v>
      </c>
      <c r="G6447" s="149" t="n">
        <f aca="false">IF(C6447="M.O.",VLOOKUP(A6447,INSUMOS_AUX!A:F,6,0),0)</f>
        <v>13.26</v>
      </c>
    </row>
    <row r="6448" customFormat="false" ht="15" hidden="false" customHeight="false" outlineLevel="0" collapsed="false">
      <c r="A6448" s="154" t="n">
        <v>2436</v>
      </c>
      <c r="B6448" s="155" t="s">
        <v>1557</v>
      </c>
      <c r="C6448" s="148" t="str">
        <f aca="false">VLOOKUP($A6448,INSUMOS_AUX!$A$3:$H$813,3,0)</f>
        <v>M.O.</v>
      </c>
      <c r="D6448" s="156" t="s">
        <v>1444</v>
      </c>
      <c r="E6448" s="154" t="n">
        <v>0.546771372</v>
      </c>
      <c r="F6448" s="149" t="n">
        <f aca="false">IF(C6448="MAT.",VLOOKUP(A6448,INSUMOS_AUX!$A$3:$H$813,6,0),0)</f>
        <v>0</v>
      </c>
      <c r="G6448" s="149" t="n">
        <f aca="false">IF(C6448="M.O.",VLOOKUP(A6448,INSUMOS_AUX!A:F,6,0),0)</f>
        <v>20.22</v>
      </c>
    </row>
    <row r="6449" customFormat="false" ht="21" hidden="false" customHeight="false" outlineLevel="0" collapsed="false">
      <c r="A6449" s="150" t="n">
        <v>96989</v>
      </c>
      <c r="B6449" s="151" t="s">
        <v>2611</v>
      </c>
      <c r="C6449" s="152" t="s">
        <v>59</v>
      </c>
      <c r="D6449" s="152" t="s">
        <v>31</v>
      </c>
      <c r="E6449" s="150"/>
      <c r="F6449" s="153" t="n">
        <f aca="false">(SUMPRODUCT($E6450:$E6458,F6450:F6458))*1</f>
        <v>140.096024</v>
      </c>
      <c r="G6449" s="153" t="n">
        <f aca="false">(SUMPRODUCT($E6450:$E6458,G6450:G6458))*1</f>
        <v>4.67458714656</v>
      </c>
    </row>
    <row r="6450" customFormat="false" ht="21" hidden="false" customHeight="false" outlineLevel="0" collapsed="false">
      <c r="A6450" s="154" t="n">
        <v>37370</v>
      </c>
      <c r="B6450" s="155" t="s">
        <v>1443</v>
      </c>
      <c r="C6450" s="148" t="s">
        <v>59</v>
      </c>
      <c r="D6450" s="156" t="s">
        <v>1444</v>
      </c>
      <c r="E6450" s="154" t="n">
        <v>0.2692</v>
      </c>
      <c r="F6450" s="149" t="n">
        <f aca="false">IF(C6450="MAT.",VLOOKUP(A6450,INSUMOS_AUX!$A$3:$H$813,6,0),0)</f>
        <v>0</v>
      </c>
      <c r="G6450" s="149" t="n">
        <f aca="false">IF(C6450="M.O.",VLOOKUP(A6450,INSUMOS_AUX!A:F,6,0),0)</f>
        <v>0</v>
      </c>
    </row>
    <row r="6451" customFormat="false" ht="21" hidden="false" customHeight="false" outlineLevel="0" collapsed="false">
      <c r="A6451" s="154" t="n">
        <v>43484</v>
      </c>
      <c r="B6451" s="155" t="s">
        <v>1523</v>
      </c>
      <c r="C6451" s="148" t="str">
        <f aca="false">VLOOKUP($A6451,INSUMOS_AUX!$A$3:$H$813,3,0)</f>
        <v>MAT.</v>
      </c>
      <c r="D6451" s="156" t="s">
        <v>1444</v>
      </c>
      <c r="E6451" s="154" t="n">
        <v>0.2692</v>
      </c>
      <c r="F6451" s="149" t="n">
        <f aca="false">IF(C6451="MAT.",VLOOKUP(A6451,INSUMOS_AUX!$A$3:$H$813,6,0),0)</f>
        <v>1.26</v>
      </c>
      <c r="G6451" s="149" t="n">
        <f aca="false">IF(C6451="M.O.",VLOOKUP(A6451,INSUMOS_AUX!A:F,6,0),0)</f>
        <v>0</v>
      </c>
    </row>
    <row r="6452" customFormat="false" ht="21" hidden="false" customHeight="false" outlineLevel="0" collapsed="false">
      <c r="A6452" s="154" t="n">
        <v>37372</v>
      </c>
      <c r="B6452" s="155" t="s">
        <v>1446</v>
      </c>
      <c r="C6452" s="148" t="str">
        <f aca="false">VLOOKUP($A6452,INSUMOS_AUX!$A$3:$H$813,3,0)</f>
        <v>MAT.</v>
      </c>
      <c r="D6452" s="156" t="s">
        <v>1444</v>
      </c>
      <c r="E6452" s="154" t="n">
        <v>0.2692</v>
      </c>
      <c r="F6452" s="149" t="n">
        <f aca="false">IF(C6452="MAT.",VLOOKUP(A6452,INSUMOS_AUX!$A$3:$H$813,6,0),0)</f>
        <v>1.43</v>
      </c>
      <c r="G6452" s="149" t="n">
        <f aca="false">IF(C6452="M.O.",VLOOKUP(A6452,INSUMOS_AUX!A:F,6,0),0)</f>
        <v>0</v>
      </c>
    </row>
    <row r="6453" customFormat="false" ht="21" hidden="false" customHeight="false" outlineLevel="0" collapsed="false">
      <c r="A6453" s="154" t="n">
        <v>43460</v>
      </c>
      <c r="B6453" s="155" t="s">
        <v>1524</v>
      </c>
      <c r="C6453" s="148" t="str">
        <f aca="false">VLOOKUP($A6453,INSUMOS_AUX!$A$3:$H$813,3,0)</f>
        <v>MAT.</v>
      </c>
      <c r="D6453" s="156" t="s">
        <v>1444</v>
      </c>
      <c r="E6453" s="154" t="n">
        <v>0.2692</v>
      </c>
      <c r="F6453" s="149" t="n">
        <f aca="false">IF(C6453="MAT.",VLOOKUP(A6453,INSUMOS_AUX!$A$3:$H$813,6,0),0)</f>
        <v>0.86</v>
      </c>
      <c r="G6453" s="149" t="n">
        <f aca="false">IF(C6453="M.O.",VLOOKUP(A6453,INSUMOS_AUX!A:F,6,0),0)</f>
        <v>0</v>
      </c>
    </row>
    <row r="6454" customFormat="false" ht="21" hidden="false" customHeight="false" outlineLevel="0" collapsed="false">
      <c r="A6454" s="154" t="n">
        <v>37373</v>
      </c>
      <c r="B6454" s="155" t="s">
        <v>1448</v>
      </c>
      <c r="C6454" s="148" t="str">
        <f aca="false">VLOOKUP($A6454,INSUMOS_AUX!$A$3:$H$813,3,0)</f>
        <v>MAT.</v>
      </c>
      <c r="D6454" s="156" t="s">
        <v>1444</v>
      </c>
      <c r="E6454" s="154" t="n">
        <v>0.2692</v>
      </c>
      <c r="F6454" s="149" t="n">
        <f aca="false">IF(C6454="MAT.",VLOOKUP(A6454,INSUMOS_AUX!$A$3:$H$813,6,0),0)</f>
        <v>0.08</v>
      </c>
      <c r="G6454" s="149" t="n">
        <f aca="false">IF(C6454="M.O.",VLOOKUP(A6454,INSUMOS_AUX!A:F,6,0),0)</f>
        <v>0</v>
      </c>
    </row>
    <row r="6455" customFormat="false" ht="21" hidden="false" customHeight="false" outlineLevel="0" collapsed="false">
      <c r="A6455" s="154" t="n">
        <v>37371</v>
      </c>
      <c r="B6455" s="155" t="s">
        <v>1449</v>
      </c>
      <c r="C6455" s="148" t="str">
        <f aca="false">VLOOKUP($A6455,INSUMOS_AUX!$A$3:$H$813,3,0)</f>
        <v>MAT.</v>
      </c>
      <c r="D6455" s="156" t="s">
        <v>1444</v>
      </c>
      <c r="E6455" s="154" t="n">
        <v>0.2692</v>
      </c>
      <c r="F6455" s="149" t="n">
        <f aca="false">IF(C6455="MAT.",VLOOKUP(A6455,INSUMOS_AUX!$A$3:$H$813,6,0),0)</f>
        <v>0.59</v>
      </c>
      <c r="G6455" s="149" t="n">
        <f aca="false">IF(C6455="M.O.",VLOOKUP(A6455,INSUMOS_AUX!A:F,6,0),0)</f>
        <v>0</v>
      </c>
    </row>
    <row r="6456" customFormat="false" ht="31.5" hidden="false" customHeight="false" outlineLevel="0" collapsed="false">
      <c r="A6456" s="154" t="n">
        <v>4274</v>
      </c>
      <c r="B6456" s="155" t="s">
        <v>2612</v>
      </c>
      <c r="C6456" s="148" t="str">
        <f aca="false">VLOOKUP($A6456,INSUMOS_AUX!$A$3:$H$813,3,0)</f>
        <v>MAT.</v>
      </c>
      <c r="D6456" s="156" t="s">
        <v>31</v>
      </c>
      <c r="E6456" s="154" t="n">
        <v>1</v>
      </c>
      <c r="F6456" s="149" t="n">
        <f aca="false">IF(C6456="MAT.",VLOOKUP(A6456,INSUMOS_AUX!$A$3:$H$813,6,0),0)</f>
        <v>138.96</v>
      </c>
      <c r="G6456" s="149" t="n">
        <f aca="false">IF(C6456="M.O.",VLOOKUP(A6456,INSUMOS_AUX!A:F,6,0),0)</f>
        <v>0</v>
      </c>
    </row>
    <row r="6457" customFormat="false" ht="15" hidden="false" customHeight="false" outlineLevel="0" collapsed="false">
      <c r="A6457" s="154" t="n">
        <v>247</v>
      </c>
      <c r="B6457" s="155" t="s">
        <v>1554</v>
      </c>
      <c r="C6457" s="148" t="str">
        <f aca="false">VLOOKUP($A6457,INSUMOS_AUX!$A$3:$H$813,3,0)</f>
        <v>M.O.</v>
      </c>
      <c r="D6457" s="156" t="s">
        <v>1444</v>
      </c>
      <c r="E6457" s="154" t="n">
        <v>0.139623272</v>
      </c>
      <c r="F6457" s="149" t="n">
        <f aca="false">IF(C6457="MAT.",VLOOKUP(A6457,INSUMOS_AUX!$A$3:$H$813,6,0),0)</f>
        <v>0</v>
      </c>
      <c r="G6457" s="149" t="n">
        <f aca="false">IF(C6457="M.O.",VLOOKUP(A6457,INSUMOS_AUX!A:F,6,0),0)</f>
        <v>13.26</v>
      </c>
    </row>
    <row r="6458" customFormat="false" ht="15" hidden="false" customHeight="false" outlineLevel="0" collapsed="false">
      <c r="A6458" s="154" t="n">
        <v>2436</v>
      </c>
      <c r="B6458" s="155" t="s">
        <v>1557</v>
      </c>
      <c r="C6458" s="148" t="str">
        <f aca="false">VLOOKUP($A6458,INSUMOS_AUX!$A$3:$H$813,3,0)</f>
        <v>M.O.</v>
      </c>
      <c r="D6458" s="156" t="s">
        <v>1444</v>
      </c>
      <c r="E6458" s="154" t="n">
        <v>0.139623272</v>
      </c>
      <c r="F6458" s="149" t="n">
        <f aca="false">IF(C6458="MAT.",VLOOKUP(A6458,INSUMOS_AUX!$A$3:$H$813,6,0),0)</f>
        <v>0</v>
      </c>
      <c r="G6458" s="149" t="n">
        <f aca="false">IF(C6458="M.O.",VLOOKUP(A6458,INSUMOS_AUX!A:F,6,0),0)</f>
        <v>20.22</v>
      </c>
    </row>
    <row r="6459" customFormat="false" ht="21" hidden="false" customHeight="false" outlineLevel="0" collapsed="false">
      <c r="A6459" s="150" t="n">
        <v>96987</v>
      </c>
      <c r="B6459" s="151" t="s">
        <v>2613</v>
      </c>
      <c r="C6459" s="152" t="s">
        <v>59</v>
      </c>
      <c r="D6459" s="152" t="s">
        <v>31</v>
      </c>
      <c r="E6459" s="150"/>
      <c r="F6459" s="153" t="n">
        <f aca="false">(SUMPRODUCT($E6460:$E6470,F6460:F6470))*1</f>
        <v>79.383042</v>
      </c>
      <c r="G6459" s="153" t="n">
        <f aca="false">(SUMPRODUCT($E6460:$E6470,G6460:G6470))*1</f>
        <v>41.01898126896</v>
      </c>
    </row>
    <row r="6460" customFormat="false" ht="21" hidden="false" customHeight="false" outlineLevel="0" collapsed="false">
      <c r="A6460" s="154" t="n">
        <v>37370</v>
      </c>
      <c r="B6460" s="155" t="s">
        <v>1443</v>
      </c>
      <c r="C6460" s="148" t="str">
        <f aca="false">VLOOKUP($A6460,INSUMOS_AUX!$A$3:$H$813,3,0)</f>
        <v>MAT.</v>
      </c>
      <c r="D6460" s="156" t="s">
        <v>1444</v>
      </c>
      <c r="E6460" s="154" t="n">
        <v>2.3622</v>
      </c>
      <c r="F6460" s="149" t="n">
        <f aca="false">IF(C6460="MAT.",VLOOKUP(A6460,INSUMOS_AUX!$A$3:$H$813,6,0),0)</f>
        <v>3.32</v>
      </c>
      <c r="G6460" s="149" t="n">
        <f aca="false">IF(C6460="M.O.",VLOOKUP(A6460,INSUMOS_AUX!A:F,6,0),0)</f>
        <v>0</v>
      </c>
    </row>
    <row r="6461" customFormat="false" ht="21" hidden="false" customHeight="false" outlineLevel="0" collapsed="false">
      <c r="A6461" s="154" t="n">
        <v>43484</v>
      </c>
      <c r="B6461" s="155" t="s">
        <v>1523</v>
      </c>
      <c r="C6461" s="148" t="str">
        <f aca="false">VLOOKUP($A6461,INSUMOS_AUX!$A$3:$H$813,3,0)</f>
        <v>MAT.</v>
      </c>
      <c r="D6461" s="156" t="s">
        <v>1444</v>
      </c>
      <c r="E6461" s="154" t="n">
        <v>2.3622</v>
      </c>
      <c r="F6461" s="149" t="n">
        <f aca="false">IF(C6461="MAT.",VLOOKUP(A6461,INSUMOS_AUX!$A$3:$H$813,6,0),0)</f>
        <v>1.26</v>
      </c>
      <c r="G6461" s="149" t="n">
        <f aca="false">IF(C6461="M.O.",VLOOKUP(A6461,INSUMOS_AUX!A:F,6,0),0)</f>
        <v>0</v>
      </c>
    </row>
    <row r="6462" customFormat="false" ht="21" hidden="false" customHeight="false" outlineLevel="0" collapsed="false">
      <c r="A6462" s="154" t="n">
        <v>37372</v>
      </c>
      <c r="B6462" s="155" t="s">
        <v>1446</v>
      </c>
      <c r="C6462" s="148" t="s">
        <v>59</v>
      </c>
      <c r="D6462" s="156" t="s">
        <v>1444</v>
      </c>
      <c r="E6462" s="154" t="n">
        <v>2.3622</v>
      </c>
      <c r="F6462" s="149" t="n">
        <f aca="false">IF(C6462="MAT.",VLOOKUP(A6462,INSUMOS_AUX!$A$3:$H$813,6,0),0)</f>
        <v>0</v>
      </c>
      <c r="G6462" s="149" t="n">
        <f aca="false">IF(C6462="M.O.",VLOOKUP(A6462,INSUMOS_AUX!A:F,6,0),0)</f>
        <v>0</v>
      </c>
    </row>
    <row r="6463" customFormat="false" ht="21" hidden="false" customHeight="false" outlineLevel="0" collapsed="false">
      <c r="A6463" s="154" t="n">
        <v>43460</v>
      </c>
      <c r="B6463" s="155" t="s">
        <v>1524</v>
      </c>
      <c r="C6463" s="148" t="str">
        <f aca="false">VLOOKUP($A6463,INSUMOS_AUX!$A$3:$H$813,3,0)</f>
        <v>MAT.</v>
      </c>
      <c r="D6463" s="156" t="s">
        <v>1444</v>
      </c>
      <c r="E6463" s="154" t="n">
        <v>2.3622</v>
      </c>
      <c r="F6463" s="149" t="n">
        <f aca="false">IF(C6463="MAT.",VLOOKUP(A6463,INSUMOS_AUX!$A$3:$H$813,6,0),0)</f>
        <v>0.86</v>
      </c>
      <c r="G6463" s="149" t="n">
        <f aca="false">IF(C6463="M.O.",VLOOKUP(A6463,INSUMOS_AUX!A:F,6,0),0)</f>
        <v>0</v>
      </c>
    </row>
    <row r="6464" customFormat="false" ht="21" hidden="false" customHeight="false" outlineLevel="0" collapsed="false">
      <c r="A6464" s="154" t="n">
        <v>37373</v>
      </c>
      <c r="B6464" s="155" t="s">
        <v>1448</v>
      </c>
      <c r="C6464" s="148" t="str">
        <f aca="false">VLOOKUP($A6464,INSUMOS_AUX!$A$3:$H$813,3,0)</f>
        <v>MAT.</v>
      </c>
      <c r="D6464" s="156" t="s">
        <v>1444</v>
      </c>
      <c r="E6464" s="154" t="n">
        <v>2.3622</v>
      </c>
      <c r="F6464" s="149" t="n">
        <f aca="false">IF(C6464="MAT.",VLOOKUP(A6464,INSUMOS_AUX!$A$3:$H$813,6,0),0)</f>
        <v>0.08</v>
      </c>
      <c r="G6464" s="149" t="n">
        <f aca="false">IF(C6464="M.O.",VLOOKUP(A6464,INSUMOS_AUX!A:F,6,0),0)</f>
        <v>0</v>
      </c>
    </row>
    <row r="6465" customFormat="false" ht="21" hidden="false" customHeight="false" outlineLevel="0" collapsed="false">
      <c r="A6465" s="154" t="n">
        <v>37371</v>
      </c>
      <c r="B6465" s="155" t="s">
        <v>1449</v>
      </c>
      <c r="C6465" s="148" t="str">
        <f aca="false">VLOOKUP($A6465,INSUMOS_AUX!$A$3:$H$813,3,0)</f>
        <v>MAT.</v>
      </c>
      <c r="D6465" s="156" t="s">
        <v>1444</v>
      </c>
      <c r="E6465" s="154" t="n">
        <v>2.3622</v>
      </c>
      <c r="F6465" s="149" t="n">
        <f aca="false">IF(C6465="MAT.",VLOOKUP(A6465,INSUMOS_AUX!$A$3:$H$813,6,0),0)</f>
        <v>0.59</v>
      </c>
      <c r="G6465" s="149" t="n">
        <f aca="false">IF(C6465="M.O.",VLOOKUP(A6465,INSUMOS_AUX!A:F,6,0),0)</f>
        <v>0</v>
      </c>
    </row>
    <row r="6466" customFormat="false" ht="31.5" hidden="false" customHeight="false" outlineLevel="0" collapsed="false">
      <c r="A6466" s="154" t="n">
        <v>11267</v>
      </c>
      <c r="B6466" s="155" t="s">
        <v>2431</v>
      </c>
      <c r="C6466" s="148" t="str">
        <f aca="false">VLOOKUP($A6466,INSUMOS_AUX!$A$3:$H$813,3,0)</f>
        <v>MAT.</v>
      </c>
      <c r="D6466" s="156" t="s">
        <v>31</v>
      </c>
      <c r="E6466" s="154" t="n">
        <v>4</v>
      </c>
      <c r="F6466" s="149" t="n">
        <f aca="false">IF(C6466="MAT.",VLOOKUP(A6466,INSUMOS_AUX!$A$3:$H$813,6,0),0)</f>
        <v>1.43</v>
      </c>
      <c r="G6466" s="149" t="n">
        <f aca="false">IF(C6466="M.O.",VLOOKUP(A6466,INSUMOS_AUX!A:F,6,0),0)</f>
        <v>0</v>
      </c>
    </row>
    <row r="6467" customFormat="false" ht="15" hidden="false" customHeight="false" outlineLevel="0" collapsed="false">
      <c r="A6467" s="154" t="n">
        <v>38060</v>
      </c>
      <c r="B6467" s="155" t="s">
        <v>2614</v>
      </c>
      <c r="C6467" s="148" t="str">
        <f aca="false">VLOOKUP($A6467,INSUMOS_AUX!$A$3:$H$813,3,0)</f>
        <v>MAT.</v>
      </c>
      <c r="D6467" s="156" t="s">
        <v>31</v>
      </c>
      <c r="E6467" s="154" t="n">
        <v>1</v>
      </c>
      <c r="F6467" s="149" t="n">
        <f aca="false">IF(C6467="MAT.",VLOOKUP(A6467,INSUMOS_AUX!$A$3:$H$813,6,0),0)</f>
        <v>56.07</v>
      </c>
      <c r="G6467" s="149" t="n">
        <f aca="false">IF(C6467="M.O.",VLOOKUP(A6467,INSUMOS_AUX!A:F,6,0),0)</f>
        <v>0</v>
      </c>
    </row>
    <row r="6468" customFormat="false" ht="31.5" hidden="false" customHeight="false" outlineLevel="0" collapsed="false">
      <c r="A6468" s="154" t="n">
        <v>7568</v>
      </c>
      <c r="B6468" s="155" t="s">
        <v>1815</v>
      </c>
      <c r="C6468" s="148" t="str">
        <f aca="false">VLOOKUP($A6468,INSUMOS_AUX!$A$3:$H$813,3,0)</f>
        <v>MAT.</v>
      </c>
      <c r="D6468" s="156" t="s">
        <v>31</v>
      </c>
      <c r="E6468" s="154" t="n">
        <v>4</v>
      </c>
      <c r="F6468" s="149" t="n">
        <f aca="false">IF(C6468="MAT.",VLOOKUP(A6468,INSUMOS_AUX!$A$3:$H$813,6,0),0)</f>
        <v>0.79</v>
      </c>
      <c r="G6468" s="149" t="n">
        <f aca="false">IF(C6468="M.O.",VLOOKUP(A6468,INSUMOS_AUX!A:F,6,0),0)</f>
        <v>0</v>
      </c>
    </row>
    <row r="6469" customFormat="false" ht="15" hidden="false" customHeight="false" outlineLevel="0" collapsed="false">
      <c r="A6469" s="154" t="n">
        <v>247</v>
      </c>
      <c r="B6469" s="155" t="s">
        <v>1554</v>
      </c>
      <c r="C6469" s="148" t="str">
        <f aca="false">VLOOKUP($A6469,INSUMOS_AUX!$A$3:$H$813,3,0)</f>
        <v>M.O.</v>
      </c>
      <c r="D6469" s="156" t="s">
        <v>1444</v>
      </c>
      <c r="E6469" s="154" t="n">
        <v>1.225178652</v>
      </c>
      <c r="F6469" s="149" t="n">
        <f aca="false">IF(C6469="MAT.",VLOOKUP(A6469,INSUMOS_AUX!$A$3:$H$813,6,0),0)</f>
        <v>0</v>
      </c>
      <c r="G6469" s="149" t="n">
        <f aca="false">IF(C6469="M.O.",VLOOKUP(A6469,INSUMOS_AUX!A:F,6,0),0)</f>
        <v>13.26</v>
      </c>
    </row>
    <row r="6470" customFormat="false" ht="15" hidden="false" customHeight="false" outlineLevel="0" collapsed="false">
      <c r="A6470" s="154" t="n">
        <v>2436</v>
      </c>
      <c r="B6470" s="155" t="s">
        <v>1557</v>
      </c>
      <c r="C6470" s="148" t="str">
        <f aca="false">VLOOKUP($A6470,INSUMOS_AUX!$A$3:$H$813,3,0)</f>
        <v>M.O.</v>
      </c>
      <c r="D6470" s="156" t="s">
        <v>1444</v>
      </c>
      <c r="E6470" s="154" t="n">
        <v>1.225178652</v>
      </c>
      <c r="F6470" s="149" t="n">
        <f aca="false">IF(C6470="MAT.",VLOOKUP(A6470,INSUMOS_AUX!$A$3:$H$813,6,0),0)</f>
        <v>0</v>
      </c>
      <c r="G6470" s="149" t="n">
        <f aca="false">IF(C6470="M.O.",VLOOKUP(A6470,INSUMOS_AUX!A:F,6,0),0)</f>
        <v>20.22</v>
      </c>
    </row>
    <row r="6471" customFormat="false" ht="21" hidden="false" customHeight="false" outlineLevel="0" collapsed="false">
      <c r="A6471" s="150" t="n">
        <v>96988</v>
      </c>
      <c r="B6471" s="151" t="s">
        <v>2615</v>
      </c>
      <c r="C6471" s="152" t="s">
        <v>59</v>
      </c>
      <c r="D6471" s="152" t="s">
        <v>31</v>
      </c>
      <c r="E6471" s="150"/>
      <c r="F6471" s="153" t="n">
        <f aca="false">(SUMPRODUCT($E6472:$E6480,F6472:F6480))*1</f>
        <v>167.727074</v>
      </c>
      <c r="G6471" s="153" t="n">
        <f aca="false">(SUMPRODUCT($E6472:$E6480,G6472:G6480))*1</f>
        <v>5.78940324912</v>
      </c>
    </row>
    <row r="6472" customFormat="false" ht="21" hidden="false" customHeight="false" outlineLevel="0" collapsed="false">
      <c r="A6472" s="154" t="n">
        <v>37370</v>
      </c>
      <c r="B6472" s="155" t="s">
        <v>1443</v>
      </c>
      <c r="C6472" s="148" t="str">
        <f aca="false">VLOOKUP($A6472,INSUMOS_AUX!$A$3:$H$813,3,0)</f>
        <v>MAT.</v>
      </c>
      <c r="D6472" s="156" t="s">
        <v>1444</v>
      </c>
      <c r="E6472" s="154" t="n">
        <v>0.3334</v>
      </c>
      <c r="F6472" s="149" t="n">
        <f aca="false">IF(C6472="MAT.",VLOOKUP(A6472,INSUMOS_AUX!$A$3:$H$813,6,0),0)</f>
        <v>3.32</v>
      </c>
      <c r="G6472" s="149" t="n">
        <f aca="false">IF(C6472="M.O.",VLOOKUP(A6472,INSUMOS_AUX!A:F,6,0),0)</f>
        <v>0</v>
      </c>
    </row>
    <row r="6473" customFormat="false" ht="21" hidden="false" customHeight="false" outlineLevel="0" collapsed="false">
      <c r="A6473" s="154" t="n">
        <v>43484</v>
      </c>
      <c r="B6473" s="155" t="s">
        <v>1523</v>
      </c>
      <c r="C6473" s="148" t="str">
        <f aca="false">VLOOKUP($A6473,INSUMOS_AUX!$A$3:$H$813,3,0)</f>
        <v>MAT.</v>
      </c>
      <c r="D6473" s="156" t="s">
        <v>1444</v>
      </c>
      <c r="E6473" s="154" t="n">
        <v>0.3334</v>
      </c>
      <c r="F6473" s="149" t="n">
        <f aca="false">IF(C6473="MAT.",VLOOKUP(A6473,INSUMOS_AUX!$A$3:$H$813,6,0),0)</f>
        <v>1.26</v>
      </c>
      <c r="G6473" s="149" t="n">
        <f aca="false">IF(C6473="M.O.",VLOOKUP(A6473,INSUMOS_AUX!A:F,6,0),0)</f>
        <v>0</v>
      </c>
    </row>
    <row r="6474" customFormat="false" ht="21" hidden="false" customHeight="false" outlineLevel="0" collapsed="false">
      <c r="A6474" s="154" t="n">
        <v>37372</v>
      </c>
      <c r="B6474" s="155" t="s">
        <v>1446</v>
      </c>
      <c r="C6474" s="148" t="s">
        <v>59</v>
      </c>
      <c r="D6474" s="156" t="s">
        <v>1444</v>
      </c>
      <c r="E6474" s="154" t="n">
        <v>0.3334</v>
      </c>
      <c r="F6474" s="149" t="n">
        <f aca="false">IF(C6474="MAT.",VLOOKUP(A6474,INSUMOS_AUX!$A$3:$H$813,6,0),0)</f>
        <v>0</v>
      </c>
      <c r="G6474" s="149" t="n">
        <f aca="false">IF(C6474="M.O.",VLOOKUP(A6474,INSUMOS_AUX!A:F,6,0),0)</f>
        <v>0</v>
      </c>
    </row>
    <row r="6475" customFormat="false" ht="21" hidden="false" customHeight="false" outlineLevel="0" collapsed="false">
      <c r="A6475" s="154" t="n">
        <v>43460</v>
      </c>
      <c r="B6475" s="155" t="s">
        <v>1524</v>
      </c>
      <c r="C6475" s="148" t="str">
        <f aca="false">VLOOKUP($A6475,INSUMOS_AUX!$A$3:$H$813,3,0)</f>
        <v>MAT.</v>
      </c>
      <c r="D6475" s="156" t="s">
        <v>1444</v>
      </c>
      <c r="E6475" s="154" t="n">
        <v>0.3334</v>
      </c>
      <c r="F6475" s="149" t="n">
        <f aca="false">IF(C6475="MAT.",VLOOKUP(A6475,INSUMOS_AUX!$A$3:$H$813,6,0),0)</f>
        <v>0.86</v>
      </c>
      <c r="G6475" s="149" t="n">
        <f aca="false">IF(C6475="M.O.",VLOOKUP(A6475,INSUMOS_AUX!A:F,6,0),0)</f>
        <v>0</v>
      </c>
    </row>
    <row r="6476" customFormat="false" ht="21" hidden="false" customHeight="false" outlineLevel="0" collapsed="false">
      <c r="A6476" s="154" t="n">
        <v>37373</v>
      </c>
      <c r="B6476" s="155" t="s">
        <v>1448</v>
      </c>
      <c r="C6476" s="148" t="str">
        <f aca="false">VLOOKUP($A6476,INSUMOS_AUX!$A$3:$H$813,3,0)</f>
        <v>MAT.</v>
      </c>
      <c r="D6476" s="156" t="s">
        <v>1444</v>
      </c>
      <c r="E6476" s="154" t="n">
        <v>0.3334</v>
      </c>
      <c r="F6476" s="149" t="n">
        <f aca="false">IF(C6476="MAT.",VLOOKUP(A6476,INSUMOS_AUX!$A$3:$H$813,6,0),0)</f>
        <v>0.08</v>
      </c>
      <c r="G6476" s="149" t="n">
        <f aca="false">IF(C6476="M.O.",VLOOKUP(A6476,INSUMOS_AUX!A:F,6,0),0)</f>
        <v>0</v>
      </c>
    </row>
    <row r="6477" customFormat="false" ht="21" hidden="false" customHeight="false" outlineLevel="0" collapsed="false">
      <c r="A6477" s="154" t="n">
        <v>37371</v>
      </c>
      <c r="B6477" s="155" t="s">
        <v>1449</v>
      </c>
      <c r="C6477" s="148" t="str">
        <f aca="false">VLOOKUP($A6477,INSUMOS_AUX!$A$3:$H$813,3,0)</f>
        <v>MAT.</v>
      </c>
      <c r="D6477" s="156" t="s">
        <v>1444</v>
      </c>
      <c r="E6477" s="154" t="n">
        <v>0.3334</v>
      </c>
      <c r="F6477" s="149" t="n">
        <f aca="false">IF(C6477="MAT.",VLOOKUP(A6477,INSUMOS_AUX!$A$3:$H$813,6,0),0)</f>
        <v>0.59</v>
      </c>
      <c r="G6477" s="149" t="n">
        <f aca="false">IF(C6477="M.O.",VLOOKUP(A6477,INSUMOS_AUX!A:F,6,0),0)</f>
        <v>0</v>
      </c>
    </row>
    <row r="6478" customFormat="false" ht="15" hidden="false" customHeight="false" outlineLevel="0" collapsed="false">
      <c r="A6478" s="154" t="n">
        <v>41387</v>
      </c>
      <c r="B6478" s="155" t="s">
        <v>2616</v>
      </c>
      <c r="C6478" s="148" t="str">
        <f aca="false">VLOOKUP($A6478,INSUMOS_AUX!$A$3:$H$813,3,0)</f>
        <v>MAT.</v>
      </c>
      <c r="D6478" s="156" t="s">
        <v>1455</v>
      </c>
      <c r="E6478" s="154" t="n">
        <v>3</v>
      </c>
      <c r="F6478" s="149" t="n">
        <f aca="false">IF(C6478="MAT.",VLOOKUP(A6478,INSUMOS_AUX!$A$3:$H$813,6,0),0)</f>
        <v>55.23</v>
      </c>
      <c r="G6478" s="149" t="n">
        <f aca="false">IF(C6478="M.O.",VLOOKUP(A6478,INSUMOS_AUX!A:F,6,0),0)</f>
        <v>0</v>
      </c>
    </row>
    <row r="6479" customFormat="false" ht="15" hidden="false" customHeight="false" outlineLevel="0" collapsed="false">
      <c r="A6479" s="154" t="n">
        <v>247</v>
      </c>
      <c r="B6479" s="155" t="s">
        <v>1554</v>
      </c>
      <c r="C6479" s="148" t="str">
        <f aca="false">VLOOKUP($A6479,INSUMOS_AUX!$A$3:$H$813,3,0)</f>
        <v>M.O.</v>
      </c>
      <c r="D6479" s="156" t="s">
        <v>1444</v>
      </c>
      <c r="E6479" s="154" t="n">
        <v>0.172921244</v>
      </c>
      <c r="F6479" s="149" t="n">
        <f aca="false">IF(C6479="MAT.",VLOOKUP(A6479,INSUMOS_AUX!$A$3:$H$813,6,0),0)</f>
        <v>0</v>
      </c>
      <c r="G6479" s="149" t="n">
        <f aca="false">IF(C6479="M.O.",VLOOKUP(A6479,INSUMOS_AUX!A:F,6,0),0)</f>
        <v>13.26</v>
      </c>
    </row>
    <row r="6480" customFormat="false" ht="15" hidden="false" customHeight="false" outlineLevel="0" collapsed="false">
      <c r="A6480" s="154" t="n">
        <v>2436</v>
      </c>
      <c r="B6480" s="155" t="s">
        <v>1557</v>
      </c>
      <c r="C6480" s="148" t="str">
        <f aca="false">VLOOKUP($A6480,INSUMOS_AUX!$A$3:$H$813,3,0)</f>
        <v>M.O.</v>
      </c>
      <c r="D6480" s="156" t="s">
        <v>1444</v>
      </c>
      <c r="E6480" s="154" t="n">
        <v>0.172921244</v>
      </c>
      <c r="F6480" s="149" t="n">
        <f aca="false">IF(C6480="MAT.",VLOOKUP(A6480,INSUMOS_AUX!$A$3:$H$813,6,0),0)</f>
        <v>0</v>
      </c>
      <c r="G6480" s="149" t="n">
        <f aca="false">IF(C6480="M.O.",VLOOKUP(A6480,INSUMOS_AUX!A:F,6,0),0)</f>
        <v>20.22</v>
      </c>
    </row>
    <row r="6481" customFormat="false" ht="21" hidden="false" customHeight="false" outlineLevel="0" collapsed="false">
      <c r="A6481" s="150" t="n">
        <v>96973</v>
      </c>
      <c r="B6481" s="151" t="s">
        <v>2617</v>
      </c>
      <c r="C6481" s="152" t="s">
        <v>59</v>
      </c>
      <c r="D6481" s="152" t="s">
        <v>1455</v>
      </c>
      <c r="E6481" s="150"/>
      <c r="F6481" s="153" t="n">
        <f aca="false">(SUMPRODUCT($E6482:$E6493,F6482:F6493))*1</f>
        <v>55.0460611384</v>
      </c>
      <c r="G6481" s="153" t="n">
        <f aca="false">(SUMPRODUCT($E6482:$E6493,G6482:G6493))*1</f>
        <v>15.8184771414967</v>
      </c>
    </row>
    <row r="6482" customFormat="false" ht="21" hidden="false" customHeight="false" outlineLevel="0" collapsed="false">
      <c r="A6482" s="154" t="n">
        <v>37370</v>
      </c>
      <c r="B6482" s="155" t="s">
        <v>1443</v>
      </c>
      <c r="C6482" s="148" t="str">
        <f aca="false">VLOOKUP($A6482,INSUMOS_AUX!$A$3:$H$813,3,0)</f>
        <v>MAT.</v>
      </c>
      <c r="D6482" s="156" t="s">
        <v>1444</v>
      </c>
      <c r="E6482" s="154" t="n">
        <v>0.91095404</v>
      </c>
      <c r="F6482" s="149" t="n">
        <f aca="false">IF(C6482="MAT.",VLOOKUP(A6482,INSUMOS_AUX!$A$3:$H$813,6,0),0)</f>
        <v>3.32</v>
      </c>
      <c r="G6482" s="149" t="n">
        <f aca="false">IF(C6482="M.O.",VLOOKUP(A6482,INSUMOS_AUX!A:F,6,0),0)</f>
        <v>0</v>
      </c>
    </row>
    <row r="6483" customFormat="false" ht="21" hidden="false" customHeight="false" outlineLevel="0" collapsed="false">
      <c r="A6483" s="154" t="n">
        <v>43484</v>
      </c>
      <c r="B6483" s="155" t="s">
        <v>1523</v>
      </c>
      <c r="C6483" s="148" t="str">
        <f aca="false">VLOOKUP($A6483,INSUMOS_AUX!$A$3:$H$813,3,0)</f>
        <v>MAT.</v>
      </c>
      <c r="D6483" s="156" t="s">
        <v>1444</v>
      </c>
      <c r="E6483" s="154" t="n">
        <v>0.91095404</v>
      </c>
      <c r="F6483" s="149" t="n">
        <f aca="false">IF(C6483="MAT.",VLOOKUP(A6483,INSUMOS_AUX!$A$3:$H$813,6,0),0)</f>
        <v>1.26</v>
      </c>
      <c r="G6483" s="149" t="n">
        <f aca="false">IF(C6483="M.O.",VLOOKUP(A6483,INSUMOS_AUX!A:F,6,0),0)</f>
        <v>0</v>
      </c>
    </row>
    <row r="6484" customFormat="false" ht="21" hidden="false" customHeight="false" outlineLevel="0" collapsed="false">
      <c r="A6484" s="154" t="n">
        <v>37372</v>
      </c>
      <c r="B6484" s="155" t="s">
        <v>1446</v>
      </c>
      <c r="C6484" s="148" t="str">
        <f aca="false">VLOOKUP($A6484,INSUMOS_AUX!$A$3:$H$813,3,0)</f>
        <v>MAT.</v>
      </c>
      <c r="D6484" s="156" t="s">
        <v>1444</v>
      </c>
      <c r="E6484" s="154" t="n">
        <v>0.91095404</v>
      </c>
      <c r="F6484" s="149" t="n">
        <f aca="false">IF(C6484="MAT.",VLOOKUP(A6484,INSUMOS_AUX!$A$3:$H$813,6,0),0)</f>
        <v>1.43</v>
      </c>
      <c r="G6484" s="149" t="n">
        <f aca="false">IF(C6484="M.O.",VLOOKUP(A6484,INSUMOS_AUX!A:F,6,0),0)</f>
        <v>0</v>
      </c>
    </row>
    <row r="6485" customFormat="false" ht="21" hidden="false" customHeight="false" outlineLevel="0" collapsed="false">
      <c r="A6485" s="154" t="n">
        <v>43460</v>
      </c>
      <c r="B6485" s="155" t="s">
        <v>1524</v>
      </c>
      <c r="C6485" s="148" t="str">
        <f aca="false">VLOOKUP($A6485,INSUMOS_AUX!$A$3:$H$813,3,0)</f>
        <v>MAT.</v>
      </c>
      <c r="D6485" s="156" t="s">
        <v>1444</v>
      </c>
      <c r="E6485" s="154" t="n">
        <v>0.91095404</v>
      </c>
      <c r="F6485" s="149" t="n">
        <f aca="false">IF(C6485="MAT.",VLOOKUP(A6485,INSUMOS_AUX!$A$3:$H$813,6,0),0)</f>
        <v>0.86</v>
      </c>
      <c r="G6485" s="149" t="n">
        <f aca="false">IF(C6485="M.O.",VLOOKUP(A6485,INSUMOS_AUX!A:F,6,0),0)</f>
        <v>0</v>
      </c>
    </row>
    <row r="6486" customFormat="false" ht="21" hidden="false" customHeight="false" outlineLevel="0" collapsed="false">
      <c r="A6486" s="154" t="n">
        <v>37373</v>
      </c>
      <c r="B6486" s="155" t="s">
        <v>1448</v>
      </c>
      <c r="C6486" s="148" t="s">
        <v>59</v>
      </c>
      <c r="D6486" s="156" t="s">
        <v>1444</v>
      </c>
      <c r="E6486" s="154" t="n">
        <v>0.91095404</v>
      </c>
      <c r="F6486" s="149" t="n">
        <f aca="false">IF(C6486="MAT.",VLOOKUP(A6486,INSUMOS_AUX!$A$3:$H$813,6,0),0)</f>
        <v>0</v>
      </c>
      <c r="G6486" s="149" t="n">
        <f aca="false">IF(C6486="M.O.",VLOOKUP(A6486,INSUMOS_AUX!A:F,6,0),0)</f>
        <v>0</v>
      </c>
    </row>
    <row r="6487" customFormat="false" ht="21" hidden="false" customHeight="false" outlineLevel="0" collapsed="false">
      <c r="A6487" s="154" t="n">
        <v>37371</v>
      </c>
      <c r="B6487" s="155" t="s">
        <v>1449</v>
      </c>
      <c r="C6487" s="148" t="str">
        <f aca="false">VLOOKUP($A6487,INSUMOS_AUX!$A$3:$H$813,3,0)</f>
        <v>MAT.</v>
      </c>
      <c r="D6487" s="156" t="s">
        <v>1444</v>
      </c>
      <c r="E6487" s="154" t="n">
        <v>0.91095404</v>
      </c>
      <c r="F6487" s="149" t="n">
        <f aca="false">IF(C6487="MAT.",VLOOKUP(A6487,INSUMOS_AUX!$A$3:$H$813,6,0),0)</f>
        <v>0.59</v>
      </c>
      <c r="G6487" s="149" t="n">
        <f aca="false">IF(C6487="M.O.",VLOOKUP(A6487,INSUMOS_AUX!A:F,6,0),0)</f>
        <v>0</v>
      </c>
    </row>
    <row r="6488" customFormat="false" ht="31.5" hidden="false" customHeight="false" outlineLevel="0" collapsed="false">
      <c r="A6488" s="154" t="n">
        <v>11267</v>
      </c>
      <c r="B6488" s="155" t="s">
        <v>2431</v>
      </c>
      <c r="C6488" s="148" t="str">
        <f aca="false">VLOOKUP($A6488,INSUMOS_AUX!$A$3:$H$813,3,0)</f>
        <v>MAT.</v>
      </c>
      <c r="D6488" s="156" t="s">
        <v>31</v>
      </c>
      <c r="E6488" s="154" t="n">
        <v>0.6667</v>
      </c>
      <c r="F6488" s="149" t="n">
        <f aca="false">IF(C6488="MAT.",VLOOKUP(A6488,INSUMOS_AUX!$A$3:$H$813,6,0),0)</f>
        <v>1.43</v>
      </c>
      <c r="G6488" s="149" t="n">
        <f aca="false">IF(C6488="M.O.",VLOOKUP(A6488,INSUMOS_AUX!A:F,6,0),0)</f>
        <v>0</v>
      </c>
    </row>
    <row r="6489" customFormat="false" ht="31.5" hidden="false" customHeight="false" outlineLevel="0" collapsed="false">
      <c r="A6489" s="154" t="n">
        <v>7568</v>
      </c>
      <c r="B6489" s="155" t="s">
        <v>1815</v>
      </c>
      <c r="C6489" s="148" t="str">
        <f aca="false">VLOOKUP($A6489,INSUMOS_AUX!$A$3:$H$813,3,0)</f>
        <v>MAT.</v>
      </c>
      <c r="D6489" s="156" t="s">
        <v>31</v>
      </c>
      <c r="E6489" s="154" t="n">
        <v>0.6667</v>
      </c>
      <c r="F6489" s="149" t="n">
        <f aca="false">IF(C6489="MAT.",VLOOKUP(A6489,INSUMOS_AUX!$A$3:$H$813,6,0),0)</f>
        <v>0.79</v>
      </c>
      <c r="G6489" s="149" t="n">
        <f aca="false">IF(C6489="M.O.",VLOOKUP(A6489,INSUMOS_AUX!A:F,6,0),0)</f>
        <v>0</v>
      </c>
    </row>
    <row r="6490" customFormat="false" ht="15" hidden="false" customHeight="false" outlineLevel="0" collapsed="false">
      <c r="A6490" s="154" t="n">
        <v>863</v>
      </c>
      <c r="B6490" s="155" t="s">
        <v>2618</v>
      </c>
      <c r="C6490" s="148" t="str">
        <f aca="false">VLOOKUP($A6490,INSUMOS_AUX!$A$3:$H$813,3,0)</f>
        <v>MAT.</v>
      </c>
      <c r="D6490" s="156" t="s">
        <v>1455</v>
      </c>
      <c r="E6490" s="154" t="n">
        <v>1.05</v>
      </c>
      <c r="F6490" s="149" t="n">
        <f aca="false">IF(C6490="MAT.",VLOOKUP(A6490,INSUMOS_AUX!$A$3:$H$813,6,0),0)</f>
        <v>39.4</v>
      </c>
      <c r="G6490" s="149" t="n">
        <f aca="false">IF(C6490="M.O.",VLOOKUP(A6490,INSUMOS_AUX!A:F,6,0),0)</f>
        <v>0</v>
      </c>
    </row>
    <row r="6491" customFormat="false" ht="21" hidden="false" customHeight="false" outlineLevel="0" collapsed="false">
      <c r="A6491" s="154" t="n">
        <v>7572</v>
      </c>
      <c r="B6491" s="155" t="s">
        <v>2619</v>
      </c>
      <c r="C6491" s="148" t="str">
        <f aca="false">VLOOKUP($A6491,INSUMOS_AUX!$A$3:$H$813,3,0)</f>
        <v>MAT.</v>
      </c>
      <c r="D6491" s="156" t="s">
        <v>31</v>
      </c>
      <c r="E6491" s="154" t="n">
        <v>0.6667</v>
      </c>
      <c r="F6491" s="149" t="n">
        <f aca="false">IF(C6491="MAT.",VLOOKUP(A6491,INSUMOS_AUX!$A$3:$H$813,6,0),0)</f>
        <v>8.1</v>
      </c>
      <c r="G6491" s="149" t="n">
        <f aca="false">IF(C6491="M.O.",VLOOKUP(A6491,INSUMOS_AUX!A:F,6,0),0)</f>
        <v>0</v>
      </c>
    </row>
    <row r="6492" customFormat="false" ht="15" hidden="false" customHeight="false" outlineLevel="0" collapsed="false">
      <c r="A6492" s="154" t="n">
        <v>247</v>
      </c>
      <c r="B6492" s="155" t="s">
        <v>1554</v>
      </c>
      <c r="C6492" s="148" t="str">
        <f aca="false">VLOOKUP($A6492,INSUMOS_AUX!$A$3:$H$813,3,0)</f>
        <v>M.O.</v>
      </c>
      <c r="D6492" s="156" t="s">
        <v>1444</v>
      </c>
      <c r="E6492" s="154" t="n">
        <v>0.4724754223864</v>
      </c>
      <c r="F6492" s="149" t="n">
        <f aca="false">IF(C6492="MAT.",VLOOKUP(A6492,INSUMOS_AUX!$A$3:$H$813,6,0),0)</f>
        <v>0</v>
      </c>
      <c r="G6492" s="149" t="n">
        <f aca="false">IF(C6492="M.O.",VLOOKUP(A6492,INSUMOS_AUX!A:F,6,0),0)</f>
        <v>13.26</v>
      </c>
    </row>
    <row r="6493" customFormat="false" ht="15" hidden="false" customHeight="false" outlineLevel="0" collapsed="false">
      <c r="A6493" s="154" t="n">
        <v>2436</v>
      </c>
      <c r="B6493" s="155" t="s">
        <v>1557</v>
      </c>
      <c r="C6493" s="148" t="str">
        <f aca="false">VLOOKUP($A6493,INSUMOS_AUX!$A$3:$H$813,3,0)</f>
        <v>M.O.</v>
      </c>
      <c r="D6493" s="156" t="s">
        <v>1444</v>
      </c>
      <c r="E6493" s="154" t="n">
        <v>0.4724754223864</v>
      </c>
      <c r="F6493" s="149" t="n">
        <f aca="false">IF(C6493="MAT.",VLOOKUP(A6493,INSUMOS_AUX!$A$3:$H$813,6,0),0)</f>
        <v>0</v>
      </c>
      <c r="G6493" s="149" t="n">
        <f aca="false">IF(C6493="M.O.",VLOOKUP(A6493,INSUMOS_AUX!A:F,6,0),0)</f>
        <v>20.22</v>
      </c>
    </row>
    <row r="6494" customFormat="false" ht="21" hidden="false" customHeight="false" outlineLevel="0" collapsed="false">
      <c r="A6494" s="150" t="s">
        <v>1104</v>
      </c>
      <c r="B6494" s="151" t="s">
        <v>2620</v>
      </c>
      <c r="C6494" s="152" t="s">
        <v>59</v>
      </c>
      <c r="D6494" s="152" t="s">
        <v>31</v>
      </c>
      <c r="E6494" s="150"/>
      <c r="F6494" s="153" t="n">
        <f aca="false">(SUMPRODUCT($E6495:$E6503,F6495:F6503))*1</f>
        <v>257.285893333333</v>
      </c>
      <c r="G6494" s="153" t="n">
        <f aca="false">(SUMPRODUCT($E6495:$E6503,G6495:G6503))*1</f>
        <v>12.0163978656</v>
      </c>
    </row>
    <row r="6495" customFormat="false" ht="21" hidden="false" customHeight="false" outlineLevel="0" collapsed="false">
      <c r="A6495" s="154" t="n">
        <v>37370</v>
      </c>
      <c r="B6495" s="155" t="s">
        <v>1443</v>
      </c>
      <c r="C6495" s="148" t="str">
        <f aca="false">VLOOKUP($A6495,INSUMOS_AUX!$A$3:$H$813,3,0)</f>
        <v>MAT.</v>
      </c>
      <c r="D6495" s="156" t="s">
        <v>1444</v>
      </c>
      <c r="E6495" s="154" t="n">
        <v>0.692</v>
      </c>
      <c r="F6495" s="149" t="n">
        <f aca="false">IF(C6495="MAT.",VLOOKUP(A6495,INSUMOS_AUX!$A$3:$H$813,6,0),0)</f>
        <v>3.32</v>
      </c>
      <c r="G6495" s="149" t="n">
        <f aca="false">IF(C6495="M.O.",VLOOKUP(A6495,INSUMOS_AUX!A:F,6,0),0)</f>
        <v>0</v>
      </c>
    </row>
    <row r="6496" customFormat="false" ht="21" hidden="false" customHeight="false" outlineLevel="0" collapsed="false">
      <c r="A6496" s="154" t="n">
        <v>43484</v>
      </c>
      <c r="B6496" s="155" t="s">
        <v>1523</v>
      </c>
      <c r="C6496" s="148" t="str">
        <f aca="false">VLOOKUP($A6496,INSUMOS_AUX!$A$3:$H$813,3,0)</f>
        <v>MAT.</v>
      </c>
      <c r="D6496" s="156" t="s">
        <v>1444</v>
      </c>
      <c r="E6496" s="154" t="n">
        <v>0.692</v>
      </c>
      <c r="F6496" s="149" t="n">
        <f aca="false">IF(C6496="MAT.",VLOOKUP(A6496,INSUMOS_AUX!$A$3:$H$813,6,0),0)</f>
        <v>1.26</v>
      </c>
      <c r="G6496" s="149" t="n">
        <f aca="false">IF(C6496="M.O.",VLOOKUP(A6496,INSUMOS_AUX!A:F,6,0),0)</f>
        <v>0</v>
      </c>
    </row>
    <row r="6497" customFormat="false" ht="21" hidden="false" customHeight="false" outlineLevel="0" collapsed="false">
      <c r="A6497" s="154" t="n">
        <v>37372</v>
      </c>
      <c r="B6497" s="155" t="s">
        <v>1446</v>
      </c>
      <c r="C6497" s="148" t="str">
        <f aca="false">VLOOKUP($A6497,INSUMOS_AUX!$A$3:$H$813,3,0)</f>
        <v>MAT.</v>
      </c>
      <c r="D6497" s="156" t="s">
        <v>1444</v>
      </c>
      <c r="E6497" s="154" t="n">
        <v>0.692</v>
      </c>
      <c r="F6497" s="149" t="n">
        <f aca="false">IF(C6497="MAT.",VLOOKUP(A6497,INSUMOS_AUX!$A$3:$H$813,6,0),0)</f>
        <v>1.43</v>
      </c>
      <c r="G6497" s="149" t="n">
        <f aca="false">IF(C6497="M.O.",VLOOKUP(A6497,INSUMOS_AUX!A:F,6,0),0)</f>
        <v>0</v>
      </c>
    </row>
    <row r="6498" customFormat="false" ht="21" hidden="false" customHeight="false" outlineLevel="0" collapsed="false">
      <c r="A6498" s="154" t="n">
        <v>43460</v>
      </c>
      <c r="B6498" s="155" t="s">
        <v>1524</v>
      </c>
      <c r="C6498" s="148" t="s">
        <v>59</v>
      </c>
      <c r="D6498" s="156" t="s">
        <v>1444</v>
      </c>
      <c r="E6498" s="154" t="n">
        <v>0.692</v>
      </c>
      <c r="F6498" s="149" t="n">
        <f aca="false">IF(C6498="MAT.",VLOOKUP(A6498,INSUMOS_AUX!$A$3:$H$813,6,0),0)</f>
        <v>0</v>
      </c>
      <c r="G6498" s="149" t="n">
        <f aca="false">IF(C6498="M.O.",VLOOKUP(A6498,INSUMOS_AUX!A:F,6,0),0)</f>
        <v>0</v>
      </c>
    </row>
    <row r="6499" customFormat="false" ht="21" hidden="false" customHeight="false" outlineLevel="0" collapsed="false">
      <c r="A6499" s="154" t="n">
        <v>37373</v>
      </c>
      <c r="B6499" s="155" t="s">
        <v>1448</v>
      </c>
      <c r="C6499" s="148" t="str">
        <f aca="false">VLOOKUP($A6499,INSUMOS_AUX!$A$3:$H$813,3,0)</f>
        <v>MAT.</v>
      </c>
      <c r="D6499" s="156" t="s">
        <v>1444</v>
      </c>
      <c r="E6499" s="154" t="n">
        <v>0.692</v>
      </c>
      <c r="F6499" s="149" t="n">
        <f aca="false">IF(C6499="MAT.",VLOOKUP(A6499,INSUMOS_AUX!$A$3:$H$813,6,0),0)</f>
        <v>0.08</v>
      </c>
      <c r="G6499" s="149" t="n">
        <f aca="false">IF(C6499="M.O.",VLOOKUP(A6499,INSUMOS_AUX!A:F,6,0),0)</f>
        <v>0</v>
      </c>
    </row>
    <row r="6500" customFormat="false" ht="21" hidden="false" customHeight="false" outlineLevel="0" collapsed="false">
      <c r="A6500" s="154" t="n">
        <v>37371</v>
      </c>
      <c r="B6500" s="155" t="s">
        <v>1449</v>
      </c>
      <c r="C6500" s="148" t="str">
        <f aca="false">VLOOKUP($A6500,INSUMOS_AUX!$A$3:$H$813,3,0)</f>
        <v>MAT.</v>
      </c>
      <c r="D6500" s="156" t="s">
        <v>1444</v>
      </c>
      <c r="E6500" s="154" t="n">
        <v>0.692</v>
      </c>
      <c r="F6500" s="149" t="n">
        <f aca="false">IF(C6500="MAT.",VLOOKUP(A6500,INSUMOS_AUX!$A$3:$H$813,6,0),0)</f>
        <v>0.59</v>
      </c>
      <c r="G6500" s="149" t="n">
        <f aca="false">IF(C6500="M.O.",VLOOKUP(A6500,INSUMOS_AUX!A:F,6,0),0)</f>
        <v>0</v>
      </c>
    </row>
    <row r="6501" customFormat="false" ht="15" hidden="false" customHeight="false" outlineLevel="0" collapsed="false">
      <c r="A6501" s="154" t="s">
        <v>2621</v>
      </c>
      <c r="B6501" s="155" t="s">
        <v>2622</v>
      </c>
      <c r="C6501" s="148" t="str">
        <f aca="false">VLOOKUP($A6501,INSUMOS_AUX!$A$3:$H$813,3,0)</f>
        <v>MAT.</v>
      </c>
      <c r="D6501" s="156" t="s">
        <v>31</v>
      </c>
      <c r="E6501" s="154" t="n">
        <v>1</v>
      </c>
      <c r="F6501" s="149" t="n">
        <f aca="false">IF(C6501="MAT.",VLOOKUP(A6501,INSUMOS_AUX!$A$3:$H$813,6,0),0)</f>
        <v>252.663333333333</v>
      </c>
      <c r="G6501" s="149" t="n">
        <f aca="false">IF(C6501="M.O.",VLOOKUP(A6501,INSUMOS_AUX!A:F,6,0),0)</f>
        <v>0</v>
      </c>
    </row>
    <row r="6502" customFormat="false" ht="15" hidden="false" customHeight="false" outlineLevel="0" collapsed="false">
      <c r="A6502" s="154" t="n">
        <v>247</v>
      </c>
      <c r="B6502" s="155" t="s">
        <v>1554</v>
      </c>
      <c r="C6502" s="148" t="str">
        <f aca="false">VLOOKUP($A6502,INSUMOS_AUX!$A$3:$H$813,3,0)</f>
        <v>M.O.</v>
      </c>
      <c r="D6502" s="156" t="s">
        <v>1444</v>
      </c>
      <c r="E6502" s="154" t="n">
        <v>0.35891272</v>
      </c>
      <c r="F6502" s="149" t="n">
        <f aca="false">IF(C6502="MAT.",VLOOKUP(A6502,INSUMOS_AUX!$A$3:$H$813,6,0),0)</f>
        <v>0</v>
      </c>
      <c r="G6502" s="149" t="n">
        <f aca="false">IF(C6502="M.O.",VLOOKUP(A6502,INSUMOS_AUX!A:F,6,0),0)</f>
        <v>13.26</v>
      </c>
    </row>
    <row r="6503" customFormat="false" ht="15" hidden="false" customHeight="false" outlineLevel="0" collapsed="false">
      <c r="A6503" s="154" t="n">
        <v>2436</v>
      </c>
      <c r="B6503" s="155" t="s">
        <v>1557</v>
      </c>
      <c r="C6503" s="148" t="str">
        <f aca="false">VLOOKUP($A6503,INSUMOS_AUX!$A$3:$H$813,3,0)</f>
        <v>M.O.</v>
      </c>
      <c r="D6503" s="156" t="s">
        <v>1444</v>
      </c>
      <c r="E6503" s="154" t="n">
        <v>0.35891272</v>
      </c>
      <c r="F6503" s="149" t="n">
        <f aca="false">IF(C6503="MAT.",VLOOKUP(A6503,INSUMOS_AUX!$A$3:$H$813,6,0),0)</f>
        <v>0</v>
      </c>
      <c r="G6503" s="149" t="n">
        <f aca="false">IF(C6503="M.O.",VLOOKUP(A6503,INSUMOS_AUX!A:F,6,0),0)</f>
        <v>20.22</v>
      </c>
    </row>
    <row r="6504" customFormat="false" ht="21" hidden="false" customHeight="false" outlineLevel="0" collapsed="false">
      <c r="A6504" s="150" t="s">
        <v>1106</v>
      </c>
      <c r="B6504" s="151" t="s">
        <v>2623</v>
      </c>
      <c r="C6504" s="152" t="s">
        <v>59</v>
      </c>
      <c r="D6504" s="152" t="s">
        <v>31</v>
      </c>
      <c r="E6504" s="150"/>
      <c r="F6504" s="153" t="n">
        <f aca="false">(SUMPRODUCT($E6505:$E6519,F6505:F6519))*1</f>
        <v>27.074188</v>
      </c>
      <c r="G6504" s="153" t="n">
        <f aca="false">(SUMPRODUCT($E6505:$E6519,G6505:G6519))*1</f>
        <v>6.9168937416</v>
      </c>
    </row>
    <row r="6505" customFormat="false" ht="21" hidden="false" customHeight="false" outlineLevel="0" collapsed="false">
      <c r="A6505" s="154" t="n">
        <v>37370</v>
      </c>
      <c r="B6505" s="155" t="s">
        <v>1443</v>
      </c>
      <c r="C6505" s="148" t="str">
        <f aca="false">VLOOKUP($A6505,INSUMOS_AUX!$A$3:$H$813,3,0)</f>
        <v>MAT.</v>
      </c>
      <c r="D6505" s="156" t="s">
        <v>1444</v>
      </c>
      <c r="E6505" s="154" t="n">
        <v>0.4688</v>
      </c>
      <c r="F6505" s="149" t="n">
        <f aca="false">IF(C6505="MAT.",VLOOKUP(A6505,INSUMOS_AUX!$A$3:$H$813,6,0),0)</f>
        <v>3.32</v>
      </c>
      <c r="G6505" s="149" t="n">
        <f aca="false">IF(C6505="M.O.",VLOOKUP(A6505,INSUMOS_AUX!A:F,6,0),0)</f>
        <v>0</v>
      </c>
    </row>
    <row r="6506" customFormat="false" ht="21" hidden="false" customHeight="false" outlineLevel="0" collapsed="false">
      <c r="A6506" s="154" t="n">
        <v>43484</v>
      </c>
      <c r="B6506" s="155" t="s">
        <v>1523</v>
      </c>
      <c r="C6506" s="148" t="str">
        <f aca="false">VLOOKUP($A6506,INSUMOS_AUX!$A$3:$H$813,3,0)</f>
        <v>MAT.</v>
      </c>
      <c r="D6506" s="156" t="s">
        <v>1444</v>
      </c>
      <c r="E6506" s="154" t="n">
        <v>0.45</v>
      </c>
      <c r="F6506" s="149" t="n">
        <f aca="false">IF(C6506="MAT.",VLOOKUP(A6506,INSUMOS_AUX!$A$3:$H$813,6,0),0)</f>
        <v>1.26</v>
      </c>
      <c r="G6506" s="149" t="n">
        <f aca="false">IF(C6506="M.O.",VLOOKUP(A6506,INSUMOS_AUX!A:F,6,0),0)</f>
        <v>0</v>
      </c>
    </row>
    <row r="6507" customFormat="false" ht="21" hidden="false" customHeight="false" outlineLevel="0" collapsed="false">
      <c r="A6507" s="154" t="n">
        <v>43489</v>
      </c>
      <c r="B6507" s="155" t="s">
        <v>1456</v>
      </c>
      <c r="C6507" s="148" t="str">
        <f aca="false">VLOOKUP($A6507,INSUMOS_AUX!$A$3:$H$813,3,0)</f>
        <v>MAT.</v>
      </c>
      <c r="D6507" s="156" t="s">
        <v>1444</v>
      </c>
      <c r="E6507" s="154" t="n">
        <v>0.0188</v>
      </c>
      <c r="F6507" s="149" t="n">
        <f aca="false">IF(C6507="MAT.",VLOOKUP(A6507,INSUMOS_AUX!$A$3:$H$813,6,0),0)</f>
        <v>1.31</v>
      </c>
      <c r="G6507" s="149" t="n">
        <f aca="false">IF(C6507="M.O.",VLOOKUP(A6507,INSUMOS_AUX!A:F,6,0),0)</f>
        <v>0</v>
      </c>
    </row>
    <row r="6508" customFormat="false" ht="21" hidden="false" customHeight="false" outlineLevel="0" collapsed="false">
      <c r="A6508" s="154" t="n">
        <v>37372</v>
      </c>
      <c r="B6508" s="155" t="s">
        <v>1446</v>
      </c>
      <c r="C6508" s="148" t="str">
        <f aca="false">VLOOKUP($A6508,INSUMOS_AUX!$A$3:$H$813,3,0)</f>
        <v>MAT.</v>
      </c>
      <c r="D6508" s="156" t="s">
        <v>1444</v>
      </c>
      <c r="E6508" s="154" t="n">
        <v>0.4688</v>
      </c>
      <c r="F6508" s="149" t="n">
        <f aca="false">IF(C6508="MAT.",VLOOKUP(A6508,INSUMOS_AUX!$A$3:$H$813,6,0),0)</f>
        <v>1.43</v>
      </c>
      <c r="G6508" s="149" t="n">
        <f aca="false">IF(C6508="M.O.",VLOOKUP(A6508,INSUMOS_AUX!A:F,6,0),0)</f>
        <v>0</v>
      </c>
    </row>
    <row r="6509" customFormat="false" ht="21" hidden="false" customHeight="false" outlineLevel="0" collapsed="false">
      <c r="A6509" s="154" t="n">
        <v>43460</v>
      </c>
      <c r="B6509" s="155" t="s">
        <v>1524</v>
      </c>
      <c r="C6509" s="148" t="str">
        <f aca="false">VLOOKUP($A6509,INSUMOS_AUX!$A$3:$H$813,3,0)</f>
        <v>MAT.</v>
      </c>
      <c r="D6509" s="156" t="s">
        <v>1444</v>
      </c>
      <c r="E6509" s="154" t="n">
        <v>0.45</v>
      </c>
      <c r="F6509" s="149" t="n">
        <f aca="false">IF(C6509="MAT.",VLOOKUP(A6509,INSUMOS_AUX!$A$3:$H$813,6,0),0)</f>
        <v>0.86</v>
      </c>
      <c r="G6509" s="149" t="n">
        <f aca="false">IF(C6509="M.O.",VLOOKUP(A6509,INSUMOS_AUX!A:F,6,0),0)</f>
        <v>0</v>
      </c>
    </row>
    <row r="6510" customFormat="false" ht="21" hidden="false" customHeight="false" outlineLevel="0" collapsed="false">
      <c r="A6510" s="154" t="n">
        <v>43465</v>
      </c>
      <c r="B6510" s="155" t="s">
        <v>1458</v>
      </c>
      <c r="C6510" s="148" t="str">
        <f aca="false">VLOOKUP($A6510,INSUMOS_AUX!$A$3:$H$813,3,0)</f>
        <v>MAT.</v>
      </c>
      <c r="D6510" s="156" t="s">
        <v>1444</v>
      </c>
      <c r="E6510" s="154" t="n">
        <v>0.0188</v>
      </c>
      <c r="F6510" s="149" t="n">
        <f aca="false">IF(C6510="MAT.",VLOOKUP(A6510,INSUMOS_AUX!$A$3:$H$813,6,0),0)</f>
        <v>0.78</v>
      </c>
      <c r="G6510" s="149" t="n">
        <f aca="false">IF(C6510="M.O.",VLOOKUP(A6510,INSUMOS_AUX!A:F,6,0),0)</f>
        <v>0</v>
      </c>
    </row>
    <row r="6511" customFormat="false" ht="21" hidden="false" customHeight="false" outlineLevel="0" collapsed="false">
      <c r="A6511" s="154" t="n">
        <v>37373</v>
      </c>
      <c r="B6511" s="155" t="s">
        <v>1448</v>
      </c>
      <c r="C6511" s="148" t="str">
        <f aca="false">VLOOKUP($A6511,INSUMOS_AUX!$A$3:$H$813,3,0)</f>
        <v>MAT.</v>
      </c>
      <c r="D6511" s="156" t="s">
        <v>1444</v>
      </c>
      <c r="E6511" s="154" t="n">
        <v>0.4688</v>
      </c>
      <c r="F6511" s="149" t="n">
        <f aca="false">IF(C6511="MAT.",VLOOKUP(A6511,INSUMOS_AUX!$A$3:$H$813,6,0),0)</f>
        <v>0.08</v>
      </c>
      <c r="G6511" s="149" t="n">
        <f aca="false">IF(C6511="M.O.",VLOOKUP(A6511,INSUMOS_AUX!A:F,6,0),0)</f>
        <v>0</v>
      </c>
    </row>
    <row r="6512" customFormat="false" ht="21" hidden="false" customHeight="false" outlineLevel="0" collapsed="false">
      <c r="A6512" s="154" t="n">
        <v>37371</v>
      </c>
      <c r="B6512" s="155" t="s">
        <v>1449</v>
      </c>
      <c r="C6512" s="148" t="str">
        <f aca="false">VLOOKUP($A6512,INSUMOS_AUX!$A$3:$H$813,3,0)</f>
        <v>MAT.</v>
      </c>
      <c r="D6512" s="156" t="s">
        <v>1444</v>
      </c>
      <c r="E6512" s="154" t="n">
        <v>0.4688</v>
      </c>
      <c r="F6512" s="149" t="n">
        <f aca="false">IF(C6512="MAT.",VLOOKUP(A6512,INSUMOS_AUX!$A$3:$H$813,6,0),0)</f>
        <v>0.59</v>
      </c>
      <c r="G6512" s="149" t="n">
        <f aca="false">IF(C6512="M.O.",VLOOKUP(A6512,INSUMOS_AUX!A:F,6,0),0)</f>
        <v>0</v>
      </c>
    </row>
    <row r="6513" customFormat="false" ht="15" hidden="false" customHeight="false" outlineLevel="0" collapsed="false">
      <c r="A6513" s="154" t="n">
        <v>33</v>
      </c>
      <c r="B6513" s="155" t="s">
        <v>1633</v>
      </c>
      <c r="C6513" s="148" t="s">
        <v>59</v>
      </c>
      <c r="D6513" s="156" t="s">
        <v>1513</v>
      </c>
      <c r="E6513" s="154" t="n">
        <v>1.11</v>
      </c>
      <c r="F6513" s="149" t="n">
        <f aca="false">IF(C6513="MAT.",VLOOKUP(A6513,INSUMOS_AUX!$A$3:$H$813,6,0),0)</f>
        <v>0</v>
      </c>
      <c r="G6513" s="149" t="n">
        <f aca="false">IF(C6513="M.O.",VLOOKUP(A6513,INSUMOS_AUX!A:F,6,0),0)</f>
        <v>0</v>
      </c>
    </row>
    <row r="6514" customFormat="false" ht="21" hidden="false" customHeight="false" outlineLevel="0" collapsed="false">
      <c r="A6514" s="154" t="s">
        <v>2624</v>
      </c>
      <c r="B6514" s="155" t="s">
        <v>2625</v>
      </c>
      <c r="C6514" s="148" t="str">
        <f aca="false">VLOOKUP($A6514,INSUMOS_AUX!$A$3:$H$813,3,0)</f>
        <v>MAT.</v>
      </c>
      <c r="D6514" s="156" t="s">
        <v>31</v>
      </c>
      <c r="E6514" s="154" t="n">
        <v>3</v>
      </c>
      <c r="F6514" s="149" t="n">
        <f aca="false">IF(C6514="MAT.",VLOOKUP(A6514,INSUMOS_AUX!$A$3:$H$813,6,0),0)</f>
        <v>3.87</v>
      </c>
      <c r="G6514" s="149" t="n">
        <f aca="false">IF(C6514="M.O.",VLOOKUP(A6514,INSUMOS_AUX!A:F,6,0),0)</f>
        <v>0</v>
      </c>
    </row>
    <row r="6515" customFormat="false" ht="15" hidden="false" customHeight="false" outlineLevel="0" collapsed="false">
      <c r="A6515" s="154" t="s">
        <v>2626</v>
      </c>
      <c r="B6515" s="155" t="s">
        <v>2627</v>
      </c>
      <c r="C6515" s="148" t="str">
        <f aca="false">VLOOKUP($A6515,INSUMOS_AUX!$A$3:$H$813,3,0)</f>
        <v>MAT.</v>
      </c>
      <c r="D6515" s="156" t="s">
        <v>31</v>
      </c>
      <c r="E6515" s="154" t="n">
        <v>1</v>
      </c>
      <c r="F6515" s="149" t="n">
        <f aca="false">IF(C6515="MAT.",VLOOKUP(A6515,INSUMOS_AUX!$A$3:$H$813,6,0),0)</f>
        <v>11.93</v>
      </c>
      <c r="G6515" s="149" t="n">
        <f aca="false">IF(C6515="M.O.",VLOOKUP(A6515,INSUMOS_AUX!A:F,6,0),0)</f>
        <v>0</v>
      </c>
    </row>
    <row r="6516" customFormat="false" ht="15" hidden="false" customHeight="false" outlineLevel="0" collapsed="false">
      <c r="A6516" s="154" t="n">
        <v>6114</v>
      </c>
      <c r="B6516" s="155" t="s">
        <v>1588</v>
      </c>
      <c r="C6516" s="148" t="str">
        <f aca="false">VLOOKUP($A6516,INSUMOS_AUX!$A$3:$H$813,3,0)</f>
        <v>M.O.</v>
      </c>
      <c r="D6516" s="156" t="s">
        <v>1444</v>
      </c>
      <c r="E6516" s="154" t="n">
        <v>0.002630004</v>
      </c>
      <c r="F6516" s="149" t="n">
        <f aca="false">IF(C6516="MAT.",VLOOKUP(A6516,INSUMOS_AUX!$A$3:$H$813,6,0),0)</f>
        <v>0</v>
      </c>
      <c r="G6516" s="149" t="n">
        <f aca="false">IF(C6516="M.O.",VLOOKUP(A6516,INSUMOS_AUX!A:F,6,0),0)</f>
        <v>13.26</v>
      </c>
    </row>
    <row r="6517" customFormat="false" ht="15" hidden="false" customHeight="false" outlineLevel="0" collapsed="false">
      <c r="A6517" s="154" t="n">
        <v>247</v>
      </c>
      <c r="B6517" s="155" t="s">
        <v>1554</v>
      </c>
      <c r="C6517" s="148" t="str">
        <f aca="false">VLOOKUP($A6517,INSUMOS_AUX!$A$3:$H$813,3,0)</f>
        <v>M.O.</v>
      </c>
      <c r="D6517" s="156" t="s">
        <v>1444</v>
      </c>
      <c r="E6517" s="154" t="n">
        <v>0.414928</v>
      </c>
      <c r="F6517" s="149" t="n">
        <f aca="false">IF(C6517="MAT.",VLOOKUP(A6517,INSUMOS_AUX!$A$3:$H$813,6,0),0)</f>
        <v>0</v>
      </c>
      <c r="G6517" s="149" t="n">
        <f aca="false">IF(C6517="M.O.",VLOOKUP(A6517,INSUMOS_AUX!A:F,6,0),0)</f>
        <v>13.26</v>
      </c>
    </row>
    <row r="6518" customFormat="false" ht="15" hidden="false" customHeight="false" outlineLevel="0" collapsed="false">
      <c r="A6518" s="154" t="n">
        <v>378</v>
      </c>
      <c r="B6518" s="155" t="s">
        <v>1589</v>
      </c>
      <c r="C6518" s="148" t="str">
        <f aca="false">VLOOKUP($A6518,INSUMOS_AUX!$A$3:$H$813,3,0)</f>
        <v>M.O.</v>
      </c>
      <c r="D6518" s="156" t="s">
        <v>1444</v>
      </c>
      <c r="E6518" s="154" t="n">
        <v>0.016386948</v>
      </c>
      <c r="F6518" s="149" t="n">
        <f aca="false">IF(C6518="MAT.",VLOOKUP(A6518,INSUMOS_AUX!$A$3:$H$813,6,0),0)</f>
        <v>0</v>
      </c>
      <c r="G6518" s="149" t="n">
        <f aca="false">IF(C6518="M.O.",VLOOKUP(A6518,INSUMOS_AUX!A:F,6,0),0)</f>
        <v>20.22</v>
      </c>
    </row>
    <row r="6519" customFormat="false" ht="15" hidden="false" customHeight="false" outlineLevel="0" collapsed="false">
      <c r="A6519" s="154" t="n">
        <v>2436</v>
      </c>
      <c r="B6519" s="155" t="s">
        <v>1557</v>
      </c>
      <c r="C6519" s="148" t="str">
        <f aca="false">VLOOKUP($A6519,INSUMOS_AUX!$A$3:$H$813,3,0)</f>
        <v>M.O.</v>
      </c>
      <c r="D6519" s="156" t="s">
        <v>1444</v>
      </c>
      <c r="E6519" s="154" t="n">
        <v>0.051866</v>
      </c>
      <c r="F6519" s="149" t="n">
        <f aca="false">IF(C6519="MAT.",VLOOKUP(A6519,INSUMOS_AUX!$A$3:$H$813,6,0),0)</f>
        <v>0</v>
      </c>
      <c r="G6519" s="149" t="n">
        <f aca="false">IF(C6519="M.O.",VLOOKUP(A6519,INSUMOS_AUX!A:F,6,0),0)</f>
        <v>20.22</v>
      </c>
    </row>
    <row r="6520" customFormat="false" ht="21" hidden="false" customHeight="false" outlineLevel="0" collapsed="false">
      <c r="A6520" s="150" t="s">
        <v>1108</v>
      </c>
      <c r="B6520" s="151" t="s">
        <v>2628</v>
      </c>
      <c r="C6520" s="152" t="s">
        <v>59</v>
      </c>
      <c r="D6520" s="152" t="s">
        <v>31</v>
      </c>
      <c r="E6520" s="150"/>
      <c r="F6520" s="153" t="n">
        <f aca="false">(SUMPRODUCT($E6521:$E6529,F6521:F6529))*1</f>
        <v>58.7699193333333</v>
      </c>
      <c r="G6520" s="153" t="n">
        <f aca="false">(SUMPRODUCT($E6521:$E6529,G6521:G6529))*1</f>
        <v>6.47010093168</v>
      </c>
    </row>
    <row r="6521" customFormat="false" ht="21" hidden="false" customHeight="false" outlineLevel="0" collapsed="false">
      <c r="A6521" s="154" t="n">
        <v>37370</v>
      </c>
      <c r="B6521" s="155" t="s">
        <v>1443</v>
      </c>
      <c r="C6521" s="148" t="str">
        <f aca="false">VLOOKUP($A6521,INSUMOS_AUX!$A$3:$H$813,3,0)</f>
        <v>MAT.</v>
      </c>
      <c r="D6521" s="156" t="s">
        <v>1444</v>
      </c>
      <c r="E6521" s="154" t="n">
        <v>0.3726</v>
      </c>
      <c r="F6521" s="149" t="n">
        <f aca="false">IF(C6521="MAT.",VLOOKUP(A6521,INSUMOS_AUX!$A$3:$H$813,6,0),0)</f>
        <v>3.32</v>
      </c>
      <c r="G6521" s="149" t="n">
        <f aca="false">IF(C6521="M.O.",VLOOKUP(A6521,INSUMOS_AUX!A:F,6,0),0)</f>
        <v>0</v>
      </c>
    </row>
    <row r="6522" customFormat="false" ht="21" hidden="false" customHeight="false" outlineLevel="0" collapsed="false">
      <c r="A6522" s="154" t="n">
        <v>43484</v>
      </c>
      <c r="B6522" s="155" t="s">
        <v>1523</v>
      </c>
      <c r="C6522" s="148" t="str">
        <f aca="false">VLOOKUP($A6522,INSUMOS_AUX!$A$3:$H$813,3,0)</f>
        <v>MAT.</v>
      </c>
      <c r="D6522" s="156" t="s">
        <v>1444</v>
      </c>
      <c r="E6522" s="154" t="n">
        <v>0.3726</v>
      </c>
      <c r="F6522" s="149" t="n">
        <f aca="false">IF(C6522="MAT.",VLOOKUP(A6522,INSUMOS_AUX!$A$3:$H$813,6,0),0)</f>
        <v>1.26</v>
      </c>
      <c r="G6522" s="149" t="n">
        <f aca="false">IF(C6522="M.O.",VLOOKUP(A6522,INSUMOS_AUX!A:F,6,0),0)</f>
        <v>0</v>
      </c>
    </row>
    <row r="6523" customFormat="false" ht="21" hidden="false" customHeight="false" outlineLevel="0" collapsed="false">
      <c r="A6523" s="154" t="n">
        <v>37372</v>
      </c>
      <c r="B6523" s="155" t="s">
        <v>1446</v>
      </c>
      <c r="C6523" s="148" t="s">
        <v>59</v>
      </c>
      <c r="D6523" s="156" t="s">
        <v>1444</v>
      </c>
      <c r="E6523" s="154" t="n">
        <v>0.3726</v>
      </c>
      <c r="F6523" s="149" t="n">
        <f aca="false">IF(C6523="MAT.",VLOOKUP(A6523,INSUMOS_AUX!$A$3:$H$813,6,0),0)</f>
        <v>0</v>
      </c>
      <c r="G6523" s="149" t="n">
        <f aca="false">IF(C6523="M.O.",VLOOKUP(A6523,INSUMOS_AUX!A:F,6,0),0)</f>
        <v>0</v>
      </c>
    </row>
    <row r="6524" customFormat="false" ht="21" hidden="false" customHeight="false" outlineLevel="0" collapsed="false">
      <c r="A6524" s="154" t="n">
        <v>43460</v>
      </c>
      <c r="B6524" s="155" t="s">
        <v>1524</v>
      </c>
      <c r="C6524" s="148" t="str">
        <f aca="false">VLOOKUP($A6524,INSUMOS_AUX!$A$3:$H$813,3,0)</f>
        <v>MAT.</v>
      </c>
      <c r="D6524" s="156" t="s">
        <v>1444</v>
      </c>
      <c r="E6524" s="154" t="n">
        <v>0.3726</v>
      </c>
      <c r="F6524" s="149" t="n">
        <f aca="false">IF(C6524="MAT.",VLOOKUP(A6524,INSUMOS_AUX!$A$3:$H$813,6,0),0)</f>
        <v>0.86</v>
      </c>
      <c r="G6524" s="149" t="n">
        <f aca="false">IF(C6524="M.O.",VLOOKUP(A6524,INSUMOS_AUX!A:F,6,0),0)</f>
        <v>0</v>
      </c>
    </row>
    <row r="6525" customFormat="false" ht="21" hidden="false" customHeight="false" outlineLevel="0" collapsed="false">
      <c r="A6525" s="154" t="n">
        <v>37373</v>
      </c>
      <c r="B6525" s="155" t="s">
        <v>1448</v>
      </c>
      <c r="C6525" s="148" t="str">
        <f aca="false">VLOOKUP($A6525,INSUMOS_AUX!$A$3:$H$813,3,0)</f>
        <v>MAT.</v>
      </c>
      <c r="D6525" s="156" t="s">
        <v>1444</v>
      </c>
      <c r="E6525" s="154" t="n">
        <v>0.3726</v>
      </c>
      <c r="F6525" s="149" t="n">
        <f aca="false">IF(C6525="MAT.",VLOOKUP(A6525,INSUMOS_AUX!$A$3:$H$813,6,0),0)</f>
        <v>0.08</v>
      </c>
      <c r="G6525" s="149" t="n">
        <f aca="false">IF(C6525="M.O.",VLOOKUP(A6525,INSUMOS_AUX!A:F,6,0),0)</f>
        <v>0</v>
      </c>
    </row>
    <row r="6526" customFormat="false" ht="21" hidden="false" customHeight="false" outlineLevel="0" collapsed="false">
      <c r="A6526" s="154" t="n">
        <v>37371</v>
      </c>
      <c r="B6526" s="155" t="s">
        <v>1449</v>
      </c>
      <c r="C6526" s="148" t="str">
        <f aca="false">VLOOKUP($A6526,INSUMOS_AUX!$A$3:$H$813,3,0)</f>
        <v>MAT.</v>
      </c>
      <c r="D6526" s="156" t="s">
        <v>1444</v>
      </c>
      <c r="E6526" s="154" t="n">
        <v>0.3726</v>
      </c>
      <c r="F6526" s="149" t="n">
        <f aca="false">IF(C6526="MAT.",VLOOKUP(A6526,INSUMOS_AUX!$A$3:$H$813,6,0),0)</f>
        <v>0.59</v>
      </c>
      <c r="G6526" s="149" t="n">
        <f aca="false">IF(C6526="M.O.",VLOOKUP(A6526,INSUMOS_AUX!A:F,6,0),0)</f>
        <v>0</v>
      </c>
    </row>
    <row r="6527" customFormat="false" ht="15" hidden="false" customHeight="false" outlineLevel="0" collapsed="false">
      <c r="A6527" s="154" t="s">
        <v>2629</v>
      </c>
      <c r="B6527" s="155" t="s">
        <v>2630</v>
      </c>
      <c r="C6527" s="148" t="str">
        <f aca="false">VLOOKUP($A6527,INSUMOS_AUX!$A$3:$H$813,3,0)</f>
        <v>MAT.</v>
      </c>
      <c r="D6527" s="156" t="s">
        <v>31</v>
      </c>
      <c r="E6527" s="154" t="n">
        <v>1</v>
      </c>
      <c r="F6527" s="149" t="n">
        <f aca="false">IF(C6527="MAT.",VLOOKUP(A6527,INSUMOS_AUX!$A$3:$H$813,6,0),0)</f>
        <v>56.4933333333333</v>
      </c>
      <c r="G6527" s="149" t="n">
        <f aca="false">IF(C6527="M.O.",VLOOKUP(A6527,INSUMOS_AUX!A:F,6,0),0)</f>
        <v>0</v>
      </c>
    </row>
    <row r="6528" customFormat="false" ht="15" hidden="false" customHeight="false" outlineLevel="0" collapsed="false">
      <c r="A6528" s="154" t="n">
        <v>247</v>
      </c>
      <c r="B6528" s="155" t="s">
        <v>1554</v>
      </c>
      <c r="C6528" s="148" t="str">
        <f aca="false">VLOOKUP($A6528,INSUMOS_AUX!$A$3:$H$813,3,0)</f>
        <v>M.O.</v>
      </c>
      <c r="D6528" s="156" t="s">
        <v>1444</v>
      </c>
      <c r="E6528" s="154" t="n">
        <v>0.193252716</v>
      </c>
      <c r="F6528" s="149" t="n">
        <f aca="false">IF(C6528="MAT.",VLOOKUP(A6528,INSUMOS_AUX!$A$3:$H$813,6,0),0)</f>
        <v>0</v>
      </c>
      <c r="G6528" s="149" t="n">
        <f aca="false">IF(C6528="M.O.",VLOOKUP(A6528,INSUMOS_AUX!A:F,6,0),0)</f>
        <v>13.26</v>
      </c>
    </row>
    <row r="6529" customFormat="false" ht="15" hidden="false" customHeight="false" outlineLevel="0" collapsed="false">
      <c r="A6529" s="154" t="n">
        <v>2436</v>
      </c>
      <c r="B6529" s="155" t="s">
        <v>1557</v>
      </c>
      <c r="C6529" s="148" t="str">
        <f aca="false">VLOOKUP($A6529,INSUMOS_AUX!$A$3:$H$813,3,0)</f>
        <v>M.O.</v>
      </c>
      <c r="D6529" s="156" t="s">
        <v>1444</v>
      </c>
      <c r="E6529" s="154" t="n">
        <v>0.193252716</v>
      </c>
      <c r="F6529" s="149" t="n">
        <f aca="false">IF(C6529="MAT.",VLOOKUP(A6529,INSUMOS_AUX!$A$3:$H$813,6,0),0)</f>
        <v>0</v>
      </c>
      <c r="G6529" s="149" t="n">
        <f aca="false">IF(C6529="M.O.",VLOOKUP(A6529,INSUMOS_AUX!A:F,6,0),0)</f>
        <v>20.22</v>
      </c>
    </row>
    <row r="6530" customFormat="false" ht="21" hidden="false" customHeight="false" outlineLevel="0" collapsed="false">
      <c r="A6530" s="150" t="s">
        <v>1110</v>
      </c>
      <c r="B6530" s="151" t="s">
        <v>2631</v>
      </c>
      <c r="C6530" s="152" t="s">
        <v>59</v>
      </c>
      <c r="D6530" s="152" t="s">
        <v>31</v>
      </c>
      <c r="E6530" s="150"/>
      <c r="F6530" s="153" t="n">
        <f aca="false">(SUMPRODUCT($E6531:$E6540,F6531:F6540))*1</f>
        <v>56.535212</v>
      </c>
      <c r="G6530" s="153" t="n">
        <f aca="false">(SUMPRODUCT($E6531:$E6540,G6531:G6540))*1</f>
        <v>10.51889116752</v>
      </c>
    </row>
    <row r="6531" customFormat="false" ht="21" hidden="false" customHeight="false" outlineLevel="0" collapsed="false">
      <c r="A6531" s="154" t="n">
        <v>37370</v>
      </c>
      <c r="B6531" s="155" t="s">
        <v>1443</v>
      </c>
      <c r="C6531" s="148" t="str">
        <f aca="false">VLOOKUP($A6531,INSUMOS_AUX!$A$3:$H$813,3,0)</f>
        <v>MAT.</v>
      </c>
      <c r="D6531" s="156" t="s">
        <v>1444</v>
      </c>
      <c r="E6531" s="154" t="n">
        <v>0.6212</v>
      </c>
      <c r="F6531" s="149" t="n">
        <f aca="false">IF(C6531="MAT.",VLOOKUP(A6531,INSUMOS_AUX!$A$3:$H$813,6,0),0)</f>
        <v>3.32</v>
      </c>
      <c r="G6531" s="149" t="n">
        <f aca="false">IF(C6531="M.O.",VLOOKUP(A6531,INSUMOS_AUX!A:F,6,0),0)</f>
        <v>0</v>
      </c>
    </row>
    <row r="6532" customFormat="false" ht="21" hidden="false" customHeight="false" outlineLevel="0" collapsed="false">
      <c r="A6532" s="154" t="n">
        <v>43489</v>
      </c>
      <c r="B6532" s="155" t="s">
        <v>1456</v>
      </c>
      <c r="C6532" s="148" t="str">
        <f aca="false">VLOOKUP($A6532,INSUMOS_AUX!$A$3:$H$813,3,0)</f>
        <v>MAT.</v>
      </c>
      <c r="D6532" s="156" t="s">
        <v>1444</v>
      </c>
      <c r="E6532" s="154" t="n">
        <v>0.6212</v>
      </c>
      <c r="F6532" s="149" t="n">
        <f aca="false">IF(C6532="MAT.",VLOOKUP(A6532,INSUMOS_AUX!$A$3:$H$813,6,0),0)</f>
        <v>1.31</v>
      </c>
      <c r="G6532" s="149" t="n">
        <f aca="false">IF(C6532="M.O.",VLOOKUP(A6532,INSUMOS_AUX!A:F,6,0),0)</f>
        <v>0</v>
      </c>
    </row>
    <row r="6533" customFormat="false" ht="21" hidden="false" customHeight="false" outlineLevel="0" collapsed="false">
      <c r="A6533" s="154" t="n">
        <v>37372</v>
      </c>
      <c r="B6533" s="155" t="s">
        <v>1446</v>
      </c>
      <c r="C6533" s="148" t="str">
        <f aca="false">VLOOKUP($A6533,INSUMOS_AUX!$A$3:$H$813,3,0)</f>
        <v>MAT.</v>
      </c>
      <c r="D6533" s="156" t="s">
        <v>1444</v>
      </c>
      <c r="E6533" s="154" t="n">
        <v>0.6212</v>
      </c>
      <c r="F6533" s="149" t="n">
        <f aca="false">IF(C6533="MAT.",VLOOKUP(A6533,INSUMOS_AUX!$A$3:$H$813,6,0),0)</f>
        <v>1.43</v>
      </c>
      <c r="G6533" s="149" t="n">
        <f aca="false">IF(C6533="M.O.",VLOOKUP(A6533,INSUMOS_AUX!A:F,6,0),0)</f>
        <v>0</v>
      </c>
    </row>
    <row r="6534" customFormat="false" ht="21" hidden="false" customHeight="false" outlineLevel="0" collapsed="false">
      <c r="A6534" s="154" t="n">
        <v>43465</v>
      </c>
      <c r="B6534" s="155" t="s">
        <v>1458</v>
      </c>
      <c r="C6534" s="148" t="str">
        <f aca="false">VLOOKUP($A6534,INSUMOS_AUX!$A$3:$H$813,3,0)</f>
        <v>MAT.</v>
      </c>
      <c r="D6534" s="156" t="s">
        <v>1444</v>
      </c>
      <c r="E6534" s="154" t="n">
        <v>0.6212</v>
      </c>
      <c r="F6534" s="149" t="n">
        <f aca="false">IF(C6534="MAT.",VLOOKUP(A6534,INSUMOS_AUX!$A$3:$H$813,6,0),0)</f>
        <v>0.78</v>
      </c>
      <c r="G6534" s="149" t="n">
        <f aca="false">IF(C6534="M.O.",VLOOKUP(A6534,INSUMOS_AUX!A:F,6,0),0)</f>
        <v>0</v>
      </c>
    </row>
    <row r="6535" customFormat="false" ht="21" hidden="false" customHeight="false" outlineLevel="0" collapsed="false">
      <c r="A6535" s="154" t="n">
        <v>37373</v>
      </c>
      <c r="B6535" s="155" t="s">
        <v>1448</v>
      </c>
      <c r="C6535" s="148" t="str">
        <f aca="false">VLOOKUP($A6535,INSUMOS_AUX!$A$3:$H$813,3,0)</f>
        <v>MAT.</v>
      </c>
      <c r="D6535" s="156" t="s">
        <v>1444</v>
      </c>
      <c r="E6535" s="154" t="n">
        <v>0.6212</v>
      </c>
      <c r="F6535" s="149" t="n">
        <f aca="false">IF(C6535="MAT.",VLOOKUP(A6535,INSUMOS_AUX!$A$3:$H$813,6,0),0)</f>
        <v>0.08</v>
      </c>
      <c r="G6535" s="149" t="n">
        <f aca="false">IF(C6535="M.O.",VLOOKUP(A6535,INSUMOS_AUX!A:F,6,0),0)</f>
        <v>0</v>
      </c>
    </row>
    <row r="6536" customFormat="false" ht="21" hidden="false" customHeight="false" outlineLevel="0" collapsed="false">
      <c r="A6536" s="154" t="n">
        <v>37371</v>
      </c>
      <c r="B6536" s="155" t="s">
        <v>1449</v>
      </c>
      <c r="C6536" s="148" t="str">
        <f aca="false">VLOOKUP($A6536,INSUMOS_AUX!$A$3:$H$813,3,0)</f>
        <v>MAT.</v>
      </c>
      <c r="D6536" s="156" t="s">
        <v>1444</v>
      </c>
      <c r="E6536" s="154" t="n">
        <v>0.6212</v>
      </c>
      <c r="F6536" s="149" t="n">
        <f aca="false">IF(C6536="MAT.",VLOOKUP(A6536,INSUMOS_AUX!$A$3:$H$813,6,0),0)</f>
        <v>0.59</v>
      </c>
      <c r="G6536" s="149" t="n">
        <f aca="false">IF(C6536="M.O.",VLOOKUP(A6536,INSUMOS_AUX!A:F,6,0),0)</f>
        <v>0</v>
      </c>
    </row>
    <row r="6537" customFormat="false" ht="15" hidden="false" customHeight="false" outlineLevel="0" collapsed="false">
      <c r="A6537" s="154" t="s">
        <v>2632</v>
      </c>
      <c r="B6537" s="155" t="s">
        <v>2633</v>
      </c>
      <c r="C6537" s="148" t="str">
        <f aca="false">VLOOKUP($A6537,INSUMOS_AUX!$A$3:$H$813,3,0)</f>
        <v>MAT.</v>
      </c>
      <c r="D6537" s="156" t="s">
        <v>31</v>
      </c>
      <c r="E6537" s="154" t="n">
        <v>1</v>
      </c>
      <c r="F6537" s="149" t="n">
        <f aca="false">IF(C6537="MAT.",VLOOKUP(A6537,INSUMOS_AUX!$A$3:$H$813,6,0),0)</f>
        <v>51.87</v>
      </c>
      <c r="G6537" s="149" t="n">
        <f aca="false">IF(C6537="M.O.",VLOOKUP(A6537,INSUMOS_AUX!A:F,6,0),0)</f>
        <v>0</v>
      </c>
    </row>
    <row r="6538" customFormat="false" ht="21" hidden="false" customHeight="false" outlineLevel="0" collapsed="false">
      <c r="A6538" s="154" t="s">
        <v>2624</v>
      </c>
      <c r="B6538" s="155" t="s">
        <v>2625</v>
      </c>
      <c r="C6538" s="148" t="s">
        <v>59</v>
      </c>
      <c r="D6538" s="156" t="s">
        <v>31</v>
      </c>
      <c r="E6538" s="154" t="n">
        <v>3</v>
      </c>
      <c r="F6538" s="149" t="n">
        <f aca="false">IF(C6538="MAT.",VLOOKUP(A6538,INSUMOS_AUX!$A$3:$H$813,6,0),0)</f>
        <v>0</v>
      </c>
      <c r="G6538" s="149" t="n">
        <f aca="false">IF(C6538="M.O.",VLOOKUP(A6538,INSUMOS_AUX!A:F,6,0),0)</f>
        <v>0</v>
      </c>
    </row>
    <row r="6539" customFormat="false" ht="15" hidden="false" customHeight="false" outlineLevel="0" collapsed="false">
      <c r="A6539" s="154" t="n">
        <v>6114</v>
      </c>
      <c r="B6539" s="155" t="s">
        <v>1588</v>
      </c>
      <c r="C6539" s="148" t="str">
        <f aca="false">VLOOKUP($A6539,INSUMOS_AUX!$A$3:$H$813,3,0)</f>
        <v>M.O.</v>
      </c>
      <c r="D6539" s="156" t="s">
        <v>1444</v>
      </c>
      <c r="E6539" s="154" t="n">
        <v>0.314184324</v>
      </c>
      <c r="F6539" s="149" t="n">
        <f aca="false">IF(C6539="MAT.",VLOOKUP(A6539,INSUMOS_AUX!$A$3:$H$813,6,0),0)</f>
        <v>0</v>
      </c>
      <c r="G6539" s="149" t="n">
        <f aca="false">IF(C6539="M.O.",VLOOKUP(A6539,INSUMOS_AUX!A:F,6,0),0)</f>
        <v>13.26</v>
      </c>
    </row>
    <row r="6540" customFormat="false" ht="15" hidden="false" customHeight="false" outlineLevel="0" collapsed="false">
      <c r="A6540" s="154" t="n">
        <v>378</v>
      </c>
      <c r="B6540" s="155" t="s">
        <v>1589</v>
      </c>
      <c r="C6540" s="148" t="str">
        <f aca="false">VLOOKUP($A6540,INSUMOS_AUX!$A$3:$H$813,3,0)</f>
        <v>M.O.</v>
      </c>
      <c r="D6540" s="156" t="s">
        <v>1444</v>
      </c>
      <c r="E6540" s="154" t="n">
        <v>0.314184324</v>
      </c>
      <c r="F6540" s="149" t="n">
        <f aca="false">IF(C6540="MAT.",VLOOKUP(A6540,INSUMOS_AUX!$A$3:$H$813,6,0),0)</f>
        <v>0</v>
      </c>
      <c r="G6540" s="149" t="n">
        <f aca="false">IF(C6540="M.O.",VLOOKUP(A6540,INSUMOS_AUX!A:F,6,0),0)</f>
        <v>20.22</v>
      </c>
    </row>
    <row r="6541" customFormat="false" ht="21" hidden="false" customHeight="false" outlineLevel="0" collapsed="false">
      <c r="A6541" s="150" t="n">
        <v>98111</v>
      </c>
      <c r="B6541" s="151" t="s">
        <v>2634</v>
      </c>
      <c r="C6541" s="152" t="s">
        <v>59</v>
      </c>
      <c r="D6541" s="152" t="s">
        <v>31</v>
      </c>
      <c r="E6541" s="150"/>
      <c r="F6541" s="153" t="n">
        <f aca="false">(SUMPRODUCT($E6542:$E6558,F6542:F6558))*1</f>
        <v>50.9465660569504</v>
      </c>
      <c r="G6541" s="153" t="n">
        <f aca="false">(SUMPRODUCT($E6542:$E6558,G6542:G6558))*1</f>
        <v>5.47948788246089</v>
      </c>
    </row>
    <row r="6542" customFormat="false" ht="21" hidden="false" customHeight="false" outlineLevel="0" collapsed="false">
      <c r="A6542" s="154" t="n">
        <v>37370</v>
      </c>
      <c r="B6542" s="155" t="s">
        <v>1443</v>
      </c>
      <c r="C6542" s="148" t="str">
        <f aca="false">VLOOKUP($A6542,INSUMOS_AUX!$A$3:$H$813,3,0)</f>
        <v>MAT.</v>
      </c>
      <c r="D6542" s="156" t="s">
        <v>1444</v>
      </c>
      <c r="E6542" s="154" t="n">
        <v>0.32042412</v>
      </c>
      <c r="F6542" s="149" t="n">
        <f aca="false">IF(C6542="MAT.",VLOOKUP(A6542,INSUMOS_AUX!$A$3:$H$813,6,0),0)</f>
        <v>3.32</v>
      </c>
      <c r="G6542" s="149" t="n">
        <f aca="false">IF(C6542="M.O.",VLOOKUP(A6542,INSUMOS_AUX!A:F,6,0),0)</f>
        <v>0</v>
      </c>
    </row>
    <row r="6543" customFormat="false" ht="21" hidden="false" customHeight="false" outlineLevel="0" collapsed="false">
      <c r="A6543" s="154" t="n">
        <v>43488</v>
      </c>
      <c r="B6543" s="155" t="s">
        <v>1445</v>
      </c>
      <c r="C6543" s="148" t="str">
        <f aca="false">VLOOKUP($A6543,INSUMOS_AUX!$A$3:$H$813,3,0)</f>
        <v>MAT.</v>
      </c>
      <c r="D6543" s="156" t="s">
        <v>1444</v>
      </c>
      <c r="E6543" s="154" t="n">
        <v>0.00195144</v>
      </c>
      <c r="F6543" s="149" t="n">
        <f aca="false">IF(C6543="MAT.",VLOOKUP(A6543,INSUMOS_AUX!$A$3:$H$813,6,0),0)</f>
        <v>0.89</v>
      </c>
      <c r="G6543" s="149" t="n">
        <f aca="false">IF(C6543="M.O.",VLOOKUP(A6543,INSUMOS_AUX!A:F,6,0),0)</f>
        <v>0</v>
      </c>
    </row>
    <row r="6544" customFormat="false" ht="21" hidden="false" customHeight="false" outlineLevel="0" collapsed="false">
      <c r="A6544" s="154" t="n">
        <v>43489</v>
      </c>
      <c r="B6544" s="155" t="s">
        <v>1456</v>
      </c>
      <c r="C6544" s="148" t="str">
        <f aca="false">VLOOKUP($A6544,INSUMOS_AUX!$A$3:$H$813,3,0)</f>
        <v>MAT.</v>
      </c>
      <c r="D6544" s="156" t="s">
        <v>1444</v>
      </c>
      <c r="E6544" s="154" t="n">
        <v>0.16690879</v>
      </c>
      <c r="F6544" s="149" t="n">
        <f aca="false">IF(C6544="MAT.",VLOOKUP(A6544,INSUMOS_AUX!$A$3:$H$813,6,0),0)</f>
        <v>1.31</v>
      </c>
      <c r="G6544" s="149" t="n">
        <f aca="false">IF(C6544="M.O.",VLOOKUP(A6544,INSUMOS_AUX!A:F,6,0),0)</f>
        <v>0</v>
      </c>
    </row>
    <row r="6545" customFormat="false" ht="21" hidden="false" customHeight="false" outlineLevel="0" collapsed="false">
      <c r="A6545" s="154" t="n">
        <v>43491</v>
      </c>
      <c r="B6545" s="155" t="s">
        <v>1457</v>
      </c>
      <c r="C6545" s="148" t="str">
        <f aca="false">VLOOKUP($A6545,INSUMOS_AUX!$A$3:$H$813,3,0)</f>
        <v>MAT.</v>
      </c>
      <c r="D6545" s="156" t="s">
        <v>1444</v>
      </c>
      <c r="E6545" s="154" t="n">
        <v>0.15156389</v>
      </c>
      <c r="F6545" s="149" t="n">
        <f aca="false">IF(C6545="MAT.",VLOOKUP(A6545,INSUMOS_AUX!$A$3:$H$813,6,0),0)</f>
        <v>1.39</v>
      </c>
      <c r="G6545" s="149" t="n">
        <f aca="false">IF(C6545="M.O.",VLOOKUP(A6545,INSUMOS_AUX!A:F,6,0),0)</f>
        <v>0</v>
      </c>
    </row>
    <row r="6546" customFormat="false" ht="21" hidden="false" customHeight="false" outlineLevel="0" collapsed="false">
      <c r="A6546" s="154" t="n">
        <v>37372</v>
      </c>
      <c r="B6546" s="155" t="s">
        <v>1446</v>
      </c>
      <c r="C6546" s="148" t="str">
        <f aca="false">VLOOKUP($A6546,INSUMOS_AUX!$A$3:$H$813,3,0)</f>
        <v>MAT.</v>
      </c>
      <c r="D6546" s="156" t="s">
        <v>1444</v>
      </c>
      <c r="E6546" s="154" t="n">
        <v>0.32042412</v>
      </c>
      <c r="F6546" s="149" t="n">
        <f aca="false">IF(C6546="MAT.",VLOOKUP(A6546,INSUMOS_AUX!$A$3:$H$813,6,0),0)</f>
        <v>1.43</v>
      </c>
      <c r="G6546" s="149" t="n">
        <f aca="false">IF(C6546="M.O.",VLOOKUP(A6546,INSUMOS_AUX!A:F,6,0),0)</f>
        <v>0</v>
      </c>
    </row>
    <row r="6547" customFormat="false" ht="21" hidden="false" customHeight="false" outlineLevel="0" collapsed="false">
      <c r="A6547" s="154" t="n">
        <v>43464</v>
      </c>
      <c r="B6547" s="155" t="s">
        <v>1447</v>
      </c>
      <c r="C6547" s="148" t="str">
        <f aca="false">VLOOKUP($A6547,INSUMOS_AUX!$A$3:$H$813,3,0)</f>
        <v>MAT.</v>
      </c>
      <c r="D6547" s="156" t="s">
        <v>1444</v>
      </c>
      <c r="E6547" s="154" t="n">
        <v>0.00195144</v>
      </c>
      <c r="F6547" s="149" t="n">
        <f aca="false">IF(C6547="MAT.",VLOOKUP(A6547,INSUMOS_AUX!$A$3:$H$813,6,0),0)</f>
        <v>0.01</v>
      </c>
      <c r="G6547" s="149" t="n">
        <f aca="false">IF(C6547="M.O.",VLOOKUP(A6547,INSUMOS_AUX!A:F,6,0),0)</f>
        <v>0</v>
      </c>
    </row>
    <row r="6548" customFormat="false" ht="21" hidden="false" customHeight="false" outlineLevel="0" collapsed="false">
      <c r="A6548" s="154" t="n">
        <v>43465</v>
      </c>
      <c r="B6548" s="155" t="s">
        <v>1458</v>
      </c>
      <c r="C6548" s="148" t="s">
        <v>59</v>
      </c>
      <c r="D6548" s="156" t="s">
        <v>1444</v>
      </c>
      <c r="E6548" s="154" t="n">
        <v>0.16690879</v>
      </c>
      <c r="F6548" s="149" t="n">
        <f aca="false">IF(C6548="MAT.",VLOOKUP(A6548,INSUMOS_AUX!$A$3:$H$813,6,0),0)</f>
        <v>0</v>
      </c>
      <c r="G6548" s="149" t="n">
        <f aca="false">IF(C6548="M.O.",VLOOKUP(A6548,INSUMOS_AUX!A:F,6,0),0)</f>
        <v>0</v>
      </c>
    </row>
    <row r="6549" customFormat="false" ht="21" hidden="false" customHeight="false" outlineLevel="0" collapsed="false">
      <c r="A6549" s="154" t="n">
        <v>43467</v>
      </c>
      <c r="B6549" s="155" t="s">
        <v>1459</v>
      </c>
      <c r="C6549" s="148" t="str">
        <f aca="false">VLOOKUP($A6549,INSUMOS_AUX!$A$3:$H$813,3,0)</f>
        <v>MAT.</v>
      </c>
      <c r="D6549" s="156" t="s">
        <v>1444</v>
      </c>
      <c r="E6549" s="154" t="n">
        <v>0.15156389</v>
      </c>
      <c r="F6549" s="149" t="n">
        <f aca="false">IF(C6549="MAT.",VLOOKUP(A6549,INSUMOS_AUX!$A$3:$H$813,6,0),0)</f>
        <v>0.61</v>
      </c>
      <c r="G6549" s="149" t="n">
        <f aca="false">IF(C6549="M.O.",VLOOKUP(A6549,INSUMOS_AUX!A:F,6,0),0)</f>
        <v>0</v>
      </c>
    </row>
    <row r="6550" customFormat="false" ht="21" hidden="false" customHeight="false" outlineLevel="0" collapsed="false">
      <c r="A6550" s="154" t="n">
        <v>37373</v>
      </c>
      <c r="B6550" s="155" t="s">
        <v>1448</v>
      </c>
      <c r="C6550" s="148" t="str">
        <f aca="false">VLOOKUP($A6550,INSUMOS_AUX!$A$3:$H$813,3,0)</f>
        <v>MAT.</v>
      </c>
      <c r="D6550" s="156" t="s">
        <v>1444</v>
      </c>
      <c r="E6550" s="154" t="n">
        <v>0.32042412</v>
      </c>
      <c r="F6550" s="149" t="n">
        <f aca="false">IF(C6550="MAT.",VLOOKUP(A6550,INSUMOS_AUX!$A$3:$H$813,6,0),0)</f>
        <v>0.08</v>
      </c>
      <c r="G6550" s="149" t="n">
        <f aca="false">IF(C6550="M.O.",VLOOKUP(A6550,INSUMOS_AUX!A:F,6,0),0)</f>
        <v>0</v>
      </c>
    </row>
    <row r="6551" customFormat="false" ht="21" hidden="false" customHeight="false" outlineLevel="0" collapsed="false">
      <c r="A6551" s="154" t="n">
        <v>37371</v>
      </c>
      <c r="B6551" s="155" t="s">
        <v>1449</v>
      </c>
      <c r="C6551" s="148" t="str">
        <f aca="false">VLOOKUP($A6551,INSUMOS_AUX!$A$3:$H$813,3,0)</f>
        <v>MAT.</v>
      </c>
      <c r="D6551" s="156" t="s">
        <v>1444</v>
      </c>
      <c r="E6551" s="154" t="n">
        <v>0.32042412</v>
      </c>
      <c r="F6551" s="149" t="n">
        <f aca="false">IF(C6551="MAT.",VLOOKUP(A6551,INSUMOS_AUX!$A$3:$H$813,6,0),0)</f>
        <v>0.59</v>
      </c>
      <c r="G6551" s="149" t="n">
        <f aca="false">IF(C6551="M.O.",VLOOKUP(A6551,INSUMOS_AUX!A:F,6,0),0)</f>
        <v>0</v>
      </c>
    </row>
    <row r="6552" customFormat="false" ht="21" hidden="false" customHeight="false" outlineLevel="0" collapsed="false">
      <c r="A6552" s="154" t="n">
        <v>13458</v>
      </c>
      <c r="B6552" s="155" t="s">
        <v>1723</v>
      </c>
      <c r="C6552" s="148" t="str">
        <f aca="false">VLOOKUP($A6552,INSUMOS_AUX!$A$3:$H$813,3,0)</f>
        <v>MAT.</v>
      </c>
      <c r="D6552" s="156" t="s">
        <v>31</v>
      </c>
      <c r="E6552" s="154" t="n">
        <v>1.9944309E-007</v>
      </c>
      <c r="F6552" s="149" t="n">
        <f aca="false">IF(C6552="MAT.",VLOOKUP(A6552,INSUMOS_AUX!$A$3:$H$813,6,0),0)</f>
        <v>15839.74</v>
      </c>
      <c r="G6552" s="149" t="n">
        <f aca="false">IF(C6552="M.O.",VLOOKUP(A6552,INSUMOS_AUX!A:F,6,0),0)</f>
        <v>0</v>
      </c>
    </row>
    <row r="6553" customFormat="false" ht="21" hidden="false" customHeight="false" outlineLevel="0" collapsed="false">
      <c r="A6553" s="154" t="n">
        <v>370</v>
      </c>
      <c r="B6553" s="155" t="s">
        <v>1527</v>
      </c>
      <c r="C6553" s="148" t="str">
        <f aca="false">VLOOKUP($A6553,INSUMOS_AUX!$A$3:$H$813,3,0)</f>
        <v>MAT.</v>
      </c>
      <c r="D6553" s="156" t="s">
        <v>1442</v>
      </c>
      <c r="E6553" s="154" t="n">
        <v>0.01551</v>
      </c>
      <c r="F6553" s="149" t="n">
        <f aca="false">IF(C6553="MAT.",VLOOKUP(A6553,INSUMOS_AUX!$A$3:$H$813,6,0),0)</f>
        <v>150</v>
      </c>
      <c r="G6553" s="149" t="n">
        <f aca="false">IF(C6553="M.O.",VLOOKUP(A6553,INSUMOS_AUX!A:F,6,0),0)</f>
        <v>0</v>
      </c>
    </row>
    <row r="6554" customFormat="false" ht="21" hidden="false" customHeight="false" outlineLevel="0" collapsed="false">
      <c r="A6554" s="154" t="n">
        <v>34643</v>
      </c>
      <c r="B6554" s="155" t="s">
        <v>2635</v>
      </c>
      <c r="C6554" s="148" t="str">
        <f aca="false">VLOOKUP($A6554,INSUMOS_AUX!$A$3:$H$813,3,0)</f>
        <v>MAT.</v>
      </c>
      <c r="D6554" s="156" t="s">
        <v>31</v>
      </c>
      <c r="E6554" s="154" t="n">
        <v>1</v>
      </c>
      <c r="F6554" s="149" t="n">
        <f aca="false">IF(C6554="MAT.",VLOOKUP(A6554,INSUMOS_AUX!$A$3:$H$813,6,0),0)</f>
        <v>46.35</v>
      </c>
      <c r="G6554" s="149" t="n">
        <f aca="false">IF(C6554="M.O.",VLOOKUP(A6554,INSUMOS_AUX!A:F,6,0),0)</f>
        <v>0</v>
      </c>
    </row>
    <row r="6555" customFormat="false" ht="15" hidden="false" customHeight="false" outlineLevel="0" collapsed="false">
      <c r="A6555" s="154" t="n">
        <v>4222</v>
      </c>
      <c r="B6555" s="155" t="s">
        <v>1572</v>
      </c>
      <c r="C6555" s="148" t="str">
        <f aca="false">VLOOKUP($A6555,INSUMOS_AUX!$A$3:$H$813,3,0)</f>
        <v>MAT.</v>
      </c>
      <c r="D6555" s="156" t="s">
        <v>1452</v>
      </c>
      <c r="E6555" s="154" t="n">
        <v>0.0010427514</v>
      </c>
      <c r="F6555" s="149" t="n">
        <f aca="false">IF(C6555="MAT.",VLOOKUP(A6555,INSUMOS_AUX!$A$3:$H$813,6,0),0)</f>
        <v>6.4</v>
      </c>
      <c r="G6555" s="149" t="n">
        <f aca="false">IF(C6555="M.O.",VLOOKUP(A6555,INSUMOS_AUX!A:F,6,0),0)</f>
        <v>0</v>
      </c>
    </row>
    <row r="6556" customFormat="false" ht="21" hidden="false" customHeight="false" outlineLevel="0" collapsed="false">
      <c r="A6556" s="154" t="n">
        <v>4230</v>
      </c>
      <c r="B6556" s="155" t="s">
        <v>1597</v>
      </c>
      <c r="C6556" s="148" t="str">
        <f aca="false">VLOOKUP($A6556,INSUMOS_AUX!$A$3:$H$813,3,0)</f>
        <v>M.O.</v>
      </c>
      <c r="D6556" s="156" t="s">
        <v>1444</v>
      </c>
      <c r="E6556" s="154" t="n">
        <v>0.0019739596176</v>
      </c>
      <c r="F6556" s="149" t="n">
        <f aca="false">IF(C6556="MAT.",VLOOKUP(A6556,INSUMOS_AUX!$A$3:$H$813,6,0),0)</f>
        <v>0</v>
      </c>
      <c r="G6556" s="149" t="n">
        <f aca="false">IF(C6556="M.O.",VLOOKUP(A6556,INSUMOS_AUX!A:F,6,0),0)</f>
        <v>14.53</v>
      </c>
    </row>
    <row r="6557" customFormat="false" ht="15" hidden="false" customHeight="false" outlineLevel="0" collapsed="false">
      <c r="A6557" s="154" t="n">
        <v>4750</v>
      </c>
      <c r="B6557" s="155" t="s">
        <v>1463</v>
      </c>
      <c r="C6557" s="148" t="str">
        <f aca="false">VLOOKUP($A6557,INSUMOS_AUX!$A$3:$H$813,3,0)</f>
        <v>M.O.</v>
      </c>
      <c r="D6557" s="156" t="s">
        <v>1444</v>
      </c>
      <c r="E6557" s="154" t="n">
        <v>0.170447256348</v>
      </c>
      <c r="F6557" s="149" t="n">
        <f aca="false">IF(C6557="MAT.",VLOOKUP(A6557,INSUMOS_AUX!$A$3:$H$813,6,0),0)</f>
        <v>0</v>
      </c>
      <c r="G6557" s="149" t="n">
        <f aca="false">IF(C6557="M.O.",VLOOKUP(A6557,INSUMOS_AUX!A:F,6,0),0)</f>
        <v>20.22</v>
      </c>
    </row>
    <row r="6558" customFormat="false" ht="15" hidden="false" customHeight="false" outlineLevel="0" collapsed="false">
      <c r="A6558" s="154" t="n">
        <v>6111</v>
      </c>
      <c r="B6558" s="155" t="s">
        <v>1464</v>
      </c>
      <c r="C6558" s="148" t="str">
        <f aca="false">VLOOKUP($A6558,INSUMOS_AUX!$A$3:$H$813,3,0)</f>
        <v>M.O.</v>
      </c>
      <c r="D6558" s="156" t="s">
        <v>1444</v>
      </c>
      <c r="E6558" s="154" t="n">
        <v>0.154777044468</v>
      </c>
      <c r="F6558" s="149" t="n">
        <f aca="false">IF(C6558="MAT.",VLOOKUP(A6558,INSUMOS_AUX!$A$3:$H$813,6,0),0)</f>
        <v>0</v>
      </c>
      <c r="G6558" s="149" t="n">
        <f aca="false">IF(C6558="M.O.",VLOOKUP(A6558,INSUMOS_AUX!A:F,6,0),0)</f>
        <v>12.95</v>
      </c>
    </row>
    <row r="6559" customFormat="false" ht="21" hidden="false" customHeight="false" outlineLevel="0" collapsed="false">
      <c r="A6559" s="150" t="n">
        <v>96977</v>
      </c>
      <c r="B6559" s="151" t="s">
        <v>2636</v>
      </c>
      <c r="C6559" s="152" t="s">
        <v>59</v>
      </c>
      <c r="D6559" s="152" t="s">
        <v>1455</v>
      </c>
      <c r="E6559" s="150"/>
      <c r="F6559" s="153" t="n">
        <f aca="false">(SUMPRODUCT($E6560:$E6568,F6560:F6568))*1</f>
        <v>59.435648</v>
      </c>
      <c r="G6559" s="153" t="n">
        <f aca="false">(SUMPRODUCT($E6560:$E6568,G6560:G6568))*1</f>
        <v>1.14954557616</v>
      </c>
    </row>
    <row r="6560" customFormat="false" ht="21" hidden="false" customHeight="false" outlineLevel="0" collapsed="false">
      <c r="A6560" s="154" t="n">
        <v>37370</v>
      </c>
      <c r="B6560" s="155" t="s">
        <v>1443</v>
      </c>
      <c r="C6560" s="148" t="str">
        <f aca="false">VLOOKUP($A6560,INSUMOS_AUX!$A$3:$H$813,3,0)</f>
        <v>MAT.</v>
      </c>
      <c r="D6560" s="156" t="s">
        <v>1444</v>
      </c>
      <c r="E6560" s="154" t="n">
        <v>0.0662</v>
      </c>
      <c r="F6560" s="149" t="n">
        <f aca="false">IF(C6560="MAT.",VLOOKUP(A6560,INSUMOS_AUX!$A$3:$H$813,6,0),0)</f>
        <v>3.32</v>
      </c>
      <c r="G6560" s="149" t="n">
        <f aca="false">IF(C6560="M.O.",VLOOKUP(A6560,INSUMOS_AUX!A:F,6,0),0)</f>
        <v>0</v>
      </c>
    </row>
    <row r="6561" customFormat="false" ht="21" hidden="false" customHeight="false" outlineLevel="0" collapsed="false">
      <c r="A6561" s="154" t="n">
        <v>43484</v>
      </c>
      <c r="B6561" s="155" t="s">
        <v>1523</v>
      </c>
      <c r="C6561" s="148" t="str">
        <f aca="false">VLOOKUP($A6561,INSUMOS_AUX!$A$3:$H$813,3,0)</f>
        <v>MAT.</v>
      </c>
      <c r="D6561" s="156" t="s">
        <v>1444</v>
      </c>
      <c r="E6561" s="154" t="n">
        <v>0.0662</v>
      </c>
      <c r="F6561" s="149" t="n">
        <f aca="false">IF(C6561="MAT.",VLOOKUP(A6561,INSUMOS_AUX!$A$3:$H$813,6,0),0)</f>
        <v>1.26</v>
      </c>
      <c r="G6561" s="149" t="n">
        <f aca="false">IF(C6561="M.O.",VLOOKUP(A6561,INSUMOS_AUX!A:F,6,0),0)</f>
        <v>0</v>
      </c>
    </row>
    <row r="6562" customFormat="false" ht="21" hidden="false" customHeight="false" outlineLevel="0" collapsed="false">
      <c r="A6562" s="154" t="n">
        <v>37372</v>
      </c>
      <c r="B6562" s="155" t="s">
        <v>1446</v>
      </c>
      <c r="C6562" s="148" t="str">
        <f aca="false">VLOOKUP($A6562,INSUMOS_AUX!$A$3:$H$813,3,0)</f>
        <v>MAT.</v>
      </c>
      <c r="D6562" s="156" t="s">
        <v>1444</v>
      </c>
      <c r="E6562" s="154" t="n">
        <v>0.0662</v>
      </c>
      <c r="F6562" s="149" t="n">
        <f aca="false">IF(C6562="MAT.",VLOOKUP(A6562,INSUMOS_AUX!$A$3:$H$813,6,0),0)</f>
        <v>1.43</v>
      </c>
      <c r="G6562" s="149" t="n">
        <f aca="false">IF(C6562="M.O.",VLOOKUP(A6562,INSUMOS_AUX!A:F,6,0),0)</f>
        <v>0</v>
      </c>
    </row>
    <row r="6563" customFormat="false" ht="21" hidden="false" customHeight="false" outlineLevel="0" collapsed="false">
      <c r="A6563" s="154" t="n">
        <v>43460</v>
      </c>
      <c r="B6563" s="155" t="s">
        <v>1524</v>
      </c>
      <c r="C6563" s="148" t="str">
        <f aca="false">VLOOKUP($A6563,INSUMOS_AUX!$A$3:$H$813,3,0)</f>
        <v>MAT.</v>
      </c>
      <c r="D6563" s="156" t="s">
        <v>1444</v>
      </c>
      <c r="E6563" s="154" t="n">
        <v>0.0662</v>
      </c>
      <c r="F6563" s="149" t="n">
        <f aca="false">IF(C6563="MAT.",VLOOKUP(A6563,INSUMOS_AUX!$A$3:$H$813,6,0),0)</f>
        <v>0.86</v>
      </c>
      <c r="G6563" s="149" t="n">
        <f aca="false">IF(C6563="M.O.",VLOOKUP(A6563,INSUMOS_AUX!A:F,6,0),0)</f>
        <v>0</v>
      </c>
    </row>
    <row r="6564" customFormat="false" ht="21" hidden="false" customHeight="false" outlineLevel="0" collapsed="false">
      <c r="A6564" s="154" t="n">
        <v>37373</v>
      </c>
      <c r="B6564" s="155" t="s">
        <v>1448</v>
      </c>
      <c r="C6564" s="148" t="str">
        <f aca="false">VLOOKUP($A6564,INSUMOS_AUX!$A$3:$H$813,3,0)</f>
        <v>MAT.</v>
      </c>
      <c r="D6564" s="156" t="s">
        <v>1444</v>
      </c>
      <c r="E6564" s="154" t="n">
        <v>0.0662</v>
      </c>
      <c r="F6564" s="149" t="n">
        <f aca="false">IF(C6564="MAT.",VLOOKUP(A6564,INSUMOS_AUX!$A$3:$H$813,6,0),0)</f>
        <v>0.08</v>
      </c>
      <c r="G6564" s="149" t="n">
        <f aca="false">IF(C6564="M.O.",VLOOKUP(A6564,INSUMOS_AUX!A:F,6,0),0)</f>
        <v>0</v>
      </c>
    </row>
    <row r="6565" customFormat="false" ht="21" hidden="false" customHeight="false" outlineLevel="0" collapsed="false">
      <c r="A6565" s="154" t="n">
        <v>37371</v>
      </c>
      <c r="B6565" s="155" t="s">
        <v>1449</v>
      </c>
      <c r="C6565" s="148" t="str">
        <f aca="false">VLOOKUP($A6565,INSUMOS_AUX!$A$3:$H$813,3,0)</f>
        <v>MAT.</v>
      </c>
      <c r="D6565" s="156" t="s">
        <v>1444</v>
      </c>
      <c r="E6565" s="154" t="n">
        <v>0.0662</v>
      </c>
      <c r="F6565" s="149" t="n">
        <f aca="false">IF(C6565="MAT.",VLOOKUP(A6565,INSUMOS_AUX!$A$3:$H$813,6,0),0)</f>
        <v>0.59</v>
      </c>
      <c r="G6565" s="149" t="n">
        <f aca="false">IF(C6565="M.O.",VLOOKUP(A6565,INSUMOS_AUX!A:F,6,0),0)</f>
        <v>0</v>
      </c>
    </row>
    <row r="6566" customFormat="false" ht="15" hidden="false" customHeight="false" outlineLevel="0" collapsed="false">
      <c r="A6566" s="154" t="n">
        <v>867</v>
      </c>
      <c r="B6566" s="155" t="s">
        <v>2637</v>
      </c>
      <c r="C6566" s="148" t="str">
        <f aca="false">VLOOKUP($A6566,INSUMOS_AUX!$A$3:$H$813,3,0)</f>
        <v>MAT.</v>
      </c>
      <c r="D6566" s="156" t="s">
        <v>1455</v>
      </c>
      <c r="E6566" s="154" t="n">
        <v>1.05</v>
      </c>
      <c r="F6566" s="149" t="n">
        <f aca="false">IF(C6566="MAT.",VLOOKUP(A6566,INSUMOS_AUX!$A$3:$H$813,6,0),0)</f>
        <v>56.13</v>
      </c>
      <c r="G6566" s="149" t="n">
        <f aca="false">IF(C6566="M.O.",VLOOKUP(A6566,INSUMOS_AUX!A:F,6,0),0)</f>
        <v>0</v>
      </c>
    </row>
    <row r="6567" customFormat="false" ht="15" hidden="false" customHeight="false" outlineLevel="0" collapsed="false">
      <c r="A6567" s="154" t="n">
        <v>247</v>
      </c>
      <c r="B6567" s="155" t="s">
        <v>1554</v>
      </c>
      <c r="C6567" s="148" t="str">
        <f aca="false">VLOOKUP($A6567,INSUMOS_AUX!$A$3:$H$813,3,0)</f>
        <v>M.O.</v>
      </c>
      <c r="D6567" s="156" t="s">
        <v>1444</v>
      </c>
      <c r="E6567" s="154" t="n">
        <v>0.034335292</v>
      </c>
      <c r="F6567" s="149" t="n">
        <f aca="false">IF(C6567="MAT.",VLOOKUP(A6567,INSUMOS_AUX!$A$3:$H$813,6,0),0)</f>
        <v>0</v>
      </c>
      <c r="G6567" s="149" t="n">
        <f aca="false">IF(C6567="M.O.",VLOOKUP(A6567,INSUMOS_AUX!A:F,6,0),0)</f>
        <v>13.26</v>
      </c>
    </row>
    <row r="6568" customFormat="false" ht="15" hidden="false" customHeight="false" outlineLevel="0" collapsed="false">
      <c r="A6568" s="154" t="n">
        <v>2436</v>
      </c>
      <c r="B6568" s="155" t="s">
        <v>1557</v>
      </c>
      <c r="C6568" s="148" t="str">
        <f aca="false">VLOOKUP($A6568,INSUMOS_AUX!$A$3:$H$813,3,0)</f>
        <v>M.O.</v>
      </c>
      <c r="D6568" s="156" t="s">
        <v>1444</v>
      </c>
      <c r="E6568" s="154" t="n">
        <v>0.034335292</v>
      </c>
      <c r="F6568" s="149" t="n">
        <f aca="false">IF(C6568="MAT.",VLOOKUP(A6568,INSUMOS_AUX!$A$3:$H$813,6,0),0)</f>
        <v>0</v>
      </c>
      <c r="G6568" s="149" t="n">
        <f aca="false">IF(C6568="M.O.",VLOOKUP(A6568,INSUMOS_AUX!A:F,6,0),0)</f>
        <v>20.22</v>
      </c>
    </row>
    <row r="6569" customFormat="false" ht="21" hidden="false" customHeight="false" outlineLevel="0" collapsed="false">
      <c r="A6569" s="150" t="n">
        <v>104754</v>
      </c>
      <c r="B6569" s="151" t="s">
        <v>2638</v>
      </c>
      <c r="C6569" s="152" t="s">
        <v>59</v>
      </c>
      <c r="D6569" s="152" t="s">
        <v>31</v>
      </c>
      <c r="E6569" s="150"/>
      <c r="F6569" s="153" t="n">
        <f aca="false">(SUMPRODUCT($E6570:$E6578,F6570:F6578))*1</f>
        <v>25.189404</v>
      </c>
      <c r="G6569" s="153" t="n">
        <f aca="false">(SUMPRODUCT($E6570:$E6578,G6570:G6578))*1</f>
        <v>6.47010093168</v>
      </c>
    </row>
    <row r="6570" customFormat="false" ht="21" hidden="false" customHeight="false" outlineLevel="0" collapsed="false">
      <c r="A6570" s="154" t="n">
        <v>37370</v>
      </c>
      <c r="B6570" s="155" t="s">
        <v>1443</v>
      </c>
      <c r="C6570" s="148" t="str">
        <f aca="false">VLOOKUP($A6570,INSUMOS_AUX!$A$3:$H$813,3,0)</f>
        <v>MAT.</v>
      </c>
      <c r="D6570" s="156" t="s">
        <v>1444</v>
      </c>
      <c r="E6570" s="154" t="n">
        <v>0.3726</v>
      </c>
      <c r="F6570" s="149" t="n">
        <f aca="false">IF(C6570="MAT.",VLOOKUP(A6570,INSUMOS_AUX!$A$3:$H$813,6,0),0)</f>
        <v>3.32</v>
      </c>
      <c r="G6570" s="149" t="n">
        <f aca="false">IF(C6570="M.O.",VLOOKUP(A6570,INSUMOS_AUX!A:F,6,0),0)</f>
        <v>0</v>
      </c>
    </row>
    <row r="6571" customFormat="false" ht="21" hidden="false" customHeight="false" outlineLevel="0" collapsed="false">
      <c r="A6571" s="154" t="n">
        <v>43484</v>
      </c>
      <c r="B6571" s="155" t="s">
        <v>1523</v>
      </c>
      <c r="C6571" s="148" t="str">
        <f aca="false">VLOOKUP($A6571,INSUMOS_AUX!$A$3:$H$813,3,0)</f>
        <v>MAT.</v>
      </c>
      <c r="D6571" s="156" t="s">
        <v>1444</v>
      </c>
      <c r="E6571" s="154" t="n">
        <v>0.3726</v>
      </c>
      <c r="F6571" s="149" t="n">
        <f aca="false">IF(C6571="MAT.",VLOOKUP(A6571,INSUMOS_AUX!$A$3:$H$813,6,0),0)</f>
        <v>1.26</v>
      </c>
      <c r="G6571" s="149" t="n">
        <f aca="false">IF(C6571="M.O.",VLOOKUP(A6571,INSUMOS_AUX!A:F,6,0),0)</f>
        <v>0</v>
      </c>
    </row>
    <row r="6572" customFormat="false" ht="21" hidden="false" customHeight="false" outlineLevel="0" collapsed="false">
      <c r="A6572" s="154" t="n">
        <v>37372</v>
      </c>
      <c r="B6572" s="155" t="s">
        <v>1446</v>
      </c>
      <c r="C6572" s="148" t="str">
        <f aca="false">VLOOKUP($A6572,INSUMOS_AUX!$A$3:$H$813,3,0)</f>
        <v>MAT.</v>
      </c>
      <c r="D6572" s="156" t="s">
        <v>1444</v>
      </c>
      <c r="E6572" s="154" t="n">
        <v>0.3726</v>
      </c>
      <c r="F6572" s="149" t="n">
        <f aca="false">IF(C6572="MAT.",VLOOKUP(A6572,INSUMOS_AUX!$A$3:$H$813,6,0),0)</f>
        <v>1.43</v>
      </c>
      <c r="G6572" s="149" t="n">
        <f aca="false">IF(C6572="M.O.",VLOOKUP(A6572,INSUMOS_AUX!A:F,6,0),0)</f>
        <v>0</v>
      </c>
    </row>
    <row r="6573" customFormat="false" ht="21" hidden="false" customHeight="false" outlineLevel="0" collapsed="false">
      <c r="A6573" s="154" t="n">
        <v>43460</v>
      </c>
      <c r="B6573" s="155" t="s">
        <v>1524</v>
      </c>
      <c r="C6573" s="148" t="str">
        <f aca="false">VLOOKUP($A6573,INSUMOS_AUX!$A$3:$H$813,3,0)</f>
        <v>MAT.</v>
      </c>
      <c r="D6573" s="156" t="s">
        <v>1444</v>
      </c>
      <c r="E6573" s="154" t="n">
        <v>0.3726</v>
      </c>
      <c r="F6573" s="149" t="n">
        <f aca="false">IF(C6573="MAT.",VLOOKUP(A6573,INSUMOS_AUX!$A$3:$H$813,6,0),0)</f>
        <v>0.86</v>
      </c>
      <c r="G6573" s="149" t="n">
        <f aca="false">IF(C6573="M.O.",VLOOKUP(A6573,INSUMOS_AUX!A:F,6,0),0)</f>
        <v>0</v>
      </c>
    </row>
    <row r="6574" customFormat="false" ht="21" hidden="false" customHeight="false" outlineLevel="0" collapsed="false">
      <c r="A6574" s="154" t="n">
        <v>37373</v>
      </c>
      <c r="B6574" s="155" t="s">
        <v>1448</v>
      </c>
      <c r="C6574" s="148" t="str">
        <f aca="false">VLOOKUP($A6574,INSUMOS_AUX!$A$3:$H$813,3,0)</f>
        <v>MAT.</v>
      </c>
      <c r="D6574" s="156" t="s">
        <v>1444</v>
      </c>
      <c r="E6574" s="154" t="n">
        <v>0.3726</v>
      </c>
      <c r="F6574" s="149" t="n">
        <f aca="false">IF(C6574="MAT.",VLOOKUP(A6574,INSUMOS_AUX!$A$3:$H$813,6,0),0)</f>
        <v>0.08</v>
      </c>
      <c r="G6574" s="149" t="n">
        <f aca="false">IF(C6574="M.O.",VLOOKUP(A6574,INSUMOS_AUX!A:F,6,0),0)</f>
        <v>0</v>
      </c>
    </row>
    <row r="6575" customFormat="false" ht="21" hidden="false" customHeight="false" outlineLevel="0" collapsed="false">
      <c r="A6575" s="154" t="n">
        <v>37371</v>
      </c>
      <c r="B6575" s="155" t="s">
        <v>1449</v>
      </c>
      <c r="C6575" s="148" t="str">
        <f aca="false">VLOOKUP($A6575,INSUMOS_AUX!$A$3:$H$813,3,0)</f>
        <v>MAT.</v>
      </c>
      <c r="D6575" s="156" t="s">
        <v>1444</v>
      </c>
      <c r="E6575" s="154" t="n">
        <v>0.3726</v>
      </c>
      <c r="F6575" s="149" t="n">
        <f aca="false">IF(C6575="MAT.",VLOOKUP(A6575,INSUMOS_AUX!$A$3:$H$813,6,0),0)</f>
        <v>0.59</v>
      </c>
      <c r="G6575" s="149" t="n">
        <f aca="false">IF(C6575="M.O.",VLOOKUP(A6575,INSUMOS_AUX!A:F,6,0),0)</f>
        <v>0</v>
      </c>
    </row>
    <row r="6576" customFormat="false" ht="21" hidden="false" customHeight="false" outlineLevel="0" collapsed="false">
      <c r="A6576" s="154" t="n">
        <v>11855</v>
      </c>
      <c r="B6576" s="155" t="s">
        <v>2639</v>
      </c>
      <c r="C6576" s="148" t="str">
        <f aca="false">VLOOKUP($A6576,INSUMOS_AUX!$A$3:$H$813,3,0)</f>
        <v>MAT.</v>
      </c>
      <c r="D6576" s="156" t="s">
        <v>31</v>
      </c>
      <c r="E6576" s="154" t="n">
        <v>1</v>
      </c>
      <c r="F6576" s="149" t="n">
        <f aca="false">IF(C6576="MAT.",VLOOKUP(A6576,INSUMOS_AUX!$A$3:$H$813,6,0),0)</f>
        <v>22.38</v>
      </c>
      <c r="G6576" s="149" t="n">
        <f aca="false">IF(C6576="M.O.",VLOOKUP(A6576,INSUMOS_AUX!A:F,6,0),0)</f>
        <v>0</v>
      </c>
    </row>
    <row r="6577" customFormat="false" ht="15" hidden="false" customHeight="false" outlineLevel="0" collapsed="false">
      <c r="A6577" s="154" t="n">
        <v>247</v>
      </c>
      <c r="B6577" s="155" t="s">
        <v>1554</v>
      </c>
      <c r="C6577" s="148" t="str">
        <f aca="false">VLOOKUP($A6577,INSUMOS_AUX!$A$3:$H$813,3,0)</f>
        <v>M.O.</v>
      </c>
      <c r="D6577" s="156" t="s">
        <v>1444</v>
      </c>
      <c r="E6577" s="154" t="n">
        <v>0.193252716</v>
      </c>
      <c r="F6577" s="149" t="n">
        <f aca="false">IF(C6577="MAT.",VLOOKUP(A6577,INSUMOS_AUX!$A$3:$H$813,6,0),0)</f>
        <v>0</v>
      </c>
      <c r="G6577" s="149" t="n">
        <f aca="false">IF(C6577="M.O.",VLOOKUP(A6577,INSUMOS_AUX!A:F,6,0),0)</f>
        <v>13.26</v>
      </c>
    </row>
    <row r="6578" customFormat="false" ht="15" hidden="false" customHeight="false" outlineLevel="0" collapsed="false">
      <c r="A6578" s="154" t="n">
        <v>2436</v>
      </c>
      <c r="B6578" s="155" t="s">
        <v>1557</v>
      </c>
      <c r="C6578" s="148" t="str">
        <f aca="false">VLOOKUP($A6578,INSUMOS_AUX!$A$3:$H$813,3,0)</f>
        <v>M.O.</v>
      </c>
      <c r="D6578" s="156" t="s">
        <v>1444</v>
      </c>
      <c r="E6578" s="154" t="n">
        <v>0.193252716</v>
      </c>
      <c r="F6578" s="149" t="n">
        <f aca="false">IF(C6578="MAT.",VLOOKUP(A6578,INSUMOS_AUX!$A$3:$H$813,6,0),0)</f>
        <v>0</v>
      </c>
      <c r="G6578" s="149" t="n">
        <f aca="false">IF(C6578="M.O.",VLOOKUP(A6578,INSUMOS_AUX!A:F,6,0),0)</f>
        <v>20.22</v>
      </c>
    </row>
    <row r="6579" customFormat="false" ht="21" hidden="false" customHeight="false" outlineLevel="0" collapsed="false">
      <c r="A6579" s="150" t="s">
        <v>1119</v>
      </c>
      <c r="B6579" s="151" t="s">
        <v>2640</v>
      </c>
      <c r="C6579" s="152" t="s">
        <v>59</v>
      </c>
      <c r="D6579" s="152" t="s">
        <v>31</v>
      </c>
      <c r="E6579" s="150"/>
      <c r="F6579" s="153" t="n">
        <f aca="false">(SUMPRODUCT($E6580:$E6589,F6580:F6589))*1</f>
        <v>85.263788</v>
      </c>
      <c r="G6579" s="153" t="n">
        <f aca="false">(SUMPRODUCT($E6580:$E6589,G6580:G6589))*1</f>
        <v>1.25306803752</v>
      </c>
    </row>
    <row r="6580" customFormat="false" ht="21" hidden="false" customHeight="false" outlineLevel="0" collapsed="false">
      <c r="A6580" s="154" t="n">
        <v>37370</v>
      </c>
      <c r="B6580" s="155" t="s">
        <v>1443</v>
      </c>
      <c r="C6580" s="148" t="str">
        <f aca="false">VLOOKUP($A6580,INSUMOS_AUX!$A$3:$H$813,3,0)</f>
        <v>MAT.</v>
      </c>
      <c r="D6580" s="156" t="s">
        <v>1444</v>
      </c>
      <c r="E6580" s="154" t="n">
        <v>0.1822</v>
      </c>
      <c r="F6580" s="149" t="n">
        <f aca="false">IF(C6580="MAT.",VLOOKUP(A6580,INSUMOS_AUX!$A$3:$H$813,6,0),0)</f>
        <v>3.32</v>
      </c>
      <c r="G6580" s="149" t="n">
        <f aca="false">IF(C6580="M.O.",VLOOKUP(A6580,INSUMOS_AUX!A:F,6,0),0)</f>
        <v>0</v>
      </c>
    </row>
    <row r="6581" customFormat="false" ht="21" hidden="false" customHeight="false" outlineLevel="0" collapsed="false">
      <c r="A6581" s="154" t="n">
        <v>43484</v>
      </c>
      <c r="B6581" s="155" t="s">
        <v>1523</v>
      </c>
      <c r="C6581" s="148" t="str">
        <f aca="false">VLOOKUP($A6581,INSUMOS_AUX!$A$3:$H$813,3,0)</f>
        <v>MAT.</v>
      </c>
      <c r="D6581" s="156" t="s">
        <v>1444</v>
      </c>
      <c r="E6581" s="154" t="n">
        <v>0.1822</v>
      </c>
      <c r="F6581" s="149" t="n">
        <f aca="false">IF(C6581="MAT.",VLOOKUP(A6581,INSUMOS_AUX!$A$3:$H$813,6,0),0)</f>
        <v>1.26</v>
      </c>
      <c r="G6581" s="149" t="n">
        <f aca="false">IF(C6581="M.O.",VLOOKUP(A6581,INSUMOS_AUX!A:F,6,0),0)</f>
        <v>0</v>
      </c>
    </row>
    <row r="6582" customFormat="false" ht="21" hidden="false" customHeight="false" outlineLevel="0" collapsed="false">
      <c r="A6582" s="154" t="n">
        <v>37372</v>
      </c>
      <c r="B6582" s="155" t="s">
        <v>1446</v>
      </c>
      <c r="C6582" s="148" t="str">
        <f aca="false">VLOOKUP($A6582,INSUMOS_AUX!$A$3:$H$813,3,0)</f>
        <v>MAT.</v>
      </c>
      <c r="D6582" s="156" t="s">
        <v>1444</v>
      </c>
      <c r="E6582" s="154" t="n">
        <v>0.1822</v>
      </c>
      <c r="F6582" s="149" t="n">
        <f aca="false">IF(C6582="MAT.",VLOOKUP(A6582,INSUMOS_AUX!$A$3:$H$813,6,0),0)</f>
        <v>1.43</v>
      </c>
      <c r="G6582" s="149" t="n">
        <f aca="false">IF(C6582="M.O.",VLOOKUP(A6582,INSUMOS_AUX!A:F,6,0),0)</f>
        <v>0</v>
      </c>
    </row>
    <row r="6583" customFormat="false" ht="21" hidden="false" customHeight="false" outlineLevel="0" collapsed="false">
      <c r="A6583" s="154" t="n">
        <v>43460</v>
      </c>
      <c r="B6583" s="155" t="s">
        <v>1524</v>
      </c>
      <c r="C6583" s="148" t="str">
        <f aca="false">VLOOKUP($A6583,INSUMOS_AUX!$A$3:$H$813,3,0)</f>
        <v>MAT.</v>
      </c>
      <c r="D6583" s="156" t="s">
        <v>1444</v>
      </c>
      <c r="E6583" s="154" t="n">
        <v>0.1822</v>
      </c>
      <c r="F6583" s="149" t="n">
        <f aca="false">IF(C6583="MAT.",VLOOKUP(A6583,INSUMOS_AUX!$A$3:$H$813,6,0),0)</f>
        <v>0.86</v>
      </c>
      <c r="G6583" s="149" t="n">
        <f aca="false">IF(C6583="M.O.",VLOOKUP(A6583,INSUMOS_AUX!A:F,6,0),0)</f>
        <v>0</v>
      </c>
    </row>
    <row r="6584" customFormat="false" ht="21" hidden="false" customHeight="false" outlineLevel="0" collapsed="false">
      <c r="A6584" s="154" t="n">
        <v>37373</v>
      </c>
      <c r="B6584" s="155" t="s">
        <v>1448</v>
      </c>
      <c r="C6584" s="148" t="str">
        <f aca="false">VLOOKUP($A6584,INSUMOS_AUX!$A$3:$H$813,3,0)</f>
        <v>MAT.</v>
      </c>
      <c r="D6584" s="156" t="s">
        <v>1444</v>
      </c>
      <c r="E6584" s="154" t="n">
        <v>0.1822</v>
      </c>
      <c r="F6584" s="149" t="n">
        <f aca="false">IF(C6584="MAT.",VLOOKUP(A6584,INSUMOS_AUX!$A$3:$H$813,6,0),0)</f>
        <v>0.08</v>
      </c>
      <c r="G6584" s="149" t="n">
        <f aca="false">IF(C6584="M.O.",VLOOKUP(A6584,INSUMOS_AUX!A:F,6,0),0)</f>
        <v>0</v>
      </c>
    </row>
    <row r="6585" customFormat="false" ht="21" hidden="false" customHeight="false" outlineLevel="0" collapsed="false">
      <c r="A6585" s="154" t="n">
        <v>37371</v>
      </c>
      <c r="B6585" s="155" t="s">
        <v>1449</v>
      </c>
      <c r="C6585" s="148" t="str">
        <f aca="false">VLOOKUP($A6585,INSUMOS_AUX!$A$3:$H$813,3,0)</f>
        <v>MAT.</v>
      </c>
      <c r="D6585" s="156" t="s">
        <v>1444</v>
      </c>
      <c r="E6585" s="154" t="n">
        <v>0.1822</v>
      </c>
      <c r="F6585" s="149" t="n">
        <f aca="false">IF(C6585="MAT.",VLOOKUP(A6585,INSUMOS_AUX!$A$3:$H$813,6,0),0)</f>
        <v>0.59</v>
      </c>
      <c r="G6585" s="149" t="n">
        <f aca="false">IF(C6585="M.O.",VLOOKUP(A6585,INSUMOS_AUX!A:F,6,0),0)</f>
        <v>0</v>
      </c>
    </row>
    <row r="6586" customFormat="false" ht="21" hidden="false" customHeight="false" outlineLevel="0" collapsed="false">
      <c r="A6586" s="154" t="n">
        <v>39470</v>
      </c>
      <c r="B6586" s="155" t="s">
        <v>2641</v>
      </c>
      <c r="C6586" s="148" t="str">
        <f aca="false">VLOOKUP($A6586,INSUMOS_AUX!$A$3:$H$813,3,0)</f>
        <v>MAT.</v>
      </c>
      <c r="D6586" s="156" t="s">
        <v>31</v>
      </c>
      <c r="E6586" s="154" t="n">
        <v>1</v>
      </c>
      <c r="F6586" s="149" t="n">
        <f aca="false">IF(C6586="MAT.",VLOOKUP(A6586,INSUMOS_AUX!$A$3:$H$813,6,0),0)</f>
        <v>81.8</v>
      </c>
      <c r="G6586" s="149" t="n">
        <f aca="false">IF(C6586="M.O.",VLOOKUP(A6586,INSUMOS_AUX!A:F,6,0),0)</f>
        <v>0</v>
      </c>
    </row>
    <row r="6587" customFormat="false" ht="21" hidden="false" customHeight="false" outlineLevel="0" collapsed="false">
      <c r="A6587" s="154" t="n">
        <v>1575</v>
      </c>
      <c r="B6587" s="155" t="s">
        <v>2481</v>
      </c>
      <c r="C6587" s="148" t="str">
        <f aca="false">VLOOKUP($A6587,INSUMOS_AUX!$A$3:$H$813,3,0)</f>
        <v>MAT.</v>
      </c>
      <c r="D6587" s="156" t="s">
        <v>31</v>
      </c>
      <c r="E6587" s="154" t="n">
        <v>1</v>
      </c>
      <c r="F6587" s="149" t="n">
        <f aca="false">IF(C6587="MAT.",VLOOKUP(A6587,INSUMOS_AUX!$A$3:$H$813,6,0),0)</f>
        <v>2.09</v>
      </c>
      <c r="G6587" s="149" t="n">
        <f aca="false">IF(C6587="M.O.",VLOOKUP(A6587,INSUMOS_AUX!A:F,6,0),0)</f>
        <v>0</v>
      </c>
    </row>
    <row r="6588" customFormat="false" ht="15" hidden="false" customHeight="false" outlineLevel="0" collapsed="false">
      <c r="A6588" s="154" t="n">
        <v>247</v>
      </c>
      <c r="B6588" s="155" t="s">
        <v>1554</v>
      </c>
      <c r="C6588" s="148" t="str">
        <f aca="false">VLOOKUP($A6588,INSUMOS_AUX!$A$3:$H$813,3,0)</f>
        <v>M.O.</v>
      </c>
      <c r="D6588" s="156" t="s">
        <v>1444</v>
      </c>
      <c r="E6588" s="154" t="n">
        <v>0.094499852</v>
      </c>
      <c r="F6588" s="149" t="n">
        <f aca="false">IF(C6588="MAT.",VLOOKUP(A6588,INSUMOS_AUX!$A$3:$H$813,6,0),0)</f>
        <v>0</v>
      </c>
      <c r="G6588" s="149" t="n">
        <f aca="false">IF(C6588="M.O.",VLOOKUP(A6588,INSUMOS_AUX!A:F,6,0),0)</f>
        <v>13.26</v>
      </c>
    </row>
    <row r="6589" customFormat="false" ht="15" hidden="false" customHeight="false" outlineLevel="0" collapsed="false">
      <c r="A6589" s="154" t="n">
        <v>2436</v>
      </c>
      <c r="B6589" s="155" t="s">
        <v>1557</v>
      </c>
      <c r="C6589" s="148" t="s">
        <v>59</v>
      </c>
      <c r="D6589" s="156" t="s">
        <v>1444</v>
      </c>
      <c r="E6589" s="154" t="n">
        <v>0.094499852</v>
      </c>
      <c r="F6589" s="149" t="n">
        <f aca="false">IF(C6589="MAT.",VLOOKUP(A6589,INSUMOS_AUX!$A$3:$H$813,6,0),0)</f>
        <v>0</v>
      </c>
      <c r="G6589" s="149" t="n">
        <f aca="false">IF(C6589="M.O.",VLOOKUP(A6589,INSUMOS_AUX!A:F,6,0),0)</f>
        <v>0</v>
      </c>
    </row>
    <row r="6590" customFormat="false" ht="21" hidden="false" customHeight="false" outlineLevel="0" collapsed="false">
      <c r="A6590" s="150" t="s">
        <v>1121</v>
      </c>
      <c r="B6590" s="151" t="s">
        <v>2642</v>
      </c>
      <c r="C6590" s="152" t="s">
        <v>59</v>
      </c>
      <c r="D6590" s="152" t="s">
        <v>31</v>
      </c>
      <c r="E6590" s="150"/>
      <c r="F6590" s="153" t="n">
        <f aca="false">(SUMPRODUCT($E6591:$E6600,F6591:F6600))*1</f>
        <v>111.449804</v>
      </c>
      <c r="G6590" s="153" t="n">
        <f aca="false">(SUMPRODUCT($E6591:$E6600,G6591:G6600))*1</f>
        <v>2.30256409968</v>
      </c>
    </row>
    <row r="6591" customFormat="false" ht="21" hidden="false" customHeight="false" outlineLevel="0" collapsed="false">
      <c r="A6591" s="154" t="n">
        <v>37370</v>
      </c>
      <c r="B6591" s="155" t="s">
        <v>1443</v>
      </c>
      <c r="C6591" s="148" t="str">
        <f aca="false">VLOOKUP($A6591,INSUMOS_AUX!$A$3:$H$813,3,0)</f>
        <v>MAT.</v>
      </c>
      <c r="D6591" s="156" t="s">
        <v>1444</v>
      </c>
      <c r="E6591" s="154" t="n">
        <v>0.1326</v>
      </c>
      <c r="F6591" s="149" t="n">
        <f aca="false">IF(C6591="MAT.",VLOOKUP(A6591,INSUMOS_AUX!$A$3:$H$813,6,0),0)</f>
        <v>3.32</v>
      </c>
      <c r="G6591" s="149" t="n">
        <f aca="false">IF(C6591="M.O.",VLOOKUP(A6591,INSUMOS_AUX!A:F,6,0),0)</f>
        <v>0</v>
      </c>
    </row>
    <row r="6592" customFormat="false" ht="21" hidden="false" customHeight="false" outlineLevel="0" collapsed="false">
      <c r="A6592" s="154" t="n">
        <v>43484</v>
      </c>
      <c r="B6592" s="155" t="s">
        <v>1523</v>
      </c>
      <c r="C6592" s="148" t="str">
        <f aca="false">VLOOKUP($A6592,INSUMOS_AUX!$A$3:$H$813,3,0)</f>
        <v>MAT.</v>
      </c>
      <c r="D6592" s="156" t="s">
        <v>1444</v>
      </c>
      <c r="E6592" s="154" t="n">
        <v>0.1326</v>
      </c>
      <c r="F6592" s="149" t="n">
        <f aca="false">IF(C6592="MAT.",VLOOKUP(A6592,INSUMOS_AUX!$A$3:$H$813,6,0),0)</f>
        <v>1.26</v>
      </c>
      <c r="G6592" s="149" t="n">
        <f aca="false">IF(C6592="M.O.",VLOOKUP(A6592,INSUMOS_AUX!A:F,6,0),0)</f>
        <v>0</v>
      </c>
    </row>
    <row r="6593" customFormat="false" ht="21" hidden="false" customHeight="false" outlineLevel="0" collapsed="false">
      <c r="A6593" s="154" t="n">
        <v>37372</v>
      </c>
      <c r="B6593" s="155" t="s">
        <v>1446</v>
      </c>
      <c r="C6593" s="148" t="str">
        <f aca="false">VLOOKUP($A6593,INSUMOS_AUX!$A$3:$H$813,3,0)</f>
        <v>MAT.</v>
      </c>
      <c r="D6593" s="156" t="s">
        <v>1444</v>
      </c>
      <c r="E6593" s="154" t="n">
        <v>0.1326</v>
      </c>
      <c r="F6593" s="149" t="n">
        <f aca="false">IF(C6593="MAT.",VLOOKUP(A6593,INSUMOS_AUX!$A$3:$H$813,6,0),0)</f>
        <v>1.43</v>
      </c>
      <c r="G6593" s="149" t="n">
        <f aca="false">IF(C6593="M.O.",VLOOKUP(A6593,INSUMOS_AUX!A:F,6,0),0)</f>
        <v>0</v>
      </c>
    </row>
    <row r="6594" customFormat="false" ht="21" hidden="false" customHeight="false" outlineLevel="0" collapsed="false">
      <c r="A6594" s="154" t="n">
        <v>43460</v>
      </c>
      <c r="B6594" s="155" t="s">
        <v>1524</v>
      </c>
      <c r="C6594" s="148" t="str">
        <f aca="false">VLOOKUP($A6594,INSUMOS_AUX!$A$3:$H$813,3,0)</f>
        <v>MAT.</v>
      </c>
      <c r="D6594" s="156" t="s">
        <v>1444</v>
      </c>
      <c r="E6594" s="154" t="n">
        <v>0.1326</v>
      </c>
      <c r="F6594" s="149" t="n">
        <f aca="false">IF(C6594="MAT.",VLOOKUP(A6594,INSUMOS_AUX!$A$3:$H$813,6,0),0)</f>
        <v>0.86</v>
      </c>
      <c r="G6594" s="149" t="n">
        <f aca="false">IF(C6594="M.O.",VLOOKUP(A6594,INSUMOS_AUX!A:F,6,0),0)</f>
        <v>0</v>
      </c>
    </row>
    <row r="6595" customFormat="false" ht="21" hidden="false" customHeight="false" outlineLevel="0" collapsed="false">
      <c r="A6595" s="154" t="n">
        <v>37373</v>
      </c>
      <c r="B6595" s="155" t="s">
        <v>1448</v>
      </c>
      <c r="C6595" s="148" t="str">
        <f aca="false">VLOOKUP($A6595,INSUMOS_AUX!$A$3:$H$813,3,0)</f>
        <v>MAT.</v>
      </c>
      <c r="D6595" s="156" t="s">
        <v>1444</v>
      </c>
      <c r="E6595" s="154" t="n">
        <v>0.1326</v>
      </c>
      <c r="F6595" s="149" t="n">
        <f aca="false">IF(C6595="MAT.",VLOOKUP(A6595,INSUMOS_AUX!$A$3:$H$813,6,0),0)</f>
        <v>0.08</v>
      </c>
      <c r="G6595" s="149" t="n">
        <f aca="false">IF(C6595="M.O.",VLOOKUP(A6595,INSUMOS_AUX!A:F,6,0),0)</f>
        <v>0</v>
      </c>
    </row>
    <row r="6596" customFormat="false" ht="21" hidden="false" customHeight="false" outlineLevel="0" collapsed="false">
      <c r="A6596" s="154" t="n">
        <v>37371</v>
      </c>
      <c r="B6596" s="155" t="s">
        <v>1449</v>
      </c>
      <c r="C6596" s="148" t="str">
        <f aca="false">VLOOKUP($A6596,INSUMOS_AUX!$A$3:$H$813,3,0)</f>
        <v>MAT.</v>
      </c>
      <c r="D6596" s="156" t="s">
        <v>1444</v>
      </c>
      <c r="E6596" s="154" t="n">
        <v>0.1326</v>
      </c>
      <c r="F6596" s="149" t="n">
        <f aca="false">IF(C6596="MAT.",VLOOKUP(A6596,INSUMOS_AUX!$A$3:$H$813,6,0),0)</f>
        <v>0.59</v>
      </c>
      <c r="G6596" s="149" t="n">
        <f aca="false">IF(C6596="M.O.",VLOOKUP(A6596,INSUMOS_AUX!A:F,6,0),0)</f>
        <v>0</v>
      </c>
    </row>
    <row r="6597" customFormat="false" ht="21" hidden="false" customHeight="false" outlineLevel="0" collapsed="false">
      <c r="A6597" s="154" t="s">
        <v>2643</v>
      </c>
      <c r="B6597" s="155" t="s">
        <v>2644</v>
      </c>
      <c r="C6597" s="148" t="str">
        <f aca="false">VLOOKUP($A6597,INSUMOS_AUX!$A$3:$H$813,3,0)</f>
        <v>MAT.</v>
      </c>
      <c r="D6597" s="156" t="s">
        <v>31</v>
      </c>
      <c r="E6597" s="154" t="n">
        <v>1</v>
      </c>
      <c r="F6597" s="149" t="n">
        <f aca="false">IF(C6597="MAT.",VLOOKUP(A6597,INSUMOS_AUX!$A$3:$H$813,6,0),0)</f>
        <v>108.36</v>
      </c>
      <c r="G6597" s="149" t="n">
        <f aca="false">IF(C6597="M.O.",VLOOKUP(A6597,INSUMOS_AUX!A:F,6,0),0)</f>
        <v>0</v>
      </c>
    </row>
    <row r="6598" customFormat="false" ht="21" hidden="false" customHeight="false" outlineLevel="0" collapsed="false">
      <c r="A6598" s="154" t="n">
        <v>1575</v>
      </c>
      <c r="B6598" s="155" t="s">
        <v>2481</v>
      </c>
      <c r="C6598" s="148" t="str">
        <f aca="false">VLOOKUP($A6598,INSUMOS_AUX!$A$3:$H$813,3,0)</f>
        <v>MAT.</v>
      </c>
      <c r="D6598" s="156" t="s">
        <v>31</v>
      </c>
      <c r="E6598" s="154" t="n">
        <v>1</v>
      </c>
      <c r="F6598" s="149" t="n">
        <f aca="false">IF(C6598="MAT.",VLOOKUP(A6598,INSUMOS_AUX!$A$3:$H$813,6,0),0)</f>
        <v>2.09</v>
      </c>
      <c r="G6598" s="149" t="n">
        <f aca="false">IF(C6598="M.O.",VLOOKUP(A6598,INSUMOS_AUX!A:F,6,0),0)</f>
        <v>0</v>
      </c>
    </row>
    <row r="6599" customFormat="false" ht="15" hidden="false" customHeight="false" outlineLevel="0" collapsed="false">
      <c r="A6599" s="154" t="n">
        <v>247</v>
      </c>
      <c r="B6599" s="155" t="s">
        <v>1554</v>
      </c>
      <c r="C6599" s="148" t="str">
        <f aca="false">VLOOKUP($A6599,INSUMOS_AUX!$A$3:$H$813,3,0)</f>
        <v>M.O.</v>
      </c>
      <c r="D6599" s="156" t="s">
        <v>1444</v>
      </c>
      <c r="E6599" s="154" t="n">
        <v>0.068774316</v>
      </c>
      <c r="F6599" s="149" t="n">
        <f aca="false">IF(C6599="MAT.",VLOOKUP(A6599,INSUMOS_AUX!$A$3:$H$813,6,0),0)</f>
        <v>0</v>
      </c>
      <c r="G6599" s="149" t="n">
        <f aca="false">IF(C6599="M.O.",VLOOKUP(A6599,INSUMOS_AUX!A:F,6,0),0)</f>
        <v>13.26</v>
      </c>
    </row>
    <row r="6600" customFormat="false" ht="15" hidden="false" customHeight="false" outlineLevel="0" collapsed="false">
      <c r="A6600" s="154" t="n">
        <v>2436</v>
      </c>
      <c r="B6600" s="155" t="s">
        <v>1557</v>
      </c>
      <c r="C6600" s="148" t="str">
        <f aca="false">VLOOKUP($A6600,INSUMOS_AUX!$A$3:$H$813,3,0)</f>
        <v>M.O.</v>
      </c>
      <c r="D6600" s="156" t="s">
        <v>1444</v>
      </c>
      <c r="E6600" s="154" t="n">
        <v>0.068774316</v>
      </c>
      <c r="F6600" s="149" t="n">
        <f aca="false">IF(C6600="MAT.",VLOOKUP(A6600,INSUMOS_AUX!$A$3:$H$813,6,0),0)</f>
        <v>0</v>
      </c>
      <c r="G6600" s="149" t="n">
        <f aca="false">IF(C6600="M.O.",VLOOKUP(A6600,INSUMOS_AUX!A:F,6,0),0)</f>
        <v>20.22</v>
      </c>
    </row>
    <row r="6601" customFormat="false" ht="21" hidden="false" customHeight="false" outlineLevel="0" collapsed="false">
      <c r="A6601" s="150" t="n">
        <v>97599</v>
      </c>
      <c r="B6601" s="151" t="s">
        <v>2645</v>
      </c>
      <c r="C6601" s="152" t="s">
        <v>59</v>
      </c>
      <c r="D6601" s="152" t="s">
        <v>31</v>
      </c>
      <c r="E6601" s="150"/>
      <c r="F6601" s="153" t="n">
        <f aca="false">(SUMPRODUCT($E6602:$E6610,F6602:F6610))*1</f>
        <v>13.296687748</v>
      </c>
      <c r="G6601" s="153" t="n">
        <f aca="false">(SUMPRODUCT($E6602:$E6610,G6602:G6610))*1</f>
        <v>3.7020187356</v>
      </c>
    </row>
    <row r="6602" customFormat="false" ht="21" hidden="false" customHeight="false" outlineLevel="0" collapsed="false">
      <c r="A6602" s="154" t="n">
        <v>37370</v>
      </c>
      <c r="B6602" s="155" t="s">
        <v>1443</v>
      </c>
      <c r="C6602" s="148" t="str">
        <f aca="false">VLOOKUP($A6602,INSUMOS_AUX!$A$3:$H$813,3,0)</f>
        <v>MAT.</v>
      </c>
      <c r="D6602" s="156" t="s">
        <v>1444</v>
      </c>
      <c r="E6602" s="154" t="n">
        <v>0.2316562</v>
      </c>
      <c r="F6602" s="149" t="n">
        <f aca="false">IF(C6602="MAT.",VLOOKUP(A6602,INSUMOS_AUX!$A$3:$H$813,6,0),0)</f>
        <v>3.32</v>
      </c>
      <c r="G6602" s="149" t="n">
        <f aca="false">IF(C6602="M.O.",VLOOKUP(A6602,INSUMOS_AUX!A:F,6,0),0)</f>
        <v>0</v>
      </c>
    </row>
    <row r="6603" customFormat="false" ht="21" hidden="false" customHeight="false" outlineLevel="0" collapsed="false">
      <c r="A6603" s="154" t="n">
        <v>43484</v>
      </c>
      <c r="B6603" s="155" t="s">
        <v>1523</v>
      </c>
      <c r="C6603" s="148" t="str">
        <f aca="false">VLOOKUP($A6603,INSUMOS_AUX!$A$3:$H$813,3,0)</f>
        <v>MAT.</v>
      </c>
      <c r="D6603" s="156" t="s">
        <v>1444</v>
      </c>
      <c r="E6603" s="154" t="n">
        <v>0.2316562</v>
      </c>
      <c r="F6603" s="149" t="n">
        <f aca="false">IF(C6603="MAT.",VLOOKUP(A6603,INSUMOS_AUX!$A$3:$H$813,6,0),0)</f>
        <v>1.26</v>
      </c>
      <c r="G6603" s="149" t="n">
        <f aca="false">IF(C6603="M.O.",VLOOKUP(A6603,INSUMOS_AUX!A:F,6,0),0)</f>
        <v>0</v>
      </c>
    </row>
    <row r="6604" customFormat="false" ht="21" hidden="false" customHeight="false" outlineLevel="0" collapsed="false">
      <c r="A6604" s="154" t="n">
        <v>37372</v>
      </c>
      <c r="B6604" s="155" t="s">
        <v>1446</v>
      </c>
      <c r="C6604" s="148" t="str">
        <f aca="false">VLOOKUP($A6604,INSUMOS_AUX!$A$3:$H$813,3,0)</f>
        <v>MAT.</v>
      </c>
      <c r="D6604" s="156" t="s">
        <v>1444</v>
      </c>
      <c r="E6604" s="154" t="n">
        <v>0.2316562</v>
      </c>
      <c r="F6604" s="149" t="n">
        <f aca="false">IF(C6604="MAT.",VLOOKUP(A6604,INSUMOS_AUX!$A$3:$H$813,6,0),0)</f>
        <v>1.43</v>
      </c>
      <c r="G6604" s="149" t="n">
        <f aca="false">IF(C6604="M.O.",VLOOKUP(A6604,INSUMOS_AUX!A:F,6,0),0)</f>
        <v>0</v>
      </c>
    </row>
    <row r="6605" customFormat="false" ht="21" hidden="false" customHeight="false" outlineLevel="0" collapsed="false">
      <c r="A6605" s="154" t="n">
        <v>43460</v>
      </c>
      <c r="B6605" s="155" t="s">
        <v>1524</v>
      </c>
      <c r="C6605" s="148" t="str">
        <f aca="false">VLOOKUP($A6605,INSUMOS_AUX!$A$3:$H$813,3,0)</f>
        <v>MAT.</v>
      </c>
      <c r="D6605" s="156" t="s">
        <v>1444</v>
      </c>
      <c r="E6605" s="154" t="n">
        <v>0.2316562</v>
      </c>
      <c r="F6605" s="149" t="n">
        <f aca="false">IF(C6605="MAT.",VLOOKUP(A6605,INSUMOS_AUX!$A$3:$H$813,6,0),0)</f>
        <v>0.86</v>
      </c>
      <c r="G6605" s="149" t="n">
        <f aca="false">IF(C6605="M.O.",VLOOKUP(A6605,INSUMOS_AUX!A:F,6,0),0)</f>
        <v>0</v>
      </c>
    </row>
    <row r="6606" customFormat="false" ht="21" hidden="false" customHeight="false" outlineLevel="0" collapsed="false">
      <c r="A6606" s="154" t="n">
        <v>37373</v>
      </c>
      <c r="B6606" s="155" t="s">
        <v>1448</v>
      </c>
      <c r="C6606" s="148" t="str">
        <f aca="false">VLOOKUP($A6606,INSUMOS_AUX!$A$3:$H$813,3,0)</f>
        <v>MAT.</v>
      </c>
      <c r="D6606" s="156" t="s">
        <v>1444</v>
      </c>
      <c r="E6606" s="154" t="n">
        <v>0.2316562</v>
      </c>
      <c r="F6606" s="149" t="n">
        <f aca="false">IF(C6606="MAT.",VLOOKUP(A6606,INSUMOS_AUX!$A$3:$H$813,6,0),0)</f>
        <v>0.08</v>
      </c>
      <c r="G6606" s="149" t="n">
        <f aca="false">IF(C6606="M.O.",VLOOKUP(A6606,INSUMOS_AUX!A:F,6,0),0)</f>
        <v>0</v>
      </c>
    </row>
    <row r="6607" customFormat="false" ht="21" hidden="false" customHeight="false" outlineLevel="0" collapsed="false">
      <c r="A6607" s="154" t="n">
        <v>37371</v>
      </c>
      <c r="B6607" s="155" t="s">
        <v>1449</v>
      </c>
      <c r="C6607" s="148" t="str">
        <f aca="false">VLOOKUP($A6607,INSUMOS_AUX!$A$3:$H$813,3,0)</f>
        <v>MAT.</v>
      </c>
      <c r="D6607" s="156" t="s">
        <v>1444</v>
      </c>
      <c r="E6607" s="154" t="n">
        <v>0.2316562</v>
      </c>
      <c r="F6607" s="149" t="n">
        <f aca="false">IF(C6607="MAT.",VLOOKUP(A6607,INSUMOS_AUX!$A$3:$H$813,6,0),0)</f>
        <v>0.59</v>
      </c>
      <c r="G6607" s="149" t="n">
        <f aca="false">IF(C6607="M.O.",VLOOKUP(A6607,INSUMOS_AUX!A:F,6,0),0)</f>
        <v>0</v>
      </c>
    </row>
    <row r="6608" customFormat="false" ht="21" hidden="false" customHeight="false" outlineLevel="0" collapsed="false">
      <c r="A6608" s="154" t="n">
        <v>38774</v>
      </c>
      <c r="B6608" s="155" t="s">
        <v>2646</v>
      </c>
      <c r="C6608" s="148" t="str">
        <f aca="false">VLOOKUP($A6608,INSUMOS_AUX!$A$3:$H$813,3,0)</f>
        <v>MAT.</v>
      </c>
      <c r="D6608" s="156" t="s">
        <v>31</v>
      </c>
      <c r="E6608" s="154" t="n">
        <v>1</v>
      </c>
      <c r="F6608" s="149" t="n">
        <f aca="false">IF(C6608="MAT.",VLOOKUP(A6608,INSUMOS_AUX!$A$3:$H$813,6,0),0)</f>
        <v>11.55</v>
      </c>
      <c r="G6608" s="149" t="n">
        <f aca="false">IF(C6608="M.O.",VLOOKUP(A6608,INSUMOS_AUX!A:F,6,0),0)</f>
        <v>0</v>
      </c>
    </row>
    <row r="6609" customFormat="false" ht="15" hidden="false" customHeight="false" outlineLevel="0" collapsed="false">
      <c r="A6609" s="154" t="n">
        <v>247</v>
      </c>
      <c r="B6609" s="155" t="s">
        <v>1554</v>
      </c>
      <c r="C6609" s="148" t="s">
        <v>59</v>
      </c>
      <c r="D6609" s="156" t="s">
        <v>1444</v>
      </c>
      <c r="E6609" s="154" t="n">
        <v>0.057214629384</v>
      </c>
      <c r="F6609" s="149" t="n">
        <f aca="false">IF(C6609="MAT.",VLOOKUP(A6609,INSUMOS_AUX!$A$3:$H$813,6,0),0)</f>
        <v>0</v>
      </c>
      <c r="G6609" s="149" t="n">
        <f aca="false">IF(C6609="M.O.",VLOOKUP(A6609,INSUMOS_AUX!A:F,6,0),0)</f>
        <v>0</v>
      </c>
    </row>
    <row r="6610" customFormat="false" ht="15" hidden="false" customHeight="false" outlineLevel="0" collapsed="false">
      <c r="A6610" s="154" t="n">
        <v>2436</v>
      </c>
      <c r="B6610" s="155" t="s">
        <v>1557</v>
      </c>
      <c r="C6610" s="148" t="str">
        <f aca="false">VLOOKUP($A6610,INSUMOS_AUX!$A$3:$H$813,3,0)</f>
        <v>M.O.</v>
      </c>
      <c r="D6610" s="156" t="s">
        <v>1444</v>
      </c>
      <c r="E6610" s="154" t="n">
        <v>0.18308698</v>
      </c>
      <c r="F6610" s="149" t="n">
        <f aca="false">IF(C6610="MAT.",VLOOKUP(A6610,INSUMOS_AUX!$A$3:$H$813,6,0),0)</f>
        <v>0</v>
      </c>
      <c r="G6610" s="149" t="n">
        <f aca="false">IF(C6610="M.O.",VLOOKUP(A6610,INSUMOS_AUX!A:F,6,0),0)</f>
        <v>20.22</v>
      </c>
    </row>
    <row r="6611" customFormat="false" ht="21" hidden="false" customHeight="false" outlineLevel="0" collapsed="false">
      <c r="A6611" s="150" t="s">
        <v>1127</v>
      </c>
      <c r="B6611" s="151" t="s">
        <v>2647</v>
      </c>
      <c r="C6611" s="152" t="s">
        <v>59</v>
      </c>
      <c r="D6611" s="152" t="s">
        <v>31</v>
      </c>
      <c r="E6611" s="150"/>
      <c r="F6611" s="153" t="n">
        <f aca="false">(SUMPRODUCT($E6612:$E6620,F6612:F6620))*1</f>
        <v>120.810718333333</v>
      </c>
      <c r="G6611" s="153" t="n">
        <f aca="false">(SUMPRODUCT($E6612:$E6620,G6612:G6620))*1</f>
        <v>4.79380633416</v>
      </c>
    </row>
    <row r="6612" customFormat="false" ht="21" hidden="false" customHeight="false" outlineLevel="0" collapsed="false">
      <c r="A6612" s="154" t="n">
        <v>37370</v>
      </c>
      <c r="B6612" s="155" t="s">
        <v>1443</v>
      </c>
      <c r="C6612" s="148" t="str">
        <f aca="false">VLOOKUP($A6612,INSUMOS_AUX!$A$3:$H$813,3,0)</f>
        <v>MAT.</v>
      </c>
      <c r="D6612" s="156" t="s">
        <v>1444</v>
      </c>
      <c r="E6612" s="154" t="n">
        <v>0.2543</v>
      </c>
      <c r="F6612" s="149" t="n">
        <f aca="false">IF(C6612="MAT.",VLOOKUP(A6612,INSUMOS_AUX!$A$3:$H$813,6,0),0)</f>
        <v>3.32</v>
      </c>
      <c r="G6612" s="149" t="n">
        <f aca="false">IF(C6612="M.O.",VLOOKUP(A6612,INSUMOS_AUX!A:F,6,0),0)</f>
        <v>0</v>
      </c>
    </row>
    <row r="6613" customFormat="false" ht="21" hidden="false" customHeight="false" outlineLevel="0" collapsed="false">
      <c r="A6613" s="154" t="n">
        <v>43484</v>
      </c>
      <c r="B6613" s="155" t="s">
        <v>1523</v>
      </c>
      <c r="C6613" s="148" t="str">
        <f aca="false">VLOOKUP($A6613,INSUMOS_AUX!$A$3:$H$813,3,0)</f>
        <v>MAT.</v>
      </c>
      <c r="D6613" s="156" t="s">
        <v>1444</v>
      </c>
      <c r="E6613" s="154" t="n">
        <v>0.2543</v>
      </c>
      <c r="F6613" s="149" t="n">
        <f aca="false">IF(C6613="MAT.",VLOOKUP(A6613,INSUMOS_AUX!$A$3:$H$813,6,0),0)</f>
        <v>1.26</v>
      </c>
      <c r="G6613" s="149" t="n">
        <f aca="false">IF(C6613="M.O.",VLOOKUP(A6613,INSUMOS_AUX!A:F,6,0),0)</f>
        <v>0</v>
      </c>
    </row>
    <row r="6614" customFormat="false" ht="21" hidden="false" customHeight="false" outlineLevel="0" collapsed="false">
      <c r="A6614" s="154" t="n">
        <v>37372</v>
      </c>
      <c r="B6614" s="155" t="s">
        <v>1446</v>
      </c>
      <c r="C6614" s="148" t="str">
        <f aca="false">VLOOKUP($A6614,INSUMOS_AUX!$A$3:$H$813,3,0)</f>
        <v>MAT.</v>
      </c>
      <c r="D6614" s="156" t="s">
        <v>1444</v>
      </c>
      <c r="E6614" s="154" t="n">
        <v>0.2543</v>
      </c>
      <c r="F6614" s="149" t="n">
        <f aca="false">IF(C6614="MAT.",VLOOKUP(A6614,INSUMOS_AUX!$A$3:$H$813,6,0),0)</f>
        <v>1.43</v>
      </c>
      <c r="G6614" s="149" t="n">
        <f aca="false">IF(C6614="M.O.",VLOOKUP(A6614,INSUMOS_AUX!A:F,6,0),0)</f>
        <v>0</v>
      </c>
    </row>
    <row r="6615" customFormat="false" ht="21" hidden="false" customHeight="false" outlineLevel="0" collapsed="false">
      <c r="A6615" s="154" t="n">
        <v>43460</v>
      </c>
      <c r="B6615" s="155" t="s">
        <v>1524</v>
      </c>
      <c r="C6615" s="148" t="str">
        <f aca="false">VLOOKUP($A6615,INSUMOS_AUX!$A$3:$H$813,3,0)</f>
        <v>MAT.</v>
      </c>
      <c r="D6615" s="156" t="s">
        <v>1444</v>
      </c>
      <c r="E6615" s="154" t="n">
        <v>0.2543</v>
      </c>
      <c r="F6615" s="149" t="n">
        <f aca="false">IF(C6615="MAT.",VLOOKUP(A6615,INSUMOS_AUX!$A$3:$H$813,6,0),0)</f>
        <v>0.86</v>
      </c>
      <c r="G6615" s="149" t="n">
        <f aca="false">IF(C6615="M.O.",VLOOKUP(A6615,INSUMOS_AUX!A:F,6,0),0)</f>
        <v>0</v>
      </c>
    </row>
    <row r="6616" customFormat="false" ht="21" hidden="false" customHeight="false" outlineLevel="0" collapsed="false">
      <c r="A6616" s="154" t="n">
        <v>37373</v>
      </c>
      <c r="B6616" s="155" t="s">
        <v>1448</v>
      </c>
      <c r="C6616" s="148" t="str">
        <f aca="false">VLOOKUP($A6616,INSUMOS_AUX!$A$3:$H$813,3,0)</f>
        <v>MAT.</v>
      </c>
      <c r="D6616" s="156" t="s">
        <v>1444</v>
      </c>
      <c r="E6616" s="154" t="n">
        <v>0.2543</v>
      </c>
      <c r="F6616" s="149" t="n">
        <f aca="false">IF(C6616="MAT.",VLOOKUP(A6616,INSUMOS_AUX!$A$3:$H$813,6,0),0)</f>
        <v>0.08</v>
      </c>
      <c r="G6616" s="149" t="n">
        <f aca="false">IF(C6616="M.O.",VLOOKUP(A6616,INSUMOS_AUX!A:F,6,0),0)</f>
        <v>0</v>
      </c>
    </row>
    <row r="6617" customFormat="false" ht="21" hidden="false" customHeight="false" outlineLevel="0" collapsed="false">
      <c r="A6617" s="154" t="n">
        <v>37371</v>
      </c>
      <c r="B6617" s="155" t="s">
        <v>1449</v>
      </c>
      <c r="C6617" s="148" t="s">
        <v>59</v>
      </c>
      <c r="D6617" s="156" t="s">
        <v>1444</v>
      </c>
      <c r="E6617" s="154" t="n">
        <v>0.2543</v>
      </c>
      <c r="F6617" s="149" t="n">
        <f aca="false">IF(C6617="MAT.",VLOOKUP(A6617,INSUMOS_AUX!$A$3:$H$813,6,0),0)</f>
        <v>0</v>
      </c>
      <c r="G6617" s="149" t="n">
        <f aca="false">IF(C6617="M.O.",VLOOKUP(A6617,INSUMOS_AUX!A:F,6,0),0)</f>
        <v>0</v>
      </c>
    </row>
    <row r="6618" customFormat="false" ht="15" hidden="false" customHeight="false" outlineLevel="0" collapsed="false">
      <c r="A6618" s="154" t="s">
        <v>2648</v>
      </c>
      <c r="B6618" s="155" t="s">
        <v>2649</v>
      </c>
      <c r="C6618" s="148" t="str">
        <f aca="false">VLOOKUP($A6618,INSUMOS_AUX!$A$3:$H$813,3,0)</f>
        <v>MAT.</v>
      </c>
      <c r="D6618" s="156" t="s">
        <v>31</v>
      </c>
      <c r="E6618" s="154" t="n">
        <v>1</v>
      </c>
      <c r="F6618" s="149" t="n">
        <f aca="false">IF(C6618="MAT.",VLOOKUP(A6618,INSUMOS_AUX!$A$3:$H$813,6,0),0)</f>
        <v>119.043333333333</v>
      </c>
      <c r="G6618" s="149" t="n">
        <f aca="false">IF(C6618="M.O.",VLOOKUP(A6618,INSUMOS_AUX!A:F,6,0),0)</f>
        <v>0</v>
      </c>
    </row>
    <row r="6619" customFormat="false" ht="15" hidden="false" customHeight="false" outlineLevel="0" collapsed="false">
      <c r="A6619" s="154" t="n">
        <v>247</v>
      </c>
      <c r="B6619" s="155" t="s">
        <v>1554</v>
      </c>
      <c r="C6619" s="148" t="str">
        <f aca="false">VLOOKUP($A6619,INSUMOS_AUX!$A$3:$H$813,3,0)</f>
        <v>M.O.</v>
      </c>
      <c r="D6619" s="156" t="s">
        <v>1444</v>
      </c>
      <c r="E6619" s="154" t="n">
        <v>0.077591536</v>
      </c>
      <c r="F6619" s="149" t="n">
        <f aca="false">IF(C6619="MAT.",VLOOKUP(A6619,INSUMOS_AUX!$A$3:$H$813,6,0),0)</f>
        <v>0</v>
      </c>
      <c r="G6619" s="149" t="n">
        <f aca="false">IF(C6619="M.O.",VLOOKUP(A6619,INSUMOS_AUX!A:F,6,0),0)</f>
        <v>13.26</v>
      </c>
    </row>
    <row r="6620" customFormat="false" ht="15" hidden="false" customHeight="false" outlineLevel="0" collapsed="false">
      <c r="A6620" s="154" t="n">
        <v>2436</v>
      </c>
      <c r="B6620" s="155" t="s">
        <v>1557</v>
      </c>
      <c r="C6620" s="148" t="str">
        <f aca="false">VLOOKUP($A6620,INSUMOS_AUX!$A$3:$H$813,3,0)</f>
        <v>M.O.</v>
      </c>
      <c r="D6620" s="156" t="s">
        <v>1444</v>
      </c>
      <c r="E6620" s="154" t="n">
        <v>0.18619894</v>
      </c>
      <c r="F6620" s="149" t="n">
        <f aca="false">IF(C6620="MAT.",VLOOKUP(A6620,INSUMOS_AUX!$A$3:$H$813,6,0),0)</f>
        <v>0</v>
      </c>
      <c r="G6620" s="149" t="n">
        <f aca="false">IF(C6620="M.O.",VLOOKUP(A6620,INSUMOS_AUX!A:F,6,0),0)</f>
        <v>20.22</v>
      </c>
    </row>
    <row r="6621" customFormat="false" ht="21" hidden="false" customHeight="false" outlineLevel="0" collapsed="false">
      <c r="A6621" s="150" t="s">
        <v>1129</v>
      </c>
      <c r="B6621" s="151" t="s">
        <v>2650</v>
      </c>
      <c r="C6621" s="152" t="s">
        <v>59</v>
      </c>
      <c r="D6621" s="152" t="s">
        <v>31</v>
      </c>
      <c r="E6621" s="150"/>
      <c r="F6621" s="153" t="n">
        <f aca="false">(SUMPRODUCT($E6622:$E6630,F6622:F6630))*1</f>
        <v>181.594088666667</v>
      </c>
      <c r="G6621" s="153" t="n">
        <f aca="false">(SUMPRODUCT($E6622:$E6630,G6622:G6630))*1</f>
        <v>4.79380633416</v>
      </c>
    </row>
    <row r="6622" customFormat="false" ht="21" hidden="false" customHeight="false" outlineLevel="0" collapsed="false">
      <c r="A6622" s="154" t="n">
        <v>37370</v>
      </c>
      <c r="B6622" s="155" t="s">
        <v>1443</v>
      </c>
      <c r="C6622" s="148" t="str">
        <f aca="false">VLOOKUP($A6622,INSUMOS_AUX!$A$3:$H$813,3,0)</f>
        <v>MAT.</v>
      </c>
      <c r="D6622" s="156" t="s">
        <v>1444</v>
      </c>
      <c r="E6622" s="154" t="n">
        <v>0.2543</v>
      </c>
      <c r="F6622" s="149" t="n">
        <f aca="false">IF(C6622="MAT.",VLOOKUP(A6622,INSUMOS_AUX!$A$3:$H$813,6,0),0)</f>
        <v>3.32</v>
      </c>
      <c r="G6622" s="149" t="n">
        <f aca="false">IF(C6622="M.O.",VLOOKUP(A6622,INSUMOS_AUX!A:F,6,0),0)</f>
        <v>0</v>
      </c>
    </row>
    <row r="6623" customFormat="false" ht="21" hidden="false" customHeight="false" outlineLevel="0" collapsed="false">
      <c r="A6623" s="154" t="n">
        <v>43484</v>
      </c>
      <c r="B6623" s="155" t="s">
        <v>1523</v>
      </c>
      <c r="C6623" s="148" t="str">
        <f aca="false">VLOOKUP($A6623,INSUMOS_AUX!$A$3:$H$813,3,0)</f>
        <v>MAT.</v>
      </c>
      <c r="D6623" s="156" t="s">
        <v>1444</v>
      </c>
      <c r="E6623" s="154" t="n">
        <v>0.2543</v>
      </c>
      <c r="F6623" s="149" t="n">
        <f aca="false">IF(C6623="MAT.",VLOOKUP(A6623,INSUMOS_AUX!$A$3:$H$813,6,0),0)</f>
        <v>1.26</v>
      </c>
      <c r="G6623" s="149" t="n">
        <f aca="false">IF(C6623="M.O.",VLOOKUP(A6623,INSUMOS_AUX!A:F,6,0),0)</f>
        <v>0</v>
      </c>
    </row>
    <row r="6624" customFormat="false" ht="21" hidden="false" customHeight="false" outlineLevel="0" collapsed="false">
      <c r="A6624" s="154" t="n">
        <v>37372</v>
      </c>
      <c r="B6624" s="155" t="s">
        <v>1446</v>
      </c>
      <c r="C6624" s="148" t="str">
        <f aca="false">VLOOKUP($A6624,INSUMOS_AUX!$A$3:$H$813,3,0)</f>
        <v>MAT.</v>
      </c>
      <c r="D6624" s="156" t="s">
        <v>1444</v>
      </c>
      <c r="E6624" s="154" t="n">
        <v>0.2543</v>
      </c>
      <c r="F6624" s="149" t="n">
        <f aca="false">IF(C6624="MAT.",VLOOKUP(A6624,INSUMOS_AUX!$A$3:$H$813,6,0),0)</f>
        <v>1.43</v>
      </c>
      <c r="G6624" s="149" t="n">
        <f aca="false">IF(C6624="M.O.",VLOOKUP(A6624,INSUMOS_AUX!A:F,6,0),0)</f>
        <v>0</v>
      </c>
    </row>
    <row r="6625" customFormat="false" ht="21" hidden="false" customHeight="false" outlineLevel="0" collapsed="false">
      <c r="A6625" s="154" t="n">
        <v>43460</v>
      </c>
      <c r="B6625" s="155" t="s">
        <v>1524</v>
      </c>
      <c r="C6625" s="148" t="str">
        <f aca="false">VLOOKUP($A6625,INSUMOS_AUX!$A$3:$H$813,3,0)</f>
        <v>MAT.</v>
      </c>
      <c r="D6625" s="156" t="s">
        <v>1444</v>
      </c>
      <c r="E6625" s="154" t="n">
        <v>0.2543</v>
      </c>
      <c r="F6625" s="149" t="n">
        <f aca="false">IF(C6625="MAT.",VLOOKUP(A6625,INSUMOS_AUX!$A$3:$H$813,6,0),0)</f>
        <v>0.86</v>
      </c>
      <c r="G6625" s="149" t="n">
        <f aca="false">IF(C6625="M.O.",VLOOKUP(A6625,INSUMOS_AUX!A:F,6,0),0)</f>
        <v>0</v>
      </c>
    </row>
    <row r="6626" customFormat="false" ht="21" hidden="false" customHeight="false" outlineLevel="0" collapsed="false">
      <c r="A6626" s="154" t="n">
        <v>37373</v>
      </c>
      <c r="B6626" s="155" t="s">
        <v>1448</v>
      </c>
      <c r="C6626" s="148" t="str">
        <f aca="false">VLOOKUP($A6626,INSUMOS_AUX!$A$3:$H$813,3,0)</f>
        <v>MAT.</v>
      </c>
      <c r="D6626" s="156" t="s">
        <v>1444</v>
      </c>
      <c r="E6626" s="154" t="n">
        <v>0.2543</v>
      </c>
      <c r="F6626" s="149" t="n">
        <f aca="false">IF(C6626="MAT.",VLOOKUP(A6626,INSUMOS_AUX!$A$3:$H$813,6,0),0)</f>
        <v>0.08</v>
      </c>
      <c r="G6626" s="149" t="n">
        <f aca="false">IF(C6626="M.O.",VLOOKUP(A6626,INSUMOS_AUX!A:F,6,0),0)</f>
        <v>0</v>
      </c>
    </row>
    <row r="6627" customFormat="false" ht="21" hidden="false" customHeight="false" outlineLevel="0" collapsed="false">
      <c r="A6627" s="154" t="n">
        <v>37371</v>
      </c>
      <c r="B6627" s="155" t="s">
        <v>1449</v>
      </c>
      <c r="C6627" s="148" t="str">
        <f aca="false">VLOOKUP($A6627,INSUMOS_AUX!$A$3:$H$813,3,0)</f>
        <v>MAT.</v>
      </c>
      <c r="D6627" s="156" t="s">
        <v>1444</v>
      </c>
      <c r="E6627" s="154" t="n">
        <v>0.2543</v>
      </c>
      <c r="F6627" s="149" t="n">
        <f aca="false">IF(C6627="MAT.",VLOOKUP(A6627,INSUMOS_AUX!$A$3:$H$813,6,0),0)</f>
        <v>0.59</v>
      </c>
      <c r="G6627" s="149" t="n">
        <f aca="false">IF(C6627="M.O.",VLOOKUP(A6627,INSUMOS_AUX!A:F,6,0),0)</f>
        <v>0</v>
      </c>
    </row>
    <row r="6628" customFormat="false" ht="21" hidden="false" customHeight="false" outlineLevel="0" collapsed="false">
      <c r="A6628" s="154" t="s">
        <v>2651</v>
      </c>
      <c r="B6628" s="155" t="s">
        <v>2652</v>
      </c>
      <c r="C6628" s="148" t="str">
        <f aca="false">VLOOKUP($A6628,INSUMOS_AUX!$A$3:$H$813,3,0)</f>
        <v>MAT.</v>
      </c>
      <c r="D6628" s="156" t="s">
        <v>31</v>
      </c>
      <c r="E6628" s="154" t="n">
        <v>1</v>
      </c>
      <c r="F6628" s="149" t="n">
        <f aca="false">IF(C6628="MAT.",VLOOKUP(A6628,INSUMOS_AUX!$A$3:$H$813,6,0),0)</f>
        <v>179.676666666667</v>
      </c>
      <c r="G6628" s="149" t="n">
        <f aca="false">IF(C6628="M.O.",VLOOKUP(A6628,INSUMOS_AUX!A:F,6,0),0)</f>
        <v>0</v>
      </c>
    </row>
    <row r="6629" customFormat="false" ht="15" hidden="false" customHeight="false" outlineLevel="0" collapsed="false">
      <c r="A6629" s="154" t="n">
        <v>247</v>
      </c>
      <c r="B6629" s="155" t="s">
        <v>1554</v>
      </c>
      <c r="C6629" s="148" t="str">
        <f aca="false">VLOOKUP($A6629,INSUMOS_AUX!$A$3:$H$813,3,0)</f>
        <v>M.O.</v>
      </c>
      <c r="D6629" s="156" t="s">
        <v>1444</v>
      </c>
      <c r="E6629" s="154" t="n">
        <v>0.077591536</v>
      </c>
      <c r="F6629" s="149" t="n">
        <f aca="false">IF(C6629="MAT.",VLOOKUP(A6629,INSUMOS_AUX!$A$3:$H$813,6,0),0)</f>
        <v>0</v>
      </c>
      <c r="G6629" s="149" t="n">
        <f aca="false">IF(C6629="M.O.",VLOOKUP(A6629,INSUMOS_AUX!A:F,6,0),0)</f>
        <v>13.26</v>
      </c>
    </row>
    <row r="6630" customFormat="false" ht="15" hidden="false" customHeight="false" outlineLevel="0" collapsed="false">
      <c r="A6630" s="154" t="n">
        <v>2436</v>
      </c>
      <c r="B6630" s="155" t="s">
        <v>1557</v>
      </c>
      <c r="C6630" s="148" t="str">
        <f aca="false">VLOOKUP($A6630,INSUMOS_AUX!$A$3:$H$813,3,0)</f>
        <v>M.O.</v>
      </c>
      <c r="D6630" s="156" t="s">
        <v>1444</v>
      </c>
      <c r="E6630" s="154" t="n">
        <v>0.18619894</v>
      </c>
      <c r="F6630" s="149" t="n">
        <f aca="false">IF(C6630="MAT.",VLOOKUP(A6630,INSUMOS_AUX!$A$3:$H$813,6,0),0)</f>
        <v>0</v>
      </c>
      <c r="G6630" s="149" t="n">
        <f aca="false">IF(C6630="M.O.",VLOOKUP(A6630,INSUMOS_AUX!A:F,6,0),0)</f>
        <v>20.22</v>
      </c>
    </row>
    <row r="6631" customFormat="false" ht="15" hidden="false" customHeight="false" outlineLevel="0" collapsed="false">
      <c r="A6631" s="150" t="s">
        <v>1133</v>
      </c>
      <c r="B6631" s="151" t="s">
        <v>2653</v>
      </c>
      <c r="C6631" s="152" t="s">
        <v>59</v>
      </c>
      <c r="D6631" s="152" t="s">
        <v>31</v>
      </c>
      <c r="E6631" s="150"/>
      <c r="F6631" s="153" t="n">
        <f aca="false">(SUMPRODUCT($E6632:$E6639,F6632:F6639))*1</f>
        <v>14.2185</v>
      </c>
      <c r="G6631" s="153" t="n">
        <f aca="false">(SUMPRODUCT($E6632:$E6639,G6632:G6639))*1</f>
        <v>2.644908</v>
      </c>
    </row>
    <row r="6632" customFormat="false" ht="21" hidden="false" customHeight="false" outlineLevel="0" collapsed="false">
      <c r="A6632" s="154" t="n">
        <v>37370</v>
      </c>
      <c r="B6632" s="155" t="s">
        <v>1443</v>
      </c>
      <c r="C6632" s="148" t="str">
        <f aca="false">VLOOKUP($A6632,INSUMOS_AUX!$A$3:$H$813,3,0)</f>
        <v>MAT.</v>
      </c>
      <c r="D6632" s="156" t="s">
        <v>1444</v>
      </c>
      <c r="E6632" s="154" t="n">
        <v>0.2</v>
      </c>
      <c r="F6632" s="149" t="n">
        <f aca="false">IF(C6632="MAT.",VLOOKUP(A6632,INSUMOS_AUX!$A$3:$H$813,6,0),0)</f>
        <v>3.32</v>
      </c>
      <c r="G6632" s="149" t="n">
        <f aca="false">IF(C6632="M.O.",VLOOKUP(A6632,INSUMOS_AUX!A:F,6,0),0)</f>
        <v>0</v>
      </c>
    </row>
    <row r="6633" customFormat="false" ht="21" hidden="false" customHeight="false" outlineLevel="0" collapsed="false">
      <c r="A6633" s="154" t="n">
        <v>43491</v>
      </c>
      <c r="B6633" s="155" t="s">
        <v>1457</v>
      </c>
      <c r="C6633" s="148" t="s">
        <v>59</v>
      </c>
      <c r="D6633" s="156" t="s">
        <v>1444</v>
      </c>
      <c r="E6633" s="154" t="n">
        <v>0.2</v>
      </c>
      <c r="F6633" s="149" t="n">
        <f aca="false">IF(C6633="MAT.",VLOOKUP(A6633,INSUMOS_AUX!$A$3:$H$813,6,0),0)</f>
        <v>0</v>
      </c>
      <c r="G6633" s="149" t="n">
        <f aca="false">IF(C6633="M.O.",VLOOKUP(A6633,INSUMOS_AUX!A:F,6,0),0)</f>
        <v>0</v>
      </c>
    </row>
    <row r="6634" customFormat="false" ht="21" hidden="false" customHeight="false" outlineLevel="0" collapsed="false">
      <c r="A6634" s="154" t="n">
        <v>37372</v>
      </c>
      <c r="B6634" s="155" t="s">
        <v>1446</v>
      </c>
      <c r="C6634" s="148" t="str">
        <f aca="false">VLOOKUP($A6634,INSUMOS_AUX!$A$3:$H$813,3,0)</f>
        <v>MAT.</v>
      </c>
      <c r="D6634" s="156" t="s">
        <v>1444</v>
      </c>
      <c r="E6634" s="154" t="n">
        <v>0.2</v>
      </c>
      <c r="F6634" s="149" t="n">
        <f aca="false">IF(C6634="MAT.",VLOOKUP(A6634,INSUMOS_AUX!$A$3:$H$813,6,0),0)</f>
        <v>1.43</v>
      </c>
      <c r="G6634" s="149" t="n">
        <f aca="false">IF(C6634="M.O.",VLOOKUP(A6634,INSUMOS_AUX!A:F,6,0),0)</f>
        <v>0</v>
      </c>
    </row>
    <row r="6635" customFormat="false" ht="21" hidden="false" customHeight="false" outlineLevel="0" collapsed="false">
      <c r="A6635" s="154" t="n">
        <v>43467</v>
      </c>
      <c r="B6635" s="155" t="s">
        <v>1459</v>
      </c>
      <c r="C6635" s="148" t="str">
        <f aca="false">VLOOKUP($A6635,INSUMOS_AUX!$A$3:$H$813,3,0)</f>
        <v>MAT.</v>
      </c>
      <c r="D6635" s="156" t="s">
        <v>1444</v>
      </c>
      <c r="E6635" s="154" t="n">
        <v>0.2</v>
      </c>
      <c r="F6635" s="149" t="n">
        <f aca="false">IF(C6635="MAT.",VLOOKUP(A6635,INSUMOS_AUX!$A$3:$H$813,6,0),0)</f>
        <v>0.61</v>
      </c>
      <c r="G6635" s="149" t="n">
        <f aca="false">IF(C6635="M.O.",VLOOKUP(A6635,INSUMOS_AUX!A:F,6,0),0)</f>
        <v>0</v>
      </c>
    </row>
    <row r="6636" customFormat="false" ht="21" hidden="false" customHeight="false" outlineLevel="0" collapsed="false">
      <c r="A6636" s="154" t="n">
        <v>37373</v>
      </c>
      <c r="B6636" s="155" t="s">
        <v>1448</v>
      </c>
      <c r="C6636" s="148" t="str">
        <f aca="false">VLOOKUP($A6636,INSUMOS_AUX!$A$3:$H$813,3,0)</f>
        <v>MAT.</v>
      </c>
      <c r="D6636" s="156" t="s">
        <v>1444</v>
      </c>
      <c r="E6636" s="154" t="n">
        <v>0.2</v>
      </c>
      <c r="F6636" s="149" t="n">
        <f aca="false">IF(C6636="MAT.",VLOOKUP(A6636,INSUMOS_AUX!$A$3:$H$813,6,0),0)</f>
        <v>0.08</v>
      </c>
      <c r="G6636" s="149" t="n">
        <f aca="false">IF(C6636="M.O.",VLOOKUP(A6636,INSUMOS_AUX!A:F,6,0),0)</f>
        <v>0</v>
      </c>
    </row>
    <row r="6637" customFormat="false" ht="21" hidden="false" customHeight="false" outlineLevel="0" collapsed="false">
      <c r="A6637" s="154" t="n">
        <v>37371</v>
      </c>
      <c r="B6637" s="155" t="s">
        <v>1449</v>
      </c>
      <c r="C6637" s="148" t="str">
        <f aca="false">VLOOKUP($A6637,INSUMOS_AUX!$A$3:$H$813,3,0)</f>
        <v>MAT.</v>
      </c>
      <c r="D6637" s="156" t="s">
        <v>1444</v>
      </c>
      <c r="E6637" s="154" t="n">
        <v>0.2</v>
      </c>
      <c r="F6637" s="149" t="n">
        <f aca="false">IF(C6637="MAT.",VLOOKUP(A6637,INSUMOS_AUX!$A$3:$H$813,6,0),0)</f>
        <v>0.59</v>
      </c>
      <c r="G6637" s="149" t="n">
        <f aca="false">IF(C6637="M.O.",VLOOKUP(A6637,INSUMOS_AUX!A:F,6,0),0)</f>
        <v>0</v>
      </c>
    </row>
    <row r="6638" customFormat="false" ht="31.5" hidden="false" customHeight="false" outlineLevel="0" collapsed="false">
      <c r="A6638" s="154" t="n">
        <v>37556</v>
      </c>
      <c r="B6638" s="155" t="s">
        <v>2654</v>
      </c>
      <c r="C6638" s="148" t="str">
        <f aca="false">VLOOKUP($A6638,INSUMOS_AUX!$A$3:$H$813,3,0)</f>
        <v>MAT.</v>
      </c>
      <c r="D6638" s="156" t="s">
        <v>31</v>
      </c>
      <c r="E6638" s="154" t="n">
        <v>0.75</v>
      </c>
      <c r="F6638" s="149" t="n">
        <f aca="false">IF(C6638="MAT.",VLOOKUP(A6638,INSUMOS_AUX!$A$3:$H$813,6,0),0)</f>
        <v>17.35</v>
      </c>
      <c r="G6638" s="149" t="n">
        <f aca="false">IF(C6638="M.O.",VLOOKUP(A6638,INSUMOS_AUX!A:F,6,0),0)</f>
        <v>0</v>
      </c>
    </row>
    <row r="6639" customFormat="false" ht="15" hidden="false" customHeight="false" outlineLevel="0" collapsed="false">
      <c r="A6639" s="154" t="n">
        <v>6111</v>
      </c>
      <c r="B6639" s="155" t="s">
        <v>1464</v>
      </c>
      <c r="C6639" s="148" t="str">
        <f aca="false">VLOOKUP($A6639,INSUMOS_AUX!$A$3:$H$813,3,0)</f>
        <v>M.O.</v>
      </c>
      <c r="D6639" s="156" t="s">
        <v>1444</v>
      </c>
      <c r="E6639" s="154" t="n">
        <v>0.20424</v>
      </c>
      <c r="F6639" s="149" t="n">
        <f aca="false">IF(C6639="MAT.",VLOOKUP(A6639,INSUMOS_AUX!$A$3:$H$813,6,0),0)</f>
        <v>0</v>
      </c>
      <c r="G6639" s="149" t="n">
        <f aca="false">IF(C6639="M.O.",VLOOKUP(A6639,INSUMOS_AUX!A:F,6,0),0)</f>
        <v>12.95</v>
      </c>
    </row>
    <row r="6640" customFormat="false" ht="15" hidden="false" customHeight="false" outlineLevel="0" collapsed="false">
      <c r="A6640" s="150" t="s">
        <v>1135</v>
      </c>
      <c r="B6640" s="151" t="s">
        <v>2655</v>
      </c>
      <c r="C6640" s="152" t="s">
        <v>59</v>
      </c>
      <c r="D6640" s="152" t="s">
        <v>31</v>
      </c>
      <c r="E6640" s="150"/>
      <c r="F6640" s="153" t="n">
        <f aca="false">(SUMPRODUCT($E6641:$E6648,F6641:F6648))*1</f>
        <v>13.96</v>
      </c>
      <c r="G6640" s="153" t="n">
        <f aca="false">(SUMPRODUCT($E6641:$E6648,G6641:G6648))*1</f>
        <v>2.644908</v>
      </c>
    </row>
    <row r="6641" customFormat="false" ht="21" hidden="false" customHeight="false" outlineLevel="0" collapsed="false">
      <c r="A6641" s="154" t="n">
        <v>37370</v>
      </c>
      <c r="B6641" s="155" t="s">
        <v>1443</v>
      </c>
      <c r="C6641" s="148" t="str">
        <f aca="false">VLOOKUP($A6641,INSUMOS_AUX!$A$3:$H$813,3,0)</f>
        <v>MAT.</v>
      </c>
      <c r="D6641" s="156" t="s">
        <v>1444</v>
      </c>
      <c r="E6641" s="154" t="n">
        <v>0.2</v>
      </c>
      <c r="F6641" s="149" t="n">
        <f aca="false">IF(C6641="MAT.",VLOOKUP(A6641,INSUMOS_AUX!$A$3:$H$813,6,0),0)</f>
        <v>3.32</v>
      </c>
      <c r="G6641" s="149" t="n">
        <f aca="false">IF(C6641="M.O.",VLOOKUP(A6641,INSUMOS_AUX!A:F,6,0),0)</f>
        <v>0</v>
      </c>
    </row>
    <row r="6642" customFormat="false" ht="21" hidden="false" customHeight="false" outlineLevel="0" collapsed="false">
      <c r="A6642" s="154" t="n">
        <v>43491</v>
      </c>
      <c r="B6642" s="155" t="s">
        <v>1457</v>
      </c>
      <c r="C6642" s="148" t="str">
        <f aca="false">VLOOKUP($A6642,INSUMOS_AUX!$A$3:$H$813,3,0)</f>
        <v>MAT.</v>
      </c>
      <c r="D6642" s="156" t="s">
        <v>1444</v>
      </c>
      <c r="E6642" s="154" t="n">
        <v>0.2</v>
      </c>
      <c r="F6642" s="149" t="n">
        <f aca="false">IF(C6642="MAT.",VLOOKUP(A6642,INSUMOS_AUX!$A$3:$H$813,6,0),0)</f>
        <v>1.39</v>
      </c>
      <c r="G6642" s="149" t="n">
        <f aca="false">IF(C6642="M.O.",VLOOKUP(A6642,INSUMOS_AUX!A:F,6,0),0)</f>
        <v>0</v>
      </c>
    </row>
    <row r="6643" customFormat="false" ht="21" hidden="false" customHeight="false" outlineLevel="0" collapsed="false">
      <c r="A6643" s="154" t="n">
        <v>37372</v>
      </c>
      <c r="B6643" s="155" t="s">
        <v>1446</v>
      </c>
      <c r="C6643" s="148" t="str">
        <f aca="false">VLOOKUP($A6643,INSUMOS_AUX!$A$3:$H$813,3,0)</f>
        <v>MAT.</v>
      </c>
      <c r="D6643" s="156" t="s">
        <v>1444</v>
      </c>
      <c r="E6643" s="154" t="n">
        <v>0.2</v>
      </c>
      <c r="F6643" s="149" t="n">
        <f aca="false">IF(C6643="MAT.",VLOOKUP(A6643,INSUMOS_AUX!$A$3:$H$813,6,0),0)</f>
        <v>1.43</v>
      </c>
      <c r="G6643" s="149" t="n">
        <f aca="false">IF(C6643="M.O.",VLOOKUP(A6643,INSUMOS_AUX!A:F,6,0),0)</f>
        <v>0</v>
      </c>
    </row>
    <row r="6644" customFormat="false" ht="21" hidden="false" customHeight="false" outlineLevel="0" collapsed="false">
      <c r="A6644" s="154" t="n">
        <v>43467</v>
      </c>
      <c r="B6644" s="155" t="s">
        <v>1459</v>
      </c>
      <c r="C6644" s="148" t="str">
        <f aca="false">VLOOKUP($A6644,INSUMOS_AUX!$A$3:$H$813,3,0)</f>
        <v>MAT.</v>
      </c>
      <c r="D6644" s="156" t="s">
        <v>1444</v>
      </c>
      <c r="E6644" s="154" t="n">
        <v>0.2</v>
      </c>
      <c r="F6644" s="149" t="n">
        <f aca="false">IF(C6644="MAT.",VLOOKUP(A6644,INSUMOS_AUX!$A$3:$H$813,6,0),0)</f>
        <v>0.61</v>
      </c>
      <c r="G6644" s="149" t="n">
        <f aca="false">IF(C6644="M.O.",VLOOKUP(A6644,INSUMOS_AUX!A:F,6,0),0)</f>
        <v>0</v>
      </c>
    </row>
    <row r="6645" customFormat="false" ht="21" hidden="false" customHeight="false" outlineLevel="0" collapsed="false">
      <c r="A6645" s="154" t="n">
        <v>37373</v>
      </c>
      <c r="B6645" s="155" t="s">
        <v>1448</v>
      </c>
      <c r="C6645" s="148" t="s">
        <v>59</v>
      </c>
      <c r="D6645" s="156" t="s">
        <v>1444</v>
      </c>
      <c r="E6645" s="154" t="n">
        <v>0.2</v>
      </c>
      <c r="F6645" s="149" t="n">
        <f aca="false">IF(C6645="MAT.",VLOOKUP(A6645,INSUMOS_AUX!$A$3:$H$813,6,0),0)</f>
        <v>0</v>
      </c>
      <c r="G6645" s="149" t="n">
        <f aca="false">IF(C6645="M.O.",VLOOKUP(A6645,INSUMOS_AUX!A:F,6,0),0)</f>
        <v>0</v>
      </c>
    </row>
    <row r="6646" customFormat="false" ht="21" hidden="false" customHeight="false" outlineLevel="0" collapsed="false">
      <c r="A6646" s="154" t="n">
        <v>37371</v>
      </c>
      <c r="B6646" s="155" t="s">
        <v>1449</v>
      </c>
      <c r="C6646" s="148" t="str">
        <f aca="false">VLOOKUP($A6646,INSUMOS_AUX!$A$3:$H$813,3,0)</f>
        <v>MAT.</v>
      </c>
      <c r="D6646" s="156" t="s">
        <v>1444</v>
      </c>
      <c r="E6646" s="154" t="n">
        <v>0.2</v>
      </c>
      <c r="F6646" s="149" t="n">
        <f aca="false">IF(C6646="MAT.",VLOOKUP(A6646,INSUMOS_AUX!$A$3:$H$813,6,0),0)</f>
        <v>0.59</v>
      </c>
      <c r="G6646" s="149" t="n">
        <f aca="false">IF(C6646="M.O.",VLOOKUP(A6646,INSUMOS_AUX!A:F,6,0),0)</f>
        <v>0</v>
      </c>
    </row>
    <row r="6647" customFormat="false" ht="31.5" hidden="false" customHeight="false" outlineLevel="0" collapsed="false">
      <c r="A6647" s="154" t="n">
        <v>37556</v>
      </c>
      <c r="B6647" s="155" t="s">
        <v>2654</v>
      </c>
      <c r="C6647" s="148" t="str">
        <f aca="false">VLOOKUP($A6647,INSUMOS_AUX!$A$3:$H$813,3,0)</f>
        <v>MAT.</v>
      </c>
      <c r="D6647" s="156" t="s">
        <v>31</v>
      </c>
      <c r="E6647" s="154" t="n">
        <v>0.72</v>
      </c>
      <c r="F6647" s="149" t="n">
        <f aca="false">IF(C6647="MAT.",VLOOKUP(A6647,INSUMOS_AUX!$A$3:$H$813,6,0),0)</f>
        <v>17.35</v>
      </c>
      <c r="G6647" s="149" t="n">
        <f aca="false">IF(C6647="M.O.",VLOOKUP(A6647,INSUMOS_AUX!A:F,6,0),0)</f>
        <v>0</v>
      </c>
    </row>
    <row r="6648" customFormat="false" ht="15" hidden="false" customHeight="false" outlineLevel="0" collapsed="false">
      <c r="A6648" s="154" t="n">
        <v>6111</v>
      </c>
      <c r="B6648" s="155" t="s">
        <v>1464</v>
      </c>
      <c r="C6648" s="148" t="str">
        <f aca="false">VLOOKUP($A6648,INSUMOS_AUX!$A$3:$H$813,3,0)</f>
        <v>M.O.</v>
      </c>
      <c r="D6648" s="156" t="s">
        <v>1444</v>
      </c>
      <c r="E6648" s="154" t="n">
        <v>0.20424</v>
      </c>
      <c r="F6648" s="149" t="n">
        <f aca="false">IF(C6648="MAT.",VLOOKUP(A6648,INSUMOS_AUX!$A$3:$H$813,6,0),0)</f>
        <v>0</v>
      </c>
      <c r="G6648" s="149" t="n">
        <f aca="false">IF(C6648="M.O.",VLOOKUP(A6648,INSUMOS_AUX!A:F,6,0),0)</f>
        <v>12.95</v>
      </c>
    </row>
    <row r="6649" customFormat="false" ht="15" hidden="false" customHeight="false" outlineLevel="0" collapsed="false">
      <c r="A6649" s="150" t="s">
        <v>1137</v>
      </c>
      <c r="B6649" s="151" t="s">
        <v>2656</v>
      </c>
      <c r="C6649" s="152" t="s">
        <v>59</v>
      </c>
      <c r="D6649" s="152" t="s">
        <v>31</v>
      </c>
      <c r="E6649" s="150"/>
      <c r="F6649" s="153" t="n">
        <f aca="false">(SUMPRODUCT($E6650:$E6657,F6650:F6657))*1</f>
        <v>21.00275</v>
      </c>
      <c r="G6649" s="153" t="n">
        <f aca="false">(SUMPRODUCT($E6650:$E6657,G6650:G6657))*1</f>
        <v>0</v>
      </c>
    </row>
    <row r="6650" customFormat="false" ht="21" hidden="false" customHeight="false" outlineLevel="0" collapsed="false">
      <c r="A6650" s="154" t="n">
        <v>37370</v>
      </c>
      <c r="B6650" s="155" t="s">
        <v>1443</v>
      </c>
      <c r="C6650" s="148" t="str">
        <f aca="false">VLOOKUP($A6650,INSUMOS_AUX!$A$3:$H$813,3,0)</f>
        <v>MAT.</v>
      </c>
      <c r="D6650" s="156" t="s">
        <v>1444</v>
      </c>
      <c r="E6650" s="154" t="n">
        <v>0.2</v>
      </c>
      <c r="F6650" s="149" t="n">
        <f aca="false">IF(C6650="MAT.",VLOOKUP(A6650,INSUMOS_AUX!$A$3:$H$813,6,0),0)</f>
        <v>3.32</v>
      </c>
      <c r="G6650" s="149" t="n">
        <f aca="false">IF(C6650="M.O.",VLOOKUP(A6650,INSUMOS_AUX!A:F,6,0),0)</f>
        <v>0</v>
      </c>
    </row>
    <row r="6651" customFormat="false" ht="21" hidden="false" customHeight="false" outlineLevel="0" collapsed="false">
      <c r="A6651" s="154" t="n">
        <v>43491</v>
      </c>
      <c r="B6651" s="155" t="s">
        <v>1457</v>
      </c>
      <c r="C6651" s="148" t="str">
        <f aca="false">VLOOKUP($A6651,INSUMOS_AUX!$A$3:$H$813,3,0)</f>
        <v>MAT.</v>
      </c>
      <c r="D6651" s="156" t="s">
        <v>1444</v>
      </c>
      <c r="E6651" s="154" t="n">
        <v>0.2</v>
      </c>
      <c r="F6651" s="149" t="n">
        <f aca="false">IF(C6651="MAT.",VLOOKUP(A6651,INSUMOS_AUX!$A$3:$H$813,6,0),0)</f>
        <v>1.39</v>
      </c>
      <c r="G6651" s="149" t="n">
        <f aca="false">IF(C6651="M.O.",VLOOKUP(A6651,INSUMOS_AUX!A:F,6,0),0)</f>
        <v>0</v>
      </c>
    </row>
    <row r="6652" customFormat="false" ht="21" hidden="false" customHeight="false" outlineLevel="0" collapsed="false">
      <c r="A6652" s="154" t="n">
        <v>37372</v>
      </c>
      <c r="B6652" s="155" t="s">
        <v>1446</v>
      </c>
      <c r="C6652" s="148" t="str">
        <f aca="false">VLOOKUP($A6652,INSUMOS_AUX!$A$3:$H$813,3,0)</f>
        <v>MAT.</v>
      </c>
      <c r="D6652" s="156" t="s">
        <v>1444</v>
      </c>
      <c r="E6652" s="154" t="n">
        <v>0.2</v>
      </c>
      <c r="F6652" s="149" t="n">
        <f aca="false">IF(C6652="MAT.",VLOOKUP(A6652,INSUMOS_AUX!$A$3:$H$813,6,0),0)</f>
        <v>1.43</v>
      </c>
      <c r="G6652" s="149" t="n">
        <f aca="false">IF(C6652="M.O.",VLOOKUP(A6652,INSUMOS_AUX!A:F,6,0),0)</f>
        <v>0</v>
      </c>
    </row>
    <row r="6653" customFormat="false" ht="21" hidden="false" customHeight="false" outlineLevel="0" collapsed="false">
      <c r="A6653" s="154" t="n">
        <v>43467</v>
      </c>
      <c r="B6653" s="155" t="s">
        <v>1459</v>
      </c>
      <c r="C6653" s="148" t="str">
        <f aca="false">VLOOKUP($A6653,INSUMOS_AUX!$A$3:$H$813,3,0)</f>
        <v>MAT.</v>
      </c>
      <c r="D6653" s="156" t="s">
        <v>1444</v>
      </c>
      <c r="E6653" s="154" t="n">
        <v>0.2</v>
      </c>
      <c r="F6653" s="149" t="n">
        <f aca="false">IF(C6653="MAT.",VLOOKUP(A6653,INSUMOS_AUX!$A$3:$H$813,6,0),0)</f>
        <v>0.61</v>
      </c>
      <c r="G6653" s="149" t="n">
        <f aca="false">IF(C6653="M.O.",VLOOKUP(A6653,INSUMOS_AUX!A:F,6,0),0)</f>
        <v>0</v>
      </c>
    </row>
    <row r="6654" customFormat="false" ht="21" hidden="false" customHeight="false" outlineLevel="0" collapsed="false">
      <c r="A6654" s="154" t="n">
        <v>37373</v>
      </c>
      <c r="B6654" s="155" t="s">
        <v>1448</v>
      </c>
      <c r="C6654" s="148" t="str">
        <f aca="false">VLOOKUP($A6654,INSUMOS_AUX!$A$3:$H$813,3,0)</f>
        <v>MAT.</v>
      </c>
      <c r="D6654" s="156" t="s">
        <v>1444</v>
      </c>
      <c r="E6654" s="154" t="n">
        <v>0.2</v>
      </c>
      <c r="F6654" s="149" t="n">
        <f aca="false">IF(C6654="MAT.",VLOOKUP(A6654,INSUMOS_AUX!$A$3:$H$813,6,0),0)</f>
        <v>0.08</v>
      </c>
      <c r="G6654" s="149" t="n">
        <f aca="false">IF(C6654="M.O.",VLOOKUP(A6654,INSUMOS_AUX!A:F,6,0),0)</f>
        <v>0</v>
      </c>
    </row>
    <row r="6655" customFormat="false" ht="21" hidden="false" customHeight="false" outlineLevel="0" collapsed="false">
      <c r="A6655" s="154" t="n">
        <v>37371</v>
      </c>
      <c r="B6655" s="155" t="s">
        <v>1449</v>
      </c>
      <c r="C6655" s="148" t="str">
        <f aca="false">VLOOKUP($A6655,INSUMOS_AUX!$A$3:$H$813,3,0)</f>
        <v>MAT.</v>
      </c>
      <c r="D6655" s="156" t="s">
        <v>1444</v>
      </c>
      <c r="E6655" s="154" t="n">
        <v>0.2</v>
      </c>
      <c r="F6655" s="149" t="n">
        <f aca="false">IF(C6655="MAT.",VLOOKUP(A6655,INSUMOS_AUX!$A$3:$H$813,6,0),0)</f>
        <v>0.59</v>
      </c>
      <c r="G6655" s="149" t="n">
        <f aca="false">IF(C6655="M.O.",VLOOKUP(A6655,INSUMOS_AUX!A:F,6,0),0)</f>
        <v>0</v>
      </c>
    </row>
    <row r="6656" customFormat="false" ht="31.5" hidden="false" customHeight="false" outlineLevel="0" collapsed="false">
      <c r="A6656" s="154" t="n">
        <v>37556</v>
      </c>
      <c r="B6656" s="155" t="s">
        <v>2654</v>
      </c>
      <c r="C6656" s="148" t="str">
        <f aca="false">VLOOKUP($A6656,INSUMOS_AUX!$A$3:$H$813,3,0)</f>
        <v>MAT.</v>
      </c>
      <c r="D6656" s="156" t="s">
        <v>31</v>
      </c>
      <c r="E6656" s="154" t="n">
        <v>1.125</v>
      </c>
      <c r="F6656" s="149" t="n">
        <f aca="false">IF(C6656="MAT.",VLOOKUP(A6656,INSUMOS_AUX!$A$3:$H$813,6,0),0)</f>
        <v>17.35</v>
      </c>
      <c r="G6656" s="149" t="n">
        <f aca="false">IF(C6656="M.O.",VLOOKUP(A6656,INSUMOS_AUX!A:F,6,0),0)</f>
        <v>0</v>
      </c>
    </row>
    <row r="6657" customFormat="false" ht="15" hidden="false" customHeight="false" outlineLevel="0" collapsed="false">
      <c r="A6657" s="154" t="n">
        <v>6111</v>
      </c>
      <c r="B6657" s="155" t="s">
        <v>1464</v>
      </c>
      <c r="C6657" s="148" t="s">
        <v>59</v>
      </c>
      <c r="D6657" s="156" t="s">
        <v>1444</v>
      </c>
      <c r="E6657" s="154" t="n">
        <v>0.20424</v>
      </c>
      <c r="F6657" s="149" t="n">
        <f aca="false">IF(C6657="MAT.",VLOOKUP(A6657,INSUMOS_AUX!$A$3:$H$813,6,0),0)</f>
        <v>0</v>
      </c>
      <c r="G6657" s="149" t="n">
        <f aca="false">IF(C6657="M.O.",VLOOKUP(A6657,INSUMOS_AUX!A:F,6,0),0)</f>
        <v>0</v>
      </c>
    </row>
    <row r="6658" customFormat="false" ht="15" hidden="false" customHeight="false" outlineLevel="0" collapsed="false">
      <c r="A6658" s="150" t="s">
        <v>1139</v>
      </c>
      <c r="B6658" s="151" t="s">
        <v>2657</v>
      </c>
      <c r="C6658" s="152" t="s">
        <v>59</v>
      </c>
      <c r="D6658" s="152" t="s">
        <v>31</v>
      </c>
      <c r="E6658" s="150"/>
      <c r="F6658" s="153" t="n">
        <f aca="false">(SUMPRODUCT($E6659:$E6666,F6659:F6666))*1</f>
        <v>29.444</v>
      </c>
      <c r="G6658" s="153" t="n">
        <f aca="false">(SUMPRODUCT($E6659:$E6666,G6659:G6666))*1</f>
        <v>2.644908</v>
      </c>
    </row>
    <row r="6659" customFormat="false" ht="21" hidden="false" customHeight="false" outlineLevel="0" collapsed="false">
      <c r="A6659" s="154" t="n">
        <v>37370</v>
      </c>
      <c r="B6659" s="155" t="s">
        <v>1443</v>
      </c>
      <c r="C6659" s="148" t="str">
        <f aca="false">VLOOKUP($A6659,INSUMOS_AUX!$A$3:$H$813,3,0)</f>
        <v>MAT.</v>
      </c>
      <c r="D6659" s="156" t="s">
        <v>1444</v>
      </c>
      <c r="E6659" s="154" t="n">
        <v>0.2</v>
      </c>
      <c r="F6659" s="149" t="n">
        <f aca="false">IF(C6659="MAT.",VLOOKUP(A6659,INSUMOS_AUX!$A$3:$H$813,6,0),0)</f>
        <v>3.32</v>
      </c>
      <c r="G6659" s="149" t="n">
        <f aca="false">IF(C6659="M.O.",VLOOKUP(A6659,INSUMOS_AUX!A:F,6,0),0)</f>
        <v>0</v>
      </c>
    </row>
    <row r="6660" customFormat="false" ht="21" hidden="false" customHeight="false" outlineLevel="0" collapsed="false">
      <c r="A6660" s="154" t="n">
        <v>43491</v>
      </c>
      <c r="B6660" s="155" t="s">
        <v>1457</v>
      </c>
      <c r="C6660" s="148" t="str">
        <f aca="false">VLOOKUP($A6660,INSUMOS_AUX!$A$3:$H$813,3,0)</f>
        <v>MAT.</v>
      </c>
      <c r="D6660" s="156" t="s">
        <v>1444</v>
      </c>
      <c r="E6660" s="154" t="n">
        <v>0.2</v>
      </c>
      <c r="F6660" s="149" t="n">
        <f aca="false">IF(C6660="MAT.",VLOOKUP(A6660,INSUMOS_AUX!$A$3:$H$813,6,0),0)</f>
        <v>1.39</v>
      </c>
      <c r="G6660" s="149" t="n">
        <f aca="false">IF(C6660="M.O.",VLOOKUP(A6660,INSUMOS_AUX!A:F,6,0),0)</f>
        <v>0</v>
      </c>
    </row>
    <row r="6661" customFormat="false" ht="21" hidden="false" customHeight="false" outlineLevel="0" collapsed="false">
      <c r="A6661" s="154" t="n">
        <v>37372</v>
      </c>
      <c r="B6661" s="155" t="s">
        <v>1446</v>
      </c>
      <c r="C6661" s="148" t="str">
        <f aca="false">VLOOKUP($A6661,INSUMOS_AUX!$A$3:$H$813,3,0)</f>
        <v>MAT.</v>
      </c>
      <c r="D6661" s="156" t="s">
        <v>1444</v>
      </c>
      <c r="E6661" s="154" t="n">
        <v>0.2</v>
      </c>
      <c r="F6661" s="149" t="n">
        <f aca="false">IF(C6661="MAT.",VLOOKUP(A6661,INSUMOS_AUX!$A$3:$H$813,6,0),0)</f>
        <v>1.43</v>
      </c>
      <c r="G6661" s="149" t="n">
        <f aca="false">IF(C6661="M.O.",VLOOKUP(A6661,INSUMOS_AUX!A:F,6,0),0)</f>
        <v>0</v>
      </c>
    </row>
    <row r="6662" customFormat="false" ht="21" hidden="false" customHeight="false" outlineLevel="0" collapsed="false">
      <c r="A6662" s="154" t="n">
        <v>43467</v>
      </c>
      <c r="B6662" s="155" t="s">
        <v>1459</v>
      </c>
      <c r="C6662" s="148" t="str">
        <f aca="false">VLOOKUP($A6662,INSUMOS_AUX!$A$3:$H$813,3,0)</f>
        <v>MAT.</v>
      </c>
      <c r="D6662" s="156" t="s">
        <v>1444</v>
      </c>
      <c r="E6662" s="154" t="n">
        <v>0.2</v>
      </c>
      <c r="F6662" s="149" t="n">
        <f aca="false">IF(C6662="MAT.",VLOOKUP(A6662,INSUMOS_AUX!$A$3:$H$813,6,0),0)</f>
        <v>0.61</v>
      </c>
      <c r="G6662" s="149" t="n">
        <f aca="false">IF(C6662="M.O.",VLOOKUP(A6662,INSUMOS_AUX!A:F,6,0),0)</f>
        <v>0</v>
      </c>
    </row>
    <row r="6663" customFormat="false" ht="21" hidden="false" customHeight="false" outlineLevel="0" collapsed="false">
      <c r="A6663" s="154" t="n">
        <v>37373</v>
      </c>
      <c r="B6663" s="155" t="s">
        <v>1448</v>
      </c>
      <c r="C6663" s="148" t="str">
        <f aca="false">VLOOKUP($A6663,INSUMOS_AUX!$A$3:$H$813,3,0)</f>
        <v>MAT.</v>
      </c>
      <c r="D6663" s="156" t="s">
        <v>1444</v>
      </c>
      <c r="E6663" s="154" t="n">
        <v>0.2</v>
      </c>
      <c r="F6663" s="149" t="n">
        <f aca="false">IF(C6663="MAT.",VLOOKUP(A6663,INSUMOS_AUX!$A$3:$H$813,6,0),0)</f>
        <v>0.08</v>
      </c>
      <c r="G6663" s="149" t="n">
        <f aca="false">IF(C6663="M.O.",VLOOKUP(A6663,INSUMOS_AUX!A:F,6,0),0)</f>
        <v>0</v>
      </c>
    </row>
    <row r="6664" customFormat="false" ht="21" hidden="false" customHeight="false" outlineLevel="0" collapsed="false">
      <c r="A6664" s="154" t="n">
        <v>37371</v>
      </c>
      <c r="B6664" s="155" t="s">
        <v>1449</v>
      </c>
      <c r="C6664" s="148" t="str">
        <f aca="false">VLOOKUP($A6664,INSUMOS_AUX!$A$3:$H$813,3,0)</f>
        <v>MAT.</v>
      </c>
      <c r="D6664" s="156" t="s">
        <v>1444</v>
      </c>
      <c r="E6664" s="154" t="n">
        <v>0.2</v>
      </c>
      <c r="F6664" s="149" t="n">
        <f aca="false">IF(C6664="MAT.",VLOOKUP(A6664,INSUMOS_AUX!$A$3:$H$813,6,0),0)</f>
        <v>0.59</v>
      </c>
      <c r="G6664" s="149" t="n">
        <f aca="false">IF(C6664="M.O.",VLOOKUP(A6664,INSUMOS_AUX!A:F,6,0),0)</f>
        <v>0</v>
      </c>
    </row>
    <row r="6665" customFormat="false" ht="42" hidden="false" customHeight="false" outlineLevel="0" collapsed="false">
      <c r="A6665" s="154" t="n">
        <v>37558</v>
      </c>
      <c r="B6665" s="155" t="s">
        <v>2658</v>
      </c>
      <c r="C6665" s="148" t="str">
        <f aca="false">VLOOKUP($A6665,INSUMOS_AUX!$A$3:$H$813,3,0)</f>
        <v>MAT.</v>
      </c>
      <c r="D6665" s="156" t="s">
        <v>31</v>
      </c>
      <c r="E6665" s="154" t="n">
        <v>1</v>
      </c>
      <c r="F6665" s="149" t="n">
        <f aca="false">IF(C6665="MAT.",VLOOKUP(A6665,INSUMOS_AUX!$A$3:$H$813,6,0),0)</f>
        <v>27.96</v>
      </c>
      <c r="G6665" s="149" t="n">
        <f aca="false">IF(C6665="M.O.",VLOOKUP(A6665,INSUMOS_AUX!A:F,6,0),0)</f>
        <v>0</v>
      </c>
    </row>
    <row r="6666" customFormat="false" ht="15" hidden="false" customHeight="false" outlineLevel="0" collapsed="false">
      <c r="A6666" s="154" t="n">
        <v>6111</v>
      </c>
      <c r="B6666" s="155" t="s">
        <v>1464</v>
      </c>
      <c r="C6666" s="148" t="str">
        <f aca="false">VLOOKUP($A6666,INSUMOS_AUX!$A$3:$H$813,3,0)</f>
        <v>M.O.</v>
      </c>
      <c r="D6666" s="156" t="s">
        <v>1444</v>
      </c>
      <c r="E6666" s="154" t="n">
        <v>0.20424</v>
      </c>
      <c r="F6666" s="149" t="n">
        <f aca="false">IF(C6666="MAT.",VLOOKUP(A6666,INSUMOS_AUX!$A$3:$H$813,6,0),0)</f>
        <v>0</v>
      </c>
      <c r="G6666" s="149" t="n">
        <f aca="false">IF(C6666="M.O.",VLOOKUP(A6666,INSUMOS_AUX!A:F,6,0),0)</f>
        <v>12.95</v>
      </c>
    </row>
    <row r="6667" customFormat="false" ht="15" hidden="false" customHeight="false" outlineLevel="0" collapsed="false">
      <c r="A6667" s="150" t="s">
        <v>1141</v>
      </c>
      <c r="B6667" s="151" t="s">
        <v>2659</v>
      </c>
      <c r="C6667" s="152" t="s">
        <v>59</v>
      </c>
      <c r="D6667" s="152" t="s">
        <v>31</v>
      </c>
      <c r="E6667" s="150"/>
      <c r="F6667" s="153" t="n">
        <f aca="false">(SUMPRODUCT($E6668:$E6675,F6668:F6675))*1</f>
        <v>64.116</v>
      </c>
      <c r="G6667" s="153" t="n">
        <f aca="false">(SUMPRODUCT($E6668:$E6675,G6668:G6675))*1</f>
        <v>2.644908</v>
      </c>
    </row>
    <row r="6668" customFormat="false" ht="21" hidden="false" customHeight="false" outlineLevel="0" collapsed="false">
      <c r="A6668" s="154" t="n">
        <v>37370</v>
      </c>
      <c r="B6668" s="155" t="s">
        <v>1443</v>
      </c>
      <c r="C6668" s="148" t="str">
        <f aca="false">VLOOKUP($A6668,INSUMOS_AUX!$A$3:$H$813,3,0)</f>
        <v>MAT.</v>
      </c>
      <c r="D6668" s="156" t="s">
        <v>1444</v>
      </c>
      <c r="E6668" s="154" t="n">
        <v>0.2</v>
      </c>
      <c r="F6668" s="149" t="n">
        <f aca="false">IF(C6668="MAT.",VLOOKUP(A6668,INSUMOS_AUX!$A$3:$H$813,6,0),0)</f>
        <v>3.32</v>
      </c>
      <c r="G6668" s="149" t="n">
        <f aca="false">IF(C6668="M.O.",VLOOKUP(A6668,INSUMOS_AUX!A:F,6,0),0)</f>
        <v>0</v>
      </c>
    </row>
    <row r="6669" customFormat="false" ht="21" hidden="false" customHeight="false" outlineLevel="0" collapsed="false">
      <c r="A6669" s="154" t="n">
        <v>43491</v>
      </c>
      <c r="B6669" s="155" t="s">
        <v>1457</v>
      </c>
      <c r="C6669" s="148" t="s">
        <v>59</v>
      </c>
      <c r="D6669" s="156" t="s">
        <v>1444</v>
      </c>
      <c r="E6669" s="154" t="n">
        <v>0.2</v>
      </c>
      <c r="F6669" s="149" t="n">
        <f aca="false">IF(C6669="MAT.",VLOOKUP(A6669,INSUMOS_AUX!$A$3:$H$813,6,0),0)</f>
        <v>0</v>
      </c>
      <c r="G6669" s="149" t="n">
        <f aca="false">IF(C6669="M.O.",VLOOKUP(A6669,INSUMOS_AUX!A:F,6,0),0)</f>
        <v>0</v>
      </c>
    </row>
    <row r="6670" customFormat="false" ht="21" hidden="false" customHeight="false" outlineLevel="0" collapsed="false">
      <c r="A6670" s="154" t="n">
        <v>37372</v>
      </c>
      <c r="B6670" s="155" t="s">
        <v>1446</v>
      </c>
      <c r="C6670" s="148" t="str">
        <f aca="false">VLOOKUP($A6670,INSUMOS_AUX!$A$3:$H$813,3,0)</f>
        <v>MAT.</v>
      </c>
      <c r="D6670" s="156" t="s">
        <v>1444</v>
      </c>
      <c r="E6670" s="154" t="n">
        <v>0.2</v>
      </c>
      <c r="F6670" s="149" t="n">
        <f aca="false">IF(C6670="MAT.",VLOOKUP(A6670,INSUMOS_AUX!$A$3:$H$813,6,0),0)</f>
        <v>1.43</v>
      </c>
      <c r="G6670" s="149" t="n">
        <f aca="false">IF(C6670="M.O.",VLOOKUP(A6670,INSUMOS_AUX!A:F,6,0),0)</f>
        <v>0</v>
      </c>
    </row>
    <row r="6671" customFormat="false" ht="21" hidden="false" customHeight="false" outlineLevel="0" collapsed="false">
      <c r="A6671" s="154" t="n">
        <v>43467</v>
      </c>
      <c r="B6671" s="155" t="s">
        <v>1459</v>
      </c>
      <c r="C6671" s="148" t="str">
        <f aca="false">VLOOKUP($A6671,INSUMOS_AUX!$A$3:$H$813,3,0)</f>
        <v>MAT.</v>
      </c>
      <c r="D6671" s="156" t="s">
        <v>1444</v>
      </c>
      <c r="E6671" s="154" t="n">
        <v>0.2</v>
      </c>
      <c r="F6671" s="149" t="n">
        <f aca="false">IF(C6671="MAT.",VLOOKUP(A6671,INSUMOS_AUX!$A$3:$H$813,6,0),0)</f>
        <v>0.61</v>
      </c>
      <c r="G6671" s="149" t="n">
        <f aca="false">IF(C6671="M.O.",VLOOKUP(A6671,INSUMOS_AUX!A:F,6,0),0)</f>
        <v>0</v>
      </c>
    </row>
    <row r="6672" customFormat="false" ht="21" hidden="false" customHeight="false" outlineLevel="0" collapsed="false">
      <c r="A6672" s="154" t="n">
        <v>37373</v>
      </c>
      <c r="B6672" s="155" t="s">
        <v>1448</v>
      </c>
      <c r="C6672" s="148" t="str">
        <f aca="false">VLOOKUP($A6672,INSUMOS_AUX!$A$3:$H$813,3,0)</f>
        <v>MAT.</v>
      </c>
      <c r="D6672" s="156" t="s">
        <v>1444</v>
      </c>
      <c r="E6672" s="154" t="n">
        <v>0.2</v>
      </c>
      <c r="F6672" s="149" t="n">
        <f aca="false">IF(C6672="MAT.",VLOOKUP(A6672,INSUMOS_AUX!$A$3:$H$813,6,0),0)</f>
        <v>0.08</v>
      </c>
      <c r="G6672" s="149" t="n">
        <f aca="false">IF(C6672="M.O.",VLOOKUP(A6672,INSUMOS_AUX!A:F,6,0),0)</f>
        <v>0</v>
      </c>
    </row>
    <row r="6673" customFormat="false" ht="21" hidden="false" customHeight="false" outlineLevel="0" collapsed="false">
      <c r="A6673" s="154" t="n">
        <v>37371</v>
      </c>
      <c r="B6673" s="155" t="s">
        <v>1449</v>
      </c>
      <c r="C6673" s="148" t="str">
        <f aca="false">VLOOKUP($A6673,INSUMOS_AUX!$A$3:$H$813,3,0)</f>
        <v>MAT.</v>
      </c>
      <c r="D6673" s="156" t="s">
        <v>1444</v>
      </c>
      <c r="E6673" s="154" t="n">
        <v>0.2</v>
      </c>
      <c r="F6673" s="149" t="n">
        <f aca="false">IF(C6673="MAT.",VLOOKUP(A6673,INSUMOS_AUX!$A$3:$H$813,6,0),0)</f>
        <v>0.59</v>
      </c>
      <c r="G6673" s="149" t="n">
        <f aca="false">IF(C6673="M.O.",VLOOKUP(A6673,INSUMOS_AUX!A:F,6,0),0)</f>
        <v>0</v>
      </c>
    </row>
    <row r="6674" customFormat="false" ht="42" hidden="false" customHeight="false" outlineLevel="0" collapsed="false">
      <c r="A6674" s="154" t="n">
        <v>37558</v>
      </c>
      <c r="B6674" s="155" t="s">
        <v>2658</v>
      </c>
      <c r="C6674" s="148" t="str">
        <f aca="false">VLOOKUP($A6674,INSUMOS_AUX!$A$3:$H$813,3,0)</f>
        <v>MAT.</v>
      </c>
      <c r="D6674" s="156" t="s">
        <v>31</v>
      </c>
      <c r="E6674" s="154" t="n">
        <v>2.25</v>
      </c>
      <c r="F6674" s="149" t="n">
        <f aca="false">IF(C6674="MAT.",VLOOKUP(A6674,INSUMOS_AUX!$A$3:$H$813,6,0),0)</f>
        <v>27.96</v>
      </c>
      <c r="G6674" s="149" t="n">
        <f aca="false">IF(C6674="M.O.",VLOOKUP(A6674,INSUMOS_AUX!A:F,6,0),0)</f>
        <v>0</v>
      </c>
    </row>
    <row r="6675" customFormat="false" ht="15" hidden="false" customHeight="false" outlineLevel="0" collapsed="false">
      <c r="A6675" s="154" t="n">
        <v>6111</v>
      </c>
      <c r="B6675" s="155" t="s">
        <v>1464</v>
      </c>
      <c r="C6675" s="148" t="str">
        <f aca="false">VLOOKUP($A6675,INSUMOS_AUX!$A$3:$H$813,3,0)</f>
        <v>M.O.</v>
      </c>
      <c r="D6675" s="156" t="s">
        <v>1444</v>
      </c>
      <c r="E6675" s="154" t="n">
        <v>0.20424</v>
      </c>
      <c r="F6675" s="149" t="n">
        <f aca="false">IF(C6675="MAT.",VLOOKUP(A6675,INSUMOS_AUX!$A$3:$H$813,6,0),0)</f>
        <v>0</v>
      </c>
      <c r="G6675" s="149" t="n">
        <f aca="false">IF(C6675="M.O.",VLOOKUP(A6675,INSUMOS_AUX!A:F,6,0),0)</f>
        <v>12.95</v>
      </c>
    </row>
    <row r="6676" customFormat="false" ht="21" hidden="false" customHeight="false" outlineLevel="0" collapsed="false">
      <c r="A6676" s="150" t="s">
        <v>1143</v>
      </c>
      <c r="B6676" s="151" t="s">
        <v>2660</v>
      </c>
      <c r="C6676" s="152" t="s">
        <v>59</v>
      </c>
      <c r="D6676" s="152" t="s">
        <v>31</v>
      </c>
      <c r="E6676" s="150"/>
      <c r="F6676" s="153" t="n">
        <f aca="false">(SUMPRODUCT($E6677:$E6684,F6677:F6684))*1</f>
        <v>11.48408</v>
      </c>
      <c r="G6676" s="153" t="n">
        <f aca="false">(SUMPRODUCT($E6677:$E6684,G6677:G6684))*1</f>
        <v>2.644908</v>
      </c>
    </row>
    <row r="6677" customFormat="false" ht="21" hidden="false" customHeight="false" outlineLevel="0" collapsed="false">
      <c r="A6677" s="154" t="n">
        <v>37370</v>
      </c>
      <c r="B6677" s="155" t="s">
        <v>1443</v>
      </c>
      <c r="C6677" s="148" t="str">
        <f aca="false">VLOOKUP($A6677,INSUMOS_AUX!$A$3:$H$813,3,0)</f>
        <v>MAT.</v>
      </c>
      <c r="D6677" s="156" t="s">
        <v>1444</v>
      </c>
      <c r="E6677" s="154" t="n">
        <v>0.2</v>
      </c>
      <c r="F6677" s="149" t="n">
        <f aca="false">IF(C6677="MAT.",VLOOKUP(A6677,INSUMOS_AUX!$A$3:$H$813,6,0),0)</f>
        <v>3.32</v>
      </c>
      <c r="G6677" s="149" t="n">
        <f aca="false">IF(C6677="M.O.",VLOOKUP(A6677,INSUMOS_AUX!A:F,6,0),0)</f>
        <v>0</v>
      </c>
    </row>
    <row r="6678" customFormat="false" ht="21" hidden="false" customHeight="false" outlineLevel="0" collapsed="false">
      <c r="A6678" s="154" t="n">
        <v>43491</v>
      </c>
      <c r="B6678" s="155" t="s">
        <v>1457</v>
      </c>
      <c r="C6678" s="148" t="str">
        <f aca="false">VLOOKUP($A6678,INSUMOS_AUX!$A$3:$H$813,3,0)</f>
        <v>MAT.</v>
      </c>
      <c r="D6678" s="156" t="s">
        <v>1444</v>
      </c>
      <c r="E6678" s="154" t="n">
        <v>0.2</v>
      </c>
      <c r="F6678" s="149" t="n">
        <f aca="false">IF(C6678="MAT.",VLOOKUP(A6678,INSUMOS_AUX!$A$3:$H$813,6,0),0)</f>
        <v>1.39</v>
      </c>
      <c r="G6678" s="149" t="n">
        <f aca="false">IF(C6678="M.O.",VLOOKUP(A6678,INSUMOS_AUX!A:F,6,0),0)</f>
        <v>0</v>
      </c>
    </row>
    <row r="6679" customFormat="false" ht="21" hidden="false" customHeight="false" outlineLevel="0" collapsed="false">
      <c r="A6679" s="154" t="n">
        <v>37372</v>
      </c>
      <c r="B6679" s="155" t="s">
        <v>1446</v>
      </c>
      <c r="C6679" s="148" t="s">
        <v>59</v>
      </c>
      <c r="D6679" s="156" t="s">
        <v>1444</v>
      </c>
      <c r="E6679" s="154" t="n">
        <v>0.2</v>
      </c>
      <c r="F6679" s="149" t="n">
        <f aca="false">IF(C6679="MAT.",VLOOKUP(A6679,INSUMOS_AUX!$A$3:$H$813,6,0),0)</f>
        <v>0</v>
      </c>
      <c r="G6679" s="149" t="n">
        <f aca="false">IF(C6679="M.O.",VLOOKUP(A6679,INSUMOS_AUX!A:F,6,0),0)</f>
        <v>0</v>
      </c>
    </row>
    <row r="6680" customFormat="false" ht="21" hidden="false" customHeight="false" outlineLevel="0" collapsed="false">
      <c r="A6680" s="154" t="n">
        <v>43467</v>
      </c>
      <c r="B6680" s="155" t="s">
        <v>1459</v>
      </c>
      <c r="C6680" s="148" t="str">
        <f aca="false">VLOOKUP($A6680,INSUMOS_AUX!$A$3:$H$813,3,0)</f>
        <v>MAT.</v>
      </c>
      <c r="D6680" s="156" t="s">
        <v>1444</v>
      </c>
      <c r="E6680" s="154" t="n">
        <v>0.2</v>
      </c>
      <c r="F6680" s="149" t="n">
        <f aca="false">IF(C6680="MAT.",VLOOKUP(A6680,INSUMOS_AUX!$A$3:$H$813,6,0),0)</f>
        <v>0.61</v>
      </c>
      <c r="G6680" s="149" t="n">
        <f aca="false">IF(C6680="M.O.",VLOOKUP(A6680,INSUMOS_AUX!A:F,6,0),0)</f>
        <v>0</v>
      </c>
    </row>
    <row r="6681" customFormat="false" ht="21" hidden="false" customHeight="false" outlineLevel="0" collapsed="false">
      <c r="A6681" s="154" t="n">
        <v>37373</v>
      </c>
      <c r="B6681" s="155" t="s">
        <v>1448</v>
      </c>
      <c r="C6681" s="148" t="str">
        <f aca="false">VLOOKUP($A6681,INSUMOS_AUX!$A$3:$H$813,3,0)</f>
        <v>MAT.</v>
      </c>
      <c r="D6681" s="156" t="s">
        <v>1444</v>
      </c>
      <c r="E6681" s="154" t="n">
        <v>0.2</v>
      </c>
      <c r="F6681" s="149" t="n">
        <f aca="false">IF(C6681="MAT.",VLOOKUP(A6681,INSUMOS_AUX!$A$3:$H$813,6,0),0)</f>
        <v>0.08</v>
      </c>
      <c r="G6681" s="149" t="n">
        <f aca="false">IF(C6681="M.O.",VLOOKUP(A6681,INSUMOS_AUX!A:F,6,0),0)</f>
        <v>0</v>
      </c>
    </row>
    <row r="6682" customFormat="false" ht="21" hidden="false" customHeight="false" outlineLevel="0" collapsed="false">
      <c r="A6682" s="154" t="n">
        <v>37371</v>
      </c>
      <c r="B6682" s="155" t="s">
        <v>1449</v>
      </c>
      <c r="C6682" s="148" t="str">
        <f aca="false">VLOOKUP($A6682,INSUMOS_AUX!$A$3:$H$813,3,0)</f>
        <v>MAT.</v>
      </c>
      <c r="D6682" s="156" t="s">
        <v>1444</v>
      </c>
      <c r="E6682" s="154" t="n">
        <v>0.2</v>
      </c>
      <c r="F6682" s="149" t="n">
        <f aca="false">IF(C6682="MAT.",VLOOKUP(A6682,INSUMOS_AUX!$A$3:$H$813,6,0),0)</f>
        <v>0.59</v>
      </c>
      <c r="G6682" s="149" t="n">
        <f aca="false">IF(C6682="M.O.",VLOOKUP(A6682,INSUMOS_AUX!A:F,6,0),0)</f>
        <v>0</v>
      </c>
    </row>
    <row r="6683" customFormat="false" ht="31.5" hidden="false" customHeight="false" outlineLevel="0" collapsed="false">
      <c r="A6683" s="154" t="n">
        <v>37557</v>
      </c>
      <c r="B6683" s="155" t="s">
        <v>2661</v>
      </c>
      <c r="C6683" s="148" t="str">
        <f aca="false">VLOOKUP($A6683,INSUMOS_AUX!$A$3:$H$813,3,0)</f>
        <v>MAT.</v>
      </c>
      <c r="D6683" s="156" t="s">
        <v>31</v>
      </c>
      <c r="E6683" s="154" t="n">
        <v>1.148</v>
      </c>
      <c r="F6683" s="149" t="n">
        <f aca="false">IF(C6683="MAT.",VLOOKUP(A6683,INSUMOS_AUX!$A$3:$H$813,6,0),0)</f>
        <v>8.96</v>
      </c>
      <c r="G6683" s="149" t="n">
        <f aca="false">IF(C6683="M.O.",VLOOKUP(A6683,INSUMOS_AUX!A:F,6,0),0)</f>
        <v>0</v>
      </c>
    </row>
    <row r="6684" customFormat="false" ht="15" hidden="false" customHeight="false" outlineLevel="0" collapsed="false">
      <c r="A6684" s="154" t="n">
        <v>6111</v>
      </c>
      <c r="B6684" s="155" t="s">
        <v>1464</v>
      </c>
      <c r="C6684" s="148" t="str">
        <f aca="false">VLOOKUP($A6684,INSUMOS_AUX!$A$3:$H$813,3,0)</f>
        <v>M.O.</v>
      </c>
      <c r="D6684" s="156" t="s">
        <v>1444</v>
      </c>
      <c r="E6684" s="154" t="n">
        <v>0.20424</v>
      </c>
      <c r="F6684" s="149" t="n">
        <f aca="false">IF(C6684="MAT.",VLOOKUP(A6684,INSUMOS_AUX!$A$3:$H$813,6,0),0)</f>
        <v>0</v>
      </c>
      <c r="G6684" s="149" t="n">
        <f aca="false">IF(C6684="M.O.",VLOOKUP(A6684,INSUMOS_AUX!A:F,6,0),0)</f>
        <v>12.95</v>
      </c>
    </row>
    <row r="6685" customFormat="false" ht="21" hidden="false" customHeight="false" outlineLevel="0" collapsed="false">
      <c r="A6685" s="150" t="s">
        <v>1145</v>
      </c>
      <c r="B6685" s="151" t="s">
        <v>2662</v>
      </c>
      <c r="C6685" s="152" t="s">
        <v>59</v>
      </c>
      <c r="D6685" s="152" t="s">
        <v>31</v>
      </c>
      <c r="E6685" s="150"/>
      <c r="F6685" s="153" t="n">
        <f aca="false">(SUMPRODUCT($E6686:$E6693,F6686:F6693))*1</f>
        <v>18.716</v>
      </c>
      <c r="G6685" s="153" t="n">
        <f aca="false">(SUMPRODUCT($E6686:$E6693,G6686:G6693))*1</f>
        <v>2.644908</v>
      </c>
    </row>
    <row r="6686" customFormat="false" ht="21" hidden="false" customHeight="false" outlineLevel="0" collapsed="false">
      <c r="A6686" s="154" t="n">
        <v>37370</v>
      </c>
      <c r="B6686" s="155" t="s">
        <v>1443</v>
      </c>
      <c r="C6686" s="148" t="str">
        <f aca="false">VLOOKUP($A6686,INSUMOS_AUX!$A$3:$H$813,3,0)</f>
        <v>MAT.</v>
      </c>
      <c r="D6686" s="156" t="s">
        <v>1444</v>
      </c>
      <c r="E6686" s="154" t="n">
        <v>0.2</v>
      </c>
      <c r="F6686" s="149" t="n">
        <f aca="false">IF(C6686="MAT.",VLOOKUP(A6686,INSUMOS_AUX!$A$3:$H$813,6,0),0)</f>
        <v>3.32</v>
      </c>
      <c r="G6686" s="149" t="n">
        <f aca="false">IF(C6686="M.O.",VLOOKUP(A6686,INSUMOS_AUX!A:F,6,0),0)</f>
        <v>0</v>
      </c>
    </row>
    <row r="6687" customFormat="false" ht="21" hidden="false" customHeight="false" outlineLevel="0" collapsed="false">
      <c r="A6687" s="154" t="n">
        <v>43491</v>
      </c>
      <c r="B6687" s="155" t="s">
        <v>1457</v>
      </c>
      <c r="C6687" s="148" t="str">
        <f aca="false">VLOOKUP($A6687,INSUMOS_AUX!$A$3:$H$813,3,0)</f>
        <v>MAT.</v>
      </c>
      <c r="D6687" s="156" t="s">
        <v>1444</v>
      </c>
      <c r="E6687" s="154" t="n">
        <v>0.2</v>
      </c>
      <c r="F6687" s="149" t="n">
        <f aca="false">IF(C6687="MAT.",VLOOKUP(A6687,INSUMOS_AUX!$A$3:$H$813,6,0),0)</f>
        <v>1.39</v>
      </c>
      <c r="G6687" s="149" t="n">
        <f aca="false">IF(C6687="M.O.",VLOOKUP(A6687,INSUMOS_AUX!A:F,6,0),0)</f>
        <v>0</v>
      </c>
    </row>
    <row r="6688" customFormat="false" ht="21" hidden="false" customHeight="false" outlineLevel="0" collapsed="false">
      <c r="A6688" s="154" t="n">
        <v>37372</v>
      </c>
      <c r="B6688" s="155" t="s">
        <v>1446</v>
      </c>
      <c r="C6688" s="148" t="str">
        <f aca="false">VLOOKUP($A6688,INSUMOS_AUX!$A$3:$H$813,3,0)</f>
        <v>MAT.</v>
      </c>
      <c r="D6688" s="156" t="s">
        <v>1444</v>
      </c>
      <c r="E6688" s="154" t="n">
        <v>0.2</v>
      </c>
      <c r="F6688" s="149" t="n">
        <f aca="false">IF(C6688="MAT.",VLOOKUP(A6688,INSUMOS_AUX!$A$3:$H$813,6,0),0)</f>
        <v>1.43</v>
      </c>
      <c r="G6688" s="149" t="n">
        <f aca="false">IF(C6688="M.O.",VLOOKUP(A6688,INSUMOS_AUX!A:F,6,0),0)</f>
        <v>0</v>
      </c>
    </row>
    <row r="6689" customFormat="false" ht="21" hidden="false" customHeight="false" outlineLevel="0" collapsed="false">
      <c r="A6689" s="154" t="n">
        <v>43467</v>
      </c>
      <c r="B6689" s="155" t="s">
        <v>1459</v>
      </c>
      <c r="C6689" s="148" t="str">
        <f aca="false">VLOOKUP($A6689,INSUMOS_AUX!$A$3:$H$813,3,0)</f>
        <v>MAT.</v>
      </c>
      <c r="D6689" s="156" t="s">
        <v>1444</v>
      </c>
      <c r="E6689" s="154" t="n">
        <v>0.2</v>
      </c>
      <c r="F6689" s="149" t="n">
        <f aca="false">IF(C6689="MAT.",VLOOKUP(A6689,INSUMOS_AUX!$A$3:$H$813,6,0),0)</f>
        <v>0.61</v>
      </c>
      <c r="G6689" s="149" t="n">
        <f aca="false">IF(C6689="M.O.",VLOOKUP(A6689,INSUMOS_AUX!A:F,6,0),0)</f>
        <v>0</v>
      </c>
    </row>
    <row r="6690" customFormat="false" ht="21" hidden="false" customHeight="false" outlineLevel="0" collapsed="false">
      <c r="A6690" s="154" t="n">
        <v>37373</v>
      </c>
      <c r="B6690" s="155" t="s">
        <v>1448</v>
      </c>
      <c r="C6690" s="148" t="str">
        <f aca="false">VLOOKUP($A6690,INSUMOS_AUX!$A$3:$H$813,3,0)</f>
        <v>MAT.</v>
      </c>
      <c r="D6690" s="156" t="s">
        <v>1444</v>
      </c>
      <c r="E6690" s="154" t="n">
        <v>0.2</v>
      </c>
      <c r="F6690" s="149" t="n">
        <f aca="false">IF(C6690="MAT.",VLOOKUP(A6690,INSUMOS_AUX!$A$3:$H$813,6,0),0)</f>
        <v>0.08</v>
      </c>
      <c r="G6690" s="149" t="n">
        <f aca="false">IF(C6690="M.O.",VLOOKUP(A6690,INSUMOS_AUX!A:F,6,0),0)</f>
        <v>0</v>
      </c>
    </row>
    <row r="6691" customFormat="false" ht="21" hidden="false" customHeight="false" outlineLevel="0" collapsed="false">
      <c r="A6691" s="154" t="n">
        <v>37371</v>
      </c>
      <c r="B6691" s="155" t="s">
        <v>1449</v>
      </c>
      <c r="C6691" s="148" t="s">
        <v>59</v>
      </c>
      <c r="D6691" s="156" t="s">
        <v>1444</v>
      </c>
      <c r="E6691" s="154" t="n">
        <v>0.2</v>
      </c>
      <c r="F6691" s="149" t="n">
        <f aca="false">IF(C6691="MAT.",VLOOKUP(A6691,INSUMOS_AUX!$A$3:$H$813,6,0),0)</f>
        <v>0</v>
      </c>
      <c r="G6691" s="149" t="n">
        <f aca="false">IF(C6691="M.O.",VLOOKUP(A6691,INSUMOS_AUX!A:F,6,0),0)</f>
        <v>0</v>
      </c>
    </row>
    <row r="6692" customFormat="false" ht="31.5" hidden="false" customHeight="false" outlineLevel="0" collapsed="false">
      <c r="A6692" s="154" t="n">
        <v>37556</v>
      </c>
      <c r="B6692" s="155" t="s">
        <v>2654</v>
      </c>
      <c r="C6692" s="148" t="str">
        <f aca="false">VLOOKUP($A6692,INSUMOS_AUX!$A$3:$H$813,3,0)</f>
        <v>MAT.</v>
      </c>
      <c r="D6692" s="156" t="s">
        <v>31</v>
      </c>
      <c r="E6692" s="154" t="n">
        <v>1</v>
      </c>
      <c r="F6692" s="149" t="n">
        <f aca="false">IF(C6692="MAT.",VLOOKUP(A6692,INSUMOS_AUX!$A$3:$H$813,6,0),0)</f>
        <v>17.35</v>
      </c>
      <c r="G6692" s="149" t="n">
        <f aca="false">IF(C6692="M.O.",VLOOKUP(A6692,INSUMOS_AUX!A:F,6,0),0)</f>
        <v>0</v>
      </c>
    </row>
    <row r="6693" customFormat="false" ht="15" hidden="false" customHeight="false" outlineLevel="0" collapsed="false">
      <c r="A6693" s="154" t="n">
        <v>6111</v>
      </c>
      <c r="B6693" s="155" t="s">
        <v>1464</v>
      </c>
      <c r="C6693" s="148" t="str">
        <f aca="false">VLOOKUP($A6693,INSUMOS_AUX!$A$3:$H$813,3,0)</f>
        <v>M.O.</v>
      </c>
      <c r="D6693" s="156" t="s">
        <v>1444</v>
      </c>
      <c r="E6693" s="154" t="n">
        <v>0.20424</v>
      </c>
      <c r="F6693" s="149" t="n">
        <f aca="false">IF(C6693="MAT.",VLOOKUP(A6693,INSUMOS_AUX!$A$3:$H$813,6,0),0)</f>
        <v>0</v>
      </c>
      <c r="G6693" s="149" t="n">
        <f aca="false">IF(C6693="M.O.",VLOOKUP(A6693,INSUMOS_AUX!A:F,6,0),0)</f>
        <v>12.95</v>
      </c>
    </row>
    <row r="6694" customFormat="false" ht="21" hidden="false" customHeight="false" outlineLevel="0" collapsed="false">
      <c r="A6694" s="150" t="s">
        <v>1147</v>
      </c>
      <c r="B6694" s="151" t="s">
        <v>2663</v>
      </c>
      <c r="C6694" s="152" t="s">
        <v>59</v>
      </c>
      <c r="D6694" s="152" t="s">
        <v>31</v>
      </c>
      <c r="E6694" s="150"/>
      <c r="F6694" s="153" t="n">
        <f aca="false">(SUMPRODUCT($E6695:$E6702,F6695:F6702))*1</f>
        <v>1.484</v>
      </c>
      <c r="G6694" s="153" t="n">
        <f aca="false">(SUMPRODUCT($E6695:$E6702,G6695:G6702))*1</f>
        <v>2.644908</v>
      </c>
    </row>
    <row r="6695" customFormat="false" ht="21" hidden="false" customHeight="false" outlineLevel="0" collapsed="false">
      <c r="A6695" s="154" t="n">
        <v>37370</v>
      </c>
      <c r="B6695" s="155" t="s">
        <v>1443</v>
      </c>
      <c r="C6695" s="148" t="str">
        <f aca="false">VLOOKUP($A6695,INSUMOS_AUX!$A$3:$H$813,3,0)</f>
        <v>MAT.</v>
      </c>
      <c r="D6695" s="156" t="s">
        <v>1444</v>
      </c>
      <c r="E6695" s="154" t="n">
        <v>0.2</v>
      </c>
      <c r="F6695" s="149" t="n">
        <f aca="false">IF(C6695="MAT.",VLOOKUP(A6695,INSUMOS_AUX!$A$3:$H$813,6,0),0)</f>
        <v>3.32</v>
      </c>
      <c r="G6695" s="149" t="n">
        <f aca="false">IF(C6695="M.O.",VLOOKUP(A6695,INSUMOS_AUX!A:F,6,0),0)</f>
        <v>0</v>
      </c>
    </row>
    <row r="6696" customFormat="false" ht="21" hidden="false" customHeight="false" outlineLevel="0" collapsed="false">
      <c r="A6696" s="154" t="n">
        <v>43491</v>
      </c>
      <c r="B6696" s="155" t="s">
        <v>1457</v>
      </c>
      <c r="C6696" s="148" t="str">
        <f aca="false">VLOOKUP($A6696,INSUMOS_AUX!$A$3:$H$813,3,0)</f>
        <v>MAT.</v>
      </c>
      <c r="D6696" s="156" t="s">
        <v>1444</v>
      </c>
      <c r="E6696" s="154" t="n">
        <v>0.2</v>
      </c>
      <c r="F6696" s="149" t="n">
        <f aca="false">IF(C6696="MAT.",VLOOKUP(A6696,INSUMOS_AUX!$A$3:$H$813,6,0),0)</f>
        <v>1.39</v>
      </c>
      <c r="G6696" s="149" t="n">
        <f aca="false">IF(C6696="M.O.",VLOOKUP(A6696,INSUMOS_AUX!A:F,6,0),0)</f>
        <v>0</v>
      </c>
    </row>
    <row r="6697" customFormat="false" ht="21" hidden="false" customHeight="false" outlineLevel="0" collapsed="false">
      <c r="A6697" s="154" t="n">
        <v>37372</v>
      </c>
      <c r="B6697" s="155" t="s">
        <v>1446</v>
      </c>
      <c r="C6697" s="148" t="str">
        <f aca="false">VLOOKUP($A6697,INSUMOS_AUX!$A$3:$H$813,3,0)</f>
        <v>MAT.</v>
      </c>
      <c r="D6697" s="156" t="s">
        <v>1444</v>
      </c>
      <c r="E6697" s="154" t="n">
        <v>0.2</v>
      </c>
      <c r="F6697" s="149" t="n">
        <f aca="false">IF(C6697="MAT.",VLOOKUP(A6697,INSUMOS_AUX!$A$3:$H$813,6,0),0)</f>
        <v>1.43</v>
      </c>
      <c r="G6697" s="149" t="n">
        <f aca="false">IF(C6697="M.O.",VLOOKUP(A6697,INSUMOS_AUX!A:F,6,0),0)</f>
        <v>0</v>
      </c>
    </row>
    <row r="6698" customFormat="false" ht="21" hidden="false" customHeight="false" outlineLevel="0" collapsed="false">
      <c r="A6698" s="154" t="n">
        <v>43467</v>
      </c>
      <c r="B6698" s="155" t="s">
        <v>1459</v>
      </c>
      <c r="C6698" s="148" t="str">
        <f aca="false">VLOOKUP($A6698,INSUMOS_AUX!$A$3:$H$813,3,0)</f>
        <v>MAT.</v>
      </c>
      <c r="D6698" s="156" t="s">
        <v>1444</v>
      </c>
      <c r="E6698" s="154" t="n">
        <v>0.2</v>
      </c>
      <c r="F6698" s="149" t="n">
        <f aca="false">IF(C6698="MAT.",VLOOKUP(A6698,INSUMOS_AUX!$A$3:$H$813,6,0),0)</f>
        <v>0.61</v>
      </c>
      <c r="G6698" s="149" t="n">
        <f aca="false">IF(C6698="M.O.",VLOOKUP(A6698,INSUMOS_AUX!A:F,6,0),0)</f>
        <v>0</v>
      </c>
    </row>
    <row r="6699" customFormat="false" ht="21" hidden="false" customHeight="false" outlineLevel="0" collapsed="false">
      <c r="A6699" s="154" t="n">
        <v>37373</v>
      </c>
      <c r="B6699" s="155" t="s">
        <v>1448</v>
      </c>
      <c r="C6699" s="148" t="str">
        <f aca="false">VLOOKUP($A6699,INSUMOS_AUX!$A$3:$H$813,3,0)</f>
        <v>MAT.</v>
      </c>
      <c r="D6699" s="156" t="s">
        <v>1444</v>
      </c>
      <c r="E6699" s="154" t="n">
        <v>0.2</v>
      </c>
      <c r="F6699" s="149" t="n">
        <f aca="false">IF(C6699="MAT.",VLOOKUP(A6699,INSUMOS_AUX!$A$3:$H$813,6,0),0)</f>
        <v>0.08</v>
      </c>
      <c r="G6699" s="149" t="n">
        <f aca="false">IF(C6699="M.O.",VLOOKUP(A6699,INSUMOS_AUX!A:F,6,0),0)</f>
        <v>0</v>
      </c>
    </row>
    <row r="6700" customFormat="false" ht="21" hidden="false" customHeight="false" outlineLevel="0" collapsed="false">
      <c r="A6700" s="154" t="n">
        <v>37371</v>
      </c>
      <c r="B6700" s="155" t="s">
        <v>1449</v>
      </c>
      <c r="C6700" s="148" t="str">
        <f aca="false">VLOOKUP($A6700,INSUMOS_AUX!$A$3:$H$813,3,0)</f>
        <v>MAT.</v>
      </c>
      <c r="D6700" s="156" t="s">
        <v>1444</v>
      </c>
      <c r="E6700" s="154" t="n">
        <v>0.2</v>
      </c>
      <c r="F6700" s="149" t="n">
        <f aca="false">IF(C6700="MAT.",VLOOKUP(A6700,INSUMOS_AUX!$A$3:$H$813,6,0),0)</f>
        <v>0.59</v>
      </c>
      <c r="G6700" s="149" t="n">
        <f aca="false">IF(C6700="M.O.",VLOOKUP(A6700,INSUMOS_AUX!A:F,6,0),0)</f>
        <v>0</v>
      </c>
    </row>
    <row r="6701" customFormat="false" ht="42" hidden="false" customHeight="false" outlineLevel="0" collapsed="false">
      <c r="A6701" s="154" t="n">
        <v>37558</v>
      </c>
      <c r="B6701" s="155" t="s">
        <v>2658</v>
      </c>
      <c r="C6701" s="148" t="s">
        <v>59</v>
      </c>
      <c r="D6701" s="156" t="s">
        <v>31</v>
      </c>
      <c r="E6701" s="154" t="n">
        <v>0.75</v>
      </c>
      <c r="F6701" s="149" t="n">
        <f aca="false">IF(C6701="MAT.",VLOOKUP(A6701,INSUMOS_AUX!$A$3:$H$813,6,0),0)</f>
        <v>0</v>
      </c>
      <c r="G6701" s="149" t="n">
        <f aca="false">IF(C6701="M.O.",VLOOKUP(A6701,INSUMOS_AUX!A:F,6,0),0)</f>
        <v>0</v>
      </c>
    </row>
    <row r="6702" customFormat="false" ht="15" hidden="false" customHeight="false" outlineLevel="0" collapsed="false">
      <c r="A6702" s="154" t="n">
        <v>6111</v>
      </c>
      <c r="B6702" s="155" t="s">
        <v>1464</v>
      </c>
      <c r="C6702" s="148" t="str">
        <f aca="false">VLOOKUP($A6702,INSUMOS_AUX!$A$3:$H$813,3,0)</f>
        <v>M.O.</v>
      </c>
      <c r="D6702" s="156" t="s">
        <v>1444</v>
      </c>
      <c r="E6702" s="154" t="n">
        <v>0.20424</v>
      </c>
      <c r="F6702" s="149" t="n">
        <f aca="false">IF(C6702="MAT.",VLOOKUP(A6702,INSUMOS_AUX!$A$3:$H$813,6,0),0)</f>
        <v>0</v>
      </c>
      <c r="G6702" s="149" t="n">
        <f aca="false">IF(C6702="M.O.",VLOOKUP(A6702,INSUMOS_AUX!A:F,6,0),0)</f>
        <v>12.95</v>
      </c>
    </row>
    <row r="6703" customFormat="false" ht="21" hidden="false" customHeight="false" outlineLevel="0" collapsed="false">
      <c r="A6703" s="150" t="s">
        <v>1149</v>
      </c>
      <c r="B6703" s="151" t="s">
        <v>2664</v>
      </c>
      <c r="C6703" s="152" t="s">
        <v>59</v>
      </c>
      <c r="D6703" s="152" t="s">
        <v>31</v>
      </c>
      <c r="E6703" s="150"/>
      <c r="F6703" s="153" t="n">
        <f aca="false">(SUMPRODUCT($E6704:$E6711,F6704:F6711))*1</f>
        <v>18.834</v>
      </c>
      <c r="G6703" s="153" t="n">
        <f aca="false">(SUMPRODUCT($E6704:$E6711,G6704:G6711))*1</f>
        <v>2.644908</v>
      </c>
    </row>
    <row r="6704" customFormat="false" ht="21" hidden="false" customHeight="false" outlineLevel="0" collapsed="false">
      <c r="A6704" s="154" t="n">
        <v>37370</v>
      </c>
      <c r="B6704" s="155" t="s">
        <v>1443</v>
      </c>
      <c r="C6704" s="148" t="str">
        <f aca="false">VLOOKUP($A6704,INSUMOS_AUX!$A$3:$H$813,3,0)</f>
        <v>MAT.</v>
      </c>
      <c r="D6704" s="156" t="s">
        <v>1444</v>
      </c>
      <c r="E6704" s="154" t="n">
        <v>0.2</v>
      </c>
      <c r="F6704" s="149" t="n">
        <f aca="false">IF(C6704="MAT.",VLOOKUP(A6704,INSUMOS_AUX!$A$3:$H$813,6,0),0)</f>
        <v>3.32</v>
      </c>
      <c r="G6704" s="149" t="n">
        <f aca="false">IF(C6704="M.O.",VLOOKUP(A6704,INSUMOS_AUX!A:F,6,0),0)</f>
        <v>0</v>
      </c>
    </row>
    <row r="6705" customFormat="false" ht="21" hidden="false" customHeight="false" outlineLevel="0" collapsed="false">
      <c r="A6705" s="154" t="n">
        <v>43491</v>
      </c>
      <c r="B6705" s="155" t="s">
        <v>1457</v>
      </c>
      <c r="C6705" s="148" t="str">
        <f aca="false">VLOOKUP($A6705,INSUMOS_AUX!$A$3:$H$813,3,0)</f>
        <v>MAT.</v>
      </c>
      <c r="D6705" s="156" t="s">
        <v>1444</v>
      </c>
      <c r="E6705" s="154" t="n">
        <v>0.2</v>
      </c>
      <c r="F6705" s="149" t="n">
        <f aca="false">IF(C6705="MAT.",VLOOKUP(A6705,INSUMOS_AUX!$A$3:$H$813,6,0),0)</f>
        <v>1.39</v>
      </c>
      <c r="G6705" s="149" t="n">
        <f aca="false">IF(C6705="M.O.",VLOOKUP(A6705,INSUMOS_AUX!A:F,6,0),0)</f>
        <v>0</v>
      </c>
    </row>
    <row r="6706" customFormat="false" ht="21" hidden="false" customHeight="false" outlineLevel="0" collapsed="false">
      <c r="A6706" s="154" t="n">
        <v>37372</v>
      </c>
      <c r="B6706" s="155" t="s">
        <v>1446</v>
      </c>
      <c r="C6706" s="148" t="str">
        <f aca="false">VLOOKUP($A6706,INSUMOS_AUX!$A$3:$H$813,3,0)</f>
        <v>MAT.</v>
      </c>
      <c r="D6706" s="156" t="s">
        <v>1444</v>
      </c>
      <c r="E6706" s="154" t="n">
        <v>0.2</v>
      </c>
      <c r="F6706" s="149" t="n">
        <f aca="false">IF(C6706="MAT.",VLOOKUP(A6706,INSUMOS_AUX!$A$3:$H$813,6,0),0)</f>
        <v>1.43</v>
      </c>
      <c r="G6706" s="149" t="n">
        <f aca="false">IF(C6706="M.O.",VLOOKUP(A6706,INSUMOS_AUX!A:F,6,0),0)</f>
        <v>0</v>
      </c>
    </row>
    <row r="6707" customFormat="false" ht="21" hidden="false" customHeight="false" outlineLevel="0" collapsed="false">
      <c r="A6707" s="154" t="n">
        <v>43467</v>
      </c>
      <c r="B6707" s="155" t="s">
        <v>1459</v>
      </c>
      <c r="C6707" s="148" t="str">
        <f aca="false">VLOOKUP($A6707,INSUMOS_AUX!$A$3:$H$813,3,0)</f>
        <v>MAT.</v>
      </c>
      <c r="D6707" s="156" t="s">
        <v>1444</v>
      </c>
      <c r="E6707" s="154" t="n">
        <v>0.2</v>
      </c>
      <c r="F6707" s="149" t="n">
        <f aca="false">IF(C6707="MAT.",VLOOKUP(A6707,INSUMOS_AUX!$A$3:$H$813,6,0),0)</f>
        <v>0.61</v>
      </c>
      <c r="G6707" s="149" t="n">
        <f aca="false">IF(C6707="M.O.",VLOOKUP(A6707,INSUMOS_AUX!A:F,6,0),0)</f>
        <v>0</v>
      </c>
    </row>
    <row r="6708" customFormat="false" ht="21" hidden="false" customHeight="false" outlineLevel="0" collapsed="false">
      <c r="A6708" s="154" t="n">
        <v>37373</v>
      </c>
      <c r="B6708" s="155" t="s">
        <v>1448</v>
      </c>
      <c r="C6708" s="148" t="str">
        <f aca="false">VLOOKUP($A6708,INSUMOS_AUX!$A$3:$H$813,3,0)</f>
        <v>MAT.</v>
      </c>
      <c r="D6708" s="156" t="s">
        <v>1444</v>
      </c>
      <c r="E6708" s="154" t="n">
        <v>0.2</v>
      </c>
      <c r="F6708" s="149" t="n">
        <f aca="false">IF(C6708="MAT.",VLOOKUP(A6708,INSUMOS_AUX!$A$3:$H$813,6,0),0)</f>
        <v>0.08</v>
      </c>
      <c r="G6708" s="149" t="n">
        <f aca="false">IF(C6708="M.O.",VLOOKUP(A6708,INSUMOS_AUX!A:F,6,0),0)</f>
        <v>0</v>
      </c>
    </row>
    <row r="6709" customFormat="false" ht="21" hidden="false" customHeight="false" outlineLevel="0" collapsed="false">
      <c r="A6709" s="154" t="n">
        <v>37371</v>
      </c>
      <c r="B6709" s="155" t="s">
        <v>1449</v>
      </c>
      <c r="C6709" s="148" t="str">
        <f aca="false">VLOOKUP($A6709,INSUMOS_AUX!$A$3:$H$813,3,0)</f>
        <v>MAT.</v>
      </c>
      <c r="D6709" s="156" t="s">
        <v>1444</v>
      </c>
      <c r="E6709" s="154" t="n">
        <v>0.2</v>
      </c>
      <c r="F6709" s="149" t="n">
        <f aca="false">IF(C6709="MAT.",VLOOKUP(A6709,INSUMOS_AUX!$A$3:$H$813,6,0),0)</f>
        <v>0.59</v>
      </c>
      <c r="G6709" s="149" t="n">
        <f aca="false">IF(C6709="M.O.",VLOOKUP(A6709,INSUMOS_AUX!A:F,6,0),0)</f>
        <v>0</v>
      </c>
    </row>
    <row r="6710" customFormat="false" ht="31.5" hidden="false" customHeight="false" outlineLevel="0" collapsed="false">
      <c r="A6710" s="154" t="n">
        <v>37556</v>
      </c>
      <c r="B6710" s="155" t="s">
        <v>2654</v>
      </c>
      <c r="C6710" s="148" t="str">
        <f aca="false">VLOOKUP($A6710,INSUMOS_AUX!$A$3:$H$813,3,0)</f>
        <v>MAT.</v>
      </c>
      <c r="D6710" s="156" t="s">
        <v>31</v>
      </c>
      <c r="E6710" s="154" t="n">
        <v>1</v>
      </c>
      <c r="F6710" s="149" t="n">
        <f aca="false">IF(C6710="MAT.",VLOOKUP(A6710,INSUMOS_AUX!$A$3:$H$813,6,0),0)</f>
        <v>17.35</v>
      </c>
      <c r="G6710" s="149" t="n">
        <f aca="false">IF(C6710="M.O.",VLOOKUP(A6710,INSUMOS_AUX!A:F,6,0),0)</f>
        <v>0</v>
      </c>
    </row>
    <row r="6711" customFormat="false" ht="15" hidden="false" customHeight="false" outlineLevel="0" collapsed="false">
      <c r="A6711" s="154" t="n">
        <v>6111</v>
      </c>
      <c r="B6711" s="155" t="s">
        <v>1464</v>
      </c>
      <c r="C6711" s="148" t="str">
        <f aca="false">VLOOKUP($A6711,INSUMOS_AUX!$A$3:$H$813,3,0)</f>
        <v>M.O.</v>
      </c>
      <c r="D6711" s="156" t="s">
        <v>1444</v>
      </c>
      <c r="E6711" s="154" t="n">
        <v>0.20424</v>
      </c>
      <c r="F6711" s="149" t="n">
        <f aca="false">IF(C6711="MAT.",VLOOKUP(A6711,INSUMOS_AUX!$A$3:$H$813,6,0),0)</f>
        <v>0</v>
      </c>
      <c r="G6711" s="149" t="n">
        <f aca="false">IF(C6711="M.O.",VLOOKUP(A6711,INSUMOS_AUX!A:F,6,0),0)</f>
        <v>12.95</v>
      </c>
    </row>
    <row r="6712" customFormat="false" ht="15" hidden="false" customHeight="false" outlineLevel="0" collapsed="false">
      <c r="A6712" s="150" t="s">
        <v>1153</v>
      </c>
      <c r="B6712" s="151" t="s">
        <v>2665</v>
      </c>
      <c r="C6712" s="152" t="s">
        <v>59</v>
      </c>
      <c r="D6712" s="152" t="s">
        <v>31</v>
      </c>
      <c r="E6712" s="150"/>
      <c r="F6712" s="153" t="n">
        <f aca="false">(SUMPRODUCT($E6713:$E6721,F6713:F6721))*1</f>
        <v>240.264666666667</v>
      </c>
      <c r="G6712" s="153" t="n">
        <f aca="false">(SUMPRODUCT($E6713:$E6721,G6713:G6721))*1</f>
        <v>7.934724</v>
      </c>
    </row>
    <row r="6713" customFormat="false" ht="21" hidden="false" customHeight="false" outlineLevel="0" collapsed="false">
      <c r="A6713" s="154" t="n">
        <v>37370</v>
      </c>
      <c r="B6713" s="155" t="s">
        <v>1443</v>
      </c>
      <c r="C6713" s="148" t="str">
        <f aca="false">VLOOKUP($A6713,INSUMOS_AUX!$A$3:$H$813,3,0)</f>
        <v>MAT.</v>
      </c>
      <c r="D6713" s="156" t="s">
        <v>1444</v>
      </c>
      <c r="E6713" s="154" t="n">
        <v>0.6</v>
      </c>
      <c r="F6713" s="149" t="n">
        <f aca="false">IF(C6713="MAT.",VLOOKUP(A6713,INSUMOS_AUX!$A$3:$H$813,6,0),0)</f>
        <v>3.32</v>
      </c>
      <c r="G6713" s="149" t="n">
        <f aca="false">IF(C6713="M.O.",VLOOKUP(A6713,INSUMOS_AUX!A:F,6,0),0)</f>
        <v>0</v>
      </c>
    </row>
    <row r="6714" customFormat="false" ht="21" hidden="false" customHeight="false" outlineLevel="0" collapsed="false">
      <c r="A6714" s="154" t="n">
        <v>43491</v>
      </c>
      <c r="B6714" s="155" t="s">
        <v>1457</v>
      </c>
      <c r="C6714" s="148" t="s">
        <v>59</v>
      </c>
      <c r="D6714" s="156" t="s">
        <v>1444</v>
      </c>
      <c r="E6714" s="154" t="n">
        <v>0.6</v>
      </c>
      <c r="F6714" s="149" t="n">
        <f aca="false">IF(C6714="MAT.",VLOOKUP(A6714,INSUMOS_AUX!$A$3:$H$813,6,0),0)</f>
        <v>0</v>
      </c>
      <c r="G6714" s="149" t="n">
        <f aca="false">IF(C6714="M.O.",VLOOKUP(A6714,INSUMOS_AUX!A:F,6,0),0)</f>
        <v>0</v>
      </c>
    </row>
    <row r="6715" customFormat="false" ht="21" hidden="false" customHeight="false" outlineLevel="0" collapsed="false">
      <c r="A6715" s="154" t="n">
        <v>37372</v>
      </c>
      <c r="B6715" s="155" t="s">
        <v>1446</v>
      </c>
      <c r="C6715" s="148" t="str">
        <f aca="false">VLOOKUP($A6715,INSUMOS_AUX!$A$3:$H$813,3,0)</f>
        <v>MAT.</v>
      </c>
      <c r="D6715" s="156" t="s">
        <v>1444</v>
      </c>
      <c r="E6715" s="154" t="n">
        <v>0.6</v>
      </c>
      <c r="F6715" s="149" t="n">
        <f aca="false">IF(C6715="MAT.",VLOOKUP(A6715,INSUMOS_AUX!$A$3:$H$813,6,0),0)</f>
        <v>1.43</v>
      </c>
      <c r="G6715" s="149" t="n">
        <f aca="false">IF(C6715="M.O.",VLOOKUP(A6715,INSUMOS_AUX!A:F,6,0),0)</f>
        <v>0</v>
      </c>
    </row>
    <row r="6716" customFormat="false" ht="21" hidden="false" customHeight="false" outlineLevel="0" collapsed="false">
      <c r="A6716" s="154" t="n">
        <v>43467</v>
      </c>
      <c r="B6716" s="155" t="s">
        <v>1459</v>
      </c>
      <c r="C6716" s="148" t="str">
        <f aca="false">VLOOKUP($A6716,INSUMOS_AUX!$A$3:$H$813,3,0)</f>
        <v>MAT.</v>
      </c>
      <c r="D6716" s="156" t="s">
        <v>1444</v>
      </c>
      <c r="E6716" s="154" t="n">
        <v>0.6</v>
      </c>
      <c r="F6716" s="149" t="n">
        <f aca="false">IF(C6716="MAT.",VLOOKUP(A6716,INSUMOS_AUX!$A$3:$H$813,6,0),0)</f>
        <v>0.61</v>
      </c>
      <c r="G6716" s="149" t="n">
        <f aca="false">IF(C6716="M.O.",VLOOKUP(A6716,INSUMOS_AUX!A:F,6,0),0)</f>
        <v>0</v>
      </c>
    </row>
    <row r="6717" customFormat="false" ht="21" hidden="false" customHeight="false" outlineLevel="0" collapsed="false">
      <c r="A6717" s="154" t="n">
        <v>37373</v>
      </c>
      <c r="B6717" s="155" t="s">
        <v>1448</v>
      </c>
      <c r="C6717" s="148" t="str">
        <f aca="false">VLOOKUP($A6717,INSUMOS_AUX!$A$3:$H$813,3,0)</f>
        <v>MAT.</v>
      </c>
      <c r="D6717" s="156" t="s">
        <v>1444</v>
      </c>
      <c r="E6717" s="154" t="n">
        <v>0.6</v>
      </c>
      <c r="F6717" s="149" t="n">
        <f aca="false">IF(C6717="MAT.",VLOOKUP(A6717,INSUMOS_AUX!$A$3:$H$813,6,0),0)</f>
        <v>0.08</v>
      </c>
      <c r="G6717" s="149" t="n">
        <f aca="false">IF(C6717="M.O.",VLOOKUP(A6717,INSUMOS_AUX!A:F,6,0),0)</f>
        <v>0</v>
      </c>
    </row>
    <row r="6718" customFormat="false" ht="21" hidden="false" customHeight="false" outlineLevel="0" collapsed="false">
      <c r="A6718" s="154" t="n">
        <v>37371</v>
      </c>
      <c r="B6718" s="155" t="s">
        <v>1449</v>
      </c>
      <c r="C6718" s="148" t="str">
        <f aca="false">VLOOKUP($A6718,INSUMOS_AUX!$A$3:$H$813,3,0)</f>
        <v>MAT.</v>
      </c>
      <c r="D6718" s="156" t="s">
        <v>1444</v>
      </c>
      <c r="E6718" s="154" t="n">
        <v>0.6</v>
      </c>
      <c r="F6718" s="149" t="n">
        <f aca="false">IF(C6718="MAT.",VLOOKUP(A6718,INSUMOS_AUX!$A$3:$H$813,6,0),0)</f>
        <v>0.59</v>
      </c>
      <c r="G6718" s="149" t="n">
        <f aca="false">IF(C6718="M.O.",VLOOKUP(A6718,INSUMOS_AUX!A:F,6,0),0)</f>
        <v>0</v>
      </c>
    </row>
    <row r="6719" customFormat="false" ht="15" hidden="false" customHeight="false" outlineLevel="0" collapsed="false">
      <c r="A6719" s="154" t="s">
        <v>2666</v>
      </c>
      <c r="B6719" s="155" t="s">
        <v>2667</v>
      </c>
      <c r="C6719" s="148" t="str">
        <f aca="false">VLOOKUP($A6719,INSUMOS_AUX!$A$3:$H$813,3,0)</f>
        <v>MAT.</v>
      </c>
      <c r="D6719" s="156" t="s">
        <v>31</v>
      </c>
      <c r="E6719" s="154" t="n">
        <v>1</v>
      </c>
      <c r="F6719" s="149" t="n">
        <f aca="false">IF(C6719="MAT.",VLOOKUP(A6719,INSUMOS_AUX!$A$3:$H$813,6,0),0)</f>
        <v>233.846666666667</v>
      </c>
      <c r="G6719" s="149" t="n">
        <f aca="false">IF(C6719="M.O.",VLOOKUP(A6719,INSUMOS_AUX!A:F,6,0),0)</f>
        <v>0</v>
      </c>
    </row>
    <row r="6720" customFormat="false" ht="31.5" hidden="false" customHeight="false" outlineLevel="0" collapsed="false">
      <c r="A6720" s="154" t="n">
        <v>4350</v>
      </c>
      <c r="B6720" s="155" t="s">
        <v>2668</v>
      </c>
      <c r="C6720" s="148" t="str">
        <f aca="false">VLOOKUP($A6720,INSUMOS_AUX!$A$3:$H$813,3,0)</f>
        <v>MAT.</v>
      </c>
      <c r="D6720" s="156" t="s">
        <v>31</v>
      </c>
      <c r="E6720" s="154" t="n">
        <v>4</v>
      </c>
      <c r="F6720" s="149" t="n">
        <f aca="false">IF(C6720="MAT.",VLOOKUP(A6720,INSUMOS_AUX!$A$3:$H$813,6,0),0)</f>
        <v>0.7</v>
      </c>
      <c r="G6720" s="149" t="n">
        <f aca="false">IF(C6720="M.O.",VLOOKUP(A6720,INSUMOS_AUX!A:F,6,0),0)</f>
        <v>0</v>
      </c>
    </row>
    <row r="6721" customFormat="false" ht="15" hidden="false" customHeight="false" outlineLevel="0" collapsed="false">
      <c r="A6721" s="154" t="n">
        <v>6111</v>
      </c>
      <c r="B6721" s="155" t="s">
        <v>1464</v>
      </c>
      <c r="C6721" s="148" t="str">
        <f aca="false">VLOOKUP($A6721,INSUMOS_AUX!$A$3:$H$813,3,0)</f>
        <v>M.O.</v>
      </c>
      <c r="D6721" s="156" t="s">
        <v>1444</v>
      </c>
      <c r="E6721" s="154" t="n">
        <v>0.61272</v>
      </c>
      <c r="F6721" s="149" t="n">
        <f aca="false">IF(C6721="MAT.",VLOOKUP(A6721,INSUMOS_AUX!$A$3:$H$813,6,0),0)</f>
        <v>0</v>
      </c>
      <c r="G6721" s="149" t="n">
        <f aca="false">IF(C6721="M.O.",VLOOKUP(A6721,INSUMOS_AUX!A:F,6,0),0)</f>
        <v>12.95</v>
      </c>
    </row>
    <row r="6722" customFormat="false" ht="42" hidden="false" customHeight="false" outlineLevel="0" collapsed="false">
      <c r="A6722" s="150" t="s">
        <v>1159</v>
      </c>
      <c r="B6722" s="151" t="s">
        <v>2669</v>
      </c>
      <c r="C6722" s="152" t="s">
        <v>59</v>
      </c>
      <c r="D6722" s="152" t="s">
        <v>31</v>
      </c>
      <c r="E6722" s="150"/>
      <c r="F6722" s="153" t="n">
        <f aca="false">(SUMPRODUCT($E6723:$E6742,F6723:F6742))*1</f>
        <v>2646.1736576</v>
      </c>
      <c r="G6722" s="153" t="n">
        <f aca="false">(SUMPRODUCT($E6723:$E6742,G6723:G6742))*1</f>
        <v>82.88025423948</v>
      </c>
    </row>
    <row r="6723" customFormat="false" ht="21" hidden="false" customHeight="false" outlineLevel="0" collapsed="false">
      <c r="A6723" s="154" t="n">
        <v>37370</v>
      </c>
      <c r="B6723" s="155" t="s">
        <v>1443</v>
      </c>
      <c r="C6723" s="148" t="str">
        <f aca="false">VLOOKUP($A6723,INSUMOS_AUX!$A$3:$H$813,3,0)</f>
        <v>MAT.</v>
      </c>
      <c r="D6723" s="156" t="s">
        <v>1444</v>
      </c>
      <c r="E6723" s="154" t="n">
        <v>7.11222</v>
      </c>
      <c r="F6723" s="149" t="n">
        <f aca="false">IF(C6723="MAT.",VLOOKUP(A6723,INSUMOS_AUX!$A$3:$H$813,6,0),0)</f>
        <v>3.32</v>
      </c>
      <c r="G6723" s="149" t="n">
        <f aca="false">IF(C6723="M.O.",VLOOKUP(A6723,INSUMOS_AUX!A:F,6,0),0)</f>
        <v>0</v>
      </c>
    </row>
    <row r="6724" customFormat="false" ht="21" hidden="false" customHeight="false" outlineLevel="0" collapsed="false">
      <c r="A6724" s="154" t="n">
        <v>43485</v>
      </c>
      <c r="B6724" s="155" t="s">
        <v>1481</v>
      </c>
      <c r="C6724" s="148" t="s">
        <v>59</v>
      </c>
      <c r="D6724" s="156" t="s">
        <v>1444</v>
      </c>
      <c r="E6724" s="154" t="n">
        <v>3.8106</v>
      </c>
      <c r="F6724" s="149" t="n">
        <f aca="false">IF(C6724="MAT.",VLOOKUP(A6724,INSUMOS_AUX!$A$3:$H$813,6,0),0)</f>
        <v>0</v>
      </c>
      <c r="G6724" s="149" t="n">
        <f aca="false">IF(C6724="M.O.",VLOOKUP(A6724,INSUMOS_AUX!A:F,6,0),0)</f>
        <v>0</v>
      </c>
    </row>
    <row r="6725" customFormat="false" ht="21" hidden="false" customHeight="false" outlineLevel="0" collapsed="false">
      <c r="A6725" s="154" t="n">
        <v>43491</v>
      </c>
      <c r="B6725" s="155" t="s">
        <v>1457</v>
      </c>
      <c r="C6725" s="148" t="str">
        <f aca="false">VLOOKUP($A6725,INSUMOS_AUX!$A$3:$H$813,3,0)</f>
        <v>MAT.</v>
      </c>
      <c r="D6725" s="156" t="s">
        <v>1444</v>
      </c>
      <c r="E6725" s="154" t="n">
        <v>3.30162</v>
      </c>
      <c r="F6725" s="149" t="n">
        <f aca="false">IF(C6725="MAT.",VLOOKUP(A6725,INSUMOS_AUX!$A$3:$H$813,6,0),0)</f>
        <v>1.39</v>
      </c>
      <c r="G6725" s="149" t="n">
        <f aca="false">IF(C6725="M.O.",VLOOKUP(A6725,INSUMOS_AUX!A:F,6,0),0)</f>
        <v>0</v>
      </c>
    </row>
    <row r="6726" customFormat="false" ht="21" hidden="false" customHeight="false" outlineLevel="0" collapsed="false">
      <c r="A6726" s="154" t="n">
        <v>37372</v>
      </c>
      <c r="B6726" s="155" t="s">
        <v>1446</v>
      </c>
      <c r="C6726" s="148" t="str">
        <f aca="false">VLOOKUP($A6726,INSUMOS_AUX!$A$3:$H$813,3,0)</f>
        <v>MAT.</v>
      </c>
      <c r="D6726" s="156" t="s">
        <v>1444</v>
      </c>
      <c r="E6726" s="154" t="n">
        <v>7.11222</v>
      </c>
      <c r="F6726" s="149" t="n">
        <f aca="false">IF(C6726="MAT.",VLOOKUP(A6726,INSUMOS_AUX!$A$3:$H$813,6,0),0)</f>
        <v>1.43</v>
      </c>
      <c r="G6726" s="149" t="n">
        <f aca="false">IF(C6726="M.O.",VLOOKUP(A6726,INSUMOS_AUX!A:F,6,0),0)</f>
        <v>0</v>
      </c>
    </row>
    <row r="6727" customFormat="false" ht="21" hidden="false" customHeight="false" outlineLevel="0" collapsed="false">
      <c r="A6727" s="154" t="n">
        <v>43461</v>
      </c>
      <c r="B6727" s="155" t="s">
        <v>1482</v>
      </c>
      <c r="C6727" s="148" t="str">
        <f aca="false">VLOOKUP($A6727,INSUMOS_AUX!$A$3:$H$813,3,0)</f>
        <v>MAT.</v>
      </c>
      <c r="D6727" s="156" t="s">
        <v>1444</v>
      </c>
      <c r="E6727" s="154" t="n">
        <v>3.8106</v>
      </c>
      <c r="F6727" s="149" t="n">
        <f aca="false">IF(C6727="MAT.",VLOOKUP(A6727,INSUMOS_AUX!$A$3:$H$813,6,0),0)</f>
        <v>0.31</v>
      </c>
      <c r="G6727" s="149" t="n">
        <f aca="false">IF(C6727="M.O.",VLOOKUP(A6727,INSUMOS_AUX!A:F,6,0),0)</f>
        <v>0</v>
      </c>
    </row>
    <row r="6728" customFormat="false" ht="21" hidden="false" customHeight="false" outlineLevel="0" collapsed="false">
      <c r="A6728" s="154" t="n">
        <v>43467</v>
      </c>
      <c r="B6728" s="155" t="s">
        <v>1459</v>
      </c>
      <c r="C6728" s="148" t="str">
        <f aca="false">VLOOKUP($A6728,INSUMOS_AUX!$A$3:$H$813,3,0)</f>
        <v>MAT.</v>
      </c>
      <c r="D6728" s="156" t="s">
        <v>1444</v>
      </c>
      <c r="E6728" s="154" t="n">
        <v>3.30162</v>
      </c>
      <c r="F6728" s="149" t="n">
        <f aca="false">IF(C6728="MAT.",VLOOKUP(A6728,INSUMOS_AUX!$A$3:$H$813,6,0),0)</f>
        <v>0.61</v>
      </c>
      <c r="G6728" s="149" t="n">
        <f aca="false">IF(C6728="M.O.",VLOOKUP(A6728,INSUMOS_AUX!A:F,6,0),0)</f>
        <v>0</v>
      </c>
    </row>
    <row r="6729" customFormat="false" ht="21" hidden="false" customHeight="false" outlineLevel="0" collapsed="false">
      <c r="A6729" s="154" t="n">
        <v>37373</v>
      </c>
      <c r="B6729" s="155" t="s">
        <v>1448</v>
      </c>
      <c r="C6729" s="148" t="str">
        <f aca="false">VLOOKUP($A6729,INSUMOS_AUX!$A$3:$H$813,3,0)</f>
        <v>MAT.</v>
      </c>
      <c r="D6729" s="156" t="s">
        <v>1444</v>
      </c>
      <c r="E6729" s="154" t="n">
        <v>7.11222</v>
      </c>
      <c r="F6729" s="149" t="n">
        <f aca="false">IF(C6729="MAT.",VLOOKUP(A6729,INSUMOS_AUX!$A$3:$H$813,6,0),0)</f>
        <v>0.08</v>
      </c>
      <c r="G6729" s="149" t="n">
        <f aca="false">IF(C6729="M.O.",VLOOKUP(A6729,INSUMOS_AUX!A:F,6,0),0)</f>
        <v>0</v>
      </c>
    </row>
    <row r="6730" customFormat="false" ht="21" hidden="false" customHeight="false" outlineLevel="0" collapsed="false">
      <c r="A6730" s="154" t="n">
        <v>37371</v>
      </c>
      <c r="B6730" s="155" t="s">
        <v>1449</v>
      </c>
      <c r="C6730" s="148" t="str">
        <f aca="false">VLOOKUP($A6730,INSUMOS_AUX!$A$3:$H$813,3,0)</f>
        <v>MAT.</v>
      </c>
      <c r="D6730" s="156" t="s">
        <v>1444</v>
      </c>
      <c r="E6730" s="154" t="n">
        <v>7.11222</v>
      </c>
      <c r="F6730" s="149" t="n">
        <f aca="false">IF(C6730="MAT.",VLOOKUP(A6730,INSUMOS_AUX!$A$3:$H$813,6,0),0)</f>
        <v>0.59</v>
      </c>
      <c r="G6730" s="149" t="n">
        <f aca="false">IF(C6730="M.O.",VLOOKUP(A6730,INSUMOS_AUX!A:F,6,0),0)</f>
        <v>0</v>
      </c>
    </row>
    <row r="6731" customFormat="false" ht="21" hidden="false" customHeight="false" outlineLevel="0" collapsed="false">
      <c r="A6731" s="154" t="n">
        <v>10899</v>
      </c>
      <c r="B6731" s="155" t="s">
        <v>2670</v>
      </c>
      <c r="C6731" s="148" t="str">
        <f aca="false">VLOOKUP($A6731,INSUMOS_AUX!$A$3:$H$813,3,0)</f>
        <v>MAT.</v>
      </c>
      <c r="D6731" s="156" t="s">
        <v>31</v>
      </c>
      <c r="E6731" s="154" t="n">
        <v>1</v>
      </c>
      <c r="F6731" s="149" t="n">
        <f aca="false">IF(C6731="MAT.",VLOOKUP(A6731,INSUMOS_AUX!$A$3:$H$813,6,0),0)</f>
        <v>144.89</v>
      </c>
      <c r="G6731" s="149" t="n">
        <f aca="false">IF(C6731="M.O.",VLOOKUP(A6731,INSUMOS_AUX!A:F,6,0),0)</f>
        <v>0</v>
      </c>
    </row>
    <row r="6732" customFormat="false" ht="21" hidden="false" customHeight="false" outlineLevel="0" collapsed="false">
      <c r="A6732" s="154" t="n">
        <v>370</v>
      </c>
      <c r="B6732" s="155" t="s">
        <v>1527</v>
      </c>
      <c r="C6732" s="148" t="str">
        <f aca="false">VLOOKUP($A6732,INSUMOS_AUX!$A$3:$H$813,3,0)</f>
        <v>MAT.</v>
      </c>
      <c r="D6732" s="156" t="s">
        <v>1442</v>
      </c>
      <c r="E6732" s="154" t="n">
        <v>0.34104</v>
      </c>
      <c r="F6732" s="149" t="n">
        <f aca="false">IF(C6732="MAT.",VLOOKUP(A6732,INSUMOS_AUX!$A$3:$H$813,6,0),0)</f>
        <v>150</v>
      </c>
      <c r="G6732" s="149" t="n">
        <f aca="false">IF(C6732="M.O.",VLOOKUP(A6732,INSUMOS_AUX!A:F,6,0),0)</f>
        <v>0</v>
      </c>
    </row>
    <row r="6733" customFormat="false" ht="52.5" hidden="false" customHeight="false" outlineLevel="0" collapsed="false">
      <c r="A6733" s="154" t="n">
        <v>20962</v>
      </c>
      <c r="B6733" s="155" t="s">
        <v>2671</v>
      </c>
      <c r="C6733" s="148" t="str">
        <f aca="false">VLOOKUP($A6733,INSUMOS_AUX!$A$3:$H$813,3,0)</f>
        <v>MAT.</v>
      </c>
      <c r="D6733" s="156" t="s">
        <v>31</v>
      </c>
      <c r="E6733" s="154" t="n">
        <v>1</v>
      </c>
      <c r="F6733" s="149" t="n">
        <f aca="false">IF(C6733="MAT.",VLOOKUP(A6733,INSUMOS_AUX!$A$3:$H$813,6,0),0)</f>
        <v>300</v>
      </c>
      <c r="G6733" s="149" t="n">
        <f aca="false">IF(C6733="M.O.",VLOOKUP(A6733,INSUMOS_AUX!A:F,6,0),0)</f>
        <v>0</v>
      </c>
    </row>
    <row r="6734" customFormat="false" ht="15" hidden="false" customHeight="false" outlineLevel="0" collapsed="false">
      <c r="A6734" s="154" t="n">
        <v>1106</v>
      </c>
      <c r="B6734" s="155" t="s">
        <v>1745</v>
      </c>
      <c r="C6734" s="148" t="str">
        <f aca="false">VLOOKUP($A6734,INSUMOS_AUX!$A$3:$H$813,3,0)</f>
        <v>MAT.</v>
      </c>
      <c r="D6734" s="156" t="s">
        <v>1513</v>
      </c>
      <c r="E6734" s="154" t="n">
        <v>34.2216</v>
      </c>
      <c r="F6734" s="149" t="n">
        <f aca="false">IF(C6734="MAT.",VLOOKUP(A6734,INSUMOS_AUX!$A$3:$H$813,6,0),0)</f>
        <v>1.39</v>
      </c>
      <c r="G6734" s="149" t="n">
        <f aca="false">IF(C6734="M.O.",VLOOKUP(A6734,INSUMOS_AUX!A:F,6,0),0)</f>
        <v>0</v>
      </c>
    </row>
    <row r="6735" customFormat="false" ht="21" hidden="false" customHeight="false" outlineLevel="0" collapsed="false">
      <c r="A6735" s="154" t="n">
        <v>20971</v>
      </c>
      <c r="B6735" s="155" t="s">
        <v>2672</v>
      </c>
      <c r="C6735" s="148" t="str">
        <f aca="false">VLOOKUP($A6735,INSUMOS_AUX!$A$3:$H$813,3,0)</f>
        <v>MAT.</v>
      </c>
      <c r="D6735" s="156" t="s">
        <v>31</v>
      </c>
      <c r="E6735" s="154" t="n">
        <v>1</v>
      </c>
      <c r="F6735" s="149" t="n">
        <f aca="false">IF(C6735="MAT.",VLOOKUP(A6735,INSUMOS_AUX!$A$3:$H$813,6,0),0)</f>
        <v>31.49</v>
      </c>
      <c r="G6735" s="149" t="n">
        <f aca="false">IF(C6735="M.O.",VLOOKUP(A6735,INSUMOS_AUX!A:F,6,0),0)</f>
        <v>0</v>
      </c>
    </row>
    <row r="6736" customFormat="false" ht="15" hidden="false" customHeight="false" outlineLevel="0" collapsed="false">
      <c r="A6736" s="154" t="n">
        <v>1379</v>
      </c>
      <c r="B6736" s="155" t="s">
        <v>1535</v>
      </c>
      <c r="C6736" s="148" t="str">
        <f aca="false">VLOOKUP($A6736,INSUMOS_AUX!$A$3:$H$813,3,0)</f>
        <v>MAT.</v>
      </c>
      <c r="D6736" s="156" t="s">
        <v>1513</v>
      </c>
      <c r="E6736" s="154" t="n">
        <v>76.99566</v>
      </c>
      <c r="F6736" s="149" t="n">
        <f aca="false">IF(C6736="MAT.",VLOOKUP(A6736,INSUMOS_AUX!$A$3:$H$813,6,0),0)</f>
        <v>0.72</v>
      </c>
      <c r="G6736" s="149" t="n">
        <f aca="false">IF(C6736="M.O.",VLOOKUP(A6736,INSUMOS_AUX!A:F,6,0),0)</f>
        <v>0</v>
      </c>
    </row>
    <row r="6737" customFormat="false" ht="21" hidden="false" customHeight="false" outlineLevel="0" collapsed="false">
      <c r="A6737" s="154" t="n">
        <v>37555</v>
      </c>
      <c r="B6737" s="155" t="s">
        <v>2673</v>
      </c>
      <c r="C6737" s="148" t="str">
        <f aca="false">VLOOKUP($A6737,INSUMOS_AUX!$A$3:$H$813,3,0)</f>
        <v>MAT.</v>
      </c>
      <c r="D6737" s="156" t="s">
        <v>31</v>
      </c>
      <c r="E6737" s="154" t="n">
        <v>1</v>
      </c>
      <c r="F6737" s="149" t="n">
        <f aca="false">IF(C6737="MAT.",VLOOKUP(A6737,INSUMOS_AUX!$A$3:$H$813,6,0),0)</f>
        <v>472.49</v>
      </c>
      <c r="G6737" s="149" t="n">
        <f aca="false">IF(C6737="M.O.",VLOOKUP(A6737,INSUMOS_AUX!A:F,6,0),0)</f>
        <v>0</v>
      </c>
    </row>
    <row r="6738" customFormat="false" ht="31.5" hidden="false" customHeight="false" outlineLevel="0" collapsed="false">
      <c r="A6738" s="154" t="n">
        <v>21034</v>
      </c>
      <c r="B6738" s="155" t="s">
        <v>2674</v>
      </c>
      <c r="C6738" s="148" t="str">
        <f aca="false">VLOOKUP($A6738,INSUMOS_AUX!$A$3:$H$813,3,0)</f>
        <v>MAT.</v>
      </c>
      <c r="D6738" s="156" t="s">
        <v>31</v>
      </c>
      <c r="E6738" s="154" t="n">
        <v>2</v>
      </c>
      <c r="F6738" s="149" t="n">
        <f aca="false">IF(C6738="MAT.",VLOOKUP(A6738,INSUMOS_AUX!$A$3:$H$813,6,0),0)</f>
        <v>583.03</v>
      </c>
      <c r="G6738" s="149" t="n">
        <f aca="false">IF(C6738="M.O.",VLOOKUP(A6738,INSUMOS_AUX!A:F,6,0),0)</f>
        <v>0</v>
      </c>
    </row>
    <row r="6739" customFormat="false" ht="31.5" hidden="false" customHeight="false" outlineLevel="0" collapsed="false">
      <c r="A6739" s="154" t="n">
        <v>10904</v>
      </c>
      <c r="B6739" s="155" t="s">
        <v>2675</v>
      </c>
      <c r="C6739" s="148" t="str">
        <f aca="false">VLOOKUP($A6739,INSUMOS_AUX!$A$3:$H$813,3,0)</f>
        <v>MAT.</v>
      </c>
      <c r="D6739" s="156" t="s">
        <v>31</v>
      </c>
      <c r="E6739" s="154" t="n">
        <v>1</v>
      </c>
      <c r="F6739" s="149" t="n">
        <f aca="false">IF(C6739="MAT.",VLOOKUP(A6739,INSUMOS_AUX!$A$3:$H$813,6,0),0)</f>
        <v>330.75</v>
      </c>
      <c r="G6739" s="149" t="n">
        <f aca="false">IF(C6739="M.O.",VLOOKUP(A6739,INSUMOS_AUX!A:F,6,0),0)</f>
        <v>0</v>
      </c>
    </row>
    <row r="6740" customFormat="false" ht="15" hidden="false" customHeight="false" outlineLevel="0" collapsed="false">
      <c r="A6740" s="154" t="n">
        <v>246</v>
      </c>
      <c r="B6740" s="155" t="s">
        <v>1752</v>
      </c>
      <c r="C6740" s="148" t="s">
        <v>59</v>
      </c>
      <c r="D6740" s="156" t="s">
        <v>1444</v>
      </c>
      <c r="E6740" s="154" t="n">
        <v>1.939557294</v>
      </c>
      <c r="F6740" s="149" t="n">
        <f aca="false">IF(C6740="MAT.",VLOOKUP(A6740,INSUMOS_AUX!$A$3:$H$813,6,0),0)</f>
        <v>0</v>
      </c>
      <c r="G6740" s="149" t="n">
        <f aca="false">IF(C6740="M.O.",VLOOKUP(A6740,INSUMOS_AUX!A:F,6,0),0)</f>
        <v>0</v>
      </c>
    </row>
    <row r="6741" customFormat="false" ht="15" hidden="false" customHeight="false" outlineLevel="0" collapsed="false">
      <c r="A6741" s="154" t="n">
        <v>2696</v>
      </c>
      <c r="B6741" s="155" t="s">
        <v>1483</v>
      </c>
      <c r="C6741" s="148" t="str">
        <f aca="false">VLOOKUP($A6741,INSUMOS_AUX!$A$3:$H$813,3,0)</f>
        <v>M.O.</v>
      </c>
      <c r="D6741" s="156" t="s">
        <v>1444</v>
      </c>
      <c r="E6741" s="154" t="n">
        <v>1.939557294</v>
      </c>
      <c r="F6741" s="149" t="n">
        <f aca="false">IF(C6741="MAT.",VLOOKUP(A6741,INSUMOS_AUX!$A$3:$H$813,6,0),0)</f>
        <v>0</v>
      </c>
      <c r="G6741" s="149" t="n">
        <f aca="false">IF(C6741="M.O.",VLOOKUP(A6741,INSUMOS_AUX!A:F,6,0),0)</f>
        <v>20.22</v>
      </c>
    </row>
    <row r="6742" customFormat="false" ht="15" hidden="false" customHeight="false" outlineLevel="0" collapsed="false">
      <c r="A6742" s="154" t="n">
        <v>6111</v>
      </c>
      <c r="B6742" s="155" t="s">
        <v>1464</v>
      </c>
      <c r="C6742" s="148" t="str">
        <f aca="false">VLOOKUP($A6742,INSUMOS_AUX!$A$3:$H$813,3,0)</f>
        <v>M.O.</v>
      </c>
      <c r="D6742" s="156" t="s">
        <v>1444</v>
      </c>
      <c r="E6742" s="154" t="n">
        <v>3.371614344</v>
      </c>
      <c r="F6742" s="149" t="n">
        <f aca="false">IF(C6742="MAT.",VLOOKUP(A6742,INSUMOS_AUX!$A$3:$H$813,6,0),0)</f>
        <v>0</v>
      </c>
      <c r="G6742" s="149" t="n">
        <f aca="false">IF(C6742="M.O.",VLOOKUP(A6742,INSUMOS_AUX!A:F,6,0),0)</f>
        <v>12.95</v>
      </c>
    </row>
    <row r="6743" customFormat="false" ht="15" hidden="false" customHeight="false" outlineLevel="0" collapsed="false">
      <c r="A6743" s="150" t="s">
        <v>1161</v>
      </c>
      <c r="B6743" s="151" t="s">
        <v>2676</v>
      </c>
      <c r="C6743" s="152" t="s">
        <v>59</v>
      </c>
      <c r="D6743" s="152" t="s">
        <v>31</v>
      </c>
      <c r="E6743" s="150"/>
      <c r="F6743" s="153" t="n">
        <f aca="false">(SUMPRODUCT($E6744:$E6771,F6744:F6771))*1</f>
        <v>1135.4991</v>
      </c>
      <c r="G6743" s="153" t="n">
        <f aca="false">(SUMPRODUCT($E6744:$E6771,G6744:G6771))*1</f>
        <v>237.3211944</v>
      </c>
    </row>
    <row r="6744" customFormat="false" ht="21" hidden="false" customHeight="false" outlineLevel="0" collapsed="false">
      <c r="A6744" s="154" t="n">
        <v>37370</v>
      </c>
      <c r="B6744" s="155" t="s">
        <v>1443</v>
      </c>
      <c r="C6744" s="148" t="str">
        <f aca="false">VLOOKUP($A6744,INSUMOS_AUX!$A$3:$H$813,3,0)</f>
        <v>MAT.</v>
      </c>
      <c r="D6744" s="156" t="s">
        <v>1444</v>
      </c>
      <c r="E6744" s="154" t="n">
        <v>14</v>
      </c>
      <c r="F6744" s="149" t="n">
        <f aca="false">IF(C6744="MAT.",VLOOKUP(A6744,INSUMOS_AUX!$A$3:$H$813,6,0),0)</f>
        <v>3.32</v>
      </c>
      <c r="G6744" s="149" t="n">
        <f aca="false">IF(C6744="M.O.",VLOOKUP(A6744,INSUMOS_AUX!A:F,6,0),0)</f>
        <v>0</v>
      </c>
    </row>
    <row r="6745" customFormat="false" ht="21" hidden="false" customHeight="false" outlineLevel="0" collapsed="false">
      <c r="A6745" s="154" t="n">
        <v>43485</v>
      </c>
      <c r="B6745" s="155" t="s">
        <v>1481</v>
      </c>
      <c r="C6745" s="148" t="str">
        <f aca="false">VLOOKUP($A6745,INSUMOS_AUX!$A$3:$H$813,3,0)</f>
        <v>MAT.</v>
      </c>
      <c r="D6745" s="156" t="s">
        <v>1444</v>
      </c>
      <c r="E6745" s="154" t="n">
        <v>2</v>
      </c>
      <c r="F6745" s="149" t="n">
        <f aca="false">IF(C6745="MAT.",VLOOKUP(A6745,INSUMOS_AUX!$A$3:$H$813,6,0),0)</f>
        <v>1.13</v>
      </c>
      <c r="G6745" s="149" t="n">
        <f aca="false">IF(C6745="M.O.",VLOOKUP(A6745,INSUMOS_AUX!A:F,6,0),0)</f>
        <v>0</v>
      </c>
    </row>
    <row r="6746" customFormat="false" ht="21" hidden="false" customHeight="false" outlineLevel="0" collapsed="false">
      <c r="A6746" s="154" t="n">
        <v>43489</v>
      </c>
      <c r="B6746" s="155" t="s">
        <v>1456</v>
      </c>
      <c r="C6746" s="148" t="str">
        <f aca="false">VLOOKUP($A6746,INSUMOS_AUX!$A$3:$H$813,3,0)</f>
        <v>MAT.</v>
      </c>
      <c r="D6746" s="156" t="s">
        <v>1444</v>
      </c>
      <c r="E6746" s="154" t="n">
        <v>6</v>
      </c>
      <c r="F6746" s="149" t="n">
        <f aca="false">IF(C6746="MAT.",VLOOKUP(A6746,INSUMOS_AUX!$A$3:$H$813,6,0),0)</f>
        <v>1.31</v>
      </c>
      <c r="G6746" s="149" t="n">
        <f aca="false">IF(C6746="M.O.",VLOOKUP(A6746,INSUMOS_AUX!A:F,6,0),0)</f>
        <v>0</v>
      </c>
    </row>
    <row r="6747" customFormat="false" ht="21" hidden="false" customHeight="false" outlineLevel="0" collapsed="false">
      <c r="A6747" s="154" t="n">
        <v>43491</v>
      </c>
      <c r="B6747" s="155" t="s">
        <v>1457</v>
      </c>
      <c r="C6747" s="148" t="str">
        <f aca="false">VLOOKUP($A6747,INSUMOS_AUX!$A$3:$H$813,3,0)</f>
        <v>MAT.</v>
      </c>
      <c r="D6747" s="156" t="s">
        <v>1444</v>
      </c>
      <c r="E6747" s="154" t="n">
        <v>6</v>
      </c>
      <c r="F6747" s="149" t="n">
        <f aca="false">IF(C6747="MAT.",VLOOKUP(A6747,INSUMOS_AUX!$A$3:$H$813,6,0),0)</f>
        <v>1.39</v>
      </c>
      <c r="G6747" s="149" t="n">
        <f aca="false">IF(C6747="M.O.",VLOOKUP(A6747,INSUMOS_AUX!A:F,6,0),0)</f>
        <v>0</v>
      </c>
    </row>
    <row r="6748" customFormat="false" ht="21" hidden="false" customHeight="false" outlineLevel="0" collapsed="false">
      <c r="A6748" s="154" t="n">
        <v>37372</v>
      </c>
      <c r="B6748" s="155" t="s">
        <v>1446</v>
      </c>
      <c r="C6748" s="148" t="str">
        <f aca="false">VLOOKUP($A6748,INSUMOS_AUX!$A$3:$H$813,3,0)</f>
        <v>MAT.</v>
      </c>
      <c r="D6748" s="156" t="s">
        <v>1444</v>
      </c>
      <c r="E6748" s="154" t="n">
        <v>14</v>
      </c>
      <c r="F6748" s="149" t="n">
        <f aca="false">IF(C6748="MAT.",VLOOKUP(A6748,INSUMOS_AUX!$A$3:$H$813,6,0),0)</f>
        <v>1.43</v>
      </c>
      <c r="G6748" s="149" t="n">
        <f aca="false">IF(C6748="M.O.",VLOOKUP(A6748,INSUMOS_AUX!A:F,6,0),0)</f>
        <v>0</v>
      </c>
    </row>
    <row r="6749" customFormat="false" ht="21" hidden="false" customHeight="false" outlineLevel="0" collapsed="false">
      <c r="A6749" s="154" t="n">
        <v>43461</v>
      </c>
      <c r="B6749" s="155" t="s">
        <v>1482</v>
      </c>
      <c r="C6749" s="148" t="str">
        <f aca="false">VLOOKUP($A6749,INSUMOS_AUX!$A$3:$H$813,3,0)</f>
        <v>MAT.</v>
      </c>
      <c r="D6749" s="156" t="s">
        <v>1444</v>
      </c>
      <c r="E6749" s="154" t="n">
        <v>2</v>
      </c>
      <c r="F6749" s="149" t="n">
        <f aca="false">IF(C6749="MAT.",VLOOKUP(A6749,INSUMOS_AUX!$A$3:$H$813,6,0),0)</f>
        <v>0.31</v>
      </c>
      <c r="G6749" s="149" t="n">
        <f aca="false">IF(C6749="M.O.",VLOOKUP(A6749,INSUMOS_AUX!A:F,6,0),0)</f>
        <v>0</v>
      </c>
    </row>
    <row r="6750" customFormat="false" ht="21" hidden="false" customHeight="false" outlineLevel="0" collapsed="false">
      <c r="A6750" s="154" t="n">
        <v>43465</v>
      </c>
      <c r="B6750" s="155" t="s">
        <v>1458</v>
      </c>
      <c r="C6750" s="148" t="s">
        <v>59</v>
      </c>
      <c r="D6750" s="156" t="s">
        <v>1444</v>
      </c>
      <c r="E6750" s="154" t="n">
        <v>6</v>
      </c>
      <c r="F6750" s="149" t="n">
        <f aca="false">IF(C6750="MAT.",VLOOKUP(A6750,INSUMOS_AUX!$A$3:$H$813,6,0),0)</f>
        <v>0</v>
      </c>
      <c r="G6750" s="149" t="n">
        <f aca="false">IF(C6750="M.O.",VLOOKUP(A6750,INSUMOS_AUX!A:F,6,0),0)</f>
        <v>0</v>
      </c>
    </row>
    <row r="6751" customFormat="false" ht="21" hidden="false" customHeight="false" outlineLevel="0" collapsed="false">
      <c r="A6751" s="154" t="n">
        <v>43467</v>
      </c>
      <c r="B6751" s="155" t="s">
        <v>1459</v>
      </c>
      <c r="C6751" s="148" t="str">
        <f aca="false">VLOOKUP($A6751,INSUMOS_AUX!$A$3:$H$813,3,0)</f>
        <v>MAT.</v>
      </c>
      <c r="D6751" s="156" t="s">
        <v>1444</v>
      </c>
      <c r="E6751" s="154" t="n">
        <v>6</v>
      </c>
      <c r="F6751" s="149" t="n">
        <f aca="false">IF(C6751="MAT.",VLOOKUP(A6751,INSUMOS_AUX!$A$3:$H$813,6,0),0)</f>
        <v>0.61</v>
      </c>
      <c r="G6751" s="149" t="n">
        <f aca="false">IF(C6751="M.O.",VLOOKUP(A6751,INSUMOS_AUX!A:F,6,0),0)</f>
        <v>0</v>
      </c>
    </row>
    <row r="6752" customFormat="false" ht="21" hidden="false" customHeight="false" outlineLevel="0" collapsed="false">
      <c r="A6752" s="154" t="n">
        <v>37373</v>
      </c>
      <c r="B6752" s="155" t="s">
        <v>1448</v>
      </c>
      <c r="C6752" s="148" t="str">
        <f aca="false">VLOOKUP($A6752,INSUMOS_AUX!$A$3:$H$813,3,0)</f>
        <v>MAT.</v>
      </c>
      <c r="D6752" s="156" t="s">
        <v>1444</v>
      </c>
      <c r="E6752" s="154" t="n">
        <v>14</v>
      </c>
      <c r="F6752" s="149" t="n">
        <f aca="false">IF(C6752="MAT.",VLOOKUP(A6752,INSUMOS_AUX!$A$3:$H$813,6,0),0)</f>
        <v>0.08</v>
      </c>
      <c r="G6752" s="149" t="n">
        <f aca="false">IF(C6752="M.O.",VLOOKUP(A6752,INSUMOS_AUX!A:F,6,0),0)</f>
        <v>0</v>
      </c>
    </row>
    <row r="6753" customFormat="false" ht="21" hidden="false" customHeight="false" outlineLevel="0" collapsed="false">
      <c r="A6753" s="154" t="n">
        <v>37371</v>
      </c>
      <c r="B6753" s="155" t="s">
        <v>1449</v>
      </c>
      <c r="C6753" s="148" t="str">
        <f aca="false">VLOOKUP($A6753,INSUMOS_AUX!$A$3:$H$813,3,0)</f>
        <v>MAT.</v>
      </c>
      <c r="D6753" s="156" t="s">
        <v>1444</v>
      </c>
      <c r="E6753" s="154" t="n">
        <v>14</v>
      </c>
      <c r="F6753" s="149" t="n">
        <f aca="false">IF(C6753="MAT.",VLOOKUP(A6753,INSUMOS_AUX!$A$3:$H$813,6,0),0)</f>
        <v>0.59</v>
      </c>
      <c r="G6753" s="149" t="n">
        <f aca="false">IF(C6753="M.O.",VLOOKUP(A6753,INSUMOS_AUX!A:F,6,0),0)</f>
        <v>0</v>
      </c>
    </row>
    <row r="6754" customFormat="false" ht="15" hidden="false" customHeight="false" outlineLevel="0" collapsed="false">
      <c r="A6754" s="154" t="n">
        <v>43061</v>
      </c>
      <c r="B6754" s="155" t="s">
        <v>2677</v>
      </c>
      <c r="C6754" s="148" t="str">
        <f aca="false">VLOOKUP($A6754,INSUMOS_AUX!$A$3:$H$813,3,0)</f>
        <v>MAT.</v>
      </c>
      <c r="D6754" s="156" t="s">
        <v>1513</v>
      </c>
      <c r="E6754" s="154" t="n">
        <v>0.84</v>
      </c>
      <c r="F6754" s="149" t="n">
        <f aca="false">IF(C6754="MAT.",VLOOKUP(A6754,INSUMOS_AUX!$A$3:$H$813,6,0),0)</f>
        <v>7.61</v>
      </c>
      <c r="G6754" s="149" t="n">
        <f aca="false">IF(C6754="M.O.",VLOOKUP(A6754,INSUMOS_AUX!A:F,6,0),0)</f>
        <v>0</v>
      </c>
    </row>
    <row r="6755" customFormat="false" ht="21" hidden="false" customHeight="false" outlineLevel="0" collapsed="false">
      <c r="A6755" s="154" t="n">
        <v>10899</v>
      </c>
      <c r="B6755" s="155" t="s">
        <v>2670</v>
      </c>
      <c r="C6755" s="148" t="str">
        <f aca="false">VLOOKUP($A6755,INSUMOS_AUX!$A$3:$H$813,3,0)</f>
        <v>MAT.</v>
      </c>
      <c r="D6755" s="156" t="s">
        <v>31</v>
      </c>
      <c r="E6755" s="154" t="n">
        <v>1</v>
      </c>
      <c r="F6755" s="149" t="n">
        <f aca="false">IF(C6755="MAT.",VLOOKUP(A6755,INSUMOS_AUX!$A$3:$H$813,6,0),0)</f>
        <v>144.89</v>
      </c>
      <c r="G6755" s="149" t="n">
        <f aca="false">IF(C6755="M.O.",VLOOKUP(A6755,INSUMOS_AUX!A:F,6,0),0)</f>
        <v>0</v>
      </c>
    </row>
    <row r="6756" customFormat="false" ht="21" hidden="false" customHeight="false" outlineLevel="0" collapsed="false">
      <c r="A6756" s="154" t="n">
        <v>43132</v>
      </c>
      <c r="B6756" s="155" t="s">
        <v>1565</v>
      </c>
      <c r="C6756" s="148" t="str">
        <f aca="false">VLOOKUP($A6756,INSUMOS_AUX!$A$3:$H$813,3,0)</f>
        <v>MAT.</v>
      </c>
      <c r="D6756" s="156" t="s">
        <v>1513</v>
      </c>
      <c r="E6756" s="154" t="n">
        <v>0.015</v>
      </c>
      <c r="F6756" s="149" t="n">
        <f aca="false">IF(C6756="MAT.",VLOOKUP(A6756,INSUMOS_AUX!$A$3:$H$813,6,0),0)</f>
        <v>28</v>
      </c>
      <c r="G6756" s="149" t="n">
        <f aca="false">IF(C6756="M.O.",VLOOKUP(A6756,INSUMOS_AUX!A:F,6,0),0)</f>
        <v>0</v>
      </c>
    </row>
    <row r="6757" customFormat="false" ht="21" hidden="false" customHeight="false" outlineLevel="0" collapsed="false">
      <c r="A6757" s="154" t="n">
        <v>370</v>
      </c>
      <c r="B6757" s="155" t="s">
        <v>1527</v>
      </c>
      <c r="C6757" s="148" t="str">
        <f aca="false">VLOOKUP($A6757,INSUMOS_AUX!$A$3:$H$813,3,0)</f>
        <v>MAT.</v>
      </c>
      <c r="D6757" s="156" t="s">
        <v>1442</v>
      </c>
      <c r="E6757" s="154" t="n">
        <v>0.1116</v>
      </c>
      <c r="F6757" s="149" t="n">
        <f aca="false">IF(C6757="MAT.",VLOOKUP(A6757,INSUMOS_AUX!$A$3:$H$813,6,0),0)</f>
        <v>150</v>
      </c>
      <c r="G6757" s="149" t="n">
        <f aca="false">IF(C6757="M.O.",VLOOKUP(A6757,INSUMOS_AUX!A:F,6,0),0)</f>
        <v>0</v>
      </c>
    </row>
    <row r="6758" customFormat="false" ht="15" hidden="false" customHeight="false" outlineLevel="0" collapsed="false">
      <c r="A6758" s="154" t="n">
        <v>1107</v>
      </c>
      <c r="B6758" s="155" t="s">
        <v>2678</v>
      </c>
      <c r="C6758" s="148" t="str">
        <f aca="false">VLOOKUP($A6758,INSUMOS_AUX!$A$3:$H$813,3,0)</f>
        <v>MAT.</v>
      </c>
      <c r="D6758" s="156" t="s">
        <v>1513</v>
      </c>
      <c r="E6758" s="154" t="n">
        <v>6.67</v>
      </c>
      <c r="F6758" s="149" t="n">
        <f aca="false">IF(C6758="MAT.",VLOOKUP(A6758,INSUMOS_AUX!$A$3:$H$813,6,0),0)</f>
        <v>1.18</v>
      </c>
      <c r="G6758" s="149" t="n">
        <f aca="false">IF(C6758="M.O.",VLOOKUP(A6758,INSUMOS_AUX!A:F,6,0),0)</f>
        <v>0</v>
      </c>
    </row>
    <row r="6759" customFormat="false" ht="15" hidden="false" customHeight="false" outlineLevel="0" collapsed="false">
      <c r="A6759" s="154" t="n">
        <v>1379</v>
      </c>
      <c r="B6759" s="155" t="s">
        <v>1535</v>
      </c>
      <c r="C6759" s="148" t="str">
        <f aca="false">VLOOKUP($A6759,INSUMOS_AUX!$A$3:$H$813,3,0)</f>
        <v>MAT.</v>
      </c>
      <c r="D6759" s="156" t="s">
        <v>1513</v>
      </c>
      <c r="E6759" s="154" t="n">
        <v>33.25</v>
      </c>
      <c r="F6759" s="149" t="n">
        <f aca="false">IF(C6759="MAT.",VLOOKUP(A6759,INSUMOS_AUX!$A$3:$H$813,6,0),0)</f>
        <v>0.72</v>
      </c>
      <c r="G6759" s="149" t="n">
        <f aca="false">IF(C6759="M.O.",VLOOKUP(A6759,INSUMOS_AUX!A:F,6,0),0)</f>
        <v>0</v>
      </c>
    </row>
    <row r="6760" customFormat="false" ht="21" hidden="false" customHeight="false" outlineLevel="0" collapsed="false">
      <c r="A6760" s="154" t="n">
        <v>44397</v>
      </c>
      <c r="B6760" s="155" t="s">
        <v>2679</v>
      </c>
      <c r="C6760" s="148" t="str">
        <f aca="false">VLOOKUP($A6760,INSUMOS_AUX!$A$3:$H$813,3,0)</f>
        <v>MAT.</v>
      </c>
      <c r="D6760" s="156" t="s">
        <v>1455</v>
      </c>
      <c r="E6760" s="154" t="n">
        <v>1.41</v>
      </c>
      <c r="F6760" s="149" t="n">
        <f aca="false">IF(C6760="MAT.",VLOOKUP(A6760,INSUMOS_AUX!$A$3:$H$813,6,0),0)</f>
        <v>3.97</v>
      </c>
      <c r="G6760" s="149" t="n">
        <f aca="false">IF(C6760="M.O.",VLOOKUP(A6760,INSUMOS_AUX!A:F,6,0),0)</f>
        <v>0</v>
      </c>
    </row>
    <row r="6761" customFormat="false" ht="21" hidden="false" customHeight="false" outlineLevel="0" collapsed="false">
      <c r="A6761" s="154" t="n">
        <v>4721</v>
      </c>
      <c r="B6761" s="155" t="s">
        <v>1593</v>
      </c>
      <c r="C6761" s="148" t="s">
        <v>59</v>
      </c>
      <c r="D6761" s="156" t="s">
        <v>1442</v>
      </c>
      <c r="E6761" s="154" t="n">
        <v>0.059</v>
      </c>
      <c r="F6761" s="149" t="n">
        <f aca="false">IF(C6761="MAT.",VLOOKUP(A6761,INSUMOS_AUX!$A$3:$H$813,6,0),0)</f>
        <v>0</v>
      </c>
      <c r="G6761" s="149" t="n">
        <f aca="false">IF(C6761="M.O.",VLOOKUP(A6761,INSUMOS_AUX!A:F,6,0),0)</f>
        <v>0</v>
      </c>
    </row>
    <row r="6762" customFormat="false" ht="15" hidden="false" customHeight="false" outlineLevel="0" collapsed="false">
      <c r="A6762" s="154" t="n">
        <v>5067</v>
      </c>
      <c r="B6762" s="155" t="s">
        <v>2680</v>
      </c>
      <c r="C6762" s="148" t="str">
        <f aca="false">VLOOKUP($A6762,INSUMOS_AUX!$A$3:$H$813,3,0)</f>
        <v>MAT.</v>
      </c>
      <c r="D6762" s="156" t="s">
        <v>1513</v>
      </c>
      <c r="E6762" s="154" t="n">
        <v>0.13</v>
      </c>
      <c r="F6762" s="149" t="n">
        <f aca="false">IF(C6762="MAT.",VLOOKUP(A6762,INSUMOS_AUX!$A$3:$H$813,6,0),0)</f>
        <v>21.68</v>
      </c>
      <c r="G6762" s="149" t="n">
        <f aca="false">IF(C6762="M.O.",VLOOKUP(A6762,INSUMOS_AUX!A:F,6,0),0)</f>
        <v>0</v>
      </c>
    </row>
    <row r="6763" customFormat="false" ht="31.5" hidden="false" customHeight="false" outlineLevel="0" collapsed="false">
      <c r="A6763" s="154" t="n">
        <v>10904</v>
      </c>
      <c r="B6763" s="155" t="s">
        <v>2675</v>
      </c>
      <c r="C6763" s="148" t="str">
        <f aca="false">VLOOKUP($A6763,INSUMOS_AUX!$A$3:$H$813,3,0)</f>
        <v>MAT.</v>
      </c>
      <c r="D6763" s="156" t="s">
        <v>31</v>
      </c>
      <c r="E6763" s="154" t="n">
        <v>1</v>
      </c>
      <c r="F6763" s="149" t="n">
        <f aca="false">IF(C6763="MAT.",VLOOKUP(A6763,INSUMOS_AUX!$A$3:$H$813,6,0),0)</f>
        <v>330.75</v>
      </c>
      <c r="G6763" s="149" t="n">
        <f aca="false">IF(C6763="M.O.",VLOOKUP(A6763,INSUMOS_AUX!A:F,6,0),0)</f>
        <v>0</v>
      </c>
    </row>
    <row r="6764" customFormat="false" ht="21" hidden="false" customHeight="false" outlineLevel="0" collapsed="false">
      <c r="A6764" s="154" t="n">
        <v>6212</v>
      </c>
      <c r="B6764" s="155" t="s">
        <v>1627</v>
      </c>
      <c r="C6764" s="148" t="str">
        <f aca="false">VLOOKUP($A6764,INSUMOS_AUX!$A$3:$H$813,3,0)</f>
        <v>MAT.</v>
      </c>
      <c r="D6764" s="156" t="s">
        <v>1455</v>
      </c>
      <c r="E6764" s="154" t="n">
        <v>0.5</v>
      </c>
      <c r="F6764" s="149" t="n">
        <f aca="false">IF(C6764="MAT.",VLOOKUP(A6764,INSUMOS_AUX!$A$3:$H$813,6,0),0)</f>
        <v>17</v>
      </c>
      <c r="G6764" s="149" t="n">
        <f aca="false">IF(C6764="M.O.",VLOOKUP(A6764,INSUMOS_AUX!A:F,6,0),0)</f>
        <v>0</v>
      </c>
    </row>
    <row r="6765" customFormat="false" ht="21" hidden="false" customHeight="false" outlineLevel="0" collapsed="false">
      <c r="A6765" s="154" t="n">
        <v>10905</v>
      </c>
      <c r="B6765" s="155" t="s">
        <v>2681</v>
      </c>
      <c r="C6765" s="148" t="str">
        <f aca="false">VLOOKUP($A6765,INSUMOS_AUX!$A$3:$H$813,3,0)</f>
        <v>MAT.</v>
      </c>
      <c r="D6765" s="156" t="s">
        <v>31</v>
      </c>
      <c r="E6765" s="154" t="n">
        <v>1</v>
      </c>
      <c r="F6765" s="149" t="n">
        <f aca="false">IF(C6765="MAT.",VLOOKUP(A6765,INSUMOS_AUX!$A$3:$H$813,6,0),0)</f>
        <v>173.24</v>
      </c>
      <c r="G6765" s="149" t="n">
        <f aca="false">IF(C6765="M.O.",VLOOKUP(A6765,INSUMOS_AUX!A:F,6,0),0)</f>
        <v>0</v>
      </c>
    </row>
    <row r="6766" customFormat="false" ht="31.5" hidden="false" customHeight="false" outlineLevel="0" collapsed="false">
      <c r="A6766" s="154" t="n">
        <v>14112</v>
      </c>
      <c r="B6766" s="155" t="s">
        <v>2533</v>
      </c>
      <c r="C6766" s="148" t="str">
        <f aca="false">VLOOKUP($A6766,INSUMOS_AUX!$A$3:$H$813,3,0)</f>
        <v>MAT.</v>
      </c>
      <c r="D6766" s="156" t="s">
        <v>31</v>
      </c>
      <c r="E6766" s="154" t="n">
        <v>1</v>
      </c>
      <c r="F6766" s="149" t="n">
        <f aca="false">IF(C6766="MAT.",VLOOKUP(A6766,INSUMOS_AUX!$A$3:$H$813,6,0),0)</f>
        <v>241.99</v>
      </c>
      <c r="G6766" s="149" t="n">
        <f aca="false">IF(C6766="M.O.",VLOOKUP(A6766,INSUMOS_AUX!A:F,6,0),0)</f>
        <v>0</v>
      </c>
    </row>
    <row r="6767" customFormat="false" ht="15" hidden="false" customHeight="false" outlineLevel="0" collapsed="false">
      <c r="A6767" s="154" t="n">
        <v>7258</v>
      </c>
      <c r="B6767" s="155" t="s">
        <v>2682</v>
      </c>
      <c r="C6767" s="148" t="str">
        <f aca="false">VLOOKUP($A6767,INSUMOS_AUX!$A$3:$H$813,3,0)</f>
        <v>MAT.</v>
      </c>
      <c r="D6767" s="156" t="s">
        <v>31</v>
      </c>
      <c r="E6767" s="154" t="n">
        <v>101</v>
      </c>
      <c r="F6767" s="149" t="n">
        <f aca="false">IF(C6767="MAT.",VLOOKUP(A6767,INSUMOS_AUX!$A$3:$H$813,6,0),0)</f>
        <v>0.73</v>
      </c>
      <c r="G6767" s="149" t="n">
        <f aca="false">IF(C6767="M.O.",VLOOKUP(A6767,INSUMOS_AUX!A:F,6,0),0)</f>
        <v>0</v>
      </c>
    </row>
    <row r="6768" customFormat="false" ht="15" hidden="false" customHeight="false" outlineLevel="0" collapsed="false">
      <c r="A6768" s="154" t="n">
        <v>246</v>
      </c>
      <c r="B6768" s="155" t="s">
        <v>1752</v>
      </c>
      <c r="C6768" s="148" t="str">
        <f aca="false">VLOOKUP($A6768,INSUMOS_AUX!$A$3:$H$813,3,0)</f>
        <v>M.O.</v>
      </c>
      <c r="D6768" s="156" t="s">
        <v>1444</v>
      </c>
      <c r="E6768" s="154" t="n">
        <v>1.01798</v>
      </c>
      <c r="F6768" s="149" t="n">
        <f aca="false">IF(C6768="MAT.",VLOOKUP(A6768,INSUMOS_AUX!$A$3:$H$813,6,0),0)</f>
        <v>0</v>
      </c>
      <c r="G6768" s="149" t="n">
        <f aca="false">IF(C6768="M.O.",VLOOKUP(A6768,INSUMOS_AUX!A:F,6,0),0)</f>
        <v>13.26</v>
      </c>
    </row>
    <row r="6769" customFormat="false" ht="15" hidden="false" customHeight="false" outlineLevel="0" collapsed="false">
      <c r="A6769" s="154" t="n">
        <v>2696</v>
      </c>
      <c r="B6769" s="155" t="s">
        <v>1483</v>
      </c>
      <c r="C6769" s="148" t="str">
        <f aca="false">VLOOKUP($A6769,INSUMOS_AUX!$A$3:$H$813,3,0)</f>
        <v>M.O.</v>
      </c>
      <c r="D6769" s="156" t="s">
        <v>1444</v>
      </c>
      <c r="E6769" s="154" t="n">
        <v>1.01798</v>
      </c>
      <c r="F6769" s="149" t="n">
        <f aca="false">IF(C6769="MAT.",VLOOKUP(A6769,INSUMOS_AUX!$A$3:$H$813,6,0),0)</f>
        <v>0</v>
      </c>
      <c r="G6769" s="149" t="n">
        <f aca="false">IF(C6769="M.O.",VLOOKUP(A6769,INSUMOS_AUX!A:F,6,0),0)</f>
        <v>20.22</v>
      </c>
    </row>
    <row r="6770" customFormat="false" ht="15" hidden="false" customHeight="false" outlineLevel="0" collapsed="false">
      <c r="A6770" s="154" t="n">
        <v>4750</v>
      </c>
      <c r="B6770" s="155" t="s">
        <v>1463</v>
      </c>
      <c r="C6770" s="148" t="str">
        <f aca="false">VLOOKUP($A6770,INSUMOS_AUX!$A$3:$H$813,3,0)</f>
        <v>M.O.</v>
      </c>
      <c r="D6770" s="156" t="s">
        <v>1444</v>
      </c>
      <c r="E6770" s="154" t="n">
        <v>6.1272</v>
      </c>
      <c r="F6770" s="149" t="n">
        <f aca="false">IF(C6770="MAT.",VLOOKUP(A6770,INSUMOS_AUX!$A$3:$H$813,6,0),0)</f>
        <v>0</v>
      </c>
      <c r="G6770" s="149" t="n">
        <f aca="false">IF(C6770="M.O.",VLOOKUP(A6770,INSUMOS_AUX!A:F,6,0),0)</f>
        <v>20.22</v>
      </c>
    </row>
    <row r="6771" customFormat="false" ht="15" hidden="false" customHeight="false" outlineLevel="0" collapsed="false">
      <c r="A6771" s="154" t="n">
        <v>6111</v>
      </c>
      <c r="B6771" s="155" t="s">
        <v>1464</v>
      </c>
      <c r="C6771" s="148" t="str">
        <f aca="false">VLOOKUP($A6771,INSUMOS_AUX!$A$3:$H$813,3,0)</f>
        <v>M.O.</v>
      </c>
      <c r="D6771" s="156" t="s">
        <v>1444</v>
      </c>
      <c r="E6771" s="154" t="n">
        <v>6.1272</v>
      </c>
      <c r="F6771" s="149" t="n">
        <f aca="false">IF(C6771="MAT.",VLOOKUP(A6771,INSUMOS_AUX!$A$3:$H$813,6,0),0)</f>
        <v>0</v>
      </c>
      <c r="G6771" s="149" t="n">
        <f aca="false">IF(C6771="M.O.",VLOOKUP(A6771,INSUMOS_AUX!A:F,6,0),0)</f>
        <v>12.95</v>
      </c>
    </row>
    <row r="6772" customFormat="false" ht="31.5" hidden="false" customHeight="false" outlineLevel="0" collapsed="false">
      <c r="A6772" s="150" t="n">
        <v>92390</v>
      </c>
      <c r="B6772" s="151" t="s">
        <v>2683</v>
      </c>
      <c r="C6772" s="152" t="s">
        <v>59</v>
      </c>
      <c r="D6772" s="152" t="s">
        <v>31</v>
      </c>
      <c r="E6772" s="150"/>
      <c r="F6772" s="153" t="n">
        <f aca="false">(SUMPRODUCT($E6773:$E6783,F6773:F6783))*1</f>
        <v>15.87049</v>
      </c>
      <c r="G6772" s="153" t="n">
        <f aca="false">(SUMPRODUCT($E6773:$E6783,G6773:G6783))*1</f>
        <v>37.6264953216</v>
      </c>
    </row>
    <row r="6773" customFormat="false" ht="21" hidden="false" customHeight="false" outlineLevel="0" collapsed="false">
      <c r="A6773" s="154" t="n">
        <v>37370</v>
      </c>
      <c r="B6773" s="155" t="s">
        <v>1443</v>
      </c>
      <c r="C6773" s="148" t="str">
        <f aca="false">VLOOKUP($A6773,INSUMOS_AUX!$A$3:$H$813,3,0)</f>
        <v>MAT.</v>
      </c>
      <c r="D6773" s="156" t="s">
        <v>1444</v>
      </c>
      <c r="E6773" s="154" t="n">
        <v>2.208</v>
      </c>
      <c r="F6773" s="149" t="n">
        <f aca="false">IF(C6773="MAT.",VLOOKUP(A6773,INSUMOS_AUX!$A$3:$H$813,6,0),0)</f>
        <v>3.32</v>
      </c>
      <c r="G6773" s="149" t="n">
        <f aca="false">IF(C6773="M.O.",VLOOKUP(A6773,INSUMOS_AUX!A:F,6,0),0)</f>
        <v>0</v>
      </c>
    </row>
    <row r="6774" customFormat="false" ht="21" hidden="false" customHeight="false" outlineLevel="0" collapsed="false">
      <c r="A6774" s="154" t="n">
        <v>43485</v>
      </c>
      <c r="B6774" s="155" t="s">
        <v>1481</v>
      </c>
      <c r="C6774" s="148" t="str">
        <f aca="false">VLOOKUP($A6774,INSUMOS_AUX!$A$3:$H$813,3,0)</f>
        <v>MAT.</v>
      </c>
      <c r="D6774" s="156" t="s">
        <v>1444</v>
      </c>
      <c r="E6774" s="154" t="n">
        <v>2.208</v>
      </c>
      <c r="F6774" s="149" t="n">
        <f aca="false">IF(C6774="MAT.",VLOOKUP(A6774,INSUMOS_AUX!$A$3:$H$813,6,0),0)</f>
        <v>1.13</v>
      </c>
      <c r="G6774" s="149" t="n">
        <f aca="false">IF(C6774="M.O.",VLOOKUP(A6774,INSUMOS_AUX!A:F,6,0),0)</f>
        <v>0</v>
      </c>
    </row>
    <row r="6775" customFormat="false" ht="21" hidden="false" customHeight="false" outlineLevel="0" collapsed="false">
      <c r="A6775" s="154" t="n">
        <v>37372</v>
      </c>
      <c r="B6775" s="155" t="s">
        <v>1446</v>
      </c>
      <c r="C6775" s="148" t="str">
        <f aca="false">VLOOKUP($A6775,INSUMOS_AUX!$A$3:$H$813,3,0)</f>
        <v>MAT.</v>
      </c>
      <c r="D6775" s="156" t="s">
        <v>1444</v>
      </c>
      <c r="E6775" s="154" t="n">
        <v>2.208</v>
      </c>
      <c r="F6775" s="149" t="n">
        <f aca="false">IF(C6775="MAT.",VLOOKUP(A6775,INSUMOS_AUX!$A$3:$H$813,6,0),0)</f>
        <v>1.43</v>
      </c>
      <c r="G6775" s="149" t="n">
        <f aca="false">IF(C6775="M.O.",VLOOKUP(A6775,INSUMOS_AUX!A:F,6,0),0)</f>
        <v>0</v>
      </c>
    </row>
    <row r="6776" customFormat="false" ht="21" hidden="false" customHeight="false" outlineLevel="0" collapsed="false">
      <c r="A6776" s="154" t="n">
        <v>43461</v>
      </c>
      <c r="B6776" s="155" t="s">
        <v>1482</v>
      </c>
      <c r="C6776" s="148" t="str">
        <f aca="false">VLOOKUP($A6776,INSUMOS_AUX!$A$3:$H$813,3,0)</f>
        <v>MAT.</v>
      </c>
      <c r="D6776" s="156" t="s">
        <v>1444</v>
      </c>
      <c r="E6776" s="154" t="n">
        <v>2.208</v>
      </c>
      <c r="F6776" s="149" t="n">
        <f aca="false">IF(C6776="MAT.",VLOOKUP(A6776,INSUMOS_AUX!$A$3:$H$813,6,0),0)</f>
        <v>0.31</v>
      </c>
      <c r="G6776" s="149" t="n">
        <f aca="false">IF(C6776="M.O.",VLOOKUP(A6776,INSUMOS_AUX!A:F,6,0),0)</f>
        <v>0</v>
      </c>
    </row>
    <row r="6777" customFormat="false" ht="21" hidden="false" customHeight="false" outlineLevel="0" collapsed="false">
      <c r="A6777" s="154" t="n">
        <v>37373</v>
      </c>
      <c r="B6777" s="155" t="s">
        <v>1448</v>
      </c>
      <c r="C6777" s="148" t="str">
        <f aca="false">VLOOKUP($A6777,INSUMOS_AUX!$A$3:$H$813,3,0)</f>
        <v>MAT.</v>
      </c>
      <c r="D6777" s="156" t="s">
        <v>1444</v>
      </c>
      <c r="E6777" s="154" t="n">
        <v>2.208</v>
      </c>
      <c r="F6777" s="149" t="n">
        <f aca="false">IF(C6777="MAT.",VLOOKUP(A6777,INSUMOS_AUX!$A$3:$H$813,6,0),0)</f>
        <v>0.08</v>
      </c>
      <c r="G6777" s="149" t="n">
        <f aca="false">IF(C6777="M.O.",VLOOKUP(A6777,INSUMOS_AUX!A:F,6,0),0)</f>
        <v>0</v>
      </c>
    </row>
    <row r="6778" customFormat="false" ht="21" hidden="false" customHeight="false" outlineLevel="0" collapsed="false">
      <c r="A6778" s="154" t="n">
        <v>37371</v>
      </c>
      <c r="B6778" s="155" t="s">
        <v>1449</v>
      </c>
      <c r="C6778" s="148" t="str">
        <f aca="false">VLOOKUP($A6778,INSUMOS_AUX!$A$3:$H$813,3,0)</f>
        <v>MAT.</v>
      </c>
      <c r="D6778" s="156" t="s">
        <v>1444</v>
      </c>
      <c r="E6778" s="154" t="n">
        <v>2.208</v>
      </c>
      <c r="F6778" s="149" t="n">
        <f aca="false">IF(C6778="MAT.",VLOOKUP(A6778,INSUMOS_AUX!$A$3:$H$813,6,0),0)</f>
        <v>0.59</v>
      </c>
      <c r="G6778" s="149" t="n">
        <f aca="false">IF(C6778="M.O.",VLOOKUP(A6778,INSUMOS_AUX!A:F,6,0),0)</f>
        <v>0</v>
      </c>
    </row>
    <row r="6779" customFormat="false" ht="21" hidden="false" customHeight="false" outlineLevel="0" collapsed="false">
      <c r="A6779" s="154" t="n">
        <v>3470</v>
      </c>
      <c r="B6779" s="155" t="s">
        <v>2684</v>
      </c>
      <c r="C6779" s="148" t="s">
        <v>59</v>
      </c>
      <c r="D6779" s="156" t="s">
        <v>31</v>
      </c>
      <c r="E6779" s="154" t="n">
        <v>1</v>
      </c>
      <c r="F6779" s="149" t="n">
        <f aca="false">IF(C6779="MAT.",VLOOKUP(A6779,INSUMOS_AUX!$A$3:$H$813,6,0),0)</f>
        <v>0</v>
      </c>
      <c r="G6779" s="149" t="n">
        <f aca="false">IF(C6779="M.O.",VLOOKUP(A6779,INSUMOS_AUX!A:F,6,0),0)</f>
        <v>0</v>
      </c>
    </row>
    <row r="6780" customFormat="false" ht="15" hidden="false" customHeight="false" outlineLevel="0" collapsed="false">
      <c r="A6780" s="154" t="n">
        <v>3148</v>
      </c>
      <c r="B6780" s="155" t="s">
        <v>2085</v>
      </c>
      <c r="C6780" s="148" t="str">
        <f aca="false">VLOOKUP($A6780,INSUMOS_AUX!$A$3:$H$813,3,0)</f>
        <v>MAT.</v>
      </c>
      <c r="D6780" s="156" t="s">
        <v>31</v>
      </c>
      <c r="E6780" s="154" t="n">
        <v>0.03</v>
      </c>
      <c r="F6780" s="149" t="n">
        <f aca="false">IF(C6780="MAT.",VLOOKUP(A6780,INSUMOS_AUX!$A$3:$H$813,6,0),0)</f>
        <v>14.01</v>
      </c>
      <c r="G6780" s="149" t="n">
        <f aca="false">IF(C6780="M.O.",VLOOKUP(A6780,INSUMOS_AUX!A:F,6,0),0)</f>
        <v>0</v>
      </c>
    </row>
    <row r="6781" customFormat="false" ht="15" hidden="false" customHeight="false" outlineLevel="0" collapsed="false">
      <c r="A6781" s="154" t="n">
        <v>7307</v>
      </c>
      <c r="B6781" s="155" t="s">
        <v>1733</v>
      </c>
      <c r="C6781" s="148" t="str">
        <f aca="false">VLOOKUP($A6781,INSUMOS_AUX!$A$3:$H$813,3,0)</f>
        <v>MAT.</v>
      </c>
      <c r="D6781" s="156" t="s">
        <v>1452</v>
      </c>
      <c r="E6781" s="154" t="n">
        <v>0.007</v>
      </c>
      <c r="F6781" s="149" t="n">
        <f aca="false">IF(C6781="MAT.",VLOOKUP(A6781,INSUMOS_AUX!$A$3:$H$813,6,0),0)</f>
        <v>43.33</v>
      </c>
      <c r="G6781" s="149" t="n">
        <f aca="false">IF(C6781="M.O.",VLOOKUP(A6781,INSUMOS_AUX!A:F,6,0),0)</f>
        <v>0</v>
      </c>
    </row>
    <row r="6782" customFormat="false" ht="15" hidden="false" customHeight="false" outlineLevel="0" collapsed="false">
      <c r="A6782" s="154" t="n">
        <v>246</v>
      </c>
      <c r="B6782" s="155" t="s">
        <v>1752</v>
      </c>
      <c r="C6782" s="148" t="str">
        <f aca="false">VLOOKUP($A6782,INSUMOS_AUX!$A$3:$H$813,3,0)</f>
        <v>M.O.</v>
      </c>
      <c r="D6782" s="156" t="s">
        <v>1444</v>
      </c>
      <c r="E6782" s="154" t="n">
        <v>1.12384992</v>
      </c>
      <c r="F6782" s="149" t="n">
        <f aca="false">IF(C6782="MAT.",VLOOKUP(A6782,INSUMOS_AUX!$A$3:$H$813,6,0),0)</f>
        <v>0</v>
      </c>
      <c r="G6782" s="149" t="n">
        <f aca="false">IF(C6782="M.O.",VLOOKUP(A6782,INSUMOS_AUX!A:F,6,0),0)</f>
        <v>13.26</v>
      </c>
    </row>
    <row r="6783" customFormat="false" ht="15" hidden="false" customHeight="false" outlineLevel="0" collapsed="false">
      <c r="A6783" s="154" t="n">
        <v>2696</v>
      </c>
      <c r="B6783" s="155" t="s">
        <v>1483</v>
      </c>
      <c r="C6783" s="148" t="str">
        <f aca="false">VLOOKUP($A6783,INSUMOS_AUX!$A$3:$H$813,3,0)</f>
        <v>M.O.</v>
      </c>
      <c r="D6783" s="156" t="s">
        <v>1444</v>
      </c>
      <c r="E6783" s="154" t="n">
        <v>1.12384992</v>
      </c>
      <c r="F6783" s="149" t="n">
        <f aca="false">IF(C6783="MAT.",VLOOKUP(A6783,INSUMOS_AUX!$A$3:$H$813,6,0),0)</f>
        <v>0</v>
      </c>
      <c r="G6783" s="149" t="n">
        <f aca="false">IF(C6783="M.O.",VLOOKUP(A6783,INSUMOS_AUX!A:F,6,0),0)</f>
        <v>20.22</v>
      </c>
    </row>
    <row r="6784" customFormat="false" ht="31.5" hidden="false" customHeight="false" outlineLevel="0" collapsed="false">
      <c r="A6784" s="150" t="n">
        <v>92636</v>
      </c>
      <c r="B6784" s="151" t="s">
        <v>2685</v>
      </c>
      <c r="C6784" s="152" t="s">
        <v>59</v>
      </c>
      <c r="D6784" s="152" t="s">
        <v>31</v>
      </c>
      <c r="E6784" s="150"/>
      <c r="F6784" s="153" t="n">
        <f aca="false">(SUMPRODUCT($E6785:$E6795,F6785:F6795))*1</f>
        <v>160.65851</v>
      </c>
      <c r="G6784" s="153" t="n">
        <f aca="false">(SUMPRODUCT($E6785:$E6795,G6785:G6795))*1</f>
        <v>42.3298072368</v>
      </c>
    </row>
    <row r="6785" customFormat="false" ht="21" hidden="false" customHeight="false" outlineLevel="0" collapsed="false">
      <c r="A6785" s="154" t="n">
        <v>37370</v>
      </c>
      <c r="B6785" s="155" t="s">
        <v>1443</v>
      </c>
      <c r="C6785" s="148" t="str">
        <f aca="false">VLOOKUP($A6785,INSUMOS_AUX!$A$3:$H$813,3,0)</f>
        <v>MAT.</v>
      </c>
      <c r="D6785" s="156" t="s">
        <v>1444</v>
      </c>
      <c r="E6785" s="154" t="n">
        <v>2.484</v>
      </c>
      <c r="F6785" s="149" t="n">
        <f aca="false">IF(C6785="MAT.",VLOOKUP(A6785,INSUMOS_AUX!$A$3:$H$813,6,0),0)</f>
        <v>3.32</v>
      </c>
      <c r="G6785" s="149" t="n">
        <f aca="false">IF(C6785="M.O.",VLOOKUP(A6785,INSUMOS_AUX!A:F,6,0),0)</f>
        <v>0</v>
      </c>
    </row>
    <row r="6786" customFormat="false" ht="21" hidden="false" customHeight="false" outlineLevel="0" collapsed="false">
      <c r="A6786" s="154" t="n">
        <v>43485</v>
      </c>
      <c r="B6786" s="155" t="s">
        <v>1481</v>
      </c>
      <c r="C6786" s="148" t="str">
        <f aca="false">VLOOKUP($A6786,INSUMOS_AUX!$A$3:$H$813,3,0)</f>
        <v>MAT.</v>
      </c>
      <c r="D6786" s="156" t="s">
        <v>1444</v>
      </c>
      <c r="E6786" s="154" t="n">
        <v>2.484</v>
      </c>
      <c r="F6786" s="149" t="n">
        <f aca="false">IF(C6786="MAT.",VLOOKUP(A6786,INSUMOS_AUX!$A$3:$H$813,6,0),0)</f>
        <v>1.13</v>
      </c>
      <c r="G6786" s="149" t="n">
        <f aca="false">IF(C6786="M.O.",VLOOKUP(A6786,INSUMOS_AUX!A:F,6,0),0)</f>
        <v>0</v>
      </c>
    </row>
    <row r="6787" customFormat="false" ht="21" hidden="false" customHeight="false" outlineLevel="0" collapsed="false">
      <c r="A6787" s="154" t="n">
        <v>37372</v>
      </c>
      <c r="B6787" s="155" t="s">
        <v>1446</v>
      </c>
      <c r="C6787" s="148" t="str">
        <f aca="false">VLOOKUP($A6787,INSUMOS_AUX!$A$3:$H$813,3,0)</f>
        <v>MAT.</v>
      </c>
      <c r="D6787" s="156" t="s">
        <v>1444</v>
      </c>
      <c r="E6787" s="154" t="n">
        <v>2.484</v>
      </c>
      <c r="F6787" s="149" t="n">
        <f aca="false">IF(C6787="MAT.",VLOOKUP(A6787,INSUMOS_AUX!$A$3:$H$813,6,0),0)</f>
        <v>1.43</v>
      </c>
      <c r="G6787" s="149" t="n">
        <f aca="false">IF(C6787="M.O.",VLOOKUP(A6787,INSUMOS_AUX!A:F,6,0),0)</f>
        <v>0</v>
      </c>
    </row>
    <row r="6788" customFormat="false" ht="21" hidden="false" customHeight="false" outlineLevel="0" collapsed="false">
      <c r="A6788" s="154" t="n">
        <v>43461</v>
      </c>
      <c r="B6788" s="155" t="s">
        <v>1482</v>
      </c>
      <c r="C6788" s="148" t="str">
        <f aca="false">VLOOKUP($A6788,INSUMOS_AUX!$A$3:$H$813,3,0)</f>
        <v>MAT.</v>
      </c>
      <c r="D6788" s="156" t="s">
        <v>1444</v>
      </c>
      <c r="E6788" s="154" t="n">
        <v>2.484</v>
      </c>
      <c r="F6788" s="149" t="n">
        <f aca="false">IF(C6788="MAT.",VLOOKUP(A6788,INSUMOS_AUX!$A$3:$H$813,6,0),0)</f>
        <v>0.31</v>
      </c>
      <c r="G6788" s="149" t="n">
        <f aca="false">IF(C6788="M.O.",VLOOKUP(A6788,INSUMOS_AUX!A:F,6,0),0)</f>
        <v>0</v>
      </c>
    </row>
    <row r="6789" customFormat="false" ht="21" hidden="false" customHeight="false" outlineLevel="0" collapsed="false">
      <c r="A6789" s="154" t="n">
        <v>37373</v>
      </c>
      <c r="B6789" s="155" t="s">
        <v>1448</v>
      </c>
      <c r="C6789" s="148" t="s">
        <v>59</v>
      </c>
      <c r="D6789" s="156" t="s">
        <v>1444</v>
      </c>
      <c r="E6789" s="154" t="n">
        <v>2.484</v>
      </c>
      <c r="F6789" s="149" t="n">
        <f aca="false">IF(C6789="MAT.",VLOOKUP(A6789,INSUMOS_AUX!$A$3:$H$813,6,0),0)</f>
        <v>0</v>
      </c>
      <c r="G6789" s="149" t="n">
        <f aca="false">IF(C6789="M.O.",VLOOKUP(A6789,INSUMOS_AUX!A:F,6,0),0)</f>
        <v>0</v>
      </c>
    </row>
    <row r="6790" customFormat="false" ht="21" hidden="false" customHeight="false" outlineLevel="0" collapsed="false">
      <c r="A6790" s="154" t="n">
        <v>37371</v>
      </c>
      <c r="B6790" s="155" t="s">
        <v>1449</v>
      </c>
      <c r="C6790" s="148" t="str">
        <f aca="false">VLOOKUP($A6790,INSUMOS_AUX!$A$3:$H$813,3,0)</f>
        <v>MAT.</v>
      </c>
      <c r="D6790" s="156" t="s">
        <v>1444</v>
      </c>
      <c r="E6790" s="154" t="n">
        <v>2.484</v>
      </c>
      <c r="F6790" s="149" t="n">
        <f aca="false">IF(C6790="MAT.",VLOOKUP(A6790,INSUMOS_AUX!$A$3:$H$813,6,0),0)</f>
        <v>0.59</v>
      </c>
      <c r="G6790" s="149" t="n">
        <f aca="false">IF(C6790="M.O.",VLOOKUP(A6790,INSUMOS_AUX!A:F,6,0),0)</f>
        <v>0</v>
      </c>
    </row>
    <row r="6791" customFormat="false" ht="21" hidden="false" customHeight="false" outlineLevel="0" collapsed="false">
      <c r="A6791" s="154" t="n">
        <v>3459</v>
      </c>
      <c r="B6791" s="155" t="s">
        <v>2686</v>
      </c>
      <c r="C6791" s="148" t="str">
        <f aca="false">VLOOKUP($A6791,INSUMOS_AUX!$A$3:$H$813,3,0)</f>
        <v>MAT.</v>
      </c>
      <c r="D6791" s="156" t="s">
        <v>31</v>
      </c>
      <c r="E6791" s="154" t="n">
        <v>1</v>
      </c>
      <c r="F6791" s="149" t="n">
        <f aca="false">IF(C6791="MAT.",VLOOKUP(A6791,INSUMOS_AUX!$A$3:$H$813,6,0),0)</f>
        <v>142.98</v>
      </c>
      <c r="G6791" s="149" t="n">
        <f aca="false">IF(C6791="M.O.",VLOOKUP(A6791,INSUMOS_AUX!A:F,6,0),0)</f>
        <v>0</v>
      </c>
    </row>
    <row r="6792" customFormat="false" ht="15" hidden="false" customHeight="false" outlineLevel="0" collapsed="false">
      <c r="A6792" s="154" t="n">
        <v>3148</v>
      </c>
      <c r="B6792" s="155" t="s">
        <v>2085</v>
      </c>
      <c r="C6792" s="148" t="str">
        <f aca="false">VLOOKUP($A6792,INSUMOS_AUX!$A$3:$H$813,3,0)</f>
        <v>MAT.</v>
      </c>
      <c r="D6792" s="156" t="s">
        <v>31</v>
      </c>
      <c r="E6792" s="154" t="n">
        <v>0.035</v>
      </c>
      <c r="F6792" s="149" t="n">
        <f aca="false">IF(C6792="MAT.",VLOOKUP(A6792,INSUMOS_AUX!$A$3:$H$813,6,0),0)</f>
        <v>14.01</v>
      </c>
      <c r="G6792" s="149" t="n">
        <f aca="false">IF(C6792="M.O.",VLOOKUP(A6792,INSUMOS_AUX!A:F,6,0),0)</f>
        <v>0</v>
      </c>
    </row>
    <row r="6793" customFormat="false" ht="15" hidden="false" customHeight="false" outlineLevel="0" collapsed="false">
      <c r="A6793" s="154" t="n">
        <v>7307</v>
      </c>
      <c r="B6793" s="155" t="s">
        <v>1733</v>
      </c>
      <c r="C6793" s="148" t="str">
        <f aca="false">VLOOKUP($A6793,INSUMOS_AUX!$A$3:$H$813,3,0)</f>
        <v>MAT.</v>
      </c>
      <c r="D6793" s="156" t="s">
        <v>1452</v>
      </c>
      <c r="E6793" s="154" t="n">
        <v>0.008</v>
      </c>
      <c r="F6793" s="149" t="n">
        <f aca="false">IF(C6793="MAT.",VLOOKUP(A6793,INSUMOS_AUX!$A$3:$H$813,6,0),0)</f>
        <v>43.33</v>
      </c>
      <c r="G6793" s="149" t="n">
        <f aca="false">IF(C6793="M.O.",VLOOKUP(A6793,INSUMOS_AUX!A:F,6,0),0)</f>
        <v>0</v>
      </c>
    </row>
    <row r="6794" customFormat="false" ht="15" hidden="false" customHeight="false" outlineLevel="0" collapsed="false">
      <c r="A6794" s="154" t="n">
        <v>246</v>
      </c>
      <c r="B6794" s="155" t="s">
        <v>1752</v>
      </c>
      <c r="C6794" s="148" t="str">
        <f aca="false">VLOOKUP($A6794,INSUMOS_AUX!$A$3:$H$813,3,0)</f>
        <v>M.O.</v>
      </c>
      <c r="D6794" s="156" t="s">
        <v>1444</v>
      </c>
      <c r="E6794" s="154" t="n">
        <v>1.26433116</v>
      </c>
      <c r="F6794" s="149" t="n">
        <f aca="false">IF(C6794="MAT.",VLOOKUP(A6794,INSUMOS_AUX!$A$3:$H$813,6,0),0)</f>
        <v>0</v>
      </c>
      <c r="G6794" s="149" t="n">
        <f aca="false">IF(C6794="M.O.",VLOOKUP(A6794,INSUMOS_AUX!A:F,6,0),0)</f>
        <v>13.26</v>
      </c>
    </row>
    <row r="6795" customFormat="false" ht="15" hidden="false" customHeight="false" outlineLevel="0" collapsed="false">
      <c r="A6795" s="154" t="n">
        <v>2696</v>
      </c>
      <c r="B6795" s="155" t="s">
        <v>1483</v>
      </c>
      <c r="C6795" s="148" t="str">
        <f aca="false">VLOOKUP($A6795,INSUMOS_AUX!$A$3:$H$813,3,0)</f>
        <v>M.O.</v>
      </c>
      <c r="D6795" s="156" t="s">
        <v>1444</v>
      </c>
      <c r="E6795" s="154" t="n">
        <v>1.26433116</v>
      </c>
      <c r="F6795" s="149" t="n">
        <f aca="false">IF(C6795="MAT.",VLOOKUP(A6795,INSUMOS_AUX!$A$3:$H$813,6,0),0)</f>
        <v>0</v>
      </c>
      <c r="G6795" s="149" t="n">
        <f aca="false">IF(C6795="M.O.",VLOOKUP(A6795,INSUMOS_AUX!A:F,6,0),0)</f>
        <v>20.22</v>
      </c>
    </row>
    <row r="6796" customFormat="false" ht="31.5" hidden="false" customHeight="false" outlineLevel="0" collapsed="false">
      <c r="A6796" s="150" t="n">
        <v>92635</v>
      </c>
      <c r="B6796" s="151" t="s">
        <v>2687</v>
      </c>
      <c r="C6796" s="152" t="s">
        <v>59</v>
      </c>
      <c r="D6796" s="152" t="s">
        <v>31</v>
      </c>
      <c r="E6796" s="150"/>
      <c r="F6796" s="153" t="n">
        <f aca="false">(SUMPRODUCT($E6797:$E6807,F6797:F6807))*1</f>
        <v>178.94511</v>
      </c>
      <c r="G6796" s="153" t="n">
        <f aca="false">(SUMPRODUCT($E6797:$E6807,G6797:G6807))*1</f>
        <v>42.3298072368</v>
      </c>
    </row>
    <row r="6797" customFormat="false" ht="21" hidden="false" customHeight="false" outlineLevel="0" collapsed="false">
      <c r="A6797" s="154" t="n">
        <v>37370</v>
      </c>
      <c r="B6797" s="155" t="s">
        <v>1443</v>
      </c>
      <c r="C6797" s="148" t="str">
        <f aca="false">VLOOKUP($A6797,INSUMOS_AUX!$A$3:$H$813,3,0)</f>
        <v>MAT.</v>
      </c>
      <c r="D6797" s="156" t="s">
        <v>1444</v>
      </c>
      <c r="E6797" s="154" t="n">
        <v>2.484</v>
      </c>
      <c r="F6797" s="149" t="n">
        <f aca="false">IF(C6797="MAT.",VLOOKUP(A6797,INSUMOS_AUX!$A$3:$H$813,6,0),0)</f>
        <v>3.32</v>
      </c>
      <c r="G6797" s="149" t="n">
        <f aca="false">IF(C6797="M.O.",VLOOKUP(A6797,INSUMOS_AUX!A:F,6,0),0)</f>
        <v>0</v>
      </c>
    </row>
    <row r="6798" customFormat="false" ht="21" hidden="false" customHeight="false" outlineLevel="0" collapsed="false">
      <c r="A6798" s="154" t="n">
        <v>43485</v>
      </c>
      <c r="B6798" s="155" t="s">
        <v>1481</v>
      </c>
      <c r="C6798" s="148" t="str">
        <f aca="false">VLOOKUP($A6798,INSUMOS_AUX!$A$3:$H$813,3,0)</f>
        <v>MAT.</v>
      </c>
      <c r="D6798" s="156" t="s">
        <v>1444</v>
      </c>
      <c r="E6798" s="154" t="n">
        <v>2.484</v>
      </c>
      <c r="F6798" s="149" t="n">
        <f aca="false">IF(C6798="MAT.",VLOOKUP(A6798,INSUMOS_AUX!$A$3:$H$813,6,0),0)</f>
        <v>1.13</v>
      </c>
      <c r="G6798" s="149" t="n">
        <f aca="false">IF(C6798="M.O.",VLOOKUP(A6798,INSUMOS_AUX!A:F,6,0),0)</f>
        <v>0</v>
      </c>
    </row>
    <row r="6799" customFormat="false" ht="21" hidden="false" customHeight="false" outlineLevel="0" collapsed="false">
      <c r="A6799" s="154" t="n">
        <v>37372</v>
      </c>
      <c r="B6799" s="155" t="s">
        <v>1446</v>
      </c>
      <c r="C6799" s="148" t="s">
        <v>59</v>
      </c>
      <c r="D6799" s="156" t="s">
        <v>1444</v>
      </c>
      <c r="E6799" s="154" t="n">
        <v>2.484</v>
      </c>
      <c r="F6799" s="149" t="n">
        <f aca="false">IF(C6799="MAT.",VLOOKUP(A6799,INSUMOS_AUX!$A$3:$H$813,6,0),0)</f>
        <v>0</v>
      </c>
      <c r="G6799" s="149" t="n">
        <f aca="false">IF(C6799="M.O.",VLOOKUP(A6799,INSUMOS_AUX!A:F,6,0),0)</f>
        <v>0</v>
      </c>
    </row>
    <row r="6800" customFormat="false" ht="21" hidden="false" customHeight="false" outlineLevel="0" collapsed="false">
      <c r="A6800" s="154" t="n">
        <v>43461</v>
      </c>
      <c r="B6800" s="155" t="s">
        <v>1482</v>
      </c>
      <c r="C6800" s="148" t="str">
        <f aca="false">VLOOKUP($A6800,INSUMOS_AUX!$A$3:$H$813,3,0)</f>
        <v>MAT.</v>
      </c>
      <c r="D6800" s="156" t="s">
        <v>1444</v>
      </c>
      <c r="E6800" s="154" t="n">
        <v>2.484</v>
      </c>
      <c r="F6800" s="149" t="n">
        <f aca="false">IF(C6800="MAT.",VLOOKUP(A6800,INSUMOS_AUX!$A$3:$H$813,6,0),0)</f>
        <v>0.31</v>
      </c>
      <c r="G6800" s="149" t="n">
        <f aca="false">IF(C6800="M.O.",VLOOKUP(A6800,INSUMOS_AUX!A:F,6,0),0)</f>
        <v>0</v>
      </c>
    </row>
    <row r="6801" customFormat="false" ht="21" hidden="false" customHeight="false" outlineLevel="0" collapsed="false">
      <c r="A6801" s="154" t="n">
        <v>37373</v>
      </c>
      <c r="B6801" s="155" t="s">
        <v>1448</v>
      </c>
      <c r="C6801" s="148" t="str">
        <f aca="false">VLOOKUP($A6801,INSUMOS_AUX!$A$3:$H$813,3,0)</f>
        <v>MAT.</v>
      </c>
      <c r="D6801" s="156" t="s">
        <v>1444</v>
      </c>
      <c r="E6801" s="154" t="n">
        <v>2.484</v>
      </c>
      <c r="F6801" s="149" t="n">
        <f aca="false">IF(C6801="MAT.",VLOOKUP(A6801,INSUMOS_AUX!$A$3:$H$813,6,0),0)</f>
        <v>0.08</v>
      </c>
      <c r="G6801" s="149" t="n">
        <f aca="false">IF(C6801="M.O.",VLOOKUP(A6801,INSUMOS_AUX!A:F,6,0),0)</f>
        <v>0</v>
      </c>
    </row>
    <row r="6802" customFormat="false" ht="21" hidden="false" customHeight="false" outlineLevel="0" collapsed="false">
      <c r="A6802" s="154" t="n">
        <v>37371</v>
      </c>
      <c r="B6802" s="155" t="s">
        <v>1449</v>
      </c>
      <c r="C6802" s="148" t="str">
        <f aca="false">VLOOKUP($A6802,INSUMOS_AUX!$A$3:$H$813,3,0)</f>
        <v>MAT.</v>
      </c>
      <c r="D6802" s="156" t="s">
        <v>1444</v>
      </c>
      <c r="E6802" s="154" t="n">
        <v>2.484</v>
      </c>
      <c r="F6802" s="149" t="n">
        <f aca="false">IF(C6802="MAT.",VLOOKUP(A6802,INSUMOS_AUX!$A$3:$H$813,6,0),0)</f>
        <v>0.59</v>
      </c>
      <c r="G6802" s="149" t="n">
        <f aca="false">IF(C6802="M.O.",VLOOKUP(A6802,INSUMOS_AUX!A:F,6,0),0)</f>
        <v>0</v>
      </c>
    </row>
    <row r="6803" customFormat="false" ht="21" hidden="false" customHeight="false" outlineLevel="0" collapsed="false">
      <c r="A6803" s="154" t="n">
        <v>3448</v>
      </c>
      <c r="B6803" s="155" t="s">
        <v>2688</v>
      </c>
      <c r="C6803" s="148" t="str">
        <f aca="false">VLOOKUP($A6803,INSUMOS_AUX!$A$3:$H$813,3,0)</f>
        <v>MAT.</v>
      </c>
      <c r="D6803" s="156" t="s">
        <v>31</v>
      </c>
      <c r="E6803" s="154" t="n">
        <v>1</v>
      </c>
      <c r="F6803" s="149" t="n">
        <f aca="false">IF(C6803="MAT.",VLOOKUP(A6803,INSUMOS_AUX!$A$3:$H$813,6,0),0)</f>
        <v>164.62</v>
      </c>
      <c r="G6803" s="149" t="n">
        <f aca="false">IF(C6803="M.O.",VLOOKUP(A6803,INSUMOS_AUX!A:F,6,0),0)</f>
        <v>0</v>
      </c>
    </row>
    <row r="6804" customFormat="false" ht="15" hidden="false" customHeight="false" outlineLevel="0" collapsed="false">
      <c r="A6804" s="154" t="n">
        <v>3148</v>
      </c>
      <c r="B6804" s="155" t="s">
        <v>2085</v>
      </c>
      <c r="C6804" s="148" t="str">
        <f aca="false">VLOOKUP($A6804,INSUMOS_AUX!$A$3:$H$813,3,0)</f>
        <v>MAT.</v>
      </c>
      <c r="D6804" s="156" t="s">
        <v>31</v>
      </c>
      <c r="E6804" s="154" t="n">
        <v>0.035</v>
      </c>
      <c r="F6804" s="149" t="n">
        <f aca="false">IF(C6804="MAT.",VLOOKUP(A6804,INSUMOS_AUX!$A$3:$H$813,6,0),0)</f>
        <v>14.01</v>
      </c>
      <c r="G6804" s="149" t="n">
        <f aca="false">IF(C6804="M.O.",VLOOKUP(A6804,INSUMOS_AUX!A:F,6,0),0)</f>
        <v>0</v>
      </c>
    </row>
    <row r="6805" customFormat="false" ht="15" hidden="false" customHeight="false" outlineLevel="0" collapsed="false">
      <c r="A6805" s="154" t="n">
        <v>7307</v>
      </c>
      <c r="B6805" s="155" t="s">
        <v>1733</v>
      </c>
      <c r="C6805" s="148" t="str">
        <f aca="false">VLOOKUP($A6805,INSUMOS_AUX!$A$3:$H$813,3,0)</f>
        <v>MAT.</v>
      </c>
      <c r="D6805" s="156" t="s">
        <v>1452</v>
      </c>
      <c r="E6805" s="154" t="n">
        <v>0.008</v>
      </c>
      <c r="F6805" s="149" t="n">
        <f aca="false">IF(C6805="MAT.",VLOOKUP(A6805,INSUMOS_AUX!$A$3:$H$813,6,0),0)</f>
        <v>43.33</v>
      </c>
      <c r="G6805" s="149" t="n">
        <f aca="false">IF(C6805="M.O.",VLOOKUP(A6805,INSUMOS_AUX!A:F,6,0),0)</f>
        <v>0</v>
      </c>
    </row>
    <row r="6806" customFormat="false" ht="15" hidden="false" customHeight="false" outlineLevel="0" collapsed="false">
      <c r="A6806" s="154" t="n">
        <v>246</v>
      </c>
      <c r="B6806" s="155" t="s">
        <v>1752</v>
      </c>
      <c r="C6806" s="148" t="str">
        <f aca="false">VLOOKUP($A6806,INSUMOS_AUX!$A$3:$H$813,3,0)</f>
        <v>M.O.</v>
      </c>
      <c r="D6806" s="156" t="s">
        <v>1444</v>
      </c>
      <c r="E6806" s="154" t="n">
        <v>1.26433116</v>
      </c>
      <c r="F6806" s="149" t="n">
        <f aca="false">IF(C6806="MAT.",VLOOKUP(A6806,INSUMOS_AUX!$A$3:$H$813,6,0),0)</f>
        <v>0</v>
      </c>
      <c r="G6806" s="149" t="n">
        <f aca="false">IF(C6806="M.O.",VLOOKUP(A6806,INSUMOS_AUX!A:F,6,0),0)</f>
        <v>13.26</v>
      </c>
    </row>
    <row r="6807" customFormat="false" ht="15" hidden="false" customHeight="false" outlineLevel="0" collapsed="false">
      <c r="A6807" s="154" t="n">
        <v>2696</v>
      </c>
      <c r="B6807" s="155" t="s">
        <v>1483</v>
      </c>
      <c r="C6807" s="148" t="str">
        <f aca="false">VLOOKUP($A6807,INSUMOS_AUX!$A$3:$H$813,3,0)</f>
        <v>M.O.</v>
      </c>
      <c r="D6807" s="156" t="s">
        <v>1444</v>
      </c>
      <c r="E6807" s="154" t="n">
        <v>1.26433116</v>
      </c>
      <c r="F6807" s="149" t="n">
        <f aca="false">IF(C6807="MAT.",VLOOKUP(A6807,INSUMOS_AUX!$A$3:$H$813,6,0),0)</f>
        <v>0</v>
      </c>
      <c r="G6807" s="149" t="n">
        <f aca="false">IF(C6807="M.O.",VLOOKUP(A6807,INSUMOS_AUX!A:F,6,0),0)</f>
        <v>20.22</v>
      </c>
    </row>
    <row r="6808" customFormat="false" ht="31.5" hidden="false" customHeight="false" outlineLevel="0" collapsed="false">
      <c r="A6808" s="150" t="n">
        <v>92642</v>
      </c>
      <c r="B6808" s="151" t="s">
        <v>2689</v>
      </c>
      <c r="C6808" s="152" t="s">
        <v>59</v>
      </c>
      <c r="D6808" s="152" t="s">
        <v>31</v>
      </c>
      <c r="E6808" s="150"/>
      <c r="F6808" s="153" t="n">
        <f aca="false">(SUMPRODUCT($E6809:$E6819,F6809:F6819))*1</f>
        <v>158.58474</v>
      </c>
      <c r="G6808" s="153" t="n">
        <f aca="false">(SUMPRODUCT($E6809:$E6819,G6809:G6819))*1</f>
        <v>50.1345784584</v>
      </c>
    </row>
    <row r="6809" customFormat="false" ht="21" hidden="false" customHeight="false" outlineLevel="0" collapsed="false">
      <c r="A6809" s="154" t="n">
        <v>37370</v>
      </c>
      <c r="B6809" s="155" t="s">
        <v>1443</v>
      </c>
      <c r="C6809" s="148" t="str">
        <f aca="false">VLOOKUP($A6809,INSUMOS_AUX!$A$3:$H$813,3,0)</f>
        <v>MAT.</v>
      </c>
      <c r="D6809" s="156" t="s">
        <v>1444</v>
      </c>
      <c r="E6809" s="154" t="n">
        <v>2.942</v>
      </c>
      <c r="F6809" s="149" t="n">
        <f aca="false">IF(C6809="MAT.",VLOOKUP(A6809,INSUMOS_AUX!$A$3:$H$813,6,0),0)</f>
        <v>3.32</v>
      </c>
      <c r="G6809" s="149" t="n">
        <f aca="false">IF(C6809="M.O.",VLOOKUP(A6809,INSUMOS_AUX!A:F,6,0),0)</f>
        <v>0</v>
      </c>
    </row>
    <row r="6810" customFormat="false" ht="21" hidden="false" customHeight="false" outlineLevel="0" collapsed="false">
      <c r="A6810" s="154" t="n">
        <v>43485</v>
      </c>
      <c r="B6810" s="155" t="s">
        <v>1481</v>
      </c>
      <c r="C6810" s="148" t="s">
        <v>59</v>
      </c>
      <c r="D6810" s="156" t="s">
        <v>1444</v>
      </c>
      <c r="E6810" s="154" t="n">
        <v>2.942</v>
      </c>
      <c r="F6810" s="149" t="n">
        <f aca="false">IF(C6810="MAT.",VLOOKUP(A6810,INSUMOS_AUX!$A$3:$H$813,6,0),0)</f>
        <v>0</v>
      </c>
      <c r="G6810" s="149" t="n">
        <f aca="false">IF(C6810="M.O.",VLOOKUP(A6810,INSUMOS_AUX!A:F,6,0),0)</f>
        <v>0</v>
      </c>
    </row>
    <row r="6811" customFormat="false" ht="21" hidden="false" customHeight="false" outlineLevel="0" collapsed="false">
      <c r="A6811" s="154" t="n">
        <v>37372</v>
      </c>
      <c r="B6811" s="155" t="s">
        <v>1446</v>
      </c>
      <c r="C6811" s="148" t="str">
        <f aca="false">VLOOKUP($A6811,INSUMOS_AUX!$A$3:$H$813,3,0)</f>
        <v>MAT.</v>
      </c>
      <c r="D6811" s="156" t="s">
        <v>1444</v>
      </c>
      <c r="E6811" s="154" t="n">
        <v>2.942</v>
      </c>
      <c r="F6811" s="149" t="n">
        <f aca="false">IF(C6811="MAT.",VLOOKUP(A6811,INSUMOS_AUX!$A$3:$H$813,6,0),0)</f>
        <v>1.43</v>
      </c>
      <c r="G6811" s="149" t="n">
        <f aca="false">IF(C6811="M.O.",VLOOKUP(A6811,INSUMOS_AUX!A:F,6,0),0)</f>
        <v>0</v>
      </c>
    </row>
    <row r="6812" customFormat="false" ht="21" hidden="false" customHeight="false" outlineLevel="0" collapsed="false">
      <c r="A6812" s="154" t="n">
        <v>43461</v>
      </c>
      <c r="B6812" s="155" t="s">
        <v>1482</v>
      </c>
      <c r="C6812" s="148" t="str">
        <f aca="false">VLOOKUP($A6812,INSUMOS_AUX!$A$3:$H$813,3,0)</f>
        <v>MAT.</v>
      </c>
      <c r="D6812" s="156" t="s">
        <v>1444</v>
      </c>
      <c r="E6812" s="154" t="n">
        <v>2.942</v>
      </c>
      <c r="F6812" s="149" t="n">
        <f aca="false">IF(C6812="MAT.",VLOOKUP(A6812,INSUMOS_AUX!$A$3:$H$813,6,0),0)</f>
        <v>0.31</v>
      </c>
      <c r="G6812" s="149" t="n">
        <f aca="false">IF(C6812="M.O.",VLOOKUP(A6812,INSUMOS_AUX!A:F,6,0),0)</f>
        <v>0</v>
      </c>
    </row>
    <row r="6813" customFormat="false" ht="21" hidden="false" customHeight="false" outlineLevel="0" collapsed="false">
      <c r="A6813" s="154" t="n">
        <v>37373</v>
      </c>
      <c r="B6813" s="155" t="s">
        <v>1448</v>
      </c>
      <c r="C6813" s="148" t="str">
        <f aca="false">VLOOKUP($A6813,INSUMOS_AUX!$A$3:$H$813,3,0)</f>
        <v>MAT.</v>
      </c>
      <c r="D6813" s="156" t="s">
        <v>1444</v>
      </c>
      <c r="E6813" s="154" t="n">
        <v>2.942</v>
      </c>
      <c r="F6813" s="149" t="n">
        <f aca="false">IF(C6813="MAT.",VLOOKUP(A6813,INSUMOS_AUX!$A$3:$H$813,6,0),0)</f>
        <v>0.08</v>
      </c>
      <c r="G6813" s="149" t="n">
        <f aca="false">IF(C6813="M.O.",VLOOKUP(A6813,INSUMOS_AUX!A:F,6,0),0)</f>
        <v>0</v>
      </c>
    </row>
    <row r="6814" customFormat="false" ht="21" hidden="false" customHeight="false" outlineLevel="0" collapsed="false">
      <c r="A6814" s="154" t="n">
        <v>37371</v>
      </c>
      <c r="B6814" s="155" t="s">
        <v>1449</v>
      </c>
      <c r="C6814" s="148" t="str">
        <f aca="false">VLOOKUP($A6814,INSUMOS_AUX!$A$3:$H$813,3,0)</f>
        <v>MAT.</v>
      </c>
      <c r="D6814" s="156" t="s">
        <v>1444</v>
      </c>
      <c r="E6814" s="154" t="n">
        <v>2.942</v>
      </c>
      <c r="F6814" s="149" t="n">
        <f aca="false">IF(C6814="MAT.",VLOOKUP(A6814,INSUMOS_AUX!$A$3:$H$813,6,0),0)</f>
        <v>0.59</v>
      </c>
      <c r="G6814" s="149" t="n">
        <f aca="false">IF(C6814="M.O.",VLOOKUP(A6814,INSUMOS_AUX!A:F,6,0),0)</f>
        <v>0</v>
      </c>
    </row>
    <row r="6815" customFormat="false" ht="15" hidden="false" customHeight="false" outlineLevel="0" collapsed="false">
      <c r="A6815" s="154" t="n">
        <v>3148</v>
      </c>
      <c r="B6815" s="155" t="s">
        <v>2085</v>
      </c>
      <c r="C6815" s="148" t="str">
        <f aca="false">VLOOKUP($A6815,INSUMOS_AUX!$A$3:$H$813,3,0)</f>
        <v>MAT.</v>
      </c>
      <c r="D6815" s="156" t="s">
        <v>31</v>
      </c>
      <c r="E6815" s="154" t="n">
        <v>0.045</v>
      </c>
      <c r="F6815" s="149" t="n">
        <f aca="false">IF(C6815="MAT.",VLOOKUP(A6815,INSUMOS_AUX!$A$3:$H$813,6,0),0)</f>
        <v>14.01</v>
      </c>
      <c r="G6815" s="149" t="n">
        <f aca="false">IF(C6815="M.O.",VLOOKUP(A6815,INSUMOS_AUX!A:F,6,0),0)</f>
        <v>0</v>
      </c>
    </row>
    <row r="6816" customFormat="false" ht="15" hidden="false" customHeight="false" outlineLevel="0" collapsed="false">
      <c r="A6816" s="154" t="n">
        <v>7307</v>
      </c>
      <c r="B6816" s="155" t="s">
        <v>1733</v>
      </c>
      <c r="C6816" s="148" t="str">
        <f aca="false">VLOOKUP($A6816,INSUMOS_AUX!$A$3:$H$813,3,0)</f>
        <v>MAT.</v>
      </c>
      <c r="D6816" s="156" t="s">
        <v>1452</v>
      </c>
      <c r="E6816" s="154" t="n">
        <v>0.011</v>
      </c>
      <c r="F6816" s="149" t="n">
        <f aca="false">IF(C6816="MAT.",VLOOKUP(A6816,INSUMOS_AUX!$A$3:$H$813,6,0),0)</f>
        <v>43.33</v>
      </c>
      <c r="G6816" s="149" t="n">
        <f aca="false">IF(C6816="M.O.",VLOOKUP(A6816,INSUMOS_AUX!A:F,6,0),0)</f>
        <v>0</v>
      </c>
    </row>
    <row r="6817" customFormat="false" ht="15" hidden="false" customHeight="false" outlineLevel="0" collapsed="false">
      <c r="A6817" s="154" t="n">
        <v>6299</v>
      </c>
      <c r="B6817" s="155" t="s">
        <v>2690</v>
      </c>
      <c r="C6817" s="148" t="str">
        <f aca="false">VLOOKUP($A6817,INSUMOS_AUX!$A$3:$H$813,3,0)</f>
        <v>MAT.</v>
      </c>
      <c r="D6817" s="156" t="s">
        <v>31</v>
      </c>
      <c r="E6817" s="154" t="n">
        <v>1</v>
      </c>
      <c r="F6817" s="149" t="n">
        <f aca="false">IF(C6817="MAT.",VLOOKUP(A6817,INSUMOS_AUX!$A$3:$H$813,6,0),0)</f>
        <v>140.62</v>
      </c>
      <c r="G6817" s="149" t="n">
        <f aca="false">IF(C6817="M.O.",VLOOKUP(A6817,INSUMOS_AUX!A:F,6,0),0)</f>
        <v>0</v>
      </c>
    </row>
    <row r="6818" customFormat="false" ht="15" hidden="false" customHeight="false" outlineLevel="0" collapsed="false">
      <c r="A6818" s="154" t="n">
        <v>246</v>
      </c>
      <c r="B6818" s="155" t="s">
        <v>1752</v>
      </c>
      <c r="C6818" s="148" t="str">
        <f aca="false">VLOOKUP($A6818,INSUMOS_AUX!$A$3:$H$813,3,0)</f>
        <v>M.O.</v>
      </c>
      <c r="D6818" s="156" t="s">
        <v>1444</v>
      </c>
      <c r="E6818" s="154" t="n">
        <v>1.49744858</v>
      </c>
      <c r="F6818" s="149" t="n">
        <f aca="false">IF(C6818="MAT.",VLOOKUP(A6818,INSUMOS_AUX!$A$3:$H$813,6,0),0)</f>
        <v>0</v>
      </c>
      <c r="G6818" s="149" t="n">
        <f aca="false">IF(C6818="M.O.",VLOOKUP(A6818,INSUMOS_AUX!A:F,6,0),0)</f>
        <v>13.26</v>
      </c>
    </row>
    <row r="6819" customFormat="false" ht="15" hidden="false" customHeight="false" outlineLevel="0" collapsed="false">
      <c r="A6819" s="154" t="n">
        <v>2696</v>
      </c>
      <c r="B6819" s="155" t="s">
        <v>1483</v>
      </c>
      <c r="C6819" s="148" t="str">
        <f aca="false">VLOOKUP($A6819,INSUMOS_AUX!$A$3:$H$813,3,0)</f>
        <v>M.O.</v>
      </c>
      <c r="D6819" s="156" t="s">
        <v>1444</v>
      </c>
      <c r="E6819" s="154" t="n">
        <v>1.49744858</v>
      </c>
      <c r="F6819" s="149" t="n">
        <f aca="false">IF(C6819="MAT.",VLOOKUP(A6819,INSUMOS_AUX!$A$3:$H$813,6,0),0)</f>
        <v>0</v>
      </c>
      <c r="G6819" s="149" t="n">
        <f aca="false">IF(C6819="M.O.",VLOOKUP(A6819,INSUMOS_AUX!A:F,6,0),0)</f>
        <v>20.22</v>
      </c>
    </row>
    <row r="6820" customFormat="false" ht="31.5" hidden="false" customHeight="false" outlineLevel="0" collapsed="false">
      <c r="A6820" s="150" t="n">
        <v>92644</v>
      </c>
      <c r="B6820" s="151" t="s">
        <v>2691</v>
      </c>
      <c r="C6820" s="152" t="s">
        <v>59</v>
      </c>
      <c r="D6820" s="152" t="s">
        <v>31</v>
      </c>
      <c r="E6820" s="150"/>
      <c r="F6820" s="153" t="n">
        <f aca="false">(SUMPRODUCT($E6821:$E6831,F6821:F6831))*1</f>
        <v>201.3703</v>
      </c>
      <c r="G6820" s="153" t="n">
        <f aca="false">(SUMPRODUCT($E6821:$E6831,G6821:G6831))*1</f>
        <v>22.3533749088</v>
      </c>
    </row>
    <row r="6821" customFormat="false" ht="21" hidden="false" customHeight="false" outlineLevel="0" collapsed="false">
      <c r="A6821" s="154" t="n">
        <v>37370</v>
      </c>
      <c r="B6821" s="155" t="s">
        <v>1443</v>
      </c>
      <c r="C6821" s="148" t="s">
        <v>59</v>
      </c>
      <c r="D6821" s="156" t="s">
        <v>1444</v>
      </c>
      <c r="E6821" s="154" t="n">
        <v>3.312</v>
      </c>
      <c r="F6821" s="149" t="n">
        <f aca="false">IF(C6821="MAT.",VLOOKUP(A6821,INSUMOS_AUX!$A$3:$H$813,6,0),0)</f>
        <v>0</v>
      </c>
      <c r="G6821" s="149" t="n">
        <f aca="false">IF(C6821="M.O.",VLOOKUP(A6821,INSUMOS_AUX!A:F,6,0),0)</f>
        <v>0</v>
      </c>
    </row>
    <row r="6822" customFormat="false" ht="21" hidden="false" customHeight="false" outlineLevel="0" collapsed="false">
      <c r="A6822" s="154" t="n">
        <v>43485</v>
      </c>
      <c r="B6822" s="155" t="s">
        <v>1481</v>
      </c>
      <c r="C6822" s="148" t="str">
        <f aca="false">VLOOKUP($A6822,INSUMOS_AUX!$A$3:$H$813,3,0)</f>
        <v>MAT.</v>
      </c>
      <c r="D6822" s="156" t="s">
        <v>1444</v>
      </c>
      <c r="E6822" s="154" t="n">
        <v>3.312</v>
      </c>
      <c r="F6822" s="149" t="n">
        <f aca="false">IF(C6822="MAT.",VLOOKUP(A6822,INSUMOS_AUX!$A$3:$H$813,6,0),0)</f>
        <v>1.13</v>
      </c>
      <c r="G6822" s="149" t="n">
        <f aca="false">IF(C6822="M.O.",VLOOKUP(A6822,INSUMOS_AUX!A:F,6,0),0)</f>
        <v>0</v>
      </c>
    </row>
    <row r="6823" customFormat="false" ht="21" hidden="false" customHeight="false" outlineLevel="0" collapsed="false">
      <c r="A6823" s="154" t="n">
        <v>37372</v>
      </c>
      <c r="B6823" s="155" t="s">
        <v>1446</v>
      </c>
      <c r="C6823" s="148" t="str">
        <f aca="false">VLOOKUP($A6823,INSUMOS_AUX!$A$3:$H$813,3,0)</f>
        <v>MAT.</v>
      </c>
      <c r="D6823" s="156" t="s">
        <v>1444</v>
      </c>
      <c r="E6823" s="154" t="n">
        <v>3.312</v>
      </c>
      <c r="F6823" s="149" t="n">
        <f aca="false">IF(C6823="MAT.",VLOOKUP(A6823,INSUMOS_AUX!$A$3:$H$813,6,0),0)</f>
        <v>1.43</v>
      </c>
      <c r="G6823" s="149" t="n">
        <f aca="false">IF(C6823="M.O.",VLOOKUP(A6823,INSUMOS_AUX!A:F,6,0),0)</f>
        <v>0</v>
      </c>
    </row>
    <row r="6824" customFormat="false" ht="21" hidden="false" customHeight="false" outlineLevel="0" collapsed="false">
      <c r="A6824" s="154" t="n">
        <v>43461</v>
      </c>
      <c r="B6824" s="155" t="s">
        <v>1482</v>
      </c>
      <c r="C6824" s="148" t="str">
        <f aca="false">VLOOKUP($A6824,INSUMOS_AUX!$A$3:$H$813,3,0)</f>
        <v>MAT.</v>
      </c>
      <c r="D6824" s="156" t="s">
        <v>1444</v>
      </c>
      <c r="E6824" s="154" t="n">
        <v>3.312</v>
      </c>
      <c r="F6824" s="149" t="n">
        <f aca="false">IF(C6824="MAT.",VLOOKUP(A6824,INSUMOS_AUX!$A$3:$H$813,6,0),0)</f>
        <v>0.31</v>
      </c>
      <c r="G6824" s="149" t="n">
        <f aca="false">IF(C6824="M.O.",VLOOKUP(A6824,INSUMOS_AUX!A:F,6,0),0)</f>
        <v>0</v>
      </c>
    </row>
    <row r="6825" customFormat="false" ht="21" hidden="false" customHeight="false" outlineLevel="0" collapsed="false">
      <c r="A6825" s="154" t="n">
        <v>37373</v>
      </c>
      <c r="B6825" s="155" t="s">
        <v>1448</v>
      </c>
      <c r="C6825" s="148" t="str">
        <f aca="false">VLOOKUP($A6825,INSUMOS_AUX!$A$3:$H$813,3,0)</f>
        <v>MAT.</v>
      </c>
      <c r="D6825" s="156" t="s">
        <v>1444</v>
      </c>
      <c r="E6825" s="154" t="n">
        <v>3.312</v>
      </c>
      <c r="F6825" s="149" t="n">
        <f aca="false">IF(C6825="MAT.",VLOOKUP(A6825,INSUMOS_AUX!$A$3:$H$813,6,0),0)</f>
        <v>0.08</v>
      </c>
      <c r="G6825" s="149" t="n">
        <f aca="false">IF(C6825="M.O.",VLOOKUP(A6825,INSUMOS_AUX!A:F,6,0),0)</f>
        <v>0</v>
      </c>
    </row>
    <row r="6826" customFormat="false" ht="21" hidden="false" customHeight="false" outlineLevel="0" collapsed="false">
      <c r="A6826" s="154" t="n">
        <v>37371</v>
      </c>
      <c r="B6826" s="155" t="s">
        <v>1449</v>
      </c>
      <c r="C6826" s="148" t="str">
        <f aca="false">VLOOKUP($A6826,INSUMOS_AUX!$A$3:$H$813,3,0)</f>
        <v>MAT.</v>
      </c>
      <c r="D6826" s="156" t="s">
        <v>1444</v>
      </c>
      <c r="E6826" s="154" t="n">
        <v>3.312</v>
      </c>
      <c r="F6826" s="149" t="n">
        <f aca="false">IF(C6826="MAT.",VLOOKUP(A6826,INSUMOS_AUX!$A$3:$H$813,6,0),0)</f>
        <v>0.59</v>
      </c>
      <c r="G6826" s="149" t="n">
        <f aca="false">IF(C6826="M.O.",VLOOKUP(A6826,INSUMOS_AUX!A:F,6,0),0)</f>
        <v>0</v>
      </c>
    </row>
    <row r="6827" customFormat="false" ht="15" hidden="false" customHeight="false" outlineLevel="0" collapsed="false">
      <c r="A6827" s="154" t="n">
        <v>3148</v>
      </c>
      <c r="B6827" s="155" t="s">
        <v>2085</v>
      </c>
      <c r="C6827" s="148" t="str">
        <f aca="false">VLOOKUP($A6827,INSUMOS_AUX!$A$3:$H$813,3,0)</f>
        <v>MAT.</v>
      </c>
      <c r="D6827" s="156" t="s">
        <v>31</v>
      </c>
      <c r="E6827" s="154" t="n">
        <v>0.053</v>
      </c>
      <c r="F6827" s="149" t="n">
        <f aca="false">IF(C6827="MAT.",VLOOKUP(A6827,INSUMOS_AUX!$A$3:$H$813,6,0),0)</f>
        <v>14.01</v>
      </c>
      <c r="G6827" s="149" t="n">
        <f aca="false">IF(C6827="M.O.",VLOOKUP(A6827,INSUMOS_AUX!A:F,6,0),0)</f>
        <v>0</v>
      </c>
    </row>
    <row r="6828" customFormat="false" ht="15" hidden="false" customHeight="false" outlineLevel="0" collapsed="false">
      <c r="A6828" s="154" t="n">
        <v>7307</v>
      </c>
      <c r="B6828" s="155" t="s">
        <v>1733</v>
      </c>
      <c r="C6828" s="148" t="str">
        <f aca="false">VLOOKUP($A6828,INSUMOS_AUX!$A$3:$H$813,3,0)</f>
        <v>MAT.</v>
      </c>
      <c r="D6828" s="156" t="s">
        <v>1452</v>
      </c>
      <c r="E6828" s="154" t="n">
        <v>0.013</v>
      </c>
      <c r="F6828" s="149" t="n">
        <f aca="false">IF(C6828="MAT.",VLOOKUP(A6828,INSUMOS_AUX!$A$3:$H$813,6,0),0)</f>
        <v>43.33</v>
      </c>
      <c r="G6828" s="149" t="n">
        <f aca="false">IF(C6828="M.O.",VLOOKUP(A6828,INSUMOS_AUX!A:F,6,0),0)</f>
        <v>0</v>
      </c>
    </row>
    <row r="6829" customFormat="false" ht="15" hidden="false" customHeight="false" outlineLevel="0" collapsed="false">
      <c r="A6829" s="154" t="n">
        <v>6322</v>
      </c>
      <c r="B6829" s="155" t="s">
        <v>2692</v>
      </c>
      <c r="C6829" s="148" t="str">
        <f aca="false">VLOOKUP($A6829,INSUMOS_AUX!$A$3:$H$813,3,0)</f>
        <v>MAT.</v>
      </c>
      <c r="D6829" s="156" t="s">
        <v>31</v>
      </c>
      <c r="E6829" s="154" t="n">
        <v>1</v>
      </c>
      <c r="F6829" s="149" t="n">
        <f aca="false">IF(C6829="MAT.",VLOOKUP(A6829,INSUMOS_AUX!$A$3:$H$813,6,0),0)</f>
        <v>188.34</v>
      </c>
      <c r="G6829" s="149" t="n">
        <f aca="false">IF(C6829="M.O.",VLOOKUP(A6829,INSUMOS_AUX!A:F,6,0),0)</f>
        <v>0</v>
      </c>
    </row>
    <row r="6830" customFormat="false" ht="15" hidden="false" customHeight="false" outlineLevel="0" collapsed="false">
      <c r="A6830" s="154" t="n">
        <v>246</v>
      </c>
      <c r="B6830" s="155" t="s">
        <v>1752</v>
      </c>
      <c r="C6830" s="148" t="str">
        <f aca="false">VLOOKUP($A6830,INSUMOS_AUX!$A$3:$H$813,3,0)</f>
        <v>M.O.</v>
      </c>
      <c r="D6830" s="156" t="s">
        <v>1444</v>
      </c>
      <c r="E6830" s="154" t="n">
        <v>1.68577488</v>
      </c>
      <c r="F6830" s="149" t="n">
        <f aca="false">IF(C6830="MAT.",VLOOKUP(A6830,INSUMOS_AUX!$A$3:$H$813,6,0),0)</f>
        <v>0</v>
      </c>
      <c r="G6830" s="149" t="n">
        <f aca="false">IF(C6830="M.O.",VLOOKUP(A6830,INSUMOS_AUX!A:F,6,0),0)</f>
        <v>13.26</v>
      </c>
    </row>
    <row r="6831" customFormat="false" ht="15" hidden="false" customHeight="false" outlineLevel="0" collapsed="false">
      <c r="A6831" s="154" t="n">
        <v>2696</v>
      </c>
      <c r="B6831" s="155" t="s">
        <v>1483</v>
      </c>
      <c r="C6831" s="148" t="s">
        <v>59</v>
      </c>
      <c r="D6831" s="156" t="s">
        <v>1444</v>
      </c>
      <c r="E6831" s="154" t="n">
        <v>1.68577488</v>
      </c>
      <c r="F6831" s="149" t="n">
        <f aca="false">IF(C6831="MAT.",VLOOKUP(A6831,INSUMOS_AUX!$A$3:$H$813,6,0),0)</f>
        <v>0</v>
      </c>
      <c r="G6831" s="149" t="n">
        <f aca="false">IF(C6831="M.O.",VLOOKUP(A6831,INSUMOS_AUX!A:F,6,0),0)</f>
        <v>0</v>
      </c>
    </row>
    <row r="6832" customFormat="false" ht="31.5" hidden="false" customHeight="false" outlineLevel="0" collapsed="false">
      <c r="A6832" s="150" t="n">
        <v>92377</v>
      </c>
      <c r="B6832" s="151" t="s">
        <v>2693</v>
      </c>
      <c r="C6832" s="152" t="s">
        <v>59</v>
      </c>
      <c r="D6832" s="152" t="s">
        <v>31</v>
      </c>
      <c r="E6832" s="150"/>
      <c r="F6832" s="153" t="n">
        <f aca="false">(SUMPRODUCT($E6833:$E6843,F6833:F6843))*1</f>
        <v>10.82153</v>
      </c>
      <c r="G6832" s="153" t="n">
        <f aca="false">(SUMPRODUCT($E6833:$E6843,G6833:G6843))*1</f>
        <v>25.0843302144</v>
      </c>
    </row>
    <row r="6833" customFormat="false" ht="21" hidden="false" customHeight="false" outlineLevel="0" collapsed="false">
      <c r="A6833" s="154" t="n">
        <v>37370</v>
      </c>
      <c r="B6833" s="155" t="s">
        <v>1443</v>
      </c>
      <c r="C6833" s="148" t="str">
        <f aca="false">VLOOKUP($A6833,INSUMOS_AUX!$A$3:$H$813,3,0)</f>
        <v>MAT.</v>
      </c>
      <c r="D6833" s="156" t="s">
        <v>1444</v>
      </c>
      <c r="E6833" s="154" t="n">
        <v>1.472</v>
      </c>
      <c r="F6833" s="149" t="n">
        <f aca="false">IF(C6833="MAT.",VLOOKUP(A6833,INSUMOS_AUX!$A$3:$H$813,6,0),0)</f>
        <v>3.32</v>
      </c>
      <c r="G6833" s="149" t="n">
        <f aca="false">IF(C6833="M.O.",VLOOKUP(A6833,INSUMOS_AUX!A:F,6,0),0)</f>
        <v>0</v>
      </c>
    </row>
    <row r="6834" customFormat="false" ht="21" hidden="false" customHeight="false" outlineLevel="0" collapsed="false">
      <c r="A6834" s="154" t="n">
        <v>43485</v>
      </c>
      <c r="B6834" s="155" t="s">
        <v>1481</v>
      </c>
      <c r="C6834" s="148" t="str">
        <f aca="false">VLOOKUP($A6834,INSUMOS_AUX!$A$3:$H$813,3,0)</f>
        <v>MAT.</v>
      </c>
      <c r="D6834" s="156" t="s">
        <v>1444</v>
      </c>
      <c r="E6834" s="154" t="n">
        <v>1.472</v>
      </c>
      <c r="F6834" s="149" t="n">
        <f aca="false">IF(C6834="MAT.",VLOOKUP(A6834,INSUMOS_AUX!$A$3:$H$813,6,0),0)</f>
        <v>1.13</v>
      </c>
      <c r="G6834" s="149" t="n">
        <f aca="false">IF(C6834="M.O.",VLOOKUP(A6834,INSUMOS_AUX!A:F,6,0),0)</f>
        <v>0</v>
      </c>
    </row>
    <row r="6835" customFormat="false" ht="21" hidden="false" customHeight="false" outlineLevel="0" collapsed="false">
      <c r="A6835" s="154" t="n">
        <v>37372</v>
      </c>
      <c r="B6835" s="155" t="s">
        <v>1446</v>
      </c>
      <c r="C6835" s="148" t="str">
        <f aca="false">VLOOKUP($A6835,INSUMOS_AUX!$A$3:$H$813,3,0)</f>
        <v>MAT.</v>
      </c>
      <c r="D6835" s="156" t="s">
        <v>1444</v>
      </c>
      <c r="E6835" s="154" t="n">
        <v>1.472</v>
      </c>
      <c r="F6835" s="149" t="n">
        <f aca="false">IF(C6835="MAT.",VLOOKUP(A6835,INSUMOS_AUX!$A$3:$H$813,6,0),0)</f>
        <v>1.43</v>
      </c>
      <c r="G6835" s="149" t="n">
        <f aca="false">IF(C6835="M.O.",VLOOKUP(A6835,INSUMOS_AUX!A:F,6,0),0)</f>
        <v>0</v>
      </c>
    </row>
    <row r="6836" customFormat="false" ht="21" hidden="false" customHeight="false" outlineLevel="0" collapsed="false">
      <c r="A6836" s="154" t="n">
        <v>43461</v>
      </c>
      <c r="B6836" s="155" t="s">
        <v>1482</v>
      </c>
      <c r="C6836" s="148" t="str">
        <f aca="false">VLOOKUP($A6836,INSUMOS_AUX!$A$3:$H$813,3,0)</f>
        <v>MAT.</v>
      </c>
      <c r="D6836" s="156" t="s">
        <v>1444</v>
      </c>
      <c r="E6836" s="154" t="n">
        <v>1.472</v>
      </c>
      <c r="F6836" s="149" t="n">
        <f aca="false">IF(C6836="MAT.",VLOOKUP(A6836,INSUMOS_AUX!$A$3:$H$813,6,0),0)</f>
        <v>0.31</v>
      </c>
      <c r="G6836" s="149" t="n">
        <f aca="false">IF(C6836="M.O.",VLOOKUP(A6836,INSUMOS_AUX!A:F,6,0),0)</f>
        <v>0</v>
      </c>
    </row>
    <row r="6837" customFormat="false" ht="21" hidden="false" customHeight="false" outlineLevel="0" collapsed="false">
      <c r="A6837" s="154" t="n">
        <v>37373</v>
      </c>
      <c r="B6837" s="155" t="s">
        <v>1448</v>
      </c>
      <c r="C6837" s="148" t="str">
        <f aca="false">VLOOKUP($A6837,INSUMOS_AUX!$A$3:$H$813,3,0)</f>
        <v>MAT.</v>
      </c>
      <c r="D6837" s="156" t="s">
        <v>1444</v>
      </c>
      <c r="E6837" s="154" t="n">
        <v>1.472</v>
      </c>
      <c r="F6837" s="149" t="n">
        <f aca="false">IF(C6837="MAT.",VLOOKUP(A6837,INSUMOS_AUX!$A$3:$H$813,6,0),0)</f>
        <v>0.08</v>
      </c>
      <c r="G6837" s="149" t="n">
        <f aca="false">IF(C6837="M.O.",VLOOKUP(A6837,INSUMOS_AUX!A:F,6,0),0)</f>
        <v>0</v>
      </c>
    </row>
    <row r="6838" customFormat="false" ht="21" hidden="false" customHeight="false" outlineLevel="0" collapsed="false">
      <c r="A6838" s="154" t="n">
        <v>37371</v>
      </c>
      <c r="B6838" s="155" t="s">
        <v>1449</v>
      </c>
      <c r="C6838" s="148" t="str">
        <f aca="false">VLOOKUP($A6838,INSUMOS_AUX!$A$3:$H$813,3,0)</f>
        <v>MAT.</v>
      </c>
      <c r="D6838" s="156" t="s">
        <v>1444</v>
      </c>
      <c r="E6838" s="154" t="n">
        <v>1.472</v>
      </c>
      <c r="F6838" s="149" t="n">
        <f aca="false">IF(C6838="MAT.",VLOOKUP(A6838,INSUMOS_AUX!$A$3:$H$813,6,0),0)</f>
        <v>0.59</v>
      </c>
      <c r="G6838" s="149" t="n">
        <f aca="false">IF(C6838="M.O.",VLOOKUP(A6838,INSUMOS_AUX!A:F,6,0),0)</f>
        <v>0</v>
      </c>
    </row>
    <row r="6839" customFormat="false" ht="15" hidden="false" customHeight="false" outlineLevel="0" collapsed="false">
      <c r="A6839" s="154" t="n">
        <v>3148</v>
      </c>
      <c r="B6839" s="155" t="s">
        <v>2085</v>
      </c>
      <c r="C6839" s="148" t="str">
        <f aca="false">VLOOKUP($A6839,INSUMOS_AUX!$A$3:$H$813,3,0)</f>
        <v>MAT.</v>
      </c>
      <c r="D6839" s="156" t="s">
        <v>31</v>
      </c>
      <c r="E6839" s="154" t="n">
        <v>0.03</v>
      </c>
      <c r="F6839" s="149" t="n">
        <f aca="false">IF(C6839="MAT.",VLOOKUP(A6839,INSUMOS_AUX!$A$3:$H$813,6,0),0)</f>
        <v>14.01</v>
      </c>
      <c r="G6839" s="149" t="n">
        <f aca="false">IF(C6839="M.O.",VLOOKUP(A6839,INSUMOS_AUX!A:F,6,0),0)</f>
        <v>0</v>
      </c>
    </row>
    <row r="6840" customFormat="false" ht="15" hidden="false" customHeight="false" outlineLevel="0" collapsed="false">
      <c r="A6840" s="154" t="n">
        <v>7307</v>
      </c>
      <c r="B6840" s="155" t="s">
        <v>1733</v>
      </c>
      <c r="C6840" s="148" t="str">
        <f aca="false">VLOOKUP($A6840,INSUMOS_AUX!$A$3:$H$813,3,0)</f>
        <v>MAT.</v>
      </c>
      <c r="D6840" s="156" t="s">
        <v>1452</v>
      </c>
      <c r="E6840" s="154" t="n">
        <v>0.007</v>
      </c>
      <c r="F6840" s="149" t="n">
        <f aca="false">IF(C6840="MAT.",VLOOKUP(A6840,INSUMOS_AUX!$A$3:$H$813,6,0),0)</f>
        <v>43.33</v>
      </c>
      <c r="G6840" s="149" t="n">
        <f aca="false">IF(C6840="M.O.",VLOOKUP(A6840,INSUMOS_AUX!A:F,6,0),0)</f>
        <v>0</v>
      </c>
    </row>
    <row r="6841" customFormat="false" ht="15" hidden="false" customHeight="false" outlineLevel="0" collapsed="false">
      <c r="A6841" s="154" t="n">
        <v>4208</v>
      </c>
      <c r="B6841" s="155" t="s">
        <v>2694</v>
      </c>
      <c r="C6841" s="148" t="s">
        <v>59</v>
      </c>
      <c r="D6841" s="156" t="s">
        <v>31</v>
      </c>
      <c r="E6841" s="154" t="n">
        <v>1</v>
      </c>
      <c r="F6841" s="149" t="n">
        <f aca="false">IF(C6841="MAT.",VLOOKUP(A6841,INSUMOS_AUX!$A$3:$H$813,6,0),0)</f>
        <v>0</v>
      </c>
      <c r="G6841" s="149" t="n">
        <f aca="false">IF(C6841="M.O.",VLOOKUP(A6841,INSUMOS_AUX!A:F,6,0),0)</f>
        <v>0</v>
      </c>
    </row>
    <row r="6842" customFormat="false" ht="15" hidden="false" customHeight="false" outlineLevel="0" collapsed="false">
      <c r="A6842" s="154" t="n">
        <v>246</v>
      </c>
      <c r="B6842" s="155" t="s">
        <v>1752</v>
      </c>
      <c r="C6842" s="148" t="str">
        <f aca="false">VLOOKUP($A6842,INSUMOS_AUX!$A$3:$H$813,3,0)</f>
        <v>M.O.</v>
      </c>
      <c r="D6842" s="156" t="s">
        <v>1444</v>
      </c>
      <c r="E6842" s="154" t="n">
        <v>0.74923328</v>
      </c>
      <c r="F6842" s="149" t="n">
        <f aca="false">IF(C6842="MAT.",VLOOKUP(A6842,INSUMOS_AUX!$A$3:$H$813,6,0),0)</f>
        <v>0</v>
      </c>
      <c r="G6842" s="149" t="n">
        <f aca="false">IF(C6842="M.O.",VLOOKUP(A6842,INSUMOS_AUX!A:F,6,0),0)</f>
        <v>13.26</v>
      </c>
    </row>
    <row r="6843" customFormat="false" ht="15" hidden="false" customHeight="false" outlineLevel="0" collapsed="false">
      <c r="A6843" s="154" t="n">
        <v>2696</v>
      </c>
      <c r="B6843" s="155" t="s">
        <v>1483</v>
      </c>
      <c r="C6843" s="148" t="str">
        <f aca="false">VLOOKUP($A6843,INSUMOS_AUX!$A$3:$H$813,3,0)</f>
        <v>M.O.</v>
      </c>
      <c r="D6843" s="156" t="s">
        <v>1444</v>
      </c>
      <c r="E6843" s="154" t="n">
        <v>0.74923328</v>
      </c>
      <c r="F6843" s="149" t="n">
        <f aca="false">IF(C6843="MAT.",VLOOKUP(A6843,INSUMOS_AUX!$A$3:$H$813,6,0),0)</f>
        <v>0</v>
      </c>
      <c r="G6843" s="149" t="n">
        <f aca="false">IF(C6843="M.O.",VLOOKUP(A6843,INSUMOS_AUX!A:F,6,0),0)</f>
        <v>20.22</v>
      </c>
    </row>
    <row r="6844" customFormat="false" ht="31.5" hidden="false" customHeight="false" outlineLevel="0" collapsed="false">
      <c r="A6844" s="150" t="n">
        <v>92379</v>
      </c>
      <c r="B6844" s="151" t="s">
        <v>2695</v>
      </c>
      <c r="C6844" s="152" t="s">
        <v>59</v>
      </c>
      <c r="D6844" s="152" t="s">
        <v>31</v>
      </c>
      <c r="E6844" s="150"/>
      <c r="F6844" s="153" t="n">
        <f aca="false">(SUMPRODUCT($E6845:$E6855,F6845:F6855))*1</f>
        <v>109.4068</v>
      </c>
      <c r="G6844" s="153" t="n">
        <f aca="false">(SUMPRODUCT($E6845:$E6855,G6845:G6855))*1</f>
        <v>28.2198714912</v>
      </c>
    </row>
    <row r="6845" customFormat="false" ht="21" hidden="false" customHeight="false" outlineLevel="0" collapsed="false">
      <c r="A6845" s="154" t="n">
        <v>37370</v>
      </c>
      <c r="B6845" s="155" t="s">
        <v>1443</v>
      </c>
      <c r="C6845" s="148" t="str">
        <f aca="false">VLOOKUP($A6845,INSUMOS_AUX!$A$3:$H$813,3,0)</f>
        <v>MAT.</v>
      </c>
      <c r="D6845" s="156" t="s">
        <v>1444</v>
      </c>
      <c r="E6845" s="154" t="n">
        <v>1.656</v>
      </c>
      <c r="F6845" s="149" t="n">
        <f aca="false">IF(C6845="MAT.",VLOOKUP(A6845,INSUMOS_AUX!$A$3:$H$813,6,0),0)</f>
        <v>3.32</v>
      </c>
      <c r="G6845" s="149" t="n">
        <f aca="false">IF(C6845="M.O.",VLOOKUP(A6845,INSUMOS_AUX!A:F,6,0),0)</f>
        <v>0</v>
      </c>
    </row>
    <row r="6846" customFormat="false" ht="21" hidden="false" customHeight="false" outlineLevel="0" collapsed="false">
      <c r="A6846" s="154" t="n">
        <v>43485</v>
      </c>
      <c r="B6846" s="155" t="s">
        <v>1481</v>
      </c>
      <c r="C6846" s="148" t="str">
        <f aca="false">VLOOKUP($A6846,INSUMOS_AUX!$A$3:$H$813,3,0)</f>
        <v>MAT.</v>
      </c>
      <c r="D6846" s="156" t="s">
        <v>1444</v>
      </c>
      <c r="E6846" s="154" t="n">
        <v>1.656</v>
      </c>
      <c r="F6846" s="149" t="n">
        <f aca="false">IF(C6846="MAT.",VLOOKUP(A6846,INSUMOS_AUX!$A$3:$H$813,6,0),0)</f>
        <v>1.13</v>
      </c>
      <c r="G6846" s="149" t="n">
        <f aca="false">IF(C6846="M.O.",VLOOKUP(A6846,INSUMOS_AUX!A:F,6,0),0)</f>
        <v>0</v>
      </c>
    </row>
    <row r="6847" customFormat="false" ht="21" hidden="false" customHeight="false" outlineLevel="0" collapsed="false">
      <c r="A6847" s="154" t="n">
        <v>37372</v>
      </c>
      <c r="B6847" s="155" t="s">
        <v>1446</v>
      </c>
      <c r="C6847" s="148" t="str">
        <f aca="false">VLOOKUP($A6847,INSUMOS_AUX!$A$3:$H$813,3,0)</f>
        <v>MAT.</v>
      </c>
      <c r="D6847" s="156" t="s">
        <v>1444</v>
      </c>
      <c r="E6847" s="154" t="n">
        <v>1.656</v>
      </c>
      <c r="F6847" s="149" t="n">
        <f aca="false">IF(C6847="MAT.",VLOOKUP(A6847,INSUMOS_AUX!$A$3:$H$813,6,0),0)</f>
        <v>1.43</v>
      </c>
      <c r="G6847" s="149" t="n">
        <f aca="false">IF(C6847="M.O.",VLOOKUP(A6847,INSUMOS_AUX!A:F,6,0),0)</f>
        <v>0</v>
      </c>
    </row>
    <row r="6848" customFormat="false" ht="21" hidden="false" customHeight="false" outlineLevel="0" collapsed="false">
      <c r="A6848" s="154" t="n">
        <v>43461</v>
      </c>
      <c r="B6848" s="155" t="s">
        <v>1482</v>
      </c>
      <c r="C6848" s="148" t="str">
        <f aca="false">VLOOKUP($A6848,INSUMOS_AUX!$A$3:$H$813,3,0)</f>
        <v>MAT.</v>
      </c>
      <c r="D6848" s="156" t="s">
        <v>1444</v>
      </c>
      <c r="E6848" s="154" t="n">
        <v>1.656</v>
      </c>
      <c r="F6848" s="149" t="n">
        <f aca="false">IF(C6848="MAT.",VLOOKUP(A6848,INSUMOS_AUX!$A$3:$H$813,6,0),0)</f>
        <v>0.31</v>
      </c>
      <c r="G6848" s="149" t="n">
        <f aca="false">IF(C6848="M.O.",VLOOKUP(A6848,INSUMOS_AUX!A:F,6,0),0)</f>
        <v>0</v>
      </c>
    </row>
    <row r="6849" customFormat="false" ht="21" hidden="false" customHeight="false" outlineLevel="0" collapsed="false">
      <c r="A6849" s="154" t="n">
        <v>37373</v>
      </c>
      <c r="B6849" s="155" t="s">
        <v>1448</v>
      </c>
      <c r="C6849" s="148" t="str">
        <f aca="false">VLOOKUP($A6849,INSUMOS_AUX!$A$3:$H$813,3,0)</f>
        <v>MAT.</v>
      </c>
      <c r="D6849" s="156" t="s">
        <v>1444</v>
      </c>
      <c r="E6849" s="154" t="n">
        <v>1.656</v>
      </c>
      <c r="F6849" s="149" t="n">
        <f aca="false">IF(C6849="MAT.",VLOOKUP(A6849,INSUMOS_AUX!$A$3:$H$813,6,0),0)</f>
        <v>0.08</v>
      </c>
      <c r="G6849" s="149" t="n">
        <f aca="false">IF(C6849="M.O.",VLOOKUP(A6849,INSUMOS_AUX!A:F,6,0),0)</f>
        <v>0</v>
      </c>
    </row>
    <row r="6850" customFormat="false" ht="21" hidden="false" customHeight="false" outlineLevel="0" collapsed="false">
      <c r="A6850" s="154" t="n">
        <v>37371</v>
      </c>
      <c r="B6850" s="155" t="s">
        <v>1449</v>
      </c>
      <c r="C6850" s="148" t="str">
        <f aca="false">VLOOKUP($A6850,INSUMOS_AUX!$A$3:$H$813,3,0)</f>
        <v>MAT.</v>
      </c>
      <c r="D6850" s="156" t="s">
        <v>1444</v>
      </c>
      <c r="E6850" s="154" t="n">
        <v>1.656</v>
      </c>
      <c r="F6850" s="149" t="n">
        <f aca="false">IF(C6850="MAT.",VLOOKUP(A6850,INSUMOS_AUX!$A$3:$H$813,6,0),0)</f>
        <v>0.59</v>
      </c>
      <c r="G6850" s="149" t="n">
        <f aca="false">IF(C6850="M.O.",VLOOKUP(A6850,INSUMOS_AUX!A:F,6,0),0)</f>
        <v>0</v>
      </c>
    </row>
    <row r="6851" customFormat="false" ht="15" hidden="false" customHeight="false" outlineLevel="0" collapsed="false">
      <c r="A6851" s="154" t="n">
        <v>3148</v>
      </c>
      <c r="B6851" s="155" t="s">
        <v>2085</v>
      </c>
      <c r="C6851" s="148" t="s">
        <v>59</v>
      </c>
      <c r="D6851" s="156" t="s">
        <v>31</v>
      </c>
      <c r="E6851" s="154" t="n">
        <v>0.035</v>
      </c>
      <c r="F6851" s="149" t="n">
        <f aca="false">IF(C6851="MAT.",VLOOKUP(A6851,INSUMOS_AUX!$A$3:$H$813,6,0),0)</f>
        <v>0</v>
      </c>
      <c r="G6851" s="149" t="n">
        <f aca="false">IF(C6851="M.O.",VLOOKUP(A6851,INSUMOS_AUX!A:F,6,0),0)</f>
        <v>0</v>
      </c>
    </row>
    <row r="6852" customFormat="false" ht="15" hidden="false" customHeight="false" outlineLevel="0" collapsed="false">
      <c r="A6852" s="154" t="n">
        <v>7307</v>
      </c>
      <c r="B6852" s="155" t="s">
        <v>1733</v>
      </c>
      <c r="C6852" s="148" t="str">
        <f aca="false">VLOOKUP($A6852,INSUMOS_AUX!$A$3:$H$813,3,0)</f>
        <v>MAT.</v>
      </c>
      <c r="D6852" s="156" t="s">
        <v>1452</v>
      </c>
      <c r="E6852" s="154" t="n">
        <v>0.008</v>
      </c>
      <c r="F6852" s="149" t="n">
        <f aca="false">IF(C6852="MAT.",VLOOKUP(A6852,INSUMOS_AUX!$A$3:$H$813,6,0),0)</f>
        <v>43.33</v>
      </c>
      <c r="G6852" s="149" t="n">
        <f aca="false">IF(C6852="M.O.",VLOOKUP(A6852,INSUMOS_AUX!A:F,6,0),0)</f>
        <v>0</v>
      </c>
    </row>
    <row r="6853" customFormat="false" ht="15" hidden="false" customHeight="false" outlineLevel="0" collapsed="false">
      <c r="A6853" s="154" t="n">
        <v>4182</v>
      </c>
      <c r="B6853" s="155" t="s">
        <v>2696</v>
      </c>
      <c r="C6853" s="148" t="str">
        <f aca="false">VLOOKUP($A6853,INSUMOS_AUX!$A$3:$H$813,3,0)</f>
        <v>MAT.</v>
      </c>
      <c r="D6853" s="156" t="s">
        <v>31</v>
      </c>
      <c r="E6853" s="154" t="n">
        <v>1</v>
      </c>
      <c r="F6853" s="149" t="n">
        <f aca="false">IF(C6853="MAT.",VLOOKUP(A6853,INSUMOS_AUX!$A$3:$H$813,6,0),0)</f>
        <v>97.7</v>
      </c>
      <c r="G6853" s="149" t="n">
        <f aca="false">IF(C6853="M.O.",VLOOKUP(A6853,INSUMOS_AUX!A:F,6,0),0)</f>
        <v>0</v>
      </c>
    </row>
    <row r="6854" customFormat="false" ht="15" hidden="false" customHeight="false" outlineLevel="0" collapsed="false">
      <c r="A6854" s="154" t="n">
        <v>246</v>
      </c>
      <c r="B6854" s="155" t="s">
        <v>1752</v>
      </c>
      <c r="C6854" s="148" t="str">
        <f aca="false">VLOOKUP($A6854,INSUMOS_AUX!$A$3:$H$813,3,0)</f>
        <v>M.O.</v>
      </c>
      <c r="D6854" s="156" t="s">
        <v>1444</v>
      </c>
      <c r="E6854" s="154" t="n">
        <v>0.84288744</v>
      </c>
      <c r="F6854" s="149" t="n">
        <f aca="false">IF(C6854="MAT.",VLOOKUP(A6854,INSUMOS_AUX!$A$3:$H$813,6,0),0)</f>
        <v>0</v>
      </c>
      <c r="G6854" s="149" t="n">
        <f aca="false">IF(C6854="M.O.",VLOOKUP(A6854,INSUMOS_AUX!A:F,6,0),0)</f>
        <v>13.26</v>
      </c>
    </row>
    <row r="6855" customFormat="false" ht="15" hidden="false" customHeight="false" outlineLevel="0" collapsed="false">
      <c r="A6855" s="154" t="n">
        <v>2696</v>
      </c>
      <c r="B6855" s="155" t="s">
        <v>1483</v>
      </c>
      <c r="C6855" s="148" t="str">
        <f aca="false">VLOOKUP($A6855,INSUMOS_AUX!$A$3:$H$813,3,0)</f>
        <v>M.O.</v>
      </c>
      <c r="D6855" s="156" t="s">
        <v>1444</v>
      </c>
      <c r="E6855" s="154" t="n">
        <v>0.84288744</v>
      </c>
      <c r="F6855" s="149" t="n">
        <f aca="false">IF(C6855="MAT.",VLOOKUP(A6855,INSUMOS_AUX!$A$3:$H$813,6,0),0)</f>
        <v>0</v>
      </c>
      <c r="G6855" s="149" t="n">
        <f aca="false">IF(C6855="M.O.",VLOOKUP(A6855,INSUMOS_AUX!A:F,6,0),0)</f>
        <v>20.22</v>
      </c>
    </row>
    <row r="6856" customFormat="false" ht="21" hidden="false" customHeight="false" outlineLevel="0" collapsed="false">
      <c r="A6856" s="150" t="n">
        <v>94500</v>
      </c>
      <c r="B6856" s="151" t="s">
        <v>2697</v>
      </c>
      <c r="C6856" s="152" t="s">
        <v>59</v>
      </c>
      <c r="D6856" s="152" t="s">
        <v>31</v>
      </c>
      <c r="E6856" s="150"/>
      <c r="F6856" s="153" t="n">
        <f aca="false">(SUMPRODUCT($E6857:$E6866,F6857:F6866))*1</f>
        <v>319.036404</v>
      </c>
      <c r="G6856" s="153" t="n">
        <f aca="false">(SUMPRODUCT($E6857:$E6866,G6857:G6866))*1</f>
        <v>19.4096821428</v>
      </c>
    </row>
    <row r="6857" customFormat="false" ht="21" hidden="false" customHeight="false" outlineLevel="0" collapsed="false">
      <c r="A6857" s="154" t="n">
        <v>37370</v>
      </c>
      <c r="B6857" s="155" t="s">
        <v>1443</v>
      </c>
      <c r="C6857" s="148" t="str">
        <f aca="false">VLOOKUP($A6857,INSUMOS_AUX!$A$3:$H$813,3,0)</f>
        <v>MAT.</v>
      </c>
      <c r="D6857" s="156" t="s">
        <v>1444</v>
      </c>
      <c r="E6857" s="154" t="n">
        <v>1.139</v>
      </c>
      <c r="F6857" s="149" t="n">
        <f aca="false">IF(C6857="MAT.",VLOOKUP(A6857,INSUMOS_AUX!$A$3:$H$813,6,0),0)</f>
        <v>3.32</v>
      </c>
      <c r="G6857" s="149" t="n">
        <f aca="false">IF(C6857="M.O.",VLOOKUP(A6857,INSUMOS_AUX!A:F,6,0),0)</f>
        <v>0</v>
      </c>
    </row>
    <row r="6858" customFormat="false" ht="21" hidden="false" customHeight="false" outlineLevel="0" collapsed="false">
      <c r="A6858" s="154" t="n">
        <v>43485</v>
      </c>
      <c r="B6858" s="155" t="s">
        <v>1481</v>
      </c>
      <c r="C6858" s="148" t="str">
        <f aca="false">VLOOKUP($A6858,INSUMOS_AUX!$A$3:$H$813,3,0)</f>
        <v>MAT.</v>
      </c>
      <c r="D6858" s="156" t="s">
        <v>1444</v>
      </c>
      <c r="E6858" s="154" t="n">
        <v>1.139</v>
      </c>
      <c r="F6858" s="149" t="n">
        <f aca="false">IF(C6858="MAT.",VLOOKUP(A6858,INSUMOS_AUX!$A$3:$H$813,6,0),0)</f>
        <v>1.13</v>
      </c>
      <c r="G6858" s="149" t="n">
        <f aca="false">IF(C6858="M.O.",VLOOKUP(A6858,INSUMOS_AUX!A:F,6,0),0)</f>
        <v>0</v>
      </c>
    </row>
    <row r="6859" customFormat="false" ht="21" hidden="false" customHeight="false" outlineLevel="0" collapsed="false">
      <c r="A6859" s="154" t="n">
        <v>37372</v>
      </c>
      <c r="B6859" s="155" t="s">
        <v>1446</v>
      </c>
      <c r="C6859" s="148" t="str">
        <f aca="false">VLOOKUP($A6859,INSUMOS_AUX!$A$3:$H$813,3,0)</f>
        <v>MAT.</v>
      </c>
      <c r="D6859" s="156" t="s">
        <v>1444</v>
      </c>
      <c r="E6859" s="154" t="n">
        <v>1.139</v>
      </c>
      <c r="F6859" s="149" t="n">
        <f aca="false">IF(C6859="MAT.",VLOOKUP(A6859,INSUMOS_AUX!$A$3:$H$813,6,0),0)</f>
        <v>1.43</v>
      </c>
      <c r="G6859" s="149" t="n">
        <f aca="false">IF(C6859="M.O.",VLOOKUP(A6859,INSUMOS_AUX!A:F,6,0),0)</f>
        <v>0</v>
      </c>
    </row>
    <row r="6860" customFormat="false" ht="21" hidden="false" customHeight="false" outlineLevel="0" collapsed="false">
      <c r="A6860" s="154" t="n">
        <v>43461</v>
      </c>
      <c r="B6860" s="155" t="s">
        <v>1482</v>
      </c>
      <c r="C6860" s="148" t="s">
        <v>59</v>
      </c>
      <c r="D6860" s="156" t="s">
        <v>1444</v>
      </c>
      <c r="E6860" s="154" t="n">
        <v>1.139</v>
      </c>
      <c r="F6860" s="149" t="n">
        <f aca="false">IF(C6860="MAT.",VLOOKUP(A6860,INSUMOS_AUX!$A$3:$H$813,6,0),0)</f>
        <v>0</v>
      </c>
      <c r="G6860" s="149" t="n">
        <f aca="false">IF(C6860="M.O.",VLOOKUP(A6860,INSUMOS_AUX!A:F,6,0),0)</f>
        <v>0</v>
      </c>
    </row>
    <row r="6861" customFormat="false" ht="21" hidden="false" customHeight="false" outlineLevel="0" collapsed="false">
      <c r="A6861" s="154" t="n">
        <v>37373</v>
      </c>
      <c r="B6861" s="155" t="s">
        <v>1448</v>
      </c>
      <c r="C6861" s="148" t="str">
        <f aca="false">VLOOKUP($A6861,INSUMOS_AUX!$A$3:$H$813,3,0)</f>
        <v>MAT.</v>
      </c>
      <c r="D6861" s="156" t="s">
        <v>1444</v>
      </c>
      <c r="E6861" s="154" t="n">
        <v>1.139</v>
      </c>
      <c r="F6861" s="149" t="n">
        <f aca="false">IF(C6861="MAT.",VLOOKUP(A6861,INSUMOS_AUX!$A$3:$H$813,6,0),0)</f>
        <v>0.08</v>
      </c>
      <c r="G6861" s="149" t="n">
        <f aca="false">IF(C6861="M.O.",VLOOKUP(A6861,INSUMOS_AUX!A:F,6,0),0)</f>
        <v>0</v>
      </c>
    </row>
    <row r="6862" customFormat="false" ht="21" hidden="false" customHeight="false" outlineLevel="0" collapsed="false">
      <c r="A6862" s="154" t="n">
        <v>37371</v>
      </c>
      <c r="B6862" s="155" t="s">
        <v>1449</v>
      </c>
      <c r="C6862" s="148" t="str">
        <f aca="false">VLOOKUP($A6862,INSUMOS_AUX!$A$3:$H$813,3,0)</f>
        <v>MAT.</v>
      </c>
      <c r="D6862" s="156" t="s">
        <v>1444</v>
      </c>
      <c r="E6862" s="154" t="n">
        <v>1.139</v>
      </c>
      <c r="F6862" s="149" t="n">
        <f aca="false">IF(C6862="MAT.",VLOOKUP(A6862,INSUMOS_AUX!$A$3:$H$813,6,0),0)</f>
        <v>0.59</v>
      </c>
      <c r="G6862" s="149" t="n">
        <f aca="false">IF(C6862="M.O.",VLOOKUP(A6862,INSUMOS_AUX!A:F,6,0),0)</f>
        <v>0</v>
      </c>
    </row>
    <row r="6863" customFormat="false" ht="15" hidden="false" customHeight="false" outlineLevel="0" collapsed="false">
      <c r="A6863" s="154" t="n">
        <v>3148</v>
      </c>
      <c r="B6863" s="155" t="s">
        <v>2085</v>
      </c>
      <c r="C6863" s="148" t="str">
        <f aca="false">VLOOKUP($A6863,INSUMOS_AUX!$A$3:$H$813,3,0)</f>
        <v>MAT.</v>
      </c>
      <c r="D6863" s="156" t="s">
        <v>31</v>
      </c>
      <c r="E6863" s="154" t="n">
        <v>0.0354</v>
      </c>
      <c r="F6863" s="149" t="n">
        <f aca="false">IF(C6863="MAT.",VLOOKUP(A6863,INSUMOS_AUX!$A$3:$H$813,6,0),0)</f>
        <v>14.01</v>
      </c>
      <c r="G6863" s="149" t="n">
        <f aca="false">IF(C6863="M.O.",VLOOKUP(A6863,INSUMOS_AUX!A:F,6,0),0)</f>
        <v>0</v>
      </c>
    </row>
    <row r="6864" customFormat="false" ht="15" hidden="false" customHeight="false" outlineLevel="0" collapsed="false">
      <c r="A6864" s="154" t="n">
        <v>6012</v>
      </c>
      <c r="B6864" s="155" t="s">
        <v>2698</v>
      </c>
      <c r="C6864" s="148" t="str">
        <f aca="false">VLOOKUP($A6864,INSUMOS_AUX!$A$3:$H$813,3,0)</f>
        <v>MAT.</v>
      </c>
      <c r="D6864" s="156" t="s">
        <v>31</v>
      </c>
      <c r="E6864" s="154" t="n">
        <v>1</v>
      </c>
      <c r="F6864" s="149" t="n">
        <f aca="false">IF(C6864="MAT.",VLOOKUP(A6864,INSUMOS_AUX!$A$3:$H$813,6,0),0)</f>
        <v>311.08</v>
      </c>
      <c r="G6864" s="149" t="n">
        <f aca="false">IF(C6864="M.O.",VLOOKUP(A6864,INSUMOS_AUX!A:F,6,0),0)</f>
        <v>0</v>
      </c>
    </row>
    <row r="6865" customFormat="false" ht="15" hidden="false" customHeight="false" outlineLevel="0" collapsed="false">
      <c r="A6865" s="154" t="n">
        <v>246</v>
      </c>
      <c r="B6865" s="155" t="s">
        <v>1752</v>
      </c>
      <c r="C6865" s="148" t="str">
        <f aca="false">VLOOKUP($A6865,INSUMOS_AUX!$A$3:$H$813,3,0)</f>
        <v>M.O.</v>
      </c>
      <c r="D6865" s="156" t="s">
        <v>1444</v>
      </c>
      <c r="E6865" s="154" t="n">
        <v>0.57973961</v>
      </c>
      <c r="F6865" s="149" t="n">
        <f aca="false">IF(C6865="MAT.",VLOOKUP(A6865,INSUMOS_AUX!$A$3:$H$813,6,0),0)</f>
        <v>0</v>
      </c>
      <c r="G6865" s="149" t="n">
        <f aca="false">IF(C6865="M.O.",VLOOKUP(A6865,INSUMOS_AUX!A:F,6,0),0)</f>
        <v>13.26</v>
      </c>
    </row>
    <row r="6866" customFormat="false" ht="15" hidden="false" customHeight="false" outlineLevel="0" collapsed="false">
      <c r="A6866" s="154" t="n">
        <v>2696</v>
      </c>
      <c r="B6866" s="155" t="s">
        <v>1483</v>
      </c>
      <c r="C6866" s="148" t="str">
        <f aca="false">VLOOKUP($A6866,INSUMOS_AUX!$A$3:$H$813,3,0)</f>
        <v>M.O.</v>
      </c>
      <c r="D6866" s="156" t="s">
        <v>1444</v>
      </c>
      <c r="E6866" s="154" t="n">
        <v>0.57973961</v>
      </c>
      <c r="F6866" s="149" t="n">
        <f aca="false">IF(C6866="MAT.",VLOOKUP(A6866,INSUMOS_AUX!$A$3:$H$813,6,0),0)</f>
        <v>0</v>
      </c>
      <c r="G6866" s="149" t="n">
        <f aca="false">IF(C6866="M.O.",VLOOKUP(A6866,INSUMOS_AUX!A:F,6,0),0)</f>
        <v>20.22</v>
      </c>
    </row>
    <row r="6867" customFormat="false" ht="31.5" hidden="false" customHeight="false" outlineLevel="0" collapsed="false">
      <c r="A6867" s="150" t="n">
        <v>92936</v>
      </c>
      <c r="B6867" s="151" t="s">
        <v>2699</v>
      </c>
      <c r="C6867" s="152" t="s">
        <v>59</v>
      </c>
      <c r="D6867" s="152" t="s">
        <v>31</v>
      </c>
      <c r="E6867" s="150"/>
      <c r="F6867" s="153" t="n">
        <f aca="false">(SUMPRODUCT($E6868:$E6878,F6868:F6878))*1</f>
        <v>126.69587</v>
      </c>
      <c r="G6867" s="153" t="n">
        <f aca="false">(SUMPRODUCT($E6868:$E6878,G6868:G6878))*1</f>
        <v>11.1766874544</v>
      </c>
    </row>
    <row r="6868" customFormat="false" ht="21" hidden="false" customHeight="false" outlineLevel="0" collapsed="false">
      <c r="A6868" s="154" t="n">
        <v>37370</v>
      </c>
      <c r="B6868" s="155" t="s">
        <v>1443</v>
      </c>
      <c r="C6868" s="148" t="str">
        <f aca="false">VLOOKUP($A6868,INSUMOS_AUX!$A$3:$H$813,3,0)</f>
        <v>MAT.</v>
      </c>
      <c r="D6868" s="156" t="s">
        <v>1444</v>
      </c>
      <c r="E6868" s="154" t="n">
        <v>1.656</v>
      </c>
      <c r="F6868" s="149" t="n">
        <f aca="false">IF(C6868="MAT.",VLOOKUP(A6868,INSUMOS_AUX!$A$3:$H$813,6,0),0)</f>
        <v>3.32</v>
      </c>
      <c r="G6868" s="149" t="n">
        <f aca="false">IF(C6868="M.O.",VLOOKUP(A6868,INSUMOS_AUX!A:F,6,0),0)</f>
        <v>0</v>
      </c>
    </row>
    <row r="6869" customFormat="false" ht="21" hidden="false" customHeight="false" outlineLevel="0" collapsed="false">
      <c r="A6869" s="154" t="n">
        <v>43485</v>
      </c>
      <c r="B6869" s="155" t="s">
        <v>1481</v>
      </c>
      <c r="C6869" s="148" t="s">
        <v>59</v>
      </c>
      <c r="D6869" s="156" t="s">
        <v>1444</v>
      </c>
      <c r="E6869" s="154" t="n">
        <v>1.656</v>
      </c>
      <c r="F6869" s="149" t="n">
        <f aca="false">IF(C6869="MAT.",VLOOKUP(A6869,INSUMOS_AUX!$A$3:$H$813,6,0),0)</f>
        <v>0</v>
      </c>
      <c r="G6869" s="149" t="n">
        <f aca="false">IF(C6869="M.O.",VLOOKUP(A6869,INSUMOS_AUX!A:F,6,0),0)</f>
        <v>0</v>
      </c>
    </row>
    <row r="6870" customFormat="false" ht="21" hidden="false" customHeight="false" outlineLevel="0" collapsed="false">
      <c r="A6870" s="154" t="n">
        <v>37372</v>
      </c>
      <c r="B6870" s="155" t="s">
        <v>1446</v>
      </c>
      <c r="C6870" s="148" t="str">
        <f aca="false">VLOOKUP($A6870,INSUMOS_AUX!$A$3:$H$813,3,0)</f>
        <v>MAT.</v>
      </c>
      <c r="D6870" s="156" t="s">
        <v>1444</v>
      </c>
      <c r="E6870" s="154" t="n">
        <v>1.656</v>
      </c>
      <c r="F6870" s="149" t="n">
        <f aca="false">IF(C6870="MAT.",VLOOKUP(A6870,INSUMOS_AUX!$A$3:$H$813,6,0),0)</f>
        <v>1.43</v>
      </c>
      <c r="G6870" s="149" t="n">
        <f aca="false">IF(C6870="M.O.",VLOOKUP(A6870,INSUMOS_AUX!A:F,6,0),0)</f>
        <v>0</v>
      </c>
    </row>
    <row r="6871" customFormat="false" ht="21" hidden="false" customHeight="false" outlineLevel="0" collapsed="false">
      <c r="A6871" s="154" t="n">
        <v>43461</v>
      </c>
      <c r="B6871" s="155" t="s">
        <v>1482</v>
      </c>
      <c r="C6871" s="148" t="str">
        <f aca="false">VLOOKUP($A6871,INSUMOS_AUX!$A$3:$H$813,3,0)</f>
        <v>MAT.</v>
      </c>
      <c r="D6871" s="156" t="s">
        <v>1444</v>
      </c>
      <c r="E6871" s="154" t="n">
        <v>1.656</v>
      </c>
      <c r="F6871" s="149" t="n">
        <f aca="false">IF(C6871="MAT.",VLOOKUP(A6871,INSUMOS_AUX!$A$3:$H$813,6,0),0)</f>
        <v>0.31</v>
      </c>
      <c r="G6871" s="149" t="n">
        <f aca="false">IF(C6871="M.O.",VLOOKUP(A6871,INSUMOS_AUX!A:F,6,0),0)</f>
        <v>0</v>
      </c>
    </row>
    <row r="6872" customFormat="false" ht="21" hidden="false" customHeight="false" outlineLevel="0" collapsed="false">
      <c r="A6872" s="154" t="n">
        <v>37373</v>
      </c>
      <c r="B6872" s="155" t="s">
        <v>1448</v>
      </c>
      <c r="C6872" s="148" t="str">
        <f aca="false">VLOOKUP($A6872,INSUMOS_AUX!$A$3:$H$813,3,0)</f>
        <v>MAT.</v>
      </c>
      <c r="D6872" s="156" t="s">
        <v>1444</v>
      </c>
      <c r="E6872" s="154" t="n">
        <v>1.656</v>
      </c>
      <c r="F6872" s="149" t="n">
        <f aca="false">IF(C6872="MAT.",VLOOKUP(A6872,INSUMOS_AUX!$A$3:$H$813,6,0),0)</f>
        <v>0.08</v>
      </c>
      <c r="G6872" s="149" t="n">
        <f aca="false">IF(C6872="M.O.",VLOOKUP(A6872,INSUMOS_AUX!A:F,6,0),0)</f>
        <v>0</v>
      </c>
    </row>
    <row r="6873" customFormat="false" ht="21" hidden="false" customHeight="false" outlineLevel="0" collapsed="false">
      <c r="A6873" s="154" t="n">
        <v>37371</v>
      </c>
      <c r="B6873" s="155" t="s">
        <v>1449</v>
      </c>
      <c r="C6873" s="148" t="str">
        <f aca="false">VLOOKUP($A6873,INSUMOS_AUX!$A$3:$H$813,3,0)</f>
        <v>MAT.</v>
      </c>
      <c r="D6873" s="156" t="s">
        <v>1444</v>
      </c>
      <c r="E6873" s="154" t="n">
        <v>1.656</v>
      </c>
      <c r="F6873" s="149" t="n">
        <f aca="false">IF(C6873="MAT.",VLOOKUP(A6873,INSUMOS_AUX!$A$3:$H$813,6,0),0)</f>
        <v>0.59</v>
      </c>
      <c r="G6873" s="149" t="n">
        <f aca="false">IF(C6873="M.O.",VLOOKUP(A6873,INSUMOS_AUX!A:F,6,0),0)</f>
        <v>0</v>
      </c>
    </row>
    <row r="6874" customFormat="false" ht="15" hidden="false" customHeight="false" outlineLevel="0" collapsed="false">
      <c r="A6874" s="154" t="n">
        <v>3148</v>
      </c>
      <c r="B6874" s="155" t="s">
        <v>2085</v>
      </c>
      <c r="C6874" s="148" t="str">
        <f aca="false">VLOOKUP($A6874,INSUMOS_AUX!$A$3:$H$813,3,0)</f>
        <v>MAT.</v>
      </c>
      <c r="D6874" s="156" t="s">
        <v>31</v>
      </c>
      <c r="E6874" s="154" t="n">
        <v>0.035</v>
      </c>
      <c r="F6874" s="149" t="n">
        <f aca="false">IF(C6874="MAT.",VLOOKUP(A6874,INSUMOS_AUX!$A$3:$H$813,6,0),0)</f>
        <v>14.01</v>
      </c>
      <c r="G6874" s="149" t="n">
        <f aca="false">IF(C6874="M.O.",VLOOKUP(A6874,INSUMOS_AUX!A:F,6,0),0)</f>
        <v>0</v>
      </c>
    </row>
    <row r="6875" customFormat="false" ht="15" hidden="false" customHeight="false" outlineLevel="0" collapsed="false">
      <c r="A6875" s="154" t="n">
        <v>7307</v>
      </c>
      <c r="B6875" s="155" t="s">
        <v>1733</v>
      </c>
      <c r="C6875" s="148" t="str">
        <f aca="false">VLOOKUP($A6875,INSUMOS_AUX!$A$3:$H$813,3,0)</f>
        <v>MAT.</v>
      </c>
      <c r="D6875" s="156" t="s">
        <v>1452</v>
      </c>
      <c r="E6875" s="154" t="n">
        <v>0.008</v>
      </c>
      <c r="F6875" s="149" t="n">
        <f aca="false">IF(C6875="MAT.",VLOOKUP(A6875,INSUMOS_AUX!$A$3:$H$813,6,0),0)</f>
        <v>43.33</v>
      </c>
      <c r="G6875" s="149" t="n">
        <f aca="false">IF(C6875="M.O.",VLOOKUP(A6875,INSUMOS_AUX!A:F,6,0),0)</f>
        <v>0</v>
      </c>
    </row>
    <row r="6876" customFormat="false" ht="21" hidden="false" customHeight="false" outlineLevel="0" collapsed="false">
      <c r="A6876" s="154" t="n">
        <v>3931</v>
      </c>
      <c r="B6876" s="155" t="s">
        <v>2700</v>
      </c>
      <c r="C6876" s="148" t="str">
        <f aca="false">VLOOKUP($A6876,INSUMOS_AUX!$A$3:$H$813,3,0)</f>
        <v>MAT.</v>
      </c>
      <c r="D6876" s="156" t="s">
        <v>31</v>
      </c>
      <c r="E6876" s="154" t="n">
        <v>1</v>
      </c>
      <c r="F6876" s="149" t="n">
        <f aca="false">IF(C6876="MAT.",VLOOKUP(A6876,INSUMOS_AUX!$A$3:$H$813,6,0),0)</f>
        <v>116.37</v>
      </c>
      <c r="G6876" s="149" t="n">
        <f aca="false">IF(C6876="M.O.",VLOOKUP(A6876,INSUMOS_AUX!A:F,6,0),0)</f>
        <v>0</v>
      </c>
    </row>
    <row r="6877" customFormat="false" ht="15" hidden="false" customHeight="false" outlineLevel="0" collapsed="false">
      <c r="A6877" s="154" t="n">
        <v>246</v>
      </c>
      <c r="B6877" s="155" t="s">
        <v>1752</v>
      </c>
      <c r="C6877" s="148" t="str">
        <f aca="false">VLOOKUP($A6877,INSUMOS_AUX!$A$3:$H$813,3,0)</f>
        <v>M.O.</v>
      </c>
      <c r="D6877" s="156" t="s">
        <v>1444</v>
      </c>
      <c r="E6877" s="154" t="n">
        <v>0.84288744</v>
      </c>
      <c r="F6877" s="149" t="n">
        <f aca="false">IF(C6877="MAT.",VLOOKUP(A6877,INSUMOS_AUX!$A$3:$H$813,6,0),0)</f>
        <v>0</v>
      </c>
      <c r="G6877" s="149" t="n">
        <f aca="false">IF(C6877="M.O.",VLOOKUP(A6877,INSUMOS_AUX!A:F,6,0),0)</f>
        <v>13.26</v>
      </c>
    </row>
    <row r="6878" customFormat="false" ht="15" hidden="false" customHeight="false" outlineLevel="0" collapsed="false">
      <c r="A6878" s="154" t="n">
        <v>2696</v>
      </c>
      <c r="B6878" s="155" t="s">
        <v>1483</v>
      </c>
      <c r="C6878" s="148" t="s">
        <v>59</v>
      </c>
      <c r="D6878" s="156" t="s">
        <v>1444</v>
      </c>
      <c r="E6878" s="154" t="n">
        <v>0.84288744</v>
      </c>
      <c r="F6878" s="149" t="n">
        <f aca="false">IF(C6878="MAT.",VLOOKUP(A6878,INSUMOS_AUX!$A$3:$H$813,6,0),0)</f>
        <v>0</v>
      </c>
      <c r="G6878" s="149" t="n">
        <f aca="false">IF(C6878="M.O.",VLOOKUP(A6878,INSUMOS_AUX!A:F,6,0),0)</f>
        <v>0</v>
      </c>
    </row>
    <row r="6879" customFormat="false" ht="21" hidden="false" customHeight="false" outlineLevel="0" collapsed="false">
      <c r="A6879" s="150" t="n">
        <v>99624</v>
      </c>
      <c r="B6879" s="151" t="s">
        <v>2701</v>
      </c>
      <c r="C6879" s="152" t="s">
        <v>59</v>
      </c>
      <c r="D6879" s="152" t="s">
        <v>31</v>
      </c>
      <c r="E6879" s="150"/>
      <c r="F6879" s="153" t="n">
        <f aca="false">(SUMPRODUCT($E6880:$E6889,F6880:F6889))*1</f>
        <v>6.660214</v>
      </c>
      <c r="G6879" s="153" t="n">
        <f aca="false">(SUMPRODUCT($E6880:$E6889,G6880:G6889))*1</f>
        <v>15.49366374384</v>
      </c>
    </row>
    <row r="6880" customFormat="false" ht="21" hidden="false" customHeight="false" outlineLevel="0" collapsed="false">
      <c r="A6880" s="154" t="n">
        <v>37370</v>
      </c>
      <c r="B6880" s="155" t="s">
        <v>1443</v>
      </c>
      <c r="C6880" s="148" t="str">
        <f aca="false">VLOOKUP($A6880,INSUMOS_AUX!$A$3:$H$813,3,0)</f>
        <v>MAT.</v>
      </c>
      <c r="D6880" s="156" t="s">
        <v>1444</v>
      </c>
      <c r="E6880" s="154" t="n">
        <v>0.9092</v>
      </c>
      <c r="F6880" s="149" t="n">
        <f aca="false">IF(C6880="MAT.",VLOOKUP(A6880,INSUMOS_AUX!$A$3:$H$813,6,0),0)</f>
        <v>3.32</v>
      </c>
      <c r="G6880" s="149" t="n">
        <f aca="false">IF(C6880="M.O.",VLOOKUP(A6880,INSUMOS_AUX!A:F,6,0),0)</f>
        <v>0</v>
      </c>
    </row>
    <row r="6881" customFormat="false" ht="21" hidden="false" customHeight="false" outlineLevel="0" collapsed="false">
      <c r="A6881" s="154" t="n">
        <v>43485</v>
      </c>
      <c r="B6881" s="155" t="s">
        <v>1481</v>
      </c>
      <c r="C6881" s="148" t="str">
        <f aca="false">VLOOKUP($A6881,INSUMOS_AUX!$A$3:$H$813,3,0)</f>
        <v>MAT.</v>
      </c>
      <c r="D6881" s="156" t="s">
        <v>1444</v>
      </c>
      <c r="E6881" s="154" t="n">
        <v>0.9092</v>
      </c>
      <c r="F6881" s="149" t="n">
        <f aca="false">IF(C6881="MAT.",VLOOKUP(A6881,INSUMOS_AUX!$A$3:$H$813,6,0),0)</f>
        <v>1.13</v>
      </c>
      <c r="G6881" s="149" t="n">
        <f aca="false">IF(C6881="M.O.",VLOOKUP(A6881,INSUMOS_AUX!A:F,6,0),0)</f>
        <v>0</v>
      </c>
    </row>
    <row r="6882" customFormat="false" ht="21" hidden="false" customHeight="false" outlineLevel="0" collapsed="false">
      <c r="A6882" s="154" t="n">
        <v>37372</v>
      </c>
      <c r="B6882" s="155" t="s">
        <v>1446</v>
      </c>
      <c r="C6882" s="148" t="str">
        <f aca="false">VLOOKUP($A6882,INSUMOS_AUX!$A$3:$H$813,3,0)</f>
        <v>MAT.</v>
      </c>
      <c r="D6882" s="156" t="s">
        <v>1444</v>
      </c>
      <c r="E6882" s="154" t="n">
        <v>0.9092</v>
      </c>
      <c r="F6882" s="149" t="n">
        <f aca="false">IF(C6882="MAT.",VLOOKUP(A6882,INSUMOS_AUX!$A$3:$H$813,6,0),0)</f>
        <v>1.43</v>
      </c>
      <c r="G6882" s="149" t="n">
        <f aca="false">IF(C6882="M.O.",VLOOKUP(A6882,INSUMOS_AUX!A:F,6,0),0)</f>
        <v>0</v>
      </c>
    </row>
    <row r="6883" customFormat="false" ht="21" hidden="false" customHeight="false" outlineLevel="0" collapsed="false">
      <c r="A6883" s="154" t="n">
        <v>43461</v>
      </c>
      <c r="B6883" s="155" t="s">
        <v>1482</v>
      </c>
      <c r="C6883" s="148" t="str">
        <f aca="false">VLOOKUP($A6883,INSUMOS_AUX!$A$3:$H$813,3,0)</f>
        <v>MAT.</v>
      </c>
      <c r="D6883" s="156" t="s">
        <v>1444</v>
      </c>
      <c r="E6883" s="154" t="n">
        <v>0.9092</v>
      </c>
      <c r="F6883" s="149" t="n">
        <f aca="false">IF(C6883="MAT.",VLOOKUP(A6883,INSUMOS_AUX!$A$3:$H$813,6,0),0)</f>
        <v>0.31</v>
      </c>
      <c r="G6883" s="149" t="n">
        <f aca="false">IF(C6883="M.O.",VLOOKUP(A6883,INSUMOS_AUX!A:F,6,0),0)</f>
        <v>0</v>
      </c>
    </row>
    <row r="6884" customFormat="false" ht="21" hidden="false" customHeight="false" outlineLevel="0" collapsed="false">
      <c r="A6884" s="154" t="n">
        <v>37373</v>
      </c>
      <c r="B6884" s="155" t="s">
        <v>1448</v>
      </c>
      <c r="C6884" s="148" t="str">
        <f aca="false">VLOOKUP($A6884,INSUMOS_AUX!$A$3:$H$813,3,0)</f>
        <v>MAT.</v>
      </c>
      <c r="D6884" s="156" t="s">
        <v>1444</v>
      </c>
      <c r="E6884" s="154" t="n">
        <v>0.9092</v>
      </c>
      <c r="F6884" s="149" t="n">
        <f aca="false">IF(C6884="MAT.",VLOOKUP(A6884,INSUMOS_AUX!$A$3:$H$813,6,0),0)</f>
        <v>0.08</v>
      </c>
      <c r="G6884" s="149" t="n">
        <f aca="false">IF(C6884="M.O.",VLOOKUP(A6884,INSUMOS_AUX!A:F,6,0),0)</f>
        <v>0</v>
      </c>
    </row>
    <row r="6885" customFormat="false" ht="21" hidden="false" customHeight="false" outlineLevel="0" collapsed="false">
      <c r="A6885" s="154" t="n">
        <v>37371</v>
      </c>
      <c r="B6885" s="155" t="s">
        <v>1449</v>
      </c>
      <c r="C6885" s="148" t="str">
        <f aca="false">VLOOKUP($A6885,INSUMOS_AUX!$A$3:$H$813,3,0)</f>
        <v>MAT.</v>
      </c>
      <c r="D6885" s="156" t="s">
        <v>1444</v>
      </c>
      <c r="E6885" s="154" t="n">
        <v>0.9092</v>
      </c>
      <c r="F6885" s="149" t="n">
        <f aca="false">IF(C6885="MAT.",VLOOKUP(A6885,INSUMOS_AUX!$A$3:$H$813,6,0),0)</f>
        <v>0.59</v>
      </c>
      <c r="G6885" s="149" t="n">
        <f aca="false">IF(C6885="M.O.",VLOOKUP(A6885,INSUMOS_AUX!A:F,6,0),0)</f>
        <v>0</v>
      </c>
    </row>
    <row r="6886" customFormat="false" ht="15" hidden="false" customHeight="false" outlineLevel="0" collapsed="false">
      <c r="A6886" s="154" t="n">
        <v>3148</v>
      </c>
      <c r="B6886" s="155" t="s">
        <v>2085</v>
      </c>
      <c r="C6886" s="148" t="str">
        <f aca="false">VLOOKUP($A6886,INSUMOS_AUX!$A$3:$H$813,3,0)</f>
        <v>MAT.</v>
      </c>
      <c r="D6886" s="156" t="s">
        <v>31</v>
      </c>
      <c r="E6886" s="154" t="n">
        <v>0.0302</v>
      </c>
      <c r="F6886" s="149" t="n">
        <f aca="false">IF(C6886="MAT.",VLOOKUP(A6886,INSUMOS_AUX!$A$3:$H$813,6,0),0)</f>
        <v>14.01</v>
      </c>
      <c r="G6886" s="149" t="n">
        <f aca="false">IF(C6886="M.O.",VLOOKUP(A6886,INSUMOS_AUX!A:F,6,0),0)</f>
        <v>0</v>
      </c>
    </row>
    <row r="6887" customFormat="false" ht="21" hidden="false" customHeight="false" outlineLevel="0" collapsed="false">
      <c r="A6887" s="154" t="n">
        <v>10405</v>
      </c>
      <c r="B6887" s="155" t="s">
        <v>2702</v>
      </c>
      <c r="C6887" s="148" t="s">
        <v>59</v>
      </c>
      <c r="D6887" s="156" t="s">
        <v>31</v>
      </c>
      <c r="E6887" s="154" t="n">
        <v>1</v>
      </c>
      <c r="F6887" s="149" t="n">
        <f aca="false">IF(C6887="MAT.",VLOOKUP(A6887,INSUMOS_AUX!$A$3:$H$813,6,0),0)</f>
        <v>0</v>
      </c>
      <c r="G6887" s="149" t="n">
        <f aca="false">IF(C6887="M.O.",VLOOKUP(A6887,INSUMOS_AUX!A:F,6,0),0)</f>
        <v>0</v>
      </c>
    </row>
    <row r="6888" customFormat="false" ht="15" hidden="false" customHeight="false" outlineLevel="0" collapsed="false">
      <c r="A6888" s="154" t="n">
        <v>246</v>
      </c>
      <c r="B6888" s="155" t="s">
        <v>1752</v>
      </c>
      <c r="C6888" s="148" t="str">
        <f aca="false">VLOOKUP($A6888,INSUMOS_AUX!$A$3:$H$813,3,0)</f>
        <v>M.O.</v>
      </c>
      <c r="D6888" s="156" t="s">
        <v>1444</v>
      </c>
      <c r="E6888" s="154" t="n">
        <v>0.462773708</v>
      </c>
      <c r="F6888" s="149" t="n">
        <f aca="false">IF(C6888="MAT.",VLOOKUP(A6888,INSUMOS_AUX!$A$3:$H$813,6,0),0)</f>
        <v>0</v>
      </c>
      <c r="G6888" s="149" t="n">
        <f aca="false">IF(C6888="M.O.",VLOOKUP(A6888,INSUMOS_AUX!A:F,6,0),0)</f>
        <v>13.26</v>
      </c>
    </row>
    <row r="6889" customFormat="false" ht="15" hidden="false" customHeight="false" outlineLevel="0" collapsed="false">
      <c r="A6889" s="154" t="n">
        <v>2696</v>
      </c>
      <c r="B6889" s="155" t="s">
        <v>1483</v>
      </c>
      <c r="C6889" s="148" t="str">
        <f aca="false">VLOOKUP($A6889,INSUMOS_AUX!$A$3:$H$813,3,0)</f>
        <v>M.O.</v>
      </c>
      <c r="D6889" s="156" t="s">
        <v>1444</v>
      </c>
      <c r="E6889" s="154" t="n">
        <v>0.462773708</v>
      </c>
      <c r="F6889" s="149" t="n">
        <f aca="false">IF(C6889="MAT.",VLOOKUP(A6889,INSUMOS_AUX!$A$3:$H$813,6,0),0)</f>
        <v>0</v>
      </c>
      <c r="G6889" s="149" t="n">
        <f aca="false">IF(C6889="M.O.",VLOOKUP(A6889,INSUMOS_AUX!A:F,6,0),0)</f>
        <v>20.22</v>
      </c>
    </row>
    <row r="6890" customFormat="false" ht="31.5" hidden="false" customHeight="false" outlineLevel="0" collapsed="false">
      <c r="A6890" s="150" t="n">
        <v>92896</v>
      </c>
      <c r="B6890" s="151" t="s">
        <v>2703</v>
      </c>
      <c r="C6890" s="152" t="s">
        <v>59</v>
      </c>
      <c r="D6890" s="152" t="s">
        <v>31</v>
      </c>
      <c r="E6890" s="150"/>
      <c r="F6890" s="153" t="n">
        <f aca="false">(SUMPRODUCT($E6891:$E6901,F6891:F6901))*1</f>
        <v>198.07305</v>
      </c>
      <c r="G6890" s="153" t="n">
        <f aca="false">(SUMPRODUCT($E6891:$E6901,G6891:G6901))*1</f>
        <v>25.0843302144</v>
      </c>
    </row>
    <row r="6891" customFormat="false" ht="21" hidden="false" customHeight="false" outlineLevel="0" collapsed="false">
      <c r="A6891" s="154" t="n">
        <v>37370</v>
      </c>
      <c r="B6891" s="155" t="s">
        <v>1443</v>
      </c>
      <c r="C6891" s="148" t="str">
        <f aca="false">VLOOKUP($A6891,INSUMOS_AUX!$A$3:$H$813,3,0)</f>
        <v>MAT.</v>
      </c>
      <c r="D6891" s="156" t="s">
        <v>1444</v>
      </c>
      <c r="E6891" s="154" t="n">
        <v>1.472</v>
      </c>
      <c r="F6891" s="149" t="n">
        <f aca="false">IF(C6891="MAT.",VLOOKUP(A6891,INSUMOS_AUX!$A$3:$H$813,6,0),0)</f>
        <v>3.32</v>
      </c>
      <c r="G6891" s="149" t="n">
        <f aca="false">IF(C6891="M.O.",VLOOKUP(A6891,INSUMOS_AUX!A:F,6,0),0)</f>
        <v>0</v>
      </c>
    </row>
    <row r="6892" customFormat="false" ht="21" hidden="false" customHeight="false" outlineLevel="0" collapsed="false">
      <c r="A6892" s="154" t="n">
        <v>43485</v>
      </c>
      <c r="B6892" s="155" t="s">
        <v>1481</v>
      </c>
      <c r="C6892" s="148" t="str">
        <f aca="false">VLOOKUP($A6892,INSUMOS_AUX!$A$3:$H$813,3,0)</f>
        <v>MAT.</v>
      </c>
      <c r="D6892" s="156" t="s">
        <v>1444</v>
      </c>
      <c r="E6892" s="154" t="n">
        <v>1.472</v>
      </c>
      <c r="F6892" s="149" t="n">
        <f aca="false">IF(C6892="MAT.",VLOOKUP(A6892,INSUMOS_AUX!$A$3:$H$813,6,0),0)</f>
        <v>1.13</v>
      </c>
      <c r="G6892" s="149" t="n">
        <f aca="false">IF(C6892="M.O.",VLOOKUP(A6892,INSUMOS_AUX!A:F,6,0),0)</f>
        <v>0</v>
      </c>
    </row>
    <row r="6893" customFormat="false" ht="21" hidden="false" customHeight="false" outlineLevel="0" collapsed="false">
      <c r="A6893" s="154" t="n">
        <v>37372</v>
      </c>
      <c r="B6893" s="155" t="s">
        <v>1446</v>
      </c>
      <c r="C6893" s="148" t="str">
        <f aca="false">VLOOKUP($A6893,INSUMOS_AUX!$A$3:$H$813,3,0)</f>
        <v>MAT.</v>
      </c>
      <c r="D6893" s="156" t="s">
        <v>1444</v>
      </c>
      <c r="E6893" s="154" t="n">
        <v>1.472</v>
      </c>
      <c r="F6893" s="149" t="n">
        <f aca="false">IF(C6893="MAT.",VLOOKUP(A6893,INSUMOS_AUX!$A$3:$H$813,6,0),0)</f>
        <v>1.43</v>
      </c>
      <c r="G6893" s="149" t="n">
        <f aca="false">IF(C6893="M.O.",VLOOKUP(A6893,INSUMOS_AUX!A:F,6,0),0)</f>
        <v>0</v>
      </c>
    </row>
    <row r="6894" customFormat="false" ht="21" hidden="false" customHeight="false" outlineLevel="0" collapsed="false">
      <c r="A6894" s="154" t="n">
        <v>43461</v>
      </c>
      <c r="B6894" s="155" t="s">
        <v>1482</v>
      </c>
      <c r="C6894" s="148" t="str">
        <f aca="false">VLOOKUP($A6894,INSUMOS_AUX!$A$3:$H$813,3,0)</f>
        <v>MAT.</v>
      </c>
      <c r="D6894" s="156" t="s">
        <v>1444</v>
      </c>
      <c r="E6894" s="154" t="n">
        <v>1.472</v>
      </c>
      <c r="F6894" s="149" t="n">
        <f aca="false">IF(C6894="MAT.",VLOOKUP(A6894,INSUMOS_AUX!$A$3:$H$813,6,0),0)</f>
        <v>0.31</v>
      </c>
      <c r="G6894" s="149" t="n">
        <f aca="false">IF(C6894="M.O.",VLOOKUP(A6894,INSUMOS_AUX!A:F,6,0),0)</f>
        <v>0</v>
      </c>
    </row>
    <row r="6895" customFormat="false" ht="21" hidden="false" customHeight="false" outlineLevel="0" collapsed="false">
      <c r="A6895" s="154" t="n">
        <v>37373</v>
      </c>
      <c r="B6895" s="155" t="s">
        <v>1448</v>
      </c>
      <c r="C6895" s="148" t="str">
        <f aca="false">VLOOKUP($A6895,INSUMOS_AUX!$A$3:$H$813,3,0)</f>
        <v>MAT.</v>
      </c>
      <c r="D6895" s="156" t="s">
        <v>1444</v>
      </c>
      <c r="E6895" s="154" t="n">
        <v>1.472</v>
      </c>
      <c r="F6895" s="149" t="n">
        <f aca="false">IF(C6895="MAT.",VLOOKUP(A6895,INSUMOS_AUX!$A$3:$H$813,6,0),0)</f>
        <v>0.08</v>
      </c>
      <c r="G6895" s="149" t="n">
        <f aca="false">IF(C6895="M.O.",VLOOKUP(A6895,INSUMOS_AUX!A:F,6,0),0)</f>
        <v>0</v>
      </c>
    </row>
    <row r="6896" customFormat="false" ht="21" hidden="false" customHeight="false" outlineLevel="0" collapsed="false">
      <c r="A6896" s="154" t="n">
        <v>37371</v>
      </c>
      <c r="B6896" s="155" t="s">
        <v>1449</v>
      </c>
      <c r="C6896" s="148" t="s">
        <v>59</v>
      </c>
      <c r="D6896" s="156" t="s">
        <v>1444</v>
      </c>
      <c r="E6896" s="154" t="n">
        <v>1.472</v>
      </c>
      <c r="F6896" s="149" t="n">
        <f aca="false">IF(C6896="MAT.",VLOOKUP(A6896,INSUMOS_AUX!$A$3:$H$813,6,0),0)</f>
        <v>0</v>
      </c>
      <c r="G6896" s="149" t="n">
        <f aca="false">IF(C6896="M.O.",VLOOKUP(A6896,INSUMOS_AUX!A:F,6,0),0)</f>
        <v>0</v>
      </c>
    </row>
    <row r="6897" customFormat="false" ht="15" hidden="false" customHeight="false" outlineLevel="0" collapsed="false">
      <c r="A6897" s="154" t="n">
        <v>3148</v>
      </c>
      <c r="B6897" s="155" t="s">
        <v>2085</v>
      </c>
      <c r="C6897" s="148" t="str">
        <f aca="false">VLOOKUP($A6897,INSUMOS_AUX!$A$3:$H$813,3,0)</f>
        <v>MAT.</v>
      </c>
      <c r="D6897" s="156" t="s">
        <v>31</v>
      </c>
      <c r="E6897" s="154" t="n">
        <v>0.03</v>
      </c>
      <c r="F6897" s="149" t="n">
        <f aca="false">IF(C6897="MAT.",VLOOKUP(A6897,INSUMOS_AUX!$A$3:$H$813,6,0),0)</f>
        <v>14.01</v>
      </c>
      <c r="G6897" s="149" t="n">
        <f aca="false">IF(C6897="M.O.",VLOOKUP(A6897,INSUMOS_AUX!A:F,6,0),0)</f>
        <v>0</v>
      </c>
    </row>
    <row r="6898" customFormat="false" ht="15" hidden="false" customHeight="false" outlineLevel="0" collapsed="false">
      <c r="A6898" s="154" t="n">
        <v>7307</v>
      </c>
      <c r="B6898" s="155" t="s">
        <v>1733</v>
      </c>
      <c r="C6898" s="148" t="str">
        <f aca="false">VLOOKUP($A6898,INSUMOS_AUX!$A$3:$H$813,3,0)</f>
        <v>MAT.</v>
      </c>
      <c r="D6898" s="156" t="s">
        <v>1452</v>
      </c>
      <c r="E6898" s="154" t="n">
        <v>0.007</v>
      </c>
      <c r="F6898" s="149" t="n">
        <f aca="false">IF(C6898="MAT.",VLOOKUP(A6898,INSUMOS_AUX!$A$3:$H$813,6,0),0)</f>
        <v>43.33</v>
      </c>
      <c r="G6898" s="149" t="n">
        <f aca="false">IF(C6898="M.O.",VLOOKUP(A6898,INSUMOS_AUX!A:F,6,0),0)</f>
        <v>0</v>
      </c>
    </row>
    <row r="6899" customFormat="false" ht="21" hidden="false" customHeight="false" outlineLevel="0" collapsed="false">
      <c r="A6899" s="154" t="n">
        <v>9889</v>
      </c>
      <c r="B6899" s="155" t="s">
        <v>2704</v>
      </c>
      <c r="C6899" s="148" t="str">
        <f aca="false">VLOOKUP($A6899,INSUMOS_AUX!$A$3:$H$813,3,0)</f>
        <v>MAT.</v>
      </c>
      <c r="D6899" s="156" t="s">
        <v>31</v>
      </c>
      <c r="E6899" s="154" t="n">
        <v>1</v>
      </c>
      <c r="F6899" s="149" t="n">
        <f aca="false">IF(C6899="MAT.",VLOOKUP(A6899,INSUMOS_AUX!$A$3:$H$813,6,0),0)</f>
        <v>188.12</v>
      </c>
      <c r="G6899" s="149" t="n">
        <f aca="false">IF(C6899="M.O.",VLOOKUP(A6899,INSUMOS_AUX!A:F,6,0),0)</f>
        <v>0</v>
      </c>
    </row>
    <row r="6900" customFormat="false" ht="15" hidden="false" customHeight="false" outlineLevel="0" collapsed="false">
      <c r="A6900" s="154" t="n">
        <v>246</v>
      </c>
      <c r="B6900" s="155" t="s">
        <v>1752</v>
      </c>
      <c r="C6900" s="148" t="str">
        <f aca="false">VLOOKUP($A6900,INSUMOS_AUX!$A$3:$H$813,3,0)</f>
        <v>M.O.</v>
      </c>
      <c r="D6900" s="156" t="s">
        <v>1444</v>
      </c>
      <c r="E6900" s="154" t="n">
        <v>0.74923328</v>
      </c>
      <c r="F6900" s="149" t="n">
        <f aca="false">IF(C6900="MAT.",VLOOKUP(A6900,INSUMOS_AUX!$A$3:$H$813,6,0),0)</f>
        <v>0</v>
      </c>
      <c r="G6900" s="149" t="n">
        <f aca="false">IF(C6900="M.O.",VLOOKUP(A6900,INSUMOS_AUX!A:F,6,0),0)</f>
        <v>13.26</v>
      </c>
    </row>
    <row r="6901" customFormat="false" ht="15" hidden="false" customHeight="false" outlineLevel="0" collapsed="false">
      <c r="A6901" s="154" t="n">
        <v>2696</v>
      </c>
      <c r="B6901" s="155" t="s">
        <v>1483</v>
      </c>
      <c r="C6901" s="148" t="str">
        <f aca="false">VLOOKUP($A6901,INSUMOS_AUX!$A$3:$H$813,3,0)</f>
        <v>M.O.</v>
      </c>
      <c r="D6901" s="156" t="s">
        <v>1444</v>
      </c>
      <c r="E6901" s="154" t="n">
        <v>0.74923328</v>
      </c>
      <c r="F6901" s="149" t="n">
        <f aca="false">IF(C6901="MAT.",VLOOKUP(A6901,INSUMOS_AUX!$A$3:$H$813,6,0),0)</f>
        <v>0</v>
      </c>
      <c r="G6901" s="149" t="n">
        <f aca="false">IF(C6901="M.O.",VLOOKUP(A6901,INSUMOS_AUX!A:F,6,0),0)</f>
        <v>20.22</v>
      </c>
    </row>
    <row r="6902" customFormat="false" ht="31.5" hidden="false" customHeight="false" outlineLevel="0" collapsed="false">
      <c r="A6902" s="150" t="s">
        <v>1177</v>
      </c>
      <c r="B6902" s="151" t="s">
        <v>2705</v>
      </c>
      <c r="C6902" s="152" t="s">
        <v>59</v>
      </c>
      <c r="D6902" s="152" t="s">
        <v>31</v>
      </c>
      <c r="E6902" s="150"/>
      <c r="F6902" s="153" t="n">
        <f aca="false">(SUMPRODUCT($E6903:$E6913,F6903:F6913))*1</f>
        <v>586.110207666667</v>
      </c>
      <c r="G6902" s="153" t="n">
        <f aca="false">(SUMPRODUCT($E6903:$E6913,G6903:G6913))*1</f>
        <v>8.1833070846</v>
      </c>
    </row>
    <row r="6903" customFormat="false" ht="21" hidden="false" customHeight="false" outlineLevel="0" collapsed="false">
      <c r="A6903" s="154" t="n">
        <v>37370</v>
      </c>
      <c r="B6903" s="155" t="s">
        <v>1443</v>
      </c>
      <c r="C6903" s="148" t="str">
        <f aca="false">VLOOKUP($A6903,INSUMOS_AUX!$A$3:$H$813,3,0)</f>
        <v>MAT.</v>
      </c>
      <c r="D6903" s="156" t="s">
        <v>1444</v>
      </c>
      <c r="E6903" s="154" t="n">
        <v>0.4187</v>
      </c>
      <c r="F6903" s="149" t="n">
        <f aca="false">IF(C6903="MAT.",VLOOKUP(A6903,INSUMOS_AUX!$A$3:$H$813,6,0),0)</f>
        <v>3.32</v>
      </c>
      <c r="G6903" s="149" t="n">
        <f aca="false">IF(C6903="M.O.",VLOOKUP(A6903,INSUMOS_AUX!A:F,6,0),0)</f>
        <v>0</v>
      </c>
    </row>
    <row r="6904" customFormat="false" ht="21" hidden="false" customHeight="false" outlineLevel="0" collapsed="false">
      <c r="A6904" s="154" t="n">
        <v>43485</v>
      </c>
      <c r="B6904" s="155" t="s">
        <v>1481</v>
      </c>
      <c r="C6904" s="148" t="str">
        <f aca="false">VLOOKUP($A6904,INSUMOS_AUX!$A$3:$H$813,3,0)</f>
        <v>MAT.</v>
      </c>
      <c r="D6904" s="156" t="s">
        <v>1444</v>
      </c>
      <c r="E6904" s="154" t="n">
        <v>0.4187</v>
      </c>
      <c r="F6904" s="149" t="n">
        <f aca="false">IF(C6904="MAT.",VLOOKUP(A6904,INSUMOS_AUX!$A$3:$H$813,6,0),0)</f>
        <v>1.13</v>
      </c>
      <c r="G6904" s="149" t="n">
        <f aca="false">IF(C6904="M.O.",VLOOKUP(A6904,INSUMOS_AUX!A:F,6,0),0)</f>
        <v>0</v>
      </c>
    </row>
    <row r="6905" customFormat="false" ht="21" hidden="false" customHeight="false" outlineLevel="0" collapsed="false">
      <c r="A6905" s="154" t="n">
        <v>37372</v>
      </c>
      <c r="B6905" s="155" t="s">
        <v>1446</v>
      </c>
      <c r="C6905" s="148" t="s">
        <v>59</v>
      </c>
      <c r="D6905" s="156" t="s">
        <v>1444</v>
      </c>
      <c r="E6905" s="154" t="n">
        <v>0.4187</v>
      </c>
      <c r="F6905" s="149" t="n">
        <f aca="false">IF(C6905="MAT.",VLOOKUP(A6905,INSUMOS_AUX!$A$3:$H$813,6,0),0)</f>
        <v>0</v>
      </c>
      <c r="G6905" s="149" t="n">
        <f aca="false">IF(C6905="M.O.",VLOOKUP(A6905,INSUMOS_AUX!A:F,6,0),0)</f>
        <v>0</v>
      </c>
    </row>
    <row r="6906" customFormat="false" ht="21" hidden="false" customHeight="false" outlineLevel="0" collapsed="false">
      <c r="A6906" s="154" t="n">
        <v>43461</v>
      </c>
      <c r="B6906" s="155" t="s">
        <v>1482</v>
      </c>
      <c r="C6906" s="148" t="str">
        <f aca="false">VLOOKUP($A6906,INSUMOS_AUX!$A$3:$H$813,3,0)</f>
        <v>MAT.</v>
      </c>
      <c r="D6906" s="156" t="s">
        <v>1444</v>
      </c>
      <c r="E6906" s="154" t="n">
        <v>0.4187</v>
      </c>
      <c r="F6906" s="149" t="n">
        <f aca="false">IF(C6906="MAT.",VLOOKUP(A6906,INSUMOS_AUX!$A$3:$H$813,6,0),0)</f>
        <v>0.31</v>
      </c>
      <c r="G6906" s="149" t="n">
        <f aca="false">IF(C6906="M.O.",VLOOKUP(A6906,INSUMOS_AUX!A:F,6,0),0)</f>
        <v>0</v>
      </c>
    </row>
    <row r="6907" customFormat="false" ht="21" hidden="false" customHeight="false" outlineLevel="0" collapsed="false">
      <c r="A6907" s="154" t="n">
        <v>37373</v>
      </c>
      <c r="B6907" s="155" t="s">
        <v>1448</v>
      </c>
      <c r="C6907" s="148" t="str">
        <f aca="false">VLOOKUP($A6907,INSUMOS_AUX!$A$3:$H$813,3,0)</f>
        <v>MAT.</v>
      </c>
      <c r="D6907" s="156" t="s">
        <v>1444</v>
      </c>
      <c r="E6907" s="154" t="n">
        <v>0.4187</v>
      </c>
      <c r="F6907" s="149" t="n">
        <f aca="false">IF(C6907="MAT.",VLOOKUP(A6907,INSUMOS_AUX!$A$3:$H$813,6,0),0)</f>
        <v>0.08</v>
      </c>
      <c r="G6907" s="149" t="n">
        <f aca="false">IF(C6907="M.O.",VLOOKUP(A6907,INSUMOS_AUX!A:F,6,0),0)</f>
        <v>0</v>
      </c>
    </row>
    <row r="6908" customFormat="false" ht="21" hidden="false" customHeight="false" outlineLevel="0" collapsed="false">
      <c r="A6908" s="154" t="n">
        <v>37371</v>
      </c>
      <c r="B6908" s="155" t="s">
        <v>1449</v>
      </c>
      <c r="C6908" s="148" t="str">
        <f aca="false">VLOOKUP($A6908,INSUMOS_AUX!$A$3:$H$813,3,0)</f>
        <v>MAT.</v>
      </c>
      <c r="D6908" s="156" t="s">
        <v>1444</v>
      </c>
      <c r="E6908" s="154" t="n">
        <v>0.4187</v>
      </c>
      <c r="F6908" s="149" t="n">
        <f aca="false">IF(C6908="MAT.",VLOOKUP(A6908,INSUMOS_AUX!$A$3:$H$813,6,0),0)</f>
        <v>0.59</v>
      </c>
      <c r="G6908" s="149" t="n">
        <f aca="false">IF(C6908="M.O.",VLOOKUP(A6908,INSUMOS_AUX!A:F,6,0),0)</f>
        <v>0</v>
      </c>
    </row>
    <row r="6909" customFormat="false" ht="15" hidden="false" customHeight="false" outlineLevel="0" collapsed="false">
      <c r="A6909" s="154" t="s">
        <v>2706</v>
      </c>
      <c r="B6909" s="155" t="s">
        <v>2707</v>
      </c>
      <c r="C6909" s="148" t="str">
        <f aca="false">VLOOKUP($A6909,INSUMOS_AUX!$A$3:$H$813,3,0)</f>
        <v>MAT.</v>
      </c>
      <c r="D6909" s="156" t="s">
        <v>31</v>
      </c>
      <c r="E6909" s="154" t="n">
        <v>2</v>
      </c>
      <c r="F6909" s="149" t="n">
        <f aca="false">IF(C6909="MAT.",VLOOKUP(A6909,INSUMOS_AUX!$A$3:$H$813,6,0),0)</f>
        <v>96.95</v>
      </c>
      <c r="G6909" s="149" t="n">
        <f aca="false">IF(C6909="M.O.",VLOOKUP(A6909,INSUMOS_AUX!A:F,6,0),0)</f>
        <v>0</v>
      </c>
    </row>
    <row r="6910" customFormat="false" ht="15" hidden="false" customHeight="false" outlineLevel="0" collapsed="false">
      <c r="A6910" s="154" t="s">
        <v>2708</v>
      </c>
      <c r="B6910" s="155" t="s">
        <v>2709</v>
      </c>
      <c r="C6910" s="148" t="str">
        <f aca="false">VLOOKUP($A6910,INSUMOS_AUX!$A$3:$H$813,3,0)</f>
        <v>MAT.</v>
      </c>
      <c r="D6910" s="156" t="s">
        <v>31</v>
      </c>
      <c r="E6910" s="154" t="n">
        <v>1</v>
      </c>
      <c r="F6910" s="149" t="n">
        <f aca="false">IF(C6910="MAT.",VLOOKUP(A6910,INSUMOS_AUX!$A$3:$H$813,6,0),0)</f>
        <v>344.976666666667</v>
      </c>
      <c r="G6910" s="149" t="n">
        <f aca="false">IF(C6910="M.O.",VLOOKUP(A6910,INSUMOS_AUX!A:F,6,0),0)</f>
        <v>0</v>
      </c>
    </row>
    <row r="6911" customFormat="false" ht="31.5" hidden="false" customHeight="false" outlineLevel="0" collapsed="false">
      <c r="A6911" s="154" t="n">
        <v>4346</v>
      </c>
      <c r="B6911" s="155" t="s">
        <v>2710</v>
      </c>
      <c r="C6911" s="148" t="str">
        <f aca="false">VLOOKUP($A6911,INSUMOS_AUX!$A$3:$H$813,3,0)</f>
        <v>MAT.</v>
      </c>
      <c r="D6911" s="156" t="s">
        <v>31</v>
      </c>
      <c r="E6911" s="154" t="n">
        <v>4</v>
      </c>
      <c r="F6911" s="149" t="n">
        <f aca="false">IF(C6911="MAT.",VLOOKUP(A6911,INSUMOS_AUX!$A$3:$H$813,6,0),0)</f>
        <v>11.24</v>
      </c>
      <c r="G6911" s="149" t="n">
        <f aca="false">IF(C6911="M.O.",VLOOKUP(A6911,INSUMOS_AUX!A:F,6,0),0)</f>
        <v>0</v>
      </c>
    </row>
    <row r="6912" customFormat="false" ht="15" hidden="false" customHeight="false" outlineLevel="0" collapsed="false">
      <c r="A6912" s="154" t="n">
        <v>246</v>
      </c>
      <c r="B6912" s="155" t="s">
        <v>1752</v>
      </c>
      <c r="C6912" s="148" t="str">
        <f aca="false">VLOOKUP($A6912,INSUMOS_AUX!$A$3:$H$813,3,0)</f>
        <v>M.O.</v>
      </c>
      <c r="D6912" s="156" t="s">
        <v>1444</v>
      </c>
      <c r="E6912" s="154" t="n">
        <v>0.062503972</v>
      </c>
      <c r="F6912" s="149" t="n">
        <f aca="false">IF(C6912="MAT.",VLOOKUP(A6912,INSUMOS_AUX!$A$3:$H$813,6,0),0)</f>
        <v>0</v>
      </c>
      <c r="G6912" s="149" t="n">
        <f aca="false">IF(C6912="M.O.",VLOOKUP(A6912,INSUMOS_AUX!A:F,6,0),0)</f>
        <v>13.26</v>
      </c>
    </row>
    <row r="6913" customFormat="false" ht="15" hidden="false" customHeight="false" outlineLevel="0" collapsed="false">
      <c r="A6913" s="154" t="n">
        <v>2696</v>
      </c>
      <c r="B6913" s="155" t="s">
        <v>1483</v>
      </c>
      <c r="C6913" s="148" t="str">
        <f aca="false">VLOOKUP($A6913,INSUMOS_AUX!$A$3:$H$813,3,0)</f>
        <v>M.O.</v>
      </c>
      <c r="D6913" s="156" t="s">
        <v>1444</v>
      </c>
      <c r="E6913" s="154" t="n">
        <v>0.363724254</v>
      </c>
      <c r="F6913" s="149" t="n">
        <f aca="false">IF(C6913="MAT.",VLOOKUP(A6913,INSUMOS_AUX!$A$3:$H$813,6,0),0)</f>
        <v>0</v>
      </c>
      <c r="G6913" s="149" t="n">
        <f aca="false">IF(C6913="M.O.",VLOOKUP(A6913,INSUMOS_AUX!A:F,6,0),0)</f>
        <v>20.22</v>
      </c>
    </row>
    <row r="6914" customFormat="false" ht="21" hidden="false" customHeight="false" outlineLevel="0" collapsed="false">
      <c r="A6914" s="150" t="n">
        <v>101917</v>
      </c>
      <c r="B6914" s="151" t="s">
        <v>2711</v>
      </c>
      <c r="C6914" s="152" t="s">
        <v>59</v>
      </c>
      <c r="D6914" s="152" t="s">
        <v>31</v>
      </c>
      <c r="E6914" s="150"/>
      <c r="F6914" s="153" t="n">
        <f aca="false">(SUMPRODUCT($E6915:$E6924,F6915:F6924))*1</f>
        <v>145.26156</v>
      </c>
      <c r="G6914" s="153" t="n">
        <f aca="false">(SUMPRODUCT($E6915:$E6924,G6915:G6924))*1</f>
        <v>17.3519373708</v>
      </c>
    </row>
    <row r="6915" customFormat="false" ht="21" hidden="false" customHeight="false" outlineLevel="0" collapsed="false">
      <c r="A6915" s="154" t="n">
        <v>37370</v>
      </c>
      <c r="B6915" s="155" t="s">
        <v>1443</v>
      </c>
      <c r="C6915" s="148" t="str">
        <f aca="false">VLOOKUP($A6915,INSUMOS_AUX!$A$3:$H$813,3,0)</f>
        <v>MAT.</v>
      </c>
      <c r="D6915" s="156" t="s">
        <v>1444</v>
      </c>
      <c r="E6915" s="154" t="n">
        <v>1.686</v>
      </c>
      <c r="F6915" s="149" t="n">
        <f aca="false">IF(C6915="MAT.",VLOOKUP(A6915,INSUMOS_AUX!$A$3:$H$813,6,0),0)</f>
        <v>3.32</v>
      </c>
      <c r="G6915" s="149" t="n">
        <f aca="false">IF(C6915="M.O.",VLOOKUP(A6915,INSUMOS_AUX!A:F,6,0),0)</f>
        <v>0</v>
      </c>
    </row>
    <row r="6916" customFormat="false" ht="21" hidden="false" customHeight="false" outlineLevel="0" collapsed="false">
      <c r="A6916" s="154" t="n">
        <v>43485</v>
      </c>
      <c r="B6916" s="155" t="s">
        <v>1481</v>
      </c>
      <c r="C6916" s="148" t="str">
        <f aca="false">VLOOKUP($A6916,INSUMOS_AUX!$A$3:$H$813,3,0)</f>
        <v>MAT.</v>
      </c>
      <c r="D6916" s="156" t="s">
        <v>1444</v>
      </c>
      <c r="E6916" s="154" t="n">
        <v>1.686</v>
      </c>
      <c r="F6916" s="149" t="n">
        <f aca="false">IF(C6916="MAT.",VLOOKUP(A6916,INSUMOS_AUX!$A$3:$H$813,6,0),0)</f>
        <v>1.13</v>
      </c>
      <c r="G6916" s="149" t="n">
        <f aca="false">IF(C6916="M.O.",VLOOKUP(A6916,INSUMOS_AUX!A:F,6,0),0)</f>
        <v>0</v>
      </c>
    </row>
    <row r="6917" customFormat="false" ht="21" hidden="false" customHeight="false" outlineLevel="0" collapsed="false">
      <c r="A6917" s="154" t="n">
        <v>37372</v>
      </c>
      <c r="B6917" s="155" t="s">
        <v>1446</v>
      </c>
      <c r="C6917" s="148" t="str">
        <f aca="false">VLOOKUP($A6917,INSUMOS_AUX!$A$3:$H$813,3,0)</f>
        <v>MAT.</v>
      </c>
      <c r="D6917" s="156" t="s">
        <v>1444</v>
      </c>
      <c r="E6917" s="154" t="n">
        <v>1.686</v>
      </c>
      <c r="F6917" s="149" t="n">
        <f aca="false">IF(C6917="MAT.",VLOOKUP(A6917,INSUMOS_AUX!$A$3:$H$813,6,0),0)</f>
        <v>1.43</v>
      </c>
      <c r="G6917" s="149" t="n">
        <f aca="false">IF(C6917="M.O.",VLOOKUP(A6917,INSUMOS_AUX!A:F,6,0),0)</f>
        <v>0</v>
      </c>
    </row>
    <row r="6918" customFormat="false" ht="21" hidden="false" customHeight="false" outlineLevel="0" collapsed="false">
      <c r="A6918" s="154" t="n">
        <v>43461</v>
      </c>
      <c r="B6918" s="155" t="s">
        <v>1482</v>
      </c>
      <c r="C6918" s="148" t="str">
        <f aca="false">VLOOKUP($A6918,INSUMOS_AUX!$A$3:$H$813,3,0)</f>
        <v>MAT.</v>
      </c>
      <c r="D6918" s="156" t="s">
        <v>1444</v>
      </c>
      <c r="E6918" s="154" t="n">
        <v>1.686</v>
      </c>
      <c r="F6918" s="149" t="n">
        <f aca="false">IF(C6918="MAT.",VLOOKUP(A6918,INSUMOS_AUX!$A$3:$H$813,6,0),0)</f>
        <v>0.31</v>
      </c>
      <c r="G6918" s="149" t="n">
        <f aca="false">IF(C6918="M.O.",VLOOKUP(A6918,INSUMOS_AUX!A:F,6,0),0)</f>
        <v>0</v>
      </c>
    </row>
    <row r="6919" customFormat="false" ht="21" hidden="false" customHeight="false" outlineLevel="0" collapsed="false">
      <c r="A6919" s="154" t="n">
        <v>37373</v>
      </c>
      <c r="B6919" s="155" t="s">
        <v>1448</v>
      </c>
      <c r="C6919" s="148" t="str">
        <f aca="false">VLOOKUP($A6919,INSUMOS_AUX!$A$3:$H$813,3,0)</f>
        <v>MAT.</v>
      </c>
      <c r="D6919" s="156" t="s">
        <v>1444</v>
      </c>
      <c r="E6919" s="154" t="n">
        <v>1.686</v>
      </c>
      <c r="F6919" s="149" t="n">
        <f aca="false">IF(C6919="MAT.",VLOOKUP(A6919,INSUMOS_AUX!$A$3:$H$813,6,0),0)</f>
        <v>0.08</v>
      </c>
      <c r="G6919" s="149" t="n">
        <f aca="false">IF(C6919="M.O.",VLOOKUP(A6919,INSUMOS_AUX!A:F,6,0),0)</f>
        <v>0</v>
      </c>
    </row>
    <row r="6920" customFormat="false" ht="21" hidden="false" customHeight="false" outlineLevel="0" collapsed="false">
      <c r="A6920" s="154" t="n">
        <v>37371</v>
      </c>
      <c r="B6920" s="155" t="s">
        <v>1449</v>
      </c>
      <c r="C6920" s="148" t="str">
        <f aca="false">VLOOKUP($A6920,INSUMOS_AUX!$A$3:$H$813,3,0)</f>
        <v>MAT.</v>
      </c>
      <c r="D6920" s="156" t="s">
        <v>1444</v>
      </c>
      <c r="E6920" s="154" t="n">
        <v>1.686</v>
      </c>
      <c r="F6920" s="149" t="n">
        <f aca="false">IF(C6920="MAT.",VLOOKUP(A6920,INSUMOS_AUX!$A$3:$H$813,6,0),0)</f>
        <v>0.59</v>
      </c>
      <c r="G6920" s="149" t="n">
        <f aca="false">IF(C6920="M.O.",VLOOKUP(A6920,INSUMOS_AUX!A:F,6,0),0)</f>
        <v>0</v>
      </c>
    </row>
    <row r="6921" customFormat="false" ht="15" hidden="false" customHeight="false" outlineLevel="0" collapsed="false">
      <c r="A6921" s="154" t="n">
        <v>3146</v>
      </c>
      <c r="B6921" s="155" t="s">
        <v>2016</v>
      </c>
      <c r="C6921" s="148" t="str">
        <f aca="false">VLOOKUP($A6921,INSUMOS_AUX!$A$3:$H$813,3,0)</f>
        <v>MAT.</v>
      </c>
      <c r="D6921" s="156" t="s">
        <v>31</v>
      </c>
      <c r="E6921" s="154" t="n">
        <v>0.012</v>
      </c>
      <c r="F6921" s="149" t="n">
        <f aca="false">IF(C6921="MAT.",VLOOKUP(A6921,INSUMOS_AUX!$A$3:$H$813,6,0),0)</f>
        <v>3.8</v>
      </c>
      <c r="G6921" s="149" t="n">
        <f aca="false">IF(C6921="M.O.",VLOOKUP(A6921,INSUMOS_AUX!A:F,6,0),0)</f>
        <v>0</v>
      </c>
    </row>
    <row r="6922" customFormat="false" ht="21" hidden="false" customHeight="false" outlineLevel="0" collapsed="false">
      <c r="A6922" s="154" t="n">
        <v>12899</v>
      </c>
      <c r="B6922" s="155" t="s">
        <v>2712</v>
      </c>
      <c r="C6922" s="148" t="str">
        <f aca="false">VLOOKUP($A6922,INSUMOS_AUX!$A$3:$H$813,3,0)</f>
        <v>MAT.</v>
      </c>
      <c r="D6922" s="156" t="s">
        <v>31</v>
      </c>
      <c r="E6922" s="154" t="n">
        <v>1</v>
      </c>
      <c r="F6922" s="149" t="n">
        <f aca="false">IF(C6922="MAT.",VLOOKUP(A6922,INSUMOS_AUX!$A$3:$H$813,6,0),0)</f>
        <v>133.65</v>
      </c>
      <c r="G6922" s="149" t="n">
        <f aca="false">IF(C6922="M.O.",VLOOKUP(A6922,INSUMOS_AUX!A:F,6,0),0)</f>
        <v>0</v>
      </c>
    </row>
    <row r="6923" customFormat="false" ht="15" hidden="false" customHeight="false" outlineLevel="0" collapsed="false">
      <c r="A6923" s="154" t="n">
        <v>246</v>
      </c>
      <c r="B6923" s="155" t="s">
        <v>1752</v>
      </c>
      <c r="C6923" s="148" t="s">
        <v>59</v>
      </c>
      <c r="D6923" s="156" t="s">
        <v>1444</v>
      </c>
      <c r="E6923" s="154" t="n">
        <v>0.85815714</v>
      </c>
      <c r="F6923" s="149" t="n">
        <f aca="false">IF(C6923="MAT.",VLOOKUP(A6923,INSUMOS_AUX!$A$3:$H$813,6,0),0)</f>
        <v>0</v>
      </c>
      <c r="G6923" s="149" t="n">
        <f aca="false">IF(C6923="M.O.",VLOOKUP(A6923,INSUMOS_AUX!A:F,6,0),0)</f>
        <v>0</v>
      </c>
    </row>
    <row r="6924" customFormat="false" ht="15" hidden="false" customHeight="false" outlineLevel="0" collapsed="false">
      <c r="A6924" s="154" t="n">
        <v>2696</v>
      </c>
      <c r="B6924" s="155" t="s">
        <v>1483</v>
      </c>
      <c r="C6924" s="148" t="str">
        <f aca="false">VLOOKUP($A6924,INSUMOS_AUX!$A$3:$H$813,3,0)</f>
        <v>M.O.</v>
      </c>
      <c r="D6924" s="156" t="s">
        <v>1444</v>
      </c>
      <c r="E6924" s="154" t="n">
        <v>0.85815714</v>
      </c>
      <c r="F6924" s="149" t="n">
        <f aca="false">IF(C6924="MAT.",VLOOKUP(A6924,INSUMOS_AUX!$A$3:$H$813,6,0),0)</f>
        <v>0</v>
      </c>
      <c r="G6924" s="149" t="n">
        <f aca="false">IF(C6924="M.O.",VLOOKUP(A6924,INSUMOS_AUX!A:F,6,0),0)</f>
        <v>20.22</v>
      </c>
    </row>
    <row r="6925" customFormat="false" ht="15" hidden="false" customHeight="false" outlineLevel="0" collapsed="false">
      <c r="A6925" s="150" t="s">
        <v>1180</v>
      </c>
      <c r="B6925" s="151" t="s">
        <v>2713</v>
      </c>
      <c r="C6925" s="152" t="s">
        <v>59</v>
      </c>
      <c r="D6925" s="152" t="s">
        <v>1854</v>
      </c>
      <c r="E6925" s="150"/>
      <c r="F6925" s="153" t="n">
        <f aca="false">(SUMPRODUCT($E6926:$E6934,F6926:F6934))*1</f>
        <v>13.72</v>
      </c>
      <c r="G6925" s="153" t="n">
        <f aca="false">(SUMPRODUCT($E6926:$E6934,G6926:G6934))*1</f>
        <v>34.0819704</v>
      </c>
    </row>
    <row r="6926" customFormat="false" ht="21" hidden="false" customHeight="false" outlineLevel="0" collapsed="false">
      <c r="A6926" s="154" t="n">
        <v>37370</v>
      </c>
      <c r="B6926" s="155" t="s">
        <v>1443</v>
      </c>
      <c r="C6926" s="148" t="str">
        <f aca="false">VLOOKUP($A6926,INSUMOS_AUX!$A$3:$H$813,3,0)</f>
        <v>MAT.</v>
      </c>
      <c r="D6926" s="156" t="s">
        <v>1444</v>
      </c>
      <c r="E6926" s="154" t="n">
        <v>2</v>
      </c>
      <c r="F6926" s="149" t="n">
        <f aca="false">IF(C6926="MAT.",VLOOKUP(A6926,INSUMOS_AUX!$A$3:$H$813,6,0),0)</f>
        <v>3.32</v>
      </c>
      <c r="G6926" s="149" t="n">
        <f aca="false">IF(C6926="M.O.",VLOOKUP(A6926,INSUMOS_AUX!A:F,6,0),0)</f>
        <v>0</v>
      </c>
    </row>
    <row r="6927" customFormat="false" ht="21" hidden="false" customHeight="false" outlineLevel="0" collapsed="false">
      <c r="A6927" s="154" t="n">
        <v>43485</v>
      </c>
      <c r="B6927" s="155" t="s">
        <v>1481</v>
      </c>
      <c r="C6927" s="148" t="str">
        <f aca="false">VLOOKUP($A6927,INSUMOS_AUX!$A$3:$H$813,3,0)</f>
        <v>MAT.</v>
      </c>
      <c r="D6927" s="156" t="s">
        <v>1444</v>
      </c>
      <c r="E6927" s="154" t="n">
        <v>2</v>
      </c>
      <c r="F6927" s="149" t="n">
        <f aca="false">IF(C6927="MAT.",VLOOKUP(A6927,INSUMOS_AUX!$A$3:$H$813,6,0),0)</f>
        <v>1.13</v>
      </c>
      <c r="G6927" s="149" t="n">
        <f aca="false">IF(C6927="M.O.",VLOOKUP(A6927,INSUMOS_AUX!A:F,6,0),0)</f>
        <v>0</v>
      </c>
    </row>
    <row r="6928" customFormat="false" ht="21" hidden="false" customHeight="false" outlineLevel="0" collapsed="false">
      <c r="A6928" s="154" t="n">
        <v>37372</v>
      </c>
      <c r="B6928" s="155" t="s">
        <v>1446</v>
      </c>
      <c r="C6928" s="148" t="str">
        <f aca="false">VLOOKUP($A6928,INSUMOS_AUX!$A$3:$H$813,3,0)</f>
        <v>MAT.</v>
      </c>
      <c r="D6928" s="156" t="s">
        <v>1444</v>
      </c>
      <c r="E6928" s="154" t="n">
        <v>2</v>
      </c>
      <c r="F6928" s="149" t="n">
        <f aca="false">IF(C6928="MAT.",VLOOKUP(A6928,INSUMOS_AUX!$A$3:$H$813,6,0),0)</f>
        <v>1.43</v>
      </c>
      <c r="G6928" s="149" t="n">
        <f aca="false">IF(C6928="M.O.",VLOOKUP(A6928,INSUMOS_AUX!A:F,6,0),0)</f>
        <v>0</v>
      </c>
    </row>
    <row r="6929" customFormat="false" ht="21" hidden="false" customHeight="false" outlineLevel="0" collapsed="false">
      <c r="A6929" s="154" t="n">
        <v>43461</v>
      </c>
      <c r="B6929" s="155" t="s">
        <v>1482</v>
      </c>
      <c r="C6929" s="148" t="str">
        <f aca="false">VLOOKUP($A6929,INSUMOS_AUX!$A$3:$H$813,3,0)</f>
        <v>MAT.</v>
      </c>
      <c r="D6929" s="156" t="s">
        <v>1444</v>
      </c>
      <c r="E6929" s="154" t="n">
        <v>2</v>
      </c>
      <c r="F6929" s="149" t="n">
        <f aca="false">IF(C6929="MAT.",VLOOKUP(A6929,INSUMOS_AUX!$A$3:$H$813,6,0),0)</f>
        <v>0.31</v>
      </c>
      <c r="G6929" s="149" t="n">
        <f aca="false">IF(C6929="M.O.",VLOOKUP(A6929,INSUMOS_AUX!A:F,6,0),0)</f>
        <v>0</v>
      </c>
    </row>
    <row r="6930" customFormat="false" ht="21" hidden="false" customHeight="false" outlineLevel="0" collapsed="false">
      <c r="A6930" s="154" t="n">
        <v>37373</v>
      </c>
      <c r="B6930" s="155" t="s">
        <v>1448</v>
      </c>
      <c r="C6930" s="148" t="str">
        <f aca="false">VLOOKUP($A6930,INSUMOS_AUX!$A$3:$H$813,3,0)</f>
        <v>MAT.</v>
      </c>
      <c r="D6930" s="156" t="s">
        <v>1444</v>
      </c>
      <c r="E6930" s="154" t="n">
        <v>2</v>
      </c>
      <c r="F6930" s="149" t="n">
        <f aca="false">IF(C6930="MAT.",VLOOKUP(A6930,INSUMOS_AUX!$A$3:$H$813,6,0),0)</f>
        <v>0.08</v>
      </c>
      <c r="G6930" s="149" t="n">
        <f aca="false">IF(C6930="M.O.",VLOOKUP(A6930,INSUMOS_AUX!A:F,6,0),0)</f>
        <v>0</v>
      </c>
    </row>
    <row r="6931" customFormat="false" ht="21" hidden="false" customHeight="false" outlineLevel="0" collapsed="false">
      <c r="A6931" s="154" t="n">
        <v>37371</v>
      </c>
      <c r="B6931" s="155" t="s">
        <v>1449</v>
      </c>
      <c r="C6931" s="148" t="str">
        <f aca="false">VLOOKUP($A6931,INSUMOS_AUX!$A$3:$H$813,3,0)</f>
        <v>MAT.</v>
      </c>
      <c r="D6931" s="156" t="s">
        <v>1444</v>
      </c>
      <c r="E6931" s="154" t="n">
        <v>2</v>
      </c>
      <c r="F6931" s="149" t="n">
        <f aca="false">IF(C6931="MAT.",VLOOKUP(A6931,INSUMOS_AUX!$A$3:$H$813,6,0),0)</f>
        <v>0.59</v>
      </c>
      <c r="G6931" s="149" t="n">
        <f aca="false">IF(C6931="M.O.",VLOOKUP(A6931,INSUMOS_AUX!A:F,6,0),0)</f>
        <v>0</v>
      </c>
    </row>
    <row r="6932" customFormat="false" ht="15" hidden="false" customHeight="false" outlineLevel="0" collapsed="false">
      <c r="A6932" s="154" t="s">
        <v>2714</v>
      </c>
      <c r="B6932" s="155" t="s">
        <v>2715</v>
      </c>
      <c r="C6932" s="148" t="s">
        <v>59</v>
      </c>
      <c r="D6932" s="156" t="s">
        <v>31</v>
      </c>
      <c r="E6932" s="154" t="n">
        <v>1</v>
      </c>
      <c r="F6932" s="149" t="n">
        <f aca="false">IF(C6932="MAT.",VLOOKUP(A6932,INSUMOS_AUX!$A$3:$H$813,6,0),0)</f>
        <v>0</v>
      </c>
      <c r="G6932" s="149" t="n">
        <f aca="false">IF(C6932="M.O.",VLOOKUP(A6932,INSUMOS_AUX!A:F,6,0),0)</f>
        <v>0</v>
      </c>
    </row>
    <row r="6933" customFormat="false" ht="15" hidden="false" customHeight="false" outlineLevel="0" collapsed="false">
      <c r="A6933" s="154" t="n">
        <v>246</v>
      </c>
      <c r="B6933" s="155" t="s">
        <v>1752</v>
      </c>
      <c r="C6933" s="148" t="str">
        <f aca="false">VLOOKUP($A6933,INSUMOS_AUX!$A$3:$H$813,3,0)</f>
        <v>M.O.</v>
      </c>
      <c r="D6933" s="156" t="s">
        <v>1444</v>
      </c>
      <c r="E6933" s="154" t="n">
        <v>1.01798</v>
      </c>
      <c r="F6933" s="149" t="n">
        <f aca="false">IF(C6933="MAT.",VLOOKUP(A6933,INSUMOS_AUX!$A$3:$H$813,6,0),0)</f>
        <v>0</v>
      </c>
      <c r="G6933" s="149" t="n">
        <f aca="false">IF(C6933="M.O.",VLOOKUP(A6933,INSUMOS_AUX!A:F,6,0),0)</f>
        <v>13.26</v>
      </c>
    </row>
    <row r="6934" customFormat="false" ht="15" hidden="false" customHeight="false" outlineLevel="0" collapsed="false">
      <c r="A6934" s="154" t="n">
        <v>2696</v>
      </c>
      <c r="B6934" s="155" t="s">
        <v>1483</v>
      </c>
      <c r="C6934" s="148" t="str">
        <f aca="false">VLOOKUP($A6934,INSUMOS_AUX!$A$3:$H$813,3,0)</f>
        <v>M.O.</v>
      </c>
      <c r="D6934" s="156" t="s">
        <v>1444</v>
      </c>
      <c r="E6934" s="154" t="n">
        <v>1.01798</v>
      </c>
      <c r="F6934" s="149" t="n">
        <f aca="false">IF(C6934="MAT.",VLOOKUP(A6934,INSUMOS_AUX!$A$3:$H$813,6,0),0)</f>
        <v>0</v>
      </c>
      <c r="G6934" s="149" t="n">
        <f aca="false">IF(C6934="M.O.",VLOOKUP(A6934,INSUMOS_AUX!A:F,6,0),0)</f>
        <v>20.22</v>
      </c>
    </row>
    <row r="6935" customFormat="false" ht="21" hidden="false" customHeight="false" outlineLevel="0" collapsed="false">
      <c r="A6935" s="150" t="s">
        <v>1182</v>
      </c>
      <c r="B6935" s="151" t="s">
        <v>2716</v>
      </c>
      <c r="C6935" s="152" t="s">
        <v>59</v>
      </c>
      <c r="D6935" s="152" t="s">
        <v>31</v>
      </c>
      <c r="E6935" s="150"/>
      <c r="F6935" s="153" t="n">
        <f aca="false">(SUMPRODUCT($E6936:$E6945,F6936:F6945))*1</f>
        <v>6.660214</v>
      </c>
      <c r="G6935" s="153" t="n">
        <f aca="false">(SUMPRODUCT($E6936:$E6945,G6936:G6945))*1</f>
        <v>15.49366374384</v>
      </c>
    </row>
    <row r="6936" customFormat="false" ht="21" hidden="false" customHeight="false" outlineLevel="0" collapsed="false">
      <c r="A6936" s="154" t="n">
        <v>37370</v>
      </c>
      <c r="B6936" s="155" t="s">
        <v>1443</v>
      </c>
      <c r="C6936" s="148" t="str">
        <f aca="false">VLOOKUP($A6936,INSUMOS_AUX!$A$3:$H$813,3,0)</f>
        <v>MAT.</v>
      </c>
      <c r="D6936" s="156" t="s">
        <v>1444</v>
      </c>
      <c r="E6936" s="154" t="n">
        <v>0.9092</v>
      </c>
      <c r="F6936" s="149" t="n">
        <f aca="false">IF(C6936="MAT.",VLOOKUP(A6936,INSUMOS_AUX!$A$3:$H$813,6,0),0)</f>
        <v>3.32</v>
      </c>
      <c r="G6936" s="149" t="n">
        <f aca="false">IF(C6936="M.O.",VLOOKUP(A6936,INSUMOS_AUX!A:F,6,0),0)</f>
        <v>0</v>
      </c>
    </row>
    <row r="6937" customFormat="false" ht="21" hidden="false" customHeight="false" outlineLevel="0" collapsed="false">
      <c r="A6937" s="154" t="n">
        <v>43485</v>
      </c>
      <c r="B6937" s="155" t="s">
        <v>1481</v>
      </c>
      <c r="C6937" s="148" t="str">
        <f aca="false">VLOOKUP($A6937,INSUMOS_AUX!$A$3:$H$813,3,0)</f>
        <v>MAT.</v>
      </c>
      <c r="D6937" s="156" t="s">
        <v>1444</v>
      </c>
      <c r="E6937" s="154" t="n">
        <v>0.9092</v>
      </c>
      <c r="F6937" s="149" t="n">
        <f aca="false">IF(C6937="MAT.",VLOOKUP(A6937,INSUMOS_AUX!$A$3:$H$813,6,0),0)</f>
        <v>1.13</v>
      </c>
      <c r="G6937" s="149" t="n">
        <f aca="false">IF(C6937="M.O.",VLOOKUP(A6937,INSUMOS_AUX!A:F,6,0),0)</f>
        <v>0</v>
      </c>
    </row>
    <row r="6938" customFormat="false" ht="21" hidden="false" customHeight="false" outlineLevel="0" collapsed="false">
      <c r="A6938" s="154" t="n">
        <v>37372</v>
      </c>
      <c r="B6938" s="155" t="s">
        <v>1446</v>
      </c>
      <c r="C6938" s="148" t="str">
        <f aca="false">VLOOKUP($A6938,INSUMOS_AUX!$A$3:$H$813,3,0)</f>
        <v>MAT.</v>
      </c>
      <c r="D6938" s="156" t="s">
        <v>1444</v>
      </c>
      <c r="E6938" s="154" t="n">
        <v>0.9092</v>
      </c>
      <c r="F6938" s="149" t="n">
        <f aca="false">IF(C6938="MAT.",VLOOKUP(A6938,INSUMOS_AUX!$A$3:$H$813,6,0),0)</f>
        <v>1.43</v>
      </c>
      <c r="G6938" s="149" t="n">
        <f aca="false">IF(C6938="M.O.",VLOOKUP(A6938,INSUMOS_AUX!A:F,6,0),0)</f>
        <v>0</v>
      </c>
    </row>
    <row r="6939" customFormat="false" ht="21" hidden="false" customHeight="false" outlineLevel="0" collapsed="false">
      <c r="A6939" s="154" t="n">
        <v>43461</v>
      </c>
      <c r="B6939" s="155" t="s">
        <v>1482</v>
      </c>
      <c r="C6939" s="148" t="str">
        <f aca="false">VLOOKUP($A6939,INSUMOS_AUX!$A$3:$H$813,3,0)</f>
        <v>MAT.</v>
      </c>
      <c r="D6939" s="156" t="s">
        <v>1444</v>
      </c>
      <c r="E6939" s="154" t="n">
        <v>0.9092</v>
      </c>
      <c r="F6939" s="149" t="n">
        <f aca="false">IF(C6939="MAT.",VLOOKUP(A6939,INSUMOS_AUX!$A$3:$H$813,6,0),0)</f>
        <v>0.31</v>
      </c>
      <c r="G6939" s="149" t="n">
        <f aca="false">IF(C6939="M.O.",VLOOKUP(A6939,INSUMOS_AUX!A:F,6,0),0)</f>
        <v>0</v>
      </c>
    </row>
    <row r="6940" customFormat="false" ht="21" hidden="false" customHeight="false" outlineLevel="0" collapsed="false">
      <c r="A6940" s="154" t="n">
        <v>37373</v>
      </c>
      <c r="B6940" s="155" t="s">
        <v>1448</v>
      </c>
      <c r="C6940" s="148" t="str">
        <f aca="false">VLOOKUP($A6940,INSUMOS_AUX!$A$3:$H$813,3,0)</f>
        <v>MAT.</v>
      </c>
      <c r="D6940" s="156" t="s">
        <v>1444</v>
      </c>
      <c r="E6940" s="154" t="n">
        <v>0.9092</v>
      </c>
      <c r="F6940" s="149" t="n">
        <f aca="false">IF(C6940="MAT.",VLOOKUP(A6940,INSUMOS_AUX!$A$3:$H$813,6,0),0)</f>
        <v>0.08</v>
      </c>
      <c r="G6940" s="149" t="n">
        <f aca="false">IF(C6940="M.O.",VLOOKUP(A6940,INSUMOS_AUX!A:F,6,0),0)</f>
        <v>0</v>
      </c>
    </row>
    <row r="6941" customFormat="false" ht="21" hidden="false" customHeight="false" outlineLevel="0" collapsed="false">
      <c r="A6941" s="154" t="n">
        <v>37371</v>
      </c>
      <c r="B6941" s="155" t="s">
        <v>1449</v>
      </c>
      <c r="C6941" s="148" t="str">
        <f aca="false">VLOOKUP($A6941,INSUMOS_AUX!$A$3:$H$813,3,0)</f>
        <v>MAT.</v>
      </c>
      <c r="D6941" s="156" t="s">
        <v>1444</v>
      </c>
      <c r="E6941" s="154" t="n">
        <v>0.9092</v>
      </c>
      <c r="F6941" s="149" t="n">
        <f aca="false">IF(C6941="MAT.",VLOOKUP(A6941,INSUMOS_AUX!$A$3:$H$813,6,0),0)</f>
        <v>0.59</v>
      </c>
      <c r="G6941" s="149" t="n">
        <f aca="false">IF(C6941="M.O.",VLOOKUP(A6941,INSUMOS_AUX!A:F,6,0),0)</f>
        <v>0</v>
      </c>
    </row>
    <row r="6942" customFormat="false" ht="15" hidden="false" customHeight="false" outlineLevel="0" collapsed="false">
      <c r="A6942" s="154" t="n">
        <v>3148</v>
      </c>
      <c r="B6942" s="155" t="s">
        <v>2085</v>
      </c>
      <c r="C6942" s="148" t="str">
        <f aca="false">VLOOKUP($A6942,INSUMOS_AUX!$A$3:$H$813,3,0)</f>
        <v>MAT.</v>
      </c>
      <c r="D6942" s="156" t="s">
        <v>31</v>
      </c>
      <c r="E6942" s="154" t="n">
        <v>0.0302</v>
      </c>
      <c r="F6942" s="149" t="n">
        <f aca="false">IF(C6942="MAT.",VLOOKUP(A6942,INSUMOS_AUX!$A$3:$H$813,6,0),0)</f>
        <v>14.01</v>
      </c>
      <c r="G6942" s="149" t="n">
        <f aca="false">IF(C6942="M.O.",VLOOKUP(A6942,INSUMOS_AUX!A:F,6,0),0)</f>
        <v>0</v>
      </c>
    </row>
    <row r="6943" customFormat="false" ht="15" hidden="false" customHeight="false" outlineLevel="0" collapsed="false">
      <c r="A6943" s="154" t="s">
        <v>2717</v>
      </c>
      <c r="B6943" s="155" t="s">
        <v>2718</v>
      </c>
      <c r="C6943" s="148" t="s">
        <v>59</v>
      </c>
      <c r="D6943" s="156" t="s">
        <v>31</v>
      </c>
      <c r="E6943" s="154" t="n">
        <v>1</v>
      </c>
      <c r="F6943" s="149" t="n">
        <f aca="false">IF(C6943="MAT.",VLOOKUP(A6943,INSUMOS_AUX!$A$3:$H$813,6,0),0)</f>
        <v>0</v>
      </c>
      <c r="G6943" s="149" t="n">
        <f aca="false">IF(C6943="M.O.",VLOOKUP(A6943,INSUMOS_AUX!A:F,6,0),0)</f>
        <v>0</v>
      </c>
    </row>
    <row r="6944" customFormat="false" ht="15" hidden="false" customHeight="false" outlineLevel="0" collapsed="false">
      <c r="A6944" s="154" t="n">
        <v>246</v>
      </c>
      <c r="B6944" s="155" t="s">
        <v>1752</v>
      </c>
      <c r="C6944" s="148" t="str">
        <f aca="false">VLOOKUP($A6944,INSUMOS_AUX!$A$3:$H$813,3,0)</f>
        <v>M.O.</v>
      </c>
      <c r="D6944" s="156" t="s">
        <v>1444</v>
      </c>
      <c r="E6944" s="154" t="n">
        <v>0.462773708</v>
      </c>
      <c r="F6944" s="149" t="n">
        <f aca="false">IF(C6944="MAT.",VLOOKUP(A6944,INSUMOS_AUX!$A$3:$H$813,6,0),0)</f>
        <v>0</v>
      </c>
      <c r="G6944" s="149" t="n">
        <f aca="false">IF(C6944="M.O.",VLOOKUP(A6944,INSUMOS_AUX!A:F,6,0),0)</f>
        <v>13.26</v>
      </c>
    </row>
    <row r="6945" customFormat="false" ht="15" hidden="false" customHeight="false" outlineLevel="0" collapsed="false">
      <c r="A6945" s="154" t="n">
        <v>2696</v>
      </c>
      <c r="B6945" s="155" t="s">
        <v>1483</v>
      </c>
      <c r="C6945" s="148" t="str">
        <f aca="false">VLOOKUP($A6945,INSUMOS_AUX!$A$3:$H$813,3,0)</f>
        <v>M.O.</v>
      </c>
      <c r="D6945" s="156" t="s">
        <v>1444</v>
      </c>
      <c r="E6945" s="154" t="n">
        <v>0.462773708</v>
      </c>
      <c r="F6945" s="149" t="n">
        <f aca="false">IF(C6945="MAT.",VLOOKUP(A6945,INSUMOS_AUX!$A$3:$H$813,6,0),0)</f>
        <v>0</v>
      </c>
      <c r="G6945" s="149" t="n">
        <f aca="false">IF(C6945="M.O.",VLOOKUP(A6945,INSUMOS_AUX!A:F,6,0),0)</f>
        <v>20.22</v>
      </c>
    </row>
    <row r="6946" customFormat="false" ht="31.5" hidden="false" customHeight="false" outlineLevel="0" collapsed="false">
      <c r="A6946" s="150" t="s">
        <v>1184</v>
      </c>
      <c r="B6946" s="151" t="s">
        <v>2719</v>
      </c>
      <c r="C6946" s="152" t="s">
        <v>59</v>
      </c>
      <c r="D6946" s="152" t="s">
        <v>31</v>
      </c>
      <c r="E6946" s="150"/>
      <c r="F6946" s="153" t="n">
        <f aca="false">(SUMPRODUCT($E6947:$E6957,F6947:F6957))*1</f>
        <v>12.19715</v>
      </c>
      <c r="G6946" s="153" t="n">
        <f aca="false">(SUMPRODUCT($E6947:$E6957,G6947:G6957))*1</f>
        <v>28.2198714912</v>
      </c>
    </row>
    <row r="6947" customFormat="false" ht="21" hidden="false" customHeight="false" outlineLevel="0" collapsed="false">
      <c r="A6947" s="154" t="n">
        <v>37370</v>
      </c>
      <c r="B6947" s="155" t="s">
        <v>1443</v>
      </c>
      <c r="C6947" s="148" t="str">
        <f aca="false">VLOOKUP($A6947,INSUMOS_AUX!$A$3:$H$813,3,0)</f>
        <v>MAT.</v>
      </c>
      <c r="D6947" s="156" t="s">
        <v>1444</v>
      </c>
      <c r="E6947" s="154" t="n">
        <v>1.656</v>
      </c>
      <c r="F6947" s="149" t="n">
        <f aca="false">IF(C6947="MAT.",VLOOKUP(A6947,INSUMOS_AUX!$A$3:$H$813,6,0),0)</f>
        <v>3.32</v>
      </c>
      <c r="G6947" s="149" t="n">
        <f aca="false">IF(C6947="M.O.",VLOOKUP(A6947,INSUMOS_AUX!A:F,6,0),0)</f>
        <v>0</v>
      </c>
    </row>
    <row r="6948" customFormat="false" ht="21" hidden="false" customHeight="false" outlineLevel="0" collapsed="false">
      <c r="A6948" s="154" t="n">
        <v>43485</v>
      </c>
      <c r="B6948" s="155" t="s">
        <v>1481</v>
      </c>
      <c r="C6948" s="148" t="str">
        <f aca="false">VLOOKUP($A6948,INSUMOS_AUX!$A$3:$H$813,3,0)</f>
        <v>MAT.</v>
      </c>
      <c r="D6948" s="156" t="s">
        <v>1444</v>
      </c>
      <c r="E6948" s="154" t="n">
        <v>1.656</v>
      </c>
      <c r="F6948" s="149" t="n">
        <f aca="false">IF(C6948="MAT.",VLOOKUP(A6948,INSUMOS_AUX!$A$3:$H$813,6,0),0)</f>
        <v>1.13</v>
      </c>
      <c r="G6948" s="149" t="n">
        <f aca="false">IF(C6948="M.O.",VLOOKUP(A6948,INSUMOS_AUX!A:F,6,0),0)</f>
        <v>0</v>
      </c>
    </row>
    <row r="6949" customFormat="false" ht="21" hidden="false" customHeight="false" outlineLevel="0" collapsed="false">
      <c r="A6949" s="154" t="n">
        <v>37372</v>
      </c>
      <c r="B6949" s="155" t="s">
        <v>1446</v>
      </c>
      <c r="C6949" s="148" t="str">
        <f aca="false">VLOOKUP($A6949,INSUMOS_AUX!$A$3:$H$813,3,0)</f>
        <v>MAT.</v>
      </c>
      <c r="D6949" s="156" t="s">
        <v>1444</v>
      </c>
      <c r="E6949" s="154" t="n">
        <v>1.656</v>
      </c>
      <c r="F6949" s="149" t="n">
        <f aca="false">IF(C6949="MAT.",VLOOKUP(A6949,INSUMOS_AUX!$A$3:$H$813,6,0),0)</f>
        <v>1.43</v>
      </c>
      <c r="G6949" s="149" t="n">
        <f aca="false">IF(C6949="M.O.",VLOOKUP(A6949,INSUMOS_AUX!A:F,6,0),0)</f>
        <v>0</v>
      </c>
    </row>
    <row r="6950" customFormat="false" ht="21" hidden="false" customHeight="false" outlineLevel="0" collapsed="false">
      <c r="A6950" s="154" t="n">
        <v>43461</v>
      </c>
      <c r="B6950" s="155" t="s">
        <v>1482</v>
      </c>
      <c r="C6950" s="148" t="str">
        <f aca="false">VLOOKUP($A6950,INSUMOS_AUX!$A$3:$H$813,3,0)</f>
        <v>MAT.</v>
      </c>
      <c r="D6950" s="156" t="s">
        <v>1444</v>
      </c>
      <c r="E6950" s="154" t="n">
        <v>1.656</v>
      </c>
      <c r="F6950" s="149" t="n">
        <f aca="false">IF(C6950="MAT.",VLOOKUP(A6950,INSUMOS_AUX!$A$3:$H$813,6,0),0)</f>
        <v>0.31</v>
      </c>
      <c r="G6950" s="149" t="n">
        <f aca="false">IF(C6950="M.O.",VLOOKUP(A6950,INSUMOS_AUX!A:F,6,0),0)</f>
        <v>0</v>
      </c>
    </row>
    <row r="6951" customFormat="false" ht="21" hidden="false" customHeight="false" outlineLevel="0" collapsed="false">
      <c r="A6951" s="154" t="n">
        <v>37373</v>
      </c>
      <c r="B6951" s="155" t="s">
        <v>1448</v>
      </c>
      <c r="C6951" s="148" t="str">
        <f aca="false">VLOOKUP($A6951,INSUMOS_AUX!$A$3:$H$813,3,0)</f>
        <v>MAT.</v>
      </c>
      <c r="D6951" s="156" t="s">
        <v>1444</v>
      </c>
      <c r="E6951" s="154" t="n">
        <v>1.656</v>
      </c>
      <c r="F6951" s="149" t="n">
        <f aca="false">IF(C6951="MAT.",VLOOKUP(A6951,INSUMOS_AUX!$A$3:$H$813,6,0),0)</f>
        <v>0.08</v>
      </c>
      <c r="G6951" s="149" t="n">
        <f aca="false">IF(C6951="M.O.",VLOOKUP(A6951,INSUMOS_AUX!A:F,6,0),0)</f>
        <v>0</v>
      </c>
    </row>
    <row r="6952" customFormat="false" ht="21" hidden="false" customHeight="false" outlineLevel="0" collapsed="false">
      <c r="A6952" s="154" t="n">
        <v>37371</v>
      </c>
      <c r="B6952" s="155" t="s">
        <v>1449</v>
      </c>
      <c r="C6952" s="148" t="str">
        <f aca="false">VLOOKUP($A6952,INSUMOS_AUX!$A$3:$H$813,3,0)</f>
        <v>MAT.</v>
      </c>
      <c r="D6952" s="156" t="s">
        <v>1444</v>
      </c>
      <c r="E6952" s="154" t="n">
        <v>1.656</v>
      </c>
      <c r="F6952" s="149" t="n">
        <f aca="false">IF(C6952="MAT.",VLOOKUP(A6952,INSUMOS_AUX!$A$3:$H$813,6,0),0)</f>
        <v>0.59</v>
      </c>
      <c r="G6952" s="149" t="n">
        <f aca="false">IF(C6952="M.O.",VLOOKUP(A6952,INSUMOS_AUX!A:F,6,0),0)</f>
        <v>0</v>
      </c>
    </row>
    <row r="6953" customFormat="false" ht="15" hidden="false" customHeight="false" outlineLevel="0" collapsed="false">
      <c r="A6953" s="154" t="n">
        <v>3148</v>
      </c>
      <c r="B6953" s="155" t="s">
        <v>2085</v>
      </c>
      <c r="C6953" s="148" t="str">
        <f aca="false">VLOOKUP($A6953,INSUMOS_AUX!$A$3:$H$813,3,0)</f>
        <v>MAT.</v>
      </c>
      <c r="D6953" s="156" t="s">
        <v>31</v>
      </c>
      <c r="E6953" s="154" t="n">
        <v>0.035</v>
      </c>
      <c r="F6953" s="149" t="n">
        <f aca="false">IF(C6953="MAT.",VLOOKUP(A6953,INSUMOS_AUX!$A$3:$H$813,6,0),0)</f>
        <v>14.01</v>
      </c>
      <c r="G6953" s="149" t="n">
        <f aca="false">IF(C6953="M.O.",VLOOKUP(A6953,INSUMOS_AUX!A:F,6,0),0)</f>
        <v>0</v>
      </c>
    </row>
    <row r="6954" customFormat="false" ht="21" hidden="false" customHeight="false" outlineLevel="0" collapsed="false">
      <c r="A6954" s="154" t="n">
        <v>3268</v>
      </c>
      <c r="B6954" s="155" t="s">
        <v>2720</v>
      </c>
      <c r="C6954" s="148" t="s">
        <v>59</v>
      </c>
      <c r="D6954" s="156" t="s">
        <v>31</v>
      </c>
      <c r="E6954" s="154" t="n">
        <v>2</v>
      </c>
      <c r="F6954" s="149" t="n">
        <f aca="false">IF(C6954="MAT.",VLOOKUP(A6954,INSUMOS_AUX!$A$3:$H$813,6,0),0)</f>
        <v>0</v>
      </c>
      <c r="G6954" s="149" t="n">
        <f aca="false">IF(C6954="M.O.",VLOOKUP(A6954,INSUMOS_AUX!A:F,6,0),0)</f>
        <v>0</v>
      </c>
    </row>
    <row r="6955" customFormat="false" ht="15" hidden="false" customHeight="false" outlineLevel="0" collapsed="false">
      <c r="A6955" s="154" t="n">
        <v>7307</v>
      </c>
      <c r="B6955" s="155" t="s">
        <v>1733</v>
      </c>
      <c r="C6955" s="148" t="str">
        <f aca="false">VLOOKUP($A6955,INSUMOS_AUX!$A$3:$H$813,3,0)</f>
        <v>MAT.</v>
      </c>
      <c r="D6955" s="156" t="s">
        <v>1452</v>
      </c>
      <c r="E6955" s="154" t="n">
        <v>0.008</v>
      </c>
      <c r="F6955" s="149" t="n">
        <f aca="false">IF(C6955="MAT.",VLOOKUP(A6955,INSUMOS_AUX!$A$3:$H$813,6,0),0)</f>
        <v>43.33</v>
      </c>
      <c r="G6955" s="149" t="n">
        <f aca="false">IF(C6955="M.O.",VLOOKUP(A6955,INSUMOS_AUX!A:F,6,0),0)</f>
        <v>0</v>
      </c>
    </row>
    <row r="6956" customFormat="false" ht="15" hidden="false" customHeight="false" outlineLevel="0" collapsed="false">
      <c r="A6956" s="154" t="n">
        <v>246</v>
      </c>
      <c r="B6956" s="155" t="s">
        <v>1752</v>
      </c>
      <c r="C6956" s="148" t="str">
        <f aca="false">VLOOKUP($A6956,INSUMOS_AUX!$A$3:$H$813,3,0)</f>
        <v>M.O.</v>
      </c>
      <c r="D6956" s="156" t="s">
        <v>1444</v>
      </c>
      <c r="E6956" s="154" t="n">
        <v>0.84288744</v>
      </c>
      <c r="F6956" s="149" t="n">
        <f aca="false">IF(C6956="MAT.",VLOOKUP(A6956,INSUMOS_AUX!$A$3:$H$813,6,0),0)</f>
        <v>0</v>
      </c>
      <c r="G6956" s="149" t="n">
        <f aca="false">IF(C6956="M.O.",VLOOKUP(A6956,INSUMOS_AUX!A:F,6,0),0)</f>
        <v>13.26</v>
      </c>
    </row>
    <row r="6957" customFormat="false" ht="15" hidden="false" customHeight="false" outlineLevel="0" collapsed="false">
      <c r="A6957" s="154" t="n">
        <v>2696</v>
      </c>
      <c r="B6957" s="155" t="s">
        <v>1483</v>
      </c>
      <c r="C6957" s="148" t="str">
        <f aca="false">VLOOKUP($A6957,INSUMOS_AUX!$A$3:$H$813,3,0)</f>
        <v>M.O.</v>
      </c>
      <c r="D6957" s="156" t="s">
        <v>1444</v>
      </c>
      <c r="E6957" s="154" t="n">
        <v>0.84288744</v>
      </c>
      <c r="F6957" s="149" t="n">
        <f aca="false">IF(C6957="MAT.",VLOOKUP(A6957,INSUMOS_AUX!$A$3:$H$813,6,0),0)</f>
        <v>0</v>
      </c>
      <c r="G6957" s="149" t="n">
        <f aca="false">IF(C6957="M.O.",VLOOKUP(A6957,INSUMOS_AUX!A:F,6,0),0)</f>
        <v>20.22</v>
      </c>
    </row>
    <row r="6958" customFormat="false" ht="42" hidden="false" customHeight="false" outlineLevel="0" collapsed="false">
      <c r="A6958" s="150" t="n">
        <v>92367</v>
      </c>
      <c r="B6958" s="151" t="s">
        <v>2721</v>
      </c>
      <c r="C6958" s="152" t="s">
        <v>59</v>
      </c>
      <c r="D6958" s="152" t="s">
        <v>1455</v>
      </c>
      <c r="E6958" s="150"/>
      <c r="F6958" s="153" t="n">
        <f aca="false">(SUMPRODUCT($E6959:$E6967,F6959:F6967))*1</f>
        <v>101.69418</v>
      </c>
      <c r="G6958" s="153" t="n">
        <f aca="false">(SUMPRODUCT($E6959:$E6967,G6959:G6967))*1</f>
        <v>8.350082748</v>
      </c>
    </row>
    <row r="6959" customFormat="false" ht="21" hidden="false" customHeight="false" outlineLevel="0" collapsed="false">
      <c r="A6959" s="154" t="n">
        <v>37370</v>
      </c>
      <c r="B6959" s="155" t="s">
        <v>1443</v>
      </c>
      <c r="C6959" s="148" t="str">
        <f aca="false">VLOOKUP($A6959,INSUMOS_AUX!$A$3:$H$813,3,0)</f>
        <v>MAT.</v>
      </c>
      <c r="D6959" s="156" t="s">
        <v>1444</v>
      </c>
      <c r="E6959" s="154" t="n">
        <v>0.49</v>
      </c>
      <c r="F6959" s="149" t="n">
        <f aca="false">IF(C6959="MAT.",VLOOKUP(A6959,INSUMOS_AUX!$A$3:$H$813,6,0),0)</f>
        <v>3.32</v>
      </c>
      <c r="G6959" s="149" t="n">
        <f aca="false">IF(C6959="M.O.",VLOOKUP(A6959,INSUMOS_AUX!A:F,6,0),0)</f>
        <v>0</v>
      </c>
    </row>
    <row r="6960" customFormat="false" ht="21" hidden="false" customHeight="false" outlineLevel="0" collapsed="false">
      <c r="A6960" s="154" t="n">
        <v>43485</v>
      </c>
      <c r="B6960" s="155" t="s">
        <v>1481</v>
      </c>
      <c r="C6960" s="148" t="str">
        <f aca="false">VLOOKUP($A6960,INSUMOS_AUX!$A$3:$H$813,3,0)</f>
        <v>MAT.</v>
      </c>
      <c r="D6960" s="156" t="s">
        <v>1444</v>
      </c>
      <c r="E6960" s="154" t="n">
        <v>0.49</v>
      </c>
      <c r="F6960" s="149" t="n">
        <f aca="false">IF(C6960="MAT.",VLOOKUP(A6960,INSUMOS_AUX!$A$3:$H$813,6,0),0)</f>
        <v>1.13</v>
      </c>
      <c r="G6960" s="149" t="n">
        <f aca="false">IF(C6960="M.O.",VLOOKUP(A6960,INSUMOS_AUX!A:F,6,0),0)</f>
        <v>0</v>
      </c>
    </row>
    <row r="6961" customFormat="false" ht="21" hidden="false" customHeight="false" outlineLevel="0" collapsed="false">
      <c r="A6961" s="154" t="n">
        <v>37372</v>
      </c>
      <c r="B6961" s="155" t="s">
        <v>1446</v>
      </c>
      <c r="C6961" s="148" t="str">
        <f aca="false">VLOOKUP($A6961,INSUMOS_AUX!$A$3:$H$813,3,0)</f>
        <v>MAT.</v>
      </c>
      <c r="D6961" s="156" t="s">
        <v>1444</v>
      </c>
      <c r="E6961" s="154" t="n">
        <v>0.49</v>
      </c>
      <c r="F6961" s="149" t="n">
        <f aca="false">IF(C6961="MAT.",VLOOKUP(A6961,INSUMOS_AUX!$A$3:$H$813,6,0),0)</f>
        <v>1.43</v>
      </c>
      <c r="G6961" s="149" t="n">
        <f aca="false">IF(C6961="M.O.",VLOOKUP(A6961,INSUMOS_AUX!A:F,6,0),0)</f>
        <v>0</v>
      </c>
    </row>
    <row r="6962" customFormat="false" ht="21" hidden="false" customHeight="false" outlineLevel="0" collapsed="false">
      <c r="A6962" s="154" t="n">
        <v>43461</v>
      </c>
      <c r="B6962" s="155" t="s">
        <v>1482</v>
      </c>
      <c r="C6962" s="148" t="str">
        <f aca="false">VLOOKUP($A6962,INSUMOS_AUX!$A$3:$H$813,3,0)</f>
        <v>MAT.</v>
      </c>
      <c r="D6962" s="156" t="s">
        <v>1444</v>
      </c>
      <c r="E6962" s="154" t="n">
        <v>0.49</v>
      </c>
      <c r="F6962" s="149" t="n">
        <f aca="false">IF(C6962="MAT.",VLOOKUP(A6962,INSUMOS_AUX!$A$3:$H$813,6,0),0)</f>
        <v>0.31</v>
      </c>
      <c r="G6962" s="149" t="n">
        <f aca="false">IF(C6962="M.O.",VLOOKUP(A6962,INSUMOS_AUX!A:F,6,0),0)</f>
        <v>0</v>
      </c>
    </row>
    <row r="6963" customFormat="false" ht="21" hidden="false" customHeight="false" outlineLevel="0" collapsed="false">
      <c r="A6963" s="154" t="n">
        <v>37373</v>
      </c>
      <c r="B6963" s="155" t="s">
        <v>1448</v>
      </c>
      <c r="C6963" s="148" t="str">
        <f aca="false">VLOOKUP($A6963,INSUMOS_AUX!$A$3:$H$813,3,0)</f>
        <v>MAT.</v>
      </c>
      <c r="D6963" s="156" t="s">
        <v>1444</v>
      </c>
      <c r="E6963" s="154" t="n">
        <v>0.49</v>
      </c>
      <c r="F6963" s="149" t="n">
        <f aca="false">IF(C6963="MAT.",VLOOKUP(A6963,INSUMOS_AUX!$A$3:$H$813,6,0),0)</f>
        <v>0.08</v>
      </c>
      <c r="G6963" s="149" t="n">
        <f aca="false">IF(C6963="M.O.",VLOOKUP(A6963,INSUMOS_AUX!A:F,6,0),0)</f>
        <v>0</v>
      </c>
    </row>
    <row r="6964" customFormat="false" ht="21" hidden="false" customHeight="false" outlineLevel="0" collapsed="false">
      <c r="A6964" s="154" t="n">
        <v>37371</v>
      </c>
      <c r="B6964" s="155" t="s">
        <v>1449</v>
      </c>
      <c r="C6964" s="148" t="s">
        <v>59</v>
      </c>
      <c r="D6964" s="156" t="s">
        <v>1444</v>
      </c>
      <c r="E6964" s="154" t="n">
        <v>0.49</v>
      </c>
      <c r="F6964" s="149" t="n">
        <f aca="false">IF(C6964="MAT.",VLOOKUP(A6964,INSUMOS_AUX!$A$3:$H$813,6,0),0)</f>
        <v>0</v>
      </c>
      <c r="G6964" s="149" t="n">
        <f aca="false">IF(C6964="M.O.",VLOOKUP(A6964,INSUMOS_AUX!A:F,6,0),0)</f>
        <v>0</v>
      </c>
    </row>
    <row r="6965" customFormat="false" ht="21" hidden="false" customHeight="false" outlineLevel="0" collapsed="false">
      <c r="A6965" s="154" t="n">
        <v>7701</v>
      </c>
      <c r="B6965" s="155" t="s">
        <v>2722</v>
      </c>
      <c r="C6965" s="148" t="str">
        <f aca="false">VLOOKUP($A6965,INSUMOS_AUX!$A$3:$H$813,3,0)</f>
        <v>MAT.</v>
      </c>
      <c r="D6965" s="156" t="s">
        <v>1455</v>
      </c>
      <c r="E6965" s="154" t="n">
        <v>1.039</v>
      </c>
      <c r="F6965" s="149" t="n">
        <f aca="false">IF(C6965="MAT.",VLOOKUP(A6965,INSUMOS_AUX!$A$3:$H$813,6,0),0)</f>
        <v>94.92</v>
      </c>
      <c r="G6965" s="149" t="n">
        <f aca="false">IF(C6965="M.O.",VLOOKUP(A6965,INSUMOS_AUX!A:F,6,0),0)</f>
        <v>0</v>
      </c>
    </row>
    <row r="6966" customFormat="false" ht="15" hidden="false" customHeight="false" outlineLevel="0" collapsed="false">
      <c r="A6966" s="154" t="n">
        <v>246</v>
      </c>
      <c r="B6966" s="155" t="s">
        <v>1752</v>
      </c>
      <c r="C6966" s="148" t="str">
        <f aca="false">VLOOKUP($A6966,INSUMOS_AUX!$A$3:$H$813,3,0)</f>
        <v>M.O.</v>
      </c>
      <c r="D6966" s="156" t="s">
        <v>1444</v>
      </c>
      <c r="E6966" s="154" t="n">
        <v>0.2494051</v>
      </c>
      <c r="F6966" s="149" t="n">
        <f aca="false">IF(C6966="MAT.",VLOOKUP(A6966,INSUMOS_AUX!$A$3:$H$813,6,0),0)</f>
        <v>0</v>
      </c>
      <c r="G6966" s="149" t="n">
        <f aca="false">IF(C6966="M.O.",VLOOKUP(A6966,INSUMOS_AUX!A:F,6,0),0)</f>
        <v>13.26</v>
      </c>
    </row>
    <row r="6967" customFormat="false" ht="15" hidden="false" customHeight="false" outlineLevel="0" collapsed="false">
      <c r="A6967" s="154" t="n">
        <v>2696</v>
      </c>
      <c r="B6967" s="155" t="s">
        <v>1483</v>
      </c>
      <c r="C6967" s="148" t="str">
        <f aca="false">VLOOKUP($A6967,INSUMOS_AUX!$A$3:$H$813,3,0)</f>
        <v>M.O.</v>
      </c>
      <c r="D6967" s="156" t="s">
        <v>1444</v>
      </c>
      <c r="E6967" s="154" t="n">
        <v>0.2494051</v>
      </c>
      <c r="F6967" s="149" t="n">
        <f aca="false">IF(C6967="MAT.",VLOOKUP(A6967,INSUMOS_AUX!$A$3:$H$813,6,0),0)</f>
        <v>0</v>
      </c>
      <c r="G6967" s="149" t="n">
        <f aca="false">IF(C6967="M.O.",VLOOKUP(A6967,INSUMOS_AUX!A:F,6,0),0)</f>
        <v>20.22</v>
      </c>
    </row>
    <row r="6968" customFormat="false" ht="31.5" hidden="false" customHeight="false" outlineLevel="0" collapsed="false">
      <c r="A6968" s="150" t="n">
        <v>92368</v>
      </c>
      <c r="B6968" s="151" t="s">
        <v>2723</v>
      </c>
      <c r="C6968" s="152" t="s">
        <v>59</v>
      </c>
      <c r="D6968" s="152" t="s">
        <v>1455</v>
      </c>
      <c r="E6968" s="150"/>
      <c r="F6968" s="153" t="n">
        <f aca="false">(SUMPRODUCT($E6969:$E6977,F6969:F6977))*1</f>
        <v>136.49819</v>
      </c>
      <c r="G6968" s="153" t="n">
        <f aca="false">(SUMPRODUCT($E6969:$E6977,G6969:G6977))*1</f>
        <v>9.4066238304</v>
      </c>
    </row>
    <row r="6969" customFormat="false" ht="21" hidden="false" customHeight="false" outlineLevel="0" collapsed="false">
      <c r="A6969" s="154" t="n">
        <v>37370</v>
      </c>
      <c r="B6969" s="155" t="s">
        <v>1443</v>
      </c>
      <c r="C6969" s="148" t="str">
        <f aca="false">VLOOKUP($A6969,INSUMOS_AUX!$A$3:$H$813,3,0)</f>
        <v>MAT.</v>
      </c>
      <c r="D6969" s="156" t="s">
        <v>1444</v>
      </c>
      <c r="E6969" s="154" t="n">
        <v>0.552</v>
      </c>
      <c r="F6969" s="149" t="n">
        <f aca="false">IF(C6969="MAT.",VLOOKUP(A6969,INSUMOS_AUX!$A$3:$H$813,6,0),0)</f>
        <v>3.32</v>
      </c>
      <c r="G6969" s="149" t="n">
        <f aca="false">IF(C6969="M.O.",VLOOKUP(A6969,INSUMOS_AUX!A:F,6,0),0)</f>
        <v>0</v>
      </c>
    </row>
    <row r="6970" customFormat="false" ht="21" hidden="false" customHeight="false" outlineLevel="0" collapsed="false">
      <c r="A6970" s="154" t="n">
        <v>43485</v>
      </c>
      <c r="B6970" s="155" t="s">
        <v>1481</v>
      </c>
      <c r="C6970" s="148" t="str">
        <f aca="false">VLOOKUP($A6970,INSUMOS_AUX!$A$3:$H$813,3,0)</f>
        <v>MAT.</v>
      </c>
      <c r="D6970" s="156" t="s">
        <v>1444</v>
      </c>
      <c r="E6970" s="154" t="n">
        <v>0.552</v>
      </c>
      <c r="F6970" s="149" t="n">
        <f aca="false">IF(C6970="MAT.",VLOOKUP(A6970,INSUMOS_AUX!$A$3:$H$813,6,0),0)</f>
        <v>1.13</v>
      </c>
      <c r="G6970" s="149" t="n">
        <f aca="false">IF(C6970="M.O.",VLOOKUP(A6970,INSUMOS_AUX!A:F,6,0),0)</f>
        <v>0</v>
      </c>
    </row>
    <row r="6971" customFormat="false" ht="21" hidden="false" customHeight="false" outlineLevel="0" collapsed="false">
      <c r="A6971" s="154" t="n">
        <v>37372</v>
      </c>
      <c r="B6971" s="155" t="s">
        <v>1446</v>
      </c>
      <c r="C6971" s="148" t="str">
        <f aca="false">VLOOKUP($A6971,INSUMOS_AUX!$A$3:$H$813,3,0)</f>
        <v>MAT.</v>
      </c>
      <c r="D6971" s="156" t="s">
        <v>1444</v>
      </c>
      <c r="E6971" s="154" t="n">
        <v>0.552</v>
      </c>
      <c r="F6971" s="149" t="n">
        <f aca="false">IF(C6971="MAT.",VLOOKUP(A6971,INSUMOS_AUX!$A$3:$H$813,6,0),0)</f>
        <v>1.43</v>
      </c>
      <c r="G6971" s="149" t="n">
        <f aca="false">IF(C6971="M.O.",VLOOKUP(A6971,INSUMOS_AUX!A:F,6,0),0)</f>
        <v>0</v>
      </c>
    </row>
    <row r="6972" customFormat="false" ht="21" hidden="false" customHeight="false" outlineLevel="0" collapsed="false">
      <c r="A6972" s="154" t="n">
        <v>43461</v>
      </c>
      <c r="B6972" s="155" t="s">
        <v>1482</v>
      </c>
      <c r="C6972" s="148" t="str">
        <f aca="false">VLOOKUP($A6972,INSUMOS_AUX!$A$3:$H$813,3,0)</f>
        <v>MAT.</v>
      </c>
      <c r="D6972" s="156" t="s">
        <v>1444</v>
      </c>
      <c r="E6972" s="154" t="n">
        <v>0.552</v>
      </c>
      <c r="F6972" s="149" t="n">
        <f aca="false">IF(C6972="MAT.",VLOOKUP(A6972,INSUMOS_AUX!$A$3:$H$813,6,0),0)</f>
        <v>0.31</v>
      </c>
      <c r="G6972" s="149" t="n">
        <f aca="false">IF(C6972="M.O.",VLOOKUP(A6972,INSUMOS_AUX!A:F,6,0),0)</f>
        <v>0</v>
      </c>
    </row>
    <row r="6973" customFormat="false" ht="21" hidden="false" customHeight="false" outlineLevel="0" collapsed="false">
      <c r="A6973" s="154" t="n">
        <v>37373</v>
      </c>
      <c r="B6973" s="155" t="s">
        <v>1448</v>
      </c>
      <c r="C6973" s="148" t="str">
        <f aca="false">VLOOKUP($A6973,INSUMOS_AUX!$A$3:$H$813,3,0)</f>
        <v>MAT.</v>
      </c>
      <c r="D6973" s="156" t="s">
        <v>1444</v>
      </c>
      <c r="E6973" s="154" t="n">
        <v>0.552</v>
      </c>
      <c r="F6973" s="149" t="n">
        <f aca="false">IF(C6973="MAT.",VLOOKUP(A6973,INSUMOS_AUX!$A$3:$H$813,6,0),0)</f>
        <v>0.08</v>
      </c>
      <c r="G6973" s="149" t="n">
        <f aca="false">IF(C6973="M.O.",VLOOKUP(A6973,INSUMOS_AUX!A:F,6,0),0)</f>
        <v>0</v>
      </c>
    </row>
    <row r="6974" customFormat="false" ht="21" hidden="false" customHeight="false" outlineLevel="0" collapsed="false">
      <c r="A6974" s="154" t="n">
        <v>37371</v>
      </c>
      <c r="B6974" s="155" t="s">
        <v>1449</v>
      </c>
      <c r="C6974" s="148" t="str">
        <f aca="false">VLOOKUP($A6974,INSUMOS_AUX!$A$3:$H$813,3,0)</f>
        <v>MAT.</v>
      </c>
      <c r="D6974" s="156" t="s">
        <v>1444</v>
      </c>
      <c r="E6974" s="154" t="n">
        <v>0.552</v>
      </c>
      <c r="F6974" s="149" t="n">
        <f aca="false">IF(C6974="MAT.",VLOOKUP(A6974,INSUMOS_AUX!$A$3:$H$813,6,0),0)</f>
        <v>0.59</v>
      </c>
      <c r="G6974" s="149" t="n">
        <f aca="false">IF(C6974="M.O.",VLOOKUP(A6974,INSUMOS_AUX!A:F,6,0),0)</f>
        <v>0</v>
      </c>
    </row>
    <row r="6975" customFormat="false" ht="21" hidden="false" customHeight="false" outlineLevel="0" collapsed="false">
      <c r="A6975" s="154" t="n">
        <v>7694</v>
      </c>
      <c r="B6975" s="155" t="s">
        <v>2724</v>
      </c>
      <c r="C6975" s="148" t="str">
        <f aca="false">VLOOKUP($A6975,INSUMOS_AUX!$A$3:$H$813,3,0)</f>
        <v>MAT.</v>
      </c>
      <c r="D6975" s="156" t="s">
        <v>1455</v>
      </c>
      <c r="E6975" s="154" t="n">
        <v>1.039</v>
      </c>
      <c r="F6975" s="149" t="n">
        <f aca="false">IF(C6975="MAT.",VLOOKUP(A6975,INSUMOS_AUX!$A$3:$H$813,6,0),0)</f>
        <v>127.73</v>
      </c>
      <c r="G6975" s="149" t="n">
        <f aca="false">IF(C6975="M.O.",VLOOKUP(A6975,INSUMOS_AUX!A:F,6,0),0)</f>
        <v>0</v>
      </c>
    </row>
    <row r="6976" customFormat="false" ht="15" hidden="false" customHeight="false" outlineLevel="0" collapsed="false">
      <c r="A6976" s="154" t="n">
        <v>246</v>
      </c>
      <c r="B6976" s="155" t="s">
        <v>1752</v>
      </c>
      <c r="C6976" s="148" t="str">
        <f aca="false">VLOOKUP($A6976,INSUMOS_AUX!$A$3:$H$813,3,0)</f>
        <v>M.O.</v>
      </c>
      <c r="D6976" s="156" t="s">
        <v>1444</v>
      </c>
      <c r="E6976" s="154" t="n">
        <v>0.28096248</v>
      </c>
      <c r="F6976" s="149" t="n">
        <f aca="false">IF(C6976="MAT.",VLOOKUP(A6976,INSUMOS_AUX!$A$3:$H$813,6,0),0)</f>
        <v>0</v>
      </c>
      <c r="G6976" s="149" t="n">
        <f aca="false">IF(C6976="M.O.",VLOOKUP(A6976,INSUMOS_AUX!A:F,6,0),0)</f>
        <v>13.26</v>
      </c>
    </row>
    <row r="6977" customFormat="false" ht="15" hidden="false" customHeight="false" outlineLevel="0" collapsed="false">
      <c r="A6977" s="154" t="n">
        <v>2696</v>
      </c>
      <c r="B6977" s="155" t="s">
        <v>1483</v>
      </c>
      <c r="C6977" s="148" t="str">
        <f aca="false">VLOOKUP($A6977,INSUMOS_AUX!$A$3:$H$813,3,0)</f>
        <v>M.O.</v>
      </c>
      <c r="D6977" s="156" t="s">
        <v>1444</v>
      </c>
      <c r="E6977" s="154" t="n">
        <v>0.28096248</v>
      </c>
      <c r="F6977" s="149" t="n">
        <f aca="false">IF(C6977="MAT.",VLOOKUP(A6977,INSUMOS_AUX!$A$3:$H$813,6,0),0)</f>
        <v>0</v>
      </c>
      <c r="G6977" s="149" t="n">
        <f aca="false">IF(C6977="M.O.",VLOOKUP(A6977,INSUMOS_AUX!A:F,6,0),0)</f>
        <v>20.22</v>
      </c>
    </row>
    <row r="6978" customFormat="false" ht="21" hidden="false" customHeight="false" outlineLevel="0" collapsed="false">
      <c r="A6978" s="150" t="s">
        <v>1192</v>
      </c>
      <c r="B6978" s="151" t="s">
        <v>2725</v>
      </c>
      <c r="C6978" s="152" t="s">
        <v>59</v>
      </c>
      <c r="D6978" s="152" t="s">
        <v>31</v>
      </c>
      <c r="E6978" s="150"/>
      <c r="F6978" s="153" t="n">
        <f aca="false">(SUMPRODUCT($E6979:$E6994,F6979:F6994))*1</f>
        <v>4600.7232</v>
      </c>
      <c r="G6978" s="153" t="n">
        <f aca="false">(SUMPRODUCT($E6979:$E6994,G6979:G6994))*1</f>
        <v>134.0793574344</v>
      </c>
    </row>
    <row r="6979" customFormat="false" ht="21" hidden="false" customHeight="false" outlineLevel="0" collapsed="false">
      <c r="A6979" s="154" t="n">
        <v>37370</v>
      </c>
      <c r="B6979" s="155" t="s">
        <v>1443</v>
      </c>
      <c r="C6979" s="148" t="str">
        <f aca="false">VLOOKUP($A6979,INSUMOS_AUX!$A$3:$H$813,3,0)</f>
        <v>MAT.</v>
      </c>
      <c r="D6979" s="156" t="s">
        <v>1444</v>
      </c>
      <c r="E6979" s="154" t="n">
        <v>7.844</v>
      </c>
      <c r="F6979" s="149" t="n">
        <f aca="false">IF(C6979="MAT.",VLOOKUP(A6979,INSUMOS_AUX!$A$3:$H$813,6,0),0)</f>
        <v>3.32</v>
      </c>
      <c r="G6979" s="149" t="n">
        <f aca="false">IF(C6979="M.O.",VLOOKUP(A6979,INSUMOS_AUX!A:F,6,0),0)</f>
        <v>0</v>
      </c>
    </row>
    <row r="6980" customFormat="false" ht="21" hidden="false" customHeight="false" outlineLevel="0" collapsed="false">
      <c r="A6980" s="154" t="n">
        <v>43484</v>
      </c>
      <c r="B6980" s="155" t="s">
        <v>1523</v>
      </c>
      <c r="C6980" s="148" t="str">
        <f aca="false">VLOOKUP($A6980,INSUMOS_AUX!$A$3:$H$813,3,0)</f>
        <v>MAT.</v>
      </c>
      <c r="D6980" s="156" t="s">
        <v>1444</v>
      </c>
      <c r="E6980" s="154" t="n">
        <v>1.266</v>
      </c>
      <c r="F6980" s="149" t="n">
        <f aca="false">IF(C6980="MAT.",VLOOKUP(A6980,INSUMOS_AUX!$A$3:$H$813,6,0),0)</f>
        <v>1.26</v>
      </c>
      <c r="G6980" s="149" t="n">
        <f aca="false">IF(C6980="M.O.",VLOOKUP(A6980,INSUMOS_AUX!A:F,6,0),0)</f>
        <v>0</v>
      </c>
    </row>
    <row r="6981" customFormat="false" ht="21" hidden="false" customHeight="false" outlineLevel="0" collapsed="false">
      <c r="A6981" s="154" t="n">
        <v>43485</v>
      </c>
      <c r="B6981" s="155" t="s">
        <v>1481</v>
      </c>
      <c r="C6981" s="148" t="str">
        <f aca="false">VLOOKUP($A6981,INSUMOS_AUX!$A$3:$H$813,3,0)</f>
        <v>MAT.</v>
      </c>
      <c r="D6981" s="156" t="s">
        <v>1444</v>
      </c>
      <c r="E6981" s="154" t="n">
        <v>6.578</v>
      </c>
      <c r="F6981" s="149" t="n">
        <f aca="false">IF(C6981="MAT.",VLOOKUP(A6981,INSUMOS_AUX!$A$3:$H$813,6,0),0)</f>
        <v>1.13</v>
      </c>
      <c r="G6981" s="149" t="n">
        <f aca="false">IF(C6981="M.O.",VLOOKUP(A6981,INSUMOS_AUX!A:F,6,0),0)</f>
        <v>0</v>
      </c>
    </row>
    <row r="6982" customFormat="false" ht="21" hidden="false" customHeight="false" outlineLevel="0" collapsed="false">
      <c r="A6982" s="154" t="n">
        <v>37372</v>
      </c>
      <c r="B6982" s="155" t="s">
        <v>1446</v>
      </c>
      <c r="C6982" s="148" t="str">
        <f aca="false">VLOOKUP($A6982,INSUMOS_AUX!$A$3:$H$813,3,0)</f>
        <v>MAT.</v>
      </c>
      <c r="D6982" s="156" t="s">
        <v>1444</v>
      </c>
      <c r="E6982" s="154" t="n">
        <v>7.844</v>
      </c>
      <c r="F6982" s="149" t="n">
        <f aca="false">IF(C6982="MAT.",VLOOKUP(A6982,INSUMOS_AUX!$A$3:$H$813,6,0),0)</f>
        <v>1.43</v>
      </c>
      <c r="G6982" s="149" t="n">
        <f aca="false">IF(C6982="M.O.",VLOOKUP(A6982,INSUMOS_AUX!A:F,6,0),0)</f>
        <v>0</v>
      </c>
    </row>
    <row r="6983" customFormat="false" ht="21" hidden="false" customHeight="false" outlineLevel="0" collapsed="false">
      <c r="A6983" s="154" t="n">
        <v>43460</v>
      </c>
      <c r="B6983" s="155" t="s">
        <v>1524</v>
      </c>
      <c r="C6983" s="148" t="str">
        <f aca="false">VLOOKUP($A6983,INSUMOS_AUX!$A$3:$H$813,3,0)</f>
        <v>MAT.</v>
      </c>
      <c r="D6983" s="156" t="s">
        <v>1444</v>
      </c>
      <c r="E6983" s="154" t="n">
        <v>1.266</v>
      </c>
      <c r="F6983" s="149" t="n">
        <f aca="false">IF(C6983="MAT.",VLOOKUP(A6983,INSUMOS_AUX!$A$3:$H$813,6,0),0)</f>
        <v>0.86</v>
      </c>
      <c r="G6983" s="149" t="n">
        <f aca="false">IF(C6983="M.O.",VLOOKUP(A6983,INSUMOS_AUX!A:F,6,0),0)</f>
        <v>0</v>
      </c>
    </row>
    <row r="6984" customFormat="false" ht="21" hidden="false" customHeight="false" outlineLevel="0" collapsed="false">
      <c r="A6984" s="154" t="n">
        <v>43461</v>
      </c>
      <c r="B6984" s="155" t="s">
        <v>1482</v>
      </c>
      <c r="C6984" s="148" t="str">
        <f aca="false">VLOOKUP($A6984,INSUMOS_AUX!$A$3:$H$813,3,0)</f>
        <v>MAT.</v>
      </c>
      <c r="D6984" s="156" t="s">
        <v>1444</v>
      </c>
      <c r="E6984" s="154" t="n">
        <v>6.578</v>
      </c>
      <c r="F6984" s="149" t="n">
        <f aca="false">IF(C6984="MAT.",VLOOKUP(A6984,INSUMOS_AUX!$A$3:$H$813,6,0),0)</f>
        <v>0.31</v>
      </c>
      <c r="G6984" s="149" t="n">
        <f aca="false">IF(C6984="M.O.",VLOOKUP(A6984,INSUMOS_AUX!A:F,6,0),0)</f>
        <v>0</v>
      </c>
    </row>
    <row r="6985" customFormat="false" ht="21" hidden="false" customHeight="false" outlineLevel="0" collapsed="false">
      <c r="A6985" s="154" t="n">
        <v>37373</v>
      </c>
      <c r="B6985" s="155" t="s">
        <v>1448</v>
      </c>
      <c r="C6985" s="148" t="s">
        <v>59</v>
      </c>
      <c r="D6985" s="156" t="s">
        <v>1444</v>
      </c>
      <c r="E6985" s="154" t="n">
        <v>7.844</v>
      </c>
      <c r="F6985" s="149" t="n">
        <f aca="false">IF(C6985="MAT.",VLOOKUP(A6985,INSUMOS_AUX!$A$3:$H$813,6,0),0)</f>
        <v>0</v>
      </c>
      <c r="G6985" s="149" t="n">
        <f aca="false">IF(C6985="M.O.",VLOOKUP(A6985,INSUMOS_AUX!A:F,6,0),0)</f>
        <v>0</v>
      </c>
    </row>
    <row r="6986" customFormat="false" ht="21" hidden="false" customHeight="false" outlineLevel="0" collapsed="false">
      <c r="A6986" s="154" t="n">
        <v>37371</v>
      </c>
      <c r="B6986" s="155" t="s">
        <v>1449</v>
      </c>
      <c r="C6986" s="148" t="str">
        <f aca="false">VLOOKUP($A6986,INSUMOS_AUX!$A$3:$H$813,3,0)</f>
        <v>MAT.</v>
      </c>
      <c r="D6986" s="156" t="s">
        <v>1444</v>
      </c>
      <c r="E6986" s="154" t="n">
        <v>7.844</v>
      </c>
      <c r="F6986" s="149" t="n">
        <f aca="false">IF(C6986="MAT.",VLOOKUP(A6986,INSUMOS_AUX!$A$3:$H$813,6,0),0)</f>
        <v>0.59</v>
      </c>
      <c r="G6986" s="149" t="n">
        <f aca="false">IF(C6986="M.O.",VLOOKUP(A6986,INSUMOS_AUX!A:F,6,0),0)</f>
        <v>0</v>
      </c>
    </row>
    <row r="6987" customFormat="false" ht="15" hidden="false" customHeight="false" outlineLevel="0" collapsed="false">
      <c r="A6987" s="154" t="s">
        <v>2726</v>
      </c>
      <c r="B6987" s="155" t="s">
        <v>2727</v>
      </c>
      <c r="C6987" s="148" t="str">
        <f aca="false">VLOOKUP($A6987,INSUMOS_AUX!$A$3:$H$813,3,0)</f>
        <v>MAT.</v>
      </c>
      <c r="D6987" s="156" t="s">
        <v>31</v>
      </c>
      <c r="E6987" s="154" t="n">
        <v>1</v>
      </c>
      <c r="F6987" s="149" t="n">
        <f aca="false">IF(C6987="MAT.",VLOOKUP(A6987,INSUMOS_AUX!$A$3:$H$813,6,0),0)</f>
        <v>4539.03</v>
      </c>
      <c r="G6987" s="149" t="n">
        <f aca="false">IF(C6987="M.O.",VLOOKUP(A6987,INSUMOS_AUX!A:F,6,0),0)</f>
        <v>0</v>
      </c>
    </row>
    <row r="6988" customFormat="false" ht="31.5" hidden="false" customHeight="false" outlineLevel="0" collapsed="false">
      <c r="A6988" s="154" t="n">
        <v>11267</v>
      </c>
      <c r="B6988" s="155" t="s">
        <v>2431</v>
      </c>
      <c r="C6988" s="148" t="str">
        <f aca="false">VLOOKUP($A6988,INSUMOS_AUX!$A$3:$H$813,3,0)</f>
        <v>MAT.</v>
      </c>
      <c r="D6988" s="156" t="s">
        <v>31</v>
      </c>
      <c r="E6988" s="154" t="n">
        <v>4</v>
      </c>
      <c r="F6988" s="149" t="n">
        <f aca="false">IF(C6988="MAT.",VLOOKUP(A6988,INSUMOS_AUX!$A$3:$H$813,6,0),0)</f>
        <v>1.43</v>
      </c>
      <c r="G6988" s="149" t="n">
        <f aca="false">IF(C6988="M.O.",VLOOKUP(A6988,INSUMOS_AUX!A:F,6,0),0)</f>
        <v>0</v>
      </c>
    </row>
    <row r="6989" customFormat="false" ht="15" hidden="false" customHeight="false" outlineLevel="0" collapsed="false">
      <c r="A6989" s="154" t="n">
        <v>39997</v>
      </c>
      <c r="B6989" s="155" t="s">
        <v>2438</v>
      </c>
      <c r="C6989" s="148" t="str">
        <f aca="false">VLOOKUP($A6989,INSUMOS_AUX!$A$3:$H$813,3,0)</f>
        <v>MAT.</v>
      </c>
      <c r="D6989" s="156" t="s">
        <v>31</v>
      </c>
      <c r="E6989" s="154" t="n">
        <v>4</v>
      </c>
      <c r="F6989" s="149" t="n">
        <f aca="false">IF(C6989="MAT.",VLOOKUP(A6989,INSUMOS_AUX!$A$3:$H$813,6,0),0)</f>
        <v>0.33</v>
      </c>
      <c r="G6989" s="149" t="n">
        <f aca="false">IF(C6989="M.O.",VLOOKUP(A6989,INSUMOS_AUX!A:F,6,0),0)</f>
        <v>0</v>
      </c>
    </row>
    <row r="6990" customFormat="false" ht="15" hidden="false" customHeight="false" outlineLevel="0" collapsed="false">
      <c r="A6990" s="154" t="n">
        <v>39996</v>
      </c>
      <c r="B6990" s="155" t="s">
        <v>2441</v>
      </c>
      <c r="C6990" s="148" t="str">
        <f aca="false">VLOOKUP($A6990,INSUMOS_AUX!$A$3:$H$813,3,0)</f>
        <v>MAT.</v>
      </c>
      <c r="D6990" s="156" t="s">
        <v>1455</v>
      </c>
      <c r="E6990" s="154" t="n">
        <v>0.2</v>
      </c>
      <c r="F6990" s="149" t="n">
        <f aca="false">IF(C6990="MAT.",VLOOKUP(A6990,INSUMOS_AUX!$A$3:$H$813,6,0),0)</f>
        <v>3.05</v>
      </c>
      <c r="G6990" s="149" t="n">
        <f aca="false">IF(C6990="M.O.",VLOOKUP(A6990,INSUMOS_AUX!A:F,6,0),0)</f>
        <v>0</v>
      </c>
    </row>
    <row r="6991" customFormat="false" ht="15" hidden="false" customHeight="false" outlineLevel="0" collapsed="false">
      <c r="A6991" s="154" t="n">
        <v>247</v>
      </c>
      <c r="B6991" s="155" t="s">
        <v>1554</v>
      </c>
      <c r="C6991" s="148" t="str">
        <f aca="false">VLOOKUP($A6991,INSUMOS_AUX!$A$3:$H$813,3,0)</f>
        <v>M.O.</v>
      </c>
      <c r="D6991" s="156" t="s">
        <v>1444</v>
      </c>
      <c r="E6991" s="154" t="n">
        <v>0.65662356</v>
      </c>
      <c r="F6991" s="149" t="n">
        <f aca="false">IF(C6991="MAT.",VLOOKUP(A6991,INSUMOS_AUX!$A$3:$H$813,6,0),0)</f>
        <v>0</v>
      </c>
      <c r="G6991" s="149" t="n">
        <f aca="false">IF(C6991="M.O.",VLOOKUP(A6991,INSUMOS_AUX!A:F,6,0),0)</f>
        <v>13.26</v>
      </c>
    </row>
    <row r="6992" customFormat="false" ht="15" hidden="false" customHeight="false" outlineLevel="0" collapsed="false">
      <c r="A6992" s="154" t="n">
        <v>246</v>
      </c>
      <c r="B6992" s="155" t="s">
        <v>1752</v>
      </c>
      <c r="C6992" s="148" t="str">
        <f aca="false">VLOOKUP($A6992,INSUMOS_AUX!$A$3:$H$813,3,0)</f>
        <v>M.O.</v>
      </c>
      <c r="D6992" s="156" t="s">
        <v>1444</v>
      </c>
      <c r="E6992" s="154" t="n">
        <v>3.34813622</v>
      </c>
      <c r="F6992" s="149" t="n">
        <f aca="false">IF(C6992="MAT.",VLOOKUP(A6992,INSUMOS_AUX!$A$3:$H$813,6,0),0)</f>
        <v>0</v>
      </c>
      <c r="G6992" s="149" t="n">
        <f aca="false">IF(C6992="M.O.",VLOOKUP(A6992,INSUMOS_AUX!A:F,6,0),0)</f>
        <v>13.26</v>
      </c>
    </row>
    <row r="6993" customFormat="false" ht="15" hidden="false" customHeight="false" outlineLevel="0" collapsed="false">
      <c r="A6993" s="154" t="n">
        <v>2436</v>
      </c>
      <c r="B6993" s="155" t="s">
        <v>1557</v>
      </c>
      <c r="C6993" s="148" t="str">
        <f aca="false">VLOOKUP($A6993,INSUMOS_AUX!$A$3:$H$813,3,0)</f>
        <v>M.O.</v>
      </c>
      <c r="D6993" s="156" t="s">
        <v>1444</v>
      </c>
      <c r="E6993" s="154" t="n">
        <v>0.65662356</v>
      </c>
      <c r="F6993" s="149" t="n">
        <f aca="false">IF(C6993="MAT.",VLOOKUP(A6993,INSUMOS_AUX!$A$3:$H$813,6,0),0)</f>
        <v>0</v>
      </c>
      <c r="G6993" s="149" t="n">
        <f aca="false">IF(C6993="M.O.",VLOOKUP(A6993,INSUMOS_AUX!A:F,6,0),0)</f>
        <v>20.22</v>
      </c>
    </row>
    <row r="6994" customFormat="false" ht="15" hidden="false" customHeight="false" outlineLevel="0" collapsed="false">
      <c r="A6994" s="154" t="n">
        <v>2696</v>
      </c>
      <c r="B6994" s="155" t="s">
        <v>1483</v>
      </c>
      <c r="C6994" s="148" t="str">
        <f aca="false">VLOOKUP($A6994,INSUMOS_AUX!$A$3:$H$813,3,0)</f>
        <v>M.O.</v>
      </c>
      <c r="D6994" s="156" t="s">
        <v>1444</v>
      </c>
      <c r="E6994" s="154" t="n">
        <v>3.34813622</v>
      </c>
      <c r="F6994" s="149" t="n">
        <f aca="false">IF(C6994="MAT.",VLOOKUP(A6994,INSUMOS_AUX!$A$3:$H$813,6,0),0)</f>
        <v>0</v>
      </c>
      <c r="G6994" s="149" t="n">
        <f aca="false">IF(C6994="M.O.",VLOOKUP(A6994,INSUMOS_AUX!A:F,6,0),0)</f>
        <v>20.22</v>
      </c>
    </row>
    <row r="6995" customFormat="false" ht="21" hidden="false" customHeight="false" outlineLevel="0" collapsed="false">
      <c r="A6995" s="150" t="s">
        <v>1194</v>
      </c>
      <c r="B6995" s="151" t="s">
        <v>2728</v>
      </c>
      <c r="C6995" s="152" t="s">
        <v>59</v>
      </c>
      <c r="D6995" s="152" t="s">
        <v>31</v>
      </c>
      <c r="E6995" s="150"/>
      <c r="F6995" s="153" t="n">
        <f aca="false">(SUMPRODUCT($E6996:$E7005,F6996:F7005))*1</f>
        <v>1565.56112933333</v>
      </c>
      <c r="G6995" s="153" t="n">
        <f aca="false">(SUMPRODUCT($E6996:$E7005,G6996:G7005))*1</f>
        <v>48.74976209232</v>
      </c>
    </row>
    <row r="6996" customFormat="false" ht="21" hidden="false" customHeight="false" outlineLevel="0" collapsed="false">
      <c r="A6996" s="154" t="n">
        <v>37370</v>
      </c>
      <c r="B6996" s="155" t="s">
        <v>1443</v>
      </c>
      <c r="C6996" s="148" t="str">
        <f aca="false">VLOOKUP($A6996,INSUMOS_AUX!$A$3:$H$813,3,0)</f>
        <v>MAT.</v>
      </c>
      <c r="D6996" s="156" t="s">
        <v>1444</v>
      </c>
      <c r="E6996" s="154" t="n">
        <v>2.8074</v>
      </c>
      <c r="F6996" s="149" t="n">
        <f aca="false">IF(C6996="MAT.",VLOOKUP(A6996,INSUMOS_AUX!$A$3:$H$813,6,0),0)</f>
        <v>3.32</v>
      </c>
      <c r="G6996" s="149" t="n">
        <f aca="false">IF(C6996="M.O.",VLOOKUP(A6996,INSUMOS_AUX!A:F,6,0),0)</f>
        <v>0</v>
      </c>
    </row>
    <row r="6997" customFormat="false" ht="21" hidden="false" customHeight="false" outlineLevel="0" collapsed="false">
      <c r="A6997" s="154" t="n">
        <v>43484</v>
      </c>
      <c r="B6997" s="155" t="s">
        <v>1523</v>
      </c>
      <c r="C6997" s="148" t="str">
        <f aca="false">VLOOKUP($A6997,INSUMOS_AUX!$A$3:$H$813,3,0)</f>
        <v>MAT.</v>
      </c>
      <c r="D6997" s="156" t="s">
        <v>1444</v>
      </c>
      <c r="E6997" s="154" t="n">
        <v>2.8074</v>
      </c>
      <c r="F6997" s="149" t="n">
        <f aca="false">IF(C6997="MAT.",VLOOKUP(A6997,INSUMOS_AUX!$A$3:$H$813,6,0),0)</f>
        <v>1.26</v>
      </c>
      <c r="G6997" s="149" t="n">
        <f aca="false">IF(C6997="M.O.",VLOOKUP(A6997,INSUMOS_AUX!A:F,6,0),0)</f>
        <v>0</v>
      </c>
    </row>
    <row r="6998" customFormat="false" ht="21" hidden="false" customHeight="false" outlineLevel="0" collapsed="false">
      <c r="A6998" s="154" t="n">
        <v>37372</v>
      </c>
      <c r="B6998" s="155" t="s">
        <v>1446</v>
      </c>
      <c r="C6998" s="148" t="str">
        <f aca="false">VLOOKUP($A6998,INSUMOS_AUX!$A$3:$H$813,3,0)</f>
        <v>MAT.</v>
      </c>
      <c r="D6998" s="156" t="s">
        <v>1444</v>
      </c>
      <c r="E6998" s="154" t="n">
        <v>2.8074</v>
      </c>
      <c r="F6998" s="149" t="n">
        <f aca="false">IF(C6998="MAT.",VLOOKUP(A6998,INSUMOS_AUX!$A$3:$H$813,6,0),0)</f>
        <v>1.43</v>
      </c>
      <c r="G6998" s="149" t="n">
        <f aca="false">IF(C6998="M.O.",VLOOKUP(A6998,INSUMOS_AUX!A:F,6,0),0)</f>
        <v>0</v>
      </c>
    </row>
    <row r="6999" customFormat="false" ht="21" hidden="false" customHeight="false" outlineLevel="0" collapsed="false">
      <c r="A6999" s="154" t="n">
        <v>43460</v>
      </c>
      <c r="B6999" s="155" t="s">
        <v>1524</v>
      </c>
      <c r="C6999" s="148" t="str">
        <f aca="false">VLOOKUP($A6999,INSUMOS_AUX!$A$3:$H$813,3,0)</f>
        <v>MAT.</v>
      </c>
      <c r="D6999" s="156" t="s">
        <v>1444</v>
      </c>
      <c r="E6999" s="154" t="n">
        <v>2.8074</v>
      </c>
      <c r="F6999" s="149" t="n">
        <f aca="false">IF(C6999="MAT.",VLOOKUP(A6999,INSUMOS_AUX!$A$3:$H$813,6,0),0)</f>
        <v>0.86</v>
      </c>
      <c r="G6999" s="149" t="n">
        <f aca="false">IF(C6999="M.O.",VLOOKUP(A6999,INSUMOS_AUX!A:F,6,0),0)</f>
        <v>0</v>
      </c>
    </row>
    <row r="7000" customFormat="false" ht="21" hidden="false" customHeight="false" outlineLevel="0" collapsed="false">
      <c r="A7000" s="154" t="n">
        <v>37373</v>
      </c>
      <c r="B7000" s="155" t="s">
        <v>1448</v>
      </c>
      <c r="C7000" s="148" t="str">
        <f aca="false">VLOOKUP($A7000,INSUMOS_AUX!$A$3:$H$813,3,0)</f>
        <v>MAT.</v>
      </c>
      <c r="D7000" s="156" t="s">
        <v>1444</v>
      </c>
      <c r="E7000" s="154" t="n">
        <v>2.8074</v>
      </c>
      <c r="F7000" s="149" t="n">
        <f aca="false">IF(C7000="MAT.",VLOOKUP(A7000,INSUMOS_AUX!$A$3:$H$813,6,0),0)</f>
        <v>0.08</v>
      </c>
      <c r="G7000" s="149" t="n">
        <f aca="false">IF(C7000="M.O.",VLOOKUP(A7000,INSUMOS_AUX!A:F,6,0),0)</f>
        <v>0</v>
      </c>
    </row>
    <row r="7001" customFormat="false" ht="21" hidden="false" customHeight="false" outlineLevel="0" collapsed="false">
      <c r="A7001" s="154" t="n">
        <v>37371</v>
      </c>
      <c r="B7001" s="155" t="s">
        <v>1449</v>
      </c>
      <c r="C7001" s="148" t="str">
        <f aca="false">VLOOKUP($A7001,INSUMOS_AUX!$A$3:$H$813,3,0)</f>
        <v>MAT.</v>
      </c>
      <c r="D7001" s="156" t="s">
        <v>1444</v>
      </c>
      <c r="E7001" s="154" t="n">
        <v>2.8074</v>
      </c>
      <c r="F7001" s="149" t="n">
        <f aca="false">IF(C7001="MAT.",VLOOKUP(A7001,INSUMOS_AUX!$A$3:$H$813,6,0),0)</f>
        <v>0.59</v>
      </c>
      <c r="G7001" s="149" t="n">
        <f aca="false">IF(C7001="M.O.",VLOOKUP(A7001,INSUMOS_AUX!A:F,6,0),0)</f>
        <v>0</v>
      </c>
    </row>
    <row r="7002" customFormat="false" ht="31.5" hidden="false" customHeight="false" outlineLevel="0" collapsed="false">
      <c r="A7002" s="154" t="n">
        <v>11950</v>
      </c>
      <c r="B7002" s="155" t="s">
        <v>1774</v>
      </c>
      <c r="C7002" s="148" t="str">
        <f aca="false">VLOOKUP($A7002,INSUMOS_AUX!$A$3:$H$813,3,0)</f>
        <v>MAT.</v>
      </c>
      <c r="D7002" s="156" t="s">
        <v>31</v>
      </c>
      <c r="E7002" s="154" t="n">
        <v>4</v>
      </c>
      <c r="F7002" s="149" t="n">
        <f aca="false">IF(C7002="MAT.",VLOOKUP(A7002,INSUMOS_AUX!$A$3:$H$813,6,0),0)</f>
        <v>0.26</v>
      </c>
      <c r="G7002" s="149" t="n">
        <f aca="false">IF(C7002="M.O.",VLOOKUP(A7002,INSUMOS_AUX!A:F,6,0),0)</f>
        <v>0</v>
      </c>
    </row>
    <row r="7003" customFormat="false" ht="15" hidden="false" customHeight="false" outlineLevel="0" collapsed="false">
      <c r="A7003" s="154" t="s">
        <v>2729</v>
      </c>
      <c r="B7003" s="155" t="s">
        <v>2730</v>
      </c>
      <c r="C7003" s="148" t="str">
        <f aca="false">VLOOKUP($A7003,INSUMOS_AUX!$A$3:$H$813,3,0)</f>
        <v>MAT.</v>
      </c>
      <c r="D7003" s="156" t="s">
        <v>31</v>
      </c>
      <c r="E7003" s="154" t="n">
        <v>1</v>
      </c>
      <c r="F7003" s="149" t="n">
        <f aca="false">IF(C7003="MAT.",VLOOKUP(A7003,INSUMOS_AUX!$A$3:$H$813,6,0),0)</f>
        <v>1543.35333333333</v>
      </c>
      <c r="G7003" s="149" t="n">
        <f aca="false">IF(C7003="M.O.",VLOOKUP(A7003,INSUMOS_AUX!A:F,6,0),0)</f>
        <v>0</v>
      </c>
    </row>
    <row r="7004" customFormat="false" ht="15" hidden="false" customHeight="false" outlineLevel="0" collapsed="false">
      <c r="A7004" s="154" t="n">
        <v>247</v>
      </c>
      <c r="B7004" s="155" t="s">
        <v>1554</v>
      </c>
      <c r="C7004" s="148" t="str">
        <f aca="false">VLOOKUP($A7004,INSUMOS_AUX!$A$3:$H$813,3,0)</f>
        <v>M.O.</v>
      </c>
      <c r="D7004" s="156" t="s">
        <v>1444</v>
      </c>
      <c r="E7004" s="154" t="n">
        <v>1.456086084</v>
      </c>
      <c r="F7004" s="149" t="n">
        <f aca="false">IF(C7004="MAT.",VLOOKUP(A7004,INSUMOS_AUX!$A$3:$H$813,6,0),0)</f>
        <v>0</v>
      </c>
      <c r="G7004" s="149" t="n">
        <f aca="false">IF(C7004="M.O.",VLOOKUP(A7004,INSUMOS_AUX!A:F,6,0),0)</f>
        <v>13.26</v>
      </c>
    </row>
    <row r="7005" customFormat="false" ht="15" hidden="false" customHeight="false" outlineLevel="0" collapsed="false">
      <c r="A7005" s="154" t="n">
        <v>2436</v>
      </c>
      <c r="B7005" s="155" t="s">
        <v>1557</v>
      </c>
      <c r="C7005" s="148" t="str">
        <f aca="false">VLOOKUP($A7005,INSUMOS_AUX!$A$3:$H$813,3,0)</f>
        <v>M.O.</v>
      </c>
      <c r="D7005" s="156" t="s">
        <v>1444</v>
      </c>
      <c r="E7005" s="154" t="n">
        <v>1.456086084</v>
      </c>
      <c r="F7005" s="149" t="n">
        <f aca="false">IF(C7005="MAT.",VLOOKUP(A7005,INSUMOS_AUX!$A$3:$H$813,6,0),0)</f>
        <v>0</v>
      </c>
      <c r="G7005" s="149" t="n">
        <f aca="false">IF(C7005="M.O.",VLOOKUP(A7005,INSUMOS_AUX!A:F,6,0),0)</f>
        <v>20.22</v>
      </c>
    </row>
    <row r="7006" customFormat="false" ht="21" hidden="false" customHeight="false" outlineLevel="0" collapsed="false">
      <c r="A7006" s="150" t="s">
        <v>1199</v>
      </c>
      <c r="B7006" s="151" t="s">
        <v>2731</v>
      </c>
      <c r="C7006" s="152" t="s">
        <v>59</v>
      </c>
      <c r="D7006" s="152" t="s">
        <v>31</v>
      </c>
      <c r="E7006" s="150"/>
      <c r="F7006" s="153" t="n">
        <f aca="false">(SUMPRODUCT($E7007:$E7015,F7007:F7015))*1</f>
        <v>853.136666666667</v>
      </c>
      <c r="G7006" s="153" t="n">
        <f aca="false">(SUMPRODUCT($E7007:$E7015,G7007:G7015))*1</f>
        <v>20.9746104</v>
      </c>
    </row>
    <row r="7007" customFormat="false" ht="21" hidden="false" customHeight="false" outlineLevel="0" collapsed="false">
      <c r="A7007" s="154" t="n">
        <v>37370</v>
      </c>
      <c r="B7007" s="155" t="s">
        <v>1443</v>
      </c>
      <c r="C7007" s="148" t="str">
        <f aca="false">VLOOKUP($A7007,INSUMOS_AUX!$A$3:$H$813,3,0)</f>
        <v>MAT.</v>
      </c>
      <c r="D7007" s="156" t="s">
        <v>1444</v>
      </c>
      <c r="E7007" s="154" t="n">
        <v>2</v>
      </c>
      <c r="F7007" s="149" t="n">
        <f aca="false">IF(C7007="MAT.",VLOOKUP(A7007,INSUMOS_AUX!$A$3:$H$813,6,0),0)</f>
        <v>3.32</v>
      </c>
      <c r="G7007" s="149" t="n">
        <f aca="false">IF(C7007="M.O.",VLOOKUP(A7007,INSUMOS_AUX!A:F,6,0),0)</f>
        <v>0</v>
      </c>
    </row>
    <row r="7008" customFormat="false" ht="21" hidden="false" customHeight="false" outlineLevel="0" collapsed="false">
      <c r="A7008" s="154" t="n">
        <v>43484</v>
      </c>
      <c r="B7008" s="155" t="s">
        <v>1523</v>
      </c>
      <c r="C7008" s="148" t="str">
        <f aca="false">VLOOKUP($A7008,INSUMOS_AUX!$A$3:$H$813,3,0)</f>
        <v>MAT.</v>
      </c>
      <c r="D7008" s="156" t="s">
        <v>1444</v>
      </c>
      <c r="E7008" s="154" t="n">
        <v>2</v>
      </c>
      <c r="F7008" s="149" t="n">
        <f aca="false">IF(C7008="MAT.",VLOOKUP(A7008,INSUMOS_AUX!$A$3:$H$813,6,0),0)</f>
        <v>1.26</v>
      </c>
      <c r="G7008" s="149" t="n">
        <f aca="false">IF(C7008="M.O.",VLOOKUP(A7008,INSUMOS_AUX!A:F,6,0),0)</f>
        <v>0</v>
      </c>
    </row>
    <row r="7009" customFormat="false" ht="21" hidden="false" customHeight="false" outlineLevel="0" collapsed="false">
      <c r="A7009" s="154" t="n">
        <v>37372</v>
      </c>
      <c r="B7009" s="155" t="s">
        <v>1446</v>
      </c>
      <c r="C7009" s="148" t="str">
        <f aca="false">VLOOKUP($A7009,INSUMOS_AUX!$A$3:$H$813,3,0)</f>
        <v>MAT.</v>
      </c>
      <c r="D7009" s="156" t="s">
        <v>1444</v>
      </c>
      <c r="E7009" s="154" t="n">
        <v>2</v>
      </c>
      <c r="F7009" s="149" t="n">
        <f aca="false">IF(C7009="MAT.",VLOOKUP(A7009,INSUMOS_AUX!$A$3:$H$813,6,0),0)</f>
        <v>1.43</v>
      </c>
      <c r="G7009" s="149" t="n">
        <f aca="false">IF(C7009="M.O.",VLOOKUP(A7009,INSUMOS_AUX!A:F,6,0),0)</f>
        <v>0</v>
      </c>
    </row>
    <row r="7010" customFormat="false" ht="21" hidden="false" customHeight="false" outlineLevel="0" collapsed="false">
      <c r="A7010" s="154" t="n">
        <v>43460</v>
      </c>
      <c r="B7010" s="155" t="s">
        <v>1524</v>
      </c>
      <c r="C7010" s="148" t="str">
        <f aca="false">VLOOKUP($A7010,INSUMOS_AUX!$A$3:$H$813,3,0)</f>
        <v>MAT.</v>
      </c>
      <c r="D7010" s="156" t="s">
        <v>1444</v>
      </c>
      <c r="E7010" s="154" t="n">
        <v>2</v>
      </c>
      <c r="F7010" s="149" t="n">
        <f aca="false">IF(C7010="MAT.",VLOOKUP(A7010,INSUMOS_AUX!$A$3:$H$813,6,0),0)</f>
        <v>0.86</v>
      </c>
      <c r="G7010" s="149" t="n">
        <f aca="false">IF(C7010="M.O.",VLOOKUP(A7010,INSUMOS_AUX!A:F,6,0),0)</f>
        <v>0</v>
      </c>
    </row>
    <row r="7011" customFormat="false" ht="21" hidden="false" customHeight="false" outlineLevel="0" collapsed="false">
      <c r="A7011" s="154" t="n">
        <v>37373</v>
      </c>
      <c r="B7011" s="155" t="s">
        <v>1448</v>
      </c>
      <c r="C7011" s="148" t="str">
        <f aca="false">VLOOKUP($A7011,INSUMOS_AUX!$A$3:$H$813,3,0)</f>
        <v>MAT.</v>
      </c>
      <c r="D7011" s="156" t="s">
        <v>1444</v>
      </c>
      <c r="E7011" s="154" t="n">
        <v>2</v>
      </c>
      <c r="F7011" s="149" t="n">
        <f aca="false">IF(C7011="MAT.",VLOOKUP(A7011,INSUMOS_AUX!$A$3:$H$813,6,0),0)</f>
        <v>0.08</v>
      </c>
      <c r="G7011" s="149" t="n">
        <f aca="false">IF(C7011="M.O.",VLOOKUP(A7011,INSUMOS_AUX!A:F,6,0),0)</f>
        <v>0</v>
      </c>
    </row>
    <row r="7012" customFormat="false" ht="21" hidden="false" customHeight="false" outlineLevel="0" collapsed="false">
      <c r="A7012" s="154" t="n">
        <v>37371</v>
      </c>
      <c r="B7012" s="155" t="s">
        <v>1449</v>
      </c>
      <c r="C7012" s="148" t="str">
        <f aca="false">VLOOKUP($A7012,INSUMOS_AUX!$A$3:$H$813,3,0)</f>
        <v>MAT.</v>
      </c>
      <c r="D7012" s="156" t="s">
        <v>1444</v>
      </c>
      <c r="E7012" s="154" t="n">
        <v>2</v>
      </c>
      <c r="F7012" s="149" t="n">
        <f aca="false">IF(C7012="MAT.",VLOOKUP(A7012,INSUMOS_AUX!$A$3:$H$813,6,0),0)</f>
        <v>0.59</v>
      </c>
      <c r="G7012" s="149" t="n">
        <f aca="false">IF(C7012="M.O.",VLOOKUP(A7012,INSUMOS_AUX!A:F,6,0),0)</f>
        <v>0</v>
      </c>
    </row>
    <row r="7013" customFormat="false" ht="15" hidden="false" customHeight="false" outlineLevel="0" collapsed="false">
      <c r="A7013" s="154" t="s">
        <v>2732</v>
      </c>
      <c r="B7013" s="155" t="s">
        <v>2733</v>
      </c>
      <c r="C7013" s="148" t="str">
        <f aca="false">VLOOKUP($A7013,INSUMOS_AUX!$A$3:$H$813,3,0)</f>
        <v>MAT.</v>
      </c>
      <c r="D7013" s="156" t="s">
        <v>31</v>
      </c>
      <c r="E7013" s="154" t="n">
        <v>1</v>
      </c>
      <c r="F7013" s="149" t="n">
        <f aca="false">IF(C7013="MAT.",VLOOKUP(A7013,INSUMOS_AUX!$A$3:$H$813,6,0),0)</f>
        <v>838.056666666667</v>
      </c>
      <c r="G7013" s="149" t="n">
        <f aca="false">IF(C7013="M.O.",VLOOKUP(A7013,INSUMOS_AUX!A:F,6,0),0)</f>
        <v>0</v>
      </c>
    </row>
    <row r="7014" customFormat="false" ht="15" hidden="false" customHeight="false" outlineLevel="0" collapsed="false">
      <c r="A7014" s="154" t="n">
        <v>247</v>
      </c>
      <c r="B7014" s="155" t="s">
        <v>1554</v>
      </c>
      <c r="C7014" s="148" t="s">
        <v>59</v>
      </c>
      <c r="D7014" s="156" t="s">
        <v>1444</v>
      </c>
      <c r="E7014" s="154" t="n">
        <v>1.03732</v>
      </c>
      <c r="F7014" s="149" t="n">
        <f aca="false">IF(C7014="MAT.",VLOOKUP(A7014,INSUMOS_AUX!$A$3:$H$813,6,0),0)</f>
        <v>0</v>
      </c>
      <c r="G7014" s="149" t="n">
        <f aca="false">IF(C7014="M.O.",VLOOKUP(A7014,INSUMOS_AUX!A:F,6,0),0)</f>
        <v>0</v>
      </c>
    </row>
    <row r="7015" customFormat="false" ht="15" hidden="false" customHeight="false" outlineLevel="0" collapsed="false">
      <c r="A7015" s="154" t="n">
        <v>2436</v>
      </c>
      <c r="B7015" s="155" t="s">
        <v>1557</v>
      </c>
      <c r="C7015" s="148" t="str">
        <f aca="false">VLOOKUP($A7015,INSUMOS_AUX!$A$3:$H$813,3,0)</f>
        <v>M.O.</v>
      </c>
      <c r="D7015" s="156" t="s">
        <v>1444</v>
      </c>
      <c r="E7015" s="154" t="n">
        <v>1.03732</v>
      </c>
      <c r="F7015" s="149" t="n">
        <f aca="false">IF(C7015="MAT.",VLOOKUP(A7015,INSUMOS_AUX!$A$3:$H$813,6,0),0)</f>
        <v>0</v>
      </c>
      <c r="G7015" s="149" t="n">
        <f aca="false">IF(C7015="M.O.",VLOOKUP(A7015,INSUMOS_AUX!A:F,6,0),0)</f>
        <v>20.22</v>
      </c>
    </row>
    <row r="7016" customFormat="false" ht="21" hidden="false" customHeight="false" outlineLevel="0" collapsed="false">
      <c r="A7016" s="150" t="s">
        <v>1201</v>
      </c>
      <c r="B7016" s="151" t="s">
        <v>2734</v>
      </c>
      <c r="C7016" s="152" t="s">
        <v>59</v>
      </c>
      <c r="D7016" s="152" t="s">
        <v>31</v>
      </c>
      <c r="E7016" s="150"/>
      <c r="F7016" s="153" t="n">
        <f aca="false">(SUMPRODUCT($E7017:$E7025,F7017:F7025))*1</f>
        <v>113.2</v>
      </c>
      <c r="G7016" s="153" t="n">
        <f aca="false">(SUMPRODUCT($E7017:$E7025,G7017:G7025))*1</f>
        <v>17.3647368</v>
      </c>
    </row>
    <row r="7017" customFormat="false" ht="21" hidden="false" customHeight="false" outlineLevel="0" collapsed="false">
      <c r="A7017" s="154" t="n">
        <v>37370</v>
      </c>
      <c r="B7017" s="155" t="s">
        <v>1443</v>
      </c>
      <c r="C7017" s="148" t="str">
        <f aca="false">VLOOKUP($A7017,INSUMOS_AUX!$A$3:$H$813,3,0)</f>
        <v>MAT.</v>
      </c>
      <c r="D7017" s="156" t="s">
        <v>1444</v>
      </c>
      <c r="E7017" s="154" t="n">
        <v>1</v>
      </c>
      <c r="F7017" s="149" t="n">
        <f aca="false">IF(C7017="MAT.",VLOOKUP(A7017,INSUMOS_AUX!$A$3:$H$813,6,0),0)</f>
        <v>3.32</v>
      </c>
      <c r="G7017" s="149" t="n">
        <f aca="false">IF(C7017="M.O.",VLOOKUP(A7017,INSUMOS_AUX!A:F,6,0),0)</f>
        <v>0</v>
      </c>
    </row>
    <row r="7018" customFormat="false" ht="21" hidden="false" customHeight="false" outlineLevel="0" collapsed="false">
      <c r="A7018" s="154" t="n">
        <v>43484</v>
      </c>
      <c r="B7018" s="155" t="s">
        <v>1523</v>
      </c>
      <c r="C7018" s="148" t="str">
        <f aca="false">VLOOKUP($A7018,INSUMOS_AUX!$A$3:$H$813,3,0)</f>
        <v>MAT.</v>
      </c>
      <c r="D7018" s="156" t="s">
        <v>1444</v>
      </c>
      <c r="E7018" s="154" t="n">
        <v>1</v>
      </c>
      <c r="F7018" s="149" t="n">
        <f aca="false">IF(C7018="MAT.",VLOOKUP(A7018,INSUMOS_AUX!$A$3:$H$813,6,0),0)</f>
        <v>1.26</v>
      </c>
      <c r="G7018" s="149" t="n">
        <f aca="false">IF(C7018="M.O.",VLOOKUP(A7018,INSUMOS_AUX!A:F,6,0),0)</f>
        <v>0</v>
      </c>
    </row>
    <row r="7019" customFormat="false" ht="21" hidden="false" customHeight="false" outlineLevel="0" collapsed="false">
      <c r="A7019" s="154" t="n">
        <v>37372</v>
      </c>
      <c r="B7019" s="155" t="s">
        <v>1446</v>
      </c>
      <c r="C7019" s="148" t="str">
        <f aca="false">VLOOKUP($A7019,INSUMOS_AUX!$A$3:$H$813,3,0)</f>
        <v>MAT.</v>
      </c>
      <c r="D7019" s="156" t="s">
        <v>1444</v>
      </c>
      <c r="E7019" s="154" t="n">
        <v>1</v>
      </c>
      <c r="F7019" s="149" t="n">
        <f aca="false">IF(C7019="MAT.",VLOOKUP(A7019,INSUMOS_AUX!$A$3:$H$813,6,0),0)</f>
        <v>1.43</v>
      </c>
      <c r="G7019" s="149" t="n">
        <f aca="false">IF(C7019="M.O.",VLOOKUP(A7019,INSUMOS_AUX!A:F,6,0),0)</f>
        <v>0</v>
      </c>
    </row>
    <row r="7020" customFormat="false" ht="21" hidden="false" customHeight="false" outlineLevel="0" collapsed="false">
      <c r="A7020" s="154" t="n">
        <v>43460</v>
      </c>
      <c r="B7020" s="155" t="s">
        <v>1524</v>
      </c>
      <c r="C7020" s="148" t="str">
        <f aca="false">VLOOKUP($A7020,INSUMOS_AUX!$A$3:$H$813,3,0)</f>
        <v>MAT.</v>
      </c>
      <c r="D7020" s="156" t="s">
        <v>1444</v>
      </c>
      <c r="E7020" s="154" t="n">
        <v>1</v>
      </c>
      <c r="F7020" s="149" t="n">
        <f aca="false">IF(C7020="MAT.",VLOOKUP(A7020,INSUMOS_AUX!$A$3:$H$813,6,0),0)</f>
        <v>0.86</v>
      </c>
      <c r="G7020" s="149" t="n">
        <f aca="false">IF(C7020="M.O.",VLOOKUP(A7020,INSUMOS_AUX!A:F,6,0),0)</f>
        <v>0</v>
      </c>
    </row>
    <row r="7021" customFormat="false" ht="21" hidden="false" customHeight="false" outlineLevel="0" collapsed="false">
      <c r="A7021" s="154" t="n">
        <v>37373</v>
      </c>
      <c r="B7021" s="155" t="s">
        <v>1448</v>
      </c>
      <c r="C7021" s="148" t="str">
        <f aca="false">VLOOKUP($A7021,INSUMOS_AUX!$A$3:$H$813,3,0)</f>
        <v>MAT.</v>
      </c>
      <c r="D7021" s="156" t="s">
        <v>1444</v>
      </c>
      <c r="E7021" s="154" t="n">
        <v>1</v>
      </c>
      <c r="F7021" s="149" t="n">
        <f aca="false">IF(C7021="MAT.",VLOOKUP(A7021,INSUMOS_AUX!$A$3:$H$813,6,0),0)</f>
        <v>0.08</v>
      </c>
      <c r="G7021" s="149" t="n">
        <f aca="false">IF(C7021="M.O.",VLOOKUP(A7021,INSUMOS_AUX!A:F,6,0),0)</f>
        <v>0</v>
      </c>
    </row>
    <row r="7022" customFormat="false" ht="21" hidden="false" customHeight="false" outlineLevel="0" collapsed="false">
      <c r="A7022" s="154" t="n">
        <v>37371</v>
      </c>
      <c r="B7022" s="155" t="s">
        <v>1449</v>
      </c>
      <c r="C7022" s="148" t="str">
        <f aca="false">VLOOKUP($A7022,INSUMOS_AUX!$A$3:$H$813,3,0)</f>
        <v>MAT.</v>
      </c>
      <c r="D7022" s="156" t="s">
        <v>1444</v>
      </c>
      <c r="E7022" s="154" t="n">
        <v>1</v>
      </c>
      <c r="F7022" s="149" t="n">
        <f aca="false">IF(C7022="MAT.",VLOOKUP(A7022,INSUMOS_AUX!$A$3:$H$813,6,0),0)</f>
        <v>0.59</v>
      </c>
      <c r="G7022" s="149" t="n">
        <f aca="false">IF(C7022="M.O.",VLOOKUP(A7022,INSUMOS_AUX!A:F,6,0),0)</f>
        <v>0</v>
      </c>
    </row>
    <row r="7023" customFormat="false" ht="15" hidden="false" customHeight="false" outlineLevel="0" collapsed="false">
      <c r="A7023" s="154" t="s">
        <v>2735</v>
      </c>
      <c r="B7023" s="155" t="s">
        <v>2736</v>
      </c>
      <c r="C7023" s="148" t="str">
        <f aca="false">VLOOKUP($A7023,INSUMOS_AUX!$A$3:$H$813,3,0)</f>
        <v>MAT.</v>
      </c>
      <c r="D7023" s="156" t="s">
        <v>31</v>
      </c>
      <c r="E7023" s="154" t="n">
        <v>1</v>
      </c>
      <c r="F7023" s="149" t="n">
        <f aca="false">IF(C7023="MAT.",VLOOKUP(A7023,INSUMOS_AUX!$A$3:$H$813,6,0),0)</f>
        <v>105.66</v>
      </c>
      <c r="G7023" s="149" t="n">
        <f aca="false">IF(C7023="M.O.",VLOOKUP(A7023,INSUMOS_AUX!A:F,6,0),0)</f>
        <v>0</v>
      </c>
    </row>
    <row r="7024" customFormat="false" ht="15" hidden="false" customHeight="false" outlineLevel="0" collapsed="false">
      <c r="A7024" s="154" t="n">
        <v>247</v>
      </c>
      <c r="B7024" s="155" t="s">
        <v>1554</v>
      </c>
      <c r="C7024" s="148" t="str">
        <f aca="false">VLOOKUP($A7024,INSUMOS_AUX!$A$3:$H$813,3,0)</f>
        <v>M.O.</v>
      </c>
      <c r="D7024" s="156" t="s">
        <v>1444</v>
      </c>
      <c r="E7024" s="154" t="n">
        <v>0.51866</v>
      </c>
      <c r="F7024" s="149" t="n">
        <f aca="false">IF(C7024="MAT.",VLOOKUP(A7024,INSUMOS_AUX!$A$3:$H$813,6,0),0)</f>
        <v>0</v>
      </c>
      <c r="G7024" s="149" t="n">
        <f aca="false">IF(C7024="M.O.",VLOOKUP(A7024,INSUMOS_AUX!A:F,6,0),0)</f>
        <v>13.26</v>
      </c>
    </row>
    <row r="7025" customFormat="false" ht="15" hidden="false" customHeight="false" outlineLevel="0" collapsed="false">
      <c r="A7025" s="154" t="n">
        <v>2436</v>
      </c>
      <c r="B7025" s="155" t="s">
        <v>1557</v>
      </c>
      <c r="C7025" s="148" t="str">
        <f aca="false">VLOOKUP($A7025,INSUMOS_AUX!$A$3:$H$813,3,0)</f>
        <v>M.O.</v>
      </c>
      <c r="D7025" s="156" t="s">
        <v>1444</v>
      </c>
      <c r="E7025" s="154" t="n">
        <v>0.51866</v>
      </c>
      <c r="F7025" s="149" t="n">
        <f aca="false">IF(C7025="MAT.",VLOOKUP(A7025,INSUMOS_AUX!$A$3:$H$813,6,0),0)</f>
        <v>0</v>
      </c>
      <c r="G7025" s="149" t="n">
        <f aca="false">IF(C7025="M.O.",VLOOKUP(A7025,INSUMOS_AUX!A:F,6,0),0)</f>
        <v>20.22</v>
      </c>
    </row>
    <row r="7026" customFormat="false" ht="21" hidden="false" customHeight="false" outlineLevel="0" collapsed="false">
      <c r="A7026" s="150" t="s">
        <v>1203</v>
      </c>
      <c r="B7026" s="151" t="s">
        <v>2737</v>
      </c>
      <c r="C7026" s="152" t="s">
        <v>59</v>
      </c>
      <c r="D7026" s="152" t="s">
        <v>1854</v>
      </c>
      <c r="E7026" s="150"/>
      <c r="F7026" s="153" t="n">
        <f aca="false">(SUMPRODUCT($E7027:$E7035,F7027:F7035))*1</f>
        <v>139.336</v>
      </c>
      <c r="G7026" s="153" t="n">
        <f aca="false">(SUMPRODUCT($E7027:$E7035,G7027:G7035))*1</f>
        <v>24.31063152</v>
      </c>
    </row>
    <row r="7027" customFormat="false" ht="21" hidden="false" customHeight="false" outlineLevel="0" collapsed="false">
      <c r="A7027" s="154" t="n">
        <v>37370</v>
      </c>
      <c r="B7027" s="155" t="s">
        <v>1443</v>
      </c>
      <c r="C7027" s="148" t="str">
        <f aca="false">VLOOKUP($A7027,INSUMOS_AUX!$A$3:$H$813,3,0)</f>
        <v>MAT.</v>
      </c>
      <c r="D7027" s="156" t="s">
        <v>1444</v>
      </c>
      <c r="E7027" s="154" t="n">
        <v>1.4</v>
      </c>
      <c r="F7027" s="149" t="n">
        <f aca="false">IF(C7027="MAT.",VLOOKUP(A7027,INSUMOS_AUX!$A$3:$H$813,6,0),0)</f>
        <v>3.32</v>
      </c>
      <c r="G7027" s="149" t="n">
        <f aca="false">IF(C7027="M.O.",VLOOKUP(A7027,INSUMOS_AUX!A:F,6,0),0)</f>
        <v>0</v>
      </c>
    </row>
    <row r="7028" customFormat="false" ht="21" hidden="false" customHeight="false" outlineLevel="0" collapsed="false">
      <c r="A7028" s="154" t="n">
        <v>43484</v>
      </c>
      <c r="B7028" s="155" t="s">
        <v>1523</v>
      </c>
      <c r="C7028" s="148" t="str">
        <f aca="false">VLOOKUP($A7028,INSUMOS_AUX!$A$3:$H$813,3,0)</f>
        <v>MAT.</v>
      </c>
      <c r="D7028" s="156" t="s">
        <v>1444</v>
      </c>
      <c r="E7028" s="154" t="n">
        <v>1.4</v>
      </c>
      <c r="F7028" s="149" t="n">
        <f aca="false">IF(C7028="MAT.",VLOOKUP(A7028,INSUMOS_AUX!$A$3:$H$813,6,0),0)</f>
        <v>1.26</v>
      </c>
      <c r="G7028" s="149" t="n">
        <f aca="false">IF(C7028="M.O.",VLOOKUP(A7028,INSUMOS_AUX!A:F,6,0),0)</f>
        <v>0</v>
      </c>
    </row>
    <row r="7029" customFormat="false" ht="21" hidden="false" customHeight="false" outlineLevel="0" collapsed="false">
      <c r="A7029" s="154" t="n">
        <v>37372</v>
      </c>
      <c r="B7029" s="155" t="s">
        <v>1446</v>
      </c>
      <c r="C7029" s="148" t="str">
        <f aca="false">VLOOKUP($A7029,INSUMOS_AUX!$A$3:$H$813,3,0)</f>
        <v>MAT.</v>
      </c>
      <c r="D7029" s="156" t="s">
        <v>1444</v>
      </c>
      <c r="E7029" s="154" t="n">
        <v>1.4</v>
      </c>
      <c r="F7029" s="149" t="n">
        <f aca="false">IF(C7029="MAT.",VLOOKUP(A7029,INSUMOS_AUX!$A$3:$H$813,6,0),0)</f>
        <v>1.43</v>
      </c>
      <c r="G7029" s="149" t="n">
        <f aca="false">IF(C7029="M.O.",VLOOKUP(A7029,INSUMOS_AUX!A:F,6,0),0)</f>
        <v>0</v>
      </c>
    </row>
    <row r="7030" customFormat="false" ht="21" hidden="false" customHeight="false" outlineLevel="0" collapsed="false">
      <c r="A7030" s="154" t="n">
        <v>43460</v>
      </c>
      <c r="B7030" s="155" t="s">
        <v>1524</v>
      </c>
      <c r="C7030" s="148" t="str">
        <f aca="false">VLOOKUP($A7030,INSUMOS_AUX!$A$3:$H$813,3,0)</f>
        <v>MAT.</v>
      </c>
      <c r="D7030" s="156" t="s">
        <v>1444</v>
      </c>
      <c r="E7030" s="154" t="n">
        <v>1.4</v>
      </c>
      <c r="F7030" s="149" t="n">
        <f aca="false">IF(C7030="MAT.",VLOOKUP(A7030,INSUMOS_AUX!$A$3:$H$813,6,0),0)</f>
        <v>0.86</v>
      </c>
      <c r="G7030" s="149" t="n">
        <f aca="false">IF(C7030="M.O.",VLOOKUP(A7030,INSUMOS_AUX!A:F,6,0),0)</f>
        <v>0</v>
      </c>
    </row>
    <row r="7031" customFormat="false" ht="21" hidden="false" customHeight="false" outlineLevel="0" collapsed="false">
      <c r="A7031" s="154" t="n">
        <v>37373</v>
      </c>
      <c r="B7031" s="155" t="s">
        <v>1448</v>
      </c>
      <c r="C7031" s="148" t="str">
        <f aca="false">VLOOKUP($A7031,INSUMOS_AUX!$A$3:$H$813,3,0)</f>
        <v>MAT.</v>
      </c>
      <c r="D7031" s="156" t="s">
        <v>1444</v>
      </c>
      <c r="E7031" s="154" t="n">
        <v>1.4</v>
      </c>
      <c r="F7031" s="149" t="n">
        <f aca="false">IF(C7031="MAT.",VLOOKUP(A7031,INSUMOS_AUX!$A$3:$H$813,6,0),0)</f>
        <v>0.08</v>
      </c>
      <c r="G7031" s="149" t="n">
        <f aca="false">IF(C7031="M.O.",VLOOKUP(A7031,INSUMOS_AUX!A:F,6,0),0)</f>
        <v>0</v>
      </c>
    </row>
    <row r="7032" customFormat="false" ht="21" hidden="false" customHeight="false" outlineLevel="0" collapsed="false">
      <c r="A7032" s="154" t="n">
        <v>37371</v>
      </c>
      <c r="B7032" s="155" t="s">
        <v>1449</v>
      </c>
      <c r="C7032" s="148" t="str">
        <f aca="false">VLOOKUP($A7032,INSUMOS_AUX!$A$3:$H$813,3,0)</f>
        <v>MAT.</v>
      </c>
      <c r="D7032" s="156" t="s">
        <v>1444</v>
      </c>
      <c r="E7032" s="154" t="n">
        <v>1.4</v>
      </c>
      <c r="F7032" s="149" t="n">
        <f aca="false">IF(C7032="MAT.",VLOOKUP(A7032,INSUMOS_AUX!$A$3:$H$813,6,0),0)</f>
        <v>0.59</v>
      </c>
      <c r="G7032" s="149" t="n">
        <f aca="false">IF(C7032="M.O.",VLOOKUP(A7032,INSUMOS_AUX!A:F,6,0),0)</f>
        <v>0</v>
      </c>
    </row>
    <row r="7033" customFormat="false" ht="15" hidden="false" customHeight="false" outlineLevel="0" collapsed="false">
      <c r="A7033" s="154" t="s">
        <v>2738</v>
      </c>
      <c r="B7033" s="155" t="s">
        <v>2739</v>
      </c>
      <c r="C7033" s="148" t="str">
        <f aca="false">VLOOKUP($A7033,INSUMOS_AUX!$A$3:$H$813,3,0)</f>
        <v>MAT.</v>
      </c>
      <c r="D7033" s="156" t="s">
        <v>31</v>
      </c>
      <c r="E7033" s="154" t="n">
        <v>1</v>
      </c>
      <c r="F7033" s="149" t="n">
        <f aca="false">IF(C7033="MAT.",VLOOKUP(A7033,INSUMOS_AUX!$A$3:$H$813,6,0),0)</f>
        <v>128.78</v>
      </c>
      <c r="G7033" s="149" t="n">
        <f aca="false">IF(C7033="M.O.",VLOOKUP(A7033,INSUMOS_AUX!A:F,6,0),0)</f>
        <v>0</v>
      </c>
    </row>
    <row r="7034" customFormat="false" ht="15" hidden="false" customHeight="false" outlineLevel="0" collapsed="false">
      <c r="A7034" s="154" t="n">
        <v>247</v>
      </c>
      <c r="B7034" s="155" t="s">
        <v>1554</v>
      </c>
      <c r="C7034" s="148" t="str">
        <f aca="false">VLOOKUP($A7034,INSUMOS_AUX!$A$3:$H$813,3,0)</f>
        <v>M.O.</v>
      </c>
      <c r="D7034" s="156" t="s">
        <v>1444</v>
      </c>
      <c r="E7034" s="154" t="n">
        <v>0.726124</v>
      </c>
      <c r="F7034" s="149" t="n">
        <f aca="false">IF(C7034="MAT.",VLOOKUP(A7034,INSUMOS_AUX!$A$3:$H$813,6,0),0)</f>
        <v>0</v>
      </c>
      <c r="G7034" s="149" t="n">
        <f aca="false">IF(C7034="M.O.",VLOOKUP(A7034,INSUMOS_AUX!A:F,6,0),0)</f>
        <v>13.26</v>
      </c>
    </row>
    <row r="7035" customFormat="false" ht="15" hidden="false" customHeight="false" outlineLevel="0" collapsed="false">
      <c r="A7035" s="154" t="n">
        <v>2436</v>
      </c>
      <c r="B7035" s="155" t="s">
        <v>1557</v>
      </c>
      <c r="C7035" s="148" t="str">
        <f aca="false">VLOOKUP($A7035,INSUMOS_AUX!$A$3:$H$813,3,0)</f>
        <v>M.O.</v>
      </c>
      <c r="D7035" s="156" t="s">
        <v>1444</v>
      </c>
      <c r="E7035" s="154" t="n">
        <v>0.726124</v>
      </c>
      <c r="F7035" s="149" t="n">
        <f aca="false">IF(C7035="MAT.",VLOOKUP(A7035,INSUMOS_AUX!$A$3:$H$813,6,0),0)</f>
        <v>0</v>
      </c>
      <c r="G7035" s="149" t="n">
        <f aca="false">IF(C7035="M.O.",VLOOKUP(A7035,INSUMOS_AUX!A:F,6,0),0)</f>
        <v>20.22</v>
      </c>
    </row>
    <row r="7036" customFormat="false" ht="21" hidden="false" customHeight="false" outlineLevel="0" collapsed="false">
      <c r="A7036" s="150" t="s">
        <v>1205</v>
      </c>
      <c r="B7036" s="151" t="s">
        <v>2740</v>
      </c>
      <c r="C7036" s="152" t="s">
        <v>59</v>
      </c>
      <c r="D7036" s="152" t="s">
        <v>1854</v>
      </c>
      <c r="E7036" s="150"/>
      <c r="F7036" s="153" t="n">
        <f aca="false">(SUMPRODUCT($E7037:$E7045,F7037:F7045))*1</f>
        <v>149.946666666667</v>
      </c>
      <c r="G7036" s="153" t="n">
        <f aca="false">(SUMPRODUCT($E7037:$E7045,G7037:G7045))*1</f>
        <v>17.3647368</v>
      </c>
    </row>
    <row r="7037" customFormat="false" ht="21" hidden="false" customHeight="false" outlineLevel="0" collapsed="false">
      <c r="A7037" s="154" t="n">
        <v>37370</v>
      </c>
      <c r="B7037" s="155" t="s">
        <v>1443</v>
      </c>
      <c r="C7037" s="148" t="str">
        <f aca="false">VLOOKUP($A7037,INSUMOS_AUX!$A$3:$H$813,3,0)</f>
        <v>MAT.</v>
      </c>
      <c r="D7037" s="156" t="s">
        <v>1444</v>
      </c>
      <c r="E7037" s="154" t="n">
        <v>1</v>
      </c>
      <c r="F7037" s="149" t="n">
        <f aca="false">IF(C7037="MAT.",VLOOKUP(A7037,INSUMOS_AUX!$A$3:$H$813,6,0),0)</f>
        <v>3.32</v>
      </c>
      <c r="G7037" s="149" t="n">
        <f aca="false">IF(C7037="M.O.",VLOOKUP(A7037,INSUMOS_AUX!A:F,6,0),0)</f>
        <v>0</v>
      </c>
    </row>
    <row r="7038" customFormat="false" ht="21" hidden="false" customHeight="false" outlineLevel="0" collapsed="false">
      <c r="A7038" s="154" t="n">
        <v>43484</v>
      </c>
      <c r="B7038" s="155" t="s">
        <v>1523</v>
      </c>
      <c r="C7038" s="148" t="s">
        <v>59</v>
      </c>
      <c r="D7038" s="156" t="s">
        <v>1444</v>
      </c>
      <c r="E7038" s="154" t="n">
        <v>1</v>
      </c>
      <c r="F7038" s="149" t="n">
        <f aca="false">IF(C7038="MAT.",VLOOKUP(A7038,INSUMOS_AUX!$A$3:$H$813,6,0),0)</f>
        <v>0</v>
      </c>
      <c r="G7038" s="149" t="n">
        <f aca="false">IF(C7038="M.O.",VLOOKUP(A7038,INSUMOS_AUX!A:F,6,0),0)</f>
        <v>0</v>
      </c>
    </row>
    <row r="7039" customFormat="false" ht="21" hidden="false" customHeight="false" outlineLevel="0" collapsed="false">
      <c r="A7039" s="154" t="n">
        <v>37372</v>
      </c>
      <c r="B7039" s="155" t="s">
        <v>1446</v>
      </c>
      <c r="C7039" s="148" t="str">
        <f aca="false">VLOOKUP($A7039,INSUMOS_AUX!$A$3:$H$813,3,0)</f>
        <v>MAT.</v>
      </c>
      <c r="D7039" s="156" t="s">
        <v>1444</v>
      </c>
      <c r="E7039" s="154" t="n">
        <v>1</v>
      </c>
      <c r="F7039" s="149" t="n">
        <f aca="false">IF(C7039="MAT.",VLOOKUP(A7039,INSUMOS_AUX!$A$3:$H$813,6,0),0)</f>
        <v>1.43</v>
      </c>
      <c r="G7039" s="149" t="n">
        <f aca="false">IF(C7039="M.O.",VLOOKUP(A7039,INSUMOS_AUX!A:F,6,0),0)</f>
        <v>0</v>
      </c>
    </row>
    <row r="7040" customFormat="false" ht="21" hidden="false" customHeight="false" outlineLevel="0" collapsed="false">
      <c r="A7040" s="154" t="n">
        <v>43460</v>
      </c>
      <c r="B7040" s="155" t="s">
        <v>1524</v>
      </c>
      <c r="C7040" s="148" t="str">
        <f aca="false">VLOOKUP($A7040,INSUMOS_AUX!$A$3:$H$813,3,0)</f>
        <v>MAT.</v>
      </c>
      <c r="D7040" s="156" t="s">
        <v>1444</v>
      </c>
      <c r="E7040" s="154" t="n">
        <v>1</v>
      </c>
      <c r="F7040" s="149" t="n">
        <f aca="false">IF(C7040="MAT.",VLOOKUP(A7040,INSUMOS_AUX!$A$3:$H$813,6,0),0)</f>
        <v>0.86</v>
      </c>
      <c r="G7040" s="149" t="n">
        <f aca="false">IF(C7040="M.O.",VLOOKUP(A7040,INSUMOS_AUX!A:F,6,0),0)</f>
        <v>0</v>
      </c>
    </row>
    <row r="7041" customFormat="false" ht="21" hidden="false" customHeight="false" outlineLevel="0" collapsed="false">
      <c r="A7041" s="154" t="n">
        <v>37373</v>
      </c>
      <c r="B7041" s="155" t="s">
        <v>1448</v>
      </c>
      <c r="C7041" s="148" t="str">
        <f aca="false">VLOOKUP($A7041,INSUMOS_AUX!$A$3:$H$813,3,0)</f>
        <v>MAT.</v>
      </c>
      <c r="D7041" s="156" t="s">
        <v>1444</v>
      </c>
      <c r="E7041" s="154" t="n">
        <v>1</v>
      </c>
      <c r="F7041" s="149" t="n">
        <f aca="false">IF(C7041="MAT.",VLOOKUP(A7041,INSUMOS_AUX!$A$3:$H$813,6,0),0)</f>
        <v>0.08</v>
      </c>
      <c r="G7041" s="149" t="n">
        <f aca="false">IF(C7041="M.O.",VLOOKUP(A7041,INSUMOS_AUX!A:F,6,0),0)</f>
        <v>0</v>
      </c>
    </row>
    <row r="7042" customFormat="false" ht="21" hidden="false" customHeight="false" outlineLevel="0" collapsed="false">
      <c r="A7042" s="154" t="n">
        <v>37371</v>
      </c>
      <c r="B7042" s="155" t="s">
        <v>1449</v>
      </c>
      <c r="C7042" s="148" t="str">
        <f aca="false">VLOOKUP($A7042,INSUMOS_AUX!$A$3:$H$813,3,0)</f>
        <v>MAT.</v>
      </c>
      <c r="D7042" s="156" t="s">
        <v>1444</v>
      </c>
      <c r="E7042" s="154" t="n">
        <v>1</v>
      </c>
      <c r="F7042" s="149" t="n">
        <f aca="false">IF(C7042="MAT.",VLOOKUP(A7042,INSUMOS_AUX!$A$3:$H$813,6,0),0)</f>
        <v>0.59</v>
      </c>
      <c r="G7042" s="149" t="n">
        <f aca="false">IF(C7042="M.O.",VLOOKUP(A7042,INSUMOS_AUX!A:F,6,0),0)</f>
        <v>0</v>
      </c>
    </row>
    <row r="7043" customFormat="false" ht="15" hidden="false" customHeight="false" outlineLevel="0" collapsed="false">
      <c r="A7043" s="154" t="s">
        <v>2741</v>
      </c>
      <c r="B7043" s="155" t="s">
        <v>2742</v>
      </c>
      <c r="C7043" s="148" t="str">
        <f aca="false">VLOOKUP($A7043,INSUMOS_AUX!$A$3:$H$813,3,0)</f>
        <v>MAT.</v>
      </c>
      <c r="D7043" s="156" t="s">
        <v>31</v>
      </c>
      <c r="E7043" s="154" t="n">
        <v>1</v>
      </c>
      <c r="F7043" s="149" t="n">
        <f aca="false">IF(C7043="MAT.",VLOOKUP(A7043,INSUMOS_AUX!$A$3:$H$813,6,0),0)</f>
        <v>143.666666666667</v>
      </c>
      <c r="G7043" s="149" t="n">
        <f aca="false">IF(C7043="M.O.",VLOOKUP(A7043,INSUMOS_AUX!A:F,6,0),0)</f>
        <v>0</v>
      </c>
    </row>
    <row r="7044" customFormat="false" ht="15" hidden="false" customHeight="false" outlineLevel="0" collapsed="false">
      <c r="A7044" s="154" t="n">
        <v>247</v>
      </c>
      <c r="B7044" s="155" t="s">
        <v>1554</v>
      </c>
      <c r="C7044" s="148" t="str">
        <f aca="false">VLOOKUP($A7044,INSUMOS_AUX!$A$3:$H$813,3,0)</f>
        <v>M.O.</v>
      </c>
      <c r="D7044" s="156" t="s">
        <v>1444</v>
      </c>
      <c r="E7044" s="154" t="n">
        <v>0.51866</v>
      </c>
      <c r="F7044" s="149" t="n">
        <f aca="false">IF(C7044="MAT.",VLOOKUP(A7044,INSUMOS_AUX!$A$3:$H$813,6,0),0)</f>
        <v>0</v>
      </c>
      <c r="G7044" s="149" t="n">
        <f aca="false">IF(C7044="M.O.",VLOOKUP(A7044,INSUMOS_AUX!A:F,6,0),0)</f>
        <v>13.26</v>
      </c>
    </row>
    <row r="7045" customFormat="false" ht="15" hidden="false" customHeight="false" outlineLevel="0" collapsed="false">
      <c r="A7045" s="154" t="n">
        <v>2436</v>
      </c>
      <c r="B7045" s="155" t="s">
        <v>1557</v>
      </c>
      <c r="C7045" s="148" t="str">
        <f aca="false">VLOOKUP($A7045,INSUMOS_AUX!$A$3:$H$813,3,0)</f>
        <v>M.O.</v>
      </c>
      <c r="D7045" s="156" t="s">
        <v>1444</v>
      </c>
      <c r="E7045" s="154" t="n">
        <v>0.51866</v>
      </c>
      <c r="F7045" s="149" t="n">
        <f aca="false">IF(C7045="MAT.",VLOOKUP(A7045,INSUMOS_AUX!$A$3:$H$813,6,0),0)</f>
        <v>0</v>
      </c>
      <c r="G7045" s="149" t="n">
        <f aca="false">IF(C7045="M.O.",VLOOKUP(A7045,INSUMOS_AUX!A:F,6,0),0)</f>
        <v>20.22</v>
      </c>
    </row>
    <row r="7046" customFormat="false" ht="31.5" hidden="false" customHeight="false" outlineLevel="0" collapsed="false">
      <c r="A7046" s="150" t="n">
        <v>91863</v>
      </c>
      <c r="B7046" s="151" t="s">
        <v>2743</v>
      </c>
      <c r="C7046" s="152" t="s">
        <v>59</v>
      </c>
      <c r="D7046" s="152" t="s">
        <v>1455</v>
      </c>
      <c r="E7046" s="150"/>
      <c r="F7046" s="153" t="n">
        <f aca="false">(SUMPRODUCT($E7047:$E7055,F7047:F7055))*1</f>
        <v>5.6375</v>
      </c>
      <c r="G7046" s="153" t="n">
        <f aca="false">(SUMPRODUCT($E7047:$E7055,G7047:G7055))*1</f>
        <v>4.1328073584</v>
      </c>
    </row>
    <row r="7047" customFormat="false" ht="21" hidden="false" customHeight="false" outlineLevel="0" collapsed="false">
      <c r="A7047" s="154" t="n">
        <v>37370</v>
      </c>
      <c r="B7047" s="155" t="s">
        <v>1443</v>
      </c>
      <c r="C7047" s="148" t="str">
        <f aca="false">VLOOKUP($A7047,INSUMOS_AUX!$A$3:$H$813,3,0)</f>
        <v>MAT.</v>
      </c>
      <c r="D7047" s="156" t="s">
        <v>1444</v>
      </c>
      <c r="E7047" s="154" t="n">
        <v>0.238</v>
      </c>
      <c r="F7047" s="149" t="n">
        <f aca="false">IF(C7047="MAT.",VLOOKUP(A7047,INSUMOS_AUX!$A$3:$H$813,6,0),0)</f>
        <v>3.32</v>
      </c>
      <c r="G7047" s="149" t="n">
        <f aca="false">IF(C7047="M.O.",VLOOKUP(A7047,INSUMOS_AUX!A:F,6,0),0)</f>
        <v>0</v>
      </c>
    </row>
    <row r="7048" customFormat="false" ht="21" hidden="false" customHeight="false" outlineLevel="0" collapsed="false">
      <c r="A7048" s="154" t="n">
        <v>43484</v>
      </c>
      <c r="B7048" s="155" t="s">
        <v>1523</v>
      </c>
      <c r="C7048" s="148" t="str">
        <f aca="false">VLOOKUP($A7048,INSUMOS_AUX!$A$3:$H$813,3,0)</f>
        <v>MAT.</v>
      </c>
      <c r="D7048" s="156" t="s">
        <v>1444</v>
      </c>
      <c r="E7048" s="154" t="n">
        <v>0.238</v>
      </c>
      <c r="F7048" s="149" t="n">
        <f aca="false">IF(C7048="MAT.",VLOOKUP(A7048,INSUMOS_AUX!$A$3:$H$813,6,0),0)</f>
        <v>1.26</v>
      </c>
      <c r="G7048" s="149" t="n">
        <f aca="false">IF(C7048="M.O.",VLOOKUP(A7048,INSUMOS_AUX!A:F,6,0),0)</f>
        <v>0</v>
      </c>
    </row>
    <row r="7049" customFormat="false" ht="21" hidden="false" customHeight="false" outlineLevel="0" collapsed="false">
      <c r="A7049" s="154" t="n">
        <v>37372</v>
      </c>
      <c r="B7049" s="155" t="s">
        <v>1446</v>
      </c>
      <c r="C7049" s="148" t="str">
        <f aca="false">VLOOKUP($A7049,INSUMOS_AUX!$A$3:$H$813,3,0)</f>
        <v>MAT.</v>
      </c>
      <c r="D7049" s="156" t="s">
        <v>1444</v>
      </c>
      <c r="E7049" s="154" t="n">
        <v>0.238</v>
      </c>
      <c r="F7049" s="149" t="n">
        <f aca="false">IF(C7049="MAT.",VLOOKUP(A7049,INSUMOS_AUX!$A$3:$H$813,6,0),0)</f>
        <v>1.43</v>
      </c>
      <c r="G7049" s="149" t="n">
        <f aca="false">IF(C7049="M.O.",VLOOKUP(A7049,INSUMOS_AUX!A:F,6,0),0)</f>
        <v>0</v>
      </c>
    </row>
    <row r="7050" customFormat="false" ht="21" hidden="false" customHeight="false" outlineLevel="0" collapsed="false">
      <c r="A7050" s="154" t="n">
        <v>43460</v>
      </c>
      <c r="B7050" s="155" t="s">
        <v>1524</v>
      </c>
      <c r="C7050" s="148" t="s">
        <v>59</v>
      </c>
      <c r="D7050" s="156" t="s">
        <v>1444</v>
      </c>
      <c r="E7050" s="154" t="n">
        <v>0.238</v>
      </c>
      <c r="F7050" s="149" t="n">
        <f aca="false">IF(C7050="MAT.",VLOOKUP(A7050,INSUMOS_AUX!$A$3:$H$813,6,0),0)</f>
        <v>0</v>
      </c>
      <c r="G7050" s="149" t="n">
        <f aca="false">IF(C7050="M.O.",VLOOKUP(A7050,INSUMOS_AUX!A:F,6,0),0)</f>
        <v>0</v>
      </c>
    </row>
    <row r="7051" customFormat="false" ht="21" hidden="false" customHeight="false" outlineLevel="0" collapsed="false">
      <c r="A7051" s="154" t="n">
        <v>37373</v>
      </c>
      <c r="B7051" s="155" t="s">
        <v>1448</v>
      </c>
      <c r="C7051" s="148" t="str">
        <f aca="false">VLOOKUP($A7051,INSUMOS_AUX!$A$3:$H$813,3,0)</f>
        <v>MAT.</v>
      </c>
      <c r="D7051" s="156" t="s">
        <v>1444</v>
      </c>
      <c r="E7051" s="154" t="n">
        <v>0.238</v>
      </c>
      <c r="F7051" s="149" t="n">
        <f aca="false">IF(C7051="MAT.",VLOOKUP(A7051,INSUMOS_AUX!$A$3:$H$813,6,0),0)</f>
        <v>0.08</v>
      </c>
      <c r="G7051" s="149" t="n">
        <f aca="false">IF(C7051="M.O.",VLOOKUP(A7051,INSUMOS_AUX!A:F,6,0),0)</f>
        <v>0</v>
      </c>
    </row>
    <row r="7052" customFormat="false" ht="21" hidden="false" customHeight="false" outlineLevel="0" collapsed="false">
      <c r="A7052" s="154" t="n">
        <v>37371</v>
      </c>
      <c r="B7052" s="155" t="s">
        <v>1449</v>
      </c>
      <c r="C7052" s="148" t="str">
        <f aca="false">VLOOKUP($A7052,INSUMOS_AUX!$A$3:$H$813,3,0)</f>
        <v>MAT.</v>
      </c>
      <c r="D7052" s="156" t="s">
        <v>1444</v>
      </c>
      <c r="E7052" s="154" t="n">
        <v>0.238</v>
      </c>
      <c r="F7052" s="149" t="n">
        <f aca="false">IF(C7052="MAT.",VLOOKUP(A7052,INSUMOS_AUX!$A$3:$H$813,6,0),0)</f>
        <v>0.59</v>
      </c>
      <c r="G7052" s="149" t="n">
        <f aca="false">IF(C7052="M.O.",VLOOKUP(A7052,INSUMOS_AUX!A:F,6,0),0)</f>
        <v>0</v>
      </c>
    </row>
    <row r="7053" customFormat="false" ht="15" hidden="false" customHeight="false" outlineLevel="0" collapsed="false">
      <c r="A7053" s="154" t="n">
        <v>2674</v>
      </c>
      <c r="B7053" s="155" t="s">
        <v>1540</v>
      </c>
      <c r="C7053" s="148" t="str">
        <f aca="false">VLOOKUP($A7053,INSUMOS_AUX!$A$3:$H$813,3,0)</f>
        <v>MAT.</v>
      </c>
      <c r="D7053" s="156" t="s">
        <v>1455</v>
      </c>
      <c r="E7053" s="154" t="n">
        <v>1.017</v>
      </c>
      <c r="F7053" s="149" t="n">
        <f aca="false">IF(C7053="MAT.",VLOOKUP(A7053,INSUMOS_AUX!$A$3:$H$813,6,0),0)</f>
        <v>3.98</v>
      </c>
      <c r="G7053" s="149" t="n">
        <f aca="false">IF(C7053="M.O.",VLOOKUP(A7053,INSUMOS_AUX!A:F,6,0),0)</f>
        <v>0</v>
      </c>
    </row>
    <row r="7054" customFormat="false" ht="15" hidden="false" customHeight="false" outlineLevel="0" collapsed="false">
      <c r="A7054" s="154" t="n">
        <v>247</v>
      </c>
      <c r="B7054" s="155" t="s">
        <v>1554</v>
      </c>
      <c r="C7054" s="148" t="str">
        <f aca="false">VLOOKUP($A7054,INSUMOS_AUX!$A$3:$H$813,3,0)</f>
        <v>M.O.</v>
      </c>
      <c r="D7054" s="156" t="s">
        <v>1444</v>
      </c>
      <c r="E7054" s="154" t="n">
        <v>0.12344108</v>
      </c>
      <c r="F7054" s="149" t="n">
        <f aca="false">IF(C7054="MAT.",VLOOKUP(A7054,INSUMOS_AUX!$A$3:$H$813,6,0),0)</f>
        <v>0</v>
      </c>
      <c r="G7054" s="149" t="n">
        <f aca="false">IF(C7054="M.O.",VLOOKUP(A7054,INSUMOS_AUX!A:F,6,0),0)</f>
        <v>13.26</v>
      </c>
    </row>
    <row r="7055" customFormat="false" ht="15" hidden="false" customHeight="false" outlineLevel="0" collapsed="false">
      <c r="A7055" s="154" t="n">
        <v>2436</v>
      </c>
      <c r="B7055" s="155" t="s">
        <v>1557</v>
      </c>
      <c r="C7055" s="148" t="str">
        <f aca="false">VLOOKUP($A7055,INSUMOS_AUX!$A$3:$H$813,3,0)</f>
        <v>M.O.</v>
      </c>
      <c r="D7055" s="156" t="s">
        <v>1444</v>
      </c>
      <c r="E7055" s="154" t="n">
        <v>0.12344108</v>
      </c>
      <c r="F7055" s="149" t="n">
        <f aca="false">IF(C7055="MAT.",VLOOKUP(A7055,INSUMOS_AUX!$A$3:$H$813,6,0),0)</f>
        <v>0</v>
      </c>
      <c r="G7055" s="149" t="n">
        <f aca="false">IF(C7055="M.O.",VLOOKUP(A7055,INSUMOS_AUX!A:F,6,0),0)</f>
        <v>20.22</v>
      </c>
    </row>
    <row r="7056" customFormat="false" ht="31.5" hidden="false" customHeight="false" outlineLevel="0" collapsed="false">
      <c r="A7056" s="150" t="n">
        <v>95817</v>
      </c>
      <c r="B7056" s="151" t="s">
        <v>2744</v>
      </c>
      <c r="C7056" s="152" t="s">
        <v>59</v>
      </c>
      <c r="D7056" s="152" t="s">
        <v>31</v>
      </c>
      <c r="E7056" s="150"/>
      <c r="F7056" s="153" t="n">
        <f aca="false">(SUMPRODUCT($E7057:$E7066,F7057:F7066))*1</f>
        <v>14.5511</v>
      </c>
      <c r="G7056" s="153" t="n">
        <f aca="false">(SUMPRODUCT($E7057:$E7066,G7057:G7066))*1</f>
        <v>15.5935336464</v>
      </c>
    </row>
    <row r="7057" customFormat="false" ht="21" hidden="false" customHeight="false" outlineLevel="0" collapsed="false">
      <c r="A7057" s="154" t="n">
        <v>37370</v>
      </c>
      <c r="B7057" s="155" t="s">
        <v>1443</v>
      </c>
      <c r="C7057" s="148" t="str">
        <f aca="false">VLOOKUP($A7057,INSUMOS_AUX!$A$3:$H$813,3,0)</f>
        <v>MAT.</v>
      </c>
      <c r="D7057" s="156" t="s">
        <v>1444</v>
      </c>
      <c r="E7057" s="154" t="n">
        <v>0.898</v>
      </c>
      <c r="F7057" s="149" t="n">
        <f aca="false">IF(C7057="MAT.",VLOOKUP(A7057,INSUMOS_AUX!$A$3:$H$813,6,0),0)</f>
        <v>3.32</v>
      </c>
      <c r="G7057" s="149" t="n">
        <f aca="false">IF(C7057="M.O.",VLOOKUP(A7057,INSUMOS_AUX!A:F,6,0),0)</f>
        <v>0</v>
      </c>
    </row>
    <row r="7058" customFormat="false" ht="21" hidden="false" customHeight="false" outlineLevel="0" collapsed="false">
      <c r="A7058" s="154" t="n">
        <v>43484</v>
      </c>
      <c r="B7058" s="155" t="s">
        <v>1523</v>
      </c>
      <c r="C7058" s="148" t="str">
        <f aca="false">VLOOKUP($A7058,INSUMOS_AUX!$A$3:$H$813,3,0)</f>
        <v>MAT.</v>
      </c>
      <c r="D7058" s="156" t="s">
        <v>1444</v>
      </c>
      <c r="E7058" s="154" t="n">
        <v>0.898</v>
      </c>
      <c r="F7058" s="149" t="n">
        <f aca="false">IF(C7058="MAT.",VLOOKUP(A7058,INSUMOS_AUX!$A$3:$H$813,6,0),0)</f>
        <v>1.26</v>
      </c>
      <c r="G7058" s="149" t="n">
        <f aca="false">IF(C7058="M.O.",VLOOKUP(A7058,INSUMOS_AUX!A:F,6,0),0)</f>
        <v>0</v>
      </c>
    </row>
    <row r="7059" customFormat="false" ht="21" hidden="false" customHeight="false" outlineLevel="0" collapsed="false">
      <c r="A7059" s="154" t="n">
        <v>37372</v>
      </c>
      <c r="B7059" s="155" t="s">
        <v>1446</v>
      </c>
      <c r="C7059" s="148" t="str">
        <f aca="false">VLOOKUP($A7059,INSUMOS_AUX!$A$3:$H$813,3,0)</f>
        <v>MAT.</v>
      </c>
      <c r="D7059" s="156" t="s">
        <v>1444</v>
      </c>
      <c r="E7059" s="154" t="n">
        <v>0.898</v>
      </c>
      <c r="F7059" s="149" t="n">
        <f aca="false">IF(C7059="MAT.",VLOOKUP(A7059,INSUMOS_AUX!$A$3:$H$813,6,0),0)</f>
        <v>1.43</v>
      </c>
      <c r="G7059" s="149" t="n">
        <f aca="false">IF(C7059="M.O.",VLOOKUP(A7059,INSUMOS_AUX!A:F,6,0),0)</f>
        <v>0</v>
      </c>
    </row>
    <row r="7060" customFormat="false" ht="21" hidden="false" customHeight="false" outlineLevel="0" collapsed="false">
      <c r="A7060" s="154" t="n">
        <v>43460</v>
      </c>
      <c r="B7060" s="155" t="s">
        <v>1524</v>
      </c>
      <c r="C7060" s="148" t="str">
        <f aca="false">VLOOKUP($A7060,INSUMOS_AUX!$A$3:$H$813,3,0)</f>
        <v>MAT.</v>
      </c>
      <c r="D7060" s="156" t="s">
        <v>1444</v>
      </c>
      <c r="E7060" s="154" t="n">
        <v>0.898</v>
      </c>
      <c r="F7060" s="149" t="n">
        <f aca="false">IF(C7060="MAT.",VLOOKUP(A7060,INSUMOS_AUX!$A$3:$H$813,6,0),0)</f>
        <v>0.86</v>
      </c>
      <c r="G7060" s="149" t="n">
        <f aca="false">IF(C7060="M.O.",VLOOKUP(A7060,INSUMOS_AUX!A:F,6,0),0)</f>
        <v>0</v>
      </c>
    </row>
    <row r="7061" customFormat="false" ht="21" hidden="false" customHeight="false" outlineLevel="0" collapsed="false">
      <c r="A7061" s="154" t="n">
        <v>37373</v>
      </c>
      <c r="B7061" s="155" t="s">
        <v>1448</v>
      </c>
      <c r="C7061" s="148" t="str">
        <f aca="false">VLOOKUP($A7061,INSUMOS_AUX!$A$3:$H$813,3,0)</f>
        <v>MAT.</v>
      </c>
      <c r="D7061" s="156" t="s">
        <v>1444</v>
      </c>
      <c r="E7061" s="154" t="n">
        <v>0.898</v>
      </c>
      <c r="F7061" s="149" t="n">
        <f aca="false">IF(C7061="MAT.",VLOOKUP(A7061,INSUMOS_AUX!$A$3:$H$813,6,0),0)</f>
        <v>0.08</v>
      </c>
      <c r="G7061" s="149" t="n">
        <f aca="false">IF(C7061="M.O.",VLOOKUP(A7061,INSUMOS_AUX!A:F,6,0),0)</f>
        <v>0</v>
      </c>
    </row>
    <row r="7062" customFormat="false" ht="21" hidden="false" customHeight="false" outlineLevel="0" collapsed="false">
      <c r="A7062" s="154" t="n">
        <v>37371</v>
      </c>
      <c r="B7062" s="155" t="s">
        <v>1449</v>
      </c>
      <c r="C7062" s="148" t="s">
        <v>59</v>
      </c>
      <c r="D7062" s="156" t="s">
        <v>1444</v>
      </c>
      <c r="E7062" s="154" t="n">
        <v>0.898</v>
      </c>
      <c r="F7062" s="149" t="n">
        <f aca="false">IF(C7062="MAT.",VLOOKUP(A7062,INSUMOS_AUX!$A$3:$H$813,6,0),0)</f>
        <v>0</v>
      </c>
      <c r="G7062" s="149" t="n">
        <f aca="false">IF(C7062="M.O.",VLOOKUP(A7062,INSUMOS_AUX!A:F,6,0),0)</f>
        <v>0</v>
      </c>
    </row>
    <row r="7063" customFormat="false" ht="31.5" hidden="false" customHeight="false" outlineLevel="0" collapsed="false">
      <c r="A7063" s="154" t="n">
        <v>11950</v>
      </c>
      <c r="B7063" s="155" t="s">
        <v>1774</v>
      </c>
      <c r="C7063" s="148" t="str">
        <f aca="false">VLOOKUP($A7063,INSUMOS_AUX!$A$3:$H$813,3,0)</f>
        <v>MAT.</v>
      </c>
      <c r="D7063" s="156" t="s">
        <v>31</v>
      </c>
      <c r="E7063" s="154" t="n">
        <v>2</v>
      </c>
      <c r="F7063" s="149" t="n">
        <f aca="false">IF(C7063="MAT.",VLOOKUP(A7063,INSUMOS_AUX!$A$3:$H$813,6,0),0)</f>
        <v>0.26</v>
      </c>
      <c r="G7063" s="149" t="n">
        <f aca="false">IF(C7063="M.O.",VLOOKUP(A7063,INSUMOS_AUX!A:F,6,0),0)</f>
        <v>0</v>
      </c>
    </row>
    <row r="7064" customFormat="false" ht="15" hidden="false" customHeight="false" outlineLevel="0" collapsed="false">
      <c r="A7064" s="154" t="n">
        <v>39344</v>
      </c>
      <c r="B7064" s="155" t="s">
        <v>2745</v>
      </c>
      <c r="C7064" s="148" t="str">
        <f aca="false">VLOOKUP($A7064,INSUMOS_AUX!$A$3:$H$813,3,0)</f>
        <v>MAT.</v>
      </c>
      <c r="D7064" s="156" t="s">
        <v>31</v>
      </c>
      <c r="E7064" s="154" t="n">
        <v>1</v>
      </c>
      <c r="F7064" s="149" t="n">
        <f aca="false">IF(C7064="MAT.",VLOOKUP(A7064,INSUMOS_AUX!$A$3:$H$813,6,0),0)</f>
        <v>7.79</v>
      </c>
      <c r="G7064" s="149" t="n">
        <f aca="false">IF(C7064="M.O.",VLOOKUP(A7064,INSUMOS_AUX!A:F,6,0),0)</f>
        <v>0</v>
      </c>
    </row>
    <row r="7065" customFormat="false" ht="15" hidden="false" customHeight="false" outlineLevel="0" collapsed="false">
      <c r="A7065" s="154" t="n">
        <v>247</v>
      </c>
      <c r="B7065" s="155" t="s">
        <v>1554</v>
      </c>
      <c r="C7065" s="148" t="str">
        <f aca="false">VLOOKUP($A7065,INSUMOS_AUX!$A$3:$H$813,3,0)</f>
        <v>M.O.</v>
      </c>
      <c r="D7065" s="156" t="s">
        <v>1444</v>
      </c>
      <c r="E7065" s="154" t="n">
        <v>0.46575668</v>
      </c>
      <c r="F7065" s="149" t="n">
        <f aca="false">IF(C7065="MAT.",VLOOKUP(A7065,INSUMOS_AUX!$A$3:$H$813,6,0),0)</f>
        <v>0</v>
      </c>
      <c r="G7065" s="149" t="n">
        <f aca="false">IF(C7065="M.O.",VLOOKUP(A7065,INSUMOS_AUX!A:F,6,0),0)</f>
        <v>13.26</v>
      </c>
    </row>
    <row r="7066" customFormat="false" ht="15" hidden="false" customHeight="false" outlineLevel="0" collapsed="false">
      <c r="A7066" s="154" t="n">
        <v>2436</v>
      </c>
      <c r="B7066" s="155" t="s">
        <v>1557</v>
      </c>
      <c r="C7066" s="148" t="str">
        <f aca="false">VLOOKUP($A7066,INSUMOS_AUX!$A$3:$H$813,3,0)</f>
        <v>M.O.</v>
      </c>
      <c r="D7066" s="156" t="s">
        <v>1444</v>
      </c>
      <c r="E7066" s="154" t="n">
        <v>0.46575668</v>
      </c>
      <c r="F7066" s="149" t="n">
        <f aca="false">IF(C7066="MAT.",VLOOKUP(A7066,INSUMOS_AUX!$A$3:$H$813,6,0),0)</f>
        <v>0</v>
      </c>
      <c r="G7066" s="149" t="n">
        <f aca="false">IF(C7066="M.O.",VLOOKUP(A7066,INSUMOS_AUX!A:F,6,0),0)</f>
        <v>20.22</v>
      </c>
    </row>
    <row r="7067" customFormat="false" ht="31.5" hidden="false" customHeight="false" outlineLevel="0" collapsed="false">
      <c r="A7067" s="150" t="n">
        <v>91890</v>
      </c>
      <c r="B7067" s="151" t="s">
        <v>2746</v>
      </c>
      <c r="C7067" s="152" t="s">
        <v>59</v>
      </c>
      <c r="D7067" s="152" t="s">
        <v>31</v>
      </c>
      <c r="E7067" s="150"/>
      <c r="F7067" s="153" t="n">
        <f aca="false">(SUMPRODUCT($E7068:$E7076,F7068:F7076))*1</f>
        <v>3.10648</v>
      </c>
      <c r="G7067" s="153" t="n">
        <f aca="false">(SUMPRODUCT($E7068:$E7076,G7068:G7076))*1</f>
        <v>7.1542715616</v>
      </c>
    </row>
    <row r="7068" customFormat="false" ht="21" hidden="false" customHeight="false" outlineLevel="0" collapsed="false">
      <c r="A7068" s="154" t="n">
        <v>37370</v>
      </c>
      <c r="B7068" s="155" t="s">
        <v>1443</v>
      </c>
      <c r="C7068" s="148" t="str">
        <f aca="false">VLOOKUP($A7068,INSUMOS_AUX!$A$3:$H$813,3,0)</f>
        <v>MAT.</v>
      </c>
      <c r="D7068" s="156" t="s">
        <v>1444</v>
      </c>
      <c r="E7068" s="154" t="n">
        <v>0.412</v>
      </c>
      <c r="F7068" s="149" t="n">
        <f aca="false">IF(C7068="MAT.",VLOOKUP(A7068,INSUMOS_AUX!$A$3:$H$813,6,0),0)</f>
        <v>3.32</v>
      </c>
      <c r="G7068" s="149" t="n">
        <f aca="false">IF(C7068="M.O.",VLOOKUP(A7068,INSUMOS_AUX!A:F,6,0),0)</f>
        <v>0</v>
      </c>
    </row>
    <row r="7069" customFormat="false" ht="21" hidden="false" customHeight="false" outlineLevel="0" collapsed="false">
      <c r="A7069" s="154" t="n">
        <v>43484</v>
      </c>
      <c r="B7069" s="155" t="s">
        <v>1523</v>
      </c>
      <c r="C7069" s="148" t="str">
        <f aca="false">VLOOKUP($A7069,INSUMOS_AUX!$A$3:$H$813,3,0)</f>
        <v>MAT.</v>
      </c>
      <c r="D7069" s="156" t="s">
        <v>1444</v>
      </c>
      <c r="E7069" s="154" t="n">
        <v>0.412</v>
      </c>
      <c r="F7069" s="149" t="n">
        <f aca="false">IF(C7069="MAT.",VLOOKUP(A7069,INSUMOS_AUX!$A$3:$H$813,6,0),0)</f>
        <v>1.26</v>
      </c>
      <c r="G7069" s="149" t="n">
        <f aca="false">IF(C7069="M.O.",VLOOKUP(A7069,INSUMOS_AUX!A:F,6,0),0)</f>
        <v>0</v>
      </c>
    </row>
    <row r="7070" customFormat="false" ht="21" hidden="false" customHeight="false" outlineLevel="0" collapsed="false">
      <c r="A7070" s="154" t="n">
        <v>37372</v>
      </c>
      <c r="B7070" s="155" t="s">
        <v>1446</v>
      </c>
      <c r="C7070" s="148" t="str">
        <f aca="false">VLOOKUP($A7070,INSUMOS_AUX!$A$3:$H$813,3,0)</f>
        <v>MAT.</v>
      </c>
      <c r="D7070" s="156" t="s">
        <v>1444</v>
      </c>
      <c r="E7070" s="154" t="n">
        <v>0.412</v>
      </c>
      <c r="F7070" s="149" t="n">
        <f aca="false">IF(C7070="MAT.",VLOOKUP(A7070,INSUMOS_AUX!$A$3:$H$813,6,0),0)</f>
        <v>1.43</v>
      </c>
      <c r="G7070" s="149" t="n">
        <f aca="false">IF(C7070="M.O.",VLOOKUP(A7070,INSUMOS_AUX!A:F,6,0),0)</f>
        <v>0</v>
      </c>
    </row>
    <row r="7071" customFormat="false" ht="21" hidden="false" customHeight="false" outlineLevel="0" collapsed="false">
      <c r="A7071" s="154" t="n">
        <v>43460</v>
      </c>
      <c r="B7071" s="155" t="s">
        <v>1524</v>
      </c>
      <c r="C7071" s="148" t="str">
        <f aca="false">VLOOKUP($A7071,INSUMOS_AUX!$A$3:$H$813,3,0)</f>
        <v>MAT.</v>
      </c>
      <c r="D7071" s="156" t="s">
        <v>1444</v>
      </c>
      <c r="E7071" s="154" t="n">
        <v>0.412</v>
      </c>
      <c r="F7071" s="149" t="n">
        <f aca="false">IF(C7071="MAT.",VLOOKUP(A7071,INSUMOS_AUX!$A$3:$H$813,6,0),0)</f>
        <v>0.86</v>
      </c>
      <c r="G7071" s="149" t="n">
        <f aca="false">IF(C7071="M.O.",VLOOKUP(A7071,INSUMOS_AUX!A:F,6,0),0)</f>
        <v>0</v>
      </c>
    </row>
    <row r="7072" customFormat="false" ht="21" hidden="false" customHeight="false" outlineLevel="0" collapsed="false">
      <c r="A7072" s="154" t="n">
        <v>37373</v>
      </c>
      <c r="B7072" s="155" t="s">
        <v>1448</v>
      </c>
      <c r="C7072" s="148" t="str">
        <f aca="false">VLOOKUP($A7072,INSUMOS_AUX!$A$3:$H$813,3,0)</f>
        <v>MAT.</v>
      </c>
      <c r="D7072" s="156" t="s">
        <v>1444</v>
      </c>
      <c r="E7072" s="154" t="n">
        <v>0.412</v>
      </c>
      <c r="F7072" s="149" t="n">
        <f aca="false">IF(C7072="MAT.",VLOOKUP(A7072,INSUMOS_AUX!$A$3:$H$813,6,0),0)</f>
        <v>0.08</v>
      </c>
      <c r="G7072" s="149" t="n">
        <f aca="false">IF(C7072="M.O.",VLOOKUP(A7072,INSUMOS_AUX!A:F,6,0),0)</f>
        <v>0</v>
      </c>
    </row>
    <row r="7073" customFormat="false" ht="21" hidden="false" customHeight="false" outlineLevel="0" collapsed="false">
      <c r="A7073" s="154" t="n">
        <v>37371</v>
      </c>
      <c r="B7073" s="155" t="s">
        <v>1449</v>
      </c>
      <c r="C7073" s="148" t="str">
        <f aca="false">VLOOKUP($A7073,INSUMOS_AUX!$A$3:$H$813,3,0)</f>
        <v>MAT.</v>
      </c>
      <c r="D7073" s="156" t="s">
        <v>1444</v>
      </c>
      <c r="E7073" s="154" t="n">
        <v>0.412</v>
      </c>
      <c r="F7073" s="149" t="n">
        <f aca="false">IF(C7073="MAT.",VLOOKUP(A7073,INSUMOS_AUX!$A$3:$H$813,6,0),0)</f>
        <v>0.59</v>
      </c>
      <c r="G7073" s="149" t="n">
        <f aca="false">IF(C7073="M.O.",VLOOKUP(A7073,INSUMOS_AUX!A:F,6,0),0)</f>
        <v>0</v>
      </c>
    </row>
    <row r="7074" customFormat="false" ht="21" hidden="false" customHeight="false" outlineLevel="0" collapsed="false">
      <c r="A7074" s="154" t="n">
        <v>1879</v>
      </c>
      <c r="B7074" s="155" t="s">
        <v>2747</v>
      </c>
      <c r="C7074" s="148" t="s">
        <v>59</v>
      </c>
      <c r="D7074" s="156" t="s">
        <v>31</v>
      </c>
      <c r="E7074" s="154" t="n">
        <v>1</v>
      </c>
      <c r="F7074" s="149" t="n">
        <f aca="false">IF(C7074="MAT.",VLOOKUP(A7074,INSUMOS_AUX!$A$3:$H$813,6,0),0)</f>
        <v>0</v>
      </c>
      <c r="G7074" s="149" t="n">
        <f aca="false">IF(C7074="M.O.",VLOOKUP(A7074,INSUMOS_AUX!A:F,6,0),0)</f>
        <v>0</v>
      </c>
    </row>
    <row r="7075" customFormat="false" ht="15" hidden="false" customHeight="false" outlineLevel="0" collapsed="false">
      <c r="A7075" s="154" t="n">
        <v>247</v>
      </c>
      <c r="B7075" s="155" t="s">
        <v>1554</v>
      </c>
      <c r="C7075" s="148" t="str">
        <f aca="false">VLOOKUP($A7075,INSUMOS_AUX!$A$3:$H$813,3,0)</f>
        <v>M.O.</v>
      </c>
      <c r="D7075" s="156" t="s">
        <v>1444</v>
      </c>
      <c r="E7075" s="154" t="n">
        <v>0.21368792</v>
      </c>
      <c r="F7075" s="149" t="n">
        <f aca="false">IF(C7075="MAT.",VLOOKUP(A7075,INSUMOS_AUX!$A$3:$H$813,6,0),0)</f>
        <v>0</v>
      </c>
      <c r="G7075" s="149" t="n">
        <f aca="false">IF(C7075="M.O.",VLOOKUP(A7075,INSUMOS_AUX!A:F,6,0),0)</f>
        <v>13.26</v>
      </c>
    </row>
    <row r="7076" customFormat="false" ht="15" hidden="false" customHeight="false" outlineLevel="0" collapsed="false">
      <c r="A7076" s="154" t="n">
        <v>2436</v>
      </c>
      <c r="B7076" s="155" t="s">
        <v>1557</v>
      </c>
      <c r="C7076" s="148" t="str">
        <f aca="false">VLOOKUP($A7076,INSUMOS_AUX!$A$3:$H$813,3,0)</f>
        <v>M.O.</v>
      </c>
      <c r="D7076" s="156" t="s">
        <v>1444</v>
      </c>
      <c r="E7076" s="154" t="n">
        <v>0.21368792</v>
      </c>
      <c r="F7076" s="149" t="n">
        <f aca="false">IF(C7076="MAT.",VLOOKUP(A7076,INSUMOS_AUX!$A$3:$H$813,6,0),0)</f>
        <v>0</v>
      </c>
      <c r="G7076" s="149" t="n">
        <f aca="false">IF(C7076="M.O.",VLOOKUP(A7076,INSUMOS_AUX!A:F,6,0),0)</f>
        <v>20.22</v>
      </c>
    </row>
    <row r="7077" customFormat="false" ht="31.5" hidden="false" customHeight="false" outlineLevel="0" collapsed="false">
      <c r="A7077" s="150" t="n">
        <v>91924</v>
      </c>
      <c r="B7077" s="151" t="s">
        <v>2748</v>
      </c>
      <c r="C7077" s="152" t="s">
        <v>59</v>
      </c>
      <c r="D7077" s="152" t="s">
        <v>1455</v>
      </c>
      <c r="E7077" s="150"/>
      <c r="F7077" s="153" t="n">
        <f aca="false">(SUMPRODUCT($E7078:$E7087,F7078:F7087))*1</f>
        <v>2.244746</v>
      </c>
      <c r="G7077" s="153" t="n">
        <f aca="false">(SUMPRODUCT($E7078:$E7087,G7078:G7087))*1</f>
        <v>0.4824160392</v>
      </c>
    </row>
    <row r="7078" customFormat="false" ht="21" hidden="false" customHeight="false" outlineLevel="0" collapsed="false">
      <c r="A7078" s="154" t="n">
        <v>37370</v>
      </c>
      <c r="B7078" s="155" t="s">
        <v>1443</v>
      </c>
      <c r="C7078" s="148" t="str">
        <f aca="false">VLOOKUP($A7078,INSUMOS_AUX!$A$3:$H$813,3,0)</f>
        <v>MAT.</v>
      </c>
      <c r="D7078" s="156" t="s">
        <v>1444</v>
      </c>
      <c r="E7078" s="154" t="n">
        <v>0.046</v>
      </c>
      <c r="F7078" s="149" t="n">
        <f aca="false">IF(C7078="MAT.",VLOOKUP(A7078,INSUMOS_AUX!$A$3:$H$813,6,0),0)</f>
        <v>3.32</v>
      </c>
      <c r="G7078" s="149" t="n">
        <f aca="false">IF(C7078="M.O.",VLOOKUP(A7078,INSUMOS_AUX!A:F,6,0),0)</f>
        <v>0</v>
      </c>
    </row>
    <row r="7079" customFormat="false" ht="21" hidden="false" customHeight="false" outlineLevel="0" collapsed="false">
      <c r="A7079" s="154" t="n">
        <v>43484</v>
      </c>
      <c r="B7079" s="155" t="s">
        <v>1523</v>
      </c>
      <c r="C7079" s="148" t="str">
        <f aca="false">VLOOKUP($A7079,INSUMOS_AUX!$A$3:$H$813,3,0)</f>
        <v>MAT.</v>
      </c>
      <c r="D7079" s="156" t="s">
        <v>1444</v>
      </c>
      <c r="E7079" s="154" t="n">
        <v>0.046</v>
      </c>
      <c r="F7079" s="149" t="n">
        <f aca="false">IF(C7079="MAT.",VLOOKUP(A7079,INSUMOS_AUX!$A$3:$H$813,6,0),0)</f>
        <v>1.26</v>
      </c>
      <c r="G7079" s="149" t="n">
        <f aca="false">IF(C7079="M.O.",VLOOKUP(A7079,INSUMOS_AUX!A:F,6,0),0)</f>
        <v>0</v>
      </c>
    </row>
    <row r="7080" customFormat="false" ht="21" hidden="false" customHeight="false" outlineLevel="0" collapsed="false">
      <c r="A7080" s="154" t="n">
        <v>37372</v>
      </c>
      <c r="B7080" s="155" t="s">
        <v>1446</v>
      </c>
      <c r="C7080" s="148" t="str">
        <f aca="false">VLOOKUP($A7080,INSUMOS_AUX!$A$3:$H$813,3,0)</f>
        <v>MAT.</v>
      </c>
      <c r="D7080" s="156" t="s">
        <v>1444</v>
      </c>
      <c r="E7080" s="154" t="n">
        <v>0.046</v>
      </c>
      <c r="F7080" s="149" t="n">
        <f aca="false">IF(C7080="MAT.",VLOOKUP(A7080,INSUMOS_AUX!$A$3:$H$813,6,0),0)</f>
        <v>1.43</v>
      </c>
      <c r="G7080" s="149" t="n">
        <f aca="false">IF(C7080="M.O.",VLOOKUP(A7080,INSUMOS_AUX!A:F,6,0),0)</f>
        <v>0</v>
      </c>
    </row>
    <row r="7081" customFormat="false" ht="21" hidden="false" customHeight="false" outlineLevel="0" collapsed="false">
      <c r="A7081" s="154" t="n">
        <v>43460</v>
      </c>
      <c r="B7081" s="155" t="s">
        <v>1524</v>
      </c>
      <c r="C7081" s="148" t="str">
        <f aca="false">VLOOKUP($A7081,INSUMOS_AUX!$A$3:$H$813,3,0)</f>
        <v>MAT.</v>
      </c>
      <c r="D7081" s="156" t="s">
        <v>1444</v>
      </c>
      <c r="E7081" s="154" t="n">
        <v>0.046</v>
      </c>
      <c r="F7081" s="149" t="n">
        <f aca="false">IF(C7081="MAT.",VLOOKUP(A7081,INSUMOS_AUX!$A$3:$H$813,6,0),0)</f>
        <v>0.86</v>
      </c>
      <c r="G7081" s="149" t="n">
        <f aca="false">IF(C7081="M.O.",VLOOKUP(A7081,INSUMOS_AUX!A:F,6,0),0)</f>
        <v>0</v>
      </c>
    </row>
    <row r="7082" customFormat="false" ht="21" hidden="false" customHeight="false" outlineLevel="0" collapsed="false">
      <c r="A7082" s="154" t="n">
        <v>37373</v>
      </c>
      <c r="B7082" s="155" t="s">
        <v>1448</v>
      </c>
      <c r="C7082" s="148" t="str">
        <f aca="false">VLOOKUP($A7082,INSUMOS_AUX!$A$3:$H$813,3,0)</f>
        <v>MAT.</v>
      </c>
      <c r="D7082" s="156" t="s">
        <v>1444</v>
      </c>
      <c r="E7082" s="154" t="n">
        <v>0.046</v>
      </c>
      <c r="F7082" s="149" t="n">
        <f aca="false">IF(C7082="MAT.",VLOOKUP(A7082,INSUMOS_AUX!$A$3:$H$813,6,0),0)</f>
        <v>0.08</v>
      </c>
      <c r="G7082" s="149" t="n">
        <f aca="false">IF(C7082="M.O.",VLOOKUP(A7082,INSUMOS_AUX!A:F,6,0),0)</f>
        <v>0</v>
      </c>
    </row>
    <row r="7083" customFormat="false" ht="21" hidden="false" customHeight="false" outlineLevel="0" collapsed="false">
      <c r="A7083" s="154" t="n">
        <v>37371</v>
      </c>
      <c r="B7083" s="155" t="s">
        <v>1449</v>
      </c>
      <c r="C7083" s="148" t="str">
        <f aca="false">VLOOKUP($A7083,INSUMOS_AUX!$A$3:$H$813,3,0)</f>
        <v>MAT.</v>
      </c>
      <c r="D7083" s="156" t="s">
        <v>1444</v>
      </c>
      <c r="E7083" s="154" t="n">
        <v>0.046</v>
      </c>
      <c r="F7083" s="149" t="n">
        <f aca="false">IF(C7083="MAT.",VLOOKUP(A7083,INSUMOS_AUX!$A$3:$H$813,6,0),0)</f>
        <v>0.59</v>
      </c>
      <c r="G7083" s="149" t="n">
        <f aca="false">IF(C7083="M.O.",VLOOKUP(A7083,INSUMOS_AUX!A:F,6,0),0)</f>
        <v>0</v>
      </c>
    </row>
    <row r="7084" customFormat="false" ht="31.5" hidden="false" customHeight="false" outlineLevel="0" collapsed="false">
      <c r="A7084" s="154" t="n">
        <v>1013</v>
      </c>
      <c r="B7084" s="155" t="s">
        <v>1528</v>
      </c>
      <c r="C7084" s="148" t="str">
        <f aca="false">VLOOKUP($A7084,INSUMOS_AUX!$A$3:$H$813,3,0)</f>
        <v>MAT.</v>
      </c>
      <c r="D7084" s="156" t="s">
        <v>1455</v>
      </c>
      <c r="E7084" s="154" t="n">
        <v>1.2434</v>
      </c>
      <c r="F7084" s="149" t="n">
        <f aca="false">IF(C7084="MAT.",VLOOKUP(A7084,INSUMOS_AUX!$A$3:$H$813,6,0),0)</f>
        <v>1.5</v>
      </c>
      <c r="G7084" s="149" t="n">
        <f aca="false">IF(C7084="M.O.",VLOOKUP(A7084,INSUMOS_AUX!A:F,6,0),0)</f>
        <v>0</v>
      </c>
    </row>
    <row r="7085" customFormat="false" ht="21" hidden="false" customHeight="false" outlineLevel="0" collapsed="false">
      <c r="A7085" s="154" t="n">
        <v>21127</v>
      </c>
      <c r="B7085" s="155" t="s">
        <v>1542</v>
      </c>
      <c r="C7085" s="148" t="str">
        <f aca="false">VLOOKUP($A7085,INSUMOS_AUX!$A$3:$H$813,3,0)</f>
        <v>MAT.</v>
      </c>
      <c r="D7085" s="156" t="s">
        <v>31</v>
      </c>
      <c r="E7085" s="154" t="n">
        <v>0.0094</v>
      </c>
      <c r="F7085" s="149" t="n">
        <f aca="false">IF(C7085="MAT.",VLOOKUP(A7085,INSUMOS_AUX!$A$3:$H$813,6,0),0)</f>
        <v>3.49</v>
      </c>
      <c r="G7085" s="149" t="n">
        <f aca="false">IF(C7085="M.O.",VLOOKUP(A7085,INSUMOS_AUX!A:F,6,0),0)</f>
        <v>0</v>
      </c>
    </row>
    <row r="7086" customFormat="false" ht="15" hidden="false" customHeight="false" outlineLevel="0" collapsed="false">
      <c r="A7086" s="154" t="n">
        <v>247</v>
      </c>
      <c r="B7086" s="155" t="s">
        <v>1554</v>
      </c>
      <c r="C7086" s="148" t="s">
        <v>59</v>
      </c>
      <c r="D7086" s="156" t="s">
        <v>1444</v>
      </c>
      <c r="E7086" s="154" t="n">
        <v>0.02385836</v>
      </c>
      <c r="F7086" s="149" t="n">
        <f aca="false">IF(C7086="MAT.",VLOOKUP(A7086,INSUMOS_AUX!$A$3:$H$813,6,0),0)</f>
        <v>0</v>
      </c>
      <c r="G7086" s="149" t="n">
        <f aca="false">IF(C7086="M.O.",VLOOKUP(A7086,INSUMOS_AUX!A:F,6,0),0)</f>
        <v>0</v>
      </c>
    </row>
    <row r="7087" customFormat="false" ht="15" hidden="false" customHeight="false" outlineLevel="0" collapsed="false">
      <c r="A7087" s="154" t="n">
        <v>2436</v>
      </c>
      <c r="B7087" s="155" t="s">
        <v>1557</v>
      </c>
      <c r="C7087" s="148" t="str">
        <f aca="false">VLOOKUP($A7087,INSUMOS_AUX!$A$3:$H$813,3,0)</f>
        <v>M.O.</v>
      </c>
      <c r="D7087" s="156" t="s">
        <v>1444</v>
      </c>
      <c r="E7087" s="154" t="n">
        <v>0.02385836</v>
      </c>
      <c r="F7087" s="149" t="n">
        <f aca="false">IF(C7087="MAT.",VLOOKUP(A7087,INSUMOS_AUX!$A$3:$H$813,6,0),0)</f>
        <v>0</v>
      </c>
      <c r="G7087" s="149" t="n">
        <f aca="false">IF(C7087="M.O.",VLOOKUP(A7087,INSUMOS_AUX!A:F,6,0),0)</f>
        <v>20.22</v>
      </c>
    </row>
    <row r="7088" customFormat="false" ht="31.5" hidden="false" customHeight="false" outlineLevel="0" collapsed="false">
      <c r="A7088" s="150" t="s">
        <v>1214</v>
      </c>
      <c r="B7088" s="151" t="s">
        <v>2749</v>
      </c>
      <c r="C7088" s="152" t="s">
        <v>59</v>
      </c>
      <c r="D7088" s="152" t="s">
        <v>1455</v>
      </c>
      <c r="E7088" s="150"/>
      <c r="F7088" s="153" t="n">
        <f aca="false">(SUMPRODUCT($E7089:$E7098,F7089:F7098))*1</f>
        <v>7.840046</v>
      </c>
      <c r="G7088" s="153" t="n">
        <f aca="false">(SUMPRODUCT($E7089:$E7098,G7089:G7098))*1</f>
        <v>0.3163618536</v>
      </c>
    </row>
    <row r="7089" customFormat="false" ht="21" hidden="false" customHeight="false" outlineLevel="0" collapsed="false">
      <c r="A7089" s="154" t="n">
        <v>37370</v>
      </c>
      <c r="B7089" s="155" t="s">
        <v>1443</v>
      </c>
      <c r="C7089" s="148" t="str">
        <f aca="false">VLOOKUP($A7089,INSUMOS_AUX!$A$3:$H$813,3,0)</f>
        <v>MAT.</v>
      </c>
      <c r="D7089" s="156" t="s">
        <v>1444</v>
      </c>
      <c r="E7089" s="154" t="n">
        <v>0.046</v>
      </c>
      <c r="F7089" s="149" t="n">
        <f aca="false">IF(C7089="MAT.",VLOOKUP(A7089,INSUMOS_AUX!$A$3:$H$813,6,0),0)</f>
        <v>3.32</v>
      </c>
      <c r="G7089" s="149" t="n">
        <f aca="false">IF(C7089="M.O.",VLOOKUP(A7089,INSUMOS_AUX!A:F,6,0),0)</f>
        <v>0</v>
      </c>
    </row>
    <row r="7090" customFormat="false" ht="21" hidden="false" customHeight="false" outlineLevel="0" collapsed="false">
      <c r="A7090" s="154" t="n">
        <v>43484</v>
      </c>
      <c r="B7090" s="155" t="s">
        <v>1523</v>
      </c>
      <c r="C7090" s="148" t="str">
        <f aca="false">VLOOKUP($A7090,INSUMOS_AUX!$A$3:$H$813,3,0)</f>
        <v>MAT.</v>
      </c>
      <c r="D7090" s="156" t="s">
        <v>1444</v>
      </c>
      <c r="E7090" s="154" t="n">
        <v>0.046</v>
      </c>
      <c r="F7090" s="149" t="n">
        <f aca="false">IF(C7090="MAT.",VLOOKUP(A7090,INSUMOS_AUX!$A$3:$H$813,6,0),0)</f>
        <v>1.26</v>
      </c>
      <c r="G7090" s="149" t="n">
        <f aca="false">IF(C7090="M.O.",VLOOKUP(A7090,INSUMOS_AUX!A:F,6,0),0)</f>
        <v>0</v>
      </c>
    </row>
    <row r="7091" customFormat="false" ht="21" hidden="false" customHeight="false" outlineLevel="0" collapsed="false">
      <c r="A7091" s="154" t="n">
        <v>37372</v>
      </c>
      <c r="B7091" s="155" t="s">
        <v>1446</v>
      </c>
      <c r="C7091" s="148" t="str">
        <f aca="false">VLOOKUP($A7091,INSUMOS_AUX!$A$3:$H$813,3,0)</f>
        <v>MAT.</v>
      </c>
      <c r="D7091" s="156" t="s">
        <v>1444</v>
      </c>
      <c r="E7091" s="154" t="n">
        <v>0.046</v>
      </c>
      <c r="F7091" s="149" t="n">
        <f aca="false">IF(C7091="MAT.",VLOOKUP(A7091,INSUMOS_AUX!$A$3:$H$813,6,0),0)</f>
        <v>1.43</v>
      </c>
      <c r="G7091" s="149" t="n">
        <f aca="false">IF(C7091="M.O.",VLOOKUP(A7091,INSUMOS_AUX!A:F,6,0),0)</f>
        <v>0</v>
      </c>
    </row>
    <row r="7092" customFormat="false" ht="21" hidden="false" customHeight="false" outlineLevel="0" collapsed="false">
      <c r="A7092" s="154" t="n">
        <v>43460</v>
      </c>
      <c r="B7092" s="155" t="s">
        <v>1524</v>
      </c>
      <c r="C7092" s="148" t="str">
        <f aca="false">VLOOKUP($A7092,INSUMOS_AUX!$A$3:$H$813,3,0)</f>
        <v>MAT.</v>
      </c>
      <c r="D7092" s="156" t="s">
        <v>1444</v>
      </c>
      <c r="E7092" s="154" t="n">
        <v>0.046</v>
      </c>
      <c r="F7092" s="149" t="n">
        <f aca="false">IF(C7092="MAT.",VLOOKUP(A7092,INSUMOS_AUX!$A$3:$H$813,6,0),0)</f>
        <v>0.86</v>
      </c>
      <c r="G7092" s="149" t="n">
        <f aca="false">IF(C7092="M.O.",VLOOKUP(A7092,INSUMOS_AUX!A:F,6,0),0)</f>
        <v>0</v>
      </c>
    </row>
    <row r="7093" customFormat="false" ht="21" hidden="false" customHeight="false" outlineLevel="0" collapsed="false">
      <c r="A7093" s="154" t="n">
        <v>37373</v>
      </c>
      <c r="B7093" s="155" t="s">
        <v>1448</v>
      </c>
      <c r="C7093" s="148" t="str">
        <f aca="false">VLOOKUP($A7093,INSUMOS_AUX!$A$3:$H$813,3,0)</f>
        <v>MAT.</v>
      </c>
      <c r="D7093" s="156" t="s">
        <v>1444</v>
      </c>
      <c r="E7093" s="154" t="n">
        <v>0.046</v>
      </c>
      <c r="F7093" s="149" t="n">
        <f aca="false">IF(C7093="MAT.",VLOOKUP(A7093,INSUMOS_AUX!$A$3:$H$813,6,0),0)</f>
        <v>0.08</v>
      </c>
      <c r="G7093" s="149" t="n">
        <f aca="false">IF(C7093="M.O.",VLOOKUP(A7093,INSUMOS_AUX!A:F,6,0),0)</f>
        <v>0</v>
      </c>
    </row>
    <row r="7094" customFormat="false" ht="21" hidden="false" customHeight="false" outlineLevel="0" collapsed="false">
      <c r="A7094" s="154" t="n">
        <v>37371</v>
      </c>
      <c r="B7094" s="155" t="s">
        <v>1449</v>
      </c>
      <c r="C7094" s="148" t="str">
        <f aca="false">VLOOKUP($A7094,INSUMOS_AUX!$A$3:$H$813,3,0)</f>
        <v>MAT.</v>
      </c>
      <c r="D7094" s="156" t="s">
        <v>1444</v>
      </c>
      <c r="E7094" s="154" t="n">
        <v>0.046</v>
      </c>
      <c r="F7094" s="149" t="n">
        <f aca="false">IF(C7094="MAT.",VLOOKUP(A7094,INSUMOS_AUX!$A$3:$H$813,6,0),0)</f>
        <v>0.59</v>
      </c>
      <c r="G7094" s="149" t="n">
        <f aca="false">IF(C7094="M.O.",VLOOKUP(A7094,INSUMOS_AUX!A:F,6,0),0)</f>
        <v>0</v>
      </c>
    </row>
    <row r="7095" customFormat="false" ht="31.5" hidden="false" customHeight="false" outlineLevel="0" collapsed="false">
      <c r="A7095" s="154" t="n">
        <v>39257</v>
      </c>
      <c r="B7095" s="155" t="s">
        <v>2750</v>
      </c>
      <c r="C7095" s="148" t="str">
        <f aca="false">VLOOKUP($A7095,INSUMOS_AUX!$A$3:$H$813,3,0)</f>
        <v>MAT.</v>
      </c>
      <c r="D7095" s="156" t="s">
        <v>1455</v>
      </c>
      <c r="E7095" s="154" t="n">
        <v>1.2434</v>
      </c>
      <c r="F7095" s="149" t="n">
        <f aca="false">IF(C7095="MAT.",VLOOKUP(A7095,INSUMOS_AUX!$A$3:$H$813,6,0),0)</f>
        <v>6</v>
      </c>
      <c r="G7095" s="149" t="n">
        <f aca="false">IF(C7095="M.O.",VLOOKUP(A7095,INSUMOS_AUX!A:F,6,0),0)</f>
        <v>0</v>
      </c>
    </row>
    <row r="7096" customFormat="false" ht="21" hidden="false" customHeight="false" outlineLevel="0" collapsed="false">
      <c r="A7096" s="154" t="n">
        <v>21127</v>
      </c>
      <c r="B7096" s="155" t="s">
        <v>1542</v>
      </c>
      <c r="C7096" s="148" t="str">
        <f aca="false">VLOOKUP($A7096,INSUMOS_AUX!$A$3:$H$813,3,0)</f>
        <v>MAT.</v>
      </c>
      <c r="D7096" s="156" t="s">
        <v>31</v>
      </c>
      <c r="E7096" s="154" t="n">
        <v>0.0094</v>
      </c>
      <c r="F7096" s="149" t="n">
        <f aca="false">IF(C7096="MAT.",VLOOKUP(A7096,INSUMOS_AUX!$A$3:$H$813,6,0),0)</f>
        <v>3.49</v>
      </c>
      <c r="G7096" s="149" t="n">
        <f aca="false">IF(C7096="M.O.",VLOOKUP(A7096,INSUMOS_AUX!A:F,6,0),0)</f>
        <v>0</v>
      </c>
    </row>
    <row r="7097" customFormat="false" ht="15" hidden="false" customHeight="false" outlineLevel="0" collapsed="false">
      <c r="A7097" s="154" t="n">
        <v>247</v>
      </c>
      <c r="B7097" s="155" t="s">
        <v>1554</v>
      </c>
      <c r="C7097" s="148" t="str">
        <f aca="false">VLOOKUP($A7097,INSUMOS_AUX!$A$3:$H$813,3,0)</f>
        <v>M.O.</v>
      </c>
      <c r="D7097" s="156" t="s">
        <v>1444</v>
      </c>
      <c r="E7097" s="154" t="n">
        <v>0.02385836</v>
      </c>
      <c r="F7097" s="149" t="n">
        <f aca="false">IF(C7097="MAT.",VLOOKUP(A7097,INSUMOS_AUX!$A$3:$H$813,6,0),0)</f>
        <v>0</v>
      </c>
      <c r="G7097" s="149" t="n">
        <f aca="false">IF(C7097="M.O.",VLOOKUP(A7097,INSUMOS_AUX!A:F,6,0),0)</f>
        <v>13.26</v>
      </c>
    </row>
    <row r="7098" customFormat="false" ht="15" hidden="false" customHeight="false" outlineLevel="0" collapsed="false">
      <c r="A7098" s="154" t="n">
        <v>2436</v>
      </c>
      <c r="B7098" s="155" t="s">
        <v>1557</v>
      </c>
      <c r="C7098" s="148" t="s">
        <v>59</v>
      </c>
      <c r="D7098" s="156" t="s">
        <v>1444</v>
      </c>
      <c r="E7098" s="154" t="n">
        <v>0.02385836</v>
      </c>
      <c r="F7098" s="149" t="n">
        <f aca="false">IF(C7098="MAT.",VLOOKUP(A7098,INSUMOS_AUX!$A$3:$H$813,6,0),0)</f>
        <v>0</v>
      </c>
      <c r="G7098" s="149" t="n">
        <f aca="false">IF(C7098="M.O.",VLOOKUP(A7098,INSUMOS_AUX!A:F,6,0),0)</f>
        <v>0</v>
      </c>
    </row>
    <row r="7099" customFormat="false" ht="42" hidden="false" customHeight="false" outlineLevel="0" collapsed="false">
      <c r="A7099" s="150" t="n">
        <v>100758</v>
      </c>
      <c r="B7099" s="151" t="s">
        <v>2751</v>
      </c>
      <c r="C7099" s="152" t="s">
        <v>59</v>
      </c>
      <c r="D7099" s="152" t="s">
        <v>1477</v>
      </c>
      <c r="E7099" s="150"/>
      <c r="F7099" s="153" t="n">
        <f aca="false">(SUMPRODUCT($E7100:$E7108,F7100:F7108))*1</f>
        <v>23.736559</v>
      </c>
      <c r="G7099" s="153" t="n">
        <f aca="false">(SUMPRODUCT($E7100:$E7108,G7100:G7108))*1</f>
        <v>27.82096255848</v>
      </c>
    </row>
    <row r="7100" customFormat="false" ht="21" hidden="false" customHeight="false" outlineLevel="0" collapsed="false">
      <c r="A7100" s="154" t="n">
        <v>37370</v>
      </c>
      <c r="B7100" s="155" t="s">
        <v>1443</v>
      </c>
      <c r="C7100" s="148" t="str">
        <f aca="false">VLOOKUP($A7100,INSUMOS_AUX!$A$3:$H$813,3,0)</f>
        <v>MAT.</v>
      </c>
      <c r="D7100" s="156" t="s">
        <v>1444</v>
      </c>
      <c r="E7100" s="154" t="n">
        <v>1.3559</v>
      </c>
      <c r="F7100" s="149" t="n">
        <f aca="false">IF(C7100="MAT.",VLOOKUP(A7100,INSUMOS_AUX!$A$3:$H$813,6,0),0)</f>
        <v>3.32</v>
      </c>
      <c r="G7100" s="149" t="n">
        <f aca="false">IF(C7100="M.O.",VLOOKUP(A7100,INSUMOS_AUX!A:F,6,0),0)</f>
        <v>0</v>
      </c>
    </row>
    <row r="7101" customFormat="false" ht="21" hidden="false" customHeight="false" outlineLevel="0" collapsed="false">
      <c r="A7101" s="154" t="n">
        <v>43490</v>
      </c>
      <c r="B7101" s="155" t="s">
        <v>1508</v>
      </c>
      <c r="C7101" s="148" t="str">
        <f aca="false">VLOOKUP($A7101,INSUMOS_AUX!$A$3:$H$813,3,0)</f>
        <v>MAT.</v>
      </c>
      <c r="D7101" s="156" t="s">
        <v>1444</v>
      </c>
      <c r="E7101" s="154" t="n">
        <v>1.3559</v>
      </c>
      <c r="F7101" s="149" t="n">
        <f aca="false">IF(C7101="MAT.",VLOOKUP(A7101,INSUMOS_AUX!$A$3:$H$813,6,0),0)</f>
        <v>1.85</v>
      </c>
      <c r="G7101" s="149" t="n">
        <f aca="false">IF(C7101="M.O.",VLOOKUP(A7101,INSUMOS_AUX!A:F,6,0),0)</f>
        <v>0</v>
      </c>
    </row>
    <row r="7102" customFormat="false" ht="21" hidden="false" customHeight="false" outlineLevel="0" collapsed="false">
      <c r="A7102" s="154" t="n">
        <v>37372</v>
      </c>
      <c r="B7102" s="155" t="s">
        <v>1446</v>
      </c>
      <c r="C7102" s="148" t="str">
        <f aca="false">VLOOKUP($A7102,INSUMOS_AUX!$A$3:$H$813,3,0)</f>
        <v>MAT.</v>
      </c>
      <c r="D7102" s="156" t="s">
        <v>1444</v>
      </c>
      <c r="E7102" s="154" t="n">
        <v>1.3559</v>
      </c>
      <c r="F7102" s="149" t="n">
        <f aca="false">IF(C7102="MAT.",VLOOKUP(A7102,INSUMOS_AUX!$A$3:$H$813,6,0),0)</f>
        <v>1.43</v>
      </c>
      <c r="G7102" s="149" t="n">
        <f aca="false">IF(C7102="M.O.",VLOOKUP(A7102,INSUMOS_AUX!A:F,6,0),0)</f>
        <v>0</v>
      </c>
    </row>
    <row r="7103" customFormat="false" ht="21" hidden="false" customHeight="false" outlineLevel="0" collapsed="false">
      <c r="A7103" s="154" t="n">
        <v>43466</v>
      </c>
      <c r="B7103" s="155" t="s">
        <v>1509</v>
      </c>
      <c r="C7103" s="148" t="str">
        <f aca="false">VLOOKUP($A7103,INSUMOS_AUX!$A$3:$H$813,3,0)</f>
        <v>MAT.</v>
      </c>
      <c r="D7103" s="156" t="s">
        <v>1444</v>
      </c>
      <c r="E7103" s="154" t="n">
        <v>1.3559</v>
      </c>
      <c r="F7103" s="149" t="n">
        <f aca="false">IF(C7103="MAT.",VLOOKUP(A7103,INSUMOS_AUX!$A$3:$H$813,6,0),0)</f>
        <v>2.05</v>
      </c>
      <c r="G7103" s="149" t="n">
        <f aca="false">IF(C7103="M.O.",VLOOKUP(A7103,INSUMOS_AUX!A:F,6,0),0)</f>
        <v>0</v>
      </c>
    </row>
    <row r="7104" customFormat="false" ht="21" hidden="false" customHeight="false" outlineLevel="0" collapsed="false">
      <c r="A7104" s="154" t="n">
        <v>37373</v>
      </c>
      <c r="B7104" s="155" t="s">
        <v>1448</v>
      </c>
      <c r="C7104" s="148" t="str">
        <f aca="false">VLOOKUP($A7104,INSUMOS_AUX!$A$3:$H$813,3,0)</f>
        <v>MAT.</v>
      </c>
      <c r="D7104" s="156" t="s">
        <v>1444</v>
      </c>
      <c r="E7104" s="154" t="n">
        <v>1.3559</v>
      </c>
      <c r="F7104" s="149" t="n">
        <f aca="false">IF(C7104="MAT.",VLOOKUP(A7104,INSUMOS_AUX!$A$3:$H$813,6,0),0)</f>
        <v>0.08</v>
      </c>
      <c r="G7104" s="149" t="n">
        <f aca="false">IF(C7104="M.O.",VLOOKUP(A7104,INSUMOS_AUX!A:F,6,0),0)</f>
        <v>0</v>
      </c>
    </row>
    <row r="7105" customFormat="false" ht="21" hidden="false" customHeight="false" outlineLevel="0" collapsed="false">
      <c r="A7105" s="154" t="n">
        <v>37371</v>
      </c>
      <c r="B7105" s="155" t="s">
        <v>1449</v>
      </c>
      <c r="C7105" s="148" t="str">
        <f aca="false">VLOOKUP($A7105,INSUMOS_AUX!$A$3:$H$813,3,0)</f>
        <v>MAT.</v>
      </c>
      <c r="D7105" s="156" t="s">
        <v>1444</v>
      </c>
      <c r="E7105" s="154" t="n">
        <v>1.3559</v>
      </c>
      <c r="F7105" s="149" t="n">
        <f aca="false">IF(C7105="MAT.",VLOOKUP(A7105,INSUMOS_AUX!$A$3:$H$813,6,0),0)</f>
        <v>0.59</v>
      </c>
      <c r="G7105" s="149" t="n">
        <f aca="false">IF(C7105="M.O.",VLOOKUP(A7105,INSUMOS_AUX!A:F,6,0),0)</f>
        <v>0</v>
      </c>
    </row>
    <row r="7106" customFormat="false" ht="15" hidden="false" customHeight="false" outlineLevel="0" collapsed="false">
      <c r="A7106" s="154" t="n">
        <v>5318</v>
      </c>
      <c r="B7106" s="155" t="s">
        <v>1732</v>
      </c>
      <c r="C7106" s="148" t="str">
        <f aca="false">VLOOKUP($A7106,INSUMOS_AUX!$A$3:$H$813,3,0)</f>
        <v>MAT.</v>
      </c>
      <c r="D7106" s="156" t="s">
        <v>1452</v>
      </c>
      <c r="E7106" s="154" t="n">
        <v>0.0255</v>
      </c>
      <c r="F7106" s="149" t="n">
        <f aca="false">IF(C7106="MAT.",VLOOKUP(A7106,INSUMOS_AUX!$A$3:$H$813,6,0),0)</f>
        <v>20.54</v>
      </c>
      <c r="G7106" s="149" t="n">
        <f aca="false">IF(C7106="M.O.",VLOOKUP(A7106,INSUMOS_AUX!A:F,6,0),0)</f>
        <v>0</v>
      </c>
    </row>
    <row r="7107" customFormat="false" ht="15" hidden="false" customHeight="false" outlineLevel="0" collapsed="false">
      <c r="A7107" s="154" t="n">
        <v>7311</v>
      </c>
      <c r="B7107" s="155" t="s">
        <v>1881</v>
      </c>
      <c r="C7107" s="148" t="str">
        <f aca="false">VLOOKUP($A7107,INSUMOS_AUX!$A$3:$H$813,3,0)</f>
        <v>MAT.</v>
      </c>
      <c r="D7107" s="156" t="s">
        <v>1452</v>
      </c>
      <c r="E7107" s="154" t="n">
        <v>0.2549</v>
      </c>
      <c r="F7107" s="149" t="n">
        <f aca="false">IF(C7107="MAT.",VLOOKUP(A7107,INSUMOS_AUX!$A$3:$H$813,6,0),0)</f>
        <v>41.49</v>
      </c>
      <c r="G7107" s="149" t="n">
        <f aca="false">IF(C7107="M.O.",VLOOKUP(A7107,INSUMOS_AUX!A:F,6,0),0)</f>
        <v>0</v>
      </c>
    </row>
    <row r="7108" customFormat="false" ht="15" hidden="false" customHeight="false" outlineLevel="0" collapsed="false">
      <c r="A7108" s="154" t="n">
        <v>4783</v>
      </c>
      <c r="B7108" s="155" t="s">
        <v>1517</v>
      </c>
      <c r="C7108" s="148" t="str">
        <f aca="false">VLOOKUP($A7108,INSUMOS_AUX!$A$3:$H$813,3,0)</f>
        <v>M.O.</v>
      </c>
      <c r="D7108" s="156" t="s">
        <v>1444</v>
      </c>
      <c r="E7108" s="154" t="n">
        <v>1.375913084</v>
      </c>
      <c r="F7108" s="149" t="n">
        <f aca="false">IF(C7108="MAT.",VLOOKUP(A7108,INSUMOS_AUX!$A$3:$H$813,6,0),0)</f>
        <v>0</v>
      </c>
      <c r="G7108" s="149" t="n">
        <f aca="false">IF(C7108="M.O.",VLOOKUP(A7108,INSUMOS_AUX!A:F,6,0),0)</f>
        <v>20.22</v>
      </c>
    </row>
    <row r="7109" customFormat="false" ht="21" hidden="false" customHeight="false" outlineLevel="0" collapsed="false">
      <c r="A7109" s="150" t="n">
        <v>95248</v>
      </c>
      <c r="B7109" s="151" t="s">
        <v>2752</v>
      </c>
      <c r="C7109" s="152" t="s">
        <v>59</v>
      </c>
      <c r="D7109" s="152" t="s">
        <v>31</v>
      </c>
      <c r="E7109" s="150"/>
      <c r="F7109" s="153" t="n">
        <f aca="false">(SUMPRODUCT($E7110:$E7119,F7110:F7119))*1</f>
        <v>47.644152</v>
      </c>
      <c r="G7109" s="153" t="n">
        <f aca="false">(SUMPRODUCT($E7110:$E7119,G7110:G7119))*1</f>
        <v>2.45049367176</v>
      </c>
    </row>
    <row r="7110" customFormat="false" ht="21" hidden="false" customHeight="false" outlineLevel="0" collapsed="false">
      <c r="A7110" s="154" t="n">
        <v>37370</v>
      </c>
      <c r="B7110" s="155" t="s">
        <v>1443</v>
      </c>
      <c r="C7110" s="148" t="str">
        <f aca="false">VLOOKUP($A7110,INSUMOS_AUX!$A$3:$H$813,3,0)</f>
        <v>MAT.</v>
      </c>
      <c r="D7110" s="156" t="s">
        <v>1444</v>
      </c>
      <c r="E7110" s="154" t="n">
        <v>0.1438</v>
      </c>
      <c r="F7110" s="149" t="n">
        <f aca="false">IF(C7110="MAT.",VLOOKUP(A7110,INSUMOS_AUX!$A$3:$H$813,6,0),0)</f>
        <v>3.32</v>
      </c>
      <c r="G7110" s="149" t="n">
        <f aca="false">IF(C7110="M.O.",VLOOKUP(A7110,INSUMOS_AUX!A:F,6,0),0)</f>
        <v>0</v>
      </c>
    </row>
    <row r="7111" customFormat="false" ht="21" hidden="false" customHeight="false" outlineLevel="0" collapsed="false">
      <c r="A7111" s="154" t="n">
        <v>43485</v>
      </c>
      <c r="B7111" s="155" t="s">
        <v>1481</v>
      </c>
      <c r="C7111" s="148" t="str">
        <f aca="false">VLOOKUP($A7111,INSUMOS_AUX!$A$3:$H$813,3,0)</f>
        <v>MAT.</v>
      </c>
      <c r="D7111" s="156" t="s">
        <v>1444</v>
      </c>
      <c r="E7111" s="154" t="n">
        <v>0.1438</v>
      </c>
      <c r="F7111" s="149" t="n">
        <f aca="false">IF(C7111="MAT.",VLOOKUP(A7111,INSUMOS_AUX!$A$3:$H$813,6,0),0)</f>
        <v>1.13</v>
      </c>
      <c r="G7111" s="149" t="n">
        <f aca="false">IF(C7111="M.O.",VLOOKUP(A7111,INSUMOS_AUX!A:F,6,0),0)</f>
        <v>0</v>
      </c>
    </row>
    <row r="7112" customFormat="false" ht="21" hidden="false" customHeight="false" outlineLevel="0" collapsed="false">
      <c r="A7112" s="154" t="n">
        <v>37372</v>
      </c>
      <c r="B7112" s="155" t="s">
        <v>1446</v>
      </c>
      <c r="C7112" s="148" t="str">
        <f aca="false">VLOOKUP($A7112,INSUMOS_AUX!$A$3:$H$813,3,0)</f>
        <v>MAT.</v>
      </c>
      <c r="D7112" s="156" t="s">
        <v>1444</v>
      </c>
      <c r="E7112" s="154" t="n">
        <v>0.1438</v>
      </c>
      <c r="F7112" s="149" t="n">
        <f aca="false">IF(C7112="MAT.",VLOOKUP(A7112,INSUMOS_AUX!$A$3:$H$813,6,0),0)</f>
        <v>1.43</v>
      </c>
      <c r="G7112" s="149" t="n">
        <f aca="false">IF(C7112="M.O.",VLOOKUP(A7112,INSUMOS_AUX!A:F,6,0),0)</f>
        <v>0</v>
      </c>
    </row>
    <row r="7113" customFormat="false" ht="21" hidden="false" customHeight="false" outlineLevel="0" collapsed="false">
      <c r="A7113" s="154" t="n">
        <v>43461</v>
      </c>
      <c r="B7113" s="155" t="s">
        <v>1482</v>
      </c>
      <c r="C7113" s="148" t="str">
        <f aca="false">VLOOKUP($A7113,INSUMOS_AUX!$A$3:$H$813,3,0)</f>
        <v>MAT.</v>
      </c>
      <c r="D7113" s="156" t="s">
        <v>1444</v>
      </c>
      <c r="E7113" s="154" t="n">
        <v>0.1438</v>
      </c>
      <c r="F7113" s="149" t="n">
        <f aca="false">IF(C7113="MAT.",VLOOKUP(A7113,INSUMOS_AUX!$A$3:$H$813,6,0),0)</f>
        <v>0.31</v>
      </c>
      <c r="G7113" s="149" t="n">
        <f aca="false">IF(C7113="M.O.",VLOOKUP(A7113,INSUMOS_AUX!A:F,6,0),0)</f>
        <v>0</v>
      </c>
    </row>
    <row r="7114" customFormat="false" ht="21" hidden="false" customHeight="false" outlineLevel="0" collapsed="false">
      <c r="A7114" s="154" t="n">
        <v>37373</v>
      </c>
      <c r="B7114" s="155" t="s">
        <v>1448</v>
      </c>
      <c r="C7114" s="148" t="str">
        <f aca="false">VLOOKUP($A7114,INSUMOS_AUX!$A$3:$H$813,3,0)</f>
        <v>MAT.</v>
      </c>
      <c r="D7114" s="156" t="s">
        <v>1444</v>
      </c>
      <c r="E7114" s="154" t="n">
        <v>0.1438</v>
      </c>
      <c r="F7114" s="149" t="n">
        <f aca="false">IF(C7114="MAT.",VLOOKUP(A7114,INSUMOS_AUX!$A$3:$H$813,6,0),0)</f>
        <v>0.08</v>
      </c>
      <c r="G7114" s="149" t="n">
        <f aca="false">IF(C7114="M.O.",VLOOKUP(A7114,INSUMOS_AUX!A:F,6,0),0)</f>
        <v>0</v>
      </c>
    </row>
    <row r="7115" customFormat="false" ht="21" hidden="false" customHeight="false" outlineLevel="0" collapsed="false">
      <c r="A7115" s="154" t="n">
        <v>37371</v>
      </c>
      <c r="B7115" s="155" t="s">
        <v>1449</v>
      </c>
      <c r="C7115" s="148" t="str">
        <f aca="false">VLOOKUP($A7115,INSUMOS_AUX!$A$3:$H$813,3,0)</f>
        <v>MAT.</v>
      </c>
      <c r="D7115" s="156" t="s">
        <v>1444</v>
      </c>
      <c r="E7115" s="154" t="n">
        <v>0.1438</v>
      </c>
      <c r="F7115" s="149" t="n">
        <f aca="false">IF(C7115="MAT.",VLOOKUP(A7115,INSUMOS_AUX!$A$3:$H$813,6,0),0)</f>
        <v>0.59</v>
      </c>
      <c r="G7115" s="149" t="n">
        <f aca="false">IF(C7115="M.O.",VLOOKUP(A7115,INSUMOS_AUX!A:F,6,0),0)</f>
        <v>0</v>
      </c>
    </row>
    <row r="7116" customFormat="false" ht="15" hidden="false" customHeight="false" outlineLevel="0" collapsed="false">
      <c r="A7116" s="154" t="n">
        <v>3148</v>
      </c>
      <c r="B7116" s="155" t="s">
        <v>2085</v>
      </c>
      <c r="C7116" s="148" t="str">
        <f aca="false">VLOOKUP($A7116,INSUMOS_AUX!$A$3:$H$813,3,0)</f>
        <v>MAT.</v>
      </c>
      <c r="D7116" s="156" t="s">
        <v>31</v>
      </c>
      <c r="E7116" s="154" t="n">
        <v>0.0084</v>
      </c>
      <c r="F7116" s="149" t="n">
        <f aca="false">IF(C7116="MAT.",VLOOKUP(A7116,INSUMOS_AUX!$A$3:$H$813,6,0),0)</f>
        <v>14.01</v>
      </c>
      <c r="G7116" s="149" t="n">
        <f aca="false">IF(C7116="M.O.",VLOOKUP(A7116,INSUMOS_AUX!A:F,6,0),0)</f>
        <v>0</v>
      </c>
    </row>
    <row r="7117" customFormat="false" ht="15" hidden="false" customHeight="false" outlineLevel="0" collapsed="false">
      <c r="A7117" s="154" t="n">
        <v>11748</v>
      </c>
      <c r="B7117" s="155" t="s">
        <v>2753</v>
      </c>
      <c r="C7117" s="148" t="str">
        <f aca="false">VLOOKUP($A7117,INSUMOS_AUX!$A$3:$H$813,3,0)</f>
        <v>MAT.</v>
      </c>
      <c r="D7117" s="156" t="s">
        <v>31</v>
      </c>
      <c r="E7117" s="154" t="n">
        <v>1</v>
      </c>
      <c r="F7117" s="149" t="n">
        <f aca="false">IF(C7117="MAT.",VLOOKUP(A7117,INSUMOS_AUX!$A$3:$H$813,6,0),0)</f>
        <v>46.54</v>
      </c>
      <c r="G7117" s="149" t="n">
        <f aca="false">IF(C7117="M.O.",VLOOKUP(A7117,INSUMOS_AUX!A:F,6,0),0)</f>
        <v>0</v>
      </c>
    </row>
    <row r="7118" customFormat="false" ht="15" hidden="false" customHeight="false" outlineLevel="0" collapsed="false">
      <c r="A7118" s="154" t="n">
        <v>246</v>
      </c>
      <c r="B7118" s="155" t="s">
        <v>1752</v>
      </c>
      <c r="C7118" s="148" t="str">
        <f aca="false">VLOOKUP($A7118,INSUMOS_AUX!$A$3:$H$813,3,0)</f>
        <v>M.O.</v>
      </c>
      <c r="D7118" s="156" t="s">
        <v>1444</v>
      </c>
      <c r="E7118" s="154" t="n">
        <v>0.073192762</v>
      </c>
      <c r="F7118" s="149" t="n">
        <f aca="false">IF(C7118="MAT.",VLOOKUP(A7118,INSUMOS_AUX!$A$3:$H$813,6,0),0)</f>
        <v>0</v>
      </c>
      <c r="G7118" s="149" t="n">
        <f aca="false">IF(C7118="M.O.",VLOOKUP(A7118,INSUMOS_AUX!A:F,6,0),0)</f>
        <v>13.26</v>
      </c>
    </row>
    <row r="7119" customFormat="false" ht="15" hidden="false" customHeight="false" outlineLevel="0" collapsed="false">
      <c r="A7119" s="154" t="n">
        <v>2696</v>
      </c>
      <c r="B7119" s="155" t="s">
        <v>1483</v>
      </c>
      <c r="C7119" s="148" t="str">
        <f aca="false">VLOOKUP($A7119,INSUMOS_AUX!$A$3:$H$813,3,0)</f>
        <v>M.O.</v>
      </c>
      <c r="D7119" s="156" t="s">
        <v>1444</v>
      </c>
      <c r="E7119" s="154" t="n">
        <v>0.073192762</v>
      </c>
      <c r="F7119" s="149" t="n">
        <f aca="false">IF(C7119="MAT.",VLOOKUP(A7119,INSUMOS_AUX!$A$3:$H$813,6,0),0)</f>
        <v>0</v>
      </c>
      <c r="G7119" s="149" t="n">
        <f aca="false">IF(C7119="M.O.",VLOOKUP(A7119,INSUMOS_AUX!A:F,6,0),0)</f>
        <v>20.22</v>
      </c>
    </row>
    <row r="7120" customFormat="false" ht="21" hidden="false" customHeight="false" outlineLevel="0" collapsed="false">
      <c r="A7120" s="150" t="n">
        <v>100804</v>
      </c>
      <c r="B7120" s="151" t="s">
        <v>2754</v>
      </c>
      <c r="C7120" s="152" t="s">
        <v>59</v>
      </c>
      <c r="D7120" s="152" t="s">
        <v>1455</v>
      </c>
      <c r="E7120" s="150"/>
      <c r="F7120" s="153" t="n">
        <f aca="false">(SUMPRODUCT($E7121:$E7129,F7121:F7129))*1</f>
        <v>15.845714</v>
      </c>
      <c r="G7120" s="153" t="n">
        <f aca="false">(SUMPRODUCT($E7121:$E7129,G7121:G7129))*1</f>
        <v>5.7961643442</v>
      </c>
    </row>
    <row r="7121" customFormat="false" ht="21" hidden="false" customHeight="false" outlineLevel="0" collapsed="false">
      <c r="A7121" s="154" t="n">
        <v>37370</v>
      </c>
      <c r="B7121" s="155" t="s">
        <v>1443</v>
      </c>
      <c r="C7121" s="148" t="s">
        <v>59</v>
      </c>
      <c r="D7121" s="156" t="s">
        <v>1444</v>
      </c>
      <c r="E7121" s="154" t="n">
        <v>0.3061</v>
      </c>
      <c r="F7121" s="149" t="n">
        <f aca="false">IF(C7121="MAT.",VLOOKUP(A7121,INSUMOS_AUX!$A$3:$H$813,6,0),0)</f>
        <v>0</v>
      </c>
      <c r="G7121" s="149" t="n">
        <f aca="false">IF(C7121="M.O.",VLOOKUP(A7121,INSUMOS_AUX!A:F,6,0),0)</f>
        <v>0</v>
      </c>
    </row>
    <row r="7122" customFormat="false" ht="21" hidden="false" customHeight="false" outlineLevel="0" collapsed="false">
      <c r="A7122" s="154" t="n">
        <v>43485</v>
      </c>
      <c r="B7122" s="155" t="s">
        <v>1481</v>
      </c>
      <c r="C7122" s="148" t="str">
        <f aca="false">VLOOKUP($A7122,INSUMOS_AUX!$A$3:$H$813,3,0)</f>
        <v>MAT.</v>
      </c>
      <c r="D7122" s="156" t="s">
        <v>1444</v>
      </c>
      <c r="E7122" s="154" t="n">
        <v>0.3061</v>
      </c>
      <c r="F7122" s="149" t="n">
        <f aca="false">IF(C7122="MAT.",VLOOKUP(A7122,INSUMOS_AUX!$A$3:$H$813,6,0),0)</f>
        <v>1.13</v>
      </c>
      <c r="G7122" s="149" t="n">
        <f aca="false">IF(C7122="M.O.",VLOOKUP(A7122,INSUMOS_AUX!A:F,6,0),0)</f>
        <v>0</v>
      </c>
    </row>
    <row r="7123" customFormat="false" ht="21" hidden="false" customHeight="false" outlineLevel="0" collapsed="false">
      <c r="A7123" s="154" t="n">
        <v>37372</v>
      </c>
      <c r="B7123" s="155" t="s">
        <v>1446</v>
      </c>
      <c r="C7123" s="148" t="str">
        <f aca="false">VLOOKUP($A7123,INSUMOS_AUX!$A$3:$H$813,3,0)</f>
        <v>MAT.</v>
      </c>
      <c r="D7123" s="156" t="s">
        <v>1444</v>
      </c>
      <c r="E7123" s="154" t="n">
        <v>0.3061</v>
      </c>
      <c r="F7123" s="149" t="n">
        <f aca="false">IF(C7123="MAT.",VLOOKUP(A7123,INSUMOS_AUX!$A$3:$H$813,6,0),0)</f>
        <v>1.43</v>
      </c>
      <c r="G7123" s="149" t="n">
        <f aca="false">IF(C7123="M.O.",VLOOKUP(A7123,INSUMOS_AUX!A:F,6,0),0)</f>
        <v>0</v>
      </c>
    </row>
    <row r="7124" customFormat="false" ht="21" hidden="false" customHeight="false" outlineLevel="0" collapsed="false">
      <c r="A7124" s="154" t="n">
        <v>43461</v>
      </c>
      <c r="B7124" s="155" t="s">
        <v>1482</v>
      </c>
      <c r="C7124" s="148" t="str">
        <f aca="false">VLOOKUP($A7124,INSUMOS_AUX!$A$3:$H$813,3,0)</f>
        <v>MAT.</v>
      </c>
      <c r="D7124" s="156" t="s">
        <v>1444</v>
      </c>
      <c r="E7124" s="154" t="n">
        <v>0.3061</v>
      </c>
      <c r="F7124" s="149" t="n">
        <f aca="false">IF(C7124="MAT.",VLOOKUP(A7124,INSUMOS_AUX!$A$3:$H$813,6,0),0)</f>
        <v>0.31</v>
      </c>
      <c r="G7124" s="149" t="n">
        <f aca="false">IF(C7124="M.O.",VLOOKUP(A7124,INSUMOS_AUX!A:F,6,0),0)</f>
        <v>0</v>
      </c>
    </row>
    <row r="7125" customFormat="false" ht="21" hidden="false" customHeight="false" outlineLevel="0" collapsed="false">
      <c r="A7125" s="154" t="n">
        <v>37373</v>
      </c>
      <c r="B7125" s="155" t="s">
        <v>1448</v>
      </c>
      <c r="C7125" s="148" t="str">
        <f aca="false">VLOOKUP($A7125,INSUMOS_AUX!$A$3:$H$813,3,0)</f>
        <v>MAT.</v>
      </c>
      <c r="D7125" s="156" t="s">
        <v>1444</v>
      </c>
      <c r="E7125" s="154" t="n">
        <v>0.3061</v>
      </c>
      <c r="F7125" s="149" t="n">
        <f aca="false">IF(C7125="MAT.",VLOOKUP(A7125,INSUMOS_AUX!$A$3:$H$813,6,0),0)</f>
        <v>0.08</v>
      </c>
      <c r="G7125" s="149" t="n">
        <f aca="false">IF(C7125="M.O.",VLOOKUP(A7125,INSUMOS_AUX!A:F,6,0),0)</f>
        <v>0</v>
      </c>
    </row>
    <row r="7126" customFormat="false" ht="21" hidden="false" customHeight="false" outlineLevel="0" collapsed="false">
      <c r="A7126" s="154" t="n">
        <v>37371</v>
      </c>
      <c r="B7126" s="155" t="s">
        <v>1449</v>
      </c>
      <c r="C7126" s="148" t="str">
        <f aca="false">VLOOKUP($A7126,INSUMOS_AUX!$A$3:$H$813,3,0)</f>
        <v>MAT.</v>
      </c>
      <c r="D7126" s="156" t="s">
        <v>1444</v>
      </c>
      <c r="E7126" s="154" t="n">
        <v>0.3061</v>
      </c>
      <c r="F7126" s="149" t="n">
        <f aca="false">IF(C7126="MAT.",VLOOKUP(A7126,INSUMOS_AUX!$A$3:$H$813,6,0),0)</f>
        <v>0.59</v>
      </c>
      <c r="G7126" s="149" t="n">
        <f aca="false">IF(C7126="M.O.",VLOOKUP(A7126,INSUMOS_AUX!A:F,6,0),0)</f>
        <v>0</v>
      </c>
    </row>
    <row r="7127" customFormat="false" ht="15" hidden="false" customHeight="false" outlineLevel="0" collapsed="false">
      <c r="A7127" s="154" t="n">
        <v>38829</v>
      </c>
      <c r="B7127" s="155" t="s">
        <v>2755</v>
      </c>
      <c r="C7127" s="148" t="str">
        <f aca="false">VLOOKUP($A7127,INSUMOS_AUX!$A$3:$H$813,3,0)</f>
        <v>MAT.</v>
      </c>
      <c r="D7127" s="156" t="s">
        <v>1455</v>
      </c>
      <c r="E7127" s="154" t="n">
        <v>1.0216</v>
      </c>
      <c r="F7127" s="149" t="n">
        <f aca="false">IF(C7127="MAT.",VLOOKUP(A7127,INSUMOS_AUX!$A$3:$H$813,6,0),0)</f>
        <v>14.45</v>
      </c>
      <c r="G7127" s="149" t="n">
        <f aca="false">IF(C7127="M.O.",VLOOKUP(A7127,INSUMOS_AUX!A:F,6,0),0)</f>
        <v>0</v>
      </c>
    </row>
    <row r="7128" customFormat="false" ht="15" hidden="false" customHeight="false" outlineLevel="0" collapsed="false">
      <c r="A7128" s="154" t="n">
        <v>246</v>
      </c>
      <c r="B7128" s="155" t="s">
        <v>1752</v>
      </c>
      <c r="C7128" s="148" t="str">
        <f aca="false">VLOOKUP($A7128,INSUMOS_AUX!$A$3:$H$813,3,0)</f>
        <v>M.O.</v>
      </c>
      <c r="D7128" s="156" t="s">
        <v>1444</v>
      </c>
      <c r="E7128" s="154" t="n">
        <v>0.072480176</v>
      </c>
      <c r="F7128" s="149" t="n">
        <f aca="false">IF(C7128="MAT.",VLOOKUP(A7128,INSUMOS_AUX!$A$3:$H$813,6,0),0)</f>
        <v>0</v>
      </c>
      <c r="G7128" s="149" t="n">
        <f aca="false">IF(C7128="M.O.",VLOOKUP(A7128,INSUMOS_AUX!A:F,6,0),0)</f>
        <v>13.26</v>
      </c>
    </row>
    <row r="7129" customFormat="false" ht="15" hidden="false" customHeight="false" outlineLevel="0" collapsed="false">
      <c r="A7129" s="154" t="n">
        <v>2696</v>
      </c>
      <c r="B7129" s="155" t="s">
        <v>1483</v>
      </c>
      <c r="C7129" s="148" t="str">
        <f aca="false">VLOOKUP($A7129,INSUMOS_AUX!$A$3:$H$813,3,0)</f>
        <v>M.O.</v>
      </c>
      <c r="D7129" s="156" t="s">
        <v>1444</v>
      </c>
      <c r="E7129" s="154" t="n">
        <v>0.239123502</v>
      </c>
      <c r="F7129" s="149" t="n">
        <f aca="false">IF(C7129="MAT.",VLOOKUP(A7129,INSUMOS_AUX!$A$3:$H$813,6,0),0)</f>
        <v>0</v>
      </c>
      <c r="G7129" s="149" t="n">
        <f aca="false">IF(C7129="M.O.",VLOOKUP(A7129,INSUMOS_AUX!A:F,6,0),0)</f>
        <v>20.22</v>
      </c>
    </row>
    <row r="7130" customFormat="false" ht="31.5" hidden="false" customHeight="false" outlineLevel="0" collapsed="false">
      <c r="A7130" s="150" t="n">
        <v>96852</v>
      </c>
      <c r="B7130" s="151" t="s">
        <v>2756</v>
      </c>
      <c r="C7130" s="152" t="s">
        <v>59</v>
      </c>
      <c r="D7130" s="152" t="s">
        <v>31</v>
      </c>
      <c r="E7130" s="150"/>
      <c r="F7130" s="153" t="n">
        <f aca="false">(SUMPRODUCT($E7131:$E7139,F7131:F7139))*1</f>
        <v>14.833804</v>
      </c>
      <c r="G7130" s="153" t="n">
        <f aca="false">(SUMPRODUCT($E7131:$E7139,G7131:G7139))*1</f>
        <v>5.58768407616</v>
      </c>
    </row>
    <row r="7131" customFormat="false" ht="21" hidden="false" customHeight="false" outlineLevel="0" collapsed="false">
      <c r="A7131" s="154" t="n">
        <v>37370</v>
      </c>
      <c r="B7131" s="155" t="s">
        <v>1443</v>
      </c>
      <c r="C7131" s="148" t="str">
        <f aca="false">VLOOKUP($A7131,INSUMOS_AUX!$A$3:$H$813,3,0)</f>
        <v>MAT.</v>
      </c>
      <c r="D7131" s="156" t="s">
        <v>1444</v>
      </c>
      <c r="E7131" s="154" t="n">
        <v>0.3148</v>
      </c>
      <c r="F7131" s="149" t="n">
        <f aca="false">IF(C7131="MAT.",VLOOKUP(A7131,INSUMOS_AUX!$A$3:$H$813,6,0),0)</f>
        <v>3.32</v>
      </c>
      <c r="G7131" s="149" t="n">
        <f aca="false">IF(C7131="M.O.",VLOOKUP(A7131,INSUMOS_AUX!A:F,6,0),0)</f>
        <v>0</v>
      </c>
    </row>
    <row r="7132" customFormat="false" ht="21" hidden="false" customHeight="false" outlineLevel="0" collapsed="false">
      <c r="A7132" s="154" t="n">
        <v>43485</v>
      </c>
      <c r="B7132" s="155" t="s">
        <v>1481</v>
      </c>
      <c r="C7132" s="148" t="s">
        <v>59</v>
      </c>
      <c r="D7132" s="156" t="s">
        <v>1444</v>
      </c>
      <c r="E7132" s="154" t="n">
        <v>0.3148</v>
      </c>
      <c r="F7132" s="149" t="n">
        <f aca="false">IF(C7132="MAT.",VLOOKUP(A7132,INSUMOS_AUX!$A$3:$H$813,6,0),0)</f>
        <v>0</v>
      </c>
      <c r="G7132" s="149" t="n">
        <f aca="false">IF(C7132="M.O.",VLOOKUP(A7132,INSUMOS_AUX!A:F,6,0),0)</f>
        <v>0</v>
      </c>
    </row>
    <row r="7133" customFormat="false" ht="21" hidden="false" customHeight="false" outlineLevel="0" collapsed="false">
      <c r="A7133" s="154" t="n">
        <v>37372</v>
      </c>
      <c r="B7133" s="155" t="s">
        <v>1446</v>
      </c>
      <c r="C7133" s="148" t="str">
        <f aca="false">VLOOKUP($A7133,INSUMOS_AUX!$A$3:$H$813,3,0)</f>
        <v>MAT.</v>
      </c>
      <c r="D7133" s="156" t="s">
        <v>1444</v>
      </c>
      <c r="E7133" s="154" t="n">
        <v>0.3148</v>
      </c>
      <c r="F7133" s="149" t="n">
        <f aca="false">IF(C7133="MAT.",VLOOKUP(A7133,INSUMOS_AUX!$A$3:$H$813,6,0),0)</f>
        <v>1.43</v>
      </c>
      <c r="G7133" s="149" t="n">
        <f aca="false">IF(C7133="M.O.",VLOOKUP(A7133,INSUMOS_AUX!A:F,6,0),0)</f>
        <v>0</v>
      </c>
    </row>
    <row r="7134" customFormat="false" ht="21" hidden="false" customHeight="false" outlineLevel="0" collapsed="false">
      <c r="A7134" s="154" t="n">
        <v>43461</v>
      </c>
      <c r="B7134" s="155" t="s">
        <v>1482</v>
      </c>
      <c r="C7134" s="148" t="str">
        <f aca="false">VLOOKUP($A7134,INSUMOS_AUX!$A$3:$H$813,3,0)</f>
        <v>MAT.</v>
      </c>
      <c r="D7134" s="156" t="s">
        <v>1444</v>
      </c>
      <c r="E7134" s="154" t="n">
        <v>0.3148</v>
      </c>
      <c r="F7134" s="149" t="n">
        <f aca="false">IF(C7134="MAT.",VLOOKUP(A7134,INSUMOS_AUX!$A$3:$H$813,6,0),0)</f>
        <v>0.31</v>
      </c>
      <c r="G7134" s="149" t="n">
        <f aca="false">IF(C7134="M.O.",VLOOKUP(A7134,INSUMOS_AUX!A:F,6,0),0)</f>
        <v>0</v>
      </c>
    </row>
    <row r="7135" customFormat="false" ht="21" hidden="false" customHeight="false" outlineLevel="0" collapsed="false">
      <c r="A7135" s="154" t="n">
        <v>37373</v>
      </c>
      <c r="B7135" s="155" t="s">
        <v>1448</v>
      </c>
      <c r="C7135" s="148" t="str">
        <f aca="false">VLOOKUP($A7135,INSUMOS_AUX!$A$3:$H$813,3,0)</f>
        <v>MAT.</v>
      </c>
      <c r="D7135" s="156" t="s">
        <v>1444</v>
      </c>
      <c r="E7135" s="154" t="n">
        <v>0.3148</v>
      </c>
      <c r="F7135" s="149" t="n">
        <f aca="false">IF(C7135="MAT.",VLOOKUP(A7135,INSUMOS_AUX!$A$3:$H$813,6,0),0)</f>
        <v>0.08</v>
      </c>
      <c r="G7135" s="149" t="n">
        <f aca="false">IF(C7135="M.O.",VLOOKUP(A7135,INSUMOS_AUX!A:F,6,0),0)</f>
        <v>0</v>
      </c>
    </row>
    <row r="7136" customFormat="false" ht="21" hidden="false" customHeight="false" outlineLevel="0" collapsed="false">
      <c r="A7136" s="154" t="n">
        <v>37371</v>
      </c>
      <c r="B7136" s="155" t="s">
        <v>1449</v>
      </c>
      <c r="C7136" s="148" t="str">
        <f aca="false">VLOOKUP($A7136,INSUMOS_AUX!$A$3:$H$813,3,0)</f>
        <v>MAT.</v>
      </c>
      <c r="D7136" s="156" t="s">
        <v>1444</v>
      </c>
      <c r="E7136" s="154" t="n">
        <v>0.3148</v>
      </c>
      <c r="F7136" s="149" t="n">
        <f aca="false">IF(C7136="MAT.",VLOOKUP(A7136,INSUMOS_AUX!$A$3:$H$813,6,0),0)</f>
        <v>0.59</v>
      </c>
      <c r="G7136" s="149" t="n">
        <f aca="false">IF(C7136="M.O.",VLOOKUP(A7136,INSUMOS_AUX!A:F,6,0),0)</f>
        <v>0</v>
      </c>
    </row>
    <row r="7137" customFormat="false" ht="21" hidden="false" customHeight="false" outlineLevel="0" collapsed="false">
      <c r="A7137" s="154" t="n">
        <v>39301</v>
      </c>
      <c r="B7137" s="155" t="s">
        <v>2757</v>
      </c>
      <c r="C7137" s="148" t="str">
        <f aca="false">VLOOKUP($A7137,INSUMOS_AUX!$A$3:$H$813,3,0)</f>
        <v>MAT.</v>
      </c>
      <c r="D7137" s="156" t="s">
        <v>31</v>
      </c>
      <c r="E7137" s="154" t="n">
        <v>1</v>
      </c>
      <c r="F7137" s="149" t="n">
        <f aca="false">IF(C7137="MAT.",VLOOKUP(A7137,INSUMOS_AUX!$A$3:$H$813,6,0),0)</f>
        <v>13.03</v>
      </c>
      <c r="G7137" s="149" t="n">
        <f aca="false">IF(C7137="M.O.",VLOOKUP(A7137,INSUMOS_AUX!A:F,6,0),0)</f>
        <v>0</v>
      </c>
    </row>
    <row r="7138" customFormat="false" ht="15" hidden="false" customHeight="false" outlineLevel="0" collapsed="false">
      <c r="A7138" s="154" t="n">
        <v>246</v>
      </c>
      <c r="B7138" s="155" t="s">
        <v>1752</v>
      </c>
      <c r="C7138" s="148" t="str">
        <f aca="false">VLOOKUP($A7138,INSUMOS_AUX!$A$3:$H$813,3,0)</f>
        <v>M.O.</v>
      </c>
      <c r="D7138" s="156" t="s">
        <v>1444</v>
      </c>
      <c r="E7138" s="154" t="n">
        <v>0.128163682</v>
      </c>
      <c r="F7138" s="149" t="n">
        <f aca="false">IF(C7138="MAT.",VLOOKUP(A7138,INSUMOS_AUX!$A$3:$H$813,6,0),0)</f>
        <v>0</v>
      </c>
      <c r="G7138" s="149" t="n">
        <f aca="false">IF(C7138="M.O.",VLOOKUP(A7138,INSUMOS_AUX!A:F,6,0),0)</f>
        <v>13.26</v>
      </c>
    </row>
    <row r="7139" customFormat="false" ht="15" hidden="false" customHeight="false" outlineLevel="0" collapsed="false">
      <c r="A7139" s="154" t="n">
        <v>2696</v>
      </c>
      <c r="B7139" s="155" t="s">
        <v>1483</v>
      </c>
      <c r="C7139" s="148" t="str">
        <f aca="false">VLOOKUP($A7139,INSUMOS_AUX!$A$3:$H$813,3,0)</f>
        <v>M.O.</v>
      </c>
      <c r="D7139" s="156" t="s">
        <v>1444</v>
      </c>
      <c r="E7139" s="154" t="n">
        <v>0.192296422</v>
      </c>
      <c r="F7139" s="149" t="n">
        <f aca="false">IF(C7139="MAT.",VLOOKUP(A7139,INSUMOS_AUX!$A$3:$H$813,6,0),0)</f>
        <v>0</v>
      </c>
      <c r="G7139" s="149" t="n">
        <f aca="false">IF(C7139="M.O.",VLOOKUP(A7139,INSUMOS_AUX!A:F,6,0),0)</f>
        <v>20.22</v>
      </c>
    </row>
    <row r="7140" customFormat="false" ht="31.5" hidden="false" customHeight="false" outlineLevel="0" collapsed="false">
      <c r="A7140" s="150" t="n">
        <v>96827</v>
      </c>
      <c r="B7140" s="151" t="s">
        <v>2758</v>
      </c>
      <c r="C7140" s="152" t="s">
        <v>59</v>
      </c>
      <c r="D7140" s="152" t="s">
        <v>31</v>
      </c>
      <c r="E7140" s="150"/>
      <c r="F7140" s="153" t="n">
        <f aca="false">(SUMPRODUCT($E7141:$E7150,F7141:F7150))*1</f>
        <v>12.940356</v>
      </c>
      <c r="G7140" s="153" t="n">
        <f aca="false">(SUMPRODUCT($E7141:$E7150,G7141:G7150))*1</f>
        <v>5.63887421844</v>
      </c>
    </row>
    <row r="7141" customFormat="false" ht="21" hidden="false" customHeight="false" outlineLevel="0" collapsed="false">
      <c r="A7141" s="154" t="n">
        <v>37370</v>
      </c>
      <c r="B7141" s="155" t="s">
        <v>1443</v>
      </c>
      <c r="C7141" s="148" t="str">
        <f aca="false">VLOOKUP($A7141,INSUMOS_AUX!$A$3:$H$813,3,0)</f>
        <v>MAT.</v>
      </c>
      <c r="D7141" s="156" t="s">
        <v>1444</v>
      </c>
      <c r="E7141" s="154" t="n">
        <v>0.3177</v>
      </c>
      <c r="F7141" s="149" t="n">
        <f aca="false">IF(C7141="MAT.",VLOOKUP(A7141,INSUMOS_AUX!$A$3:$H$813,6,0),0)</f>
        <v>3.32</v>
      </c>
      <c r="G7141" s="149" t="n">
        <f aca="false">IF(C7141="M.O.",VLOOKUP(A7141,INSUMOS_AUX!A:F,6,0),0)</f>
        <v>0</v>
      </c>
    </row>
    <row r="7142" customFormat="false" ht="21" hidden="false" customHeight="false" outlineLevel="0" collapsed="false">
      <c r="A7142" s="154" t="n">
        <v>43485</v>
      </c>
      <c r="B7142" s="155" t="s">
        <v>1481</v>
      </c>
      <c r="C7142" s="148" t="str">
        <f aca="false">VLOOKUP($A7142,INSUMOS_AUX!$A$3:$H$813,3,0)</f>
        <v>MAT.</v>
      </c>
      <c r="D7142" s="156" t="s">
        <v>1444</v>
      </c>
      <c r="E7142" s="154" t="n">
        <v>0.3177</v>
      </c>
      <c r="F7142" s="149" t="n">
        <f aca="false">IF(C7142="MAT.",VLOOKUP(A7142,INSUMOS_AUX!$A$3:$H$813,6,0),0)</f>
        <v>1.13</v>
      </c>
      <c r="G7142" s="149" t="n">
        <f aca="false">IF(C7142="M.O.",VLOOKUP(A7142,INSUMOS_AUX!A:F,6,0),0)</f>
        <v>0</v>
      </c>
    </row>
    <row r="7143" customFormat="false" ht="21" hidden="false" customHeight="false" outlineLevel="0" collapsed="false">
      <c r="A7143" s="154" t="n">
        <v>37372</v>
      </c>
      <c r="B7143" s="155" t="s">
        <v>1446</v>
      </c>
      <c r="C7143" s="148" t="str">
        <f aca="false">VLOOKUP($A7143,INSUMOS_AUX!$A$3:$H$813,3,0)</f>
        <v>MAT.</v>
      </c>
      <c r="D7143" s="156" t="s">
        <v>1444</v>
      </c>
      <c r="E7143" s="154" t="n">
        <v>0.3177</v>
      </c>
      <c r="F7143" s="149" t="n">
        <f aca="false">IF(C7143="MAT.",VLOOKUP(A7143,INSUMOS_AUX!$A$3:$H$813,6,0),0)</f>
        <v>1.43</v>
      </c>
      <c r="G7143" s="149" t="n">
        <f aca="false">IF(C7143="M.O.",VLOOKUP(A7143,INSUMOS_AUX!A:F,6,0),0)</f>
        <v>0</v>
      </c>
    </row>
    <row r="7144" customFormat="false" ht="21" hidden="false" customHeight="false" outlineLevel="0" collapsed="false">
      <c r="A7144" s="154" t="n">
        <v>43461</v>
      </c>
      <c r="B7144" s="155" t="s">
        <v>1482</v>
      </c>
      <c r="C7144" s="148" t="s">
        <v>59</v>
      </c>
      <c r="D7144" s="156" t="s">
        <v>1444</v>
      </c>
      <c r="E7144" s="154" t="n">
        <v>0.3177</v>
      </c>
      <c r="F7144" s="149" t="n">
        <f aca="false">IF(C7144="MAT.",VLOOKUP(A7144,INSUMOS_AUX!$A$3:$H$813,6,0),0)</f>
        <v>0</v>
      </c>
      <c r="G7144" s="149" t="n">
        <f aca="false">IF(C7144="M.O.",VLOOKUP(A7144,INSUMOS_AUX!A:F,6,0),0)</f>
        <v>0</v>
      </c>
    </row>
    <row r="7145" customFormat="false" ht="21" hidden="false" customHeight="false" outlineLevel="0" collapsed="false">
      <c r="A7145" s="154" t="n">
        <v>37373</v>
      </c>
      <c r="B7145" s="155" t="s">
        <v>1448</v>
      </c>
      <c r="C7145" s="148" t="str">
        <f aca="false">VLOOKUP($A7145,INSUMOS_AUX!$A$3:$H$813,3,0)</f>
        <v>MAT.</v>
      </c>
      <c r="D7145" s="156" t="s">
        <v>1444</v>
      </c>
      <c r="E7145" s="154" t="n">
        <v>0.3177</v>
      </c>
      <c r="F7145" s="149" t="n">
        <f aca="false">IF(C7145="MAT.",VLOOKUP(A7145,INSUMOS_AUX!$A$3:$H$813,6,0),0)</f>
        <v>0.08</v>
      </c>
      <c r="G7145" s="149" t="n">
        <f aca="false">IF(C7145="M.O.",VLOOKUP(A7145,INSUMOS_AUX!A:F,6,0),0)</f>
        <v>0</v>
      </c>
    </row>
    <row r="7146" customFormat="false" ht="21" hidden="false" customHeight="false" outlineLevel="0" collapsed="false">
      <c r="A7146" s="154" t="n">
        <v>37371</v>
      </c>
      <c r="B7146" s="155" t="s">
        <v>1449</v>
      </c>
      <c r="C7146" s="148" t="str">
        <f aca="false">VLOOKUP($A7146,INSUMOS_AUX!$A$3:$H$813,3,0)</f>
        <v>MAT.</v>
      </c>
      <c r="D7146" s="156" t="s">
        <v>1444</v>
      </c>
      <c r="E7146" s="154" t="n">
        <v>0.3177</v>
      </c>
      <c r="F7146" s="149" t="n">
        <f aca="false">IF(C7146="MAT.",VLOOKUP(A7146,INSUMOS_AUX!$A$3:$H$813,6,0),0)</f>
        <v>0.59</v>
      </c>
      <c r="G7146" s="149" t="n">
        <f aca="false">IF(C7146="M.O.",VLOOKUP(A7146,INSUMOS_AUX!A:F,6,0),0)</f>
        <v>0</v>
      </c>
    </row>
    <row r="7147" customFormat="false" ht="31.5" hidden="false" customHeight="false" outlineLevel="0" collapsed="false">
      <c r="A7147" s="154" t="n">
        <v>39280</v>
      </c>
      <c r="B7147" s="155" t="s">
        <v>2759</v>
      </c>
      <c r="C7147" s="148" t="str">
        <f aca="false">VLOOKUP($A7147,INSUMOS_AUX!$A$3:$H$813,3,0)</f>
        <v>MAT.</v>
      </c>
      <c r="D7147" s="156" t="s">
        <v>31</v>
      </c>
      <c r="E7147" s="154" t="n">
        <v>1</v>
      </c>
      <c r="F7147" s="149" t="n">
        <f aca="false">IF(C7147="MAT.",VLOOKUP(A7147,INSUMOS_AUX!$A$3:$H$813,6,0),0)</f>
        <v>10.83</v>
      </c>
      <c r="G7147" s="149" t="n">
        <f aca="false">IF(C7147="M.O.",VLOOKUP(A7147,INSUMOS_AUX!A:F,6,0),0)</f>
        <v>0</v>
      </c>
    </row>
    <row r="7148" customFormat="false" ht="15" hidden="false" customHeight="false" outlineLevel="0" collapsed="false">
      <c r="A7148" s="154" t="n">
        <v>3148</v>
      </c>
      <c r="B7148" s="155" t="s">
        <v>2085</v>
      </c>
      <c r="C7148" s="148" t="str">
        <f aca="false">VLOOKUP($A7148,INSUMOS_AUX!$A$3:$H$813,3,0)</f>
        <v>MAT.</v>
      </c>
      <c r="D7148" s="156" t="s">
        <v>31</v>
      </c>
      <c r="E7148" s="154" t="n">
        <v>0.0021</v>
      </c>
      <c r="F7148" s="149" t="n">
        <f aca="false">IF(C7148="MAT.",VLOOKUP(A7148,INSUMOS_AUX!$A$3:$H$813,6,0),0)</f>
        <v>14.01</v>
      </c>
      <c r="G7148" s="149" t="n">
        <f aca="false">IF(C7148="M.O.",VLOOKUP(A7148,INSUMOS_AUX!A:F,6,0),0)</f>
        <v>0</v>
      </c>
    </row>
    <row r="7149" customFormat="false" ht="15" hidden="false" customHeight="false" outlineLevel="0" collapsed="false">
      <c r="A7149" s="154" t="n">
        <v>246</v>
      </c>
      <c r="B7149" s="155" t="s">
        <v>1752</v>
      </c>
      <c r="C7149" s="148" t="str">
        <f aca="false">VLOOKUP($A7149,INSUMOS_AUX!$A$3:$H$813,3,0)</f>
        <v>M.O.</v>
      </c>
      <c r="D7149" s="156" t="s">
        <v>1444</v>
      </c>
      <c r="E7149" s="154" t="n">
        <v>0.129385258</v>
      </c>
      <c r="F7149" s="149" t="n">
        <f aca="false">IF(C7149="MAT.",VLOOKUP(A7149,INSUMOS_AUX!$A$3:$H$813,6,0),0)</f>
        <v>0</v>
      </c>
      <c r="G7149" s="149" t="n">
        <f aca="false">IF(C7149="M.O.",VLOOKUP(A7149,INSUMOS_AUX!A:F,6,0),0)</f>
        <v>13.26</v>
      </c>
    </row>
    <row r="7150" customFormat="false" ht="15" hidden="false" customHeight="false" outlineLevel="0" collapsed="false">
      <c r="A7150" s="154" t="n">
        <v>2696</v>
      </c>
      <c r="B7150" s="155" t="s">
        <v>1483</v>
      </c>
      <c r="C7150" s="148" t="str">
        <f aca="false">VLOOKUP($A7150,INSUMOS_AUX!$A$3:$H$813,3,0)</f>
        <v>M.O.</v>
      </c>
      <c r="D7150" s="156" t="s">
        <v>1444</v>
      </c>
      <c r="E7150" s="154" t="n">
        <v>0.194026988</v>
      </c>
      <c r="F7150" s="149" t="n">
        <f aca="false">IF(C7150="MAT.",VLOOKUP(A7150,INSUMOS_AUX!$A$3:$H$813,6,0),0)</f>
        <v>0</v>
      </c>
      <c r="G7150" s="149" t="n">
        <f aca="false">IF(C7150="M.O.",VLOOKUP(A7150,INSUMOS_AUX!A:F,6,0),0)</f>
        <v>20.22</v>
      </c>
    </row>
    <row r="7151" customFormat="false" ht="31.5" hidden="false" customHeight="false" outlineLevel="0" collapsed="false">
      <c r="A7151" s="150" t="n">
        <v>92692</v>
      </c>
      <c r="B7151" s="151" t="s">
        <v>2760</v>
      </c>
      <c r="C7151" s="152" t="s">
        <v>59</v>
      </c>
      <c r="D7151" s="152" t="s">
        <v>31</v>
      </c>
      <c r="E7151" s="150"/>
      <c r="F7151" s="153" t="n">
        <f aca="false">(SUMPRODUCT($E7152:$E7162,F7152:F7162))*1</f>
        <v>8.84462</v>
      </c>
      <c r="G7151" s="153" t="n">
        <f aca="false">(SUMPRODUCT($E7152:$E7162,G7152:G7162))*1</f>
        <v>5.8961808792</v>
      </c>
    </row>
    <row r="7152" customFormat="false" ht="21" hidden="false" customHeight="false" outlineLevel="0" collapsed="false">
      <c r="A7152" s="154" t="n">
        <v>37370</v>
      </c>
      <c r="B7152" s="155" t="s">
        <v>1443</v>
      </c>
      <c r="C7152" s="148" t="str">
        <f aca="false">VLOOKUP($A7152,INSUMOS_AUX!$A$3:$H$813,3,0)</f>
        <v>MAT.</v>
      </c>
      <c r="D7152" s="156" t="s">
        <v>1444</v>
      </c>
      <c r="E7152" s="154" t="n">
        <v>0.346</v>
      </c>
      <c r="F7152" s="149" t="n">
        <f aca="false">IF(C7152="MAT.",VLOOKUP(A7152,INSUMOS_AUX!$A$3:$H$813,6,0),0)</f>
        <v>3.32</v>
      </c>
      <c r="G7152" s="149" t="n">
        <f aca="false">IF(C7152="M.O.",VLOOKUP(A7152,INSUMOS_AUX!A:F,6,0),0)</f>
        <v>0</v>
      </c>
    </row>
    <row r="7153" customFormat="false" ht="21" hidden="false" customHeight="false" outlineLevel="0" collapsed="false">
      <c r="A7153" s="154" t="n">
        <v>43485</v>
      </c>
      <c r="B7153" s="155" t="s">
        <v>1481</v>
      </c>
      <c r="C7153" s="148" t="str">
        <f aca="false">VLOOKUP($A7153,INSUMOS_AUX!$A$3:$H$813,3,0)</f>
        <v>MAT.</v>
      </c>
      <c r="D7153" s="156" t="s">
        <v>1444</v>
      </c>
      <c r="E7153" s="154" t="n">
        <v>0.346</v>
      </c>
      <c r="F7153" s="149" t="n">
        <f aca="false">IF(C7153="MAT.",VLOOKUP(A7153,INSUMOS_AUX!$A$3:$H$813,6,0),0)</f>
        <v>1.13</v>
      </c>
      <c r="G7153" s="149" t="n">
        <f aca="false">IF(C7153="M.O.",VLOOKUP(A7153,INSUMOS_AUX!A:F,6,0),0)</f>
        <v>0</v>
      </c>
    </row>
    <row r="7154" customFormat="false" ht="21" hidden="false" customHeight="false" outlineLevel="0" collapsed="false">
      <c r="A7154" s="154" t="n">
        <v>37372</v>
      </c>
      <c r="B7154" s="155" t="s">
        <v>1446</v>
      </c>
      <c r="C7154" s="148" t="str">
        <f aca="false">VLOOKUP($A7154,INSUMOS_AUX!$A$3:$H$813,3,0)</f>
        <v>MAT.</v>
      </c>
      <c r="D7154" s="156" t="s">
        <v>1444</v>
      </c>
      <c r="E7154" s="154" t="n">
        <v>0.346</v>
      </c>
      <c r="F7154" s="149" t="n">
        <f aca="false">IF(C7154="MAT.",VLOOKUP(A7154,INSUMOS_AUX!$A$3:$H$813,6,0),0)</f>
        <v>1.43</v>
      </c>
      <c r="G7154" s="149" t="n">
        <f aca="false">IF(C7154="M.O.",VLOOKUP(A7154,INSUMOS_AUX!A:F,6,0),0)</f>
        <v>0</v>
      </c>
    </row>
    <row r="7155" customFormat="false" ht="21" hidden="false" customHeight="false" outlineLevel="0" collapsed="false">
      <c r="A7155" s="154" t="n">
        <v>43461</v>
      </c>
      <c r="B7155" s="155" t="s">
        <v>1482</v>
      </c>
      <c r="C7155" s="148" t="str">
        <f aca="false">VLOOKUP($A7155,INSUMOS_AUX!$A$3:$H$813,3,0)</f>
        <v>MAT.</v>
      </c>
      <c r="D7155" s="156" t="s">
        <v>1444</v>
      </c>
      <c r="E7155" s="154" t="n">
        <v>0.346</v>
      </c>
      <c r="F7155" s="149" t="n">
        <f aca="false">IF(C7155="MAT.",VLOOKUP(A7155,INSUMOS_AUX!$A$3:$H$813,6,0),0)</f>
        <v>0.31</v>
      </c>
      <c r="G7155" s="149" t="n">
        <f aca="false">IF(C7155="M.O.",VLOOKUP(A7155,INSUMOS_AUX!A:F,6,0),0)</f>
        <v>0</v>
      </c>
    </row>
    <row r="7156" customFormat="false" ht="21" hidden="false" customHeight="false" outlineLevel="0" collapsed="false">
      <c r="A7156" s="154" t="n">
        <v>37373</v>
      </c>
      <c r="B7156" s="155" t="s">
        <v>1448</v>
      </c>
      <c r="C7156" s="148" t="s">
        <v>59</v>
      </c>
      <c r="D7156" s="156" t="s">
        <v>1444</v>
      </c>
      <c r="E7156" s="154" t="n">
        <v>0.346</v>
      </c>
      <c r="F7156" s="149" t="n">
        <f aca="false">IF(C7156="MAT.",VLOOKUP(A7156,INSUMOS_AUX!$A$3:$H$813,6,0),0)</f>
        <v>0</v>
      </c>
      <c r="G7156" s="149" t="n">
        <f aca="false">IF(C7156="M.O.",VLOOKUP(A7156,INSUMOS_AUX!A:F,6,0),0)</f>
        <v>0</v>
      </c>
    </row>
    <row r="7157" customFormat="false" ht="21" hidden="false" customHeight="false" outlineLevel="0" collapsed="false">
      <c r="A7157" s="154" t="n">
        <v>37371</v>
      </c>
      <c r="B7157" s="155" t="s">
        <v>1449</v>
      </c>
      <c r="C7157" s="148" t="str">
        <f aca="false">VLOOKUP($A7157,INSUMOS_AUX!$A$3:$H$813,3,0)</f>
        <v>MAT.</v>
      </c>
      <c r="D7157" s="156" t="s">
        <v>1444</v>
      </c>
      <c r="E7157" s="154" t="n">
        <v>0.346</v>
      </c>
      <c r="F7157" s="149" t="n">
        <f aca="false">IF(C7157="MAT.",VLOOKUP(A7157,INSUMOS_AUX!$A$3:$H$813,6,0),0)</f>
        <v>0.59</v>
      </c>
      <c r="G7157" s="149" t="n">
        <f aca="false">IF(C7157="M.O.",VLOOKUP(A7157,INSUMOS_AUX!A:F,6,0),0)</f>
        <v>0</v>
      </c>
    </row>
    <row r="7158" customFormat="false" ht="15" hidden="false" customHeight="false" outlineLevel="0" collapsed="false">
      <c r="A7158" s="154" t="n">
        <v>3148</v>
      </c>
      <c r="B7158" s="155" t="s">
        <v>2085</v>
      </c>
      <c r="C7158" s="148" t="str">
        <f aca="false">VLOOKUP($A7158,INSUMOS_AUX!$A$3:$H$813,3,0)</f>
        <v>MAT.</v>
      </c>
      <c r="D7158" s="156" t="s">
        <v>31</v>
      </c>
      <c r="E7158" s="154" t="n">
        <v>0.008</v>
      </c>
      <c r="F7158" s="149" t="n">
        <f aca="false">IF(C7158="MAT.",VLOOKUP(A7158,INSUMOS_AUX!$A$3:$H$813,6,0),0)</f>
        <v>14.01</v>
      </c>
      <c r="G7158" s="149" t="n">
        <f aca="false">IF(C7158="M.O.",VLOOKUP(A7158,INSUMOS_AUX!A:F,6,0),0)</f>
        <v>0</v>
      </c>
    </row>
    <row r="7159" customFormat="false" ht="15" hidden="false" customHeight="false" outlineLevel="0" collapsed="false">
      <c r="A7159" s="154" t="n">
        <v>7307</v>
      </c>
      <c r="B7159" s="155" t="s">
        <v>1733</v>
      </c>
      <c r="C7159" s="148" t="str">
        <f aca="false">VLOOKUP($A7159,INSUMOS_AUX!$A$3:$H$813,3,0)</f>
        <v>MAT.</v>
      </c>
      <c r="D7159" s="156" t="s">
        <v>1452</v>
      </c>
      <c r="E7159" s="154" t="n">
        <v>0.002</v>
      </c>
      <c r="F7159" s="149" t="n">
        <f aca="false">IF(C7159="MAT.",VLOOKUP(A7159,INSUMOS_AUX!$A$3:$H$813,6,0),0)</f>
        <v>43.33</v>
      </c>
      <c r="G7159" s="149" t="n">
        <f aca="false">IF(C7159="M.O.",VLOOKUP(A7159,INSUMOS_AUX!A:F,6,0),0)</f>
        <v>0</v>
      </c>
    </row>
    <row r="7160" customFormat="false" ht="15" hidden="false" customHeight="false" outlineLevel="0" collapsed="false">
      <c r="A7160" s="154" t="n">
        <v>4177</v>
      </c>
      <c r="B7160" s="155" t="s">
        <v>2761</v>
      </c>
      <c r="C7160" s="148" t="str">
        <f aca="false">VLOOKUP($A7160,INSUMOS_AUX!$A$3:$H$813,3,0)</f>
        <v>MAT.</v>
      </c>
      <c r="D7160" s="156" t="s">
        <v>31</v>
      </c>
      <c r="E7160" s="154" t="n">
        <v>1</v>
      </c>
      <c r="F7160" s="149" t="n">
        <f aca="false">IF(C7160="MAT.",VLOOKUP(A7160,INSUMOS_AUX!$A$3:$H$813,6,0),0)</f>
        <v>6.3</v>
      </c>
      <c r="G7160" s="149" t="n">
        <f aca="false">IF(C7160="M.O.",VLOOKUP(A7160,INSUMOS_AUX!A:F,6,0),0)</f>
        <v>0</v>
      </c>
    </row>
    <row r="7161" customFormat="false" ht="15" hidden="false" customHeight="false" outlineLevel="0" collapsed="false">
      <c r="A7161" s="154" t="n">
        <v>246</v>
      </c>
      <c r="B7161" s="155" t="s">
        <v>1752</v>
      </c>
      <c r="C7161" s="148" t="str">
        <f aca="false">VLOOKUP($A7161,INSUMOS_AUX!$A$3:$H$813,3,0)</f>
        <v>M.O.</v>
      </c>
      <c r="D7161" s="156" t="s">
        <v>1444</v>
      </c>
      <c r="E7161" s="154" t="n">
        <v>0.17611054</v>
      </c>
      <c r="F7161" s="149" t="n">
        <f aca="false">IF(C7161="MAT.",VLOOKUP(A7161,INSUMOS_AUX!$A$3:$H$813,6,0),0)</f>
        <v>0</v>
      </c>
      <c r="G7161" s="149" t="n">
        <f aca="false">IF(C7161="M.O.",VLOOKUP(A7161,INSUMOS_AUX!A:F,6,0),0)</f>
        <v>13.26</v>
      </c>
    </row>
    <row r="7162" customFormat="false" ht="15" hidden="false" customHeight="false" outlineLevel="0" collapsed="false">
      <c r="A7162" s="154" t="n">
        <v>2696</v>
      </c>
      <c r="B7162" s="155" t="s">
        <v>1483</v>
      </c>
      <c r="C7162" s="148" t="str">
        <f aca="false">VLOOKUP($A7162,INSUMOS_AUX!$A$3:$H$813,3,0)</f>
        <v>M.O.</v>
      </c>
      <c r="D7162" s="156" t="s">
        <v>1444</v>
      </c>
      <c r="E7162" s="154" t="n">
        <v>0.17611054</v>
      </c>
      <c r="F7162" s="149" t="n">
        <f aca="false">IF(C7162="MAT.",VLOOKUP(A7162,INSUMOS_AUX!$A$3:$H$813,6,0),0)</f>
        <v>0</v>
      </c>
      <c r="G7162" s="149" t="n">
        <f aca="false">IF(C7162="M.O.",VLOOKUP(A7162,INSUMOS_AUX!A:F,6,0),0)</f>
        <v>20.22</v>
      </c>
    </row>
    <row r="7163" customFormat="false" ht="21" hidden="false" customHeight="false" outlineLevel="0" collapsed="false">
      <c r="A7163" s="150" t="n">
        <v>103246</v>
      </c>
      <c r="B7163" s="151" t="s">
        <v>2762</v>
      </c>
      <c r="C7163" s="152" t="s">
        <v>59</v>
      </c>
      <c r="D7163" s="152" t="s">
        <v>31</v>
      </c>
      <c r="E7163" s="150"/>
      <c r="F7163" s="153" t="n">
        <f aca="false">(SUMPRODUCT($E7164:$E7179,F7164:F7179))*1</f>
        <v>2125.18414</v>
      </c>
      <c r="G7163" s="153" t="n">
        <f aca="false">(SUMPRODUCT($E7164:$E7179,G7164:G7179))*1</f>
        <v>80.49007275066</v>
      </c>
    </row>
    <row r="7164" customFormat="false" ht="21" hidden="false" customHeight="false" outlineLevel="0" collapsed="false">
      <c r="A7164" s="154" t="n">
        <v>37370</v>
      </c>
      <c r="B7164" s="155" t="s">
        <v>1443</v>
      </c>
      <c r="C7164" s="148" t="str">
        <f aca="false">VLOOKUP($A7164,INSUMOS_AUX!$A$3:$H$813,3,0)</f>
        <v>MAT.</v>
      </c>
      <c r="D7164" s="156" t="s">
        <v>1444</v>
      </c>
      <c r="E7164" s="154" t="n">
        <v>4.6668</v>
      </c>
      <c r="F7164" s="149" t="n">
        <f aca="false">IF(C7164="MAT.",VLOOKUP(A7164,INSUMOS_AUX!$A$3:$H$813,6,0),0)</f>
        <v>3.32</v>
      </c>
      <c r="G7164" s="149" t="n">
        <f aca="false">IF(C7164="M.O.",VLOOKUP(A7164,INSUMOS_AUX!A:F,6,0),0)</f>
        <v>0</v>
      </c>
    </row>
    <row r="7165" customFormat="false" ht="21" hidden="false" customHeight="false" outlineLevel="0" collapsed="false">
      <c r="A7165" s="154" t="n">
        <v>43484</v>
      </c>
      <c r="B7165" s="155" t="s">
        <v>1523</v>
      </c>
      <c r="C7165" s="148" t="str">
        <f aca="false">VLOOKUP($A7165,INSUMOS_AUX!$A$3:$H$813,3,0)</f>
        <v>MAT.</v>
      </c>
      <c r="D7165" s="156" t="s">
        <v>1444</v>
      </c>
      <c r="E7165" s="154" t="n">
        <v>2.3334</v>
      </c>
      <c r="F7165" s="149" t="n">
        <f aca="false">IF(C7165="MAT.",VLOOKUP(A7165,INSUMOS_AUX!$A$3:$H$813,6,0),0)</f>
        <v>1.26</v>
      </c>
      <c r="G7165" s="149" t="n">
        <f aca="false">IF(C7165="M.O.",VLOOKUP(A7165,INSUMOS_AUX!A:F,6,0),0)</f>
        <v>0</v>
      </c>
    </row>
    <row r="7166" customFormat="false" ht="21" hidden="false" customHeight="false" outlineLevel="0" collapsed="false">
      <c r="A7166" s="154" t="n">
        <v>43491</v>
      </c>
      <c r="B7166" s="155" t="s">
        <v>1457</v>
      </c>
      <c r="C7166" s="148" t="str">
        <f aca="false">VLOOKUP($A7166,INSUMOS_AUX!$A$3:$H$813,3,0)</f>
        <v>MAT.</v>
      </c>
      <c r="D7166" s="156" t="s">
        <v>1444</v>
      </c>
      <c r="E7166" s="154" t="n">
        <v>2.3334</v>
      </c>
      <c r="F7166" s="149" t="n">
        <f aca="false">IF(C7166="MAT.",VLOOKUP(A7166,INSUMOS_AUX!$A$3:$H$813,6,0),0)</f>
        <v>1.39</v>
      </c>
      <c r="G7166" s="149" t="n">
        <f aca="false">IF(C7166="M.O.",VLOOKUP(A7166,INSUMOS_AUX!A:F,6,0),0)</f>
        <v>0</v>
      </c>
    </row>
    <row r="7167" customFormat="false" ht="21" hidden="false" customHeight="false" outlineLevel="0" collapsed="false">
      <c r="A7167" s="154" t="n">
        <v>37372</v>
      </c>
      <c r="B7167" s="155" t="s">
        <v>1446</v>
      </c>
      <c r="C7167" s="148" t="s">
        <v>59</v>
      </c>
      <c r="D7167" s="156" t="s">
        <v>1444</v>
      </c>
      <c r="E7167" s="154" t="n">
        <v>4.6668</v>
      </c>
      <c r="F7167" s="149" t="n">
        <f aca="false">IF(C7167="MAT.",VLOOKUP(A7167,INSUMOS_AUX!$A$3:$H$813,6,0),0)</f>
        <v>0</v>
      </c>
      <c r="G7167" s="149" t="n">
        <f aca="false">IF(C7167="M.O.",VLOOKUP(A7167,INSUMOS_AUX!A:F,6,0),0)</f>
        <v>0</v>
      </c>
    </row>
    <row r="7168" customFormat="false" ht="21" hidden="false" customHeight="false" outlineLevel="0" collapsed="false">
      <c r="A7168" s="154" t="n">
        <v>43460</v>
      </c>
      <c r="B7168" s="155" t="s">
        <v>1524</v>
      </c>
      <c r="C7168" s="148" t="str">
        <f aca="false">VLOOKUP($A7168,INSUMOS_AUX!$A$3:$H$813,3,0)</f>
        <v>MAT.</v>
      </c>
      <c r="D7168" s="156" t="s">
        <v>1444</v>
      </c>
      <c r="E7168" s="154" t="n">
        <v>2.3334</v>
      </c>
      <c r="F7168" s="149" t="n">
        <f aca="false">IF(C7168="MAT.",VLOOKUP(A7168,INSUMOS_AUX!$A$3:$H$813,6,0),0)</f>
        <v>0.86</v>
      </c>
      <c r="G7168" s="149" t="n">
        <f aca="false">IF(C7168="M.O.",VLOOKUP(A7168,INSUMOS_AUX!A:F,6,0),0)</f>
        <v>0</v>
      </c>
    </row>
    <row r="7169" customFormat="false" ht="21" hidden="false" customHeight="false" outlineLevel="0" collapsed="false">
      <c r="A7169" s="154" t="n">
        <v>43467</v>
      </c>
      <c r="B7169" s="155" t="s">
        <v>1459</v>
      </c>
      <c r="C7169" s="148" t="str">
        <f aca="false">VLOOKUP($A7169,INSUMOS_AUX!$A$3:$H$813,3,0)</f>
        <v>MAT.</v>
      </c>
      <c r="D7169" s="156" t="s">
        <v>1444</v>
      </c>
      <c r="E7169" s="154" t="n">
        <v>2.3334</v>
      </c>
      <c r="F7169" s="149" t="n">
        <f aca="false">IF(C7169="MAT.",VLOOKUP(A7169,INSUMOS_AUX!$A$3:$H$813,6,0),0)</f>
        <v>0.61</v>
      </c>
      <c r="G7169" s="149" t="n">
        <f aca="false">IF(C7169="M.O.",VLOOKUP(A7169,INSUMOS_AUX!A:F,6,0),0)</f>
        <v>0</v>
      </c>
    </row>
    <row r="7170" customFormat="false" ht="21" hidden="false" customHeight="false" outlineLevel="0" collapsed="false">
      <c r="A7170" s="154" t="n">
        <v>37373</v>
      </c>
      <c r="B7170" s="155" t="s">
        <v>1448</v>
      </c>
      <c r="C7170" s="148" t="str">
        <f aca="false">VLOOKUP($A7170,INSUMOS_AUX!$A$3:$H$813,3,0)</f>
        <v>MAT.</v>
      </c>
      <c r="D7170" s="156" t="s">
        <v>1444</v>
      </c>
      <c r="E7170" s="154" t="n">
        <v>4.6668</v>
      </c>
      <c r="F7170" s="149" t="n">
        <f aca="false">IF(C7170="MAT.",VLOOKUP(A7170,INSUMOS_AUX!$A$3:$H$813,6,0),0)</f>
        <v>0.08</v>
      </c>
      <c r="G7170" s="149" t="n">
        <f aca="false">IF(C7170="M.O.",VLOOKUP(A7170,INSUMOS_AUX!A:F,6,0),0)</f>
        <v>0</v>
      </c>
    </row>
    <row r="7171" customFormat="false" ht="21" hidden="false" customHeight="false" outlineLevel="0" collapsed="false">
      <c r="A7171" s="154" t="n">
        <v>37371</v>
      </c>
      <c r="B7171" s="155" t="s">
        <v>1449</v>
      </c>
      <c r="C7171" s="148" t="str">
        <f aca="false">VLOOKUP($A7171,INSUMOS_AUX!$A$3:$H$813,3,0)</f>
        <v>MAT.</v>
      </c>
      <c r="D7171" s="156" t="s">
        <v>1444</v>
      </c>
      <c r="E7171" s="154" t="n">
        <v>4.6668</v>
      </c>
      <c r="F7171" s="149" t="n">
        <f aca="false">IF(C7171="MAT.",VLOOKUP(A7171,INSUMOS_AUX!$A$3:$H$813,6,0),0)</f>
        <v>0.59</v>
      </c>
      <c r="G7171" s="149" t="n">
        <f aca="false">IF(C7171="M.O.",VLOOKUP(A7171,INSUMOS_AUX!A:F,6,0),0)</f>
        <v>0</v>
      </c>
    </row>
    <row r="7172" customFormat="false" ht="31.5" hidden="false" customHeight="false" outlineLevel="0" collapsed="false">
      <c r="A7172" s="154" t="n">
        <v>39551</v>
      </c>
      <c r="B7172" s="155" t="s">
        <v>2763</v>
      </c>
      <c r="C7172" s="148" t="str">
        <f aca="false">VLOOKUP($A7172,INSUMOS_AUX!$A$3:$H$813,3,0)</f>
        <v>MAT.</v>
      </c>
      <c r="D7172" s="156" t="s">
        <v>31</v>
      </c>
      <c r="E7172" s="154" t="n">
        <v>1</v>
      </c>
      <c r="F7172" s="149" t="n">
        <f aca="false">IF(C7172="MAT.",VLOOKUP(A7172,INSUMOS_AUX!$A$3:$H$813,6,0),0)</f>
        <v>2039.32</v>
      </c>
      <c r="G7172" s="149" t="n">
        <f aca="false">IF(C7172="M.O.",VLOOKUP(A7172,INSUMOS_AUX!A:F,6,0),0)</f>
        <v>0</v>
      </c>
    </row>
    <row r="7173" customFormat="false" ht="31.5" hidden="false" customHeight="false" outlineLevel="0" collapsed="false">
      <c r="A7173" s="154" t="n">
        <v>7568</v>
      </c>
      <c r="B7173" s="155" t="s">
        <v>1815</v>
      </c>
      <c r="C7173" s="148" t="str">
        <f aca="false">VLOOKUP($A7173,INSUMOS_AUX!$A$3:$H$813,3,0)</f>
        <v>MAT.</v>
      </c>
      <c r="D7173" s="156" t="s">
        <v>31</v>
      </c>
      <c r="E7173" s="154" t="n">
        <v>9</v>
      </c>
      <c r="F7173" s="149" t="n">
        <f aca="false">IF(C7173="MAT.",VLOOKUP(A7173,INSUMOS_AUX!$A$3:$H$813,6,0),0)</f>
        <v>0.79</v>
      </c>
      <c r="G7173" s="149" t="n">
        <f aca="false">IF(C7173="M.O.",VLOOKUP(A7173,INSUMOS_AUX!A:F,6,0),0)</f>
        <v>0</v>
      </c>
    </row>
    <row r="7174" customFormat="false" ht="21" hidden="false" customHeight="false" outlineLevel="0" collapsed="false">
      <c r="A7174" s="154" t="n">
        <v>11976</v>
      </c>
      <c r="B7174" s="155" t="s">
        <v>2432</v>
      </c>
      <c r="C7174" s="148" t="str">
        <f aca="false">VLOOKUP($A7174,INSUMOS_AUX!$A$3:$H$813,3,0)</f>
        <v>MAT.</v>
      </c>
      <c r="D7174" s="156" t="s">
        <v>31</v>
      </c>
      <c r="E7174" s="154" t="n">
        <v>6</v>
      </c>
      <c r="F7174" s="149" t="n">
        <f aca="false">IF(C7174="MAT.",VLOOKUP(A7174,INSUMOS_AUX!$A$3:$H$813,6,0),0)</f>
        <v>1.33</v>
      </c>
      <c r="G7174" s="149" t="n">
        <f aca="false">IF(C7174="M.O.",VLOOKUP(A7174,INSUMOS_AUX!A:F,6,0),0)</f>
        <v>0</v>
      </c>
    </row>
    <row r="7175" customFormat="false" ht="31.5" hidden="false" customHeight="false" outlineLevel="0" collapsed="false">
      <c r="A7175" s="154" t="n">
        <v>13246</v>
      </c>
      <c r="B7175" s="155" t="s">
        <v>1811</v>
      </c>
      <c r="C7175" s="148" t="str">
        <f aca="false">VLOOKUP($A7175,INSUMOS_AUX!$A$3:$H$813,3,0)</f>
        <v>MAT.</v>
      </c>
      <c r="D7175" s="156" t="s">
        <v>31</v>
      </c>
      <c r="E7175" s="154" t="n">
        <v>4</v>
      </c>
      <c r="F7175" s="149" t="n">
        <f aca="false">IF(C7175="MAT.",VLOOKUP(A7175,INSUMOS_AUX!$A$3:$H$813,6,0),0)</f>
        <v>0.5</v>
      </c>
      <c r="G7175" s="149" t="n">
        <f aca="false">IF(C7175="M.O.",VLOOKUP(A7175,INSUMOS_AUX!A:F,6,0),0)</f>
        <v>0</v>
      </c>
    </row>
    <row r="7176" customFormat="false" ht="21" hidden="false" customHeight="false" outlineLevel="0" collapsed="false">
      <c r="A7176" s="154" t="n">
        <v>37591</v>
      </c>
      <c r="B7176" s="155" t="s">
        <v>2071</v>
      </c>
      <c r="C7176" s="148" t="str">
        <f aca="false">VLOOKUP($A7176,INSUMOS_AUX!$A$3:$H$813,3,0)</f>
        <v>MAT.</v>
      </c>
      <c r="D7176" s="156" t="s">
        <v>31</v>
      </c>
      <c r="E7176" s="154" t="n">
        <v>2</v>
      </c>
      <c r="F7176" s="149" t="n">
        <f aca="false">IF(C7176="MAT.",VLOOKUP(A7176,INSUMOS_AUX!$A$3:$H$813,6,0),0)</f>
        <v>20.27</v>
      </c>
      <c r="G7176" s="149" t="n">
        <f aca="false">IF(C7176="M.O.",VLOOKUP(A7176,INSUMOS_AUX!A:F,6,0),0)</f>
        <v>0</v>
      </c>
    </row>
    <row r="7177" customFormat="false" ht="21" hidden="false" customHeight="false" outlineLevel="0" collapsed="false">
      <c r="A7177" s="154" t="n">
        <v>1570</v>
      </c>
      <c r="B7177" s="155" t="s">
        <v>2474</v>
      </c>
      <c r="C7177" s="148" t="s">
        <v>59</v>
      </c>
      <c r="D7177" s="156" t="s">
        <v>31</v>
      </c>
      <c r="E7177" s="154" t="n">
        <v>10</v>
      </c>
      <c r="F7177" s="149" t="n">
        <f aca="false">IF(C7177="MAT.",VLOOKUP(A7177,INSUMOS_AUX!$A$3:$H$813,6,0),0)</f>
        <v>0</v>
      </c>
      <c r="G7177" s="149" t="n">
        <f aca="false">IF(C7177="M.O.",VLOOKUP(A7177,INSUMOS_AUX!A:F,6,0),0)</f>
        <v>0</v>
      </c>
    </row>
    <row r="7178" customFormat="false" ht="15" hidden="false" customHeight="false" outlineLevel="0" collapsed="false">
      <c r="A7178" s="154" t="n">
        <v>242</v>
      </c>
      <c r="B7178" s="155" t="s">
        <v>1660</v>
      </c>
      <c r="C7178" s="148" t="str">
        <f aca="false">VLOOKUP($A7178,INSUMOS_AUX!$A$3:$H$813,3,0)</f>
        <v>M.O.</v>
      </c>
      <c r="D7178" s="156" t="s">
        <v>1444</v>
      </c>
      <c r="E7178" s="154" t="n">
        <v>2.360327436</v>
      </c>
      <c r="F7178" s="149" t="n">
        <f aca="false">IF(C7178="MAT.",VLOOKUP(A7178,INSUMOS_AUX!$A$3:$H$813,6,0),0)</f>
        <v>0</v>
      </c>
      <c r="G7178" s="149" t="n">
        <f aca="false">IF(C7178="M.O.",VLOOKUP(A7178,INSUMOS_AUX!A:F,6,0),0)</f>
        <v>13.61</v>
      </c>
    </row>
    <row r="7179" customFormat="false" ht="15" hidden="false" customHeight="false" outlineLevel="0" collapsed="false">
      <c r="A7179" s="154" t="n">
        <v>34794</v>
      </c>
      <c r="B7179" s="155" t="s">
        <v>2764</v>
      </c>
      <c r="C7179" s="148" t="str">
        <f aca="false">VLOOKUP($A7179,INSUMOS_AUX!$A$3:$H$813,3,0)</f>
        <v>M.O.</v>
      </c>
      <c r="D7179" s="156" t="s">
        <v>1444</v>
      </c>
      <c r="E7179" s="154" t="n">
        <v>2.39791851</v>
      </c>
      <c r="F7179" s="149" t="n">
        <f aca="false">IF(C7179="MAT.",VLOOKUP(A7179,INSUMOS_AUX!$A$3:$H$813,6,0),0)</f>
        <v>0</v>
      </c>
      <c r="G7179" s="149" t="n">
        <f aca="false">IF(C7179="M.O.",VLOOKUP(A7179,INSUMOS_AUX!A:F,6,0),0)</f>
        <v>20.17</v>
      </c>
    </row>
    <row r="7180" customFormat="false" ht="21" hidden="false" customHeight="false" outlineLevel="0" collapsed="false">
      <c r="A7180" s="150" t="n">
        <v>103249</v>
      </c>
      <c r="B7180" s="151" t="s">
        <v>2765</v>
      </c>
      <c r="C7180" s="152" t="s">
        <v>59</v>
      </c>
      <c r="D7180" s="152" t="s">
        <v>31</v>
      </c>
      <c r="E7180" s="150"/>
      <c r="F7180" s="153" t="n">
        <f aca="false">(SUMPRODUCT($E7181:$E7196,F7181:F7196))*1</f>
        <v>2438.934252</v>
      </c>
      <c r="G7180" s="153" t="n">
        <f aca="false">(SUMPRODUCT($E7181:$E7196,G7181:G7196))*1</f>
        <v>80.49007275066</v>
      </c>
    </row>
    <row r="7181" customFormat="false" ht="21" hidden="false" customHeight="false" outlineLevel="0" collapsed="false">
      <c r="A7181" s="154" t="n">
        <v>37370</v>
      </c>
      <c r="B7181" s="155" t="s">
        <v>1443</v>
      </c>
      <c r="C7181" s="148" t="str">
        <f aca="false">VLOOKUP($A7181,INSUMOS_AUX!$A$3:$H$813,3,0)</f>
        <v>MAT.</v>
      </c>
      <c r="D7181" s="156" t="s">
        <v>1444</v>
      </c>
      <c r="E7181" s="154" t="n">
        <v>4.6668</v>
      </c>
      <c r="F7181" s="149" t="n">
        <f aca="false">IF(C7181="MAT.",VLOOKUP(A7181,INSUMOS_AUX!$A$3:$H$813,6,0),0)</f>
        <v>3.32</v>
      </c>
      <c r="G7181" s="149" t="n">
        <f aca="false">IF(C7181="M.O.",VLOOKUP(A7181,INSUMOS_AUX!A:F,6,0),0)</f>
        <v>0</v>
      </c>
    </row>
    <row r="7182" customFormat="false" ht="21" hidden="false" customHeight="false" outlineLevel="0" collapsed="false">
      <c r="A7182" s="154" t="n">
        <v>43484</v>
      </c>
      <c r="B7182" s="155" t="s">
        <v>1523</v>
      </c>
      <c r="C7182" s="148" t="str">
        <f aca="false">VLOOKUP($A7182,INSUMOS_AUX!$A$3:$H$813,3,0)</f>
        <v>MAT.</v>
      </c>
      <c r="D7182" s="156" t="s">
        <v>1444</v>
      </c>
      <c r="E7182" s="154" t="n">
        <v>2.3334</v>
      </c>
      <c r="F7182" s="149" t="n">
        <f aca="false">IF(C7182="MAT.",VLOOKUP(A7182,INSUMOS_AUX!$A$3:$H$813,6,0),0)</f>
        <v>1.26</v>
      </c>
      <c r="G7182" s="149" t="n">
        <f aca="false">IF(C7182="M.O.",VLOOKUP(A7182,INSUMOS_AUX!A:F,6,0),0)</f>
        <v>0</v>
      </c>
    </row>
    <row r="7183" customFormat="false" ht="21" hidden="false" customHeight="false" outlineLevel="0" collapsed="false">
      <c r="A7183" s="154" t="n">
        <v>43491</v>
      </c>
      <c r="B7183" s="155" t="s">
        <v>1457</v>
      </c>
      <c r="C7183" s="148" t="str">
        <f aca="false">VLOOKUP($A7183,INSUMOS_AUX!$A$3:$H$813,3,0)</f>
        <v>MAT.</v>
      </c>
      <c r="D7183" s="156" t="s">
        <v>1444</v>
      </c>
      <c r="E7183" s="154" t="n">
        <v>2.3334</v>
      </c>
      <c r="F7183" s="149" t="n">
        <f aca="false">IF(C7183="MAT.",VLOOKUP(A7183,INSUMOS_AUX!$A$3:$H$813,6,0),0)</f>
        <v>1.39</v>
      </c>
      <c r="G7183" s="149" t="n">
        <f aca="false">IF(C7183="M.O.",VLOOKUP(A7183,INSUMOS_AUX!A:F,6,0),0)</f>
        <v>0</v>
      </c>
    </row>
    <row r="7184" customFormat="false" ht="21" hidden="false" customHeight="false" outlineLevel="0" collapsed="false">
      <c r="A7184" s="154" t="n">
        <v>37372</v>
      </c>
      <c r="B7184" s="155" t="s">
        <v>1446</v>
      </c>
      <c r="C7184" s="148" t="str">
        <f aca="false">VLOOKUP($A7184,INSUMOS_AUX!$A$3:$H$813,3,0)</f>
        <v>MAT.</v>
      </c>
      <c r="D7184" s="156" t="s">
        <v>1444</v>
      </c>
      <c r="E7184" s="154" t="n">
        <v>4.6668</v>
      </c>
      <c r="F7184" s="149" t="n">
        <f aca="false">IF(C7184="MAT.",VLOOKUP(A7184,INSUMOS_AUX!$A$3:$H$813,6,0),0)</f>
        <v>1.43</v>
      </c>
      <c r="G7184" s="149" t="n">
        <f aca="false">IF(C7184="M.O.",VLOOKUP(A7184,INSUMOS_AUX!A:F,6,0),0)</f>
        <v>0</v>
      </c>
    </row>
    <row r="7185" customFormat="false" ht="21" hidden="false" customHeight="false" outlineLevel="0" collapsed="false">
      <c r="A7185" s="154" t="n">
        <v>43460</v>
      </c>
      <c r="B7185" s="155" t="s">
        <v>1524</v>
      </c>
      <c r="C7185" s="148" t="str">
        <f aca="false">VLOOKUP($A7185,INSUMOS_AUX!$A$3:$H$813,3,0)</f>
        <v>MAT.</v>
      </c>
      <c r="D7185" s="156" t="s">
        <v>1444</v>
      </c>
      <c r="E7185" s="154" t="n">
        <v>2.3334</v>
      </c>
      <c r="F7185" s="149" t="n">
        <f aca="false">IF(C7185="MAT.",VLOOKUP(A7185,INSUMOS_AUX!$A$3:$H$813,6,0),0)</f>
        <v>0.86</v>
      </c>
      <c r="G7185" s="149" t="n">
        <f aca="false">IF(C7185="M.O.",VLOOKUP(A7185,INSUMOS_AUX!A:F,6,0),0)</f>
        <v>0</v>
      </c>
    </row>
    <row r="7186" customFormat="false" ht="21" hidden="false" customHeight="false" outlineLevel="0" collapsed="false">
      <c r="A7186" s="154" t="n">
        <v>43467</v>
      </c>
      <c r="B7186" s="155" t="s">
        <v>1459</v>
      </c>
      <c r="C7186" s="148" t="str">
        <f aca="false">VLOOKUP($A7186,INSUMOS_AUX!$A$3:$H$813,3,0)</f>
        <v>MAT.</v>
      </c>
      <c r="D7186" s="156" t="s">
        <v>1444</v>
      </c>
      <c r="E7186" s="154" t="n">
        <v>2.3334</v>
      </c>
      <c r="F7186" s="149" t="n">
        <f aca="false">IF(C7186="MAT.",VLOOKUP(A7186,INSUMOS_AUX!$A$3:$H$813,6,0),0)</f>
        <v>0.61</v>
      </c>
      <c r="G7186" s="149" t="n">
        <f aca="false">IF(C7186="M.O.",VLOOKUP(A7186,INSUMOS_AUX!A:F,6,0),0)</f>
        <v>0</v>
      </c>
    </row>
    <row r="7187" customFormat="false" ht="21" hidden="false" customHeight="false" outlineLevel="0" collapsed="false">
      <c r="A7187" s="154" t="n">
        <v>37373</v>
      </c>
      <c r="B7187" s="155" t="s">
        <v>1448</v>
      </c>
      <c r="C7187" s="148" t="str">
        <f aca="false">VLOOKUP($A7187,INSUMOS_AUX!$A$3:$H$813,3,0)</f>
        <v>MAT.</v>
      </c>
      <c r="D7187" s="156" t="s">
        <v>1444</v>
      </c>
      <c r="E7187" s="154" t="n">
        <v>4.6668</v>
      </c>
      <c r="F7187" s="149" t="n">
        <f aca="false">IF(C7187="MAT.",VLOOKUP(A7187,INSUMOS_AUX!$A$3:$H$813,6,0),0)</f>
        <v>0.08</v>
      </c>
      <c r="G7187" s="149" t="n">
        <f aca="false">IF(C7187="M.O.",VLOOKUP(A7187,INSUMOS_AUX!A:F,6,0),0)</f>
        <v>0</v>
      </c>
    </row>
    <row r="7188" customFormat="false" ht="21" hidden="false" customHeight="false" outlineLevel="0" collapsed="false">
      <c r="A7188" s="154" t="n">
        <v>37371</v>
      </c>
      <c r="B7188" s="155" t="s">
        <v>1449</v>
      </c>
      <c r="C7188" s="148" t="s">
        <v>59</v>
      </c>
      <c r="D7188" s="156" t="s">
        <v>1444</v>
      </c>
      <c r="E7188" s="154" t="n">
        <v>4.6668</v>
      </c>
      <c r="F7188" s="149" t="n">
        <f aca="false">IF(C7188="MAT.",VLOOKUP(A7188,INSUMOS_AUX!$A$3:$H$813,6,0),0)</f>
        <v>0</v>
      </c>
      <c r="G7188" s="149" t="n">
        <f aca="false">IF(C7188="M.O.",VLOOKUP(A7188,INSUMOS_AUX!A:F,6,0),0)</f>
        <v>0</v>
      </c>
    </row>
    <row r="7189" customFormat="false" ht="31.5" hidden="false" customHeight="false" outlineLevel="0" collapsed="false">
      <c r="A7189" s="154" t="n">
        <v>39555</v>
      </c>
      <c r="B7189" s="155" t="s">
        <v>2766</v>
      </c>
      <c r="C7189" s="148" t="str">
        <f aca="false">VLOOKUP($A7189,INSUMOS_AUX!$A$3:$H$813,3,0)</f>
        <v>MAT.</v>
      </c>
      <c r="D7189" s="156" t="s">
        <v>31</v>
      </c>
      <c r="E7189" s="154" t="n">
        <v>1</v>
      </c>
      <c r="F7189" s="149" t="n">
        <f aca="false">IF(C7189="MAT.",VLOOKUP(A7189,INSUMOS_AUX!$A$3:$H$813,6,0),0)</f>
        <v>2338.65</v>
      </c>
      <c r="G7189" s="149" t="n">
        <f aca="false">IF(C7189="M.O.",VLOOKUP(A7189,INSUMOS_AUX!A:F,6,0),0)</f>
        <v>0</v>
      </c>
    </row>
    <row r="7190" customFormat="false" ht="31.5" hidden="false" customHeight="false" outlineLevel="0" collapsed="false">
      <c r="A7190" s="154" t="n">
        <v>7568</v>
      </c>
      <c r="B7190" s="155" t="s">
        <v>1815</v>
      </c>
      <c r="C7190" s="148" t="str">
        <f aca="false">VLOOKUP($A7190,INSUMOS_AUX!$A$3:$H$813,3,0)</f>
        <v>MAT.</v>
      </c>
      <c r="D7190" s="156" t="s">
        <v>31</v>
      </c>
      <c r="E7190" s="154" t="n">
        <v>9</v>
      </c>
      <c r="F7190" s="149" t="n">
        <f aca="false">IF(C7190="MAT.",VLOOKUP(A7190,INSUMOS_AUX!$A$3:$H$813,6,0),0)</f>
        <v>0.79</v>
      </c>
      <c r="G7190" s="149" t="n">
        <f aca="false">IF(C7190="M.O.",VLOOKUP(A7190,INSUMOS_AUX!A:F,6,0),0)</f>
        <v>0</v>
      </c>
    </row>
    <row r="7191" customFormat="false" ht="21" hidden="false" customHeight="false" outlineLevel="0" collapsed="false">
      <c r="A7191" s="154" t="n">
        <v>11976</v>
      </c>
      <c r="B7191" s="155" t="s">
        <v>2432</v>
      </c>
      <c r="C7191" s="148" t="str">
        <f aca="false">VLOOKUP($A7191,INSUMOS_AUX!$A$3:$H$813,3,0)</f>
        <v>MAT.</v>
      </c>
      <c r="D7191" s="156" t="s">
        <v>31</v>
      </c>
      <c r="E7191" s="154" t="n">
        <v>6</v>
      </c>
      <c r="F7191" s="149" t="n">
        <f aca="false">IF(C7191="MAT.",VLOOKUP(A7191,INSUMOS_AUX!$A$3:$H$813,6,0),0)</f>
        <v>1.33</v>
      </c>
      <c r="G7191" s="149" t="n">
        <f aca="false">IF(C7191="M.O.",VLOOKUP(A7191,INSUMOS_AUX!A:F,6,0),0)</f>
        <v>0</v>
      </c>
    </row>
    <row r="7192" customFormat="false" ht="31.5" hidden="false" customHeight="false" outlineLevel="0" collapsed="false">
      <c r="A7192" s="154" t="n">
        <v>13246</v>
      </c>
      <c r="B7192" s="155" t="s">
        <v>1811</v>
      </c>
      <c r="C7192" s="148" t="str">
        <f aca="false">VLOOKUP($A7192,INSUMOS_AUX!$A$3:$H$813,3,0)</f>
        <v>MAT.</v>
      </c>
      <c r="D7192" s="156" t="s">
        <v>31</v>
      </c>
      <c r="E7192" s="154" t="n">
        <v>4</v>
      </c>
      <c r="F7192" s="149" t="n">
        <f aca="false">IF(C7192="MAT.",VLOOKUP(A7192,INSUMOS_AUX!$A$3:$H$813,6,0),0)</f>
        <v>0.5</v>
      </c>
      <c r="G7192" s="149" t="n">
        <f aca="false">IF(C7192="M.O.",VLOOKUP(A7192,INSUMOS_AUX!A:F,6,0),0)</f>
        <v>0</v>
      </c>
    </row>
    <row r="7193" customFormat="false" ht="21" hidden="false" customHeight="false" outlineLevel="0" collapsed="false">
      <c r="A7193" s="154" t="n">
        <v>37591</v>
      </c>
      <c r="B7193" s="155" t="s">
        <v>2071</v>
      </c>
      <c r="C7193" s="148" t="str">
        <f aca="false">VLOOKUP($A7193,INSUMOS_AUX!$A$3:$H$813,3,0)</f>
        <v>MAT.</v>
      </c>
      <c r="D7193" s="156" t="s">
        <v>31</v>
      </c>
      <c r="E7193" s="154" t="n">
        <v>2</v>
      </c>
      <c r="F7193" s="149" t="n">
        <f aca="false">IF(C7193="MAT.",VLOOKUP(A7193,INSUMOS_AUX!$A$3:$H$813,6,0),0)</f>
        <v>20.27</v>
      </c>
      <c r="G7193" s="149" t="n">
        <f aca="false">IF(C7193="M.O.",VLOOKUP(A7193,INSUMOS_AUX!A:F,6,0),0)</f>
        <v>0</v>
      </c>
    </row>
    <row r="7194" customFormat="false" ht="21" hidden="false" customHeight="false" outlineLevel="0" collapsed="false">
      <c r="A7194" s="154" t="n">
        <v>1570</v>
      </c>
      <c r="B7194" s="155" t="s">
        <v>2474</v>
      </c>
      <c r="C7194" s="148" t="str">
        <f aca="false">VLOOKUP($A7194,INSUMOS_AUX!$A$3:$H$813,3,0)</f>
        <v>MAT.</v>
      </c>
      <c r="D7194" s="156" t="s">
        <v>31</v>
      </c>
      <c r="E7194" s="154" t="n">
        <v>10</v>
      </c>
      <c r="F7194" s="149" t="n">
        <f aca="false">IF(C7194="MAT.",VLOOKUP(A7194,INSUMOS_AUX!$A$3:$H$813,6,0),0)</f>
        <v>1.05</v>
      </c>
      <c r="G7194" s="149" t="n">
        <f aca="false">IF(C7194="M.O.",VLOOKUP(A7194,INSUMOS_AUX!A:F,6,0),0)</f>
        <v>0</v>
      </c>
    </row>
    <row r="7195" customFormat="false" ht="15" hidden="false" customHeight="false" outlineLevel="0" collapsed="false">
      <c r="A7195" s="154" t="n">
        <v>242</v>
      </c>
      <c r="B7195" s="155" t="s">
        <v>1660</v>
      </c>
      <c r="C7195" s="148" t="str">
        <f aca="false">VLOOKUP($A7195,INSUMOS_AUX!$A$3:$H$813,3,0)</f>
        <v>M.O.</v>
      </c>
      <c r="D7195" s="156" t="s">
        <v>1444</v>
      </c>
      <c r="E7195" s="154" t="n">
        <v>2.360327436</v>
      </c>
      <c r="F7195" s="149" t="n">
        <f aca="false">IF(C7195="MAT.",VLOOKUP(A7195,INSUMOS_AUX!$A$3:$H$813,6,0),0)</f>
        <v>0</v>
      </c>
      <c r="G7195" s="149" t="n">
        <f aca="false">IF(C7195="M.O.",VLOOKUP(A7195,INSUMOS_AUX!A:F,6,0),0)</f>
        <v>13.61</v>
      </c>
    </row>
    <row r="7196" customFormat="false" ht="15" hidden="false" customHeight="false" outlineLevel="0" collapsed="false">
      <c r="A7196" s="154" t="n">
        <v>34794</v>
      </c>
      <c r="B7196" s="155" t="s">
        <v>2764</v>
      </c>
      <c r="C7196" s="148" t="str">
        <f aca="false">VLOOKUP($A7196,INSUMOS_AUX!$A$3:$H$813,3,0)</f>
        <v>M.O.</v>
      </c>
      <c r="D7196" s="156" t="s">
        <v>1444</v>
      </c>
      <c r="E7196" s="154" t="n">
        <v>2.39791851</v>
      </c>
      <c r="F7196" s="149" t="n">
        <f aca="false">IF(C7196="MAT.",VLOOKUP(A7196,INSUMOS_AUX!$A$3:$H$813,6,0),0)</f>
        <v>0</v>
      </c>
      <c r="G7196" s="149" t="n">
        <f aca="false">IF(C7196="M.O.",VLOOKUP(A7196,INSUMOS_AUX!A:F,6,0),0)</f>
        <v>20.17</v>
      </c>
    </row>
    <row r="7197" customFormat="false" ht="21" hidden="false" customHeight="false" outlineLevel="0" collapsed="false">
      <c r="A7197" s="150" t="n">
        <v>103252</v>
      </c>
      <c r="B7197" s="151" t="s">
        <v>2767</v>
      </c>
      <c r="C7197" s="152" t="s">
        <v>59</v>
      </c>
      <c r="D7197" s="152" t="s">
        <v>31</v>
      </c>
      <c r="E7197" s="150"/>
      <c r="F7197" s="153" t="n">
        <f aca="false">(SUMPRODUCT($E7198:$E7213,F7198:F7213))*1</f>
        <v>3530.77711</v>
      </c>
      <c r="G7197" s="153" t="n">
        <f aca="false">(SUMPRODUCT($E7198:$E7213,G7198:G7213))*1</f>
        <v>87.0302792277</v>
      </c>
    </row>
    <row r="7198" customFormat="false" ht="21" hidden="false" customHeight="false" outlineLevel="0" collapsed="false">
      <c r="A7198" s="154" t="n">
        <v>37370</v>
      </c>
      <c r="B7198" s="155" t="s">
        <v>1443</v>
      </c>
      <c r="C7198" s="148" t="str">
        <f aca="false">VLOOKUP($A7198,INSUMOS_AUX!$A$3:$H$813,3,0)</f>
        <v>MAT.</v>
      </c>
      <c r="D7198" s="156" t="s">
        <v>1444</v>
      </c>
      <c r="E7198" s="154" t="n">
        <v>5.046</v>
      </c>
      <c r="F7198" s="149" t="n">
        <f aca="false">IF(C7198="MAT.",VLOOKUP(A7198,INSUMOS_AUX!$A$3:$H$813,6,0),0)</f>
        <v>3.32</v>
      </c>
      <c r="G7198" s="149" t="n">
        <f aca="false">IF(C7198="M.O.",VLOOKUP(A7198,INSUMOS_AUX!A:F,6,0),0)</f>
        <v>0</v>
      </c>
    </row>
    <row r="7199" customFormat="false" ht="21" hidden="false" customHeight="false" outlineLevel="0" collapsed="false">
      <c r="A7199" s="154" t="n">
        <v>43484</v>
      </c>
      <c r="B7199" s="155" t="s">
        <v>1523</v>
      </c>
      <c r="C7199" s="148" t="str">
        <f aca="false">VLOOKUP($A7199,INSUMOS_AUX!$A$3:$H$813,3,0)</f>
        <v>MAT.</v>
      </c>
      <c r="D7199" s="156" t="s">
        <v>1444</v>
      </c>
      <c r="E7199" s="154" t="n">
        <v>2.523</v>
      </c>
      <c r="F7199" s="149" t="n">
        <f aca="false">IF(C7199="MAT.",VLOOKUP(A7199,INSUMOS_AUX!$A$3:$H$813,6,0),0)</f>
        <v>1.26</v>
      </c>
      <c r="G7199" s="149" t="n">
        <f aca="false">IF(C7199="M.O.",VLOOKUP(A7199,INSUMOS_AUX!A:F,6,0),0)</f>
        <v>0</v>
      </c>
    </row>
    <row r="7200" customFormat="false" ht="21" hidden="false" customHeight="false" outlineLevel="0" collapsed="false">
      <c r="A7200" s="154" t="n">
        <v>43491</v>
      </c>
      <c r="B7200" s="155" t="s">
        <v>1457</v>
      </c>
      <c r="C7200" s="148" t="s">
        <v>59</v>
      </c>
      <c r="D7200" s="156" t="s">
        <v>1444</v>
      </c>
      <c r="E7200" s="154" t="n">
        <v>2.523</v>
      </c>
      <c r="F7200" s="149" t="n">
        <f aca="false">IF(C7200="MAT.",VLOOKUP(A7200,INSUMOS_AUX!$A$3:$H$813,6,0),0)</f>
        <v>0</v>
      </c>
      <c r="G7200" s="149" t="n">
        <f aca="false">IF(C7200="M.O.",VLOOKUP(A7200,INSUMOS_AUX!A:F,6,0),0)</f>
        <v>0</v>
      </c>
    </row>
    <row r="7201" customFormat="false" ht="21" hidden="false" customHeight="false" outlineLevel="0" collapsed="false">
      <c r="A7201" s="154" t="n">
        <v>37372</v>
      </c>
      <c r="B7201" s="155" t="s">
        <v>1446</v>
      </c>
      <c r="C7201" s="148" t="str">
        <f aca="false">VLOOKUP($A7201,INSUMOS_AUX!$A$3:$H$813,3,0)</f>
        <v>MAT.</v>
      </c>
      <c r="D7201" s="156" t="s">
        <v>1444</v>
      </c>
      <c r="E7201" s="154" t="n">
        <v>5.046</v>
      </c>
      <c r="F7201" s="149" t="n">
        <f aca="false">IF(C7201="MAT.",VLOOKUP(A7201,INSUMOS_AUX!$A$3:$H$813,6,0),0)</f>
        <v>1.43</v>
      </c>
      <c r="G7201" s="149" t="n">
        <f aca="false">IF(C7201="M.O.",VLOOKUP(A7201,INSUMOS_AUX!A:F,6,0),0)</f>
        <v>0</v>
      </c>
    </row>
    <row r="7202" customFormat="false" ht="21" hidden="false" customHeight="false" outlineLevel="0" collapsed="false">
      <c r="A7202" s="154" t="n">
        <v>43460</v>
      </c>
      <c r="B7202" s="155" t="s">
        <v>1524</v>
      </c>
      <c r="C7202" s="148" t="str">
        <f aca="false">VLOOKUP($A7202,INSUMOS_AUX!$A$3:$H$813,3,0)</f>
        <v>MAT.</v>
      </c>
      <c r="D7202" s="156" t="s">
        <v>1444</v>
      </c>
      <c r="E7202" s="154" t="n">
        <v>2.523</v>
      </c>
      <c r="F7202" s="149" t="n">
        <f aca="false">IF(C7202="MAT.",VLOOKUP(A7202,INSUMOS_AUX!$A$3:$H$813,6,0),0)</f>
        <v>0.86</v>
      </c>
      <c r="G7202" s="149" t="n">
        <f aca="false">IF(C7202="M.O.",VLOOKUP(A7202,INSUMOS_AUX!A:F,6,0),0)</f>
        <v>0</v>
      </c>
    </row>
    <row r="7203" customFormat="false" ht="21" hidden="false" customHeight="false" outlineLevel="0" collapsed="false">
      <c r="A7203" s="154" t="n">
        <v>43467</v>
      </c>
      <c r="B7203" s="155" t="s">
        <v>1459</v>
      </c>
      <c r="C7203" s="148" t="str">
        <f aca="false">VLOOKUP($A7203,INSUMOS_AUX!$A$3:$H$813,3,0)</f>
        <v>MAT.</v>
      </c>
      <c r="D7203" s="156" t="s">
        <v>1444</v>
      </c>
      <c r="E7203" s="154" t="n">
        <v>2.523</v>
      </c>
      <c r="F7203" s="149" t="n">
        <f aca="false">IF(C7203="MAT.",VLOOKUP(A7203,INSUMOS_AUX!$A$3:$H$813,6,0),0)</f>
        <v>0.61</v>
      </c>
      <c r="G7203" s="149" t="n">
        <f aca="false">IF(C7203="M.O.",VLOOKUP(A7203,INSUMOS_AUX!A:F,6,0),0)</f>
        <v>0</v>
      </c>
    </row>
    <row r="7204" customFormat="false" ht="21" hidden="false" customHeight="false" outlineLevel="0" collapsed="false">
      <c r="A7204" s="154" t="n">
        <v>37373</v>
      </c>
      <c r="B7204" s="155" t="s">
        <v>1448</v>
      </c>
      <c r="C7204" s="148" t="str">
        <f aca="false">VLOOKUP($A7204,INSUMOS_AUX!$A$3:$H$813,3,0)</f>
        <v>MAT.</v>
      </c>
      <c r="D7204" s="156" t="s">
        <v>1444</v>
      </c>
      <c r="E7204" s="154" t="n">
        <v>5.046</v>
      </c>
      <c r="F7204" s="149" t="n">
        <f aca="false">IF(C7204="MAT.",VLOOKUP(A7204,INSUMOS_AUX!$A$3:$H$813,6,0),0)</f>
        <v>0.08</v>
      </c>
      <c r="G7204" s="149" t="n">
        <f aca="false">IF(C7204="M.O.",VLOOKUP(A7204,INSUMOS_AUX!A:F,6,0),0)</f>
        <v>0</v>
      </c>
    </row>
    <row r="7205" customFormat="false" ht="21" hidden="false" customHeight="false" outlineLevel="0" collapsed="false">
      <c r="A7205" s="154" t="n">
        <v>37371</v>
      </c>
      <c r="B7205" s="155" t="s">
        <v>1449</v>
      </c>
      <c r="C7205" s="148" t="str">
        <f aca="false">VLOOKUP($A7205,INSUMOS_AUX!$A$3:$H$813,3,0)</f>
        <v>MAT.</v>
      </c>
      <c r="D7205" s="156" t="s">
        <v>1444</v>
      </c>
      <c r="E7205" s="154" t="n">
        <v>5.046</v>
      </c>
      <c r="F7205" s="149" t="n">
        <f aca="false">IF(C7205="MAT.",VLOOKUP(A7205,INSUMOS_AUX!$A$3:$H$813,6,0),0)</f>
        <v>0.59</v>
      </c>
      <c r="G7205" s="149" t="n">
        <f aca="false">IF(C7205="M.O.",VLOOKUP(A7205,INSUMOS_AUX!A:F,6,0),0)</f>
        <v>0</v>
      </c>
    </row>
    <row r="7206" customFormat="false" ht="31.5" hidden="false" customHeight="false" outlineLevel="0" collapsed="false">
      <c r="A7206" s="154" t="n">
        <v>39548</v>
      </c>
      <c r="B7206" s="155" t="s">
        <v>2768</v>
      </c>
      <c r="C7206" s="148" t="str">
        <f aca="false">VLOOKUP($A7206,INSUMOS_AUX!$A$3:$H$813,3,0)</f>
        <v>MAT.</v>
      </c>
      <c r="D7206" s="156" t="s">
        <v>31</v>
      </c>
      <c r="E7206" s="154" t="n">
        <v>1</v>
      </c>
      <c r="F7206" s="149" t="n">
        <f aca="false">IF(C7206="MAT.",VLOOKUP(A7206,INSUMOS_AUX!$A$3:$H$813,6,0),0)</f>
        <v>3468.95</v>
      </c>
      <c r="G7206" s="149" t="n">
        <f aca="false">IF(C7206="M.O.",VLOOKUP(A7206,INSUMOS_AUX!A:F,6,0),0)</f>
        <v>0</v>
      </c>
    </row>
    <row r="7207" customFormat="false" ht="31.5" hidden="false" customHeight="false" outlineLevel="0" collapsed="false">
      <c r="A7207" s="154" t="n">
        <v>7568</v>
      </c>
      <c r="B7207" s="155" t="s">
        <v>1815</v>
      </c>
      <c r="C7207" s="148" t="str">
        <f aca="false">VLOOKUP($A7207,INSUMOS_AUX!$A$3:$H$813,3,0)</f>
        <v>MAT.</v>
      </c>
      <c r="D7207" s="156" t="s">
        <v>31</v>
      </c>
      <c r="E7207" s="154" t="n">
        <v>9</v>
      </c>
      <c r="F7207" s="149" t="n">
        <f aca="false">IF(C7207="MAT.",VLOOKUP(A7207,INSUMOS_AUX!$A$3:$H$813,6,0),0)</f>
        <v>0.79</v>
      </c>
      <c r="G7207" s="149" t="n">
        <f aca="false">IF(C7207="M.O.",VLOOKUP(A7207,INSUMOS_AUX!A:F,6,0),0)</f>
        <v>0</v>
      </c>
    </row>
    <row r="7208" customFormat="false" ht="21" hidden="false" customHeight="false" outlineLevel="0" collapsed="false">
      <c r="A7208" s="154" t="n">
        <v>11976</v>
      </c>
      <c r="B7208" s="155" t="s">
        <v>2432</v>
      </c>
      <c r="C7208" s="148" t="str">
        <f aca="false">VLOOKUP($A7208,INSUMOS_AUX!$A$3:$H$813,3,0)</f>
        <v>MAT.</v>
      </c>
      <c r="D7208" s="156" t="s">
        <v>31</v>
      </c>
      <c r="E7208" s="154" t="n">
        <v>6</v>
      </c>
      <c r="F7208" s="149" t="n">
        <f aca="false">IF(C7208="MAT.",VLOOKUP(A7208,INSUMOS_AUX!$A$3:$H$813,6,0),0)</f>
        <v>1.33</v>
      </c>
      <c r="G7208" s="149" t="n">
        <f aca="false">IF(C7208="M.O.",VLOOKUP(A7208,INSUMOS_AUX!A:F,6,0),0)</f>
        <v>0</v>
      </c>
    </row>
    <row r="7209" customFormat="false" ht="31.5" hidden="false" customHeight="false" outlineLevel="0" collapsed="false">
      <c r="A7209" s="154" t="n">
        <v>13246</v>
      </c>
      <c r="B7209" s="155" t="s">
        <v>1811</v>
      </c>
      <c r="C7209" s="148" t="str">
        <f aca="false">VLOOKUP($A7209,INSUMOS_AUX!$A$3:$H$813,3,0)</f>
        <v>MAT.</v>
      </c>
      <c r="D7209" s="156" t="s">
        <v>31</v>
      </c>
      <c r="E7209" s="154" t="n">
        <v>4</v>
      </c>
      <c r="F7209" s="149" t="n">
        <f aca="false">IF(C7209="MAT.",VLOOKUP(A7209,INSUMOS_AUX!$A$3:$H$813,6,0),0)</f>
        <v>0.5</v>
      </c>
      <c r="G7209" s="149" t="n">
        <f aca="false">IF(C7209="M.O.",VLOOKUP(A7209,INSUMOS_AUX!A:F,6,0),0)</f>
        <v>0</v>
      </c>
    </row>
    <row r="7210" customFormat="false" ht="21" hidden="false" customHeight="false" outlineLevel="0" collapsed="false">
      <c r="A7210" s="154" t="n">
        <v>37591</v>
      </c>
      <c r="B7210" s="155" t="s">
        <v>2071</v>
      </c>
      <c r="C7210" s="148" t="s">
        <v>59</v>
      </c>
      <c r="D7210" s="156" t="s">
        <v>31</v>
      </c>
      <c r="E7210" s="154" t="n">
        <v>2</v>
      </c>
      <c r="F7210" s="149" t="n">
        <f aca="false">IF(C7210="MAT.",VLOOKUP(A7210,INSUMOS_AUX!$A$3:$H$813,6,0),0)</f>
        <v>0</v>
      </c>
      <c r="G7210" s="149" t="n">
        <f aca="false">IF(C7210="M.O.",VLOOKUP(A7210,INSUMOS_AUX!A:F,6,0),0)</f>
        <v>0</v>
      </c>
    </row>
    <row r="7211" customFormat="false" ht="21" hidden="false" customHeight="false" outlineLevel="0" collapsed="false">
      <c r="A7211" s="154" t="n">
        <v>1570</v>
      </c>
      <c r="B7211" s="155" t="s">
        <v>2474</v>
      </c>
      <c r="C7211" s="148" t="str">
        <f aca="false">VLOOKUP($A7211,INSUMOS_AUX!$A$3:$H$813,3,0)</f>
        <v>MAT.</v>
      </c>
      <c r="D7211" s="156" t="s">
        <v>31</v>
      </c>
      <c r="E7211" s="154" t="n">
        <v>10</v>
      </c>
      <c r="F7211" s="149" t="n">
        <f aca="false">IF(C7211="MAT.",VLOOKUP(A7211,INSUMOS_AUX!$A$3:$H$813,6,0),0)</f>
        <v>1.05</v>
      </c>
      <c r="G7211" s="149" t="n">
        <f aca="false">IF(C7211="M.O.",VLOOKUP(A7211,INSUMOS_AUX!A:F,6,0),0)</f>
        <v>0</v>
      </c>
    </row>
    <row r="7212" customFormat="false" ht="15" hidden="false" customHeight="false" outlineLevel="0" collapsed="false">
      <c r="A7212" s="154" t="n">
        <v>242</v>
      </c>
      <c r="B7212" s="155" t="s">
        <v>1660</v>
      </c>
      <c r="C7212" s="148" t="str">
        <f aca="false">VLOOKUP($A7212,INSUMOS_AUX!$A$3:$H$813,3,0)</f>
        <v>M.O.</v>
      </c>
      <c r="D7212" s="156" t="s">
        <v>1444</v>
      </c>
      <c r="E7212" s="154" t="n">
        <v>2.55211542</v>
      </c>
      <c r="F7212" s="149" t="n">
        <f aca="false">IF(C7212="MAT.",VLOOKUP(A7212,INSUMOS_AUX!$A$3:$H$813,6,0),0)</f>
        <v>0</v>
      </c>
      <c r="G7212" s="149" t="n">
        <f aca="false">IF(C7212="M.O.",VLOOKUP(A7212,INSUMOS_AUX!A:F,6,0),0)</f>
        <v>13.61</v>
      </c>
    </row>
    <row r="7213" customFormat="false" ht="15" hidden="false" customHeight="false" outlineLevel="0" collapsed="false">
      <c r="A7213" s="154" t="n">
        <v>34794</v>
      </c>
      <c r="B7213" s="155" t="s">
        <v>2764</v>
      </c>
      <c r="C7213" s="148" t="str">
        <f aca="false">VLOOKUP($A7213,INSUMOS_AUX!$A$3:$H$813,3,0)</f>
        <v>M.O.</v>
      </c>
      <c r="D7213" s="156" t="s">
        <v>1444</v>
      </c>
      <c r="E7213" s="154" t="n">
        <v>2.59276095</v>
      </c>
      <c r="F7213" s="149" t="n">
        <f aca="false">IF(C7213="MAT.",VLOOKUP(A7213,INSUMOS_AUX!$A$3:$H$813,6,0),0)</f>
        <v>0</v>
      </c>
      <c r="G7213" s="149" t="n">
        <f aca="false">IF(C7213="M.O.",VLOOKUP(A7213,INSUMOS_AUX!A:F,6,0),0)</f>
        <v>20.17</v>
      </c>
    </row>
    <row r="7214" customFormat="false" ht="21" hidden="false" customHeight="false" outlineLevel="0" collapsed="false">
      <c r="A7214" s="150" t="n">
        <v>103255</v>
      </c>
      <c r="B7214" s="151" t="s">
        <v>2769</v>
      </c>
      <c r="C7214" s="152" t="s">
        <v>59</v>
      </c>
      <c r="D7214" s="152" t="s">
        <v>31</v>
      </c>
      <c r="E7214" s="150"/>
      <c r="F7214" s="153" t="n">
        <f aca="false">(SUMPRODUCT($E7215:$E7230,F7215:F7230))*1</f>
        <v>4693.080725</v>
      </c>
      <c r="G7214" s="153" t="n">
        <f aca="false">(SUMPRODUCT($E7215:$E7230,G7215:G7230))*1</f>
        <v>90.84195019665</v>
      </c>
    </row>
    <row r="7215" customFormat="false" ht="21" hidden="false" customHeight="false" outlineLevel="0" collapsed="false">
      <c r="A7215" s="154" t="n">
        <v>37370</v>
      </c>
      <c r="B7215" s="155" t="s">
        <v>1443</v>
      </c>
      <c r="C7215" s="148" t="str">
        <f aca="false">VLOOKUP($A7215,INSUMOS_AUX!$A$3:$H$813,3,0)</f>
        <v>MAT.</v>
      </c>
      <c r="D7215" s="156" t="s">
        <v>1444</v>
      </c>
      <c r="E7215" s="154" t="n">
        <v>5.267</v>
      </c>
      <c r="F7215" s="149" t="n">
        <f aca="false">IF(C7215="MAT.",VLOOKUP(A7215,INSUMOS_AUX!$A$3:$H$813,6,0),0)</f>
        <v>3.32</v>
      </c>
      <c r="G7215" s="149" t="n">
        <f aca="false">IF(C7215="M.O.",VLOOKUP(A7215,INSUMOS_AUX!A:F,6,0),0)</f>
        <v>0</v>
      </c>
    </row>
    <row r="7216" customFormat="false" ht="21" hidden="false" customHeight="false" outlineLevel="0" collapsed="false">
      <c r="A7216" s="154" t="n">
        <v>43484</v>
      </c>
      <c r="B7216" s="155" t="s">
        <v>1523</v>
      </c>
      <c r="C7216" s="148" t="str">
        <f aca="false">VLOOKUP($A7216,INSUMOS_AUX!$A$3:$H$813,3,0)</f>
        <v>MAT.</v>
      </c>
      <c r="D7216" s="156" t="s">
        <v>1444</v>
      </c>
      <c r="E7216" s="154" t="n">
        <v>2.6335</v>
      </c>
      <c r="F7216" s="149" t="n">
        <f aca="false">IF(C7216="MAT.",VLOOKUP(A7216,INSUMOS_AUX!$A$3:$H$813,6,0),0)</f>
        <v>1.26</v>
      </c>
      <c r="G7216" s="149" t="n">
        <f aca="false">IF(C7216="M.O.",VLOOKUP(A7216,INSUMOS_AUX!A:F,6,0),0)</f>
        <v>0</v>
      </c>
    </row>
    <row r="7217" customFormat="false" ht="21" hidden="false" customHeight="false" outlineLevel="0" collapsed="false">
      <c r="A7217" s="154" t="n">
        <v>43491</v>
      </c>
      <c r="B7217" s="155" t="s">
        <v>1457</v>
      </c>
      <c r="C7217" s="148" t="str">
        <f aca="false">VLOOKUP($A7217,INSUMOS_AUX!$A$3:$H$813,3,0)</f>
        <v>MAT.</v>
      </c>
      <c r="D7217" s="156" t="s">
        <v>1444</v>
      </c>
      <c r="E7217" s="154" t="n">
        <v>2.6335</v>
      </c>
      <c r="F7217" s="149" t="n">
        <f aca="false">IF(C7217="MAT.",VLOOKUP(A7217,INSUMOS_AUX!$A$3:$H$813,6,0),0)</f>
        <v>1.39</v>
      </c>
      <c r="G7217" s="149" t="n">
        <f aca="false">IF(C7217="M.O.",VLOOKUP(A7217,INSUMOS_AUX!A:F,6,0),0)</f>
        <v>0</v>
      </c>
    </row>
    <row r="7218" customFormat="false" ht="21" hidden="false" customHeight="false" outlineLevel="0" collapsed="false">
      <c r="A7218" s="154" t="n">
        <v>37372</v>
      </c>
      <c r="B7218" s="155" t="s">
        <v>1446</v>
      </c>
      <c r="C7218" s="148" t="str">
        <f aca="false">VLOOKUP($A7218,INSUMOS_AUX!$A$3:$H$813,3,0)</f>
        <v>MAT.</v>
      </c>
      <c r="D7218" s="156" t="s">
        <v>1444</v>
      </c>
      <c r="E7218" s="154" t="n">
        <v>5.267</v>
      </c>
      <c r="F7218" s="149" t="n">
        <f aca="false">IF(C7218="MAT.",VLOOKUP(A7218,INSUMOS_AUX!$A$3:$H$813,6,0),0)</f>
        <v>1.43</v>
      </c>
      <c r="G7218" s="149" t="n">
        <f aca="false">IF(C7218="M.O.",VLOOKUP(A7218,INSUMOS_AUX!A:F,6,0),0)</f>
        <v>0</v>
      </c>
    </row>
    <row r="7219" customFormat="false" ht="21" hidden="false" customHeight="false" outlineLevel="0" collapsed="false">
      <c r="A7219" s="154" t="n">
        <v>43460</v>
      </c>
      <c r="B7219" s="155" t="s">
        <v>1524</v>
      </c>
      <c r="C7219" s="148" t="str">
        <f aca="false">VLOOKUP($A7219,INSUMOS_AUX!$A$3:$H$813,3,0)</f>
        <v>MAT.</v>
      </c>
      <c r="D7219" s="156" t="s">
        <v>1444</v>
      </c>
      <c r="E7219" s="154" t="n">
        <v>2.6335</v>
      </c>
      <c r="F7219" s="149" t="n">
        <f aca="false">IF(C7219="MAT.",VLOOKUP(A7219,INSUMOS_AUX!$A$3:$H$813,6,0),0)</f>
        <v>0.86</v>
      </c>
      <c r="G7219" s="149" t="n">
        <f aca="false">IF(C7219="M.O.",VLOOKUP(A7219,INSUMOS_AUX!A:F,6,0),0)</f>
        <v>0</v>
      </c>
    </row>
    <row r="7220" customFormat="false" ht="21" hidden="false" customHeight="false" outlineLevel="0" collapsed="false">
      <c r="A7220" s="154" t="n">
        <v>43467</v>
      </c>
      <c r="B7220" s="155" t="s">
        <v>1459</v>
      </c>
      <c r="C7220" s="148" t="s">
        <v>59</v>
      </c>
      <c r="D7220" s="156" t="s">
        <v>1444</v>
      </c>
      <c r="E7220" s="154" t="n">
        <v>2.6335</v>
      </c>
      <c r="F7220" s="149" t="n">
        <f aca="false">IF(C7220="MAT.",VLOOKUP(A7220,INSUMOS_AUX!$A$3:$H$813,6,0),0)</f>
        <v>0</v>
      </c>
      <c r="G7220" s="149" t="n">
        <f aca="false">IF(C7220="M.O.",VLOOKUP(A7220,INSUMOS_AUX!A:F,6,0),0)</f>
        <v>0</v>
      </c>
    </row>
    <row r="7221" customFormat="false" ht="21" hidden="false" customHeight="false" outlineLevel="0" collapsed="false">
      <c r="A7221" s="154" t="n">
        <v>37373</v>
      </c>
      <c r="B7221" s="155" t="s">
        <v>1448</v>
      </c>
      <c r="C7221" s="148" t="str">
        <f aca="false">VLOOKUP($A7221,INSUMOS_AUX!$A$3:$H$813,3,0)</f>
        <v>MAT.</v>
      </c>
      <c r="D7221" s="156" t="s">
        <v>1444</v>
      </c>
      <c r="E7221" s="154" t="n">
        <v>5.267</v>
      </c>
      <c r="F7221" s="149" t="n">
        <f aca="false">IF(C7221="MAT.",VLOOKUP(A7221,INSUMOS_AUX!$A$3:$H$813,6,0),0)</f>
        <v>0.08</v>
      </c>
      <c r="G7221" s="149" t="n">
        <f aca="false">IF(C7221="M.O.",VLOOKUP(A7221,INSUMOS_AUX!A:F,6,0),0)</f>
        <v>0</v>
      </c>
    </row>
    <row r="7222" customFormat="false" ht="21" hidden="false" customHeight="false" outlineLevel="0" collapsed="false">
      <c r="A7222" s="154" t="n">
        <v>37371</v>
      </c>
      <c r="B7222" s="155" t="s">
        <v>1449</v>
      </c>
      <c r="C7222" s="148" t="str">
        <f aca="false">VLOOKUP($A7222,INSUMOS_AUX!$A$3:$H$813,3,0)</f>
        <v>MAT.</v>
      </c>
      <c r="D7222" s="156" t="s">
        <v>1444</v>
      </c>
      <c r="E7222" s="154" t="n">
        <v>5.267</v>
      </c>
      <c r="F7222" s="149" t="n">
        <f aca="false">IF(C7222="MAT.",VLOOKUP(A7222,INSUMOS_AUX!$A$3:$H$813,6,0),0)</f>
        <v>0.59</v>
      </c>
      <c r="G7222" s="149" t="n">
        <f aca="false">IF(C7222="M.O.",VLOOKUP(A7222,INSUMOS_AUX!A:F,6,0),0)</f>
        <v>0</v>
      </c>
    </row>
    <row r="7223" customFormat="false" ht="31.5" hidden="false" customHeight="false" outlineLevel="0" collapsed="false">
      <c r="A7223" s="154" t="n">
        <v>39554</v>
      </c>
      <c r="B7223" s="155" t="s">
        <v>2770</v>
      </c>
      <c r="C7223" s="148" t="str">
        <f aca="false">VLOOKUP($A7223,INSUMOS_AUX!$A$3:$H$813,3,0)</f>
        <v>MAT.</v>
      </c>
      <c r="D7223" s="156" t="s">
        <v>31</v>
      </c>
      <c r="E7223" s="154" t="n">
        <v>1</v>
      </c>
      <c r="F7223" s="149" t="n">
        <f aca="false">IF(C7223="MAT.",VLOOKUP(A7223,INSUMOS_AUX!$A$3:$H$813,6,0),0)</f>
        <v>4587.16</v>
      </c>
      <c r="G7223" s="149" t="n">
        <f aca="false">IF(C7223="M.O.",VLOOKUP(A7223,INSUMOS_AUX!A:F,6,0),0)</f>
        <v>0</v>
      </c>
    </row>
    <row r="7224" customFormat="false" ht="31.5" hidden="false" customHeight="false" outlineLevel="0" collapsed="false">
      <c r="A7224" s="154" t="n">
        <v>7568</v>
      </c>
      <c r="B7224" s="155" t="s">
        <v>1815</v>
      </c>
      <c r="C7224" s="148" t="str">
        <f aca="false">VLOOKUP($A7224,INSUMOS_AUX!$A$3:$H$813,3,0)</f>
        <v>MAT.</v>
      </c>
      <c r="D7224" s="156" t="s">
        <v>31</v>
      </c>
      <c r="E7224" s="154" t="n">
        <v>9</v>
      </c>
      <c r="F7224" s="149" t="n">
        <f aca="false">IF(C7224="MAT.",VLOOKUP(A7224,INSUMOS_AUX!$A$3:$H$813,6,0),0)</f>
        <v>0.79</v>
      </c>
      <c r="G7224" s="149" t="n">
        <f aca="false">IF(C7224="M.O.",VLOOKUP(A7224,INSUMOS_AUX!A:F,6,0),0)</f>
        <v>0</v>
      </c>
    </row>
    <row r="7225" customFormat="false" ht="21" hidden="false" customHeight="false" outlineLevel="0" collapsed="false">
      <c r="A7225" s="154" t="n">
        <v>11976</v>
      </c>
      <c r="B7225" s="155" t="s">
        <v>2432</v>
      </c>
      <c r="C7225" s="148" t="str">
        <f aca="false">VLOOKUP($A7225,INSUMOS_AUX!$A$3:$H$813,3,0)</f>
        <v>MAT.</v>
      </c>
      <c r="D7225" s="156" t="s">
        <v>31</v>
      </c>
      <c r="E7225" s="154" t="n">
        <v>6</v>
      </c>
      <c r="F7225" s="149" t="n">
        <f aca="false">IF(C7225="MAT.",VLOOKUP(A7225,INSUMOS_AUX!$A$3:$H$813,6,0),0)</f>
        <v>1.33</v>
      </c>
      <c r="G7225" s="149" t="n">
        <f aca="false">IF(C7225="M.O.",VLOOKUP(A7225,INSUMOS_AUX!A:F,6,0),0)</f>
        <v>0</v>
      </c>
    </row>
    <row r="7226" customFormat="false" ht="31.5" hidden="false" customHeight="false" outlineLevel="0" collapsed="false">
      <c r="A7226" s="154" t="n">
        <v>13246</v>
      </c>
      <c r="B7226" s="155" t="s">
        <v>1811</v>
      </c>
      <c r="C7226" s="148" t="str">
        <f aca="false">VLOOKUP($A7226,INSUMOS_AUX!$A$3:$H$813,3,0)</f>
        <v>MAT.</v>
      </c>
      <c r="D7226" s="156" t="s">
        <v>31</v>
      </c>
      <c r="E7226" s="154" t="n">
        <v>4</v>
      </c>
      <c r="F7226" s="149" t="n">
        <f aca="false">IF(C7226="MAT.",VLOOKUP(A7226,INSUMOS_AUX!$A$3:$H$813,6,0),0)</f>
        <v>0.5</v>
      </c>
      <c r="G7226" s="149" t="n">
        <f aca="false">IF(C7226="M.O.",VLOOKUP(A7226,INSUMOS_AUX!A:F,6,0),0)</f>
        <v>0</v>
      </c>
    </row>
    <row r="7227" customFormat="false" ht="21" hidden="false" customHeight="false" outlineLevel="0" collapsed="false">
      <c r="A7227" s="154" t="n">
        <v>37591</v>
      </c>
      <c r="B7227" s="155" t="s">
        <v>2071</v>
      </c>
      <c r="C7227" s="148" t="str">
        <f aca="false">VLOOKUP($A7227,INSUMOS_AUX!$A$3:$H$813,3,0)</f>
        <v>MAT.</v>
      </c>
      <c r="D7227" s="156" t="s">
        <v>31</v>
      </c>
      <c r="E7227" s="154" t="n">
        <v>2</v>
      </c>
      <c r="F7227" s="149" t="n">
        <f aca="false">IF(C7227="MAT.",VLOOKUP(A7227,INSUMOS_AUX!$A$3:$H$813,6,0),0)</f>
        <v>20.27</v>
      </c>
      <c r="G7227" s="149" t="n">
        <f aca="false">IF(C7227="M.O.",VLOOKUP(A7227,INSUMOS_AUX!A:F,6,0),0)</f>
        <v>0</v>
      </c>
    </row>
    <row r="7228" customFormat="false" ht="21" hidden="false" customHeight="false" outlineLevel="0" collapsed="false">
      <c r="A7228" s="154" t="n">
        <v>1570</v>
      </c>
      <c r="B7228" s="155" t="s">
        <v>2474</v>
      </c>
      <c r="C7228" s="148" t="str">
        <f aca="false">VLOOKUP($A7228,INSUMOS_AUX!$A$3:$H$813,3,0)</f>
        <v>MAT.</v>
      </c>
      <c r="D7228" s="156" t="s">
        <v>31</v>
      </c>
      <c r="E7228" s="154" t="n">
        <v>10</v>
      </c>
      <c r="F7228" s="149" t="n">
        <f aca="false">IF(C7228="MAT.",VLOOKUP(A7228,INSUMOS_AUX!$A$3:$H$813,6,0),0)</f>
        <v>1.05</v>
      </c>
      <c r="G7228" s="149" t="n">
        <f aca="false">IF(C7228="M.O.",VLOOKUP(A7228,INSUMOS_AUX!A:F,6,0),0)</f>
        <v>0</v>
      </c>
    </row>
    <row r="7229" customFormat="false" ht="15" hidden="false" customHeight="false" outlineLevel="0" collapsed="false">
      <c r="A7229" s="154" t="n">
        <v>242</v>
      </c>
      <c r="B7229" s="155" t="s">
        <v>1660</v>
      </c>
      <c r="C7229" s="148" t="str">
        <f aca="false">VLOOKUP($A7229,INSUMOS_AUX!$A$3:$H$813,3,0)</f>
        <v>M.O.</v>
      </c>
      <c r="D7229" s="156" t="s">
        <v>1444</v>
      </c>
      <c r="E7229" s="154" t="n">
        <v>2.66389059</v>
      </c>
      <c r="F7229" s="149" t="n">
        <f aca="false">IF(C7229="MAT.",VLOOKUP(A7229,INSUMOS_AUX!$A$3:$H$813,6,0),0)</f>
        <v>0</v>
      </c>
      <c r="G7229" s="149" t="n">
        <f aca="false">IF(C7229="M.O.",VLOOKUP(A7229,INSUMOS_AUX!A:F,6,0),0)</f>
        <v>13.61</v>
      </c>
    </row>
    <row r="7230" customFormat="false" ht="15" hidden="false" customHeight="false" outlineLevel="0" collapsed="false">
      <c r="A7230" s="154" t="n">
        <v>34794</v>
      </c>
      <c r="B7230" s="155" t="s">
        <v>2764</v>
      </c>
      <c r="C7230" s="148" t="str">
        <f aca="false">VLOOKUP($A7230,INSUMOS_AUX!$A$3:$H$813,3,0)</f>
        <v>M.O.</v>
      </c>
      <c r="D7230" s="156" t="s">
        <v>1444</v>
      </c>
      <c r="E7230" s="154" t="n">
        <v>2.706316275</v>
      </c>
      <c r="F7230" s="149" t="n">
        <f aca="false">IF(C7230="MAT.",VLOOKUP(A7230,INSUMOS_AUX!$A$3:$H$813,6,0),0)</f>
        <v>0</v>
      </c>
      <c r="G7230" s="149" t="n">
        <f aca="false">IF(C7230="M.O.",VLOOKUP(A7230,INSUMOS_AUX!A:F,6,0),0)</f>
        <v>20.17</v>
      </c>
    </row>
    <row r="7231" customFormat="false" ht="21" hidden="false" customHeight="false" outlineLevel="0" collapsed="false">
      <c r="A7231" s="150" t="s">
        <v>1236</v>
      </c>
      <c r="B7231" s="151" t="s">
        <v>2771</v>
      </c>
      <c r="C7231" s="152" t="s">
        <v>59</v>
      </c>
      <c r="D7231" s="152" t="s">
        <v>31</v>
      </c>
      <c r="E7231" s="150"/>
      <c r="F7231" s="153" t="n">
        <f aca="false">(SUMPRODUCT($E7232:$E7249,F7232:F7249))*1</f>
        <v>16109.9385783333</v>
      </c>
      <c r="G7231" s="153" t="n">
        <f aca="false">(SUMPRODUCT($E7232:$E7249,G7232:G7249))*1</f>
        <v>98.51254216635</v>
      </c>
    </row>
    <row r="7232" customFormat="false" ht="21" hidden="false" customHeight="false" outlineLevel="0" collapsed="false">
      <c r="A7232" s="154" t="n">
        <v>37370</v>
      </c>
      <c r="B7232" s="155" t="s">
        <v>1443</v>
      </c>
      <c r="C7232" s="148" t="str">
        <f aca="false">VLOOKUP($A7232,INSUMOS_AUX!$A$3:$H$813,3,0)</f>
        <v>MAT.</v>
      </c>
      <c r="D7232" s="156" t="s">
        <v>1444</v>
      </c>
      <c r="E7232" s="154" t="n">
        <v>9.5054</v>
      </c>
      <c r="F7232" s="149" t="n">
        <f aca="false">IF(C7232="MAT.",VLOOKUP(A7232,INSUMOS_AUX!$A$3:$H$813,6,0),0)</f>
        <v>3.32</v>
      </c>
      <c r="G7232" s="149" t="n">
        <f aca="false">IF(C7232="M.O.",VLOOKUP(A7232,INSUMOS_AUX!A:F,6,0),0)</f>
        <v>0</v>
      </c>
    </row>
    <row r="7233" customFormat="false" ht="21" hidden="false" customHeight="false" outlineLevel="0" collapsed="false">
      <c r="A7233" s="154" t="n">
        <v>43484</v>
      </c>
      <c r="B7233" s="155" t="s">
        <v>1523</v>
      </c>
      <c r="C7233" s="148" t="str">
        <f aca="false">VLOOKUP($A7233,INSUMOS_AUX!$A$3:$H$813,3,0)</f>
        <v>MAT.</v>
      </c>
      <c r="D7233" s="156" t="s">
        <v>1444</v>
      </c>
      <c r="E7233" s="154" t="n">
        <v>4.7527</v>
      </c>
      <c r="F7233" s="149" t="n">
        <f aca="false">IF(C7233="MAT.",VLOOKUP(A7233,INSUMOS_AUX!$A$3:$H$813,6,0),0)</f>
        <v>1.26</v>
      </c>
      <c r="G7233" s="149" t="n">
        <f aca="false">IF(C7233="M.O.",VLOOKUP(A7233,INSUMOS_AUX!A:F,6,0),0)</f>
        <v>0</v>
      </c>
    </row>
    <row r="7234" customFormat="false" ht="21" hidden="false" customHeight="false" outlineLevel="0" collapsed="false">
      <c r="A7234" s="154" t="n">
        <v>43491</v>
      </c>
      <c r="B7234" s="155" t="s">
        <v>1457</v>
      </c>
      <c r="C7234" s="148" t="str">
        <f aca="false">VLOOKUP($A7234,INSUMOS_AUX!$A$3:$H$813,3,0)</f>
        <v>MAT.</v>
      </c>
      <c r="D7234" s="156" t="s">
        <v>1444</v>
      </c>
      <c r="E7234" s="154" t="n">
        <v>4.7527</v>
      </c>
      <c r="F7234" s="149" t="n">
        <f aca="false">IF(C7234="MAT.",VLOOKUP(A7234,INSUMOS_AUX!$A$3:$H$813,6,0),0)</f>
        <v>1.39</v>
      </c>
      <c r="G7234" s="149" t="n">
        <f aca="false">IF(C7234="M.O.",VLOOKUP(A7234,INSUMOS_AUX!A:F,6,0),0)</f>
        <v>0</v>
      </c>
    </row>
    <row r="7235" customFormat="false" ht="21" hidden="false" customHeight="false" outlineLevel="0" collapsed="false">
      <c r="A7235" s="154" t="n">
        <v>37372</v>
      </c>
      <c r="B7235" s="155" t="s">
        <v>1446</v>
      </c>
      <c r="C7235" s="148" t="str">
        <f aca="false">VLOOKUP($A7235,INSUMOS_AUX!$A$3:$H$813,3,0)</f>
        <v>MAT.</v>
      </c>
      <c r="D7235" s="156" t="s">
        <v>1444</v>
      </c>
      <c r="E7235" s="154" t="n">
        <v>9.5054</v>
      </c>
      <c r="F7235" s="149" t="n">
        <f aca="false">IF(C7235="MAT.",VLOOKUP(A7235,INSUMOS_AUX!$A$3:$H$813,6,0),0)</f>
        <v>1.43</v>
      </c>
      <c r="G7235" s="149" t="n">
        <f aca="false">IF(C7235="M.O.",VLOOKUP(A7235,INSUMOS_AUX!A:F,6,0),0)</f>
        <v>0</v>
      </c>
    </row>
    <row r="7236" customFormat="false" ht="21" hidden="false" customHeight="false" outlineLevel="0" collapsed="false">
      <c r="A7236" s="154" t="n">
        <v>43460</v>
      </c>
      <c r="B7236" s="155" t="s">
        <v>1524</v>
      </c>
      <c r="C7236" s="148" t="str">
        <f aca="false">VLOOKUP($A7236,INSUMOS_AUX!$A$3:$H$813,3,0)</f>
        <v>MAT.</v>
      </c>
      <c r="D7236" s="156" t="s">
        <v>1444</v>
      </c>
      <c r="E7236" s="154" t="n">
        <v>4.7527</v>
      </c>
      <c r="F7236" s="149" t="n">
        <f aca="false">IF(C7236="MAT.",VLOOKUP(A7236,INSUMOS_AUX!$A$3:$H$813,6,0),0)</f>
        <v>0.86</v>
      </c>
      <c r="G7236" s="149" t="n">
        <f aca="false">IF(C7236="M.O.",VLOOKUP(A7236,INSUMOS_AUX!A:F,6,0),0)</f>
        <v>0</v>
      </c>
    </row>
    <row r="7237" customFormat="false" ht="21" hidden="false" customHeight="false" outlineLevel="0" collapsed="false">
      <c r="A7237" s="154" t="n">
        <v>43467</v>
      </c>
      <c r="B7237" s="155" t="s">
        <v>1459</v>
      </c>
      <c r="C7237" s="148" t="s">
        <v>59</v>
      </c>
      <c r="D7237" s="156" t="s">
        <v>1444</v>
      </c>
      <c r="E7237" s="154" t="n">
        <v>4.7527</v>
      </c>
      <c r="F7237" s="149" t="n">
        <f aca="false">IF(C7237="MAT.",VLOOKUP(A7237,INSUMOS_AUX!$A$3:$H$813,6,0),0)</f>
        <v>0</v>
      </c>
      <c r="G7237" s="149" t="n">
        <f aca="false">IF(C7237="M.O.",VLOOKUP(A7237,INSUMOS_AUX!A:F,6,0),0)</f>
        <v>0</v>
      </c>
    </row>
    <row r="7238" customFormat="false" ht="21" hidden="false" customHeight="false" outlineLevel="0" collapsed="false">
      <c r="A7238" s="154" t="n">
        <v>37373</v>
      </c>
      <c r="B7238" s="155" t="s">
        <v>1448</v>
      </c>
      <c r="C7238" s="148" t="str">
        <f aca="false">VLOOKUP($A7238,INSUMOS_AUX!$A$3:$H$813,3,0)</f>
        <v>MAT.</v>
      </c>
      <c r="D7238" s="156" t="s">
        <v>1444</v>
      </c>
      <c r="E7238" s="154" t="n">
        <v>9.5054</v>
      </c>
      <c r="F7238" s="149" t="n">
        <f aca="false">IF(C7238="MAT.",VLOOKUP(A7238,INSUMOS_AUX!$A$3:$H$813,6,0),0)</f>
        <v>0.08</v>
      </c>
      <c r="G7238" s="149" t="n">
        <f aca="false">IF(C7238="M.O.",VLOOKUP(A7238,INSUMOS_AUX!A:F,6,0),0)</f>
        <v>0</v>
      </c>
    </row>
    <row r="7239" customFormat="false" ht="21" hidden="false" customHeight="false" outlineLevel="0" collapsed="false">
      <c r="A7239" s="154" t="n">
        <v>37371</v>
      </c>
      <c r="B7239" s="155" t="s">
        <v>1449</v>
      </c>
      <c r="C7239" s="148" t="str">
        <f aca="false">VLOOKUP($A7239,INSUMOS_AUX!$A$3:$H$813,3,0)</f>
        <v>MAT.</v>
      </c>
      <c r="D7239" s="156" t="s">
        <v>1444</v>
      </c>
      <c r="E7239" s="154" t="n">
        <v>9.5054</v>
      </c>
      <c r="F7239" s="149" t="n">
        <f aca="false">IF(C7239="MAT.",VLOOKUP(A7239,INSUMOS_AUX!$A$3:$H$813,6,0),0)</f>
        <v>0.59</v>
      </c>
      <c r="G7239" s="149" t="n">
        <f aca="false">IF(C7239="M.O.",VLOOKUP(A7239,INSUMOS_AUX!A:F,6,0),0)</f>
        <v>0</v>
      </c>
    </row>
    <row r="7240" customFormat="false" ht="15" hidden="false" customHeight="false" outlineLevel="0" collapsed="false">
      <c r="A7240" s="154" t="s">
        <v>2772</v>
      </c>
      <c r="B7240" s="155" t="s">
        <v>2773</v>
      </c>
      <c r="C7240" s="148" t="str">
        <f aca="false">VLOOKUP($A7240,INSUMOS_AUX!$A$3:$H$813,3,0)</f>
        <v>MAT.</v>
      </c>
      <c r="D7240" s="156" t="s">
        <v>31</v>
      </c>
      <c r="E7240" s="154" t="n">
        <v>1</v>
      </c>
      <c r="F7240" s="149" t="n">
        <f aca="false">IF(C7240="MAT.",VLOOKUP(A7240,INSUMOS_AUX!$A$3:$H$813,6,0),0)</f>
        <v>15962.3333333333</v>
      </c>
      <c r="G7240" s="149" t="n">
        <f aca="false">IF(C7240="M.O.",VLOOKUP(A7240,INSUMOS_AUX!A:F,6,0),0)</f>
        <v>0</v>
      </c>
    </row>
    <row r="7241" customFormat="false" ht="21" hidden="false" customHeight="false" outlineLevel="0" collapsed="false">
      <c r="A7241" s="154" t="n">
        <v>13348</v>
      </c>
      <c r="B7241" s="155" t="s">
        <v>2774</v>
      </c>
      <c r="C7241" s="148" t="str">
        <f aca="false">VLOOKUP($A7241,INSUMOS_AUX!$A$3:$H$813,3,0)</f>
        <v>MAT.</v>
      </c>
      <c r="D7241" s="156" t="s">
        <v>31</v>
      </c>
      <c r="E7241" s="154" t="n">
        <v>4</v>
      </c>
      <c r="F7241" s="149" t="n">
        <f aca="false">IF(C7241="MAT.",VLOOKUP(A7241,INSUMOS_AUX!$A$3:$H$813,6,0),0)</f>
        <v>1.63</v>
      </c>
      <c r="G7241" s="149" t="n">
        <f aca="false">IF(C7241="M.O.",VLOOKUP(A7241,INSUMOS_AUX!A:F,6,0),0)</f>
        <v>0</v>
      </c>
    </row>
    <row r="7242" customFormat="false" ht="21" hidden="false" customHeight="false" outlineLevel="0" collapsed="false">
      <c r="A7242" s="154" t="n">
        <v>11976</v>
      </c>
      <c r="B7242" s="155" t="s">
        <v>2432</v>
      </c>
      <c r="C7242" s="148" t="str">
        <f aca="false">VLOOKUP($A7242,INSUMOS_AUX!$A$3:$H$813,3,0)</f>
        <v>MAT.</v>
      </c>
      <c r="D7242" s="156" t="s">
        <v>31</v>
      </c>
      <c r="E7242" s="154" t="n">
        <v>10</v>
      </c>
      <c r="F7242" s="149" t="n">
        <f aca="false">IF(C7242="MAT.",VLOOKUP(A7242,INSUMOS_AUX!$A$3:$H$813,6,0),0)</f>
        <v>1.33</v>
      </c>
      <c r="G7242" s="149" t="n">
        <f aca="false">IF(C7242="M.O.",VLOOKUP(A7242,INSUMOS_AUX!A:F,6,0),0)</f>
        <v>0</v>
      </c>
    </row>
    <row r="7243" customFormat="false" ht="31.5" hidden="false" customHeight="false" outlineLevel="0" collapsed="false">
      <c r="A7243" s="154" t="n">
        <v>13246</v>
      </c>
      <c r="B7243" s="155" t="s">
        <v>1811</v>
      </c>
      <c r="C7243" s="148" t="str">
        <f aca="false">VLOOKUP($A7243,INSUMOS_AUX!$A$3:$H$813,3,0)</f>
        <v>MAT.</v>
      </c>
      <c r="D7243" s="156" t="s">
        <v>31</v>
      </c>
      <c r="E7243" s="154" t="n">
        <v>4</v>
      </c>
      <c r="F7243" s="149" t="n">
        <f aca="false">IF(C7243="MAT.",VLOOKUP(A7243,INSUMOS_AUX!$A$3:$H$813,6,0),0)</f>
        <v>0.5</v>
      </c>
      <c r="G7243" s="149" t="n">
        <f aca="false">IF(C7243="M.O.",VLOOKUP(A7243,INSUMOS_AUX!A:F,6,0),0)</f>
        <v>0</v>
      </c>
    </row>
    <row r="7244" customFormat="false" ht="15" hidden="false" customHeight="false" outlineLevel="0" collapsed="false">
      <c r="A7244" s="154" t="n">
        <v>39997</v>
      </c>
      <c r="B7244" s="155" t="s">
        <v>2438</v>
      </c>
      <c r="C7244" s="148" t="str">
        <f aca="false">VLOOKUP($A7244,INSUMOS_AUX!$A$3:$H$813,3,0)</f>
        <v>MAT.</v>
      </c>
      <c r="D7244" s="156" t="s">
        <v>31</v>
      </c>
      <c r="E7244" s="154" t="n">
        <v>8</v>
      </c>
      <c r="F7244" s="149" t="n">
        <f aca="false">IF(C7244="MAT.",VLOOKUP(A7244,INSUMOS_AUX!$A$3:$H$813,6,0),0)</f>
        <v>0.33</v>
      </c>
      <c r="G7244" s="149" t="n">
        <f aca="false">IF(C7244="M.O.",VLOOKUP(A7244,INSUMOS_AUX!A:F,6,0),0)</f>
        <v>0</v>
      </c>
    </row>
    <row r="7245" customFormat="false" ht="21" hidden="false" customHeight="false" outlineLevel="0" collapsed="false">
      <c r="A7245" s="154" t="n">
        <v>37591</v>
      </c>
      <c r="B7245" s="155" t="s">
        <v>2071</v>
      </c>
      <c r="C7245" s="148" t="str">
        <f aca="false">VLOOKUP($A7245,INSUMOS_AUX!$A$3:$H$813,3,0)</f>
        <v>MAT.</v>
      </c>
      <c r="D7245" s="156" t="s">
        <v>31</v>
      </c>
      <c r="E7245" s="154" t="n">
        <v>2</v>
      </c>
      <c r="F7245" s="149" t="n">
        <f aca="false">IF(C7245="MAT.",VLOOKUP(A7245,INSUMOS_AUX!$A$3:$H$813,6,0),0)</f>
        <v>20.27</v>
      </c>
      <c r="G7245" s="149" t="n">
        <f aca="false">IF(C7245="M.O.",VLOOKUP(A7245,INSUMOS_AUX!A:F,6,0),0)</f>
        <v>0</v>
      </c>
    </row>
    <row r="7246" customFormat="false" ht="21" hidden="false" customHeight="false" outlineLevel="0" collapsed="false">
      <c r="A7246" s="154" t="n">
        <v>1570</v>
      </c>
      <c r="B7246" s="155" t="s">
        <v>2474</v>
      </c>
      <c r="C7246" s="148" t="str">
        <f aca="false">VLOOKUP($A7246,INSUMOS_AUX!$A$3:$H$813,3,0)</f>
        <v>MAT.</v>
      </c>
      <c r="D7246" s="156" t="s">
        <v>31</v>
      </c>
      <c r="E7246" s="154" t="n">
        <v>10</v>
      </c>
      <c r="F7246" s="149" t="n">
        <f aca="false">IF(C7246="MAT.",VLOOKUP(A7246,INSUMOS_AUX!$A$3:$H$813,6,0),0)</f>
        <v>1.05</v>
      </c>
      <c r="G7246" s="149" t="n">
        <f aca="false">IF(C7246="M.O.",VLOOKUP(A7246,INSUMOS_AUX!A:F,6,0),0)</f>
        <v>0</v>
      </c>
    </row>
    <row r="7247" customFormat="false" ht="15" hidden="false" customHeight="false" outlineLevel="0" collapsed="false">
      <c r="A7247" s="154" t="n">
        <v>39996</v>
      </c>
      <c r="B7247" s="155" t="s">
        <v>2441</v>
      </c>
      <c r="C7247" s="148" t="str">
        <f aca="false">VLOOKUP($A7247,INSUMOS_AUX!$A$3:$H$813,3,0)</f>
        <v>MAT.</v>
      </c>
      <c r="D7247" s="156" t="s">
        <v>1455</v>
      </c>
      <c r="E7247" s="154" t="n">
        <v>1.28</v>
      </c>
      <c r="F7247" s="149" t="n">
        <f aca="false">IF(C7247="MAT.",VLOOKUP(A7247,INSUMOS_AUX!$A$3:$H$813,6,0),0)</f>
        <v>3.05</v>
      </c>
      <c r="G7247" s="149" t="n">
        <f aca="false">IF(C7247="M.O.",VLOOKUP(A7247,INSUMOS_AUX!A:F,6,0),0)</f>
        <v>0</v>
      </c>
    </row>
    <row r="7248" customFormat="false" ht="15" hidden="false" customHeight="false" outlineLevel="0" collapsed="false">
      <c r="A7248" s="154" t="n">
        <v>242</v>
      </c>
      <c r="B7248" s="155" t="s">
        <v>1660</v>
      </c>
      <c r="C7248" s="148" t="s">
        <v>59</v>
      </c>
      <c r="D7248" s="156" t="s">
        <v>1444</v>
      </c>
      <c r="E7248" s="154" t="n">
        <v>4.807546158</v>
      </c>
      <c r="F7248" s="149" t="n">
        <f aca="false">IF(C7248="MAT.",VLOOKUP(A7248,INSUMOS_AUX!$A$3:$H$813,6,0),0)</f>
        <v>0</v>
      </c>
      <c r="G7248" s="149" t="n">
        <f aca="false">IF(C7248="M.O.",VLOOKUP(A7248,INSUMOS_AUX!A:F,6,0),0)</f>
        <v>0</v>
      </c>
    </row>
    <row r="7249" customFormat="false" ht="15" hidden="false" customHeight="false" outlineLevel="0" collapsed="false">
      <c r="A7249" s="154" t="n">
        <v>34794</v>
      </c>
      <c r="B7249" s="155" t="s">
        <v>2764</v>
      </c>
      <c r="C7249" s="148" t="str">
        <f aca="false">VLOOKUP($A7249,INSUMOS_AUX!$A$3:$H$813,3,0)</f>
        <v>M.O.</v>
      </c>
      <c r="D7249" s="156" t="s">
        <v>1444</v>
      </c>
      <c r="E7249" s="154" t="n">
        <v>4.884112155</v>
      </c>
      <c r="F7249" s="149" t="n">
        <f aca="false">IF(C7249="MAT.",VLOOKUP(A7249,INSUMOS_AUX!$A$3:$H$813,6,0),0)</f>
        <v>0</v>
      </c>
      <c r="G7249" s="149" t="n">
        <f aca="false">IF(C7249="M.O.",VLOOKUP(A7249,INSUMOS_AUX!A:F,6,0),0)</f>
        <v>20.17</v>
      </c>
    </row>
    <row r="7250" customFormat="false" ht="21" hidden="false" customHeight="false" outlineLevel="0" collapsed="false">
      <c r="A7250" s="150" t="s">
        <v>1238</v>
      </c>
      <c r="B7250" s="151" t="s">
        <v>2775</v>
      </c>
      <c r="C7250" s="152" t="s">
        <v>59</v>
      </c>
      <c r="D7250" s="152" t="s">
        <v>31</v>
      </c>
      <c r="E7250" s="150"/>
      <c r="F7250" s="153" t="n">
        <f aca="false">(SUMPRODUCT($E7251:$E7271,F7251:F7271))*1</f>
        <v>20046.2945201839</v>
      </c>
      <c r="G7250" s="153" t="n">
        <f aca="false">(SUMPRODUCT($E7251:$E7271,G7251:G7271))*1</f>
        <v>209.56985261334</v>
      </c>
    </row>
    <row r="7251" customFormat="false" ht="21" hidden="false" customHeight="false" outlineLevel="0" collapsed="false">
      <c r="A7251" s="154" t="n">
        <v>37370</v>
      </c>
      <c r="B7251" s="155" t="s">
        <v>1443</v>
      </c>
      <c r="C7251" s="148" t="str">
        <f aca="false">VLOOKUP($A7251,INSUMOS_AUX!$A$3:$H$813,3,0)</f>
        <v>MAT.</v>
      </c>
      <c r="D7251" s="156" t="s">
        <v>1444</v>
      </c>
      <c r="E7251" s="154" t="n">
        <v>11.7407</v>
      </c>
      <c r="F7251" s="149" t="n">
        <f aca="false">IF(C7251="MAT.",VLOOKUP(A7251,INSUMOS_AUX!$A$3:$H$813,6,0),0)</f>
        <v>3.32</v>
      </c>
      <c r="G7251" s="149" t="n">
        <f aca="false">IF(C7251="M.O.",VLOOKUP(A7251,INSUMOS_AUX!A:F,6,0),0)</f>
        <v>0</v>
      </c>
    </row>
    <row r="7252" customFormat="false" ht="21" hidden="false" customHeight="false" outlineLevel="0" collapsed="false">
      <c r="A7252" s="154" t="n">
        <v>43484</v>
      </c>
      <c r="B7252" s="155" t="s">
        <v>1523</v>
      </c>
      <c r="C7252" s="148" t="str">
        <f aca="false">VLOOKUP($A7252,INSUMOS_AUX!$A$3:$H$813,3,0)</f>
        <v>MAT.</v>
      </c>
      <c r="D7252" s="156" t="s">
        <v>1444</v>
      </c>
      <c r="E7252" s="154" t="n">
        <v>5.0091</v>
      </c>
      <c r="F7252" s="149" t="n">
        <f aca="false">IF(C7252="MAT.",VLOOKUP(A7252,INSUMOS_AUX!$A$3:$H$813,6,0),0)</f>
        <v>1.26</v>
      </c>
      <c r="G7252" s="149" t="n">
        <f aca="false">IF(C7252="M.O.",VLOOKUP(A7252,INSUMOS_AUX!A:F,6,0),0)</f>
        <v>0</v>
      </c>
    </row>
    <row r="7253" customFormat="false" ht="21" hidden="false" customHeight="false" outlineLevel="0" collapsed="false">
      <c r="A7253" s="154" t="n">
        <v>43488</v>
      </c>
      <c r="B7253" s="155" t="s">
        <v>1445</v>
      </c>
      <c r="C7253" s="148" t="str">
        <f aca="false">VLOOKUP($A7253,INSUMOS_AUX!$A$3:$H$813,3,0)</f>
        <v>MAT.</v>
      </c>
      <c r="D7253" s="156" t="s">
        <v>1444</v>
      </c>
      <c r="E7253" s="154" t="n">
        <v>1.7225</v>
      </c>
      <c r="F7253" s="149" t="n">
        <f aca="false">IF(C7253="MAT.",VLOOKUP(A7253,INSUMOS_AUX!$A$3:$H$813,6,0),0)</f>
        <v>0.89</v>
      </c>
      <c r="G7253" s="149" t="n">
        <f aca="false">IF(C7253="M.O.",VLOOKUP(A7253,INSUMOS_AUX!A:F,6,0),0)</f>
        <v>0</v>
      </c>
    </row>
    <row r="7254" customFormat="false" ht="21" hidden="false" customHeight="false" outlineLevel="0" collapsed="false">
      <c r="A7254" s="154" t="n">
        <v>43491</v>
      </c>
      <c r="B7254" s="155" t="s">
        <v>1457</v>
      </c>
      <c r="C7254" s="148" t="str">
        <f aca="false">VLOOKUP($A7254,INSUMOS_AUX!$A$3:$H$813,3,0)</f>
        <v>MAT.</v>
      </c>
      <c r="D7254" s="156" t="s">
        <v>1444</v>
      </c>
      <c r="E7254" s="154" t="n">
        <v>5.0091</v>
      </c>
      <c r="F7254" s="149" t="n">
        <f aca="false">IF(C7254="MAT.",VLOOKUP(A7254,INSUMOS_AUX!$A$3:$H$813,6,0),0)</f>
        <v>1.39</v>
      </c>
      <c r="G7254" s="149" t="n">
        <f aca="false">IF(C7254="M.O.",VLOOKUP(A7254,INSUMOS_AUX!A:F,6,0),0)</f>
        <v>0</v>
      </c>
    </row>
    <row r="7255" customFormat="false" ht="21" hidden="false" customHeight="false" outlineLevel="0" collapsed="false">
      <c r="A7255" s="154" t="n">
        <v>37372</v>
      </c>
      <c r="B7255" s="155" t="s">
        <v>1446</v>
      </c>
      <c r="C7255" s="148" t="str">
        <f aca="false">VLOOKUP($A7255,INSUMOS_AUX!$A$3:$H$813,3,0)</f>
        <v>MAT.</v>
      </c>
      <c r="D7255" s="156" t="s">
        <v>1444</v>
      </c>
      <c r="E7255" s="154" t="n">
        <v>11.7407</v>
      </c>
      <c r="F7255" s="149" t="n">
        <f aca="false">IF(C7255="MAT.",VLOOKUP(A7255,INSUMOS_AUX!$A$3:$H$813,6,0),0)</f>
        <v>1.43</v>
      </c>
      <c r="G7255" s="149" t="n">
        <f aca="false">IF(C7255="M.O.",VLOOKUP(A7255,INSUMOS_AUX!A:F,6,0),0)</f>
        <v>0</v>
      </c>
    </row>
    <row r="7256" customFormat="false" ht="21" hidden="false" customHeight="false" outlineLevel="0" collapsed="false">
      <c r="A7256" s="154" t="n">
        <v>43460</v>
      </c>
      <c r="B7256" s="155" t="s">
        <v>1524</v>
      </c>
      <c r="C7256" s="148" t="str">
        <f aca="false">VLOOKUP($A7256,INSUMOS_AUX!$A$3:$H$813,3,0)</f>
        <v>MAT.</v>
      </c>
      <c r="D7256" s="156" t="s">
        <v>1444</v>
      </c>
      <c r="E7256" s="154" t="n">
        <v>5.0091</v>
      </c>
      <c r="F7256" s="149" t="n">
        <f aca="false">IF(C7256="MAT.",VLOOKUP(A7256,INSUMOS_AUX!$A$3:$H$813,6,0),0)</f>
        <v>0.86</v>
      </c>
      <c r="G7256" s="149" t="n">
        <f aca="false">IF(C7256="M.O.",VLOOKUP(A7256,INSUMOS_AUX!A:F,6,0),0)</f>
        <v>0</v>
      </c>
    </row>
    <row r="7257" customFormat="false" ht="21" hidden="false" customHeight="false" outlineLevel="0" collapsed="false">
      <c r="A7257" s="154" t="n">
        <v>43464</v>
      </c>
      <c r="B7257" s="155" t="s">
        <v>1447</v>
      </c>
      <c r="C7257" s="148" t="str">
        <f aca="false">VLOOKUP($A7257,INSUMOS_AUX!$A$3:$H$813,3,0)</f>
        <v>MAT.</v>
      </c>
      <c r="D7257" s="156" t="s">
        <v>1444</v>
      </c>
      <c r="E7257" s="154" t="n">
        <v>1.7225</v>
      </c>
      <c r="F7257" s="149" t="n">
        <f aca="false">IF(C7257="MAT.",VLOOKUP(A7257,INSUMOS_AUX!$A$3:$H$813,6,0),0)</f>
        <v>0.01</v>
      </c>
      <c r="G7257" s="149" t="n">
        <f aca="false">IF(C7257="M.O.",VLOOKUP(A7257,INSUMOS_AUX!A:F,6,0),0)</f>
        <v>0</v>
      </c>
    </row>
    <row r="7258" customFormat="false" ht="21" hidden="false" customHeight="false" outlineLevel="0" collapsed="false">
      <c r="A7258" s="154" t="n">
        <v>43467</v>
      </c>
      <c r="B7258" s="155" t="s">
        <v>1459</v>
      </c>
      <c r="C7258" s="148" t="s">
        <v>59</v>
      </c>
      <c r="D7258" s="156" t="s">
        <v>1444</v>
      </c>
      <c r="E7258" s="154" t="n">
        <v>5.0091</v>
      </c>
      <c r="F7258" s="149" t="n">
        <f aca="false">IF(C7258="MAT.",VLOOKUP(A7258,INSUMOS_AUX!$A$3:$H$813,6,0),0)</f>
        <v>0</v>
      </c>
      <c r="G7258" s="149" t="n">
        <f aca="false">IF(C7258="M.O.",VLOOKUP(A7258,INSUMOS_AUX!A:F,6,0),0)</f>
        <v>0</v>
      </c>
    </row>
    <row r="7259" customFormat="false" ht="21" hidden="false" customHeight="false" outlineLevel="0" collapsed="false">
      <c r="A7259" s="154" t="n">
        <v>37373</v>
      </c>
      <c r="B7259" s="155" t="s">
        <v>1448</v>
      </c>
      <c r="C7259" s="148" t="str">
        <f aca="false">VLOOKUP($A7259,INSUMOS_AUX!$A$3:$H$813,3,0)</f>
        <v>MAT.</v>
      </c>
      <c r="D7259" s="156" t="s">
        <v>1444</v>
      </c>
      <c r="E7259" s="154" t="n">
        <v>11.7407</v>
      </c>
      <c r="F7259" s="149" t="n">
        <f aca="false">IF(C7259="MAT.",VLOOKUP(A7259,INSUMOS_AUX!$A$3:$H$813,6,0),0)</f>
        <v>0.08</v>
      </c>
      <c r="G7259" s="149" t="n">
        <f aca="false">IF(C7259="M.O.",VLOOKUP(A7259,INSUMOS_AUX!A:F,6,0),0)</f>
        <v>0</v>
      </c>
    </row>
    <row r="7260" customFormat="false" ht="21" hidden="false" customHeight="false" outlineLevel="0" collapsed="false">
      <c r="A7260" s="154" t="n">
        <v>37371</v>
      </c>
      <c r="B7260" s="155" t="s">
        <v>1449</v>
      </c>
      <c r="C7260" s="148" t="str">
        <f aca="false">VLOOKUP($A7260,INSUMOS_AUX!$A$3:$H$813,3,0)</f>
        <v>MAT.</v>
      </c>
      <c r="D7260" s="156" t="s">
        <v>1444</v>
      </c>
      <c r="E7260" s="154" t="n">
        <v>11.7407</v>
      </c>
      <c r="F7260" s="149" t="n">
        <f aca="false">IF(C7260="MAT.",VLOOKUP(A7260,INSUMOS_AUX!$A$3:$H$813,6,0),0)</f>
        <v>0.59</v>
      </c>
      <c r="G7260" s="149" t="n">
        <f aca="false">IF(C7260="M.O.",VLOOKUP(A7260,INSUMOS_AUX!A:F,6,0),0)</f>
        <v>0</v>
      </c>
    </row>
    <row r="7261" customFormat="false" ht="15" hidden="false" customHeight="false" outlineLevel="0" collapsed="false">
      <c r="A7261" s="154" t="s">
        <v>2776</v>
      </c>
      <c r="B7261" s="155" t="s">
        <v>2777</v>
      </c>
      <c r="C7261" s="148" t="str">
        <f aca="false">VLOOKUP($A7261,INSUMOS_AUX!$A$3:$H$813,3,0)</f>
        <v>MAT.</v>
      </c>
      <c r="D7261" s="156" t="s">
        <v>31</v>
      </c>
      <c r="E7261" s="154" t="n">
        <v>1</v>
      </c>
      <c r="F7261" s="149" t="n">
        <f aca="false">IF(C7261="MAT.",VLOOKUP(A7261,INSUMOS_AUX!$A$3:$H$813,6,0),0)</f>
        <v>19647.12</v>
      </c>
      <c r="G7261" s="149" t="n">
        <f aca="false">IF(C7261="M.O.",VLOOKUP(A7261,INSUMOS_AUX!A:F,6,0),0)</f>
        <v>0</v>
      </c>
    </row>
    <row r="7262" customFormat="false" ht="21" hidden="false" customHeight="false" outlineLevel="0" collapsed="false">
      <c r="A7262" s="154" t="n">
        <v>44474</v>
      </c>
      <c r="B7262" s="155" t="s">
        <v>1563</v>
      </c>
      <c r="C7262" s="148" t="str">
        <f aca="false">VLOOKUP($A7262,INSUMOS_AUX!$A$3:$H$813,3,0)</f>
        <v>MAT.</v>
      </c>
      <c r="D7262" s="156" t="s">
        <v>31</v>
      </c>
      <c r="E7262" s="154" t="n">
        <v>0.00011624487</v>
      </c>
      <c r="F7262" s="149" t="n">
        <f aca="false">IF(C7262="MAT.",VLOOKUP(A7262,INSUMOS_AUX!$A$3:$H$813,6,0),0)</f>
        <v>2485831.6</v>
      </c>
      <c r="G7262" s="149" t="n">
        <f aca="false">IF(C7262="M.O.",VLOOKUP(A7262,INSUMOS_AUX!A:F,6,0),0)</f>
        <v>0</v>
      </c>
    </row>
    <row r="7263" customFormat="false" ht="15" hidden="false" customHeight="false" outlineLevel="0" collapsed="false">
      <c r="A7263" s="154" t="n">
        <v>2705</v>
      </c>
      <c r="B7263" s="155" t="s">
        <v>1467</v>
      </c>
      <c r="C7263" s="148" t="str">
        <f aca="false">VLOOKUP($A7263,INSUMOS_AUX!$A$3:$H$813,3,0)</f>
        <v>MAT.</v>
      </c>
      <c r="D7263" s="156" t="s">
        <v>1468</v>
      </c>
      <c r="E7263" s="154" t="n">
        <v>2.6767</v>
      </c>
      <c r="F7263" s="149" t="n">
        <f aca="false">IF(C7263="MAT.",VLOOKUP(A7263,INSUMOS_AUX!$A$3:$H$813,6,0),0)</f>
        <v>0.92</v>
      </c>
      <c r="G7263" s="149" t="n">
        <f aca="false">IF(C7263="M.O.",VLOOKUP(A7263,INSUMOS_AUX!A:F,6,0),0)</f>
        <v>0</v>
      </c>
    </row>
    <row r="7264" customFormat="false" ht="21" hidden="false" customHeight="false" outlineLevel="0" collapsed="false">
      <c r="A7264" s="154" t="n">
        <v>13348</v>
      </c>
      <c r="B7264" s="155" t="s">
        <v>2774</v>
      </c>
      <c r="C7264" s="148" t="str">
        <f aca="false">VLOOKUP($A7264,INSUMOS_AUX!$A$3:$H$813,3,0)</f>
        <v>MAT.</v>
      </c>
      <c r="D7264" s="156" t="s">
        <v>31</v>
      </c>
      <c r="E7264" s="154" t="n">
        <v>4</v>
      </c>
      <c r="F7264" s="149" t="n">
        <f aca="false">IF(C7264="MAT.",VLOOKUP(A7264,INSUMOS_AUX!$A$3:$H$813,6,0),0)</f>
        <v>1.63</v>
      </c>
      <c r="G7264" s="149" t="n">
        <f aca="false">IF(C7264="M.O.",VLOOKUP(A7264,INSUMOS_AUX!A:F,6,0),0)</f>
        <v>0</v>
      </c>
    </row>
    <row r="7265" customFormat="false" ht="21" hidden="false" customHeight="false" outlineLevel="0" collapsed="false">
      <c r="A7265" s="154" t="n">
        <v>11976</v>
      </c>
      <c r="B7265" s="155" t="s">
        <v>2432</v>
      </c>
      <c r="C7265" s="148" t="str">
        <f aca="false">VLOOKUP($A7265,INSUMOS_AUX!$A$3:$H$813,3,0)</f>
        <v>MAT.</v>
      </c>
      <c r="D7265" s="156" t="s">
        <v>31</v>
      </c>
      <c r="E7265" s="154" t="n">
        <v>4</v>
      </c>
      <c r="F7265" s="149" t="n">
        <f aca="false">IF(C7265="MAT.",VLOOKUP(A7265,INSUMOS_AUX!$A$3:$H$813,6,0),0)</f>
        <v>1.33</v>
      </c>
      <c r="G7265" s="149" t="n">
        <f aca="false">IF(C7265="M.O.",VLOOKUP(A7265,INSUMOS_AUX!A:F,6,0),0)</f>
        <v>0</v>
      </c>
    </row>
    <row r="7266" customFormat="false" ht="15" hidden="false" customHeight="false" outlineLevel="0" collapsed="false">
      <c r="A7266" s="154" t="n">
        <v>39997</v>
      </c>
      <c r="B7266" s="155" t="s">
        <v>2438</v>
      </c>
      <c r="C7266" s="148" t="str">
        <f aca="false">VLOOKUP($A7266,INSUMOS_AUX!$A$3:$H$813,3,0)</f>
        <v>MAT.</v>
      </c>
      <c r="D7266" s="156" t="s">
        <v>31</v>
      </c>
      <c r="E7266" s="154" t="n">
        <v>8</v>
      </c>
      <c r="F7266" s="149" t="n">
        <f aca="false">IF(C7266="MAT.",VLOOKUP(A7266,INSUMOS_AUX!$A$3:$H$813,6,0),0)</f>
        <v>0.33</v>
      </c>
      <c r="G7266" s="149" t="n">
        <f aca="false">IF(C7266="M.O.",VLOOKUP(A7266,INSUMOS_AUX!A:F,6,0),0)</f>
        <v>0</v>
      </c>
    </row>
    <row r="7267" customFormat="false" ht="21" hidden="false" customHeight="false" outlineLevel="0" collapsed="false">
      <c r="A7267" s="154" t="n">
        <v>1570</v>
      </c>
      <c r="B7267" s="155" t="s">
        <v>2474</v>
      </c>
      <c r="C7267" s="148" t="str">
        <f aca="false">VLOOKUP($A7267,INSUMOS_AUX!$A$3:$H$813,3,0)</f>
        <v>MAT.</v>
      </c>
      <c r="D7267" s="156" t="s">
        <v>31</v>
      </c>
      <c r="E7267" s="154" t="n">
        <v>10</v>
      </c>
      <c r="F7267" s="149" t="n">
        <f aca="false">IF(C7267="MAT.",VLOOKUP(A7267,INSUMOS_AUX!$A$3:$H$813,6,0),0)</f>
        <v>1.05</v>
      </c>
      <c r="G7267" s="149" t="n">
        <f aca="false">IF(C7267="M.O.",VLOOKUP(A7267,INSUMOS_AUX!A:F,6,0),0)</f>
        <v>0</v>
      </c>
    </row>
    <row r="7268" customFormat="false" ht="15" hidden="false" customHeight="false" outlineLevel="0" collapsed="false">
      <c r="A7268" s="154" t="n">
        <v>39996</v>
      </c>
      <c r="B7268" s="155" t="s">
        <v>2441</v>
      </c>
      <c r="C7268" s="148" t="s">
        <v>59</v>
      </c>
      <c r="D7268" s="156" t="s">
        <v>1455</v>
      </c>
      <c r="E7268" s="154" t="n">
        <v>1.28</v>
      </c>
      <c r="F7268" s="149" t="n">
        <f aca="false">IF(C7268="MAT.",VLOOKUP(A7268,INSUMOS_AUX!$A$3:$H$813,6,0),0)</f>
        <v>0</v>
      </c>
      <c r="G7268" s="149" t="n">
        <f aca="false">IF(C7268="M.O.",VLOOKUP(A7268,INSUMOS_AUX!A:F,6,0),0)</f>
        <v>0</v>
      </c>
    </row>
    <row r="7269" customFormat="false" ht="15" hidden="false" customHeight="false" outlineLevel="0" collapsed="false">
      <c r="A7269" s="154" t="n">
        <v>242</v>
      </c>
      <c r="B7269" s="155" t="s">
        <v>1660</v>
      </c>
      <c r="C7269" s="148" t="str">
        <f aca="false">VLOOKUP($A7269,INSUMOS_AUX!$A$3:$H$813,3,0)</f>
        <v>M.O.</v>
      </c>
      <c r="D7269" s="156" t="s">
        <v>1444</v>
      </c>
      <c r="E7269" s="154" t="n">
        <v>5.066905014</v>
      </c>
      <c r="F7269" s="149" t="n">
        <f aca="false">IF(C7269="MAT.",VLOOKUP(A7269,INSUMOS_AUX!$A$3:$H$813,6,0),0)</f>
        <v>0</v>
      </c>
      <c r="G7269" s="149" t="n">
        <f aca="false">IF(C7269="M.O.",VLOOKUP(A7269,INSUMOS_AUX!A:F,6,0),0)</f>
        <v>13.61</v>
      </c>
    </row>
    <row r="7270" customFormat="false" ht="15" hidden="false" customHeight="false" outlineLevel="0" collapsed="false">
      <c r="A7270" s="154" t="n">
        <v>34794</v>
      </c>
      <c r="B7270" s="155" t="s">
        <v>2764</v>
      </c>
      <c r="C7270" s="148" t="str">
        <f aca="false">VLOOKUP($A7270,INSUMOS_AUX!$A$3:$H$813,3,0)</f>
        <v>M.O.</v>
      </c>
      <c r="D7270" s="156" t="s">
        <v>1444</v>
      </c>
      <c r="E7270" s="154" t="n">
        <v>5.147601615</v>
      </c>
      <c r="F7270" s="149" t="n">
        <f aca="false">IF(C7270="MAT.",VLOOKUP(A7270,INSUMOS_AUX!$A$3:$H$813,6,0),0)</f>
        <v>0</v>
      </c>
      <c r="G7270" s="149" t="n">
        <f aca="false">IF(C7270="M.O.",VLOOKUP(A7270,INSUMOS_AUX!A:F,6,0),0)</f>
        <v>20.17</v>
      </c>
    </row>
    <row r="7271" customFormat="false" ht="15" hidden="false" customHeight="false" outlineLevel="0" collapsed="false">
      <c r="A7271" s="154" t="n">
        <v>4254</v>
      </c>
      <c r="B7271" s="155" t="s">
        <v>1590</v>
      </c>
      <c r="C7271" s="148" t="str">
        <f aca="false">VLOOKUP($A7271,INSUMOS_AUX!$A$3:$H$813,3,0)</f>
        <v>M.O.</v>
      </c>
      <c r="D7271" s="156" t="s">
        <v>1444</v>
      </c>
      <c r="E7271" s="154" t="n">
        <v>1.750697325</v>
      </c>
      <c r="F7271" s="149" t="n">
        <f aca="false">IF(C7271="MAT.",VLOOKUP(A7271,INSUMOS_AUX!$A$3:$H$813,6,0),0)</f>
        <v>0</v>
      </c>
      <c r="G7271" s="149" t="n">
        <f aca="false">IF(C7271="M.O.",VLOOKUP(A7271,INSUMOS_AUX!A:F,6,0),0)</f>
        <v>21.01</v>
      </c>
    </row>
    <row r="7272" customFormat="false" ht="21" hidden="false" customHeight="false" outlineLevel="0" collapsed="false">
      <c r="A7272" s="150" t="s">
        <v>1240</v>
      </c>
      <c r="B7272" s="151" t="s">
        <v>2778</v>
      </c>
      <c r="C7272" s="152" t="s">
        <v>59</v>
      </c>
      <c r="D7272" s="152" t="s">
        <v>31</v>
      </c>
      <c r="E7272" s="150"/>
      <c r="F7272" s="153" t="n">
        <f aca="false">(SUMPRODUCT($E7273:$E7293,F7273:F7293))*1</f>
        <v>15249.7333585172</v>
      </c>
      <c r="G7272" s="153" t="n">
        <f aca="false">(SUMPRODUCT($E7273:$E7293,G7273:G7293))*1</f>
        <v>194.59222786476</v>
      </c>
    </row>
    <row r="7273" customFormat="false" ht="21" hidden="false" customHeight="false" outlineLevel="0" collapsed="false">
      <c r="A7273" s="154" t="n">
        <v>37370</v>
      </c>
      <c r="B7273" s="155" t="s">
        <v>1443</v>
      </c>
      <c r="C7273" s="148" t="str">
        <f aca="false">VLOOKUP($A7273,INSUMOS_AUX!$A$3:$H$813,3,0)</f>
        <v>MAT.</v>
      </c>
      <c r="D7273" s="156" t="s">
        <v>1444</v>
      </c>
      <c r="E7273" s="154" t="n">
        <v>10.8723</v>
      </c>
      <c r="F7273" s="149" t="n">
        <f aca="false">IF(C7273="MAT.",VLOOKUP(A7273,INSUMOS_AUX!$A$3:$H$813,6,0),0)</f>
        <v>3.32</v>
      </c>
      <c r="G7273" s="149" t="n">
        <f aca="false">IF(C7273="M.O.",VLOOKUP(A7273,INSUMOS_AUX!A:F,6,0),0)</f>
        <v>0</v>
      </c>
    </row>
    <row r="7274" customFormat="false" ht="21" hidden="false" customHeight="false" outlineLevel="0" collapsed="false">
      <c r="A7274" s="154" t="n">
        <v>43484</v>
      </c>
      <c r="B7274" s="155" t="s">
        <v>1523</v>
      </c>
      <c r="C7274" s="148" t="str">
        <f aca="false">VLOOKUP($A7274,INSUMOS_AUX!$A$3:$H$813,3,0)</f>
        <v>MAT.</v>
      </c>
      <c r="D7274" s="156" t="s">
        <v>1444</v>
      </c>
      <c r="E7274" s="154" t="n">
        <v>4.5749</v>
      </c>
      <c r="F7274" s="149" t="n">
        <f aca="false">IF(C7274="MAT.",VLOOKUP(A7274,INSUMOS_AUX!$A$3:$H$813,6,0),0)</f>
        <v>1.26</v>
      </c>
      <c r="G7274" s="149" t="n">
        <f aca="false">IF(C7274="M.O.",VLOOKUP(A7274,INSUMOS_AUX!A:F,6,0),0)</f>
        <v>0</v>
      </c>
    </row>
    <row r="7275" customFormat="false" ht="21" hidden="false" customHeight="false" outlineLevel="0" collapsed="false">
      <c r="A7275" s="154" t="n">
        <v>43488</v>
      </c>
      <c r="B7275" s="155" t="s">
        <v>1445</v>
      </c>
      <c r="C7275" s="148" t="str">
        <f aca="false">VLOOKUP($A7275,INSUMOS_AUX!$A$3:$H$813,3,0)</f>
        <v>MAT.</v>
      </c>
      <c r="D7275" s="156" t="s">
        <v>1444</v>
      </c>
      <c r="E7275" s="154" t="n">
        <v>1.7225</v>
      </c>
      <c r="F7275" s="149" t="n">
        <f aca="false">IF(C7275="MAT.",VLOOKUP(A7275,INSUMOS_AUX!$A$3:$H$813,6,0),0)</f>
        <v>0.89</v>
      </c>
      <c r="G7275" s="149" t="n">
        <f aca="false">IF(C7275="M.O.",VLOOKUP(A7275,INSUMOS_AUX!A:F,6,0),0)</f>
        <v>0</v>
      </c>
    </row>
    <row r="7276" customFormat="false" ht="21" hidden="false" customHeight="false" outlineLevel="0" collapsed="false">
      <c r="A7276" s="154" t="n">
        <v>43491</v>
      </c>
      <c r="B7276" s="155" t="s">
        <v>1457</v>
      </c>
      <c r="C7276" s="148" t="str">
        <f aca="false">VLOOKUP($A7276,INSUMOS_AUX!$A$3:$H$813,3,0)</f>
        <v>MAT.</v>
      </c>
      <c r="D7276" s="156" t="s">
        <v>1444</v>
      </c>
      <c r="E7276" s="154" t="n">
        <v>4.5749</v>
      </c>
      <c r="F7276" s="149" t="n">
        <f aca="false">IF(C7276="MAT.",VLOOKUP(A7276,INSUMOS_AUX!$A$3:$H$813,6,0),0)</f>
        <v>1.39</v>
      </c>
      <c r="G7276" s="149" t="n">
        <f aca="false">IF(C7276="M.O.",VLOOKUP(A7276,INSUMOS_AUX!A:F,6,0),0)</f>
        <v>0</v>
      </c>
    </row>
    <row r="7277" customFormat="false" ht="21" hidden="false" customHeight="false" outlineLevel="0" collapsed="false">
      <c r="A7277" s="154" t="n">
        <v>37372</v>
      </c>
      <c r="B7277" s="155" t="s">
        <v>1446</v>
      </c>
      <c r="C7277" s="148" t="str">
        <f aca="false">VLOOKUP($A7277,INSUMOS_AUX!$A$3:$H$813,3,0)</f>
        <v>MAT.</v>
      </c>
      <c r="D7277" s="156" t="s">
        <v>1444</v>
      </c>
      <c r="E7277" s="154" t="n">
        <v>10.8723</v>
      </c>
      <c r="F7277" s="149" t="n">
        <f aca="false">IF(C7277="MAT.",VLOOKUP(A7277,INSUMOS_AUX!$A$3:$H$813,6,0),0)</f>
        <v>1.43</v>
      </c>
      <c r="G7277" s="149" t="n">
        <f aca="false">IF(C7277="M.O.",VLOOKUP(A7277,INSUMOS_AUX!A:F,6,0),0)</f>
        <v>0</v>
      </c>
    </row>
    <row r="7278" customFormat="false" ht="21" hidden="false" customHeight="false" outlineLevel="0" collapsed="false">
      <c r="A7278" s="154" t="n">
        <v>43460</v>
      </c>
      <c r="B7278" s="155" t="s">
        <v>1524</v>
      </c>
      <c r="C7278" s="148" t="s">
        <v>59</v>
      </c>
      <c r="D7278" s="156" t="s">
        <v>1444</v>
      </c>
      <c r="E7278" s="154" t="n">
        <v>4.5749</v>
      </c>
      <c r="F7278" s="149" t="n">
        <f aca="false">IF(C7278="MAT.",VLOOKUP(A7278,INSUMOS_AUX!$A$3:$H$813,6,0),0)</f>
        <v>0</v>
      </c>
      <c r="G7278" s="149" t="n">
        <f aca="false">IF(C7278="M.O.",VLOOKUP(A7278,INSUMOS_AUX!A:F,6,0),0)</f>
        <v>0</v>
      </c>
    </row>
    <row r="7279" customFormat="false" ht="21" hidden="false" customHeight="false" outlineLevel="0" collapsed="false">
      <c r="A7279" s="154" t="n">
        <v>43464</v>
      </c>
      <c r="B7279" s="155" t="s">
        <v>1447</v>
      </c>
      <c r="C7279" s="148" t="str">
        <f aca="false">VLOOKUP($A7279,INSUMOS_AUX!$A$3:$H$813,3,0)</f>
        <v>MAT.</v>
      </c>
      <c r="D7279" s="156" t="s">
        <v>1444</v>
      </c>
      <c r="E7279" s="154" t="n">
        <v>1.7225</v>
      </c>
      <c r="F7279" s="149" t="n">
        <f aca="false">IF(C7279="MAT.",VLOOKUP(A7279,INSUMOS_AUX!$A$3:$H$813,6,0),0)</f>
        <v>0.01</v>
      </c>
      <c r="G7279" s="149" t="n">
        <f aca="false">IF(C7279="M.O.",VLOOKUP(A7279,INSUMOS_AUX!A:F,6,0),0)</f>
        <v>0</v>
      </c>
    </row>
    <row r="7280" customFormat="false" ht="21" hidden="false" customHeight="false" outlineLevel="0" collapsed="false">
      <c r="A7280" s="154" t="n">
        <v>43467</v>
      </c>
      <c r="B7280" s="155" t="s">
        <v>1459</v>
      </c>
      <c r="C7280" s="148" t="str">
        <f aca="false">VLOOKUP($A7280,INSUMOS_AUX!$A$3:$H$813,3,0)</f>
        <v>MAT.</v>
      </c>
      <c r="D7280" s="156" t="s">
        <v>1444</v>
      </c>
      <c r="E7280" s="154" t="n">
        <v>4.5749</v>
      </c>
      <c r="F7280" s="149" t="n">
        <f aca="false">IF(C7280="MAT.",VLOOKUP(A7280,INSUMOS_AUX!$A$3:$H$813,6,0),0)</f>
        <v>0.61</v>
      </c>
      <c r="G7280" s="149" t="n">
        <f aca="false">IF(C7280="M.O.",VLOOKUP(A7280,INSUMOS_AUX!A:F,6,0),0)</f>
        <v>0</v>
      </c>
    </row>
    <row r="7281" customFormat="false" ht="21" hidden="false" customHeight="false" outlineLevel="0" collapsed="false">
      <c r="A7281" s="154" t="n">
        <v>37373</v>
      </c>
      <c r="B7281" s="155" t="s">
        <v>1448</v>
      </c>
      <c r="C7281" s="148" t="str">
        <f aca="false">VLOOKUP($A7281,INSUMOS_AUX!$A$3:$H$813,3,0)</f>
        <v>MAT.</v>
      </c>
      <c r="D7281" s="156" t="s">
        <v>1444</v>
      </c>
      <c r="E7281" s="154" t="n">
        <v>10.8723</v>
      </c>
      <c r="F7281" s="149" t="n">
        <f aca="false">IF(C7281="MAT.",VLOOKUP(A7281,INSUMOS_AUX!$A$3:$H$813,6,0),0)</f>
        <v>0.08</v>
      </c>
      <c r="G7281" s="149" t="n">
        <f aca="false">IF(C7281="M.O.",VLOOKUP(A7281,INSUMOS_AUX!A:F,6,0),0)</f>
        <v>0</v>
      </c>
    </row>
    <row r="7282" customFormat="false" ht="21" hidden="false" customHeight="false" outlineLevel="0" collapsed="false">
      <c r="A7282" s="154" t="n">
        <v>37371</v>
      </c>
      <c r="B7282" s="155" t="s">
        <v>1449</v>
      </c>
      <c r="C7282" s="148" t="str">
        <f aca="false">VLOOKUP($A7282,INSUMOS_AUX!$A$3:$H$813,3,0)</f>
        <v>MAT.</v>
      </c>
      <c r="D7282" s="156" t="s">
        <v>1444</v>
      </c>
      <c r="E7282" s="154" t="n">
        <v>10.8723</v>
      </c>
      <c r="F7282" s="149" t="n">
        <f aca="false">IF(C7282="MAT.",VLOOKUP(A7282,INSUMOS_AUX!$A$3:$H$813,6,0),0)</f>
        <v>0.59</v>
      </c>
      <c r="G7282" s="149" t="n">
        <f aca="false">IF(C7282="M.O.",VLOOKUP(A7282,INSUMOS_AUX!A:F,6,0),0)</f>
        <v>0</v>
      </c>
    </row>
    <row r="7283" customFormat="false" ht="31.5" hidden="false" customHeight="false" outlineLevel="0" collapsed="false">
      <c r="A7283" s="154" t="s">
        <v>2779</v>
      </c>
      <c r="B7283" s="155" t="s">
        <v>2780</v>
      </c>
      <c r="C7283" s="148" t="str">
        <f aca="false">VLOOKUP($A7283,INSUMOS_AUX!$A$3:$H$813,3,0)</f>
        <v>MAT.</v>
      </c>
      <c r="D7283" s="156" t="s">
        <v>31</v>
      </c>
      <c r="E7283" s="154" t="n">
        <v>1</v>
      </c>
      <c r="F7283" s="149" t="n">
        <f aca="false">IF(C7283="MAT.",VLOOKUP(A7283,INSUMOS_AUX!$A$3:$H$813,6,0),0)</f>
        <v>14849.7933333333</v>
      </c>
      <c r="G7283" s="149" t="n">
        <f aca="false">IF(C7283="M.O.",VLOOKUP(A7283,INSUMOS_AUX!A:F,6,0),0)</f>
        <v>0</v>
      </c>
    </row>
    <row r="7284" customFormat="false" ht="21" hidden="false" customHeight="false" outlineLevel="0" collapsed="false">
      <c r="A7284" s="154" t="n">
        <v>44474</v>
      </c>
      <c r="B7284" s="155" t="s">
        <v>1563</v>
      </c>
      <c r="C7284" s="148" t="str">
        <f aca="false">VLOOKUP($A7284,INSUMOS_AUX!$A$3:$H$813,3,0)</f>
        <v>MAT.</v>
      </c>
      <c r="D7284" s="156" t="s">
        <v>31</v>
      </c>
      <c r="E7284" s="154" t="n">
        <v>0.00011624487</v>
      </c>
      <c r="F7284" s="149" t="n">
        <f aca="false">IF(C7284="MAT.",VLOOKUP(A7284,INSUMOS_AUX!$A$3:$H$813,6,0),0)</f>
        <v>2485831.6</v>
      </c>
      <c r="G7284" s="149" t="n">
        <f aca="false">IF(C7284="M.O.",VLOOKUP(A7284,INSUMOS_AUX!A:F,6,0),0)</f>
        <v>0</v>
      </c>
    </row>
    <row r="7285" customFormat="false" ht="15" hidden="false" customHeight="false" outlineLevel="0" collapsed="false">
      <c r="A7285" s="154" t="n">
        <v>2705</v>
      </c>
      <c r="B7285" s="155" t="s">
        <v>1467</v>
      </c>
      <c r="C7285" s="148" t="str">
        <f aca="false">VLOOKUP($A7285,INSUMOS_AUX!$A$3:$H$813,3,0)</f>
        <v>MAT.</v>
      </c>
      <c r="D7285" s="156" t="s">
        <v>1468</v>
      </c>
      <c r="E7285" s="154" t="n">
        <v>2.6767</v>
      </c>
      <c r="F7285" s="149" t="n">
        <f aca="false">IF(C7285="MAT.",VLOOKUP(A7285,INSUMOS_AUX!$A$3:$H$813,6,0),0)</f>
        <v>0.92</v>
      </c>
      <c r="G7285" s="149" t="n">
        <f aca="false">IF(C7285="M.O.",VLOOKUP(A7285,INSUMOS_AUX!A:F,6,0),0)</f>
        <v>0</v>
      </c>
    </row>
    <row r="7286" customFormat="false" ht="21" hidden="false" customHeight="false" outlineLevel="0" collapsed="false">
      <c r="A7286" s="154" t="n">
        <v>13348</v>
      </c>
      <c r="B7286" s="155" t="s">
        <v>2774</v>
      </c>
      <c r="C7286" s="148" t="str">
        <f aca="false">VLOOKUP($A7286,INSUMOS_AUX!$A$3:$H$813,3,0)</f>
        <v>MAT.</v>
      </c>
      <c r="D7286" s="156" t="s">
        <v>31</v>
      </c>
      <c r="E7286" s="154" t="n">
        <v>6</v>
      </c>
      <c r="F7286" s="149" t="n">
        <f aca="false">IF(C7286="MAT.",VLOOKUP(A7286,INSUMOS_AUX!$A$3:$H$813,6,0),0)</f>
        <v>1.63</v>
      </c>
      <c r="G7286" s="149" t="n">
        <f aca="false">IF(C7286="M.O.",VLOOKUP(A7286,INSUMOS_AUX!A:F,6,0),0)</f>
        <v>0</v>
      </c>
    </row>
    <row r="7287" customFormat="false" ht="15" hidden="false" customHeight="false" outlineLevel="0" collapsed="false">
      <c r="A7287" s="154" t="n">
        <v>4374</v>
      </c>
      <c r="B7287" s="155" t="s">
        <v>2781</v>
      </c>
      <c r="C7287" s="148" t="str">
        <f aca="false">VLOOKUP($A7287,INSUMOS_AUX!$A$3:$H$813,3,0)</f>
        <v>MAT.</v>
      </c>
      <c r="D7287" s="156" t="s">
        <v>31</v>
      </c>
      <c r="E7287" s="154" t="n">
        <v>6</v>
      </c>
      <c r="F7287" s="149" t="n">
        <f aca="false">IF(C7287="MAT.",VLOOKUP(A7287,INSUMOS_AUX!$A$3:$H$813,6,0),0)</f>
        <v>0.48</v>
      </c>
      <c r="G7287" s="149" t="n">
        <f aca="false">IF(C7287="M.O.",VLOOKUP(A7287,INSUMOS_AUX!A:F,6,0),0)</f>
        <v>0</v>
      </c>
    </row>
    <row r="7288" customFormat="false" ht="31.5" hidden="false" customHeight="false" outlineLevel="0" collapsed="false">
      <c r="A7288" s="154" t="n">
        <v>13246</v>
      </c>
      <c r="B7288" s="155" t="s">
        <v>1811</v>
      </c>
      <c r="C7288" s="148" t="s">
        <v>59</v>
      </c>
      <c r="D7288" s="156" t="s">
        <v>31</v>
      </c>
      <c r="E7288" s="154" t="n">
        <v>4</v>
      </c>
      <c r="F7288" s="149" t="n">
        <f aca="false">IF(C7288="MAT.",VLOOKUP(A7288,INSUMOS_AUX!$A$3:$H$813,6,0),0)</f>
        <v>0</v>
      </c>
      <c r="G7288" s="149" t="n">
        <f aca="false">IF(C7288="M.O.",VLOOKUP(A7288,INSUMOS_AUX!A:F,6,0),0)</f>
        <v>0</v>
      </c>
    </row>
    <row r="7289" customFormat="false" ht="21" hidden="false" customHeight="false" outlineLevel="0" collapsed="false">
      <c r="A7289" s="154" t="n">
        <v>13294</v>
      </c>
      <c r="B7289" s="155" t="s">
        <v>2782</v>
      </c>
      <c r="C7289" s="148" t="str">
        <f aca="false">VLOOKUP($A7289,INSUMOS_AUX!$A$3:$H$813,3,0)</f>
        <v>MAT.</v>
      </c>
      <c r="D7289" s="156" t="s">
        <v>31</v>
      </c>
      <c r="E7289" s="154" t="n">
        <v>6</v>
      </c>
      <c r="F7289" s="149" t="n">
        <f aca="false">IF(C7289="MAT.",VLOOKUP(A7289,INSUMOS_AUX!$A$3:$H$813,6,0),0)</f>
        <v>1.66</v>
      </c>
      <c r="G7289" s="149" t="n">
        <f aca="false">IF(C7289="M.O.",VLOOKUP(A7289,INSUMOS_AUX!A:F,6,0),0)</f>
        <v>0</v>
      </c>
    </row>
    <row r="7290" customFormat="false" ht="21" hidden="false" customHeight="false" outlineLevel="0" collapsed="false">
      <c r="A7290" s="154" t="n">
        <v>1570</v>
      </c>
      <c r="B7290" s="155" t="s">
        <v>2474</v>
      </c>
      <c r="C7290" s="148" t="str">
        <f aca="false">VLOOKUP($A7290,INSUMOS_AUX!$A$3:$H$813,3,0)</f>
        <v>MAT.</v>
      </c>
      <c r="D7290" s="156" t="s">
        <v>31</v>
      </c>
      <c r="E7290" s="154" t="n">
        <v>10</v>
      </c>
      <c r="F7290" s="149" t="n">
        <f aca="false">IF(C7290="MAT.",VLOOKUP(A7290,INSUMOS_AUX!$A$3:$H$813,6,0),0)</f>
        <v>1.05</v>
      </c>
      <c r="G7290" s="149" t="n">
        <f aca="false">IF(C7290="M.O.",VLOOKUP(A7290,INSUMOS_AUX!A:F,6,0),0)</f>
        <v>0</v>
      </c>
    </row>
    <row r="7291" customFormat="false" ht="15" hidden="false" customHeight="false" outlineLevel="0" collapsed="false">
      <c r="A7291" s="154" t="n">
        <v>242</v>
      </c>
      <c r="B7291" s="155" t="s">
        <v>1660</v>
      </c>
      <c r="C7291" s="148" t="str">
        <f aca="false">VLOOKUP($A7291,INSUMOS_AUX!$A$3:$H$813,3,0)</f>
        <v>M.O.</v>
      </c>
      <c r="D7291" s="156" t="s">
        <v>1444</v>
      </c>
      <c r="E7291" s="154" t="n">
        <v>4.627694346</v>
      </c>
      <c r="F7291" s="149" t="n">
        <f aca="false">IF(C7291="MAT.",VLOOKUP(A7291,INSUMOS_AUX!$A$3:$H$813,6,0),0)</f>
        <v>0</v>
      </c>
      <c r="G7291" s="149" t="n">
        <f aca="false">IF(C7291="M.O.",VLOOKUP(A7291,INSUMOS_AUX!A:F,6,0),0)</f>
        <v>13.61</v>
      </c>
    </row>
    <row r="7292" customFormat="false" ht="15" hidden="false" customHeight="false" outlineLevel="0" collapsed="false">
      <c r="A7292" s="154" t="n">
        <v>34794</v>
      </c>
      <c r="B7292" s="155" t="s">
        <v>2764</v>
      </c>
      <c r="C7292" s="148" t="str">
        <f aca="false">VLOOKUP($A7292,INSUMOS_AUX!$A$3:$H$813,3,0)</f>
        <v>M.O.</v>
      </c>
      <c r="D7292" s="156" t="s">
        <v>1444</v>
      </c>
      <c r="E7292" s="154" t="n">
        <v>4.701395985</v>
      </c>
      <c r="F7292" s="149" t="n">
        <f aca="false">IF(C7292="MAT.",VLOOKUP(A7292,INSUMOS_AUX!$A$3:$H$813,6,0),0)</f>
        <v>0</v>
      </c>
      <c r="G7292" s="149" t="n">
        <f aca="false">IF(C7292="M.O.",VLOOKUP(A7292,INSUMOS_AUX!A:F,6,0),0)</f>
        <v>20.17</v>
      </c>
    </row>
    <row r="7293" customFormat="false" ht="15" hidden="false" customHeight="false" outlineLevel="0" collapsed="false">
      <c r="A7293" s="154" t="n">
        <v>4254</v>
      </c>
      <c r="B7293" s="155" t="s">
        <v>1590</v>
      </c>
      <c r="C7293" s="148" t="str">
        <f aca="false">VLOOKUP($A7293,INSUMOS_AUX!$A$3:$H$813,3,0)</f>
        <v>M.O.</v>
      </c>
      <c r="D7293" s="156" t="s">
        <v>1444</v>
      </c>
      <c r="E7293" s="154" t="n">
        <v>1.750697325</v>
      </c>
      <c r="F7293" s="149" t="n">
        <f aca="false">IF(C7293="MAT.",VLOOKUP(A7293,INSUMOS_AUX!$A$3:$H$813,6,0),0)</f>
        <v>0</v>
      </c>
      <c r="G7293" s="149" t="n">
        <f aca="false">IF(C7293="M.O.",VLOOKUP(A7293,INSUMOS_AUX!A:F,6,0),0)</f>
        <v>21.01</v>
      </c>
    </row>
    <row r="7294" customFormat="false" ht="31.5" hidden="false" customHeight="false" outlineLevel="0" collapsed="false">
      <c r="A7294" s="150" t="s">
        <v>1242</v>
      </c>
      <c r="B7294" s="151" t="s">
        <v>2783</v>
      </c>
      <c r="C7294" s="152" t="s">
        <v>59</v>
      </c>
      <c r="D7294" s="152" t="s">
        <v>31</v>
      </c>
      <c r="E7294" s="150"/>
      <c r="F7294" s="153" t="n">
        <f aca="false">(SUMPRODUCT($E7295:$E7310,F7295:F7310))*1</f>
        <v>10054.5216133333</v>
      </c>
      <c r="G7294" s="153" t="n">
        <f aca="false">(SUMPRODUCT($E7295:$E7310,G7295:G7310))*1</f>
        <v>96.7320326934</v>
      </c>
    </row>
    <row r="7295" customFormat="false" ht="21" hidden="false" customHeight="false" outlineLevel="0" collapsed="false">
      <c r="A7295" s="154" t="n">
        <v>37370</v>
      </c>
      <c r="B7295" s="155" t="s">
        <v>1443</v>
      </c>
      <c r="C7295" s="148" t="str">
        <f aca="false">VLOOKUP($A7295,INSUMOS_AUX!$A$3:$H$813,3,0)</f>
        <v>MAT.</v>
      </c>
      <c r="D7295" s="156" t="s">
        <v>1444</v>
      </c>
      <c r="E7295" s="154" t="n">
        <v>9.3336</v>
      </c>
      <c r="F7295" s="149" t="n">
        <f aca="false">IF(C7295="MAT.",VLOOKUP(A7295,INSUMOS_AUX!$A$3:$H$813,6,0),0)</f>
        <v>3.32</v>
      </c>
      <c r="G7295" s="149" t="n">
        <f aca="false">IF(C7295="M.O.",VLOOKUP(A7295,INSUMOS_AUX!A:F,6,0),0)</f>
        <v>0</v>
      </c>
    </row>
    <row r="7296" customFormat="false" ht="21" hidden="false" customHeight="false" outlineLevel="0" collapsed="false">
      <c r="A7296" s="154" t="n">
        <v>43484</v>
      </c>
      <c r="B7296" s="155" t="s">
        <v>1523</v>
      </c>
      <c r="C7296" s="148" t="str">
        <f aca="false">VLOOKUP($A7296,INSUMOS_AUX!$A$3:$H$813,3,0)</f>
        <v>MAT.</v>
      </c>
      <c r="D7296" s="156" t="s">
        <v>1444</v>
      </c>
      <c r="E7296" s="154" t="n">
        <v>4.6668</v>
      </c>
      <c r="F7296" s="149" t="n">
        <f aca="false">IF(C7296="MAT.",VLOOKUP(A7296,INSUMOS_AUX!$A$3:$H$813,6,0),0)</f>
        <v>1.26</v>
      </c>
      <c r="G7296" s="149" t="n">
        <f aca="false">IF(C7296="M.O.",VLOOKUP(A7296,INSUMOS_AUX!A:F,6,0),0)</f>
        <v>0</v>
      </c>
    </row>
    <row r="7297" customFormat="false" ht="21" hidden="false" customHeight="false" outlineLevel="0" collapsed="false">
      <c r="A7297" s="154" t="n">
        <v>43491</v>
      </c>
      <c r="B7297" s="155" t="s">
        <v>1457</v>
      </c>
      <c r="C7297" s="148" t="str">
        <f aca="false">VLOOKUP($A7297,INSUMOS_AUX!$A$3:$H$813,3,0)</f>
        <v>MAT.</v>
      </c>
      <c r="D7297" s="156" t="s">
        <v>1444</v>
      </c>
      <c r="E7297" s="154" t="n">
        <v>4.6668</v>
      </c>
      <c r="F7297" s="149" t="n">
        <f aca="false">IF(C7297="MAT.",VLOOKUP(A7297,INSUMOS_AUX!$A$3:$H$813,6,0),0)</f>
        <v>1.39</v>
      </c>
      <c r="G7297" s="149" t="n">
        <f aca="false">IF(C7297="M.O.",VLOOKUP(A7297,INSUMOS_AUX!A:F,6,0),0)</f>
        <v>0</v>
      </c>
    </row>
    <row r="7298" customFormat="false" ht="21" hidden="false" customHeight="false" outlineLevel="0" collapsed="false">
      <c r="A7298" s="154" t="n">
        <v>37372</v>
      </c>
      <c r="B7298" s="155" t="s">
        <v>1446</v>
      </c>
      <c r="C7298" s="148" t="s">
        <v>59</v>
      </c>
      <c r="D7298" s="156" t="s">
        <v>1444</v>
      </c>
      <c r="E7298" s="154" t="n">
        <v>9.3336</v>
      </c>
      <c r="F7298" s="149" t="n">
        <f aca="false">IF(C7298="MAT.",VLOOKUP(A7298,INSUMOS_AUX!$A$3:$H$813,6,0),0)</f>
        <v>0</v>
      </c>
      <c r="G7298" s="149" t="n">
        <f aca="false">IF(C7298="M.O.",VLOOKUP(A7298,INSUMOS_AUX!A:F,6,0),0)</f>
        <v>0</v>
      </c>
    </row>
    <row r="7299" customFormat="false" ht="21" hidden="false" customHeight="false" outlineLevel="0" collapsed="false">
      <c r="A7299" s="154" t="n">
        <v>43460</v>
      </c>
      <c r="B7299" s="155" t="s">
        <v>1524</v>
      </c>
      <c r="C7299" s="148" t="str">
        <f aca="false">VLOOKUP($A7299,INSUMOS_AUX!$A$3:$H$813,3,0)</f>
        <v>MAT.</v>
      </c>
      <c r="D7299" s="156" t="s">
        <v>1444</v>
      </c>
      <c r="E7299" s="154" t="n">
        <v>4.6668</v>
      </c>
      <c r="F7299" s="149" t="n">
        <f aca="false">IF(C7299="MAT.",VLOOKUP(A7299,INSUMOS_AUX!$A$3:$H$813,6,0),0)</f>
        <v>0.86</v>
      </c>
      <c r="G7299" s="149" t="n">
        <f aca="false">IF(C7299="M.O.",VLOOKUP(A7299,INSUMOS_AUX!A:F,6,0),0)</f>
        <v>0</v>
      </c>
    </row>
    <row r="7300" customFormat="false" ht="21" hidden="false" customHeight="false" outlineLevel="0" collapsed="false">
      <c r="A7300" s="154" t="n">
        <v>43467</v>
      </c>
      <c r="B7300" s="155" t="s">
        <v>1459</v>
      </c>
      <c r="C7300" s="148" t="str">
        <f aca="false">VLOOKUP($A7300,INSUMOS_AUX!$A$3:$H$813,3,0)</f>
        <v>MAT.</v>
      </c>
      <c r="D7300" s="156" t="s">
        <v>1444</v>
      </c>
      <c r="E7300" s="154" t="n">
        <v>4.6668</v>
      </c>
      <c r="F7300" s="149" t="n">
        <f aca="false">IF(C7300="MAT.",VLOOKUP(A7300,INSUMOS_AUX!$A$3:$H$813,6,0),0)</f>
        <v>0.61</v>
      </c>
      <c r="G7300" s="149" t="n">
        <f aca="false">IF(C7300="M.O.",VLOOKUP(A7300,INSUMOS_AUX!A:F,6,0),0)</f>
        <v>0</v>
      </c>
    </row>
    <row r="7301" customFormat="false" ht="21" hidden="false" customHeight="false" outlineLevel="0" collapsed="false">
      <c r="A7301" s="154" t="n">
        <v>37373</v>
      </c>
      <c r="B7301" s="155" t="s">
        <v>1448</v>
      </c>
      <c r="C7301" s="148" t="str">
        <f aca="false">VLOOKUP($A7301,INSUMOS_AUX!$A$3:$H$813,3,0)</f>
        <v>MAT.</v>
      </c>
      <c r="D7301" s="156" t="s">
        <v>1444</v>
      </c>
      <c r="E7301" s="154" t="n">
        <v>9.3336</v>
      </c>
      <c r="F7301" s="149" t="n">
        <f aca="false">IF(C7301="MAT.",VLOOKUP(A7301,INSUMOS_AUX!$A$3:$H$813,6,0),0)</f>
        <v>0.08</v>
      </c>
      <c r="G7301" s="149" t="n">
        <f aca="false">IF(C7301="M.O.",VLOOKUP(A7301,INSUMOS_AUX!A:F,6,0),0)</f>
        <v>0</v>
      </c>
    </row>
    <row r="7302" customFormat="false" ht="21" hidden="false" customHeight="false" outlineLevel="0" collapsed="false">
      <c r="A7302" s="154" t="n">
        <v>37371</v>
      </c>
      <c r="B7302" s="155" t="s">
        <v>1449</v>
      </c>
      <c r="C7302" s="148" t="str">
        <f aca="false">VLOOKUP($A7302,INSUMOS_AUX!$A$3:$H$813,3,0)</f>
        <v>MAT.</v>
      </c>
      <c r="D7302" s="156" t="s">
        <v>1444</v>
      </c>
      <c r="E7302" s="154" t="n">
        <v>9.3336</v>
      </c>
      <c r="F7302" s="149" t="n">
        <f aca="false">IF(C7302="MAT.",VLOOKUP(A7302,INSUMOS_AUX!$A$3:$H$813,6,0),0)</f>
        <v>0.59</v>
      </c>
      <c r="G7302" s="149" t="n">
        <f aca="false">IF(C7302="M.O.",VLOOKUP(A7302,INSUMOS_AUX!A:F,6,0),0)</f>
        <v>0</v>
      </c>
    </row>
    <row r="7303" customFormat="false" ht="21" hidden="false" customHeight="false" outlineLevel="0" collapsed="false">
      <c r="A7303" s="154" t="s">
        <v>2784</v>
      </c>
      <c r="B7303" s="155" t="s">
        <v>2785</v>
      </c>
      <c r="C7303" s="148" t="str">
        <f aca="false">VLOOKUP($A7303,INSUMOS_AUX!$A$3:$H$813,3,0)</f>
        <v>MAT.</v>
      </c>
      <c r="D7303" s="156" t="s">
        <v>1538</v>
      </c>
      <c r="E7303" s="154" t="n">
        <v>1</v>
      </c>
      <c r="F7303" s="149" t="n">
        <f aca="false">IF(C7303="MAT.",VLOOKUP(A7303,INSUMOS_AUX!$A$3:$H$813,6,0),0)</f>
        <v>9904.33333333333</v>
      </c>
      <c r="G7303" s="149" t="n">
        <f aca="false">IF(C7303="M.O.",VLOOKUP(A7303,INSUMOS_AUX!A:F,6,0),0)</f>
        <v>0</v>
      </c>
    </row>
    <row r="7304" customFormat="false" ht="31.5" hidden="false" customHeight="false" outlineLevel="0" collapsed="false">
      <c r="A7304" s="154" t="n">
        <v>7568</v>
      </c>
      <c r="B7304" s="155" t="s">
        <v>1815</v>
      </c>
      <c r="C7304" s="148" t="str">
        <f aca="false">VLOOKUP($A7304,INSUMOS_AUX!$A$3:$H$813,3,0)</f>
        <v>MAT.</v>
      </c>
      <c r="D7304" s="156" t="s">
        <v>31</v>
      </c>
      <c r="E7304" s="154" t="n">
        <v>18</v>
      </c>
      <c r="F7304" s="149" t="n">
        <f aca="false">IF(C7304="MAT.",VLOOKUP(A7304,INSUMOS_AUX!$A$3:$H$813,6,0),0)</f>
        <v>0.79</v>
      </c>
      <c r="G7304" s="149" t="n">
        <f aca="false">IF(C7304="M.O.",VLOOKUP(A7304,INSUMOS_AUX!A:F,6,0),0)</f>
        <v>0</v>
      </c>
    </row>
    <row r="7305" customFormat="false" ht="21" hidden="false" customHeight="false" outlineLevel="0" collapsed="false">
      <c r="A7305" s="154" t="n">
        <v>11976</v>
      </c>
      <c r="B7305" s="155" t="s">
        <v>2432</v>
      </c>
      <c r="C7305" s="148" t="str">
        <f aca="false">VLOOKUP($A7305,INSUMOS_AUX!$A$3:$H$813,3,0)</f>
        <v>MAT.</v>
      </c>
      <c r="D7305" s="156" t="s">
        <v>31</v>
      </c>
      <c r="E7305" s="154" t="n">
        <v>12</v>
      </c>
      <c r="F7305" s="149" t="n">
        <f aca="false">IF(C7305="MAT.",VLOOKUP(A7305,INSUMOS_AUX!$A$3:$H$813,6,0),0)</f>
        <v>1.33</v>
      </c>
      <c r="G7305" s="149" t="n">
        <f aca="false">IF(C7305="M.O.",VLOOKUP(A7305,INSUMOS_AUX!A:F,6,0),0)</f>
        <v>0</v>
      </c>
    </row>
    <row r="7306" customFormat="false" ht="31.5" hidden="false" customHeight="false" outlineLevel="0" collapsed="false">
      <c r="A7306" s="154" t="n">
        <v>13246</v>
      </c>
      <c r="B7306" s="155" t="s">
        <v>1811</v>
      </c>
      <c r="C7306" s="148" t="str">
        <f aca="false">VLOOKUP($A7306,INSUMOS_AUX!$A$3:$H$813,3,0)</f>
        <v>MAT.</v>
      </c>
      <c r="D7306" s="156" t="s">
        <v>31</v>
      </c>
      <c r="E7306" s="154" t="n">
        <v>4</v>
      </c>
      <c r="F7306" s="149" t="n">
        <f aca="false">IF(C7306="MAT.",VLOOKUP(A7306,INSUMOS_AUX!$A$3:$H$813,6,0),0)</f>
        <v>0.5</v>
      </c>
      <c r="G7306" s="149" t="n">
        <f aca="false">IF(C7306="M.O.",VLOOKUP(A7306,INSUMOS_AUX!A:F,6,0),0)</f>
        <v>0</v>
      </c>
    </row>
    <row r="7307" customFormat="false" ht="21" hidden="false" customHeight="false" outlineLevel="0" collapsed="false">
      <c r="A7307" s="154" t="n">
        <v>37591</v>
      </c>
      <c r="B7307" s="155" t="s">
        <v>2071</v>
      </c>
      <c r="C7307" s="148" t="str">
        <f aca="false">VLOOKUP($A7307,INSUMOS_AUX!$A$3:$H$813,3,0)</f>
        <v>MAT.</v>
      </c>
      <c r="D7307" s="156" t="s">
        <v>31</v>
      </c>
      <c r="E7307" s="154" t="n">
        <v>2</v>
      </c>
      <c r="F7307" s="149" t="n">
        <f aca="false">IF(C7307="MAT.",VLOOKUP(A7307,INSUMOS_AUX!$A$3:$H$813,6,0),0)</f>
        <v>20.27</v>
      </c>
      <c r="G7307" s="149" t="n">
        <f aca="false">IF(C7307="M.O.",VLOOKUP(A7307,INSUMOS_AUX!A:F,6,0),0)</f>
        <v>0</v>
      </c>
    </row>
    <row r="7308" customFormat="false" ht="21" hidden="false" customHeight="false" outlineLevel="0" collapsed="false">
      <c r="A7308" s="154" t="n">
        <v>1570</v>
      </c>
      <c r="B7308" s="155" t="s">
        <v>2474</v>
      </c>
      <c r="C7308" s="148" t="str">
        <f aca="false">VLOOKUP($A7308,INSUMOS_AUX!$A$3:$H$813,3,0)</f>
        <v>MAT.</v>
      </c>
      <c r="D7308" s="156" t="s">
        <v>31</v>
      </c>
      <c r="E7308" s="154" t="n">
        <v>20</v>
      </c>
      <c r="F7308" s="149" t="n">
        <f aca="false">IF(C7308="MAT.",VLOOKUP(A7308,INSUMOS_AUX!$A$3:$H$813,6,0),0)</f>
        <v>1.05</v>
      </c>
      <c r="G7308" s="149" t="n">
        <f aca="false">IF(C7308="M.O.",VLOOKUP(A7308,INSUMOS_AUX!A:F,6,0),0)</f>
        <v>0</v>
      </c>
    </row>
    <row r="7309" customFormat="false" ht="15" hidden="false" customHeight="false" outlineLevel="0" collapsed="false">
      <c r="A7309" s="154" t="n">
        <v>242</v>
      </c>
      <c r="B7309" s="155" t="s">
        <v>1660</v>
      </c>
      <c r="C7309" s="148" t="s">
        <v>59</v>
      </c>
      <c r="D7309" s="156" t="s">
        <v>1444</v>
      </c>
      <c r="E7309" s="154" t="n">
        <v>4.720654872</v>
      </c>
      <c r="F7309" s="149" t="n">
        <f aca="false">IF(C7309="MAT.",VLOOKUP(A7309,INSUMOS_AUX!$A$3:$H$813,6,0),0)</f>
        <v>0</v>
      </c>
      <c r="G7309" s="149" t="n">
        <f aca="false">IF(C7309="M.O.",VLOOKUP(A7309,INSUMOS_AUX!A:F,6,0),0)</f>
        <v>0</v>
      </c>
    </row>
    <row r="7310" customFormat="false" ht="15" hidden="false" customHeight="false" outlineLevel="0" collapsed="false">
      <c r="A7310" s="154" t="n">
        <v>34794</v>
      </c>
      <c r="B7310" s="155" t="s">
        <v>2764</v>
      </c>
      <c r="C7310" s="148" t="str">
        <f aca="false">VLOOKUP($A7310,INSUMOS_AUX!$A$3:$H$813,3,0)</f>
        <v>M.O.</v>
      </c>
      <c r="D7310" s="156" t="s">
        <v>1444</v>
      </c>
      <c r="E7310" s="154" t="n">
        <v>4.79583702</v>
      </c>
      <c r="F7310" s="149" t="n">
        <f aca="false">IF(C7310="MAT.",VLOOKUP(A7310,INSUMOS_AUX!$A$3:$H$813,6,0),0)</f>
        <v>0</v>
      </c>
      <c r="G7310" s="149" t="n">
        <f aca="false">IF(C7310="M.O.",VLOOKUP(A7310,INSUMOS_AUX!A:F,6,0),0)</f>
        <v>20.17</v>
      </c>
    </row>
    <row r="7311" customFormat="false" ht="31.5" hidden="false" customHeight="false" outlineLevel="0" collapsed="false">
      <c r="A7311" s="150" t="s">
        <v>1244</v>
      </c>
      <c r="B7311" s="151" t="s">
        <v>2786</v>
      </c>
      <c r="C7311" s="152" t="s">
        <v>59</v>
      </c>
      <c r="D7311" s="152" t="s">
        <v>31</v>
      </c>
      <c r="E7311" s="150"/>
      <c r="F7311" s="153" t="n">
        <f aca="false">(SUMPRODUCT($E7312:$E7329,F7312:F7329))*1</f>
        <v>16749.7381826667</v>
      </c>
      <c r="G7311" s="153" t="n">
        <f aca="false">(SUMPRODUCT($E7312:$E7329,G7312:G7329))*1</f>
        <v>273.96428207778</v>
      </c>
    </row>
    <row r="7312" customFormat="false" ht="21" hidden="false" customHeight="false" outlineLevel="0" collapsed="false">
      <c r="A7312" s="154" t="n">
        <v>37370</v>
      </c>
      <c r="B7312" s="155" t="s">
        <v>1443</v>
      </c>
      <c r="C7312" s="148" t="str">
        <f aca="false">VLOOKUP($A7312,INSUMOS_AUX!$A$3:$H$813,3,0)</f>
        <v>MAT.</v>
      </c>
      <c r="D7312" s="156" t="s">
        <v>1444</v>
      </c>
      <c r="E7312" s="154" t="n">
        <v>15.8844</v>
      </c>
      <c r="F7312" s="149" t="n">
        <f aca="false">IF(C7312="MAT.",VLOOKUP(A7312,INSUMOS_AUX!$A$3:$H$813,6,0),0)</f>
        <v>3.32</v>
      </c>
      <c r="G7312" s="149" t="n">
        <f aca="false">IF(C7312="M.O.",VLOOKUP(A7312,INSUMOS_AUX!A:F,6,0),0)</f>
        <v>0</v>
      </c>
    </row>
    <row r="7313" customFormat="false" ht="21" hidden="false" customHeight="false" outlineLevel="0" collapsed="false">
      <c r="A7313" s="154" t="n">
        <v>43484</v>
      </c>
      <c r="B7313" s="155" t="s">
        <v>1523</v>
      </c>
      <c r="C7313" s="148" t="str">
        <f aca="false">VLOOKUP($A7313,INSUMOS_AUX!$A$3:$H$813,3,0)</f>
        <v>MAT.</v>
      </c>
      <c r="D7313" s="156" t="s">
        <v>1444</v>
      </c>
      <c r="E7313" s="154" t="n">
        <v>7.9422</v>
      </c>
      <c r="F7313" s="149" t="n">
        <f aca="false">IF(C7313="MAT.",VLOOKUP(A7313,INSUMOS_AUX!$A$3:$H$813,6,0),0)</f>
        <v>1.26</v>
      </c>
      <c r="G7313" s="149" t="n">
        <f aca="false">IF(C7313="M.O.",VLOOKUP(A7313,INSUMOS_AUX!A:F,6,0),0)</f>
        <v>0</v>
      </c>
    </row>
    <row r="7314" customFormat="false" ht="21" hidden="false" customHeight="false" outlineLevel="0" collapsed="false">
      <c r="A7314" s="154" t="n">
        <v>43491</v>
      </c>
      <c r="B7314" s="155" t="s">
        <v>1457</v>
      </c>
      <c r="C7314" s="148" t="str">
        <f aca="false">VLOOKUP($A7314,INSUMOS_AUX!$A$3:$H$813,3,0)</f>
        <v>MAT.</v>
      </c>
      <c r="D7314" s="156" t="s">
        <v>1444</v>
      </c>
      <c r="E7314" s="154" t="n">
        <v>7.9422</v>
      </c>
      <c r="F7314" s="149" t="n">
        <f aca="false">IF(C7314="MAT.",VLOOKUP(A7314,INSUMOS_AUX!$A$3:$H$813,6,0),0)</f>
        <v>1.39</v>
      </c>
      <c r="G7314" s="149" t="n">
        <f aca="false">IF(C7314="M.O.",VLOOKUP(A7314,INSUMOS_AUX!A:F,6,0),0)</f>
        <v>0</v>
      </c>
    </row>
    <row r="7315" customFormat="false" ht="21" hidden="false" customHeight="false" outlineLevel="0" collapsed="false">
      <c r="A7315" s="154" t="n">
        <v>37372</v>
      </c>
      <c r="B7315" s="155" t="s">
        <v>1446</v>
      </c>
      <c r="C7315" s="148" t="str">
        <f aca="false">VLOOKUP($A7315,INSUMOS_AUX!$A$3:$H$813,3,0)</f>
        <v>MAT.</v>
      </c>
      <c r="D7315" s="156" t="s">
        <v>1444</v>
      </c>
      <c r="E7315" s="154" t="n">
        <v>15.8844</v>
      </c>
      <c r="F7315" s="149" t="n">
        <f aca="false">IF(C7315="MAT.",VLOOKUP(A7315,INSUMOS_AUX!$A$3:$H$813,6,0),0)</f>
        <v>1.43</v>
      </c>
      <c r="G7315" s="149" t="n">
        <f aca="false">IF(C7315="M.O.",VLOOKUP(A7315,INSUMOS_AUX!A:F,6,0),0)</f>
        <v>0</v>
      </c>
    </row>
    <row r="7316" customFormat="false" ht="21" hidden="false" customHeight="false" outlineLevel="0" collapsed="false">
      <c r="A7316" s="154" t="n">
        <v>43460</v>
      </c>
      <c r="B7316" s="155" t="s">
        <v>1524</v>
      </c>
      <c r="C7316" s="148" t="str">
        <f aca="false">VLOOKUP($A7316,INSUMOS_AUX!$A$3:$H$813,3,0)</f>
        <v>MAT.</v>
      </c>
      <c r="D7316" s="156" t="s">
        <v>1444</v>
      </c>
      <c r="E7316" s="154" t="n">
        <v>7.9422</v>
      </c>
      <c r="F7316" s="149" t="n">
        <f aca="false">IF(C7316="MAT.",VLOOKUP(A7316,INSUMOS_AUX!$A$3:$H$813,6,0),0)</f>
        <v>0.86</v>
      </c>
      <c r="G7316" s="149" t="n">
        <f aca="false">IF(C7316="M.O.",VLOOKUP(A7316,INSUMOS_AUX!A:F,6,0),0)</f>
        <v>0</v>
      </c>
    </row>
    <row r="7317" customFormat="false" ht="21" hidden="false" customHeight="false" outlineLevel="0" collapsed="false">
      <c r="A7317" s="154" t="n">
        <v>43467</v>
      </c>
      <c r="B7317" s="155" t="s">
        <v>1459</v>
      </c>
      <c r="C7317" s="148" t="str">
        <f aca="false">VLOOKUP($A7317,INSUMOS_AUX!$A$3:$H$813,3,0)</f>
        <v>MAT.</v>
      </c>
      <c r="D7317" s="156" t="s">
        <v>1444</v>
      </c>
      <c r="E7317" s="154" t="n">
        <v>7.9422</v>
      </c>
      <c r="F7317" s="149" t="n">
        <f aca="false">IF(C7317="MAT.",VLOOKUP(A7317,INSUMOS_AUX!$A$3:$H$813,6,0),0)</f>
        <v>0.61</v>
      </c>
      <c r="G7317" s="149" t="n">
        <f aca="false">IF(C7317="M.O.",VLOOKUP(A7317,INSUMOS_AUX!A:F,6,0),0)</f>
        <v>0</v>
      </c>
    </row>
    <row r="7318" customFormat="false" ht="21" hidden="false" customHeight="false" outlineLevel="0" collapsed="false">
      <c r="A7318" s="154" t="n">
        <v>37373</v>
      </c>
      <c r="B7318" s="155" t="s">
        <v>1448</v>
      </c>
      <c r="C7318" s="148" t="str">
        <f aca="false">VLOOKUP($A7318,INSUMOS_AUX!$A$3:$H$813,3,0)</f>
        <v>MAT.</v>
      </c>
      <c r="D7318" s="156" t="s">
        <v>1444</v>
      </c>
      <c r="E7318" s="154" t="n">
        <v>15.8844</v>
      </c>
      <c r="F7318" s="149" t="n">
        <f aca="false">IF(C7318="MAT.",VLOOKUP(A7318,INSUMOS_AUX!$A$3:$H$813,6,0),0)</f>
        <v>0.08</v>
      </c>
      <c r="G7318" s="149" t="n">
        <f aca="false">IF(C7318="M.O.",VLOOKUP(A7318,INSUMOS_AUX!A:F,6,0),0)</f>
        <v>0</v>
      </c>
    </row>
    <row r="7319" customFormat="false" ht="21" hidden="false" customHeight="false" outlineLevel="0" collapsed="false">
      <c r="A7319" s="154" t="n">
        <v>37371</v>
      </c>
      <c r="B7319" s="155" t="s">
        <v>1449</v>
      </c>
      <c r="C7319" s="148" t="s">
        <v>59</v>
      </c>
      <c r="D7319" s="156" t="s">
        <v>1444</v>
      </c>
      <c r="E7319" s="154" t="n">
        <v>15.8844</v>
      </c>
      <c r="F7319" s="149" t="n">
        <f aca="false">IF(C7319="MAT.",VLOOKUP(A7319,INSUMOS_AUX!$A$3:$H$813,6,0),0)</f>
        <v>0</v>
      </c>
      <c r="G7319" s="149" t="n">
        <f aca="false">IF(C7319="M.O.",VLOOKUP(A7319,INSUMOS_AUX!A:F,6,0),0)</f>
        <v>0</v>
      </c>
    </row>
    <row r="7320" customFormat="false" ht="21" hidden="false" customHeight="false" outlineLevel="0" collapsed="false">
      <c r="A7320" s="154" t="s">
        <v>2787</v>
      </c>
      <c r="B7320" s="155" t="s">
        <v>2788</v>
      </c>
      <c r="C7320" s="148" t="str">
        <f aca="false">VLOOKUP($A7320,INSUMOS_AUX!$A$3:$H$813,3,0)</f>
        <v>MAT.</v>
      </c>
      <c r="D7320" s="156" t="s">
        <v>1538</v>
      </c>
      <c r="E7320" s="154" t="n">
        <v>1</v>
      </c>
      <c r="F7320" s="149" t="n">
        <f aca="false">IF(C7320="MAT.",VLOOKUP(A7320,INSUMOS_AUX!$A$3:$H$813,6,0),0)</f>
        <v>16526.6666666667</v>
      </c>
      <c r="G7320" s="149" t="n">
        <f aca="false">IF(C7320="M.O.",VLOOKUP(A7320,INSUMOS_AUX!A:F,6,0),0)</f>
        <v>0</v>
      </c>
    </row>
    <row r="7321" customFormat="false" ht="21" hidden="false" customHeight="false" outlineLevel="0" collapsed="false">
      <c r="A7321" s="154" t="n">
        <v>13348</v>
      </c>
      <c r="B7321" s="155" t="s">
        <v>2774</v>
      </c>
      <c r="C7321" s="148" t="str">
        <f aca="false">VLOOKUP($A7321,INSUMOS_AUX!$A$3:$H$813,3,0)</f>
        <v>MAT.</v>
      </c>
      <c r="D7321" s="156" t="s">
        <v>31</v>
      </c>
      <c r="E7321" s="154" t="n">
        <v>8</v>
      </c>
      <c r="F7321" s="149" t="n">
        <f aca="false">IF(C7321="MAT.",VLOOKUP(A7321,INSUMOS_AUX!$A$3:$H$813,6,0),0)</f>
        <v>1.63</v>
      </c>
      <c r="G7321" s="149" t="n">
        <f aca="false">IF(C7321="M.O.",VLOOKUP(A7321,INSUMOS_AUX!A:F,6,0),0)</f>
        <v>0</v>
      </c>
    </row>
    <row r="7322" customFormat="false" ht="21" hidden="false" customHeight="false" outlineLevel="0" collapsed="false">
      <c r="A7322" s="154" t="n">
        <v>11976</v>
      </c>
      <c r="B7322" s="155" t="s">
        <v>2432</v>
      </c>
      <c r="C7322" s="148" t="str">
        <f aca="false">VLOOKUP($A7322,INSUMOS_AUX!$A$3:$H$813,3,0)</f>
        <v>MAT.</v>
      </c>
      <c r="D7322" s="156" t="s">
        <v>31</v>
      </c>
      <c r="E7322" s="154" t="n">
        <v>20</v>
      </c>
      <c r="F7322" s="149" t="n">
        <f aca="false">IF(C7322="MAT.",VLOOKUP(A7322,INSUMOS_AUX!$A$3:$H$813,6,0),0)</f>
        <v>1.33</v>
      </c>
      <c r="G7322" s="149" t="n">
        <f aca="false">IF(C7322="M.O.",VLOOKUP(A7322,INSUMOS_AUX!A:F,6,0),0)</f>
        <v>0</v>
      </c>
    </row>
    <row r="7323" customFormat="false" ht="31.5" hidden="false" customHeight="false" outlineLevel="0" collapsed="false">
      <c r="A7323" s="154" t="n">
        <v>13246</v>
      </c>
      <c r="B7323" s="155" t="s">
        <v>1811</v>
      </c>
      <c r="C7323" s="148" t="str">
        <f aca="false">VLOOKUP($A7323,INSUMOS_AUX!$A$3:$H$813,3,0)</f>
        <v>MAT.</v>
      </c>
      <c r="D7323" s="156" t="s">
        <v>31</v>
      </c>
      <c r="E7323" s="154" t="n">
        <v>4</v>
      </c>
      <c r="F7323" s="149" t="n">
        <f aca="false">IF(C7323="MAT.",VLOOKUP(A7323,INSUMOS_AUX!$A$3:$H$813,6,0),0)</f>
        <v>0.5</v>
      </c>
      <c r="G7323" s="149" t="n">
        <f aca="false">IF(C7323="M.O.",VLOOKUP(A7323,INSUMOS_AUX!A:F,6,0),0)</f>
        <v>0</v>
      </c>
    </row>
    <row r="7324" customFormat="false" ht="15" hidden="false" customHeight="false" outlineLevel="0" collapsed="false">
      <c r="A7324" s="154" t="n">
        <v>39997</v>
      </c>
      <c r="B7324" s="155" t="s">
        <v>2438</v>
      </c>
      <c r="C7324" s="148" t="str">
        <f aca="false">VLOOKUP($A7324,INSUMOS_AUX!$A$3:$H$813,3,0)</f>
        <v>MAT.</v>
      </c>
      <c r="D7324" s="156" t="s">
        <v>31</v>
      </c>
      <c r="E7324" s="154" t="n">
        <v>8</v>
      </c>
      <c r="F7324" s="149" t="n">
        <f aca="false">IF(C7324="MAT.",VLOOKUP(A7324,INSUMOS_AUX!$A$3:$H$813,6,0),0)</f>
        <v>0.33</v>
      </c>
      <c r="G7324" s="149" t="n">
        <f aca="false">IF(C7324="M.O.",VLOOKUP(A7324,INSUMOS_AUX!A:F,6,0),0)</f>
        <v>0</v>
      </c>
    </row>
    <row r="7325" customFormat="false" ht="21" hidden="false" customHeight="false" outlineLevel="0" collapsed="false">
      <c r="A7325" s="154" t="n">
        <v>37591</v>
      </c>
      <c r="B7325" s="155" t="s">
        <v>2071</v>
      </c>
      <c r="C7325" s="148" t="str">
        <f aca="false">VLOOKUP($A7325,INSUMOS_AUX!$A$3:$H$813,3,0)</f>
        <v>MAT.</v>
      </c>
      <c r="D7325" s="156" t="s">
        <v>31</v>
      </c>
      <c r="E7325" s="154" t="n">
        <v>2</v>
      </c>
      <c r="F7325" s="149" t="n">
        <f aca="false">IF(C7325="MAT.",VLOOKUP(A7325,INSUMOS_AUX!$A$3:$H$813,6,0),0)</f>
        <v>20.27</v>
      </c>
      <c r="G7325" s="149" t="n">
        <f aca="false">IF(C7325="M.O.",VLOOKUP(A7325,INSUMOS_AUX!A:F,6,0),0)</f>
        <v>0</v>
      </c>
    </row>
    <row r="7326" customFormat="false" ht="21" hidden="false" customHeight="false" outlineLevel="0" collapsed="false">
      <c r="A7326" s="154" t="n">
        <v>1570</v>
      </c>
      <c r="B7326" s="155" t="s">
        <v>2474</v>
      </c>
      <c r="C7326" s="148" t="str">
        <f aca="false">VLOOKUP($A7326,INSUMOS_AUX!$A$3:$H$813,3,0)</f>
        <v>MAT.</v>
      </c>
      <c r="D7326" s="156" t="s">
        <v>31</v>
      </c>
      <c r="E7326" s="154" t="n">
        <v>20</v>
      </c>
      <c r="F7326" s="149" t="n">
        <f aca="false">IF(C7326="MAT.",VLOOKUP(A7326,INSUMOS_AUX!$A$3:$H$813,6,0),0)</f>
        <v>1.05</v>
      </c>
      <c r="G7326" s="149" t="n">
        <f aca="false">IF(C7326="M.O.",VLOOKUP(A7326,INSUMOS_AUX!A:F,6,0),0)</f>
        <v>0</v>
      </c>
    </row>
    <row r="7327" customFormat="false" ht="15" hidden="false" customHeight="false" outlineLevel="0" collapsed="false">
      <c r="A7327" s="154" t="n">
        <v>39996</v>
      </c>
      <c r="B7327" s="155" t="s">
        <v>2441</v>
      </c>
      <c r="C7327" s="148" t="str">
        <f aca="false">VLOOKUP($A7327,INSUMOS_AUX!$A$3:$H$813,3,0)</f>
        <v>MAT.</v>
      </c>
      <c r="D7327" s="156" t="s">
        <v>1455</v>
      </c>
      <c r="E7327" s="154" t="n">
        <v>2.56</v>
      </c>
      <c r="F7327" s="149" t="n">
        <f aca="false">IF(C7327="MAT.",VLOOKUP(A7327,INSUMOS_AUX!$A$3:$H$813,6,0),0)</f>
        <v>3.05</v>
      </c>
      <c r="G7327" s="149" t="n">
        <f aca="false">IF(C7327="M.O.",VLOOKUP(A7327,INSUMOS_AUX!A:F,6,0),0)</f>
        <v>0</v>
      </c>
    </row>
    <row r="7328" customFormat="false" ht="15" hidden="false" customHeight="false" outlineLevel="0" collapsed="false">
      <c r="A7328" s="154" t="n">
        <v>242</v>
      </c>
      <c r="B7328" s="155" t="s">
        <v>1660</v>
      </c>
      <c r="C7328" s="148" t="str">
        <f aca="false">VLOOKUP($A7328,INSUMOS_AUX!$A$3:$H$813,3,0)</f>
        <v>M.O.</v>
      </c>
      <c r="D7328" s="156" t="s">
        <v>1444</v>
      </c>
      <c r="E7328" s="154" t="n">
        <v>8.033852988</v>
      </c>
      <c r="F7328" s="149" t="n">
        <f aca="false">IF(C7328="MAT.",VLOOKUP(A7328,INSUMOS_AUX!$A$3:$H$813,6,0),0)</f>
        <v>0</v>
      </c>
      <c r="G7328" s="149" t="n">
        <f aca="false">IF(C7328="M.O.",VLOOKUP(A7328,INSUMOS_AUX!A:F,6,0),0)</f>
        <v>13.61</v>
      </c>
    </row>
    <row r="7329" customFormat="false" ht="15" hidden="false" customHeight="false" outlineLevel="0" collapsed="false">
      <c r="A7329" s="154" t="n">
        <v>34794</v>
      </c>
      <c r="B7329" s="155" t="s">
        <v>2764</v>
      </c>
      <c r="C7329" s="148" t="str">
        <f aca="false">VLOOKUP($A7329,INSUMOS_AUX!$A$3:$H$813,3,0)</f>
        <v>M.O.</v>
      </c>
      <c r="D7329" s="156" t="s">
        <v>1444</v>
      </c>
      <c r="E7329" s="154" t="n">
        <v>8.16180183</v>
      </c>
      <c r="F7329" s="149" t="n">
        <f aca="false">IF(C7329="MAT.",VLOOKUP(A7329,INSUMOS_AUX!$A$3:$H$813,6,0),0)</f>
        <v>0</v>
      </c>
      <c r="G7329" s="149" t="n">
        <f aca="false">IF(C7329="M.O.",VLOOKUP(A7329,INSUMOS_AUX!A:F,6,0),0)</f>
        <v>20.17</v>
      </c>
    </row>
    <row r="7330" customFormat="false" ht="31.5" hidden="false" customHeight="false" outlineLevel="0" collapsed="false">
      <c r="A7330" s="150" t="s">
        <v>1246</v>
      </c>
      <c r="B7330" s="151" t="s">
        <v>2789</v>
      </c>
      <c r="C7330" s="152" t="s">
        <v>59</v>
      </c>
      <c r="D7330" s="152" t="s">
        <v>31</v>
      </c>
      <c r="E7330" s="150"/>
      <c r="F7330" s="153" t="n">
        <f aca="false">(SUMPRODUCT($E7331:$E7348,F7331:F7348))*1</f>
        <v>17969.843312</v>
      </c>
      <c r="G7330" s="153" t="n">
        <f aca="false">(SUMPRODUCT($E7331:$E7348,G7331:G7348))*1</f>
        <v>273.96428207778</v>
      </c>
    </row>
    <row r="7331" customFormat="false" ht="21" hidden="false" customHeight="false" outlineLevel="0" collapsed="false">
      <c r="A7331" s="154" t="n">
        <v>37370</v>
      </c>
      <c r="B7331" s="155" t="s">
        <v>1443</v>
      </c>
      <c r="C7331" s="148" t="str">
        <f aca="false">VLOOKUP($A7331,INSUMOS_AUX!$A$3:$H$813,3,0)</f>
        <v>MAT.</v>
      </c>
      <c r="D7331" s="156" t="s">
        <v>1444</v>
      </c>
      <c r="E7331" s="154" t="n">
        <v>15.8844</v>
      </c>
      <c r="F7331" s="149" t="n">
        <f aca="false">IF(C7331="MAT.",VLOOKUP(A7331,INSUMOS_AUX!$A$3:$H$813,6,0),0)</f>
        <v>3.32</v>
      </c>
      <c r="G7331" s="149" t="n">
        <f aca="false">IF(C7331="M.O.",VLOOKUP(A7331,INSUMOS_AUX!A:F,6,0),0)</f>
        <v>0</v>
      </c>
    </row>
    <row r="7332" customFormat="false" ht="21" hidden="false" customHeight="false" outlineLevel="0" collapsed="false">
      <c r="A7332" s="154" t="n">
        <v>43484</v>
      </c>
      <c r="B7332" s="155" t="s">
        <v>1523</v>
      </c>
      <c r="C7332" s="148" t="str">
        <f aca="false">VLOOKUP($A7332,INSUMOS_AUX!$A$3:$H$813,3,0)</f>
        <v>MAT.</v>
      </c>
      <c r="D7332" s="156" t="s">
        <v>1444</v>
      </c>
      <c r="E7332" s="154" t="n">
        <v>7.9422</v>
      </c>
      <c r="F7332" s="149" t="n">
        <f aca="false">IF(C7332="MAT.",VLOOKUP(A7332,INSUMOS_AUX!$A$3:$H$813,6,0),0)</f>
        <v>1.26</v>
      </c>
      <c r="G7332" s="149" t="n">
        <f aca="false">IF(C7332="M.O.",VLOOKUP(A7332,INSUMOS_AUX!A:F,6,0),0)</f>
        <v>0</v>
      </c>
    </row>
    <row r="7333" customFormat="false" ht="21" hidden="false" customHeight="false" outlineLevel="0" collapsed="false">
      <c r="A7333" s="154" t="n">
        <v>43491</v>
      </c>
      <c r="B7333" s="155" t="s">
        <v>1457</v>
      </c>
      <c r="C7333" s="148" t="str">
        <f aca="false">VLOOKUP($A7333,INSUMOS_AUX!$A$3:$H$813,3,0)</f>
        <v>MAT.</v>
      </c>
      <c r="D7333" s="156" t="s">
        <v>1444</v>
      </c>
      <c r="E7333" s="154" t="n">
        <v>7.9422</v>
      </c>
      <c r="F7333" s="149" t="n">
        <f aca="false">IF(C7333="MAT.",VLOOKUP(A7333,INSUMOS_AUX!$A$3:$H$813,6,0),0)</f>
        <v>1.39</v>
      </c>
      <c r="G7333" s="149" t="n">
        <f aca="false">IF(C7333="M.O.",VLOOKUP(A7333,INSUMOS_AUX!A:F,6,0),0)</f>
        <v>0</v>
      </c>
    </row>
    <row r="7334" customFormat="false" ht="21" hidden="false" customHeight="false" outlineLevel="0" collapsed="false">
      <c r="A7334" s="154" t="n">
        <v>37372</v>
      </c>
      <c r="B7334" s="155" t="s">
        <v>1446</v>
      </c>
      <c r="C7334" s="148" t="str">
        <f aca="false">VLOOKUP($A7334,INSUMOS_AUX!$A$3:$H$813,3,0)</f>
        <v>MAT.</v>
      </c>
      <c r="D7334" s="156" t="s">
        <v>1444</v>
      </c>
      <c r="E7334" s="154" t="n">
        <v>15.8844</v>
      </c>
      <c r="F7334" s="149" t="n">
        <f aca="false">IF(C7334="MAT.",VLOOKUP(A7334,INSUMOS_AUX!$A$3:$H$813,6,0),0)</f>
        <v>1.43</v>
      </c>
      <c r="G7334" s="149" t="n">
        <f aca="false">IF(C7334="M.O.",VLOOKUP(A7334,INSUMOS_AUX!A:F,6,0),0)</f>
        <v>0</v>
      </c>
    </row>
    <row r="7335" customFormat="false" ht="21" hidden="false" customHeight="false" outlineLevel="0" collapsed="false">
      <c r="A7335" s="154" t="n">
        <v>43460</v>
      </c>
      <c r="B7335" s="155" t="s">
        <v>1524</v>
      </c>
      <c r="C7335" s="148" t="str">
        <f aca="false">VLOOKUP($A7335,INSUMOS_AUX!$A$3:$H$813,3,0)</f>
        <v>MAT.</v>
      </c>
      <c r="D7335" s="156" t="s">
        <v>1444</v>
      </c>
      <c r="E7335" s="154" t="n">
        <v>7.9422</v>
      </c>
      <c r="F7335" s="149" t="n">
        <f aca="false">IF(C7335="MAT.",VLOOKUP(A7335,INSUMOS_AUX!$A$3:$H$813,6,0),0)</f>
        <v>0.86</v>
      </c>
      <c r="G7335" s="149" t="n">
        <f aca="false">IF(C7335="M.O.",VLOOKUP(A7335,INSUMOS_AUX!A:F,6,0),0)</f>
        <v>0</v>
      </c>
    </row>
    <row r="7336" customFormat="false" ht="21" hidden="false" customHeight="false" outlineLevel="0" collapsed="false">
      <c r="A7336" s="154" t="n">
        <v>43467</v>
      </c>
      <c r="B7336" s="155" t="s">
        <v>1459</v>
      </c>
      <c r="C7336" s="148" t="str">
        <f aca="false">VLOOKUP($A7336,INSUMOS_AUX!$A$3:$H$813,3,0)</f>
        <v>MAT.</v>
      </c>
      <c r="D7336" s="156" t="s">
        <v>1444</v>
      </c>
      <c r="E7336" s="154" t="n">
        <v>7.9422</v>
      </c>
      <c r="F7336" s="149" t="n">
        <f aca="false">IF(C7336="MAT.",VLOOKUP(A7336,INSUMOS_AUX!$A$3:$H$813,6,0),0)</f>
        <v>0.61</v>
      </c>
      <c r="G7336" s="149" t="n">
        <f aca="false">IF(C7336="M.O.",VLOOKUP(A7336,INSUMOS_AUX!A:F,6,0),0)</f>
        <v>0</v>
      </c>
    </row>
    <row r="7337" customFormat="false" ht="21" hidden="false" customHeight="false" outlineLevel="0" collapsed="false">
      <c r="A7337" s="154" t="n">
        <v>37373</v>
      </c>
      <c r="B7337" s="155" t="s">
        <v>1448</v>
      </c>
      <c r="C7337" s="148" t="str">
        <f aca="false">VLOOKUP($A7337,INSUMOS_AUX!$A$3:$H$813,3,0)</f>
        <v>MAT.</v>
      </c>
      <c r="D7337" s="156" t="s">
        <v>1444</v>
      </c>
      <c r="E7337" s="154" t="n">
        <v>15.8844</v>
      </c>
      <c r="F7337" s="149" t="n">
        <f aca="false">IF(C7337="MAT.",VLOOKUP(A7337,INSUMOS_AUX!$A$3:$H$813,6,0),0)</f>
        <v>0.08</v>
      </c>
      <c r="G7337" s="149" t="n">
        <f aca="false">IF(C7337="M.O.",VLOOKUP(A7337,INSUMOS_AUX!A:F,6,0),0)</f>
        <v>0</v>
      </c>
    </row>
    <row r="7338" customFormat="false" ht="21" hidden="false" customHeight="false" outlineLevel="0" collapsed="false">
      <c r="A7338" s="154" t="n">
        <v>37371</v>
      </c>
      <c r="B7338" s="155" t="s">
        <v>1449</v>
      </c>
      <c r="C7338" s="148" t="str">
        <f aca="false">VLOOKUP($A7338,INSUMOS_AUX!$A$3:$H$813,3,0)</f>
        <v>MAT.</v>
      </c>
      <c r="D7338" s="156" t="s">
        <v>1444</v>
      </c>
      <c r="E7338" s="154" t="n">
        <v>15.8844</v>
      </c>
      <c r="F7338" s="149" t="n">
        <f aca="false">IF(C7338="MAT.",VLOOKUP(A7338,INSUMOS_AUX!$A$3:$H$813,6,0),0)</f>
        <v>0.59</v>
      </c>
      <c r="G7338" s="149" t="n">
        <f aca="false">IF(C7338="M.O.",VLOOKUP(A7338,INSUMOS_AUX!A:F,6,0),0)</f>
        <v>0</v>
      </c>
    </row>
    <row r="7339" customFormat="false" ht="31.5" hidden="false" customHeight="false" outlineLevel="0" collapsed="false">
      <c r="A7339" s="154" t="s">
        <v>2790</v>
      </c>
      <c r="B7339" s="155" t="s">
        <v>2791</v>
      </c>
      <c r="C7339" s="148" t="str">
        <f aca="false">VLOOKUP($A7339,INSUMOS_AUX!$A$3:$H$813,3,0)</f>
        <v>MAT.</v>
      </c>
      <c r="D7339" s="156" t="s">
        <v>1538</v>
      </c>
      <c r="E7339" s="154" t="n">
        <v>1</v>
      </c>
      <c r="F7339" s="149" t="n">
        <f aca="false">IF(C7339="MAT.",VLOOKUP(A7339,INSUMOS_AUX!$A$3:$H$813,6,0),0)</f>
        <v>17764</v>
      </c>
      <c r="G7339" s="149" t="n">
        <f aca="false">IF(C7339="M.O.",VLOOKUP(A7339,INSUMOS_AUX!A:F,6,0),0)</f>
        <v>0</v>
      </c>
    </row>
    <row r="7340" customFormat="false" ht="21" hidden="false" customHeight="false" outlineLevel="0" collapsed="false">
      <c r="A7340" s="154" t="n">
        <v>13348</v>
      </c>
      <c r="B7340" s="155" t="s">
        <v>2774</v>
      </c>
      <c r="C7340" s="148" t="str">
        <f aca="false">VLOOKUP($A7340,INSUMOS_AUX!$A$3:$H$813,3,0)</f>
        <v>MAT.</v>
      </c>
      <c r="D7340" s="156" t="s">
        <v>31</v>
      </c>
      <c r="E7340" s="154" t="n">
        <v>8</v>
      </c>
      <c r="F7340" s="149" t="n">
        <f aca="false">IF(C7340="MAT.",VLOOKUP(A7340,INSUMOS_AUX!$A$3:$H$813,6,0),0)</f>
        <v>1.63</v>
      </c>
      <c r="G7340" s="149" t="n">
        <f aca="false">IF(C7340="M.O.",VLOOKUP(A7340,INSUMOS_AUX!A:F,6,0),0)</f>
        <v>0</v>
      </c>
    </row>
    <row r="7341" customFormat="false" ht="21" hidden="false" customHeight="false" outlineLevel="0" collapsed="false">
      <c r="A7341" s="154" t="n">
        <v>11976</v>
      </c>
      <c r="B7341" s="155" t="s">
        <v>2432</v>
      </c>
      <c r="C7341" s="148" t="s">
        <v>59</v>
      </c>
      <c r="D7341" s="156" t="s">
        <v>31</v>
      </c>
      <c r="E7341" s="154" t="n">
        <v>20</v>
      </c>
      <c r="F7341" s="149" t="n">
        <f aca="false">IF(C7341="MAT.",VLOOKUP(A7341,INSUMOS_AUX!$A$3:$H$813,6,0),0)</f>
        <v>0</v>
      </c>
      <c r="G7341" s="149" t="n">
        <f aca="false">IF(C7341="M.O.",VLOOKUP(A7341,INSUMOS_AUX!A:F,6,0),0)</f>
        <v>0</v>
      </c>
    </row>
    <row r="7342" customFormat="false" ht="31.5" hidden="false" customHeight="false" outlineLevel="0" collapsed="false">
      <c r="A7342" s="154" t="n">
        <v>13246</v>
      </c>
      <c r="B7342" s="155" t="s">
        <v>1811</v>
      </c>
      <c r="C7342" s="148" t="str">
        <f aca="false">VLOOKUP($A7342,INSUMOS_AUX!$A$3:$H$813,3,0)</f>
        <v>MAT.</v>
      </c>
      <c r="D7342" s="156" t="s">
        <v>31</v>
      </c>
      <c r="E7342" s="154" t="n">
        <v>4</v>
      </c>
      <c r="F7342" s="149" t="n">
        <f aca="false">IF(C7342="MAT.",VLOOKUP(A7342,INSUMOS_AUX!$A$3:$H$813,6,0),0)</f>
        <v>0.5</v>
      </c>
      <c r="G7342" s="149" t="n">
        <f aca="false">IF(C7342="M.O.",VLOOKUP(A7342,INSUMOS_AUX!A:F,6,0),0)</f>
        <v>0</v>
      </c>
    </row>
    <row r="7343" customFormat="false" ht="15" hidden="false" customHeight="false" outlineLevel="0" collapsed="false">
      <c r="A7343" s="154" t="n">
        <v>39997</v>
      </c>
      <c r="B7343" s="155" t="s">
        <v>2438</v>
      </c>
      <c r="C7343" s="148" t="str">
        <f aca="false">VLOOKUP($A7343,INSUMOS_AUX!$A$3:$H$813,3,0)</f>
        <v>MAT.</v>
      </c>
      <c r="D7343" s="156" t="s">
        <v>31</v>
      </c>
      <c r="E7343" s="154" t="n">
        <v>8</v>
      </c>
      <c r="F7343" s="149" t="n">
        <f aca="false">IF(C7343="MAT.",VLOOKUP(A7343,INSUMOS_AUX!$A$3:$H$813,6,0),0)</f>
        <v>0.33</v>
      </c>
      <c r="G7343" s="149" t="n">
        <f aca="false">IF(C7343="M.O.",VLOOKUP(A7343,INSUMOS_AUX!A:F,6,0),0)</f>
        <v>0</v>
      </c>
    </row>
    <row r="7344" customFormat="false" ht="21" hidden="false" customHeight="false" outlineLevel="0" collapsed="false">
      <c r="A7344" s="154" t="n">
        <v>37591</v>
      </c>
      <c r="B7344" s="155" t="s">
        <v>2071</v>
      </c>
      <c r="C7344" s="148" t="str">
        <f aca="false">VLOOKUP($A7344,INSUMOS_AUX!$A$3:$H$813,3,0)</f>
        <v>MAT.</v>
      </c>
      <c r="D7344" s="156" t="s">
        <v>31</v>
      </c>
      <c r="E7344" s="154" t="n">
        <v>2</v>
      </c>
      <c r="F7344" s="149" t="n">
        <f aca="false">IF(C7344="MAT.",VLOOKUP(A7344,INSUMOS_AUX!$A$3:$H$813,6,0),0)</f>
        <v>20.27</v>
      </c>
      <c r="G7344" s="149" t="n">
        <f aca="false">IF(C7344="M.O.",VLOOKUP(A7344,INSUMOS_AUX!A:F,6,0),0)</f>
        <v>0</v>
      </c>
    </row>
    <row r="7345" customFormat="false" ht="21" hidden="false" customHeight="false" outlineLevel="0" collapsed="false">
      <c r="A7345" s="154" t="n">
        <v>1570</v>
      </c>
      <c r="B7345" s="155" t="s">
        <v>2474</v>
      </c>
      <c r="C7345" s="148" t="str">
        <f aca="false">VLOOKUP($A7345,INSUMOS_AUX!$A$3:$H$813,3,0)</f>
        <v>MAT.</v>
      </c>
      <c r="D7345" s="156" t="s">
        <v>31</v>
      </c>
      <c r="E7345" s="154" t="n">
        <v>20</v>
      </c>
      <c r="F7345" s="149" t="n">
        <f aca="false">IF(C7345="MAT.",VLOOKUP(A7345,INSUMOS_AUX!$A$3:$H$813,6,0),0)</f>
        <v>1.05</v>
      </c>
      <c r="G7345" s="149" t="n">
        <f aca="false">IF(C7345="M.O.",VLOOKUP(A7345,INSUMOS_AUX!A:F,6,0),0)</f>
        <v>0</v>
      </c>
    </row>
    <row r="7346" customFormat="false" ht="15" hidden="false" customHeight="false" outlineLevel="0" collapsed="false">
      <c r="A7346" s="154" t="n">
        <v>39996</v>
      </c>
      <c r="B7346" s="155" t="s">
        <v>2441</v>
      </c>
      <c r="C7346" s="148" t="str">
        <f aca="false">VLOOKUP($A7346,INSUMOS_AUX!$A$3:$H$813,3,0)</f>
        <v>MAT.</v>
      </c>
      <c r="D7346" s="156" t="s">
        <v>1455</v>
      </c>
      <c r="E7346" s="154" t="n">
        <v>2.56</v>
      </c>
      <c r="F7346" s="149" t="n">
        <f aca="false">IF(C7346="MAT.",VLOOKUP(A7346,INSUMOS_AUX!$A$3:$H$813,6,0),0)</f>
        <v>3.05</v>
      </c>
      <c r="G7346" s="149" t="n">
        <f aca="false">IF(C7346="M.O.",VLOOKUP(A7346,INSUMOS_AUX!A:F,6,0),0)</f>
        <v>0</v>
      </c>
    </row>
    <row r="7347" customFormat="false" ht="15" hidden="false" customHeight="false" outlineLevel="0" collapsed="false">
      <c r="A7347" s="154" t="n">
        <v>242</v>
      </c>
      <c r="B7347" s="155" t="s">
        <v>1660</v>
      </c>
      <c r="C7347" s="148" t="str">
        <f aca="false">VLOOKUP($A7347,INSUMOS_AUX!$A$3:$H$813,3,0)</f>
        <v>M.O.</v>
      </c>
      <c r="D7347" s="156" t="s">
        <v>1444</v>
      </c>
      <c r="E7347" s="154" t="n">
        <v>8.033852988</v>
      </c>
      <c r="F7347" s="149" t="n">
        <f aca="false">IF(C7347="MAT.",VLOOKUP(A7347,INSUMOS_AUX!$A$3:$H$813,6,0),0)</f>
        <v>0</v>
      </c>
      <c r="G7347" s="149" t="n">
        <f aca="false">IF(C7347="M.O.",VLOOKUP(A7347,INSUMOS_AUX!A:F,6,0),0)</f>
        <v>13.61</v>
      </c>
    </row>
    <row r="7348" customFormat="false" ht="15" hidden="false" customHeight="false" outlineLevel="0" collapsed="false">
      <c r="A7348" s="154" t="n">
        <v>34794</v>
      </c>
      <c r="B7348" s="155" t="s">
        <v>2764</v>
      </c>
      <c r="C7348" s="148" t="str">
        <f aca="false">VLOOKUP($A7348,INSUMOS_AUX!$A$3:$H$813,3,0)</f>
        <v>M.O.</v>
      </c>
      <c r="D7348" s="156" t="s">
        <v>1444</v>
      </c>
      <c r="E7348" s="154" t="n">
        <v>8.16180183</v>
      </c>
      <c r="F7348" s="149" t="n">
        <f aca="false">IF(C7348="MAT.",VLOOKUP(A7348,INSUMOS_AUX!$A$3:$H$813,6,0),0)</f>
        <v>0</v>
      </c>
      <c r="G7348" s="149" t="n">
        <f aca="false">IF(C7348="M.O.",VLOOKUP(A7348,INSUMOS_AUX!A:F,6,0),0)</f>
        <v>20.17</v>
      </c>
    </row>
    <row r="7349" customFormat="false" ht="31.5" hidden="false" customHeight="false" outlineLevel="0" collapsed="false">
      <c r="A7349" s="150" t="s">
        <v>1248</v>
      </c>
      <c r="B7349" s="151" t="s">
        <v>2792</v>
      </c>
      <c r="C7349" s="152" t="s">
        <v>59</v>
      </c>
      <c r="D7349" s="152" t="s">
        <v>31</v>
      </c>
      <c r="E7349" s="150"/>
      <c r="F7349" s="153" t="n">
        <f aca="false">(SUMPRODUCT($E7350:$E7368,F7350:F7368))*1</f>
        <v>16308.36565</v>
      </c>
      <c r="G7349" s="153" t="n">
        <f aca="false">(SUMPRODUCT($E7350:$E7368,G7350:G7368))*1</f>
        <v>217.47221378955</v>
      </c>
    </row>
    <row r="7350" customFormat="false" ht="21" hidden="false" customHeight="false" outlineLevel="0" collapsed="false">
      <c r="A7350" s="154" t="n">
        <v>37370</v>
      </c>
      <c r="B7350" s="155" t="s">
        <v>1443</v>
      </c>
      <c r="C7350" s="148" t="str">
        <f aca="false">VLOOKUP($A7350,INSUMOS_AUX!$A$3:$H$813,3,0)</f>
        <v>MAT.</v>
      </c>
      <c r="D7350" s="156" t="s">
        <v>1444</v>
      </c>
      <c r="E7350" s="154" t="n">
        <v>12.609</v>
      </c>
      <c r="F7350" s="149" t="n">
        <f aca="false">IF(C7350="MAT.",VLOOKUP(A7350,INSUMOS_AUX!$A$3:$H$813,6,0),0)</f>
        <v>3.32</v>
      </c>
      <c r="G7350" s="149" t="n">
        <f aca="false">IF(C7350="M.O.",VLOOKUP(A7350,INSUMOS_AUX!A:F,6,0),0)</f>
        <v>0</v>
      </c>
    </row>
    <row r="7351" customFormat="false" ht="21" hidden="false" customHeight="false" outlineLevel="0" collapsed="false">
      <c r="A7351" s="154" t="n">
        <v>43484</v>
      </c>
      <c r="B7351" s="155" t="s">
        <v>1523</v>
      </c>
      <c r="C7351" s="148" t="s">
        <v>59</v>
      </c>
      <c r="D7351" s="156" t="s">
        <v>1444</v>
      </c>
      <c r="E7351" s="154" t="n">
        <v>6.3045</v>
      </c>
      <c r="F7351" s="149" t="n">
        <f aca="false">IF(C7351="MAT.",VLOOKUP(A7351,INSUMOS_AUX!$A$3:$H$813,6,0),0)</f>
        <v>0</v>
      </c>
      <c r="G7351" s="149" t="n">
        <f aca="false">IF(C7351="M.O.",VLOOKUP(A7351,INSUMOS_AUX!A:F,6,0),0)</f>
        <v>0</v>
      </c>
    </row>
    <row r="7352" customFormat="false" ht="21" hidden="false" customHeight="false" outlineLevel="0" collapsed="false">
      <c r="A7352" s="154" t="n">
        <v>43491</v>
      </c>
      <c r="B7352" s="155" t="s">
        <v>1457</v>
      </c>
      <c r="C7352" s="148" t="str">
        <f aca="false">VLOOKUP($A7352,INSUMOS_AUX!$A$3:$H$813,3,0)</f>
        <v>MAT.</v>
      </c>
      <c r="D7352" s="156" t="s">
        <v>1444</v>
      </c>
      <c r="E7352" s="154" t="n">
        <v>6.3045</v>
      </c>
      <c r="F7352" s="149" t="n">
        <f aca="false">IF(C7352="MAT.",VLOOKUP(A7352,INSUMOS_AUX!$A$3:$H$813,6,0),0)</f>
        <v>1.39</v>
      </c>
      <c r="G7352" s="149" t="n">
        <f aca="false">IF(C7352="M.O.",VLOOKUP(A7352,INSUMOS_AUX!A:F,6,0),0)</f>
        <v>0</v>
      </c>
    </row>
    <row r="7353" customFormat="false" ht="21" hidden="false" customHeight="false" outlineLevel="0" collapsed="false">
      <c r="A7353" s="154" t="n">
        <v>37372</v>
      </c>
      <c r="B7353" s="155" t="s">
        <v>1446</v>
      </c>
      <c r="C7353" s="148" t="str">
        <f aca="false">VLOOKUP($A7353,INSUMOS_AUX!$A$3:$H$813,3,0)</f>
        <v>MAT.</v>
      </c>
      <c r="D7353" s="156" t="s">
        <v>1444</v>
      </c>
      <c r="E7353" s="154" t="n">
        <v>12.609</v>
      </c>
      <c r="F7353" s="149" t="n">
        <f aca="false">IF(C7353="MAT.",VLOOKUP(A7353,INSUMOS_AUX!$A$3:$H$813,6,0),0)</f>
        <v>1.43</v>
      </c>
      <c r="G7353" s="149" t="n">
        <f aca="false">IF(C7353="M.O.",VLOOKUP(A7353,INSUMOS_AUX!A:F,6,0),0)</f>
        <v>0</v>
      </c>
    </row>
    <row r="7354" customFormat="false" ht="21" hidden="false" customHeight="false" outlineLevel="0" collapsed="false">
      <c r="A7354" s="154" t="n">
        <v>43460</v>
      </c>
      <c r="B7354" s="155" t="s">
        <v>1524</v>
      </c>
      <c r="C7354" s="148" t="str">
        <f aca="false">VLOOKUP($A7354,INSUMOS_AUX!$A$3:$H$813,3,0)</f>
        <v>MAT.</v>
      </c>
      <c r="D7354" s="156" t="s">
        <v>1444</v>
      </c>
      <c r="E7354" s="154" t="n">
        <v>6.3045</v>
      </c>
      <c r="F7354" s="149" t="n">
        <f aca="false">IF(C7354="MAT.",VLOOKUP(A7354,INSUMOS_AUX!$A$3:$H$813,6,0),0)</f>
        <v>0.86</v>
      </c>
      <c r="G7354" s="149" t="n">
        <f aca="false">IF(C7354="M.O.",VLOOKUP(A7354,INSUMOS_AUX!A:F,6,0),0)</f>
        <v>0</v>
      </c>
    </row>
    <row r="7355" customFormat="false" ht="21" hidden="false" customHeight="false" outlineLevel="0" collapsed="false">
      <c r="A7355" s="154" t="n">
        <v>43467</v>
      </c>
      <c r="B7355" s="155" t="s">
        <v>1459</v>
      </c>
      <c r="C7355" s="148" t="str">
        <f aca="false">VLOOKUP($A7355,INSUMOS_AUX!$A$3:$H$813,3,0)</f>
        <v>MAT.</v>
      </c>
      <c r="D7355" s="156" t="s">
        <v>1444</v>
      </c>
      <c r="E7355" s="154" t="n">
        <v>6.3045</v>
      </c>
      <c r="F7355" s="149" t="n">
        <f aca="false">IF(C7355="MAT.",VLOOKUP(A7355,INSUMOS_AUX!$A$3:$H$813,6,0),0)</f>
        <v>0.61</v>
      </c>
      <c r="G7355" s="149" t="n">
        <f aca="false">IF(C7355="M.O.",VLOOKUP(A7355,INSUMOS_AUX!A:F,6,0),0)</f>
        <v>0</v>
      </c>
    </row>
    <row r="7356" customFormat="false" ht="21" hidden="false" customHeight="false" outlineLevel="0" collapsed="false">
      <c r="A7356" s="154" t="n">
        <v>37373</v>
      </c>
      <c r="B7356" s="155" t="s">
        <v>1448</v>
      </c>
      <c r="C7356" s="148" t="str">
        <f aca="false">VLOOKUP($A7356,INSUMOS_AUX!$A$3:$H$813,3,0)</f>
        <v>MAT.</v>
      </c>
      <c r="D7356" s="156" t="s">
        <v>1444</v>
      </c>
      <c r="E7356" s="154" t="n">
        <v>12.609</v>
      </c>
      <c r="F7356" s="149" t="n">
        <f aca="false">IF(C7356="MAT.",VLOOKUP(A7356,INSUMOS_AUX!$A$3:$H$813,6,0),0)</f>
        <v>0.08</v>
      </c>
      <c r="G7356" s="149" t="n">
        <f aca="false">IF(C7356="M.O.",VLOOKUP(A7356,INSUMOS_AUX!A:F,6,0),0)</f>
        <v>0</v>
      </c>
    </row>
    <row r="7357" customFormat="false" ht="21" hidden="false" customHeight="false" outlineLevel="0" collapsed="false">
      <c r="A7357" s="154" t="n">
        <v>37371</v>
      </c>
      <c r="B7357" s="155" t="s">
        <v>1449</v>
      </c>
      <c r="C7357" s="148" t="str">
        <f aca="false">VLOOKUP($A7357,INSUMOS_AUX!$A$3:$H$813,3,0)</f>
        <v>MAT.</v>
      </c>
      <c r="D7357" s="156" t="s">
        <v>1444</v>
      </c>
      <c r="E7357" s="154" t="n">
        <v>12.609</v>
      </c>
      <c r="F7357" s="149" t="n">
        <f aca="false">IF(C7357="MAT.",VLOOKUP(A7357,INSUMOS_AUX!$A$3:$H$813,6,0),0)</f>
        <v>0.59</v>
      </c>
      <c r="G7357" s="149" t="n">
        <f aca="false">IF(C7357="M.O.",VLOOKUP(A7357,INSUMOS_AUX!A:F,6,0),0)</f>
        <v>0</v>
      </c>
    </row>
    <row r="7358" customFormat="false" ht="21" hidden="false" customHeight="false" outlineLevel="0" collapsed="false">
      <c r="A7358" s="154" t="s">
        <v>2793</v>
      </c>
      <c r="B7358" s="155" t="s">
        <v>2794</v>
      </c>
      <c r="C7358" s="148" t="str">
        <f aca="false">VLOOKUP($A7358,INSUMOS_AUX!$A$3:$H$813,3,0)</f>
        <v>MAT.</v>
      </c>
      <c r="D7358" s="156" t="s">
        <v>1538</v>
      </c>
      <c r="E7358" s="154" t="n">
        <v>1</v>
      </c>
      <c r="F7358" s="149" t="n">
        <f aca="false">IF(C7358="MAT.",VLOOKUP(A7358,INSUMOS_AUX!$A$3:$H$813,6,0),0)</f>
        <v>16119</v>
      </c>
      <c r="G7358" s="149" t="n">
        <f aca="false">IF(C7358="M.O.",VLOOKUP(A7358,INSUMOS_AUX!A:F,6,0),0)</f>
        <v>0</v>
      </c>
    </row>
    <row r="7359" customFormat="false" ht="21" hidden="false" customHeight="false" outlineLevel="0" collapsed="false">
      <c r="A7359" s="154" t="n">
        <v>13348</v>
      </c>
      <c r="B7359" s="155" t="s">
        <v>2774</v>
      </c>
      <c r="C7359" s="148" t="str">
        <f aca="false">VLOOKUP($A7359,INSUMOS_AUX!$A$3:$H$813,3,0)</f>
        <v>MAT.</v>
      </c>
      <c r="D7359" s="156" t="s">
        <v>31</v>
      </c>
      <c r="E7359" s="154" t="n">
        <v>4</v>
      </c>
      <c r="F7359" s="149" t="n">
        <f aca="false">IF(C7359="MAT.",VLOOKUP(A7359,INSUMOS_AUX!$A$3:$H$813,6,0),0)</f>
        <v>1.63</v>
      </c>
      <c r="G7359" s="149" t="n">
        <f aca="false">IF(C7359="M.O.",VLOOKUP(A7359,INSUMOS_AUX!A:F,6,0),0)</f>
        <v>0</v>
      </c>
    </row>
    <row r="7360" customFormat="false" ht="31.5" hidden="false" customHeight="false" outlineLevel="0" collapsed="false">
      <c r="A7360" s="154" t="n">
        <v>7568</v>
      </c>
      <c r="B7360" s="155" t="s">
        <v>1815</v>
      </c>
      <c r="C7360" s="148" t="str">
        <f aca="false">VLOOKUP($A7360,INSUMOS_AUX!$A$3:$H$813,3,0)</f>
        <v>MAT.</v>
      </c>
      <c r="D7360" s="156" t="s">
        <v>31</v>
      </c>
      <c r="E7360" s="154" t="n">
        <v>9</v>
      </c>
      <c r="F7360" s="149" t="n">
        <f aca="false">IF(C7360="MAT.",VLOOKUP(A7360,INSUMOS_AUX!$A$3:$H$813,6,0),0)</f>
        <v>0.79</v>
      </c>
      <c r="G7360" s="149" t="n">
        <f aca="false">IF(C7360="M.O.",VLOOKUP(A7360,INSUMOS_AUX!A:F,6,0),0)</f>
        <v>0</v>
      </c>
    </row>
    <row r="7361" customFormat="false" ht="21" hidden="false" customHeight="false" outlineLevel="0" collapsed="false">
      <c r="A7361" s="154" t="n">
        <v>11976</v>
      </c>
      <c r="B7361" s="155" t="s">
        <v>2432</v>
      </c>
      <c r="C7361" s="148" t="str">
        <f aca="false">VLOOKUP($A7361,INSUMOS_AUX!$A$3:$H$813,3,0)</f>
        <v>MAT.</v>
      </c>
      <c r="D7361" s="156" t="s">
        <v>31</v>
      </c>
      <c r="E7361" s="154" t="n">
        <v>16</v>
      </c>
      <c r="F7361" s="149" t="n">
        <f aca="false">IF(C7361="MAT.",VLOOKUP(A7361,INSUMOS_AUX!$A$3:$H$813,6,0),0)</f>
        <v>1.33</v>
      </c>
      <c r="G7361" s="149" t="n">
        <f aca="false">IF(C7361="M.O.",VLOOKUP(A7361,INSUMOS_AUX!A:F,6,0),0)</f>
        <v>0</v>
      </c>
    </row>
    <row r="7362" customFormat="false" ht="31.5" hidden="false" customHeight="false" outlineLevel="0" collapsed="false">
      <c r="A7362" s="154" t="n">
        <v>13246</v>
      </c>
      <c r="B7362" s="155" t="s">
        <v>1811</v>
      </c>
      <c r="C7362" s="148" t="s">
        <v>59</v>
      </c>
      <c r="D7362" s="156" t="s">
        <v>31</v>
      </c>
      <c r="E7362" s="154" t="n">
        <v>4</v>
      </c>
      <c r="F7362" s="149" t="n">
        <f aca="false">IF(C7362="MAT.",VLOOKUP(A7362,INSUMOS_AUX!$A$3:$H$813,6,0),0)</f>
        <v>0</v>
      </c>
      <c r="G7362" s="149" t="n">
        <f aca="false">IF(C7362="M.O.",VLOOKUP(A7362,INSUMOS_AUX!A:F,6,0),0)</f>
        <v>0</v>
      </c>
    </row>
    <row r="7363" customFormat="false" ht="15" hidden="false" customHeight="false" outlineLevel="0" collapsed="false">
      <c r="A7363" s="154" t="n">
        <v>39997</v>
      </c>
      <c r="B7363" s="155" t="s">
        <v>2438</v>
      </c>
      <c r="C7363" s="148" t="str">
        <f aca="false">VLOOKUP($A7363,INSUMOS_AUX!$A$3:$H$813,3,0)</f>
        <v>MAT.</v>
      </c>
      <c r="D7363" s="156" t="s">
        <v>31</v>
      </c>
      <c r="E7363" s="154" t="n">
        <v>8</v>
      </c>
      <c r="F7363" s="149" t="n">
        <f aca="false">IF(C7363="MAT.",VLOOKUP(A7363,INSUMOS_AUX!$A$3:$H$813,6,0),0)</f>
        <v>0.33</v>
      </c>
      <c r="G7363" s="149" t="n">
        <f aca="false">IF(C7363="M.O.",VLOOKUP(A7363,INSUMOS_AUX!A:F,6,0),0)</f>
        <v>0</v>
      </c>
    </row>
    <row r="7364" customFormat="false" ht="21" hidden="false" customHeight="false" outlineLevel="0" collapsed="false">
      <c r="A7364" s="154" t="n">
        <v>37591</v>
      </c>
      <c r="B7364" s="155" t="s">
        <v>2071</v>
      </c>
      <c r="C7364" s="148" t="str">
        <f aca="false">VLOOKUP($A7364,INSUMOS_AUX!$A$3:$H$813,3,0)</f>
        <v>MAT.</v>
      </c>
      <c r="D7364" s="156" t="s">
        <v>31</v>
      </c>
      <c r="E7364" s="154" t="n">
        <v>2</v>
      </c>
      <c r="F7364" s="149" t="n">
        <f aca="false">IF(C7364="MAT.",VLOOKUP(A7364,INSUMOS_AUX!$A$3:$H$813,6,0),0)</f>
        <v>20.27</v>
      </c>
      <c r="G7364" s="149" t="n">
        <f aca="false">IF(C7364="M.O.",VLOOKUP(A7364,INSUMOS_AUX!A:F,6,0),0)</f>
        <v>0</v>
      </c>
    </row>
    <row r="7365" customFormat="false" ht="21" hidden="false" customHeight="false" outlineLevel="0" collapsed="false">
      <c r="A7365" s="154" t="n">
        <v>1570</v>
      </c>
      <c r="B7365" s="155" t="s">
        <v>2474</v>
      </c>
      <c r="C7365" s="148" t="str">
        <f aca="false">VLOOKUP($A7365,INSUMOS_AUX!$A$3:$H$813,3,0)</f>
        <v>MAT.</v>
      </c>
      <c r="D7365" s="156" t="s">
        <v>31</v>
      </c>
      <c r="E7365" s="154" t="n">
        <v>20</v>
      </c>
      <c r="F7365" s="149" t="n">
        <f aca="false">IF(C7365="MAT.",VLOOKUP(A7365,INSUMOS_AUX!$A$3:$H$813,6,0),0)</f>
        <v>1.05</v>
      </c>
      <c r="G7365" s="149" t="n">
        <f aca="false">IF(C7365="M.O.",VLOOKUP(A7365,INSUMOS_AUX!A:F,6,0),0)</f>
        <v>0</v>
      </c>
    </row>
    <row r="7366" customFormat="false" ht="15" hidden="false" customHeight="false" outlineLevel="0" collapsed="false">
      <c r="A7366" s="154" t="n">
        <v>39996</v>
      </c>
      <c r="B7366" s="155" t="s">
        <v>2441</v>
      </c>
      <c r="C7366" s="148" t="str">
        <f aca="false">VLOOKUP($A7366,INSUMOS_AUX!$A$3:$H$813,3,0)</f>
        <v>MAT.</v>
      </c>
      <c r="D7366" s="156" t="s">
        <v>1455</v>
      </c>
      <c r="E7366" s="154" t="n">
        <v>1.28</v>
      </c>
      <c r="F7366" s="149" t="n">
        <f aca="false">IF(C7366="MAT.",VLOOKUP(A7366,INSUMOS_AUX!$A$3:$H$813,6,0),0)</f>
        <v>3.05</v>
      </c>
      <c r="G7366" s="149" t="n">
        <f aca="false">IF(C7366="M.O.",VLOOKUP(A7366,INSUMOS_AUX!A:F,6,0),0)</f>
        <v>0</v>
      </c>
    </row>
    <row r="7367" customFormat="false" ht="15" hidden="false" customHeight="false" outlineLevel="0" collapsed="false">
      <c r="A7367" s="154" t="n">
        <v>242</v>
      </c>
      <c r="B7367" s="155" t="s">
        <v>1660</v>
      </c>
      <c r="C7367" s="148" t="str">
        <f aca="false">VLOOKUP($A7367,INSUMOS_AUX!$A$3:$H$813,3,0)</f>
        <v>M.O.</v>
      </c>
      <c r="D7367" s="156" t="s">
        <v>1444</v>
      </c>
      <c r="E7367" s="154" t="n">
        <v>6.37725393</v>
      </c>
      <c r="F7367" s="149" t="n">
        <f aca="false">IF(C7367="MAT.",VLOOKUP(A7367,INSUMOS_AUX!$A$3:$H$813,6,0),0)</f>
        <v>0</v>
      </c>
      <c r="G7367" s="149" t="n">
        <f aca="false">IF(C7367="M.O.",VLOOKUP(A7367,INSUMOS_AUX!A:F,6,0),0)</f>
        <v>13.61</v>
      </c>
    </row>
    <row r="7368" customFormat="false" ht="15" hidden="false" customHeight="false" outlineLevel="0" collapsed="false">
      <c r="A7368" s="154" t="n">
        <v>34794</v>
      </c>
      <c r="B7368" s="155" t="s">
        <v>2764</v>
      </c>
      <c r="C7368" s="148" t="str">
        <f aca="false">VLOOKUP($A7368,INSUMOS_AUX!$A$3:$H$813,3,0)</f>
        <v>M.O.</v>
      </c>
      <c r="D7368" s="156" t="s">
        <v>1444</v>
      </c>
      <c r="E7368" s="154" t="n">
        <v>6.478819425</v>
      </c>
      <c r="F7368" s="149" t="n">
        <f aca="false">IF(C7368="MAT.",VLOOKUP(A7368,INSUMOS_AUX!$A$3:$H$813,6,0),0)</f>
        <v>0</v>
      </c>
      <c r="G7368" s="149" t="n">
        <f aca="false">IF(C7368="M.O.",VLOOKUP(A7368,INSUMOS_AUX!A:F,6,0),0)</f>
        <v>20.17</v>
      </c>
    </row>
    <row r="7369" customFormat="false" ht="31.5" hidden="false" customHeight="false" outlineLevel="0" collapsed="false">
      <c r="A7369" s="150" t="s">
        <v>1250</v>
      </c>
      <c r="B7369" s="151" t="s">
        <v>2795</v>
      </c>
      <c r="C7369" s="152" t="s">
        <v>59</v>
      </c>
      <c r="D7369" s="152" t="s">
        <v>31</v>
      </c>
      <c r="E7369" s="150"/>
      <c r="F7369" s="153" t="n">
        <f aca="false">(SUMPRODUCT($E7370:$E7387,F7370:F7387))*1</f>
        <v>20467.0969873333</v>
      </c>
      <c r="G7369" s="153" t="n">
        <f aca="false">(SUMPRODUCT($E7370:$E7387,G7370:G7387))*1</f>
        <v>273.96428207778</v>
      </c>
    </row>
    <row r="7370" customFormat="false" ht="21" hidden="false" customHeight="false" outlineLevel="0" collapsed="false">
      <c r="A7370" s="154" t="n">
        <v>37370</v>
      </c>
      <c r="B7370" s="155" t="s">
        <v>1443</v>
      </c>
      <c r="C7370" s="148" t="str">
        <f aca="false">VLOOKUP($A7370,INSUMOS_AUX!$A$3:$H$813,3,0)</f>
        <v>MAT.</v>
      </c>
      <c r="D7370" s="156" t="s">
        <v>1444</v>
      </c>
      <c r="E7370" s="154" t="n">
        <v>15.8844</v>
      </c>
      <c r="F7370" s="149" t="n">
        <f aca="false">IF(C7370="MAT.",VLOOKUP(A7370,INSUMOS_AUX!$A$3:$H$813,6,0),0)</f>
        <v>3.32</v>
      </c>
      <c r="G7370" s="149" t="n">
        <f aca="false">IF(C7370="M.O.",VLOOKUP(A7370,INSUMOS_AUX!A:F,6,0),0)</f>
        <v>0</v>
      </c>
    </row>
    <row r="7371" customFormat="false" ht="21" hidden="false" customHeight="false" outlineLevel="0" collapsed="false">
      <c r="A7371" s="154" t="n">
        <v>43484</v>
      </c>
      <c r="B7371" s="155" t="s">
        <v>1523</v>
      </c>
      <c r="C7371" s="148" t="str">
        <f aca="false">VLOOKUP($A7371,INSUMOS_AUX!$A$3:$H$813,3,0)</f>
        <v>MAT.</v>
      </c>
      <c r="D7371" s="156" t="s">
        <v>1444</v>
      </c>
      <c r="E7371" s="154" t="n">
        <v>7.9422</v>
      </c>
      <c r="F7371" s="149" t="n">
        <f aca="false">IF(C7371="MAT.",VLOOKUP(A7371,INSUMOS_AUX!$A$3:$H$813,6,0),0)</f>
        <v>1.26</v>
      </c>
      <c r="G7371" s="149" t="n">
        <f aca="false">IF(C7371="M.O.",VLOOKUP(A7371,INSUMOS_AUX!A:F,6,0),0)</f>
        <v>0</v>
      </c>
    </row>
    <row r="7372" customFormat="false" ht="21" hidden="false" customHeight="false" outlineLevel="0" collapsed="false">
      <c r="A7372" s="154" t="n">
        <v>43491</v>
      </c>
      <c r="B7372" s="155" t="s">
        <v>1457</v>
      </c>
      <c r="C7372" s="148" t="s">
        <v>59</v>
      </c>
      <c r="D7372" s="156" t="s">
        <v>1444</v>
      </c>
      <c r="E7372" s="154" t="n">
        <v>7.9422</v>
      </c>
      <c r="F7372" s="149" t="n">
        <f aca="false">IF(C7372="MAT.",VLOOKUP(A7372,INSUMOS_AUX!$A$3:$H$813,6,0),0)</f>
        <v>0</v>
      </c>
      <c r="G7372" s="149" t="n">
        <f aca="false">IF(C7372="M.O.",VLOOKUP(A7372,INSUMOS_AUX!A:F,6,0),0)</f>
        <v>0</v>
      </c>
    </row>
    <row r="7373" customFormat="false" ht="21" hidden="false" customHeight="false" outlineLevel="0" collapsed="false">
      <c r="A7373" s="154" t="n">
        <v>37372</v>
      </c>
      <c r="B7373" s="155" t="s">
        <v>1446</v>
      </c>
      <c r="C7373" s="148" t="str">
        <f aca="false">VLOOKUP($A7373,INSUMOS_AUX!$A$3:$H$813,3,0)</f>
        <v>MAT.</v>
      </c>
      <c r="D7373" s="156" t="s">
        <v>1444</v>
      </c>
      <c r="E7373" s="154" t="n">
        <v>15.8844</v>
      </c>
      <c r="F7373" s="149" t="n">
        <f aca="false">IF(C7373="MAT.",VLOOKUP(A7373,INSUMOS_AUX!$A$3:$H$813,6,0),0)</f>
        <v>1.43</v>
      </c>
      <c r="G7373" s="149" t="n">
        <f aca="false">IF(C7373="M.O.",VLOOKUP(A7373,INSUMOS_AUX!A:F,6,0),0)</f>
        <v>0</v>
      </c>
    </row>
    <row r="7374" customFormat="false" ht="21" hidden="false" customHeight="false" outlineLevel="0" collapsed="false">
      <c r="A7374" s="154" t="n">
        <v>43460</v>
      </c>
      <c r="B7374" s="155" t="s">
        <v>1524</v>
      </c>
      <c r="C7374" s="148" t="str">
        <f aca="false">VLOOKUP($A7374,INSUMOS_AUX!$A$3:$H$813,3,0)</f>
        <v>MAT.</v>
      </c>
      <c r="D7374" s="156" t="s">
        <v>1444</v>
      </c>
      <c r="E7374" s="154" t="n">
        <v>7.9422</v>
      </c>
      <c r="F7374" s="149" t="n">
        <f aca="false">IF(C7374="MAT.",VLOOKUP(A7374,INSUMOS_AUX!$A$3:$H$813,6,0),0)</f>
        <v>0.86</v>
      </c>
      <c r="G7374" s="149" t="n">
        <f aca="false">IF(C7374="M.O.",VLOOKUP(A7374,INSUMOS_AUX!A:F,6,0),0)</f>
        <v>0</v>
      </c>
    </row>
    <row r="7375" customFormat="false" ht="21" hidden="false" customHeight="false" outlineLevel="0" collapsed="false">
      <c r="A7375" s="154" t="n">
        <v>43467</v>
      </c>
      <c r="B7375" s="155" t="s">
        <v>1459</v>
      </c>
      <c r="C7375" s="148" t="str">
        <f aca="false">VLOOKUP($A7375,INSUMOS_AUX!$A$3:$H$813,3,0)</f>
        <v>MAT.</v>
      </c>
      <c r="D7375" s="156" t="s">
        <v>1444</v>
      </c>
      <c r="E7375" s="154" t="n">
        <v>7.9422</v>
      </c>
      <c r="F7375" s="149" t="n">
        <f aca="false">IF(C7375="MAT.",VLOOKUP(A7375,INSUMOS_AUX!$A$3:$H$813,6,0),0)</f>
        <v>0.61</v>
      </c>
      <c r="G7375" s="149" t="n">
        <f aca="false">IF(C7375="M.O.",VLOOKUP(A7375,INSUMOS_AUX!A:F,6,0),0)</f>
        <v>0</v>
      </c>
    </row>
    <row r="7376" customFormat="false" ht="21" hidden="false" customHeight="false" outlineLevel="0" collapsed="false">
      <c r="A7376" s="154" t="n">
        <v>37373</v>
      </c>
      <c r="B7376" s="155" t="s">
        <v>1448</v>
      </c>
      <c r="C7376" s="148" t="str">
        <f aca="false">VLOOKUP($A7376,INSUMOS_AUX!$A$3:$H$813,3,0)</f>
        <v>MAT.</v>
      </c>
      <c r="D7376" s="156" t="s">
        <v>1444</v>
      </c>
      <c r="E7376" s="154" t="n">
        <v>15.8844</v>
      </c>
      <c r="F7376" s="149" t="n">
        <f aca="false">IF(C7376="MAT.",VLOOKUP(A7376,INSUMOS_AUX!$A$3:$H$813,6,0),0)</f>
        <v>0.08</v>
      </c>
      <c r="G7376" s="149" t="n">
        <f aca="false">IF(C7376="M.O.",VLOOKUP(A7376,INSUMOS_AUX!A:F,6,0),0)</f>
        <v>0</v>
      </c>
    </row>
    <row r="7377" customFormat="false" ht="21" hidden="false" customHeight="false" outlineLevel="0" collapsed="false">
      <c r="A7377" s="154" t="n">
        <v>37371</v>
      </c>
      <c r="B7377" s="155" t="s">
        <v>1449</v>
      </c>
      <c r="C7377" s="148" t="str">
        <f aca="false">VLOOKUP($A7377,INSUMOS_AUX!$A$3:$H$813,3,0)</f>
        <v>MAT.</v>
      </c>
      <c r="D7377" s="156" t="s">
        <v>1444</v>
      </c>
      <c r="E7377" s="154" t="n">
        <v>15.8844</v>
      </c>
      <c r="F7377" s="149" t="n">
        <f aca="false">IF(C7377="MAT.",VLOOKUP(A7377,INSUMOS_AUX!$A$3:$H$813,6,0),0)</f>
        <v>0.59</v>
      </c>
      <c r="G7377" s="149" t="n">
        <f aca="false">IF(C7377="M.O.",VLOOKUP(A7377,INSUMOS_AUX!A:F,6,0),0)</f>
        <v>0</v>
      </c>
    </row>
    <row r="7378" customFormat="false" ht="31.5" hidden="false" customHeight="false" outlineLevel="0" collapsed="false">
      <c r="A7378" s="154" t="s">
        <v>2796</v>
      </c>
      <c r="B7378" s="155" t="s">
        <v>2797</v>
      </c>
      <c r="C7378" s="148" t="str">
        <f aca="false">VLOOKUP($A7378,INSUMOS_AUX!$A$3:$H$813,3,0)</f>
        <v>MAT.</v>
      </c>
      <c r="D7378" s="156" t="s">
        <v>1538</v>
      </c>
      <c r="E7378" s="154" t="n">
        <v>1</v>
      </c>
      <c r="F7378" s="149" t="n">
        <f aca="false">IF(C7378="MAT.",VLOOKUP(A7378,INSUMOS_AUX!$A$3:$H$813,6,0),0)</f>
        <v>20248.3333333333</v>
      </c>
      <c r="G7378" s="149" t="n">
        <f aca="false">IF(C7378="M.O.",VLOOKUP(A7378,INSUMOS_AUX!A:F,6,0),0)</f>
        <v>0</v>
      </c>
    </row>
    <row r="7379" customFormat="false" ht="21" hidden="false" customHeight="false" outlineLevel="0" collapsed="false">
      <c r="A7379" s="154" t="n">
        <v>13348</v>
      </c>
      <c r="B7379" s="155" t="s">
        <v>2774</v>
      </c>
      <c r="C7379" s="148" t="str">
        <f aca="false">VLOOKUP($A7379,INSUMOS_AUX!$A$3:$H$813,3,0)</f>
        <v>MAT.</v>
      </c>
      <c r="D7379" s="156" t="s">
        <v>31</v>
      </c>
      <c r="E7379" s="154" t="n">
        <v>8</v>
      </c>
      <c r="F7379" s="149" t="n">
        <f aca="false">IF(C7379="MAT.",VLOOKUP(A7379,INSUMOS_AUX!$A$3:$H$813,6,0),0)</f>
        <v>1.63</v>
      </c>
      <c r="G7379" s="149" t="n">
        <f aca="false">IF(C7379="M.O.",VLOOKUP(A7379,INSUMOS_AUX!A:F,6,0),0)</f>
        <v>0</v>
      </c>
    </row>
    <row r="7380" customFormat="false" ht="21" hidden="false" customHeight="false" outlineLevel="0" collapsed="false">
      <c r="A7380" s="154" t="n">
        <v>11976</v>
      </c>
      <c r="B7380" s="155" t="s">
        <v>2432</v>
      </c>
      <c r="C7380" s="148" t="str">
        <f aca="false">VLOOKUP($A7380,INSUMOS_AUX!$A$3:$H$813,3,0)</f>
        <v>MAT.</v>
      </c>
      <c r="D7380" s="156" t="s">
        <v>31</v>
      </c>
      <c r="E7380" s="154" t="n">
        <v>20</v>
      </c>
      <c r="F7380" s="149" t="n">
        <f aca="false">IF(C7380="MAT.",VLOOKUP(A7380,INSUMOS_AUX!$A$3:$H$813,6,0),0)</f>
        <v>1.33</v>
      </c>
      <c r="G7380" s="149" t="n">
        <f aca="false">IF(C7380="M.O.",VLOOKUP(A7380,INSUMOS_AUX!A:F,6,0),0)</f>
        <v>0</v>
      </c>
    </row>
    <row r="7381" customFormat="false" ht="31.5" hidden="false" customHeight="false" outlineLevel="0" collapsed="false">
      <c r="A7381" s="154" t="n">
        <v>13246</v>
      </c>
      <c r="B7381" s="155" t="s">
        <v>1811</v>
      </c>
      <c r="C7381" s="148" t="str">
        <f aca="false">VLOOKUP($A7381,INSUMOS_AUX!$A$3:$H$813,3,0)</f>
        <v>MAT.</v>
      </c>
      <c r="D7381" s="156" t="s">
        <v>31</v>
      </c>
      <c r="E7381" s="154" t="n">
        <v>4</v>
      </c>
      <c r="F7381" s="149" t="n">
        <f aca="false">IF(C7381="MAT.",VLOOKUP(A7381,INSUMOS_AUX!$A$3:$H$813,6,0),0)</f>
        <v>0.5</v>
      </c>
      <c r="G7381" s="149" t="n">
        <f aca="false">IF(C7381="M.O.",VLOOKUP(A7381,INSUMOS_AUX!A:F,6,0),0)</f>
        <v>0</v>
      </c>
    </row>
    <row r="7382" customFormat="false" ht="15" hidden="false" customHeight="false" outlineLevel="0" collapsed="false">
      <c r="A7382" s="154" t="n">
        <v>39997</v>
      </c>
      <c r="B7382" s="155" t="s">
        <v>2438</v>
      </c>
      <c r="C7382" s="148" t="s">
        <v>59</v>
      </c>
      <c r="D7382" s="156" t="s">
        <v>31</v>
      </c>
      <c r="E7382" s="154" t="n">
        <v>8</v>
      </c>
      <c r="F7382" s="149" t="n">
        <f aca="false">IF(C7382="MAT.",VLOOKUP(A7382,INSUMOS_AUX!$A$3:$H$813,6,0),0)</f>
        <v>0</v>
      </c>
      <c r="G7382" s="149" t="n">
        <f aca="false">IF(C7382="M.O.",VLOOKUP(A7382,INSUMOS_AUX!A:F,6,0),0)</f>
        <v>0</v>
      </c>
    </row>
    <row r="7383" customFormat="false" ht="21" hidden="false" customHeight="false" outlineLevel="0" collapsed="false">
      <c r="A7383" s="154" t="n">
        <v>37591</v>
      </c>
      <c r="B7383" s="155" t="s">
        <v>2071</v>
      </c>
      <c r="C7383" s="148" t="str">
        <f aca="false">VLOOKUP($A7383,INSUMOS_AUX!$A$3:$H$813,3,0)</f>
        <v>MAT.</v>
      </c>
      <c r="D7383" s="156" t="s">
        <v>31</v>
      </c>
      <c r="E7383" s="154" t="n">
        <v>2</v>
      </c>
      <c r="F7383" s="149" t="n">
        <f aca="false">IF(C7383="MAT.",VLOOKUP(A7383,INSUMOS_AUX!$A$3:$H$813,6,0),0)</f>
        <v>20.27</v>
      </c>
      <c r="G7383" s="149" t="n">
        <f aca="false">IF(C7383="M.O.",VLOOKUP(A7383,INSUMOS_AUX!A:F,6,0),0)</f>
        <v>0</v>
      </c>
    </row>
    <row r="7384" customFormat="false" ht="21" hidden="false" customHeight="false" outlineLevel="0" collapsed="false">
      <c r="A7384" s="154" t="n">
        <v>1570</v>
      </c>
      <c r="B7384" s="155" t="s">
        <v>2474</v>
      </c>
      <c r="C7384" s="148" t="str">
        <f aca="false">VLOOKUP($A7384,INSUMOS_AUX!$A$3:$H$813,3,0)</f>
        <v>MAT.</v>
      </c>
      <c r="D7384" s="156" t="s">
        <v>31</v>
      </c>
      <c r="E7384" s="154" t="n">
        <v>20</v>
      </c>
      <c r="F7384" s="149" t="n">
        <f aca="false">IF(C7384="MAT.",VLOOKUP(A7384,INSUMOS_AUX!$A$3:$H$813,6,0),0)</f>
        <v>1.05</v>
      </c>
      <c r="G7384" s="149" t="n">
        <f aca="false">IF(C7384="M.O.",VLOOKUP(A7384,INSUMOS_AUX!A:F,6,0),0)</f>
        <v>0</v>
      </c>
    </row>
    <row r="7385" customFormat="false" ht="15" hidden="false" customHeight="false" outlineLevel="0" collapsed="false">
      <c r="A7385" s="154" t="n">
        <v>39996</v>
      </c>
      <c r="B7385" s="155" t="s">
        <v>2441</v>
      </c>
      <c r="C7385" s="148" t="str">
        <f aca="false">VLOOKUP($A7385,INSUMOS_AUX!$A$3:$H$813,3,0)</f>
        <v>MAT.</v>
      </c>
      <c r="D7385" s="156" t="s">
        <v>1455</v>
      </c>
      <c r="E7385" s="154" t="n">
        <v>2.56</v>
      </c>
      <c r="F7385" s="149" t="n">
        <f aca="false">IF(C7385="MAT.",VLOOKUP(A7385,INSUMOS_AUX!$A$3:$H$813,6,0),0)</f>
        <v>3.05</v>
      </c>
      <c r="G7385" s="149" t="n">
        <f aca="false">IF(C7385="M.O.",VLOOKUP(A7385,INSUMOS_AUX!A:F,6,0),0)</f>
        <v>0</v>
      </c>
    </row>
    <row r="7386" customFormat="false" ht="15" hidden="false" customHeight="false" outlineLevel="0" collapsed="false">
      <c r="A7386" s="154" t="n">
        <v>242</v>
      </c>
      <c r="B7386" s="155" t="s">
        <v>1660</v>
      </c>
      <c r="C7386" s="148" t="str">
        <f aca="false">VLOOKUP($A7386,INSUMOS_AUX!$A$3:$H$813,3,0)</f>
        <v>M.O.</v>
      </c>
      <c r="D7386" s="156" t="s">
        <v>1444</v>
      </c>
      <c r="E7386" s="154" t="n">
        <v>8.033852988</v>
      </c>
      <c r="F7386" s="149" t="n">
        <f aca="false">IF(C7386="MAT.",VLOOKUP(A7386,INSUMOS_AUX!$A$3:$H$813,6,0),0)</f>
        <v>0</v>
      </c>
      <c r="G7386" s="149" t="n">
        <f aca="false">IF(C7386="M.O.",VLOOKUP(A7386,INSUMOS_AUX!A:F,6,0),0)</f>
        <v>13.61</v>
      </c>
    </row>
    <row r="7387" customFormat="false" ht="15" hidden="false" customHeight="false" outlineLevel="0" collapsed="false">
      <c r="A7387" s="154" t="n">
        <v>34794</v>
      </c>
      <c r="B7387" s="155" t="s">
        <v>2764</v>
      </c>
      <c r="C7387" s="148" t="str">
        <f aca="false">VLOOKUP($A7387,INSUMOS_AUX!$A$3:$H$813,3,0)</f>
        <v>M.O.</v>
      </c>
      <c r="D7387" s="156" t="s">
        <v>1444</v>
      </c>
      <c r="E7387" s="154" t="n">
        <v>8.16180183</v>
      </c>
      <c r="F7387" s="149" t="n">
        <f aca="false">IF(C7387="MAT.",VLOOKUP(A7387,INSUMOS_AUX!$A$3:$H$813,6,0),0)</f>
        <v>0</v>
      </c>
      <c r="G7387" s="149" t="n">
        <f aca="false">IF(C7387="M.O.",VLOOKUP(A7387,INSUMOS_AUX!A:F,6,0),0)</f>
        <v>20.17</v>
      </c>
    </row>
    <row r="7388" customFormat="false" ht="31.5" hidden="false" customHeight="false" outlineLevel="0" collapsed="false">
      <c r="A7388" s="150" t="s">
        <v>1252</v>
      </c>
      <c r="B7388" s="151" t="s">
        <v>2798</v>
      </c>
      <c r="C7388" s="152" t="s">
        <v>59</v>
      </c>
      <c r="D7388" s="152" t="s">
        <v>31</v>
      </c>
      <c r="E7388" s="150"/>
      <c r="F7388" s="153" t="n">
        <f aca="false">(SUMPRODUCT($E7389:$E7406,F7389:F7406))*1</f>
        <v>25654.61302</v>
      </c>
      <c r="G7388" s="153" t="n">
        <f aca="false">(SUMPRODUCT($E7389:$E7406,G7389:G7406))*1</f>
        <v>164.6235429111</v>
      </c>
    </row>
    <row r="7389" customFormat="false" ht="21" hidden="false" customHeight="false" outlineLevel="0" collapsed="false">
      <c r="A7389" s="154" t="n">
        <v>37370</v>
      </c>
      <c r="B7389" s="155" t="s">
        <v>1443</v>
      </c>
      <c r="C7389" s="148" t="str">
        <f aca="false">VLOOKUP($A7389,INSUMOS_AUX!$A$3:$H$813,3,0)</f>
        <v>MAT.</v>
      </c>
      <c r="D7389" s="156" t="s">
        <v>1444</v>
      </c>
      <c r="E7389" s="154" t="n">
        <v>15.8844</v>
      </c>
      <c r="F7389" s="149" t="n">
        <f aca="false">IF(C7389="MAT.",VLOOKUP(A7389,INSUMOS_AUX!$A$3:$H$813,6,0),0)</f>
        <v>3.32</v>
      </c>
      <c r="G7389" s="149" t="n">
        <f aca="false">IF(C7389="M.O.",VLOOKUP(A7389,INSUMOS_AUX!A:F,6,0),0)</f>
        <v>0</v>
      </c>
    </row>
    <row r="7390" customFormat="false" ht="21" hidden="false" customHeight="false" outlineLevel="0" collapsed="false">
      <c r="A7390" s="154" t="n">
        <v>43484</v>
      </c>
      <c r="B7390" s="155" t="s">
        <v>1523</v>
      </c>
      <c r="C7390" s="148" t="str">
        <f aca="false">VLOOKUP($A7390,INSUMOS_AUX!$A$3:$H$813,3,0)</f>
        <v>MAT.</v>
      </c>
      <c r="D7390" s="156" t="s">
        <v>1444</v>
      </c>
      <c r="E7390" s="154" t="n">
        <v>7.9422</v>
      </c>
      <c r="F7390" s="149" t="n">
        <f aca="false">IF(C7390="MAT.",VLOOKUP(A7390,INSUMOS_AUX!$A$3:$H$813,6,0),0)</f>
        <v>1.26</v>
      </c>
      <c r="G7390" s="149" t="n">
        <f aca="false">IF(C7390="M.O.",VLOOKUP(A7390,INSUMOS_AUX!A:F,6,0),0)</f>
        <v>0</v>
      </c>
    </row>
    <row r="7391" customFormat="false" ht="21" hidden="false" customHeight="false" outlineLevel="0" collapsed="false">
      <c r="A7391" s="154" t="n">
        <v>43491</v>
      </c>
      <c r="B7391" s="155" t="s">
        <v>1457</v>
      </c>
      <c r="C7391" s="148" t="str">
        <f aca="false">VLOOKUP($A7391,INSUMOS_AUX!$A$3:$H$813,3,0)</f>
        <v>MAT.</v>
      </c>
      <c r="D7391" s="156" t="s">
        <v>1444</v>
      </c>
      <c r="E7391" s="154" t="n">
        <v>7.9422</v>
      </c>
      <c r="F7391" s="149" t="n">
        <f aca="false">IF(C7391="MAT.",VLOOKUP(A7391,INSUMOS_AUX!$A$3:$H$813,6,0),0)</f>
        <v>1.39</v>
      </c>
      <c r="G7391" s="149" t="n">
        <f aca="false">IF(C7391="M.O.",VLOOKUP(A7391,INSUMOS_AUX!A:F,6,0),0)</f>
        <v>0</v>
      </c>
    </row>
    <row r="7392" customFormat="false" ht="21" hidden="false" customHeight="false" outlineLevel="0" collapsed="false">
      <c r="A7392" s="154" t="n">
        <v>37372</v>
      </c>
      <c r="B7392" s="155" t="s">
        <v>1446</v>
      </c>
      <c r="C7392" s="148" t="str">
        <f aca="false">VLOOKUP($A7392,INSUMOS_AUX!$A$3:$H$813,3,0)</f>
        <v>MAT.</v>
      </c>
      <c r="D7392" s="156" t="s">
        <v>1444</v>
      </c>
      <c r="E7392" s="154" t="n">
        <v>15.8844</v>
      </c>
      <c r="F7392" s="149" t="n">
        <f aca="false">IF(C7392="MAT.",VLOOKUP(A7392,INSUMOS_AUX!$A$3:$H$813,6,0),0)</f>
        <v>1.43</v>
      </c>
      <c r="G7392" s="149" t="n">
        <f aca="false">IF(C7392="M.O.",VLOOKUP(A7392,INSUMOS_AUX!A:F,6,0),0)</f>
        <v>0</v>
      </c>
    </row>
    <row r="7393" customFormat="false" ht="21" hidden="false" customHeight="false" outlineLevel="0" collapsed="false">
      <c r="A7393" s="154" t="n">
        <v>43460</v>
      </c>
      <c r="B7393" s="155" t="s">
        <v>1524</v>
      </c>
      <c r="C7393" s="148" t="s">
        <v>59</v>
      </c>
      <c r="D7393" s="156" t="s">
        <v>1444</v>
      </c>
      <c r="E7393" s="154" t="n">
        <v>7.9422</v>
      </c>
      <c r="F7393" s="149" t="n">
        <f aca="false">IF(C7393="MAT.",VLOOKUP(A7393,INSUMOS_AUX!$A$3:$H$813,6,0),0)</f>
        <v>0</v>
      </c>
      <c r="G7393" s="149" t="n">
        <f aca="false">IF(C7393="M.O.",VLOOKUP(A7393,INSUMOS_AUX!A:F,6,0),0)</f>
        <v>0</v>
      </c>
    </row>
    <row r="7394" customFormat="false" ht="21" hidden="false" customHeight="false" outlineLevel="0" collapsed="false">
      <c r="A7394" s="154" t="n">
        <v>43467</v>
      </c>
      <c r="B7394" s="155" t="s">
        <v>1459</v>
      </c>
      <c r="C7394" s="148" t="str">
        <f aca="false">VLOOKUP($A7394,INSUMOS_AUX!$A$3:$H$813,3,0)</f>
        <v>MAT.</v>
      </c>
      <c r="D7394" s="156" t="s">
        <v>1444</v>
      </c>
      <c r="E7394" s="154" t="n">
        <v>7.9422</v>
      </c>
      <c r="F7394" s="149" t="n">
        <f aca="false">IF(C7394="MAT.",VLOOKUP(A7394,INSUMOS_AUX!$A$3:$H$813,6,0),0)</f>
        <v>0.61</v>
      </c>
      <c r="G7394" s="149" t="n">
        <f aca="false">IF(C7394="M.O.",VLOOKUP(A7394,INSUMOS_AUX!A:F,6,0),0)</f>
        <v>0</v>
      </c>
    </row>
    <row r="7395" customFormat="false" ht="21" hidden="false" customHeight="false" outlineLevel="0" collapsed="false">
      <c r="A7395" s="154" t="n">
        <v>37373</v>
      </c>
      <c r="B7395" s="155" t="s">
        <v>1448</v>
      </c>
      <c r="C7395" s="148" t="str">
        <f aca="false">VLOOKUP($A7395,INSUMOS_AUX!$A$3:$H$813,3,0)</f>
        <v>MAT.</v>
      </c>
      <c r="D7395" s="156" t="s">
        <v>1444</v>
      </c>
      <c r="E7395" s="154" t="n">
        <v>15.8844</v>
      </c>
      <c r="F7395" s="149" t="n">
        <f aca="false">IF(C7395="MAT.",VLOOKUP(A7395,INSUMOS_AUX!$A$3:$H$813,6,0),0)</f>
        <v>0.08</v>
      </c>
      <c r="G7395" s="149" t="n">
        <f aca="false">IF(C7395="M.O.",VLOOKUP(A7395,INSUMOS_AUX!A:F,6,0),0)</f>
        <v>0</v>
      </c>
    </row>
    <row r="7396" customFormat="false" ht="21" hidden="false" customHeight="false" outlineLevel="0" collapsed="false">
      <c r="A7396" s="154" t="n">
        <v>37371</v>
      </c>
      <c r="B7396" s="155" t="s">
        <v>1449</v>
      </c>
      <c r="C7396" s="148" t="str">
        <f aca="false">VLOOKUP($A7396,INSUMOS_AUX!$A$3:$H$813,3,0)</f>
        <v>MAT.</v>
      </c>
      <c r="D7396" s="156" t="s">
        <v>1444</v>
      </c>
      <c r="E7396" s="154" t="n">
        <v>15.8844</v>
      </c>
      <c r="F7396" s="149" t="n">
        <f aca="false">IF(C7396="MAT.",VLOOKUP(A7396,INSUMOS_AUX!$A$3:$H$813,6,0),0)</f>
        <v>0.59</v>
      </c>
      <c r="G7396" s="149" t="n">
        <f aca="false">IF(C7396="M.O.",VLOOKUP(A7396,INSUMOS_AUX!A:F,6,0),0)</f>
        <v>0</v>
      </c>
    </row>
    <row r="7397" customFormat="false" ht="31.5" hidden="false" customHeight="false" outlineLevel="0" collapsed="false">
      <c r="A7397" s="154" t="s">
        <v>2799</v>
      </c>
      <c r="B7397" s="155" t="s">
        <v>2800</v>
      </c>
      <c r="C7397" s="148" t="str">
        <f aca="false">VLOOKUP($A7397,INSUMOS_AUX!$A$3:$H$813,3,0)</f>
        <v>MAT.</v>
      </c>
      <c r="D7397" s="156" t="s">
        <v>31</v>
      </c>
      <c r="E7397" s="154" t="n">
        <v>1</v>
      </c>
      <c r="F7397" s="149" t="n">
        <f aca="false">IF(C7397="MAT.",VLOOKUP(A7397,INSUMOS_AUX!$A$3:$H$813,6,0),0)</f>
        <v>25429</v>
      </c>
      <c r="G7397" s="149" t="n">
        <f aca="false">IF(C7397="M.O.",VLOOKUP(A7397,INSUMOS_AUX!A:F,6,0),0)</f>
        <v>0</v>
      </c>
    </row>
    <row r="7398" customFormat="false" ht="21" hidden="false" customHeight="false" outlineLevel="0" collapsed="false">
      <c r="A7398" s="154" t="n">
        <v>13348</v>
      </c>
      <c r="B7398" s="155" t="s">
        <v>2774</v>
      </c>
      <c r="C7398" s="148" t="str">
        <f aca="false">VLOOKUP($A7398,INSUMOS_AUX!$A$3:$H$813,3,0)</f>
        <v>MAT.</v>
      </c>
      <c r="D7398" s="156" t="s">
        <v>31</v>
      </c>
      <c r="E7398" s="154" t="n">
        <v>8</v>
      </c>
      <c r="F7398" s="149" t="n">
        <f aca="false">IF(C7398="MAT.",VLOOKUP(A7398,INSUMOS_AUX!$A$3:$H$813,6,0),0)</f>
        <v>1.63</v>
      </c>
      <c r="G7398" s="149" t="n">
        <f aca="false">IF(C7398="M.O.",VLOOKUP(A7398,INSUMOS_AUX!A:F,6,0),0)</f>
        <v>0</v>
      </c>
    </row>
    <row r="7399" customFormat="false" ht="21" hidden="false" customHeight="false" outlineLevel="0" collapsed="false">
      <c r="A7399" s="154" t="n">
        <v>11976</v>
      </c>
      <c r="B7399" s="155" t="s">
        <v>2432</v>
      </c>
      <c r="C7399" s="148" t="str">
        <f aca="false">VLOOKUP($A7399,INSUMOS_AUX!$A$3:$H$813,3,0)</f>
        <v>MAT.</v>
      </c>
      <c r="D7399" s="156" t="s">
        <v>31</v>
      </c>
      <c r="E7399" s="154" t="n">
        <v>20</v>
      </c>
      <c r="F7399" s="149" t="n">
        <f aca="false">IF(C7399="MAT.",VLOOKUP(A7399,INSUMOS_AUX!$A$3:$H$813,6,0),0)</f>
        <v>1.33</v>
      </c>
      <c r="G7399" s="149" t="n">
        <f aca="false">IF(C7399="M.O.",VLOOKUP(A7399,INSUMOS_AUX!A:F,6,0),0)</f>
        <v>0</v>
      </c>
    </row>
    <row r="7400" customFormat="false" ht="31.5" hidden="false" customHeight="false" outlineLevel="0" collapsed="false">
      <c r="A7400" s="154" t="n">
        <v>13246</v>
      </c>
      <c r="B7400" s="155" t="s">
        <v>1811</v>
      </c>
      <c r="C7400" s="148" t="str">
        <f aca="false">VLOOKUP($A7400,INSUMOS_AUX!$A$3:$H$813,3,0)</f>
        <v>MAT.</v>
      </c>
      <c r="D7400" s="156" t="s">
        <v>31</v>
      </c>
      <c r="E7400" s="154" t="n">
        <v>4</v>
      </c>
      <c r="F7400" s="149" t="n">
        <f aca="false">IF(C7400="MAT.",VLOOKUP(A7400,INSUMOS_AUX!$A$3:$H$813,6,0),0)</f>
        <v>0.5</v>
      </c>
      <c r="G7400" s="149" t="n">
        <f aca="false">IF(C7400="M.O.",VLOOKUP(A7400,INSUMOS_AUX!A:F,6,0),0)</f>
        <v>0</v>
      </c>
    </row>
    <row r="7401" customFormat="false" ht="15" hidden="false" customHeight="false" outlineLevel="0" collapsed="false">
      <c r="A7401" s="154" t="n">
        <v>39997</v>
      </c>
      <c r="B7401" s="155" t="s">
        <v>2438</v>
      </c>
      <c r="C7401" s="148" t="str">
        <f aca="false">VLOOKUP($A7401,INSUMOS_AUX!$A$3:$H$813,3,0)</f>
        <v>MAT.</v>
      </c>
      <c r="D7401" s="156" t="s">
        <v>31</v>
      </c>
      <c r="E7401" s="154" t="n">
        <v>8</v>
      </c>
      <c r="F7401" s="149" t="n">
        <f aca="false">IF(C7401="MAT.",VLOOKUP(A7401,INSUMOS_AUX!$A$3:$H$813,6,0),0)</f>
        <v>0.33</v>
      </c>
      <c r="G7401" s="149" t="n">
        <f aca="false">IF(C7401="M.O.",VLOOKUP(A7401,INSUMOS_AUX!A:F,6,0),0)</f>
        <v>0</v>
      </c>
    </row>
    <row r="7402" customFormat="false" ht="21" hidden="false" customHeight="false" outlineLevel="0" collapsed="false">
      <c r="A7402" s="154" t="n">
        <v>37591</v>
      </c>
      <c r="B7402" s="155" t="s">
        <v>2071</v>
      </c>
      <c r="C7402" s="148" t="str">
        <f aca="false">VLOOKUP($A7402,INSUMOS_AUX!$A$3:$H$813,3,0)</f>
        <v>MAT.</v>
      </c>
      <c r="D7402" s="156" t="s">
        <v>31</v>
      </c>
      <c r="E7402" s="154" t="n">
        <v>2</v>
      </c>
      <c r="F7402" s="149" t="n">
        <f aca="false">IF(C7402="MAT.",VLOOKUP(A7402,INSUMOS_AUX!$A$3:$H$813,6,0),0)</f>
        <v>20.27</v>
      </c>
      <c r="G7402" s="149" t="n">
        <f aca="false">IF(C7402="M.O.",VLOOKUP(A7402,INSUMOS_AUX!A:F,6,0),0)</f>
        <v>0</v>
      </c>
    </row>
    <row r="7403" customFormat="false" ht="21" hidden="false" customHeight="false" outlineLevel="0" collapsed="false">
      <c r="A7403" s="154" t="n">
        <v>1570</v>
      </c>
      <c r="B7403" s="155" t="s">
        <v>2474</v>
      </c>
      <c r="C7403" s="148" t="str">
        <f aca="false">VLOOKUP($A7403,INSUMOS_AUX!$A$3:$H$813,3,0)</f>
        <v>MAT.</v>
      </c>
      <c r="D7403" s="156" t="s">
        <v>31</v>
      </c>
      <c r="E7403" s="154" t="n">
        <v>20</v>
      </c>
      <c r="F7403" s="149" t="n">
        <f aca="false">IF(C7403="MAT.",VLOOKUP(A7403,INSUMOS_AUX!$A$3:$H$813,6,0),0)</f>
        <v>1.05</v>
      </c>
      <c r="G7403" s="149" t="n">
        <f aca="false">IF(C7403="M.O.",VLOOKUP(A7403,INSUMOS_AUX!A:F,6,0),0)</f>
        <v>0</v>
      </c>
    </row>
    <row r="7404" customFormat="false" ht="15" hidden="false" customHeight="false" outlineLevel="0" collapsed="false">
      <c r="A7404" s="154" t="n">
        <v>39996</v>
      </c>
      <c r="B7404" s="155" t="s">
        <v>2441</v>
      </c>
      <c r="C7404" s="148" t="str">
        <f aca="false">VLOOKUP($A7404,INSUMOS_AUX!$A$3:$H$813,3,0)</f>
        <v>MAT.</v>
      </c>
      <c r="D7404" s="156" t="s">
        <v>1455</v>
      </c>
      <c r="E7404" s="154" t="n">
        <v>2.56</v>
      </c>
      <c r="F7404" s="149" t="n">
        <f aca="false">IF(C7404="MAT.",VLOOKUP(A7404,INSUMOS_AUX!$A$3:$H$813,6,0),0)</f>
        <v>3.05</v>
      </c>
      <c r="G7404" s="149" t="n">
        <f aca="false">IF(C7404="M.O.",VLOOKUP(A7404,INSUMOS_AUX!A:F,6,0),0)</f>
        <v>0</v>
      </c>
    </row>
    <row r="7405" customFormat="false" ht="15" hidden="false" customHeight="false" outlineLevel="0" collapsed="false">
      <c r="A7405" s="154" t="n">
        <v>242</v>
      </c>
      <c r="B7405" s="155" t="s">
        <v>1660</v>
      </c>
      <c r="C7405" s="148" t="s">
        <v>59</v>
      </c>
      <c r="D7405" s="156" t="s">
        <v>1444</v>
      </c>
      <c r="E7405" s="154" t="n">
        <v>8.033852988</v>
      </c>
      <c r="F7405" s="149" t="n">
        <f aca="false">IF(C7405="MAT.",VLOOKUP(A7405,INSUMOS_AUX!$A$3:$H$813,6,0),0)</f>
        <v>0</v>
      </c>
      <c r="G7405" s="149" t="n">
        <f aca="false">IF(C7405="M.O.",VLOOKUP(A7405,INSUMOS_AUX!A:F,6,0),0)</f>
        <v>0</v>
      </c>
    </row>
    <row r="7406" customFormat="false" ht="15" hidden="false" customHeight="false" outlineLevel="0" collapsed="false">
      <c r="A7406" s="154" t="n">
        <v>34794</v>
      </c>
      <c r="B7406" s="155" t="s">
        <v>2764</v>
      </c>
      <c r="C7406" s="148" t="str">
        <f aca="false">VLOOKUP($A7406,INSUMOS_AUX!$A$3:$H$813,3,0)</f>
        <v>M.O.</v>
      </c>
      <c r="D7406" s="156" t="s">
        <v>1444</v>
      </c>
      <c r="E7406" s="154" t="n">
        <v>8.16180183</v>
      </c>
      <c r="F7406" s="149" t="n">
        <f aca="false">IF(C7406="MAT.",VLOOKUP(A7406,INSUMOS_AUX!$A$3:$H$813,6,0),0)</f>
        <v>0</v>
      </c>
      <c r="G7406" s="149" t="n">
        <f aca="false">IF(C7406="M.O.",VLOOKUP(A7406,INSUMOS_AUX!A:F,6,0),0)</f>
        <v>20.17</v>
      </c>
    </row>
    <row r="7407" customFormat="false" ht="31.5" hidden="false" customHeight="false" outlineLevel="0" collapsed="false">
      <c r="A7407" s="150" t="s">
        <v>1254</v>
      </c>
      <c r="B7407" s="151" t="s">
        <v>2801</v>
      </c>
      <c r="C7407" s="152" t="s">
        <v>59</v>
      </c>
      <c r="D7407" s="152" t="s">
        <v>31</v>
      </c>
      <c r="E7407" s="150"/>
      <c r="F7407" s="153" t="n">
        <f aca="false">(SUMPRODUCT($E7408:$E7425,F7408:F7425))*1</f>
        <v>22166.443312</v>
      </c>
      <c r="G7407" s="153" t="n">
        <f aca="false">(SUMPRODUCT($E7408:$E7425,G7408:G7425))*1</f>
        <v>273.96428207778</v>
      </c>
    </row>
    <row r="7408" customFormat="false" ht="21" hidden="false" customHeight="false" outlineLevel="0" collapsed="false">
      <c r="A7408" s="154" t="n">
        <v>37370</v>
      </c>
      <c r="B7408" s="155" t="s">
        <v>1443</v>
      </c>
      <c r="C7408" s="148" t="str">
        <f aca="false">VLOOKUP($A7408,INSUMOS_AUX!$A$3:$H$813,3,0)</f>
        <v>MAT.</v>
      </c>
      <c r="D7408" s="156" t="s">
        <v>1444</v>
      </c>
      <c r="E7408" s="154" t="n">
        <v>15.8844</v>
      </c>
      <c r="F7408" s="149" t="n">
        <f aca="false">IF(C7408="MAT.",VLOOKUP(A7408,INSUMOS_AUX!$A$3:$H$813,6,0),0)</f>
        <v>3.32</v>
      </c>
      <c r="G7408" s="149" t="n">
        <f aca="false">IF(C7408="M.O.",VLOOKUP(A7408,INSUMOS_AUX!A:F,6,0),0)</f>
        <v>0</v>
      </c>
    </row>
    <row r="7409" customFormat="false" ht="21" hidden="false" customHeight="false" outlineLevel="0" collapsed="false">
      <c r="A7409" s="154" t="n">
        <v>43484</v>
      </c>
      <c r="B7409" s="155" t="s">
        <v>1523</v>
      </c>
      <c r="C7409" s="148" t="str">
        <f aca="false">VLOOKUP($A7409,INSUMOS_AUX!$A$3:$H$813,3,0)</f>
        <v>MAT.</v>
      </c>
      <c r="D7409" s="156" t="s">
        <v>1444</v>
      </c>
      <c r="E7409" s="154" t="n">
        <v>7.9422</v>
      </c>
      <c r="F7409" s="149" t="n">
        <f aca="false">IF(C7409="MAT.",VLOOKUP(A7409,INSUMOS_AUX!$A$3:$H$813,6,0),0)</f>
        <v>1.26</v>
      </c>
      <c r="G7409" s="149" t="n">
        <f aca="false">IF(C7409="M.O.",VLOOKUP(A7409,INSUMOS_AUX!A:F,6,0),0)</f>
        <v>0</v>
      </c>
    </row>
    <row r="7410" customFormat="false" ht="21" hidden="false" customHeight="false" outlineLevel="0" collapsed="false">
      <c r="A7410" s="154" t="n">
        <v>43491</v>
      </c>
      <c r="B7410" s="155" t="s">
        <v>1457</v>
      </c>
      <c r="C7410" s="148" t="str">
        <f aca="false">VLOOKUP($A7410,INSUMOS_AUX!$A$3:$H$813,3,0)</f>
        <v>MAT.</v>
      </c>
      <c r="D7410" s="156" t="s">
        <v>1444</v>
      </c>
      <c r="E7410" s="154" t="n">
        <v>7.9422</v>
      </c>
      <c r="F7410" s="149" t="n">
        <f aca="false">IF(C7410="MAT.",VLOOKUP(A7410,INSUMOS_AUX!$A$3:$H$813,6,0),0)</f>
        <v>1.39</v>
      </c>
      <c r="G7410" s="149" t="n">
        <f aca="false">IF(C7410="M.O.",VLOOKUP(A7410,INSUMOS_AUX!A:F,6,0),0)</f>
        <v>0</v>
      </c>
    </row>
    <row r="7411" customFormat="false" ht="21" hidden="false" customHeight="false" outlineLevel="0" collapsed="false">
      <c r="A7411" s="154" t="n">
        <v>37372</v>
      </c>
      <c r="B7411" s="155" t="s">
        <v>1446</v>
      </c>
      <c r="C7411" s="148" t="str">
        <f aca="false">VLOOKUP($A7411,INSUMOS_AUX!$A$3:$H$813,3,0)</f>
        <v>MAT.</v>
      </c>
      <c r="D7411" s="156" t="s">
        <v>1444</v>
      </c>
      <c r="E7411" s="154" t="n">
        <v>15.8844</v>
      </c>
      <c r="F7411" s="149" t="n">
        <f aca="false">IF(C7411="MAT.",VLOOKUP(A7411,INSUMOS_AUX!$A$3:$H$813,6,0),0)</f>
        <v>1.43</v>
      </c>
      <c r="G7411" s="149" t="n">
        <f aca="false">IF(C7411="M.O.",VLOOKUP(A7411,INSUMOS_AUX!A:F,6,0),0)</f>
        <v>0</v>
      </c>
    </row>
    <row r="7412" customFormat="false" ht="21" hidden="false" customHeight="false" outlineLevel="0" collapsed="false">
      <c r="A7412" s="154" t="n">
        <v>43460</v>
      </c>
      <c r="B7412" s="155" t="s">
        <v>1524</v>
      </c>
      <c r="C7412" s="148" t="str">
        <f aca="false">VLOOKUP($A7412,INSUMOS_AUX!$A$3:$H$813,3,0)</f>
        <v>MAT.</v>
      </c>
      <c r="D7412" s="156" t="s">
        <v>1444</v>
      </c>
      <c r="E7412" s="154" t="n">
        <v>7.9422</v>
      </c>
      <c r="F7412" s="149" t="n">
        <f aca="false">IF(C7412="MAT.",VLOOKUP(A7412,INSUMOS_AUX!$A$3:$H$813,6,0),0)</f>
        <v>0.86</v>
      </c>
      <c r="G7412" s="149" t="n">
        <f aca="false">IF(C7412="M.O.",VLOOKUP(A7412,INSUMOS_AUX!A:F,6,0),0)</f>
        <v>0</v>
      </c>
    </row>
    <row r="7413" customFormat="false" ht="21" hidden="false" customHeight="false" outlineLevel="0" collapsed="false">
      <c r="A7413" s="154" t="n">
        <v>43467</v>
      </c>
      <c r="B7413" s="155" t="s">
        <v>1459</v>
      </c>
      <c r="C7413" s="148" t="str">
        <f aca="false">VLOOKUP($A7413,INSUMOS_AUX!$A$3:$H$813,3,0)</f>
        <v>MAT.</v>
      </c>
      <c r="D7413" s="156" t="s">
        <v>1444</v>
      </c>
      <c r="E7413" s="154" t="n">
        <v>7.9422</v>
      </c>
      <c r="F7413" s="149" t="n">
        <f aca="false">IF(C7413="MAT.",VLOOKUP(A7413,INSUMOS_AUX!$A$3:$H$813,6,0),0)</f>
        <v>0.61</v>
      </c>
      <c r="G7413" s="149" t="n">
        <f aca="false">IF(C7413="M.O.",VLOOKUP(A7413,INSUMOS_AUX!A:F,6,0),0)</f>
        <v>0</v>
      </c>
    </row>
    <row r="7414" customFormat="false" ht="21" hidden="false" customHeight="false" outlineLevel="0" collapsed="false">
      <c r="A7414" s="154" t="n">
        <v>37373</v>
      </c>
      <c r="B7414" s="155" t="s">
        <v>1448</v>
      </c>
      <c r="C7414" s="148" t="str">
        <f aca="false">VLOOKUP($A7414,INSUMOS_AUX!$A$3:$H$813,3,0)</f>
        <v>MAT.</v>
      </c>
      <c r="D7414" s="156" t="s">
        <v>1444</v>
      </c>
      <c r="E7414" s="154" t="n">
        <v>15.8844</v>
      </c>
      <c r="F7414" s="149" t="n">
        <f aca="false">IF(C7414="MAT.",VLOOKUP(A7414,INSUMOS_AUX!$A$3:$H$813,6,0),0)</f>
        <v>0.08</v>
      </c>
      <c r="G7414" s="149" t="n">
        <f aca="false">IF(C7414="M.O.",VLOOKUP(A7414,INSUMOS_AUX!A:F,6,0),0)</f>
        <v>0</v>
      </c>
    </row>
    <row r="7415" customFormat="false" ht="21" hidden="false" customHeight="false" outlineLevel="0" collapsed="false">
      <c r="A7415" s="154" t="n">
        <v>37371</v>
      </c>
      <c r="B7415" s="155" t="s">
        <v>1449</v>
      </c>
      <c r="C7415" s="148" t="str">
        <f aca="false">VLOOKUP($A7415,INSUMOS_AUX!$A$3:$H$813,3,0)</f>
        <v>MAT.</v>
      </c>
      <c r="D7415" s="156" t="s">
        <v>1444</v>
      </c>
      <c r="E7415" s="154" t="n">
        <v>15.8844</v>
      </c>
      <c r="F7415" s="149" t="n">
        <f aca="false">IF(C7415="MAT.",VLOOKUP(A7415,INSUMOS_AUX!$A$3:$H$813,6,0),0)</f>
        <v>0.59</v>
      </c>
      <c r="G7415" s="149" t="n">
        <f aca="false">IF(C7415="M.O.",VLOOKUP(A7415,INSUMOS_AUX!A:F,6,0),0)</f>
        <v>0</v>
      </c>
    </row>
    <row r="7416" customFormat="false" ht="31.5" hidden="false" customHeight="false" outlineLevel="0" collapsed="false">
      <c r="A7416" s="154" t="s">
        <v>2802</v>
      </c>
      <c r="B7416" s="155" t="s">
        <v>2803</v>
      </c>
      <c r="C7416" s="148" t="str">
        <f aca="false">VLOOKUP($A7416,INSUMOS_AUX!$A$3:$H$813,3,0)</f>
        <v>MAT.</v>
      </c>
      <c r="D7416" s="156" t="s">
        <v>31</v>
      </c>
      <c r="E7416" s="154" t="n">
        <v>1</v>
      </c>
      <c r="F7416" s="149" t="n">
        <f aca="false">IF(C7416="MAT.",VLOOKUP(A7416,INSUMOS_AUX!$A$3:$H$813,6,0),0)</f>
        <v>21955</v>
      </c>
      <c r="G7416" s="149" t="n">
        <f aca="false">IF(C7416="M.O.",VLOOKUP(A7416,INSUMOS_AUX!A:F,6,0),0)</f>
        <v>0</v>
      </c>
    </row>
    <row r="7417" customFormat="false" ht="21" hidden="false" customHeight="false" outlineLevel="0" collapsed="false">
      <c r="A7417" s="154" t="n">
        <v>13348</v>
      </c>
      <c r="B7417" s="155" t="s">
        <v>2774</v>
      </c>
      <c r="C7417" s="148" t="str">
        <f aca="false">VLOOKUP($A7417,INSUMOS_AUX!$A$3:$H$813,3,0)</f>
        <v>MAT.</v>
      </c>
      <c r="D7417" s="156" t="s">
        <v>31</v>
      </c>
      <c r="E7417" s="154" t="n">
        <v>8</v>
      </c>
      <c r="F7417" s="149" t="n">
        <f aca="false">IF(C7417="MAT.",VLOOKUP(A7417,INSUMOS_AUX!$A$3:$H$813,6,0),0)</f>
        <v>1.63</v>
      </c>
      <c r="G7417" s="149" t="n">
        <f aca="false">IF(C7417="M.O.",VLOOKUP(A7417,INSUMOS_AUX!A:F,6,0),0)</f>
        <v>0</v>
      </c>
    </row>
    <row r="7418" customFormat="false" ht="21" hidden="false" customHeight="false" outlineLevel="0" collapsed="false">
      <c r="A7418" s="154" t="n">
        <v>11976</v>
      </c>
      <c r="B7418" s="155" t="s">
        <v>2432</v>
      </c>
      <c r="C7418" s="148" t="str">
        <f aca="false">VLOOKUP($A7418,INSUMOS_AUX!$A$3:$H$813,3,0)</f>
        <v>MAT.</v>
      </c>
      <c r="D7418" s="156" t="s">
        <v>31</v>
      </c>
      <c r="E7418" s="154" t="n">
        <v>20</v>
      </c>
      <c r="F7418" s="149" t="n">
        <f aca="false">IF(C7418="MAT.",VLOOKUP(A7418,INSUMOS_AUX!$A$3:$H$813,6,0),0)</f>
        <v>1.33</v>
      </c>
      <c r="G7418" s="149" t="n">
        <f aca="false">IF(C7418="M.O.",VLOOKUP(A7418,INSUMOS_AUX!A:F,6,0),0)</f>
        <v>0</v>
      </c>
    </row>
    <row r="7419" customFormat="false" ht="31.5" hidden="false" customHeight="false" outlineLevel="0" collapsed="false">
      <c r="A7419" s="154" t="n">
        <v>13246</v>
      </c>
      <c r="B7419" s="155" t="s">
        <v>1811</v>
      </c>
      <c r="C7419" s="148" t="str">
        <f aca="false">VLOOKUP($A7419,INSUMOS_AUX!$A$3:$H$813,3,0)</f>
        <v>MAT.</v>
      </c>
      <c r="D7419" s="156" t="s">
        <v>31</v>
      </c>
      <c r="E7419" s="154" t="n">
        <v>4</v>
      </c>
      <c r="F7419" s="149" t="n">
        <f aca="false">IF(C7419="MAT.",VLOOKUP(A7419,INSUMOS_AUX!$A$3:$H$813,6,0),0)</f>
        <v>0.5</v>
      </c>
      <c r="G7419" s="149" t="n">
        <f aca="false">IF(C7419="M.O.",VLOOKUP(A7419,INSUMOS_AUX!A:F,6,0),0)</f>
        <v>0</v>
      </c>
    </row>
    <row r="7420" customFormat="false" ht="15" hidden="false" customHeight="false" outlineLevel="0" collapsed="false">
      <c r="A7420" s="154" t="n">
        <v>39997</v>
      </c>
      <c r="B7420" s="155" t="s">
        <v>2438</v>
      </c>
      <c r="C7420" s="148" t="str">
        <f aca="false">VLOOKUP($A7420,INSUMOS_AUX!$A$3:$H$813,3,0)</f>
        <v>MAT.</v>
      </c>
      <c r="D7420" s="156" t="s">
        <v>31</v>
      </c>
      <c r="E7420" s="154" t="n">
        <v>8</v>
      </c>
      <c r="F7420" s="149" t="n">
        <f aca="false">IF(C7420="MAT.",VLOOKUP(A7420,INSUMOS_AUX!$A$3:$H$813,6,0),0)</f>
        <v>0.33</v>
      </c>
      <c r="G7420" s="149" t="n">
        <f aca="false">IF(C7420="M.O.",VLOOKUP(A7420,INSUMOS_AUX!A:F,6,0),0)</f>
        <v>0</v>
      </c>
    </row>
    <row r="7421" customFormat="false" ht="21" hidden="false" customHeight="false" outlineLevel="0" collapsed="false">
      <c r="A7421" s="154" t="n">
        <v>37591</v>
      </c>
      <c r="B7421" s="155" t="s">
        <v>2071</v>
      </c>
      <c r="C7421" s="148" t="str">
        <f aca="false">VLOOKUP($A7421,INSUMOS_AUX!$A$3:$H$813,3,0)</f>
        <v>MAT.</v>
      </c>
      <c r="D7421" s="156" t="s">
        <v>31</v>
      </c>
      <c r="E7421" s="154" t="n">
        <v>2</v>
      </c>
      <c r="F7421" s="149" t="n">
        <f aca="false">IF(C7421="MAT.",VLOOKUP(A7421,INSUMOS_AUX!$A$3:$H$813,6,0),0)</f>
        <v>20.27</v>
      </c>
      <c r="G7421" s="149" t="n">
        <f aca="false">IF(C7421="M.O.",VLOOKUP(A7421,INSUMOS_AUX!A:F,6,0),0)</f>
        <v>0</v>
      </c>
    </row>
    <row r="7422" customFormat="false" ht="21" hidden="false" customHeight="false" outlineLevel="0" collapsed="false">
      <c r="A7422" s="154" t="n">
        <v>1570</v>
      </c>
      <c r="B7422" s="155" t="s">
        <v>2474</v>
      </c>
      <c r="C7422" s="148" t="s">
        <v>59</v>
      </c>
      <c r="D7422" s="156" t="s">
        <v>31</v>
      </c>
      <c r="E7422" s="154" t="n">
        <v>20</v>
      </c>
      <c r="F7422" s="149" t="n">
        <f aca="false">IF(C7422="MAT.",VLOOKUP(A7422,INSUMOS_AUX!$A$3:$H$813,6,0),0)</f>
        <v>0</v>
      </c>
      <c r="G7422" s="149" t="n">
        <f aca="false">IF(C7422="M.O.",VLOOKUP(A7422,INSUMOS_AUX!A:F,6,0),0)</f>
        <v>0</v>
      </c>
    </row>
    <row r="7423" customFormat="false" ht="15" hidden="false" customHeight="false" outlineLevel="0" collapsed="false">
      <c r="A7423" s="154" t="n">
        <v>39996</v>
      </c>
      <c r="B7423" s="155" t="s">
        <v>2441</v>
      </c>
      <c r="C7423" s="148" t="str">
        <f aca="false">VLOOKUP($A7423,INSUMOS_AUX!$A$3:$H$813,3,0)</f>
        <v>MAT.</v>
      </c>
      <c r="D7423" s="156" t="s">
        <v>1455</v>
      </c>
      <c r="E7423" s="154" t="n">
        <v>2.56</v>
      </c>
      <c r="F7423" s="149" t="n">
        <f aca="false">IF(C7423="MAT.",VLOOKUP(A7423,INSUMOS_AUX!$A$3:$H$813,6,0),0)</f>
        <v>3.05</v>
      </c>
      <c r="G7423" s="149" t="n">
        <f aca="false">IF(C7423="M.O.",VLOOKUP(A7423,INSUMOS_AUX!A:F,6,0),0)</f>
        <v>0</v>
      </c>
    </row>
    <row r="7424" customFormat="false" ht="15" hidden="false" customHeight="false" outlineLevel="0" collapsed="false">
      <c r="A7424" s="154" t="n">
        <v>242</v>
      </c>
      <c r="B7424" s="155" t="s">
        <v>1660</v>
      </c>
      <c r="C7424" s="148" t="str">
        <f aca="false">VLOOKUP($A7424,INSUMOS_AUX!$A$3:$H$813,3,0)</f>
        <v>M.O.</v>
      </c>
      <c r="D7424" s="156" t="s">
        <v>1444</v>
      </c>
      <c r="E7424" s="154" t="n">
        <v>8.033852988</v>
      </c>
      <c r="F7424" s="149" t="n">
        <f aca="false">IF(C7424="MAT.",VLOOKUP(A7424,INSUMOS_AUX!$A$3:$H$813,6,0),0)</f>
        <v>0</v>
      </c>
      <c r="G7424" s="149" t="n">
        <f aca="false">IF(C7424="M.O.",VLOOKUP(A7424,INSUMOS_AUX!A:F,6,0),0)</f>
        <v>13.61</v>
      </c>
    </row>
    <row r="7425" customFormat="false" ht="15" hidden="false" customHeight="false" outlineLevel="0" collapsed="false">
      <c r="A7425" s="154" t="n">
        <v>34794</v>
      </c>
      <c r="B7425" s="155" t="s">
        <v>2764</v>
      </c>
      <c r="C7425" s="148" t="str">
        <f aca="false">VLOOKUP($A7425,INSUMOS_AUX!$A$3:$H$813,3,0)</f>
        <v>M.O.</v>
      </c>
      <c r="D7425" s="156" t="s">
        <v>1444</v>
      </c>
      <c r="E7425" s="154" t="n">
        <v>8.16180183</v>
      </c>
      <c r="F7425" s="149" t="n">
        <f aca="false">IF(C7425="MAT.",VLOOKUP(A7425,INSUMOS_AUX!$A$3:$H$813,6,0),0)</f>
        <v>0</v>
      </c>
      <c r="G7425" s="149" t="n">
        <f aca="false">IF(C7425="M.O.",VLOOKUP(A7425,INSUMOS_AUX!A:F,6,0),0)</f>
        <v>20.17</v>
      </c>
    </row>
    <row r="7426" customFormat="false" ht="31.5" hidden="false" customHeight="false" outlineLevel="0" collapsed="false">
      <c r="A7426" s="150" t="s">
        <v>1256</v>
      </c>
      <c r="B7426" s="151" t="s">
        <v>2804</v>
      </c>
      <c r="C7426" s="152" t="s">
        <v>59</v>
      </c>
      <c r="D7426" s="152" t="s">
        <v>31</v>
      </c>
      <c r="E7426" s="150"/>
      <c r="F7426" s="153" t="n">
        <f aca="false">(SUMPRODUCT($E7427:$E7444,F7427:F7444))*1</f>
        <v>27942.1016346667</v>
      </c>
      <c r="G7426" s="153" t="n">
        <f aca="false">(SUMPRODUCT($E7427:$E7444,G7427:G7444))*1</f>
        <v>410.94642311667</v>
      </c>
    </row>
    <row r="7427" customFormat="false" ht="21" hidden="false" customHeight="false" outlineLevel="0" collapsed="false">
      <c r="A7427" s="154" t="n">
        <v>37370</v>
      </c>
      <c r="B7427" s="155" t="s">
        <v>1443</v>
      </c>
      <c r="C7427" s="148" t="str">
        <f aca="false">VLOOKUP($A7427,INSUMOS_AUX!$A$3:$H$813,3,0)</f>
        <v>MAT.</v>
      </c>
      <c r="D7427" s="156" t="s">
        <v>1444</v>
      </c>
      <c r="E7427" s="154" t="n">
        <v>23.8266</v>
      </c>
      <c r="F7427" s="149" t="n">
        <f aca="false">IF(C7427="MAT.",VLOOKUP(A7427,INSUMOS_AUX!$A$3:$H$813,6,0),0)</f>
        <v>3.32</v>
      </c>
      <c r="G7427" s="149" t="n">
        <f aca="false">IF(C7427="M.O.",VLOOKUP(A7427,INSUMOS_AUX!A:F,6,0),0)</f>
        <v>0</v>
      </c>
    </row>
    <row r="7428" customFormat="false" ht="21" hidden="false" customHeight="false" outlineLevel="0" collapsed="false">
      <c r="A7428" s="154" t="n">
        <v>43484</v>
      </c>
      <c r="B7428" s="155" t="s">
        <v>1523</v>
      </c>
      <c r="C7428" s="148" t="str">
        <f aca="false">VLOOKUP($A7428,INSUMOS_AUX!$A$3:$H$813,3,0)</f>
        <v>MAT.</v>
      </c>
      <c r="D7428" s="156" t="s">
        <v>1444</v>
      </c>
      <c r="E7428" s="154" t="n">
        <v>11.9133</v>
      </c>
      <c r="F7428" s="149" t="n">
        <f aca="false">IF(C7428="MAT.",VLOOKUP(A7428,INSUMOS_AUX!$A$3:$H$813,6,0),0)</f>
        <v>1.26</v>
      </c>
      <c r="G7428" s="149" t="n">
        <f aca="false">IF(C7428="M.O.",VLOOKUP(A7428,INSUMOS_AUX!A:F,6,0),0)</f>
        <v>0</v>
      </c>
    </row>
    <row r="7429" customFormat="false" ht="21" hidden="false" customHeight="false" outlineLevel="0" collapsed="false">
      <c r="A7429" s="154" t="n">
        <v>43491</v>
      </c>
      <c r="B7429" s="155" t="s">
        <v>1457</v>
      </c>
      <c r="C7429" s="148" t="str">
        <f aca="false">VLOOKUP($A7429,INSUMOS_AUX!$A$3:$H$813,3,0)</f>
        <v>MAT.</v>
      </c>
      <c r="D7429" s="156" t="s">
        <v>1444</v>
      </c>
      <c r="E7429" s="154" t="n">
        <v>11.9133</v>
      </c>
      <c r="F7429" s="149" t="n">
        <f aca="false">IF(C7429="MAT.",VLOOKUP(A7429,INSUMOS_AUX!$A$3:$H$813,6,0),0)</f>
        <v>1.39</v>
      </c>
      <c r="G7429" s="149" t="n">
        <f aca="false">IF(C7429="M.O.",VLOOKUP(A7429,INSUMOS_AUX!A:F,6,0),0)</f>
        <v>0</v>
      </c>
    </row>
    <row r="7430" customFormat="false" ht="21" hidden="false" customHeight="false" outlineLevel="0" collapsed="false">
      <c r="A7430" s="154" t="n">
        <v>37372</v>
      </c>
      <c r="B7430" s="155" t="s">
        <v>1446</v>
      </c>
      <c r="C7430" s="148" t="str">
        <f aca="false">VLOOKUP($A7430,INSUMOS_AUX!$A$3:$H$813,3,0)</f>
        <v>MAT.</v>
      </c>
      <c r="D7430" s="156" t="s">
        <v>1444</v>
      </c>
      <c r="E7430" s="154" t="n">
        <v>23.8266</v>
      </c>
      <c r="F7430" s="149" t="n">
        <f aca="false">IF(C7430="MAT.",VLOOKUP(A7430,INSUMOS_AUX!$A$3:$H$813,6,0),0)</f>
        <v>1.43</v>
      </c>
      <c r="G7430" s="149" t="n">
        <f aca="false">IF(C7430="M.O.",VLOOKUP(A7430,INSUMOS_AUX!A:F,6,0),0)</f>
        <v>0</v>
      </c>
    </row>
    <row r="7431" customFormat="false" ht="21" hidden="false" customHeight="false" outlineLevel="0" collapsed="false">
      <c r="A7431" s="154" t="n">
        <v>43460</v>
      </c>
      <c r="B7431" s="155" t="s">
        <v>1524</v>
      </c>
      <c r="C7431" s="148" t="str">
        <f aca="false">VLOOKUP($A7431,INSUMOS_AUX!$A$3:$H$813,3,0)</f>
        <v>MAT.</v>
      </c>
      <c r="D7431" s="156" t="s">
        <v>1444</v>
      </c>
      <c r="E7431" s="154" t="n">
        <v>11.9133</v>
      </c>
      <c r="F7431" s="149" t="n">
        <f aca="false">IF(C7431="MAT.",VLOOKUP(A7431,INSUMOS_AUX!$A$3:$H$813,6,0),0)</f>
        <v>0.86</v>
      </c>
      <c r="G7431" s="149" t="n">
        <f aca="false">IF(C7431="M.O.",VLOOKUP(A7431,INSUMOS_AUX!A:F,6,0),0)</f>
        <v>0</v>
      </c>
    </row>
    <row r="7432" customFormat="false" ht="21" hidden="false" customHeight="false" outlineLevel="0" collapsed="false">
      <c r="A7432" s="154" t="n">
        <v>43467</v>
      </c>
      <c r="B7432" s="155" t="s">
        <v>1459</v>
      </c>
      <c r="C7432" s="148" t="str">
        <f aca="false">VLOOKUP($A7432,INSUMOS_AUX!$A$3:$H$813,3,0)</f>
        <v>MAT.</v>
      </c>
      <c r="D7432" s="156" t="s">
        <v>1444</v>
      </c>
      <c r="E7432" s="154" t="n">
        <v>11.9133</v>
      </c>
      <c r="F7432" s="149" t="n">
        <f aca="false">IF(C7432="MAT.",VLOOKUP(A7432,INSUMOS_AUX!$A$3:$H$813,6,0),0)</f>
        <v>0.61</v>
      </c>
      <c r="G7432" s="149" t="n">
        <f aca="false">IF(C7432="M.O.",VLOOKUP(A7432,INSUMOS_AUX!A:F,6,0),0)</f>
        <v>0</v>
      </c>
    </row>
    <row r="7433" customFormat="false" ht="21" hidden="false" customHeight="false" outlineLevel="0" collapsed="false">
      <c r="A7433" s="154" t="n">
        <v>37373</v>
      </c>
      <c r="B7433" s="155" t="s">
        <v>1448</v>
      </c>
      <c r="C7433" s="148" t="str">
        <f aca="false">VLOOKUP($A7433,INSUMOS_AUX!$A$3:$H$813,3,0)</f>
        <v>MAT.</v>
      </c>
      <c r="D7433" s="156" t="s">
        <v>1444</v>
      </c>
      <c r="E7433" s="154" t="n">
        <v>23.8266</v>
      </c>
      <c r="F7433" s="149" t="n">
        <f aca="false">IF(C7433="MAT.",VLOOKUP(A7433,INSUMOS_AUX!$A$3:$H$813,6,0),0)</f>
        <v>0.08</v>
      </c>
      <c r="G7433" s="149" t="n">
        <f aca="false">IF(C7433="M.O.",VLOOKUP(A7433,INSUMOS_AUX!A:F,6,0),0)</f>
        <v>0</v>
      </c>
    </row>
    <row r="7434" customFormat="false" ht="21" hidden="false" customHeight="false" outlineLevel="0" collapsed="false">
      <c r="A7434" s="154" t="n">
        <v>37371</v>
      </c>
      <c r="B7434" s="155" t="s">
        <v>1449</v>
      </c>
      <c r="C7434" s="148" t="str">
        <f aca="false">VLOOKUP($A7434,INSUMOS_AUX!$A$3:$H$813,3,0)</f>
        <v>MAT.</v>
      </c>
      <c r="D7434" s="156" t="s">
        <v>1444</v>
      </c>
      <c r="E7434" s="154" t="n">
        <v>23.8266</v>
      </c>
      <c r="F7434" s="149" t="n">
        <f aca="false">IF(C7434="MAT.",VLOOKUP(A7434,INSUMOS_AUX!$A$3:$H$813,6,0),0)</f>
        <v>0.59</v>
      </c>
      <c r="G7434" s="149" t="n">
        <f aca="false">IF(C7434="M.O.",VLOOKUP(A7434,INSUMOS_AUX!A:F,6,0),0)</f>
        <v>0</v>
      </c>
    </row>
    <row r="7435" customFormat="false" ht="21" hidden="false" customHeight="false" outlineLevel="0" collapsed="false">
      <c r="A7435" s="154" t="s">
        <v>2805</v>
      </c>
      <c r="B7435" s="155" t="s">
        <v>2806</v>
      </c>
      <c r="C7435" s="148" t="str">
        <f aca="false">VLOOKUP($A7435,INSUMOS_AUX!$A$3:$H$813,3,0)</f>
        <v>MAT.</v>
      </c>
      <c r="D7435" s="156" t="s">
        <v>1538</v>
      </c>
      <c r="E7435" s="154" t="n">
        <v>1</v>
      </c>
      <c r="F7435" s="149" t="n">
        <f aca="false">IF(C7435="MAT.",VLOOKUP(A7435,INSUMOS_AUX!$A$3:$H$813,6,0),0)</f>
        <v>27618.6666666667</v>
      </c>
      <c r="G7435" s="149" t="n">
        <f aca="false">IF(C7435="M.O.",VLOOKUP(A7435,INSUMOS_AUX!A:F,6,0),0)</f>
        <v>0</v>
      </c>
    </row>
    <row r="7436" customFormat="false" ht="21" hidden="false" customHeight="false" outlineLevel="0" collapsed="false">
      <c r="A7436" s="154" t="n">
        <v>13348</v>
      </c>
      <c r="B7436" s="155" t="s">
        <v>2774</v>
      </c>
      <c r="C7436" s="148" t="str">
        <f aca="false">VLOOKUP($A7436,INSUMOS_AUX!$A$3:$H$813,3,0)</f>
        <v>MAT.</v>
      </c>
      <c r="D7436" s="156" t="s">
        <v>31</v>
      </c>
      <c r="E7436" s="154" t="n">
        <v>12</v>
      </c>
      <c r="F7436" s="149" t="n">
        <f aca="false">IF(C7436="MAT.",VLOOKUP(A7436,INSUMOS_AUX!$A$3:$H$813,6,0),0)</f>
        <v>1.63</v>
      </c>
      <c r="G7436" s="149" t="n">
        <f aca="false">IF(C7436="M.O.",VLOOKUP(A7436,INSUMOS_AUX!A:F,6,0),0)</f>
        <v>0</v>
      </c>
    </row>
    <row r="7437" customFormat="false" ht="21" hidden="false" customHeight="false" outlineLevel="0" collapsed="false">
      <c r="A7437" s="154" t="n">
        <v>11976</v>
      </c>
      <c r="B7437" s="155" t="s">
        <v>2432</v>
      </c>
      <c r="C7437" s="148" t="str">
        <f aca="false">VLOOKUP($A7437,INSUMOS_AUX!$A$3:$H$813,3,0)</f>
        <v>MAT.</v>
      </c>
      <c r="D7437" s="156" t="s">
        <v>31</v>
      </c>
      <c r="E7437" s="154" t="n">
        <v>30</v>
      </c>
      <c r="F7437" s="149" t="n">
        <f aca="false">IF(C7437="MAT.",VLOOKUP(A7437,INSUMOS_AUX!$A$3:$H$813,6,0),0)</f>
        <v>1.33</v>
      </c>
      <c r="G7437" s="149" t="n">
        <f aca="false">IF(C7437="M.O.",VLOOKUP(A7437,INSUMOS_AUX!A:F,6,0),0)</f>
        <v>0</v>
      </c>
    </row>
    <row r="7438" customFormat="false" ht="31.5" hidden="false" customHeight="false" outlineLevel="0" collapsed="false">
      <c r="A7438" s="154" t="n">
        <v>13246</v>
      </c>
      <c r="B7438" s="155" t="s">
        <v>1811</v>
      </c>
      <c r="C7438" s="148" t="str">
        <f aca="false">VLOOKUP($A7438,INSUMOS_AUX!$A$3:$H$813,3,0)</f>
        <v>MAT.</v>
      </c>
      <c r="D7438" s="156" t="s">
        <v>31</v>
      </c>
      <c r="E7438" s="154" t="n">
        <v>4</v>
      </c>
      <c r="F7438" s="149" t="n">
        <f aca="false">IF(C7438="MAT.",VLOOKUP(A7438,INSUMOS_AUX!$A$3:$H$813,6,0),0)</f>
        <v>0.5</v>
      </c>
      <c r="G7438" s="149" t="n">
        <f aca="false">IF(C7438="M.O.",VLOOKUP(A7438,INSUMOS_AUX!A:F,6,0),0)</f>
        <v>0</v>
      </c>
    </row>
    <row r="7439" customFormat="false" ht="15" hidden="false" customHeight="false" outlineLevel="0" collapsed="false">
      <c r="A7439" s="154" t="n">
        <v>39997</v>
      </c>
      <c r="B7439" s="155" t="s">
        <v>2438</v>
      </c>
      <c r="C7439" s="148" t="s">
        <v>59</v>
      </c>
      <c r="D7439" s="156" t="s">
        <v>31</v>
      </c>
      <c r="E7439" s="154" t="n">
        <v>8</v>
      </c>
      <c r="F7439" s="149" t="n">
        <f aca="false">IF(C7439="MAT.",VLOOKUP(A7439,INSUMOS_AUX!$A$3:$H$813,6,0),0)</f>
        <v>0</v>
      </c>
      <c r="G7439" s="149" t="n">
        <f aca="false">IF(C7439="M.O.",VLOOKUP(A7439,INSUMOS_AUX!A:F,6,0),0)</f>
        <v>0</v>
      </c>
    </row>
    <row r="7440" customFormat="false" ht="21" hidden="false" customHeight="false" outlineLevel="0" collapsed="false">
      <c r="A7440" s="154" t="n">
        <v>37591</v>
      </c>
      <c r="B7440" s="155" t="s">
        <v>2071</v>
      </c>
      <c r="C7440" s="148" t="str">
        <f aca="false">VLOOKUP($A7440,INSUMOS_AUX!$A$3:$H$813,3,0)</f>
        <v>MAT.</v>
      </c>
      <c r="D7440" s="156" t="s">
        <v>31</v>
      </c>
      <c r="E7440" s="154" t="n">
        <v>2</v>
      </c>
      <c r="F7440" s="149" t="n">
        <f aca="false">IF(C7440="MAT.",VLOOKUP(A7440,INSUMOS_AUX!$A$3:$H$813,6,0),0)</f>
        <v>20.27</v>
      </c>
      <c r="G7440" s="149" t="n">
        <f aca="false">IF(C7440="M.O.",VLOOKUP(A7440,INSUMOS_AUX!A:F,6,0),0)</f>
        <v>0</v>
      </c>
    </row>
    <row r="7441" customFormat="false" ht="21" hidden="false" customHeight="false" outlineLevel="0" collapsed="false">
      <c r="A7441" s="154" t="n">
        <v>1570</v>
      </c>
      <c r="B7441" s="155" t="s">
        <v>2474</v>
      </c>
      <c r="C7441" s="148" t="str">
        <f aca="false">VLOOKUP($A7441,INSUMOS_AUX!$A$3:$H$813,3,0)</f>
        <v>MAT.</v>
      </c>
      <c r="D7441" s="156" t="s">
        <v>31</v>
      </c>
      <c r="E7441" s="154" t="n">
        <v>30</v>
      </c>
      <c r="F7441" s="149" t="n">
        <f aca="false">IF(C7441="MAT.",VLOOKUP(A7441,INSUMOS_AUX!$A$3:$H$813,6,0),0)</f>
        <v>1.05</v>
      </c>
      <c r="G7441" s="149" t="n">
        <f aca="false">IF(C7441="M.O.",VLOOKUP(A7441,INSUMOS_AUX!A:F,6,0),0)</f>
        <v>0</v>
      </c>
    </row>
    <row r="7442" customFormat="false" ht="15" hidden="false" customHeight="false" outlineLevel="0" collapsed="false">
      <c r="A7442" s="154" t="n">
        <v>39996</v>
      </c>
      <c r="B7442" s="155" t="s">
        <v>2441</v>
      </c>
      <c r="C7442" s="148" t="str">
        <f aca="false">VLOOKUP($A7442,INSUMOS_AUX!$A$3:$H$813,3,0)</f>
        <v>MAT.</v>
      </c>
      <c r="D7442" s="156" t="s">
        <v>1455</v>
      </c>
      <c r="E7442" s="154" t="n">
        <v>3.84</v>
      </c>
      <c r="F7442" s="149" t="n">
        <f aca="false">IF(C7442="MAT.",VLOOKUP(A7442,INSUMOS_AUX!$A$3:$H$813,6,0),0)</f>
        <v>3.05</v>
      </c>
      <c r="G7442" s="149" t="n">
        <f aca="false">IF(C7442="M.O.",VLOOKUP(A7442,INSUMOS_AUX!A:F,6,0),0)</f>
        <v>0</v>
      </c>
    </row>
    <row r="7443" customFormat="false" ht="15" hidden="false" customHeight="false" outlineLevel="0" collapsed="false">
      <c r="A7443" s="154" t="n">
        <v>242</v>
      </c>
      <c r="B7443" s="155" t="s">
        <v>1660</v>
      </c>
      <c r="C7443" s="148" t="str">
        <f aca="false">VLOOKUP($A7443,INSUMOS_AUX!$A$3:$H$813,3,0)</f>
        <v>M.O.</v>
      </c>
      <c r="D7443" s="156" t="s">
        <v>1444</v>
      </c>
      <c r="E7443" s="154" t="n">
        <v>12.050779482</v>
      </c>
      <c r="F7443" s="149" t="n">
        <f aca="false">IF(C7443="MAT.",VLOOKUP(A7443,INSUMOS_AUX!$A$3:$H$813,6,0),0)</f>
        <v>0</v>
      </c>
      <c r="G7443" s="149" t="n">
        <f aca="false">IF(C7443="M.O.",VLOOKUP(A7443,INSUMOS_AUX!A:F,6,0),0)</f>
        <v>13.61</v>
      </c>
    </row>
    <row r="7444" customFormat="false" ht="15" hidden="false" customHeight="false" outlineLevel="0" collapsed="false">
      <c r="A7444" s="154" t="n">
        <v>34794</v>
      </c>
      <c r="B7444" s="155" t="s">
        <v>2764</v>
      </c>
      <c r="C7444" s="148" t="str">
        <f aca="false">VLOOKUP($A7444,INSUMOS_AUX!$A$3:$H$813,3,0)</f>
        <v>M.O.</v>
      </c>
      <c r="D7444" s="156" t="s">
        <v>1444</v>
      </c>
      <c r="E7444" s="154" t="n">
        <v>12.242702745</v>
      </c>
      <c r="F7444" s="149" t="n">
        <f aca="false">IF(C7444="MAT.",VLOOKUP(A7444,INSUMOS_AUX!$A$3:$H$813,6,0),0)</f>
        <v>0</v>
      </c>
      <c r="G7444" s="149" t="n">
        <f aca="false">IF(C7444="M.O.",VLOOKUP(A7444,INSUMOS_AUX!A:F,6,0),0)</f>
        <v>20.17</v>
      </c>
    </row>
    <row r="7445" customFormat="false" ht="21" hidden="false" customHeight="false" outlineLevel="0" collapsed="false">
      <c r="A7445" s="150" t="s">
        <v>1258</v>
      </c>
      <c r="B7445" s="151" t="s">
        <v>2807</v>
      </c>
      <c r="C7445" s="152" t="s">
        <v>59</v>
      </c>
      <c r="D7445" s="152" t="s">
        <v>31</v>
      </c>
      <c r="E7445" s="150"/>
      <c r="F7445" s="153" t="n">
        <f aca="false">(SUMPRODUCT($E7446:$E7455,F7446:F7455))*1</f>
        <v>29.712522</v>
      </c>
      <c r="G7445" s="153" t="n">
        <f aca="false">(SUMPRODUCT($E7446:$E7455,G7446:G7455))*1</f>
        <v>16.69334910192</v>
      </c>
    </row>
    <row r="7446" customFormat="false" ht="21" hidden="false" customHeight="false" outlineLevel="0" collapsed="false">
      <c r="A7446" s="154" t="n">
        <v>37370</v>
      </c>
      <c r="B7446" s="155" t="s">
        <v>1443</v>
      </c>
      <c r="C7446" s="148" t="str">
        <f aca="false">VLOOKUP($A7446,INSUMOS_AUX!$A$3:$H$813,3,0)</f>
        <v>MAT.</v>
      </c>
      <c r="D7446" s="156" t="s">
        <v>1444</v>
      </c>
      <c r="E7446" s="154" t="n">
        <v>0.9796</v>
      </c>
      <c r="F7446" s="149" t="n">
        <f aca="false">IF(C7446="MAT.",VLOOKUP(A7446,INSUMOS_AUX!$A$3:$H$813,6,0),0)</f>
        <v>3.32</v>
      </c>
      <c r="G7446" s="149" t="n">
        <f aca="false">IF(C7446="M.O.",VLOOKUP(A7446,INSUMOS_AUX!A:F,6,0),0)</f>
        <v>0</v>
      </c>
    </row>
    <row r="7447" customFormat="false" ht="21" hidden="false" customHeight="false" outlineLevel="0" collapsed="false">
      <c r="A7447" s="154" t="n">
        <v>43485</v>
      </c>
      <c r="B7447" s="155" t="s">
        <v>1481</v>
      </c>
      <c r="C7447" s="148" t="str">
        <f aca="false">VLOOKUP($A7447,INSUMOS_AUX!$A$3:$H$813,3,0)</f>
        <v>MAT.</v>
      </c>
      <c r="D7447" s="156" t="s">
        <v>1444</v>
      </c>
      <c r="E7447" s="154" t="n">
        <v>0.9796</v>
      </c>
      <c r="F7447" s="149" t="n">
        <f aca="false">IF(C7447="MAT.",VLOOKUP(A7447,INSUMOS_AUX!$A$3:$H$813,6,0),0)</f>
        <v>1.13</v>
      </c>
      <c r="G7447" s="149" t="n">
        <f aca="false">IF(C7447="M.O.",VLOOKUP(A7447,INSUMOS_AUX!A:F,6,0),0)</f>
        <v>0</v>
      </c>
    </row>
    <row r="7448" customFormat="false" ht="21" hidden="false" customHeight="false" outlineLevel="0" collapsed="false">
      <c r="A7448" s="154" t="n">
        <v>37372</v>
      </c>
      <c r="B7448" s="155" t="s">
        <v>1446</v>
      </c>
      <c r="C7448" s="148" t="str">
        <f aca="false">VLOOKUP($A7448,INSUMOS_AUX!$A$3:$H$813,3,0)</f>
        <v>MAT.</v>
      </c>
      <c r="D7448" s="156" t="s">
        <v>1444</v>
      </c>
      <c r="E7448" s="154" t="n">
        <v>0.9796</v>
      </c>
      <c r="F7448" s="149" t="n">
        <f aca="false">IF(C7448="MAT.",VLOOKUP(A7448,INSUMOS_AUX!$A$3:$H$813,6,0),0)</f>
        <v>1.43</v>
      </c>
      <c r="G7448" s="149" t="n">
        <f aca="false">IF(C7448="M.O.",VLOOKUP(A7448,INSUMOS_AUX!A:F,6,0),0)</f>
        <v>0</v>
      </c>
    </row>
    <row r="7449" customFormat="false" ht="21" hidden="false" customHeight="false" outlineLevel="0" collapsed="false">
      <c r="A7449" s="154" t="n">
        <v>43461</v>
      </c>
      <c r="B7449" s="155" t="s">
        <v>1482</v>
      </c>
      <c r="C7449" s="148" t="str">
        <f aca="false">VLOOKUP($A7449,INSUMOS_AUX!$A$3:$H$813,3,0)</f>
        <v>MAT.</v>
      </c>
      <c r="D7449" s="156" t="s">
        <v>1444</v>
      </c>
      <c r="E7449" s="154" t="n">
        <v>0.9796</v>
      </c>
      <c r="F7449" s="149" t="n">
        <f aca="false">IF(C7449="MAT.",VLOOKUP(A7449,INSUMOS_AUX!$A$3:$H$813,6,0),0)</f>
        <v>0.31</v>
      </c>
      <c r="G7449" s="149" t="n">
        <f aca="false">IF(C7449="M.O.",VLOOKUP(A7449,INSUMOS_AUX!A:F,6,0),0)</f>
        <v>0</v>
      </c>
    </row>
    <row r="7450" customFormat="false" ht="21" hidden="false" customHeight="false" outlineLevel="0" collapsed="false">
      <c r="A7450" s="154" t="n">
        <v>37373</v>
      </c>
      <c r="B7450" s="155" t="s">
        <v>1448</v>
      </c>
      <c r="C7450" s="148" t="str">
        <f aca="false">VLOOKUP($A7450,INSUMOS_AUX!$A$3:$H$813,3,0)</f>
        <v>MAT.</v>
      </c>
      <c r="D7450" s="156" t="s">
        <v>1444</v>
      </c>
      <c r="E7450" s="154" t="n">
        <v>0.9796</v>
      </c>
      <c r="F7450" s="149" t="n">
        <f aca="false">IF(C7450="MAT.",VLOOKUP(A7450,INSUMOS_AUX!$A$3:$H$813,6,0),0)</f>
        <v>0.08</v>
      </c>
      <c r="G7450" s="149" t="n">
        <f aca="false">IF(C7450="M.O.",VLOOKUP(A7450,INSUMOS_AUX!A:F,6,0),0)</f>
        <v>0</v>
      </c>
    </row>
    <row r="7451" customFormat="false" ht="21" hidden="false" customHeight="false" outlineLevel="0" collapsed="false">
      <c r="A7451" s="154" t="n">
        <v>37371</v>
      </c>
      <c r="B7451" s="155" t="s">
        <v>1449</v>
      </c>
      <c r="C7451" s="148" t="str">
        <f aca="false">VLOOKUP($A7451,INSUMOS_AUX!$A$3:$H$813,3,0)</f>
        <v>MAT.</v>
      </c>
      <c r="D7451" s="156" t="s">
        <v>1444</v>
      </c>
      <c r="E7451" s="154" t="n">
        <v>0.9796</v>
      </c>
      <c r="F7451" s="149" t="n">
        <f aca="false">IF(C7451="MAT.",VLOOKUP(A7451,INSUMOS_AUX!$A$3:$H$813,6,0),0)</f>
        <v>0.59</v>
      </c>
      <c r="G7451" s="149" t="n">
        <f aca="false">IF(C7451="M.O.",VLOOKUP(A7451,INSUMOS_AUX!A:F,6,0),0)</f>
        <v>0</v>
      </c>
    </row>
    <row r="7452" customFormat="false" ht="15" hidden="false" customHeight="false" outlineLevel="0" collapsed="false">
      <c r="A7452" s="154" t="s">
        <v>2808</v>
      </c>
      <c r="B7452" s="155" t="s">
        <v>2809</v>
      </c>
      <c r="C7452" s="148" t="str">
        <f aca="false">VLOOKUP($A7452,INSUMOS_AUX!$A$3:$H$813,3,0)</f>
        <v>MAT.</v>
      </c>
      <c r="D7452" s="156" t="s">
        <v>31</v>
      </c>
      <c r="E7452" s="154" t="n">
        <v>1</v>
      </c>
      <c r="F7452" s="149" t="n">
        <f aca="false">IF(C7452="MAT.",VLOOKUP(A7452,INSUMOS_AUX!$A$3:$H$813,6,0),0)</f>
        <v>22.9</v>
      </c>
      <c r="G7452" s="149" t="n">
        <f aca="false">IF(C7452="M.O.",VLOOKUP(A7452,INSUMOS_AUX!A:F,6,0),0)</f>
        <v>0</v>
      </c>
    </row>
    <row r="7453" customFormat="false" ht="15" hidden="false" customHeight="false" outlineLevel="0" collapsed="false">
      <c r="A7453" s="154" t="n">
        <v>3148</v>
      </c>
      <c r="B7453" s="155" t="s">
        <v>2085</v>
      </c>
      <c r="C7453" s="148" t="str">
        <f aca="false">VLOOKUP($A7453,INSUMOS_AUX!$A$3:$H$813,3,0)</f>
        <v>MAT.</v>
      </c>
      <c r="D7453" s="156" t="s">
        <v>31</v>
      </c>
      <c r="E7453" s="154" t="n">
        <v>0.0066</v>
      </c>
      <c r="F7453" s="149" t="n">
        <f aca="false">IF(C7453="MAT.",VLOOKUP(A7453,INSUMOS_AUX!$A$3:$H$813,6,0),0)</f>
        <v>14.01</v>
      </c>
      <c r="G7453" s="149" t="n">
        <f aca="false">IF(C7453="M.O.",VLOOKUP(A7453,INSUMOS_AUX!A:F,6,0),0)</f>
        <v>0</v>
      </c>
    </row>
    <row r="7454" customFormat="false" ht="15" hidden="false" customHeight="false" outlineLevel="0" collapsed="false">
      <c r="A7454" s="154" t="n">
        <v>246</v>
      </c>
      <c r="B7454" s="155" t="s">
        <v>1752</v>
      </c>
      <c r="C7454" s="148" t="str">
        <f aca="false">VLOOKUP($A7454,INSUMOS_AUX!$A$3:$H$813,3,0)</f>
        <v>M.O.</v>
      </c>
      <c r="D7454" s="156" t="s">
        <v>1444</v>
      </c>
      <c r="E7454" s="154" t="n">
        <v>0.498606604</v>
      </c>
      <c r="F7454" s="149" t="n">
        <f aca="false">IF(C7454="MAT.",VLOOKUP(A7454,INSUMOS_AUX!$A$3:$H$813,6,0),0)</f>
        <v>0</v>
      </c>
      <c r="G7454" s="149" t="n">
        <f aca="false">IF(C7454="M.O.",VLOOKUP(A7454,INSUMOS_AUX!A:F,6,0),0)</f>
        <v>13.26</v>
      </c>
    </row>
    <row r="7455" customFormat="false" ht="15" hidden="false" customHeight="false" outlineLevel="0" collapsed="false">
      <c r="A7455" s="154" t="n">
        <v>2696</v>
      </c>
      <c r="B7455" s="155" t="s">
        <v>1483</v>
      </c>
      <c r="C7455" s="148" t="str">
        <f aca="false">VLOOKUP($A7455,INSUMOS_AUX!$A$3:$H$813,3,0)</f>
        <v>M.O.</v>
      </c>
      <c r="D7455" s="156" t="s">
        <v>1444</v>
      </c>
      <c r="E7455" s="154" t="n">
        <v>0.498606604</v>
      </c>
      <c r="F7455" s="149" t="n">
        <f aca="false">IF(C7455="MAT.",VLOOKUP(A7455,INSUMOS_AUX!$A$3:$H$813,6,0),0)</f>
        <v>0</v>
      </c>
      <c r="G7455" s="149" t="n">
        <f aca="false">IF(C7455="M.O.",VLOOKUP(A7455,INSUMOS_AUX!A:F,6,0),0)</f>
        <v>20.22</v>
      </c>
    </row>
    <row r="7456" customFormat="false" ht="31.5" hidden="false" customHeight="false" outlineLevel="0" collapsed="false">
      <c r="A7456" s="150" t="n">
        <v>103291</v>
      </c>
      <c r="B7456" s="151" t="s">
        <v>2810</v>
      </c>
      <c r="C7456" s="152" t="s">
        <v>59</v>
      </c>
      <c r="D7456" s="152" t="s">
        <v>1455</v>
      </c>
      <c r="E7456" s="150"/>
      <c r="F7456" s="153" t="n">
        <f aca="false">(SUMPRODUCT($E7457:$E7468,F7457:F7468))*1</f>
        <v>57.629789</v>
      </c>
      <c r="G7456" s="153" t="n">
        <f aca="false">(SUMPRODUCT($E7457:$E7468,G7457:G7468))*1</f>
        <v>3.76515376296</v>
      </c>
    </row>
    <row r="7457" customFormat="false" ht="21" hidden="false" customHeight="false" outlineLevel="0" collapsed="false">
      <c r="A7457" s="154" t="n">
        <v>37370</v>
      </c>
      <c r="B7457" s="155" t="s">
        <v>1443</v>
      </c>
      <c r="C7457" s="148" t="str">
        <f aca="false">VLOOKUP($A7457,INSUMOS_AUX!$A$3:$H$813,3,0)</f>
        <v>MAT.</v>
      </c>
      <c r="D7457" s="156" t="s">
        <v>1444</v>
      </c>
      <c r="E7457" s="154" t="n">
        <v>0.2118</v>
      </c>
      <c r="F7457" s="149" t="n">
        <f aca="false">IF(C7457="MAT.",VLOOKUP(A7457,INSUMOS_AUX!$A$3:$H$813,6,0),0)</f>
        <v>3.32</v>
      </c>
      <c r="G7457" s="149" t="n">
        <f aca="false">IF(C7457="M.O.",VLOOKUP(A7457,INSUMOS_AUX!A:F,6,0),0)</f>
        <v>0</v>
      </c>
    </row>
    <row r="7458" customFormat="false" ht="21" hidden="false" customHeight="false" outlineLevel="0" collapsed="false">
      <c r="A7458" s="154" t="n">
        <v>43485</v>
      </c>
      <c r="B7458" s="155" t="s">
        <v>1481</v>
      </c>
      <c r="C7458" s="148" t="str">
        <f aca="false">VLOOKUP($A7458,INSUMOS_AUX!$A$3:$H$813,3,0)</f>
        <v>MAT.</v>
      </c>
      <c r="D7458" s="156" t="s">
        <v>1444</v>
      </c>
      <c r="E7458" s="154" t="n">
        <v>0.2118</v>
      </c>
      <c r="F7458" s="149" t="n">
        <f aca="false">IF(C7458="MAT.",VLOOKUP(A7458,INSUMOS_AUX!$A$3:$H$813,6,0),0)</f>
        <v>1.13</v>
      </c>
      <c r="G7458" s="149" t="n">
        <f aca="false">IF(C7458="M.O.",VLOOKUP(A7458,INSUMOS_AUX!A:F,6,0),0)</f>
        <v>0</v>
      </c>
    </row>
    <row r="7459" customFormat="false" ht="21" hidden="false" customHeight="false" outlineLevel="0" collapsed="false">
      <c r="A7459" s="154" t="n">
        <v>37372</v>
      </c>
      <c r="B7459" s="155" t="s">
        <v>1446</v>
      </c>
      <c r="C7459" s="148" t="str">
        <f aca="false">VLOOKUP($A7459,INSUMOS_AUX!$A$3:$H$813,3,0)</f>
        <v>MAT.</v>
      </c>
      <c r="D7459" s="156" t="s">
        <v>1444</v>
      </c>
      <c r="E7459" s="154" t="n">
        <v>0.2118</v>
      </c>
      <c r="F7459" s="149" t="n">
        <f aca="false">IF(C7459="MAT.",VLOOKUP(A7459,INSUMOS_AUX!$A$3:$H$813,6,0),0)</f>
        <v>1.43</v>
      </c>
      <c r="G7459" s="149" t="n">
        <f aca="false">IF(C7459="M.O.",VLOOKUP(A7459,INSUMOS_AUX!A:F,6,0),0)</f>
        <v>0</v>
      </c>
    </row>
    <row r="7460" customFormat="false" ht="21" hidden="false" customHeight="false" outlineLevel="0" collapsed="false">
      <c r="A7460" s="154" t="n">
        <v>43461</v>
      </c>
      <c r="B7460" s="155" t="s">
        <v>1482</v>
      </c>
      <c r="C7460" s="148" t="str">
        <f aca="false">VLOOKUP($A7460,INSUMOS_AUX!$A$3:$H$813,3,0)</f>
        <v>MAT.</v>
      </c>
      <c r="D7460" s="156" t="s">
        <v>1444</v>
      </c>
      <c r="E7460" s="154" t="n">
        <v>0.2118</v>
      </c>
      <c r="F7460" s="149" t="n">
        <f aca="false">IF(C7460="MAT.",VLOOKUP(A7460,INSUMOS_AUX!$A$3:$H$813,6,0),0)</f>
        <v>0.31</v>
      </c>
      <c r="G7460" s="149" t="n">
        <f aca="false">IF(C7460="M.O.",VLOOKUP(A7460,INSUMOS_AUX!A:F,6,0),0)</f>
        <v>0</v>
      </c>
    </row>
    <row r="7461" customFormat="false" ht="21" hidden="false" customHeight="false" outlineLevel="0" collapsed="false">
      <c r="A7461" s="154" t="n">
        <v>37373</v>
      </c>
      <c r="B7461" s="155" t="s">
        <v>1448</v>
      </c>
      <c r="C7461" s="148" t="str">
        <f aca="false">VLOOKUP($A7461,INSUMOS_AUX!$A$3:$H$813,3,0)</f>
        <v>MAT.</v>
      </c>
      <c r="D7461" s="156" t="s">
        <v>1444</v>
      </c>
      <c r="E7461" s="154" t="n">
        <v>0.2118</v>
      </c>
      <c r="F7461" s="149" t="n">
        <f aca="false">IF(C7461="MAT.",VLOOKUP(A7461,INSUMOS_AUX!$A$3:$H$813,6,0),0)</f>
        <v>0.08</v>
      </c>
      <c r="G7461" s="149" t="n">
        <f aca="false">IF(C7461="M.O.",VLOOKUP(A7461,INSUMOS_AUX!A:F,6,0),0)</f>
        <v>0</v>
      </c>
    </row>
    <row r="7462" customFormat="false" ht="21" hidden="false" customHeight="false" outlineLevel="0" collapsed="false">
      <c r="A7462" s="154" t="n">
        <v>37371</v>
      </c>
      <c r="B7462" s="155" t="s">
        <v>1449</v>
      </c>
      <c r="C7462" s="148" t="str">
        <f aca="false">VLOOKUP($A7462,INSUMOS_AUX!$A$3:$H$813,3,0)</f>
        <v>MAT.</v>
      </c>
      <c r="D7462" s="156" t="s">
        <v>1444</v>
      </c>
      <c r="E7462" s="154" t="n">
        <v>0.2118</v>
      </c>
      <c r="F7462" s="149" t="n">
        <f aca="false">IF(C7462="MAT.",VLOOKUP(A7462,INSUMOS_AUX!$A$3:$H$813,6,0),0)</f>
        <v>0.59</v>
      </c>
      <c r="G7462" s="149" t="n">
        <f aca="false">IF(C7462="M.O.",VLOOKUP(A7462,INSUMOS_AUX!A:F,6,0),0)</f>
        <v>0</v>
      </c>
    </row>
    <row r="7463" customFormat="false" ht="21" hidden="false" customHeight="false" outlineLevel="0" collapsed="false">
      <c r="A7463" s="154" t="n">
        <v>408</v>
      </c>
      <c r="B7463" s="155" t="s">
        <v>2811</v>
      </c>
      <c r="C7463" s="148" t="str">
        <f aca="false">VLOOKUP($A7463,INSUMOS_AUX!$A$3:$H$813,3,0)</f>
        <v>MAT.</v>
      </c>
      <c r="D7463" s="156" t="s">
        <v>31</v>
      </c>
      <c r="E7463" s="154" t="n">
        <v>1.3333</v>
      </c>
      <c r="F7463" s="149" t="n">
        <f aca="false">IF(C7463="MAT.",VLOOKUP(A7463,INSUMOS_AUX!$A$3:$H$813,6,0),0)</f>
        <v>0.74</v>
      </c>
      <c r="G7463" s="149" t="n">
        <f aca="false">IF(C7463="M.O.",VLOOKUP(A7463,INSUMOS_AUX!A:F,6,0),0)</f>
        <v>0</v>
      </c>
    </row>
    <row r="7464" customFormat="false" ht="31.5" hidden="false" customHeight="false" outlineLevel="0" collapsed="false">
      <c r="A7464" s="154" t="n">
        <v>4350</v>
      </c>
      <c r="B7464" s="155" t="s">
        <v>2668</v>
      </c>
      <c r="C7464" s="148" t="str">
        <f aca="false">VLOOKUP($A7464,INSUMOS_AUX!$A$3:$H$813,3,0)</f>
        <v>MAT.</v>
      </c>
      <c r="D7464" s="156" t="s">
        <v>31</v>
      </c>
      <c r="E7464" s="154" t="n">
        <v>1.4</v>
      </c>
      <c r="F7464" s="149" t="n">
        <f aca="false">IF(C7464="MAT.",VLOOKUP(A7464,INSUMOS_AUX!$A$3:$H$813,6,0),0)</f>
        <v>0.7</v>
      </c>
      <c r="G7464" s="149" t="n">
        <f aca="false">IF(C7464="M.O.",VLOOKUP(A7464,INSUMOS_AUX!A:F,6,0),0)</f>
        <v>0</v>
      </c>
    </row>
    <row r="7465" customFormat="false" ht="42" hidden="false" customHeight="false" outlineLevel="0" collapsed="false">
      <c r="A7465" s="154" t="n">
        <v>39737</v>
      </c>
      <c r="B7465" s="155" t="s">
        <v>2812</v>
      </c>
      <c r="C7465" s="148" t="str">
        <f aca="false">VLOOKUP($A7465,INSUMOS_AUX!$A$3:$H$813,3,0)</f>
        <v>MAT.</v>
      </c>
      <c r="D7465" s="156" t="s">
        <v>1455</v>
      </c>
      <c r="E7465" s="154" t="n">
        <v>1.0211</v>
      </c>
      <c r="F7465" s="149" t="n">
        <f aca="false">IF(C7465="MAT.",VLOOKUP(A7465,INSUMOS_AUX!$A$3:$H$813,6,0),0)</f>
        <v>10.09</v>
      </c>
      <c r="G7465" s="149" t="n">
        <f aca="false">IF(C7465="M.O.",VLOOKUP(A7465,INSUMOS_AUX!A:F,6,0),0)</f>
        <v>0</v>
      </c>
    </row>
    <row r="7466" customFormat="false" ht="21" hidden="false" customHeight="false" outlineLevel="0" collapsed="false">
      <c r="A7466" s="154" t="n">
        <v>39660</v>
      </c>
      <c r="B7466" s="155" t="s">
        <v>2813</v>
      </c>
      <c r="C7466" s="148" t="str">
        <f aca="false">VLOOKUP($A7466,INSUMOS_AUX!$A$3:$H$813,3,0)</f>
        <v>MAT.</v>
      </c>
      <c r="D7466" s="156" t="s">
        <v>1455</v>
      </c>
      <c r="E7466" s="154" t="n">
        <v>1.0211</v>
      </c>
      <c r="F7466" s="149" t="n">
        <f aca="false">IF(C7466="MAT.",VLOOKUP(A7466,INSUMOS_AUX!$A$3:$H$813,6,0),0)</f>
        <v>43</v>
      </c>
      <c r="G7466" s="149" t="n">
        <f aca="false">IF(C7466="M.O.",VLOOKUP(A7466,INSUMOS_AUX!A:F,6,0),0)</f>
        <v>0</v>
      </c>
    </row>
    <row r="7467" customFormat="false" ht="15" hidden="false" customHeight="false" outlineLevel="0" collapsed="false">
      <c r="A7467" s="154" t="n">
        <v>246</v>
      </c>
      <c r="B7467" s="155" t="s">
        <v>1752</v>
      </c>
      <c r="C7467" s="148" t="str">
        <f aca="false">VLOOKUP($A7467,INSUMOS_AUX!$A$3:$H$813,3,0)</f>
        <v>M.O.</v>
      </c>
      <c r="D7467" s="156" t="s">
        <v>1444</v>
      </c>
      <c r="E7467" s="154" t="n">
        <v>0.085408522</v>
      </c>
      <c r="F7467" s="149" t="n">
        <f aca="false">IF(C7467="MAT.",VLOOKUP(A7467,INSUMOS_AUX!$A$3:$H$813,6,0),0)</f>
        <v>0</v>
      </c>
      <c r="G7467" s="149" t="n">
        <f aca="false">IF(C7467="M.O.",VLOOKUP(A7467,INSUMOS_AUX!A:F,6,0),0)</f>
        <v>13.26</v>
      </c>
    </row>
    <row r="7468" customFormat="false" ht="15" hidden="false" customHeight="false" outlineLevel="0" collapsed="false">
      <c r="A7468" s="154" t="n">
        <v>2696</v>
      </c>
      <c r="B7468" s="155" t="s">
        <v>1483</v>
      </c>
      <c r="C7468" s="148" t="str">
        <f aca="false">VLOOKUP($A7468,INSUMOS_AUX!$A$3:$H$813,3,0)</f>
        <v>M.O.</v>
      </c>
      <c r="D7468" s="156" t="s">
        <v>1444</v>
      </c>
      <c r="E7468" s="154" t="n">
        <v>0.130199642</v>
      </c>
      <c r="F7468" s="149" t="n">
        <f aca="false">IF(C7468="MAT.",VLOOKUP(A7468,INSUMOS_AUX!$A$3:$H$813,6,0),0)</f>
        <v>0</v>
      </c>
      <c r="G7468" s="149" t="n">
        <f aca="false">IF(C7468="M.O.",VLOOKUP(A7468,INSUMOS_AUX!A:F,6,0),0)</f>
        <v>20.22</v>
      </c>
    </row>
    <row r="7469" customFormat="false" ht="31.5" hidden="false" customHeight="false" outlineLevel="0" collapsed="false">
      <c r="A7469" s="150" t="n">
        <v>103289</v>
      </c>
      <c r="B7469" s="151" t="s">
        <v>2814</v>
      </c>
      <c r="C7469" s="152" t="s">
        <v>59</v>
      </c>
      <c r="D7469" s="152" t="s">
        <v>1455</v>
      </c>
      <c r="E7469" s="150"/>
      <c r="F7469" s="153" t="n">
        <f aca="false">(SUMPRODUCT($E7470:$E7481,F7470:F7481))*1</f>
        <v>27.968618</v>
      </c>
      <c r="G7469" s="153" t="n">
        <f aca="false">(SUMPRODUCT($E7470:$E7481,G7470:G7481))*1</f>
        <v>3.35617011816</v>
      </c>
    </row>
    <row r="7470" customFormat="false" ht="21" hidden="false" customHeight="false" outlineLevel="0" collapsed="false">
      <c r="A7470" s="154" t="n">
        <v>37370</v>
      </c>
      <c r="B7470" s="155" t="s">
        <v>1443</v>
      </c>
      <c r="C7470" s="148" t="str">
        <f aca="false">VLOOKUP($A7470,INSUMOS_AUX!$A$3:$H$813,3,0)</f>
        <v>MAT.</v>
      </c>
      <c r="D7470" s="156" t="s">
        <v>1444</v>
      </c>
      <c r="E7470" s="154" t="n">
        <v>0.1878</v>
      </c>
      <c r="F7470" s="149" t="n">
        <f aca="false">IF(C7470="MAT.",VLOOKUP(A7470,INSUMOS_AUX!$A$3:$H$813,6,0),0)</f>
        <v>3.32</v>
      </c>
      <c r="G7470" s="149" t="n">
        <f aca="false">IF(C7470="M.O.",VLOOKUP(A7470,INSUMOS_AUX!A:F,6,0),0)</f>
        <v>0</v>
      </c>
    </row>
    <row r="7471" customFormat="false" ht="21" hidden="false" customHeight="false" outlineLevel="0" collapsed="false">
      <c r="A7471" s="154" t="n">
        <v>43485</v>
      </c>
      <c r="B7471" s="155" t="s">
        <v>1481</v>
      </c>
      <c r="C7471" s="148" t="str">
        <f aca="false">VLOOKUP($A7471,INSUMOS_AUX!$A$3:$H$813,3,0)</f>
        <v>MAT.</v>
      </c>
      <c r="D7471" s="156" t="s">
        <v>1444</v>
      </c>
      <c r="E7471" s="154" t="n">
        <v>0.1878</v>
      </c>
      <c r="F7471" s="149" t="n">
        <f aca="false">IF(C7471="MAT.",VLOOKUP(A7471,INSUMOS_AUX!$A$3:$H$813,6,0),0)</f>
        <v>1.13</v>
      </c>
      <c r="G7471" s="149" t="n">
        <f aca="false">IF(C7471="M.O.",VLOOKUP(A7471,INSUMOS_AUX!A:F,6,0),0)</f>
        <v>0</v>
      </c>
    </row>
    <row r="7472" customFormat="false" ht="21" hidden="false" customHeight="false" outlineLevel="0" collapsed="false">
      <c r="A7472" s="154" t="n">
        <v>37372</v>
      </c>
      <c r="B7472" s="155" t="s">
        <v>1446</v>
      </c>
      <c r="C7472" s="148" t="str">
        <f aca="false">VLOOKUP($A7472,INSUMOS_AUX!$A$3:$H$813,3,0)</f>
        <v>MAT.</v>
      </c>
      <c r="D7472" s="156" t="s">
        <v>1444</v>
      </c>
      <c r="E7472" s="154" t="n">
        <v>0.1878</v>
      </c>
      <c r="F7472" s="149" t="n">
        <f aca="false">IF(C7472="MAT.",VLOOKUP(A7472,INSUMOS_AUX!$A$3:$H$813,6,0),0)</f>
        <v>1.43</v>
      </c>
      <c r="G7472" s="149" t="n">
        <f aca="false">IF(C7472="M.O.",VLOOKUP(A7472,INSUMOS_AUX!A:F,6,0),0)</f>
        <v>0</v>
      </c>
    </row>
    <row r="7473" customFormat="false" ht="21" hidden="false" customHeight="false" outlineLevel="0" collapsed="false">
      <c r="A7473" s="154" t="n">
        <v>43461</v>
      </c>
      <c r="B7473" s="155" t="s">
        <v>1482</v>
      </c>
      <c r="C7473" s="148" t="s">
        <v>59</v>
      </c>
      <c r="D7473" s="156" t="s">
        <v>1444</v>
      </c>
      <c r="E7473" s="154" t="n">
        <v>0.1878</v>
      </c>
      <c r="F7473" s="149" t="n">
        <f aca="false">IF(C7473="MAT.",VLOOKUP(A7473,INSUMOS_AUX!$A$3:$H$813,6,0),0)</f>
        <v>0</v>
      </c>
      <c r="G7473" s="149" t="n">
        <f aca="false">IF(C7473="M.O.",VLOOKUP(A7473,INSUMOS_AUX!A:F,6,0),0)</f>
        <v>0</v>
      </c>
    </row>
    <row r="7474" customFormat="false" ht="21" hidden="false" customHeight="false" outlineLevel="0" collapsed="false">
      <c r="A7474" s="154" t="n">
        <v>37373</v>
      </c>
      <c r="B7474" s="155" t="s">
        <v>1448</v>
      </c>
      <c r="C7474" s="148" t="str">
        <f aca="false">VLOOKUP($A7474,INSUMOS_AUX!$A$3:$H$813,3,0)</f>
        <v>MAT.</v>
      </c>
      <c r="D7474" s="156" t="s">
        <v>1444</v>
      </c>
      <c r="E7474" s="154" t="n">
        <v>0.1878</v>
      </c>
      <c r="F7474" s="149" t="n">
        <f aca="false">IF(C7474="MAT.",VLOOKUP(A7474,INSUMOS_AUX!$A$3:$H$813,6,0),0)</f>
        <v>0.08</v>
      </c>
      <c r="G7474" s="149" t="n">
        <f aca="false">IF(C7474="M.O.",VLOOKUP(A7474,INSUMOS_AUX!A:F,6,0),0)</f>
        <v>0</v>
      </c>
    </row>
    <row r="7475" customFormat="false" ht="21" hidden="false" customHeight="false" outlineLevel="0" collapsed="false">
      <c r="A7475" s="154" t="n">
        <v>37371</v>
      </c>
      <c r="B7475" s="155" t="s">
        <v>1449</v>
      </c>
      <c r="C7475" s="148" t="str">
        <f aca="false">VLOOKUP($A7475,INSUMOS_AUX!$A$3:$H$813,3,0)</f>
        <v>MAT.</v>
      </c>
      <c r="D7475" s="156" t="s">
        <v>1444</v>
      </c>
      <c r="E7475" s="154" t="n">
        <v>0.1878</v>
      </c>
      <c r="F7475" s="149" t="n">
        <f aca="false">IF(C7475="MAT.",VLOOKUP(A7475,INSUMOS_AUX!$A$3:$H$813,6,0),0)</f>
        <v>0.59</v>
      </c>
      <c r="G7475" s="149" t="n">
        <f aca="false">IF(C7475="M.O.",VLOOKUP(A7475,INSUMOS_AUX!A:F,6,0),0)</f>
        <v>0</v>
      </c>
    </row>
    <row r="7476" customFormat="false" ht="21" hidden="false" customHeight="false" outlineLevel="0" collapsed="false">
      <c r="A7476" s="154" t="n">
        <v>408</v>
      </c>
      <c r="B7476" s="155" t="s">
        <v>2811</v>
      </c>
      <c r="C7476" s="148" t="str">
        <f aca="false">VLOOKUP($A7476,INSUMOS_AUX!$A$3:$H$813,3,0)</f>
        <v>MAT.</v>
      </c>
      <c r="D7476" s="156" t="s">
        <v>31</v>
      </c>
      <c r="E7476" s="154" t="n">
        <v>1.3333</v>
      </c>
      <c r="F7476" s="149" t="n">
        <f aca="false">IF(C7476="MAT.",VLOOKUP(A7476,INSUMOS_AUX!$A$3:$H$813,6,0),0)</f>
        <v>0.74</v>
      </c>
      <c r="G7476" s="149" t="n">
        <f aca="false">IF(C7476="M.O.",VLOOKUP(A7476,INSUMOS_AUX!A:F,6,0),0)</f>
        <v>0</v>
      </c>
    </row>
    <row r="7477" customFormat="false" ht="31.5" hidden="false" customHeight="false" outlineLevel="0" collapsed="false">
      <c r="A7477" s="154" t="n">
        <v>4350</v>
      </c>
      <c r="B7477" s="155" t="s">
        <v>2668</v>
      </c>
      <c r="C7477" s="148" t="str">
        <f aca="false">VLOOKUP($A7477,INSUMOS_AUX!$A$3:$H$813,3,0)</f>
        <v>MAT.</v>
      </c>
      <c r="D7477" s="156" t="s">
        <v>31</v>
      </c>
      <c r="E7477" s="154" t="n">
        <v>1.4</v>
      </c>
      <c r="F7477" s="149" t="n">
        <f aca="false">IF(C7477="MAT.",VLOOKUP(A7477,INSUMOS_AUX!$A$3:$H$813,6,0),0)</f>
        <v>0.7</v>
      </c>
      <c r="G7477" s="149" t="n">
        <f aca="false">IF(C7477="M.O.",VLOOKUP(A7477,INSUMOS_AUX!A:F,6,0),0)</f>
        <v>0</v>
      </c>
    </row>
    <row r="7478" customFormat="false" ht="42" hidden="false" customHeight="false" outlineLevel="0" collapsed="false">
      <c r="A7478" s="154" t="n">
        <v>39738</v>
      </c>
      <c r="B7478" s="155" t="s">
        <v>2815</v>
      </c>
      <c r="C7478" s="148" t="str">
        <f aca="false">VLOOKUP($A7478,INSUMOS_AUX!$A$3:$H$813,3,0)</f>
        <v>MAT.</v>
      </c>
      <c r="D7478" s="156" t="s">
        <v>1455</v>
      </c>
      <c r="E7478" s="154" t="n">
        <v>1.0211</v>
      </c>
      <c r="F7478" s="149" t="n">
        <f aca="false">IF(C7478="MAT.",VLOOKUP(A7478,INSUMOS_AUX!$A$3:$H$813,6,0),0)</f>
        <v>3.65</v>
      </c>
      <c r="G7478" s="149" t="n">
        <f aca="false">IF(C7478="M.O.",VLOOKUP(A7478,INSUMOS_AUX!A:F,6,0),0)</f>
        <v>0</v>
      </c>
    </row>
    <row r="7479" customFormat="false" ht="21" hidden="false" customHeight="false" outlineLevel="0" collapsed="false">
      <c r="A7479" s="154" t="n">
        <v>39662</v>
      </c>
      <c r="B7479" s="155" t="s">
        <v>2816</v>
      </c>
      <c r="C7479" s="148" t="str">
        <f aca="false">VLOOKUP($A7479,INSUMOS_AUX!$A$3:$H$813,3,0)</f>
        <v>MAT.</v>
      </c>
      <c r="D7479" s="156" t="s">
        <v>1455</v>
      </c>
      <c r="E7479" s="154" t="n">
        <v>1.0211</v>
      </c>
      <c r="F7479" s="149" t="n">
        <f aca="false">IF(C7479="MAT.",VLOOKUP(A7479,INSUMOS_AUX!$A$3:$H$813,6,0),0)</f>
        <v>20.61</v>
      </c>
      <c r="G7479" s="149" t="n">
        <f aca="false">IF(C7479="M.O.",VLOOKUP(A7479,INSUMOS_AUX!A:F,6,0),0)</f>
        <v>0</v>
      </c>
    </row>
    <row r="7480" customFormat="false" ht="15" hidden="false" customHeight="false" outlineLevel="0" collapsed="false">
      <c r="A7480" s="154" t="n">
        <v>246</v>
      </c>
      <c r="B7480" s="155" t="s">
        <v>1752</v>
      </c>
      <c r="C7480" s="148" t="str">
        <f aca="false">VLOOKUP($A7480,INSUMOS_AUX!$A$3:$H$813,3,0)</f>
        <v>M.O.</v>
      </c>
      <c r="D7480" s="156" t="s">
        <v>1444</v>
      </c>
      <c r="E7480" s="154" t="n">
        <v>0.073192762</v>
      </c>
      <c r="F7480" s="149" t="n">
        <f aca="false">IF(C7480="MAT.",VLOOKUP(A7480,INSUMOS_AUX!$A$3:$H$813,6,0),0)</f>
        <v>0</v>
      </c>
      <c r="G7480" s="149" t="n">
        <f aca="false">IF(C7480="M.O.",VLOOKUP(A7480,INSUMOS_AUX!A:F,6,0),0)</f>
        <v>13.26</v>
      </c>
    </row>
    <row r="7481" customFormat="false" ht="15" hidden="false" customHeight="false" outlineLevel="0" collapsed="false">
      <c r="A7481" s="154" t="n">
        <v>2696</v>
      </c>
      <c r="B7481" s="155" t="s">
        <v>1483</v>
      </c>
      <c r="C7481" s="148" t="str">
        <f aca="false">VLOOKUP($A7481,INSUMOS_AUX!$A$3:$H$813,3,0)</f>
        <v>M.O.</v>
      </c>
      <c r="D7481" s="156" t="s">
        <v>1444</v>
      </c>
      <c r="E7481" s="154" t="n">
        <v>0.117983882</v>
      </c>
      <c r="F7481" s="149" t="n">
        <f aca="false">IF(C7481="MAT.",VLOOKUP(A7481,INSUMOS_AUX!$A$3:$H$813,6,0),0)</f>
        <v>0</v>
      </c>
      <c r="G7481" s="149" t="n">
        <f aca="false">IF(C7481="M.O.",VLOOKUP(A7481,INSUMOS_AUX!A:F,6,0),0)</f>
        <v>20.22</v>
      </c>
    </row>
    <row r="7482" customFormat="false" ht="31.5" hidden="false" customHeight="false" outlineLevel="0" collapsed="false">
      <c r="A7482" s="150" t="n">
        <v>103290</v>
      </c>
      <c r="B7482" s="151" t="s">
        <v>2817</v>
      </c>
      <c r="C7482" s="152" t="s">
        <v>59</v>
      </c>
      <c r="D7482" s="152" t="s">
        <v>1455</v>
      </c>
      <c r="E7482" s="150"/>
      <c r="F7482" s="153" t="n">
        <f aca="false">(SUMPRODUCT($E7483:$E7494,F7483:F7494))*1</f>
        <v>12.710968</v>
      </c>
      <c r="G7482" s="153" t="n">
        <f aca="false">(SUMPRODUCT($E7483:$E7494,G7483:G7494))*1</f>
        <v>3.56066194056</v>
      </c>
    </row>
    <row r="7483" customFormat="false" ht="21" hidden="false" customHeight="false" outlineLevel="0" collapsed="false">
      <c r="A7483" s="154" t="n">
        <v>37370</v>
      </c>
      <c r="B7483" s="155" t="s">
        <v>1443</v>
      </c>
      <c r="C7483" s="148" t="str">
        <f aca="false">VLOOKUP($A7483,INSUMOS_AUX!$A$3:$H$813,3,0)</f>
        <v>MAT.</v>
      </c>
      <c r="D7483" s="156" t="s">
        <v>1444</v>
      </c>
      <c r="E7483" s="154" t="n">
        <v>0.1998</v>
      </c>
      <c r="F7483" s="149" t="n">
        <f aca="false">IF(C7483="MAT.",VLOOKUP(A7483,INSUMOS_AUX!$A$3:$H$813,6,0),0)</f>
        <v>3.32</v>
      </c>
      <c r="G7483" s="149" t="n">
        <f aca="false">IF(C7483="M.O.",VLOOKUP(A7483,INSUMOS_AUX!A:F,6,0),0)</f>
        <v>0</v>
      </c>
    </row>
    <row r="7484" customFormat="false" ht="21" hidden="false" customHeight="false" outlineLevel="0" collapsed="false">
      <c r="A7484" s="154" t="n">
        <v>43485</v>
      </c>
      <c r="B7484" s="155" t="s">
        <v>1481</v>
      </c>
      <c r="C7484" s="148" t="str">
        <f aca="false">VLOOKUP($A7484,INSUMOS_AUX!$A$3:$H$813,3,0)</f>
        <v>MAT.</v>
      </c>
      <c r="D7484" s="156" t="s">
        <v>1444</v>
      </c>
      <c r="E7484" s="154" t="n">
        <v>0.1998</v>
      </c>
      <c r="F7484" s="149" t="n">
        <f aca="false">IF(C7484="MAT.",VLOOKUP(A7484,INSUMOS_AUX!$A$3:$H$813,6,0),0)</f>
        <v>1.13</v>
      </c>
      <c r="G7484" s="149" t="n">
        <f aca="false">IF(C7484="M.O.",VLOOKUP(A7484,INSUMOS_AUX!A:F,6,0),0)</f>
        <v>0</v>
      </c>
    </row>
    <row r="7485" customFormat="false" ht="21" hidden="false" customHeight="false" outlineLevel="0" collapsed="false">
      <c r="A7485" s="154" t="n">
        <v>37372</v>
      </c>
      <c r="B7485" s="155" t="s">
        <v>1446</v>
      </c>
      <c r="C7485" s="148" t="str">
        <f aca="false">VLOOKUP($A7485,INSUMOS_AUX!$A$3:$H$813,3,0)</f>
        <v>MAT.</v>
      </c>
      <c r="D7485" s="156" t="s">
        <v>1444</v>
      </c>
      <c r="E7485" s="154" t="n">
        <v>0.1998</v>
      </c>
      <c r="F7485" s="149" t="n">
        <f aca="false">IF(C7485="MAT.",VLOOKUP(A7485,INSUMOS_AUX!$A$3:$H$813,6,0),0)</f>
        <v>1.43</v>
      </c>
      <c r="G7485" s="149" t="n">
        <f aca="false">IF(C7485="M.O.",VLOOKUP(A7485,INSUMOS_AUX!A:F,6,0),0)</f>
        <v>0</v>
      </c>
    </row>
    <row r="7486" customFormat="false" ht="21" hidden="false" customHeight="false" outlineLevel="0" collapsed="false">
      <c r="A7486" s="154" t="n">
        <v>43461</v>
      </c>
      <c r="B7486" s="155" t="s">
        <v>1482</v>
      </c>
      <c r="C7486" s="148" t="str">
        <f aca="false">VLOOKUP($A7486,INSUMOS_AUX!$A$3:$H$813,3,0)</f>
        <v>MAT.</v>
      </c>
      <c r="D7486" s="156" t="s">
        <v>1444</v>
      </c>
      <c r="E7486" s="154" t="n">
        <v>0.1998</v>
      </c>
      <c r="F7486" s="149" t="n">
        <f aca="false">IF(C7486="MAT.",VLOOKUP(A7486,INSUMOS_AUX!$A$3:$H$813,6,0),0)</f>
        <v>0.31</v>
      </c>
      <c r="G7486" s="149" t="n">
        <f aca="false">IF(C7486="M.O.",VLOOKUP(A7486,INSUMOS_AUX!A:F,6,0),0)</f>
        <v>0</v>
      </c>
    </row>
    <row r="7487" customFormat="false" ht="21" hidden="false" customHeight="false" outlineLevel="0" collapsed="false">
      <c r="A7487" s="154" t="n">
        <v>37373</v>
      </c>
      <c r="B7487" s="155" t="s">
        <v>1448</v>
      </c>
      <c r="C7487" s="148" t="str">
        <f aca="false">VLOOKUP($A7487,INSUMOS_AUX!$A$3:$H$813,3,0)</f>
        <v>MAT.</v>
      </c>
      <c r="D7487" s="156" t="s">
        <v>1444</v>
      </c>
      <c r="E7487" s="154" t="n">
        <v>0.1998</v>
      </c>
      <c r="F7487" s="149" t="n">
        <f aca="false">IF(C7487="MAT.",VLOOKUP(A7487,INSUMOS_AUX!$A$3:$H$813,6,0),0)</f>
        <v>0.08</v>
      </c>
      <c r="G7487" s="149" t="n">
        <f aca="false">IF(C7487="M.O.",VLOOKUP(A7487,INSUMOS_AUX!A:F,6,0),0)</f>
        <v>0</v>
      </c>
    </row>
    <row r="7488" customFormat="false" ht="21" hidden="false" customHeight="false" outlineLevel="0" collapsed="false">
      <c r="A7488" s="154" t="n">
        <v>37371</v>
      </c>
      <c r="B7488" s="155" t="s">
        <v>1449</v>
      </c>
      <c r="C7488" s="148" t="str">
        <f aca="false">VLOOKUP($A7488,INSUMOS_AUX!$A$3:$H$813,3,0)</f>
        <v>MAT.</v>
      </c>
      <c r="D7488" s="156" t="s">
        <v>1444</v>
      </c>
      <c r="E7488" s="154" t="n">
        <v>0.1998</v>
      </c>
      <c r="F7488" s="149" t="n">
        <f aca="false">IF(C7488="MAT.",VLOOKUP(A7488,INSUMOS_AUX!$A$3:$H$813,6,0),0)</f>
        <v>0.59</v>
      </c>
      <c r="G7488" s="149" t="n">
        <f aca="false">IF(C7488="M.O.",VLOOKUP(A7488,INSUMOS_AUX!A:F,6,0),0)</f>
        <v>0</v>
      </c>
    </row>
    <row r="7489" customFormat="false" ht="21" hidden="false" customHeight="false" outlineLevel="0" collapsed="false">
      <c r="A7489" s="154" t="n">
        <v>408</v>
      </c>
      <c r="B7489" s="155" t="s">
        <v>2811</v>
      </c>
      <c r="C7489" s="148" t="str">
        <f aca="false">VLOOKUP($A7489,INSUMOS_AUX!$A$3:$H$813,3,0)</f>
        <v>MAT.</v>
      </c>
      <c r="D7489" s="156" t="s">
        <v>31</v>
      </c>
      <c r="E7489" s="154" t="n">
        <v>1.3333</v>
      </c>
      <c r="F7489" s="149" t="n">
        <f aca="false">IF(C7489="MAT.",VLOOKUP(A7489,INSUMOS_AUX!$A$3:$H$813,6,0),0)</f>
        <v>0.74</v>
      </c>
      <c r="G7489" s="149" t="n">
        <f aca="false">IF(C7489="M.O.",VLOOKUP(A7489,INSUMOS_AUX!A:F,6,0),0)</f>
        <v>0</v>
      </c>
    </row>
    <row r="7490" customFormat="false" ht="31.5" hidden="false" customHeight="false" outlineLevel="0" collapsed="false">
      <c r="A7490" s="154" t="n">
        <v>4350</v>
      </c>
      <c r="B7490" s="155" t="s">
        <v>2668</v>
      </c>
      <c r="C7490" s="148" t="str">
        <f aca="false">VLOOKUP($A7490,INSUMOS_AUX!$A$3:$H$813,3,0)</f>
        <v>MAT.</v>
      </c>
      <c r="D7490" s="156" t="s">
        <v>31</v>
      </c>
      <c r="E7490" s="154" t="n">
        <v>1.4</v>
      </c>
      <c r="F7490" s="149" t="n">
        <f aca="false">IF(C7490="MAT.",VLOOKUP(A7490,INSUMOS_AUX!$A$3:$H$813,6,0),0)</f>
        <v>0.7</v>
      </c>
      <c r="G7490" s="149" t="n">
        <f aca="false">IF(C7490="M.O.",VLOOKUP(A7490,INSUMOS_AUX!A:F,6,0),0)</f>
        <v>0</v>
      </c>
    </row>
    <row r="7491" customFormat="false" ht="42" hidden="false" customHeight="false" outlineLevel="0" collapsed="false">
      <c r="A7491" s="154" t="n">
        <v>39741</v>
      </c>
      <c r="B7491" s="155" t="s">
        <v>2818</v>
      </c>
      <c r="C7491" s="148" t="str">
        <f aca="false">VLOOKUP($A7491,INSUMOS_AUX!$A$3:$H$813,3,0)</f>
        <v>MAT.</v>
      </c>
      <c r="D7491" s="156" t="s">
        <v>1455</v>
      </c>
      <c r="E7491" s="154" t="n">
        <v>1.0211</v>
      </c>
      <c r="F7491" s="149" t="n">
        <f aca="false">IF(C7491="MAT.",VLOOKUP(A7491,INSUMOS_AUX!$A$3:$H$813,6,0),0)</f>
        <v>9.18</v>
      </c>
      <c r="G7491" s="149" t="n">
        <f aca="false">IF(C7491="M.O.",VLOOKUP(A7491,INSUMOS_AUX!A:F,6,0),0)</f>
        <v>0</v>
      </c>
    </row>
    <row r="7492" customFormat="false" ht="21" hidden="false" customHeight="false" outlineLevel="0" collapsed="false">
      <c r="A7492" s="154" t="n">
        <v>39664</v>
      </c>
      <c r="B7492" s="155" t="s">
        <v>2819</v>
      </c>
      <c r="C7492" s="148" t="s">
        <v>59</v>
      </c>
      <c r="D7492" s="156" t="s">
        <v>1455</v>
      </c>
      <c r="E7492" s="154" t="n">
        <v>1.0211</v>
      </c>
      <c r="F7492" s="149" t="n">
        <f aca="false">IF(C7492="MAT.",VLOOKUP(A7492,INSUMOS_AUX!$A$3:$H$813,6,0),0)</f>
        <v>0</v>
      </c>
      <c r="G7492" s="149" t="n">
        <f aca="false">IF(C7492="M.O.",VLOOKUP(A7492,INSUMOS_AUX!A:F,6,0),0)</f>
        <v>0</v>
      </c>
    </row>
    <row r="7493" customFormat="false" ht="15" hidden="false" customHeight="false" outlineLevel="0" collapsed="false">
      <c r="A7493" s="154" t="n">
        <v>246</v>
      </c>
      <c r="B7493" s="155" t="s">
        <v>1752</v>
      </c>
      <c r="C7493" s="148" t="str">
        <f aca="false">VLOOKUP($A7493,INSUMOS_AUX!$A$3:$H$813,3,0)</f>
        <v>M.O.</v>
      </c>
      <c r="D7493" s="156" t="s">
        <v>1444</v>
      </c>
      <c r="E7493" s="154" t="n">
        <v>0.079300642</v>
      </c>
      <c r="F7493" s="149" t="n">
        <f aca="false">IF(C7493="MAT.",VLOOKUP(A7493,INSUMOS_AUX!$A$3:$H$813,6,0),0)</f>
        <v>0</v>
      </c>
      <c r="G7493" s="149" t="n">
        <f aca="false">IF(C7493="M.O.",VLOOKUP(A7493,INSUMOS_AUX!A:F,6,0),0)</f>
        <v>13.26</v>
      </c>
    </row>
    <row r="7494" customFormat="false" ht="15" hidden="false" customHeight="false" outlineLevel="0" collapsed="false">
      <c r="A7494" s="154" t="n">
        <v>2696</v>
      </c>
      <c r="B7494" s="155" t="s">
        <v>1483</v>
      </c>
      <c r="C7494" s="148" t="str">
        <f aca="false">VLOOKUP($A7494,INSUMOS_AUX!$A$3:$H$813,3,0)</f>
        <v>M.O.</v>
      </c>
      <c r="D7494" s="156" t="s">
        <v>1444</v>
      </c>
      <c r="E7494" s="154" t="n">
        <v>0.124091762</v>
      </c>
      <c r="F7494" s="149" t="n">
        <f aca="false">IF(C7494="MAT.",VLOOKUP(A7494,INSUMOS_AUX!$A$3:$H$813,6,0),0)</f>
        <v>0</v>
      </c>
      <c r="G7494" s="149" t="n">
        <f aca="false">IF(C7494="M.O.",VLOOKUP(A7494,INSUMOS_AUX!A:F,6,0),0)</f>
        <v>20.22</v>
      </c>
    </row>
    <row r="7495" customFormat="false" ht="31.5" hidden="false" customHeight="false" outlineLevel="0" collapsed="false">
      <c r="A7495" s="150" t="n">
        <v>103292</v>
      </c>
      <c r="B7495" s="151" t="s">
        <v>2820</v>
      </c>
      <c r="C7495" s="152" t="s">
        <v>59</v>
      </c>
      <c r="D7495" s="152" t="s">
        <v>1455</v>
      </c>
      <c r="E7495" s="150"/>
      <c r="F7495" s="153" t="n">
        <f aca="false">(SUMPRODUCT($E7496:$E7507,F7496:F7507))*1</f>
        <v>70.407575</v>
      </c>
      <c r="G7495" s="153" t="n">
        <f aca="false">(SUMPRODUCT($E7496:$E7507,G7496:G7507))*1</f>
        <v>3.90148164456</v>
      </c>
    </row>
    <row r="7496" customFormat="false" ht="21" hidden="false" customHeight="false" outlineLevel="0" collapsed="false">
      <c r="A7496" s="154" t="n">
        <v>37370</v>
      </c>
      <c r="B7496" s="155" t="s">
        <v>1443</v>
      </c>
      <c r="C7496" s="148" t="str">
        <f aca="false">VLOOKUP($A7496,INSUMOS_AUX!$A$3:$H$813,3,0)</f>
        <v>MAT.</v>
      </c>
      <c r="D7496" s="156" t="s">
        <v>1444</v>
      </c>
      <c r="E7496" s="154" t="n">
        <v>0.2198</v>
      </c>
      <c r="F7496" s="149" t="n">
        <f aca="false">IF(C7496="MAT.",VLOOKUP(A7496,INSUMOS_AUX!$A$3:$H$813,6,0),0)</f>
        <v>3.32</v>
      </c>
      <c r="G7496" s="149" t="n">
        <f aca="false">IF(C7496="M.O.",VLOOKUP(A7496,INSUMOS_AUX!A:F,6,0),0)</f>
        <v>0</v>
      </c>
    </row>
    <row r="7497" customFormat="false" ht="21" hidden="false" customHeight="false" outlineLevel="0" collapsed="false">
      <c r="A7497" s="154" t="n">
        <v>43485</v>
      </c>
      <c r="B7497" s="155" t="s">
        <v>1481</v>
      </c>
      <c r="C7497" s="148" t="str">
        <f aca="false">VLOOKUP($A7497,INSUMOS_AUX!$A$3:$H$813,3,0)</f>
        <v>MAT.</v>
      </c>
      <c r="D7497" s="156" t="s">
        <v>1444</v>
      </c>
      <c r="E7497" s="154" t="n">
        <v>0.2198</v>
      </c>
      <c r="F7497" s="149" t="n">
        <f aca="false">IF(C7497="MAT.",VLOOKUP(A7497,INSUMOS_AUX!$A$3:$H$813,6,0),0)</f>
        <v>1.13</v>
      </c>
      <c r="G7497" s="149" t="n">
        <f aca="false">IF(C7497="M.O.",VLOOKUP(A7497,INSUMOS_AUX!A:F,6,0),0)</f>
        <v>0</v>
      </c>
    </row>
    <row r="7498" customFormat="false" ht="21" hidden="false" customHeight="false" outlineLevel="0" collapsed="false">
      <c r="A7498" s="154" t="n">
        <v>37372</v>
      </c>
      <c r="B7498" s="155" t="s">
        <v>1446</v>
      </c>
      <c r="C7498" s="148" t="str">
        <f aca="false">VLOOKUP($A7498,INSUMOS_AUX!$A$3:$H$813,3,0)</f>
        <v>MAT.</v>
      </c>
      <c r="D7498" s="156" t="s">
        <v>1444</v>
      </c>
      <c r="E7498" s="154" t="n">
        <v>0.2198</v>
      </c>
      <c r="F7498" s="149" t="n">
        <f aca="false">IF(C7498="MAT.",VLOOKUP(A7498,INSUMOS_AUX!$A$3:$H$813,6,0),0)</f>
        <v>1.43</v>
      </c>
      <c r="G7498" s="149" t="n">
        <f aca="false">IF(C7498="M.O.",VLOOKUP(A7498,INSUMOS_AUX!A:F,6,0),0)</f>
        <v>0</v>
      </c>
    </row>
    <row r="7499" customFormat="false" ht="21" hidden="false" customHeight="false" outlineLevel="0" collapsed="false">
      <c r="A7499" s="154" t="n">
        <v>43461</v>
      </c>
      <c r="B7499" s="155" t="s">
        <v>1482</v>
      </c>
      <c r="C7499" s="148" t="str">
        <f aca="false">VLOOKUP($A7499,INSUMOS_AUX!$A$3:$H$813,3,0)</f>
        <v>MAT.</v>
      </c>
      <c r="D7499" s="156" t="s">
        <v>1444</v>
      </c>
      <c r="E7499" s="154" t="n">
        <v>0.2198</v>
      </c>
      <c r="F7499" s="149" t="n">
        <f aca="false">IF(C7499="MAT.",VLOOKUP(A7499,INSUMOS_AUX!$A$3:$H$813,6,0),0)</f>
        <v>0.31</v>
      </c>
      <c r="G7499" s="149" t="n">
        <f aca="false">IF(C7499="M.O.",VLOOKUP(A7499,INSUMOS_AUX!A:F,6,0),0)</f>
        <v>0</v>
      </c>
    </row>
    <row r="7500" customFormat="false" ht="21" hidden="false" customHeight="false" outlineLevel="0" collapsed="false">
      <c r="A7500" s="154" t="n">
        <v>37373</v>
      </c>
      <c r="B7500" s="155" t="s">
        <v>1448</v>
      </c>
      <c r="C7500" s="148" t="str">
        <f aca="false">VLOOKUP($A7500,INSUMOS_AUX!$A$3:$H$813,3,0)</f>
        <v>MAT.</v>
      </c>
      <c r="D7500" s="156" t="s">
        <v>1444</v>
      </c>
      <c r="E7500" s="154" t="n">
        <v>0.2198</v>
      </c>
      <c r="F7500" s="149" t="n">
        <f aca="false">IF(C7500="MAT.",VLOOKUP(A7500,INSUMOS_AUX!$A$3:$H$813,6,0),0)</f>
        <v>0.08</v>
      </c>
      <c r="G7500" s="149" t="n">
        <f aca="false">IF(C7500="M.O.",VLOOKUP(A7500,INSUMOS_AUX!A:F,6,0),0)</f>
        <v>0</v>
      </c>
    </row>
    <row r="7501" customFormat="false" ht="21" hidden="false" customHeight="false" outlineLevel="0" collapsed="false">
      <c r="A7501" s="154" t="n">
        <v>37371</v>
      </c>
      <c r="B7501" s="155" t="s">
        <v>1449</v>
      </c>
      <c r="C7501" s="148" t="str">
        <f aca="false">VLOOKUP($A7501,INSUMOS_AUX!$A$3:$H$813,3,0)</f>
        <v>MAT.</v>
      </c>
      <c r="D7501" s="156" t="s">
        <v>1444</v>
      </c>
      <c r="E7501" s="154" t="n">
        <v>0.2198</v>
      </c>
      <c r="F7501" s="149" t="n">
        <f aca="false">IF(C7501="MAT.",VLOOKUP(A7501,INSUMOS_AUX!$A$3:$H$813,6,0),0)</f>
        <v>0.59</v>
      </c>
      <c r="G7501" s="149" t="n">
        <f aca="false">IF(C7501="M.O.",VLOOKUP(A7501,INSUMOS_AUX!A:F,6,0),0)</f>
        <v>0</v>
      </c>
    </row>
    <row r="7502" customFormat="false" ht="21" hidden="false" customHeight="false" outlineLevel="0" collapsed="false">
      <c r="A7502" s="154" t="n">
        <v>408</v>
      </c>
      <c r="B7502" s="155" t="s">
        <v>2811</v>
      </c>
      <c r="C7502" s="148" t="str">
        <f aca="false">VLOOKUP($A7502,INSUMOS_AUX!$A$3:$H$813,3,0)</f>
        <v>MAT.</v>
      </c>
      <c r="D7502" s="156" t="s">
        <v>31</v>
      </c>
      <c r="E7502" s="154" t="n">
        <v>1.3333</v>
      </c>
      <c r="F7502" s="149" t="n">
        <f aca="false">IF(C7502="MAT.",VLOOKUP(A7502,INSUMOS_AUX!$A$3:$H$813,6,0),0)</f>
        <v>0.74</v>
      </c>
      <c r="G7502" s="149" t="n">
        <f aca="false">IF(C7502="M.O.",VLOOKUP(A7502,INSUMOS_AUX!A:F,6,0),0)</f>
        <v>0</v>
      </c>
    </row>
    <row r="7503" customFormat="false" ht="31.5" hidden="false" customHeight="false" outlineLevel="0" collapsed="false">
      <c r="A7503" s="154" t="n">
        <v>4350</v>
      </c>
      <c r="B7503" s="155" t="s">
        <v>2668</v>
      </c>
      <c r="C7503" s="148" t="str">
        <f aca="false">VLOOKUP($A7503,INSUMOS_AUX!$A$3:$H$813,3,0)</f>
        <v>MAT.</v>
      </c>
      <c r="D7503" s="156" t="s">
        <v>31</v>
      </c>
      <c r="E7503" s="154" t="n">
        <v>1.4</v>
      </c>
      <c r="F7503" s="149" t="n">
        <f aca="false">IF(C7503="MAT.",VLOOKUP(A7503,INSUMOS_AUX!$A$3:$H$813,6,0),0)</f>
        <v>0.7</v>
      </c>
      <c r="G7503" s="149" t="n">
        <f aca="false">IF(C7503="M.O.",VLOOKUP(A7503,INSUMOS_AUX!A:F,6,0),0)</f>
        <v>0</v>
      </c>
    </row>
    <row r="7504" customFormat="false" ht="42" hidden="false" customHeight="false" outlineLevel="0" collapsed="false">
      <c r="A7504" s="154" t="n">
        <v>39853</v>
      </c>
      <c r="B7504" s="155" t="s">
        <v>2821</v>
      </c>
      <c r="C7504" s="148" t="str">
        <f aca="false">VLOOKUP($A7504,INSUMOS_AUX!$A$3:$H$813,3,0)</f>
        <v>MAT.</v>
      </c>
      <c r="D7504" s="156" t="s">
        <v>1455</v>
      </c>
      <c r="E7504" s="154" t="n">
        <v>1.0211</v>
      </c>
      <c r="F7504" s="149" t="n">
        <f aca="false">IF(C7504="MAT.",VLOOKUP(A7504,INSUMOS_AUX!$A$3:$H$813,6,0),0)</f>
        <v>12.06</v>
      </c>
      <c r="G7504" s="149" t="n">
        <f aca="false">IF(C7504="M.O.",VLOOKUP(A7504,INSUMOS_AUX!A:F,6,0),0)</f>
        <v>0</v>
      </c>
    </row>
    <row r="7505" customFormat="false" ht="21" hidden="false" customHeight="false" outlineLevel="0" collapsed="false">
      <c r="A7505" s="154" t="n">
        <v>39665</v>
      </c>
      <c r="B7505" s="155" t="s">
        <v>2822</v>
      </c>
      <c r="C7505" s="148" t="str">
        <f aca="false">VLOOKUP($A7505,INSUMOS_AUX!$A$3:$H$813,3,0)</f>
        <v>MAT.</v>
      </c>
      <c r="D7505" s="156" t="s">
        <v>1455</v>
      </c>
      <c r="E7505" s="154" t="n">
        <v>1.0211</v>
      </c>
      <c r="F7505" s="149" t="n">
        <f aca="false">IF(C7505="MAT.",VLOOKUP(A7505,INSUMOS_AUX!$A$3:$H$813,6,0),0)</f>
        <v>53.49</v>
      </c>
      <c r="G7505" s="149" t="n">
        <f aca="false">IF(C7505="M.O.",VLOOKUP(A7505,INSUMOS_AUX!A:F,6,0),0)</f>
        <v>0</v>
      </c>
    </row>
    <row r="7506" customFormat="false" ht="15" hidden="false" customHeight="false" outlineLevel="0" collapsed="false">
      <c r="A7506" s="154" t="n">
        <v>246</v>
      </c>
      <c r="B7506" s="155" t="s">
        <v>1752</v>
      </c>
      <c r="C7506" s="148" t="str">
        <f aca="false">VLOOKUP($A7506,INSUMOS_AUX!$A$3:$H$813,3,0)</f>
        <v>M.O.</v>
      </c>
      <c r="D7506" s="156" t="s">
        <v>1444</v>
      </c>
      <c r="E7506" s="154" t="n">
        <v>0.089480442</v>
      </c>
      <c r="F7506" s="149" t="n">
        <f aca="false">IF(C7506="MAT.",VLOOKUP(A7506,INSUMOS_AUX!$A$3:$H$813,6,0),0)</f>
        <v>0</v>
      </c>
      <c r="G7506" s="149" t="n">
        <f aca="false">IF(C7506="M.O.",VLOOKUP(A7506,INSUMOS_AUX!A:F,6,0),0)</f>
        <v>13.26</v>
      </c>
    </row>
    <row r="7507" customFormat="false" ht="15" hidden="false" customHeight="false" outlineLevel="0" collapsed="false">
      <c r="A7507" s="154" t="n">
        <v>2696</v>
      </c>
      <c r="B7507" s="155" t="s">
        <v>1483</v>
      </c>
      <c r="C7507" s="148" t="str">
        <f aca="false">VLOOKUP($A7507,INSUMOS_AUX!$A$3:$H$813,3,0)</f>
        <v>M.O.</v>
      </c>
      <c r="D7507" s="156" t="s">
        <v>1444</v>
      </c>
      <c r="E7507" s="154" t="n">
        <v>0.134271562</v>
      </c>
      <c r="F7507" s="149" t="n">
        <f aca="false">IF(C7507="MAT.",VLOOKUP(A7507,INSUMOS_AUX!$A$3:$H$813,6,0),0)</f>
        <v>0</v>
      </c>
      <c r="G7507" s="149" t="n">
        <f aca="false">IF(C7507="M.O.",VLOOKUP(A7507,INSUMOS_AUX!A:F,6,0),0)</f>
        <v>20.22</v>
      </c>
    </row>
    <row r="7508" customFormat="false" ht="21" hidden="false" customHeight="false" outlineLevel="0" collapsed="false">
      <c r="A7508" s="150" t="n">
        <v>89865</v>
      </c>
      <c r="B7508" s="151" t="s">
        <v>2823</v>
      </c>
      <c r="C7508" s="152" t="s">
        <v>59</v>
      </c>
      <c r="D7508" s="152" t="s">
        <v>1455</v>
      </c>
      <c r="E7508" s="150"/>
      <c r="F7508" s="153" t="n">
        <f aca="false">(SUMPRODUCT($E7509:$E7518,F7509:F7518))*1</f>
        <v>7.633079</v>
      </c>
      <c r="G7508" s="153" t="n">
        <f aca="false">(SUMPRODUCT($E7509:$E7518,G7509:G7518))*1</f>
        <v>8.69771884608</v>
      </c>
    </row>
    <row r="7509" customFormat="false" ht="21" hidden="false" customHeight="false" outlineLevel="0" collapsed="false">
      <c r="A7509" s="154" t="n">
        <v>37370</v>
      </c>
      <c r="B7509" s="155" t="s">
        <v>1443</v>
      </c>
      <c r="C7509" s="148" t="str">
        <f aca="false">VLOOKUP($A7509,INSUMOS_AUX!$A$3:$H$813,3,0)</f>
        <v>MAT.</v>
      </c>
      <c r="D7509" s="156" t="s">
        <v>1444</v>
      </c>
      <c r="E7509" s="154" t="n">
        <v>0.5104</v>
      </c>
      <c r="F7509" s="149" t="n">
        <f aca="false">IF(C7509="MAT.",VLOOKUP(A7509,INSUMOS_AUX!$A$3:$H$813,6,0),0)</f>
        <v>3.32</v>
      </c>
      <c r="G7509" s="149" t="n">
        <f aca="false">IF(C7509="M.O.",VLOOKUP(A7509,INSUMOS_AUX!A:F,6,0),0)</f>
        <v>0</v>
      </c>
    </row>
    <row r="7510" customFormat="false" ht="21" hidden="false" customHeight="false" outlineLevel="0" collapsed="false">
      <c r="A7510" s="154" t="n">
        <v>43485</v>
      </c>
      <c r="B7510" s="155" t="s">
        <v>1481</v>
      </c>
      <c r="C7510" s="148" t="str">
        <f aca="false">VLOOKUP($A7510,INSUMOS_AUX!$A$3:$H$813,3,0)</f>
        <v>MAT.</v>
      </c>
      <c r="D7510" s="156" t="s">
        <v>1444</v>
      </c>
      <c r="E7510" s="154" t="n">
        <v>0.5104</v>
      </c>
      <c r="F7510" s="149" t="n">
        <f aca="false">IF(C7510="MAT.",VLOOKUP(A7510,INSUMOS_AUX!$A$3:$H$813,6,0),0)</f>
        <v>1.13</v>
      </c>
      <c r="G7510" s="149" t="n">
        <f aca="false">IF(C7510="M.O.",VLOOKUP(A7510,INSUMOS_AUX!A:F,6,0),0)</f>
        <v>0</v>
      </c>
    </row>
    <row r="7511" customFormat="false" ht="21" hidden="false" customHeight="false" outlineLevel="0" collapsed="false">
      <c r="A7511" s="154" t="n">
        <v>37372</v>
      </c>
      <c r="B7511" s="155" t="s">
        <v>1446</v>
      </c>
      <c r="C7511" s="148" t="str">
        <f aca="false">VLOOKUP($A7511,INSUMOS_AUX!$A$3:$H$813,3,0)</f>
        <v>MAT.</v>
      </c>
      <c r="D7511" s="156" t="s">
        <v>1444</v>
      </c>
      <c r="E7511" s="154" t="n">
        <v>0.5104</v>
      </c>
      <c r="F7511" s="149" t="n">
        <f aca="false">IF(C7511="MAT.",VLOOKUP(A7511,INSUMOS_AUX!$A$3:$H$813,6,0),0)</f>
        <v>1.43</v>
      </c>
      <c r="G7511" s="149" t="n">
        <f aca="false">IF(C7511="M.O.",VLOOKUP(A7511,INSUMOS_AUX!A:F,6,0),0)</f>
        <v>0</v>
      </c>
    </row>
    <row r="7512" customFormat="false" ht="21" hidden="false" customHeight="false" outlineLevel="0" collapsed="false">
      <c r="A7512" s="154" t="n">
        <v>43461</v>
      </c>
      <c r="B7512" s="155" t="s">
        <v>1482</v>
      </c>
      <c r="C7512" s="148" t="str">
        <f aca="false">VLOOKUP($A7512,INSUMOS_AUX!$A$3:$H$813,3,0)</f>
        <v>MAT.</v>
      </c>
      <c r="D7512" s="156" t="s">
        <v>1444</v>
      </c>
      <c r="E7512" s="154" t="n">
        <v>0.5104</v>
      </c>
      <c r="F7512" s="149" t="n">
        <f aca="false">IF(C7512="MAT.",VLOOKUP(A7512,INSUMOS_AUX!$A$3:$H$813,6,0),0)</f>
        <v>0.31</v>
      </c>
      <c r="G7512" s="149" t="n">
        <f aca="false">IF(C7512="M.O.",VLOOKUP(A7512,INSUMOS_AUX!A:F,6,0),0)</f>
        <v>0</v>
      </c>
    </row>
    <row r="7513" customFormat="false" ht="21" hidden="false" customHeight="false" outlineLevel="0" collapsed="false">
      <c r="A7513" s="154" t="n">
        <v>37373</v>
      </c>
      <c r="B7513" s="155" t="s">
        <v>1448</v>
      </c>
      <c r="C7513" s="148" t="str">
        <f aca="false">VLOOKUP($A7513,INSUMOS_AUX!$A$3:$H$813,3,0)</f>
        <v>MAT.</v>
      </c>
      <c r="D7513" s="156" t="s">
        <v>1444</v>
      </c>
      <c r="E7513" s="154" t="n">
        <v>0.5104</v>
      </c>
      <c r="F7513" s="149" t="n">
        <f aca="false">IF(C7513="MAT.",VLOOKUP(A7513,INSUMOS_AUX!$A$3:$H$813,6,0),0)</f>
        <v>0.08</v>
      </c>
      <c r="G7513" s="149" t="n">
        <f aca="false">IF(C7513="M.O.",VLOOKUP(A7513,INSUMOS_AUX!A:F,6,0),0)</f>
        <v>0</v>
      </c>
    </row>
    <row r="7514" customFormat="false" ht="21" hidden="false" customHeight="false" outlineLevel="0" collapsed="false">
      <c r="A7514" s="154" t="n">
        <v>37371</v>
      </c>
      <c r="B7514" s="155" t="s">
        <v>1449</v>
      </c>
      <c r="C7514" s="148" t="s">
        <v>59</v>
      </c>
      <c r="D7514" s="156" t="s">
        <v>1444</v>
      </c>
      <c r="E7514" s="154" t="n">
        <v>0.5104</v>
      </c>
      <c r="F7514" s="149" t="n">
        <f aca="false">IF(C7514="MAT.",VLOOKUP(A7514,INSUMOS_AUX!$A$3:$H$813,6,0),0)</f>
        <v>0</v>
      </c>
      <c r="G7514" s="149" t="n">
        <f aca="false">IF(C7514="M.O.",VLOOKUP(A7514,INSUMOS_AUX!A:F,6,0),0)</f>
        <v>0</v>
      </c>
    </row>
    <row r="7515" customFormat="false" ht="15" hidden="false" customHeight="false" outlineLevel="0" collapsed="false">
      <c r="A7515" s="154" t="n">
        <v>38383</v>
      </c>
      <c r="B7515" s="155" t="s">
        <v>2093</v>
      </c>
      <c r="C7515" s="148" t="str">
        <f aca="false">VLOOKUP($A7515,INSUMOS_AUX!$A$3:$H$813,3,0)</f>
        <v>MAT.</v>
      </c>
      <c r="D7515" s="156" t="s">
        <v>31</v>
      </c>
      <c r="E7515" s="154" t="n">
        <v>0.0142</v>
      </c>
      <c r="F7515" s="149" t="n">
        <f aca="false">IF(C7515="MAT.",VLOOKUP(A7515,INSUMOS_AUX!$A$3:$H$813,6,0),0)</f>
        <v>2.39</v>
      </c>
      <c r="G7515" s="149" t="n">
        <f aca="false">IF(C7515="M.O.",VLOOKUP(A7515,INSUMOS_AUX!A:F,6,0),0)</f>
        <v>0</v>
      </c>
    </row>
    <row r="7516" customFormat="false" ht="15" hidden="false" customHeight="false" outlineLevel="0" collapsed="false">
      <c r="A7516" s="154" t="n">
        <v>9868</v>
      </c>
      <c r="B7516" s="155" t="s">
        <v>2108</v>
      </c>
      <c r="C7516" s="148" t="str">
        <f aca="false">VLOOKUP($A7516,INSUMOS_AUX!$A$3:$H$813,3,0)</f>
        <v>MAT.</v>
      </c>
      <c r="D7516" s="156" t="s">
        <v>1455</v>
      </c>
      <c r="E7516" s="154" t="n">
        <v>1.0549</v>
      </c>
      <c r="F7516" s="149" t="n">
        <f aca="false">IF(C7516="MAT.",VLOOKUP(A7516,INSUMOS_AUX!$A$3:$H$813,6,0),0)</f>
        <v>4.17</v>
      </c>
      <c r="G7516" s="149" t="n">
        <f aca="false">IF(C7516="M.O.",VLOOKUP(A7516,INSUMOS_AUX!A:F,6,0),0)</f>
        <v>0</v>
      </c>
    </row>
    <row r="7517" customFormat="false" ht="15" hidden="false" customHeight="false" outlineLevel="0" collapsed="false">
      <c r="A7517" s="154" t="n">
        <v>246</v>
      </c>
      <c r="B7517" s="155" t="s">
        <v>1752</v>
      </c>
      <c r="C7517" s="148" t="str">
        <f aca="false">VLOOKUP($A7517,INSUMOS_AUX!$A$3:$H$813,3,0)</f>
        <v>M.O.</v>
      </c>
      <c r="D7517" s="156" t="s">
        <v>1444</v>
      </c>
      <c r="E7517" s="154" t="n">
        <v>0.259788496</v>
      </c>
      <c r="F7517" s="149" t="n">
        <f aca="false">IF(C7517="MAT.",VLOOKUP(A7517,INSUMOS_AUX!$A$3:$H$813,6,0),0)</f>
        <v>0</v>
      </c>
      <c r="G7517" s="149" t="n">
        <f aca="false">IF(C7517="M.O.",VLOOKUP(A7517,INSUMOS_AUX!A:F,6,0),0)</f>
        <v>13.26</v>
      </c>
    </row>
    <row r="7518" customFormat="false" ht="15" hidden="false" customHeight="false" outlineLevel="0" collapsed="false">
      <c r="A7518" s="154" t="n">
        <v>2696</v>
      </c>
      <c r="B7518" s="155" t="s">
        <v>1483</v>
      </c>
      <c r="C7518" s="148" t="str">
        <f aca="false">VLOOKUP($A7518,INSUMOS_AUX!$A$3:$H$813,3,0)</f>
        <v>M.O.</v>
      </c>
      <c r="D7518" s="156" t="s">
        <v>1444</v>
      </c>
      <c r="E7518" s="154" t="n">
        <v>0.259788496</v>
      </c>
      <c r="F7518" s="149" t="n">
        <f aca="false">IF(C7518="MAT.",VLOOKUP(A7518,INSUMOS_AUX!$A$3:$H$813,6,0),0)</f>
        <v>0</v>
      </c>
      <c r="G7518" s="149" t="n">
        <f aca="false">IF(C7518="M.O.",VLOOKUP(A7518,INSUMOS_AUX!A:F,6,0),0)</f>
        <v>20.22</v>
      </c>
    </row>
    <row r="7519" customFormat="false" ht="21" hidden="false" customHeight="false" outlineLevel="0" collapsed="false">
      <c r="A7519" s="150" t="n">
        <v>89509</v>
      </c>
      <c r="B7519" s="151" t="s">
        <v>2824</v>
      </c>
      <c r="C7519" s="152" t="s">
        <v>59</v>
      </c>
      <c r="D7519" s="152" t="s">
        <v>1455</v>
      </c>
      <c r="E7519" s="150"/>
      <c r="F7519" s="153" t="n">
        <f aca="false">(SUMPRODUCT($E7520:$E7529,F7520:F7529))*1</f>
        <v>16.728565</v>
      </c>
      <c r="G7519" s="153" t="n">
        <f aca="false">(SUMPRODUCT($E7520:$E7529,G7520:G7529))*1</f>
        <v>6.46534978488</v>
      </c>
    </row>
    <row r="7520" customFormat="false" ht="21" hidden="false" customHeight="false" outlineLevel="0" collapsed="false">
      <c r="A7520" s="154" t="n">
        <v>37370</v>
      </c>
      <c r="B7520" s="155" t="s">
        <v>1443</v>
      </c>
      <c r="C7520" s="148" t="str">
        <f aca="false">VLOOKUP($A7520,INSUMOS_AUX!$A$3:$H$813,3,0)</f>
        <v>MAT.</v>
      </c>
      <c r="D7520" s="156" t="s">
        <v>1444</v>
      </c>
      <c r="E7520" s="154" t="n">
        <v>0.3794</v>
      </c>
      <c r="F7520" s="149" t="n">
        <f aca="false">IF(C7520="MAT.",VLOOKUP(A7520,INSUMOS_AUX!$A$3:$H$813,6,0),0)</f>
        <v>3.32</v>
      </c>
      <c r="G7520" s="149" t="n">
        <f aca="false">IF(C7520="M.O.",VLOOKUP(A7520,INSUMOS_AUX!A:F,6,0),0)</f>
        <v>0</v>
      </c>
    </row>
    <row r="7521" customFormat="false" ht="21" hidden="false" customHeight="false" outlineLevel="0" collapsed="false">
      <c r="A7521" s="154" t="n">
        <v>43485</v>
      </c>
      <c r="B7521" s="155" t="s">
        <v>1481</v>
      </c>
      <c r="C7521" s="148" t="str">
        <f aca="false">VLOOKUP($A7521,INSUMOS_AUX!$A$3:$H$813,3,0)</f>
        <v>MAT.</v>
      </c>
      <c r="D7521" s="156" t="s">
        <v>1444</v>
      </c>
      <c r="E7521" s="154" t="n">
        <v>0.3794</v>
      </c>
      <c r="F7521" s="149" t="n">
        <f aca="false">IF(C7521="MAT.",VLOOKUP(A7521,INSUMOS_AUX!$A$3:$H$813,6,0),0)</f>
        <v>1.13</v>
      </c>
      <c r="G7521" s="149" t="n">
        <f aca="false">IF(C7521="M.O.",VLOOKUP(A7521,INSUMOS_AUX!A:F,6,0),0)</f>
        <v>0</v>
      </c>
    </row>
    <row r="7522" customFormat="false" ht="21" hidden="false" customHeight="false" outlineLevel="0" collapsed="false">
      <c r="A7522" s="154" t="n">
        <v>37372</v>
      </c>
      <c r="B7522" s="155" t="s">
        <v>1446</v>
      </c>
      <c r="C7522" s="148" t="str">
        <f aca="false">VLOOKUP($A7522,INSUMOS_AUX!$A$3:$H$813,3,0)</f>
        <v>MAT.</v>
      </c>
      <c r="D7522" s="156" t="s">
        <v>1444</v>
      </c>
      <c r="E7522" s="154" t="n">
        <v>0.3794</v>
      </c>
      <c r="F7522" s="149" t="n">
        <f aca="false">IF(C7522="MAT.",VLOOKUP(A7522,INSUMOS_AUX!$A$3:$H$813,6,0),0)</f>
        <v>1.43</v>
      </c>
      <c r="G7522" s="149" t="n">
        <f aca="false">IF(C7522="M.O.",VLOOKUP(A7522,INSUMOS_AUX!A:F,6,0),0)</f>
        <v>0</v>
      </c>
    </row>
    <row r="7523" customFormat="false" ht="21" hidden="false" customHeight="false" outlineLevel="0" collapsed="false">
      <c r="A7523" s="154" t="n">
        <v>43461</v>
      </c>
      <c r="B7523" s="155" t="s">
        <v>1482</v>
      </c>
      <c r="C7523" s="148" t="str">
        <f aca="false">VLOOKUP($A7523,INSUMOS_AUX!$A$3:$H$813,3,0)</f>
        <v>MAT.</v>
      </c>
      <c r="D7523" s="156" t="s">
        <v>1444</v>
      </c>
      <c r="E7523" s="154" t="n">
        <v>0.3794</v>
      </c>
      <c r="F7523" s="149" t="n">
        <f aca="false">IF(C7523="MAT.",VLOOKUP(A7523,INSUMOS_AUX!$A$3:$H$813,6,0),0)</f>
        <v>0.31</v>
      </c>
      <c r="G7523" s="149" t="n">
        <f aca="false">IF(C7523="M.O.",VLOOKUP(A7523,INSUMOS_AUX!A:F,6,0),0)</f>
        <v>0</v>
      </c>
    </row>
    <row r="7524" customFormat="false" ht="21" hidden="false" customHeight="false" outlineLevel="0" collapsed="false">
      <c r="A7524" s="154" t="n">
        <v>37373</v>
      </c>
      <c r="B7524" s="155" t="s">
        <v>1448</v>
      </c>
      <c r="C7524" s="148" t="str">
        <f aca="false">VLOOKUP($A7524,INSUMOS_AUX!$A$3:$H$813,3,0)</f>
        <v>MAT.</v>
      </c>
      <c r="D7524" s="156" t="s">
        <v>1444</v>
      </c>
      <c r="E7524" s="154" t="n">
        <v>0.3794</v>
      </c>
      <c r="F7524" s="149" t="n">
        <f aca="false">IF(C7524="MAT.",VLOOKUP(A7524,INSUMOS_AUX!$A$3:$H$813,6,0),0)</f>
        <v>0.08</v>
      </c>
      <c r="G7524" s="149" t="n">
        <f aca="false">IF(C7524="M.O.",VLOOKUP(A7524,INSUMOS_AUX!A:F,6,0),0)</f>
        <v>0</v>
      </c>
    </row>
    <row r="7525" customFormat="false" ht="21" hidden="false" customHeight="false" outlineLevel="0" collapsed="false">
      <c r="A7525" s="154" t="n">
        <v>37371</v>
      </c>
      <c r="B7525" s="155" t="s">
        <v>1449</v>
      </c>
      <c r="C7525" s="148" t="str">
        <f aca="false">VLOOKUP($A7525,INSUMOS_AUX!$A$3:$H$813,3,0)</f>
        <v>MAT.</v>
      </c>
      <c r="D7525" s="156" t="s">
        <v>1444</v>
      </c>
      <c r="E7525" s="154" t="n">
        <v>0.3794</v>
      </c>
      <c r="F7525" s="149" t="n">
        <f aca="false">IF(C7525="MAT.",VLOOKUP(A7525,INSUMOS_AUX!$A$3:$H$813,6,0),0)</f>
        <v>0.59</v>
      </c>
      <c r="G7525" s="149" t="n">
        <f aca="false">IF(C7525="M.O.",VLOOKUP(A7525,INSUMOS_AUX!A:F,6,0),0)</f>
        <v>0</v>
      </c>
    </row>
    <row r="7526" customFormat="false" ht="15" hidden="false" customHeight="false" outlineLevel="0" collapsed="false">
      <c r="A7526" s="154" t="n">
        <v>38383</v>
      </c>
      <c r="B7526" s="155" t="s">
        <v>2093</v>
      </c>
      <c r="C7526" s="148" t="str">
        <f aca="false">VLOOKUP($A7526,INSUMOS_AUX!$A$3:$H$813,3,0)</f>
        <v>MAT.</v>
      </c>
      <c r="D7526" s="156" t="s">
        <v>31</v>
      </c>
      <c r="E7526" s="154" t="n">
        <v>0.0105</v>
      </c>
      <c r="F7526" s="149" t="n">
        <f aca="false">IF(C7526="MAT.",VLOOKUP(A7526,INSUMOS_AUX!$A$3:$H$813,6,0),0)</f>
        <v>2.39</v>
      </c>
      <c r="G7526" s="149" t="n">
        <f aca="false">IF(C7526="M.O.",VLOOKUP(A7526,INSUMOS_AUX!A:F,6,0),0)</f>
        <v>0</v>
      </c>
    </row>
    <row r="7527" customFormat="false" ht="21" hidden="false" customHeight="false" outlineLevel="0" collapsed="false">
      <c r="A7527" s="154" t="n">
        <v>20068</v>
      </c>
      <c r="B7527" s="155" t="s">
        <v>2825</v>
      </c>
      <c r="C7527" s="148" t="str">
        <f aca="false">VLOOKUP($A7527,INSUMOS_AUX!$A$3:$H$813,3,0)</f>
        <v>MAT.</v>
      </c>
      <c r="D7527" s="156" t="s">
        <v>1455</v>
      </c>
      <c r="E7527" s="154" t="n">
        <v>1.0353</v>
      </c>
      <c r="F7527" s="149" t="n">
        <f aca="false">IF(C7527="MAT.",VLOOKUP(A7527,INSUMOS_AUX!$A$3:$H$813,6,0),0)</f>
        <v>13.62</v>
      </c>
      <c r="G7527" s="149" t="n">
        <f aca="false">IF(C7527="M.O.",VLOOKUP(A7527,INSUMOS_AUX!A:F,6,0),0)</f>
        <v>0</v>
      </c>
    </row>
    <row r="7528" customFormat="false" ht="15" hidden="false" customHeight="false" outlineLevel="0" collapsed="false">
      <c r="A7528" s="154" t="n">
        <v>246</v>
      </c>
      <c r="B7528" s="155" t="s">
        <v>1752</v>
      </c>
      <c r="C7528" s="148" t="str">
        <f aca="false">VLOOKUP($A7528,INSUMOS_AUX!$A$3:$H$813,3,0)</f>
        <v>M.O.</v>
      </c>
      <c r="D7528" s="156" t="s">
        <v>1444</v>
      </c>
      <c r="E7528" s="154" t="n">
        <v>0.193110806</v>
      </c>
      <c r="F7528" s="149" t="n">
        <f aca="false">IF(C7528="MAT.",VLOOKUP(A7528,INSUMOS_AUX!$A$3:$H$813,6,0),0)</f>
        <v>0</v>
      </c>
      <c r="G7528" s="149" t="n">
        <f aca="false">IF(C7528="M.O.",VLOOKUP(A7528,INSUMOS_AUX!A:F,6,0),0)</f>
        <v>13.26</v>
      </c>
    </row>
    <row r="7529" customFormat="false" ht="15" hidden="false" customHeight="false" outlineLevel="0" collapsed="false">
      <c r="A7529" s="154" t="n">
        <v>2696</v>
      </c>
      <c r="B7529" s="155" t="s">
        <v>1483</v>
      </c>
      <c r="C7529" s="148" t="str">
        <f aca="false">VLOOKUP($A7529,INSUMOS_AUX!$A$3:$H$813,3,0)</f>
        <v>M.O.</v>
      </c>
      <c r="D7529" s="156" t="s">
        <v>1444</v>
      </c>
      <c r="E7529" s="154" t="n">
        <v>0.193110806</v>
      </c>
      <c r="F7529" s="149" t="n">
        <f aca="false">IF(C7529="MAT.",VLOOKUP(A7529,INSUMOS_AUX!$A$3:$H$813,6,0),0)</f>
        <v>0</v>
      </c>
      <c r="G7529" s="149" t="n">
        <f aca="false">IF(C7529="M.O.",VLOOKUP(A7529,INSUMOS_AUX!A:F,6,0),0)</f>
        <v>20.22</v>
      </c>
    </row>
    <row r="7530" customFormat="false" ht="31.5" hidden="false" customHeight="false" outlineLevel="0" collapsed="false">
      <c r="A7530" s="150" t="n">
        <v>103958</v>
      </c>
      <c r="B7530" s="151" t="s">
        <v>2826</v>
      </c>
      <c r="C7530" s="152" t="s">
        <v>59</v>
      </c>
      <c r="D7530" s="152" t="s">
        <v>31</v>
      </c>
      <c r="E7530" s="150"/>
      <c r="F7530" s="153" t="n">
        <f aca="false">(SUMPRODUCT($E7531:$E7542,F7531:F7542))*1</f>
        <v>6.854629</v>
      </c>
      <c r="G7530" s="153" t="n">
        <f aca="false">(SUMPRODUCT($E7531:$E7542,G7531:G7542))*1</f>
        <v>2.62771991784</v>
      </c>
    </row>
    <row r="7531" customFormat="false" ht="21" hidden="false" customHeight="false" outlineLevel="0" collapsed="false">
      <c r="A7531" s="154" t="n">
        <v>37370</v>
      </c>
      <c r="B7531" s="155" t="s">
        <v>1443</v>
      </c>
      <c r="C7531" s="148" t="str">
        <f aca="false">VLOOKUP($A7531,INSUMOS_AUX!$A$3:$H$813,3,0)</f>
        <v>MAT.</v>
      </c>
      <c r="D7531" s="156" t="s">
        <v>1444</v>
      </c>
      <c r="E7531" s="154" t="n">
        <v>0.1542</v>
      </c>
      <c r="F7531" s="149" t="n">
        <f aca="false">IF(C7531="MAT.",VLOOKUP(A7531,INSUMOS_AUX!$A$3:$H$813,6,0),0)</f>
        <v>3.32</v>
      </c>
      <c r="G7531" s="149" t="n">
        <f aca="false">IF(C7531="M.O.",VLOOKUP(A7531,INSUMOS_AUX!A:F,6,0),0)</f>
        <v>0</v>
      </c>
    </row>
    <row r="7532" customFormat="false" ht="21" hidden="false" customHeight="false" outlineLevel="0" collapsed="false">
      <c r="A7532" s="154" t="n">
        <v>43485</v>
      </c>
      <c r="B7532" s="155" t="s">
        <v>1481</v>
      </c>
      <c r="C7532" s="148" t="str">
        <f aca="false">VLOOKUP($A7532,INSUMOS_AUX!$A$3:$H$813,3,0)</f>
        <v>MAT.</v>
      </c>
      <c r="D7532" s="156" t="s">
        <v>1444</v>
      </c>
      <c r="E7532" s="154" t="n">
        <v>0.1542</v>
      </c>
      <c r="F7532" s="149" t="n">
        <f aca="false">IF(C7532="MAT.",VLOOKUP(A7532,INSUMOS_AUX!$A$3:$H$813,6,0),0)</f>
        <v>1.13</v>
      </c>
      <c r="G7532" s="149" t="n">
        <f aca="false">IF(C7532="M.O.",VLOOKUP(A7532,INSUMOS_AUX!A:F,6,0),0)</f>
        <v>0</v>
      </c>
    </row>
    <row r="7533" customFormat="false" ht="21" hidden="false" customHeight="false" outlineLevel="0" collapsed="false">
      <c r="A7533" s="154" t="n">
        <v>37372</v>
      </c>
      <c r="B7533" s="155" t="s">
        <v>1446</v>
      </c>
      <c r="C7533" s="148" t="str">
        <f aca="false">VLOOKUP($A7533,INSUMOS_AUX!$A$3:$H$813,3,0)</f>
        <v>MAT.</v>
      </c>
      <c r="D7533" s="156" t="s">
        <v>1444</v>
      </c>
      <c r="E7533" s="154" t="n">
        <v>0.1542</v>
      </c>
      <c r="F7533" s="149" t="n">
        <f aca="false">IF(C7533="MAT.",VLOOKUP(A7533,INSUMOS_AUX!$A$3:$H$813,6,0),0)</f>
        <v>1.43</v>
      </c>
      <c r="G7533" s="149" t="n">
        <f aca="false">IF(C7533="M.O.",VLOOKUP(A7533,INSUMOS_AUX!A:F,6,0),0)</f>
        <v>0</v>
      </c>
    </row>
    <row r="7534" customFormat="false" ht="21" hidden="false" customHeight="false" outlineLevel="0" collapsed="false">
      <c r="A7534" s="154" t="n">
        <v>43461</v>
      </c>
      <c r="B7534" s="155" t="s">
        <v>1482</v>
      </c>
      <c r="C7534" s="148" t="str">
        <f aca="false">VLOOKUP($A7534,INSUMOS_AUX!$A$3:$H$813,3,0)</f>
        <v>MAT.</v>
      </c>
      <c r="D7534" s="156" t="s">
        <v>1444</v>
      </c>
      <c r="E7534" s="154" t="n">
        <v>0.1542</v>
      </c>
      <c r="F7534" s="149" t="n">
        <f aca="false">IF(C7534="MAT.",VLOOKUP(A7534,INSUMOS_AUX!$A$3:$H$813,6,0),0)</f>
        <v>0.31</v>
      </c>
      <c r="G7534" s="149" t="n">
        <f aca="false">IF(C7534="M.O.",VLOOKUP(A7534,INSUMOS_AUX!A:F,6,0),0)</f>
        <v>0</v>
      </c>
    </row>
    <row r="7535" customFormat="false" ht="21" hidden="false" customHeight="false" outlineLevel="0" collapsed="false">
      <c r="A7535" s="154" t="n">
        <v>37373</v>
      </c>
      <c r="B7535" s="155" t="s">
        <v>1448</v>
      </c>
      <c r="C7535" s="148" t="str">
        <f aca="false">VLOOKUP($A7535,INSUMOS_AUX!$A$3:$H$813,3,0)</f>
        <v>MAT.</v>
      </c>
      <c r="D7535" s="156" t="s">
        <v>1444</v>
      </c>
      <c r="E7535" s="154" t="n">
        <v>0.1542</v>
      </c>
      <c r="F7535" s="149" t="n">
        <f aca="false">IF(C7535="MAT.",VLOOKUP(A7535,INSUMOS_AUX!$A$3:$H$813,6,0),0)</f>
        <v>0.08</v>
      </c>
      <c r="G7535" s="149" t="n">
        <f aca="false">IF(C7535="M.O.",VLOOKUP(A7535,INSUMOS_AUX!A:F,6,0),0)</f>
        <v>0</v>
      </c>
    </row>
    <row r="7536" customFormat="false" ht="21" hidden="false" customHeight="false" outlineLevel="0" collapsed="false">
      <c r="A7536" s="154" t="n">
        <v>37371</v>
      </c>
      <c r="B7536" s="155" t="s">
        <v>1449</v>
      </c>
      <c r="C7536" s="148" t="s">
        <v>59</v>
      </c>
      <c r="D7536" s="156" t="s">
        <v>1444</v>
      </c>
      <c r="E7536" s="154" t="n">
        <v>0.1542</v>
      </c>
      <c r="F7536" s="149" t="n">
        <f aca="false">IF(C7536="MAT.",VLOOKUP(A7536,INSUMOS_AUX!$A$3:$H$813,6,0),0)</f>
        <v>0</v>
      </c>
      <c r="G7536" s="149" t="n">
        <f aca="false">IF(C7536="M.O.",VLOOKUP(A7536,INSUMOS_AUX!A:F,6,0),0)</f>
        <v>0</v>
      </c>
    </row>
    <row r="7537" customFormat="false" ht="15" hidden="false" customHeight="false" outlineLevel="0" collapsed="false">
      <c r="A7537" s="154" t="n">
        <v>122</v>
      </c>
      <c r="B7537" s="155" t="s">
        <v>2097</v>
      </c>
      <c r="C7537" s="148" t="str">
        <f aca="false">VLOOKUP($A7537,INSUMOS_AUX!$A$3:$H$813,3,0)</f>
        <v>MAT.</v>
      </c>
      <c r="D7537" s="156" t="s">
        <v>31</v>
      </c>
      <c r="E7537" s="154" t="n">
        <v>0.0141</v>
      </c>
      <c r="F7537" s="149" t="n">
        <f aca="false">IF(C7537="MAT.",VLOOKUP(A7537,INSUMOS_AUX!$A$3:$H$813,6,0),0)</f>
        <v>63.09</v>
      </c>
      <c r="G7537" s="149" t="n">
        <f aca="false">IF(C7537="M.O.",VLOOKUP(A7537,INSUMOS_AUX!A:F,6,0),0)</f>
        <v>0</v>
      </c>
    </row>
    <row r="7538" customFormat="false" ht="21" hidden="false" customHeight="false" outlineLevel="0" collapsed="false">
      <c r="A7538" s="154" t="n">
        <v>819</v>
      </c>
      <c r="B7538" s="155" t="s">
        <v>2827</v>
      </c>
      <c r="C7538" s="148" t="str">
        <f aca="false">VLOOKUP($A7538,INSUMOS_AUX!$A$3:$H$813,3,0)</f>
        <v>MAT.</v>
      </c>
      <c r="D7538" s="156" t="s">
        <v>31</v>
      </c>
      <c r="E7538" s="154" t="n">
        <v>1</v>
      </c>
      <c r="F7538" s="149" t="n">
        <f aca="false">IF(C7538="MAT.",VLOOKUP(A7538,INSUMOS_AUX!$A$3:$H$813,6,0),0)</f>
        <v>3.67</v>
      </c>
      <c r="G7538" s="149" t="n">
        <f aca="false">IF(C7538="M.O.",VLOOKUP(A7538,INSUMOS_AUX!A:F,6,0),0)</f>
        <v>0</v>
      </c>
    </row>
    <row r="7539" customFormat="false" ht="15" hidden="false" customHeight="false" outlineLevel="0" collapsed="false">
      <c r="A7539" s="154" t="n">
        <v>38383</v>
      </c>
      <c r="B7539" s="155" t="s">
        <v>2093</v>
      </c>
      <c r="C7539" s="148" t="str">
        <f aca="false">VLOOKUP($A7539,INSUMOS_AUX!$A$3:$H$813,3,0)</f>
        <v>MAT.</v>
      </c>
      <c r="D7539" s="156" t="s">
        <v>31</v>
      </c>
      <c r="E7539" s="154" t="n">
        <v>0.0174</v>
      </c>
      <c r="F7539" s="149" t="n">
        <f aca="false">IF(C7539="MAT.",VLOOKUP(A7539,INSUMOS_AUX!$A$3:$H$813,6,0),0)</f>
        <v>2.39</v>
      </c>
      <c r="G7539" s="149" t="n">
        <f aca="false">IF(C7539="M.O.",VLOOKUP(A7539,INSUMOS_AUX!A:F,6,0),0)</f>
        <v>0</v>
      </c>
    </row>
    <row r="7540" customFormat="false" ht="21" hidden="false" customHeight="false" outlineLevel="0" collapsed="false">
      <c r="A7540" s="154" t="n">
        <v>20083</v>
      </c>
      <c r="B7540" s="155" t="s">
        <v>2095</v>
      </c>
      <c r="C7540" s="148" t="str">
        <f aca="false">VLOOKUP($A7540,INSUMOS_AUX!$A$3:$H$813,3,0)</f>
        <v>MAT.</v>
      </c>
      <c r="D7540" s="156" t="s">
        <v>31</v>
      </c>
      <c r="E7540" s="154" t="n">
        <v>0.018</v>
      </c>
      <c r="F7540" s="149" t="n">
        <f aca="false">IF(C7540="MAT.",VLOOKUP(A7540,INSUMOS_AUX!$A$3:$H$813,6,0),0)</f>
        <v>71.48</v>
      </c>
      <c r="G7540" s="149" t="n">
        <f aca="false">IF(C7540="M.O.",VLOOKUP(A7540,INSUMOS_AUX!A:F,6,0),0)</f>
        <v>0</v>
      </c>
    </row>
    <row r="7541" customFormat="false" ht="15" hidden="false" customHeight="false" outlineLevel="0" collapsed="false">
      <c r="A7541" s="154" t="n">
        <v>246</v>
      </c>
      <c r="B7541" s="155" t="s">
        <v>1752</v>
      </c>
      <c r="C7541" s="148" t="str">
        <f aca="false">VLOOKUP($A7541,INSUMOS_AUX!$A$3:$H$813,3,0)</f>
        <v>M.O.</v>
      </c>
      <c r="D7541" s="156" t="s">
        <v>1444</v>
      </c>
      <c r="E7541" s="154" t="n">
        <v>0.078486258</v>
      </c>
      <c r="F7541" s="149" t="n">
        <f aca="false">IF(C7541="MAT.",VLOOKUP(A7541,INSUMOS_AUX!$A$3:$H$813,6,0),0)</f>
        <v>0</v>
      </c>
      <c r="G7541" s="149" t="n">
        <f aca="false">IF(C7541="M.O.",VLOOKUP(A7541,INSUMOS_AUX!A:F,6,0),0)</f>
        <v>13.26</v>
      </c>
    </row>
    <row r="7542" customFormat="false" ht="15" hidden="false" customHeight="false" outlineLevel="0" collapsed="false">
      <c r="A7542" s="154" t="n">
        <v>2696</v>
      </c>
      <c r="B7542" s="155" t="s">
        <v>1483</v>
      </c>
      <c r="C7542" s="148" t="str">
        <f aca="false">VLOOKUP($A7542,INSUMOS_AUX!$A$3:$H$813,3,0)</f>
        <v>M.O.</v>
      </c>
      <c r="D7542" s="156" t="s">
        <v>1444</v>
      </c>
      <c r="E7542" s="154" t="n">
        <v>0.078486258</v>
      </c>
      <c r="F7542" s="149" t="n">
        <f aca="false">IF(C7542="MAT.",VLOOKUP(A7542,INSUMOS_AUX!$A$3:$H$813,6,0),0)</f>
        <v>0</v>
      </c>
      <c r="G7542" s="149" t="n">
        <f aca="false">IF(C7542="M.O.",VLOOKUP(A7542,INSUMOS_AUX!A:F,6,0),0)</f>
        <v>20.22</v>
      </c>
    </row>
    <row r="7543" customFormat="false" ht="31.5" hidden="false" customHeight="false" outlineLevel="0" collapsed="false">
      <c r="A7543" s="150" t="n">
        <v>105233</v>
      </c>
      <c r="B7543" s="151" t="s">
        <v>2828</v>
      </c>
      <c r="C7543" s="152" t="s">
        <v>59</v>
      </c>
      <c r="D7543" s="152" t="s">
        <v>31</v>
      </c>
      <c r="E7543" s="150"/>
      <c r="F7543" s="153" t="n">
        <f aca="false">(SUMPRODUCT($E7544:$E7555,F7544:F7555))*1</f>
        <v>5.003431</v>
      </c>
      <c r="G7543" s="153" t="n">
        <f aca="false">(SUMPRODUCT($E7544:$E7555,G7544:G7555))*1</f>
        <v>1.79611984008</v>
      </c>
    </row>
    <row r="7544" customFormat="false" ht="21" hidden="false" customHeight="false" outlineLevel="0" collapsed="false">
      <c r="A7544" s="154" t="n">
        <v>37370</v>
      </c>
      <c r="B7544" s="155" t="s">
        <v>1443</v>
      </c>
      <c r="C7544" s="148" t="str">
        <f aca="false">VLOOKUP($A7544,INSUMOS_AUX!$A$3:$H$813,3,0)</f>
        <v>MAT.</v>
      </c>
      <c r="D7544" s="156" t="s">
        <v>1444</v>
      </c>
      <c r="E7544" s="154" t="n">
        <v>0.1054</v>
      </c>
      <c r="F7544" s="149" t="n">
        <f aca="false">IF(C7544="MAT.",VLOOKUP(A7544,INSUMOS_AUX!$A$3:$H$813,6,0),0)</f>
        <v>3.32</v>
      </c>
      <c r="G7544" s="149" t="n">
        <f aca="false">IF(C7544="M.O.",VLOOKUP(A7544,INSUMOS_AUX!A:F,6,0),0)</f>
        <v>0</v>
      </c>
    </row>
    <row r="7545" customFormat="false" ht="21" hidden="false" customHeight="false" outlineLevel="0" collapsed="false">
      <c r="A7545" s="154" t="n">
        <v>43485</v>
      </c>
      <c r="B7545" s="155" t="s">
        <v>1481</v>
      </c>
      <c r="C7545" s="148" t="str">
        <f aca="false">VLOOKUP($A7545,INSUMOS_AUX!$A$3:$H$813,3,0)</f>
        <v>MAT.</v>
      </c>
      <c r="D7545" s="156" t="s">
        <v>1444</v>
      </c>
      <c r="E7545" s="154" t="n">
        <v>0.1054</v>
      </c>
      <c r="F7545" s="149" t="n">
        <f aca="false">IF(C7545="MAT.",VLOOKUP(A7545,INSUMOS_AUX!$A$3:$H$813,6,0),0)</f>
        <v>1.13</v>
      </c>
      <c r="G7545" s="149" t="n">
        <f aca="false">IF(C7545="M.O.",VLOOKUP(A7545,INSUMOS_AUX!A:F,6,0),0)</f>
        <v>0</v>
      </c>
    </row>
    <row r="7546" customFormat="false" ht="21" hidden="false" customHeight="false" outlineLevel="0" collapsed="false">
      <c r="A7546" s="154" t="n">
        <v>37372</v>
      </c>
      <c r="B7546" s="155" t="s">
        <v>1446</v>
      </c>
      <c r="C7546" s="148" t="str">
        <f aca="false">VLOOKUP($A7546,INSUMOS_AUX!$A$3:$H$813,3,0)</f>
        <v>MAT.</v>
      </c>
      <c r="D7546" s="156" t="s">
        <v>1444</v>
      </c>
      <c r="E7546" s="154" t="n">
        <v>0.1054</v>
      </c>
      <c r="F7546" s="149" t="n">
        <f aca="false">IF(C7546="MAT.",VLOOKUP(A7546,INSUMOS_AUX!$A$3:$H$813,6,0),0)</f>
        <v>1.43</v>
      </c>
      <c r="G7546" s="149" t="n">
        <f aca="false">IF(C7546="M.O.",VLOOKUP(A7546,INSUMOS_AUX!A:F,6,0),0)</f>
        <v>0</v>
      </c>
    </row>
    <row r="7547" customFormat="false" ht="21" hidden="false" customHeight="false" outlineLevel="0" collapsed="false">
      <c r="A7547" s="154" t="n">
        <v>43461</v>
      </c>
      <c r="B7547" s="155" t="s">
        <v>1482</v>
      </c>
      <c r="C7547" s="148" t="str">
        <f aca="false">VLOOKUP($A7547,INSUMOS_AUX!$A$3:$H$813,3,0)</f>
        <v>MAT.</v>
      </c>
      <c r="D7547" s="156" t="s">
        <v>1444</v>
      </c>
      <c r="E7547" s="154" t="n">
        <v>0.1054</v>
      </c>
      <c r="F7547" s="149" t="n">
        <f aca="false">IF(C7547="MAT.",VLOOKUP(A7547,INSUMOS_AUX!$A$3:$H$813,6,0),0)</f>
        <v>0.31</v>
      </c>
      <c r="G7547" s="149" t="n">
        <f aca="false">IF(C7547="M.O.",VLOOKUP(A7547,INSUMOS_AUX!A:F,6,0),0)</f>
        <v>0</v>
      </c>
    </row>
    <row r="7548" customFormat="false" ht="21" hidden="false" customHeight="false" outlineLevel="0" collapsed="false">
      <c r="A7548" s="154" t="n">
        <v>37373</v>
      </c>
      <c r="B7548" s="155" t="s">
        <v>1448</v>
      </c>
      <c r="C7548" s="148" t="str">
        <f aca="false">VLOOKUP($A7548,INSUMOS_AUX!$A$3:$H$813,3,0)</f>
        <v>MAT.</v>
      </c>
      <c r="D7548" s="156" t="s">
        <v>1444</v>
      </c>
      <c r="E7548" s="154" t="n">
        <v>0.1054</v>
      </c>
      <c r="F7548" s="149" t="n">
        <f aca="false">IF(C7548="MAT.",VLOOKUP(A7548,INSUMOS_AUX!$A$3:$H$813,6,0),0)</f>
        <v>0.08</v>
      </c>
      <c r="G7548" s="149" t="n">
        <f aca="false">IF(C7548="M.O.",VLOOKUP(A7548,INSUMOS_AUX!A:F,6,0),0)</f>
        <v>0</v>
      </c>
    </row>
    <row r="7549" customFormat="false" ht="21" hidden="false" customHeight="false" outlineLevel="0" collapsed="false">
      <c r="A7549" s="154" t="n">
        <v>37371</v>
      </c>
      <c r="B7549" s="155" t="s">
        <v>1449</v>
      </c>
      <c r="C7549" s="148" t="str">
        <f aca="false">VLOOKUP($A7549,INSUMOS_AUX!$A$3:$H$813,3,0)</f>
        <v>MAT.</v>
      </c>
      <c r="D7549" s="156" t="s">
        <v>1444</v>
      </c>
      <c r="E7549" s="154" t="n">
        <v>0.1054</v>
      </c>
      <c r="F7549" s="149" t="n">
        <f aca="false">IF(C7549="MAT.",VLOOKUP(A7549,INSUMOS_AUX!$A$3:$H$813,6,0),0)</f>
        <v>0.59</v>
      </c>
      <c r="G7549" s="149" t="n">
        <f aca="false">IF(C7549="M.O.",VLOOKUP(A7549,INSUMOS_AUX!A:F,6,0),0)</f>
        <v>0</v>
      </c>
    </row>
    <row r="7550" customFormat="false" ht="15" hidden="false" customHeight="false" outlineLevel="0" collapsed="false">
      <c r="A7550" s="154" t="n">
        <v>122</v>
      </c>
      <c r="B7550" s="155" t="s">
        <v>2097</v>
      </c>
      <c r="C7550" s="148" t="str">
        <f aca="false">VLOOKUP($A7550,INSUMOS_AUX!$A$3:$H$813,3,0)</f>
        <v>MAT.</v>
      </c>
      <c r="D7550" s="156" t="s">
        <v>31</v>
      </c>
      <c r="E7550" s="154" t="n">
        <v>0.0095</v>
      </c>
      <c r="F7550" s="149" t="n">
        <f aca="false">IF(C7550="MAT.",VLOOKUP(A7550,INSUMOS_AUX!$A$3:$H$813,6,0),0)</f>
        <v>63.09</v>
      </c>
      <c r="G7550" s="149" t="n">
        <f aca="false">IF(C7550="M.O.",VLOOKUP(A7550,INSUMOS_AUX!A:F,6,0),0)</f>
        <v>0</v>
      </c>
    </row>
    <row r="7551" customFormat="false" ht="21" hidden="false" customHeight="false" outlineLevel="0" collapsed="false">
      <c r="A7551" s="154" t="n">
        <v>834</v>
      </c>
      <c r="B7551" s="155" t="s">
        <v>2829</v>
      </c>
      <c r="C7551" s="148" t="str">
        <f aca="false">VLOOKUP($A7551,INSUMOS_AUX!$A$3:$H$813,3,0)</f>
        <v>MAT.</v>
      </c>
      <c r="D7551" s="156" t="s">
        <v>31</v>
      </c>
      <c r="E7551" s="154" t="n">
        <v>1</v>
      </c>
      <c r="F7551" s="149" t="n">
        <f aca="false">IF(C7551="MAT.",VLOOKUP(A7551,INSUMOS_AUX!$A$3:$H$813,6,0),0)</f>
        <v>3.66</v>
      </c>
      <c r="G7551" s="149" t="n">
        <f aca="false">IF(C7551="M.O.",VLOOKUP(A7551,INSUMOS_AUX!A:F,6,0),0)</f>
        <v>0</v>
      </c>
    </row>
    <row r="7552" customFormat="false" ht="15" hidden="false" customHeight="false" outlineLevel="0" collapsed="false">
      <c r="A7552" s="154" t="n">
        <v>38383</v>
      </c>
      <c r="B7552" s="155" t="s">
        <v>2093</v>
      </c>
      <c r="C7552" s="148" t="str">
        <f aca="false">VLOOKUP($A7552,INSUMOS_AUX!$A$3:$H$813,3,0)</f>
        <v>MAT.</v>
      </c>
      <c r="D7552" s="156" t="s">
        <v>31</v>
      </c>
      <c r="E7552" s="154" t="n">
        <v>0.0088</v>
      </c>
      <c r="F7552" s="149" t="n">
        <f aca="false">IF(C7552="MAT.",VLOOKUP(A7552,INSUMOS_AUX!$A$3:$H$813,6,0),0)</f>
        <v>2.39</v>
      </c>
      <c r="G7552" s="149" t="n">
        <f aca="false">IF(C7552="M.O.",VLOOKUP(A7552,INSUMOS_AUX!A:F,6,0),0)</f>
        <v>0</v>
      </c>
    </row>
    <row r="7553" customFormat="false" ht="21" hidden="false" customHeight="false" outlineLevel="0" collapsed="false">
      <c r="A7553" s="154" t="n">
        <v>20083</v>
      </c>
      <c r="B7553" s="155" t="s">
        <v>2095</v>
      </c>
      <c r="C7553" s="148" t="s">
        <v>59</v>
      </c>
      <c r="D7553" s="156" t="s">
        <v>31</v>
      </c>
      <c r="E7553" s="154" t="n">
        <v>0.011</v>
      </c>
      <c r="F7553" s="149" t="n">
        <f aca="false">IF(C7553="MAT.",VLOOKUP(A7553,INSUMOS_AUX!$A$3:$H$813,6,0),0)</f>
        <v>0</v>
      </c>
      <c r="G7553" s="149" t="n">
        <f aca="false">IF(C7553="M.O.",VLOOKUP(A7553,INSUMOS_AUX!A:F,6,0),0)</f>
        <v>0</v>
      </c>
    </row>
    <row r="7554" customFormat="false" ht="15" hidden="false" customHeight="false" outlineLevel="0" collapsed="false">
      <c r="A7554" s="154" t="n">
        <v>246</v>
      </c>
      <c r="B7554" s="155" t="s">
        <v>1752</v>
      </c>
      <c r="C7554" s="148" t="str">
        <f aca="false">VLOOKUP($A7554,INSUMOS_AUX!$A$3:$H$813,3,0)</f>
        <v>M.O.</v>
      </c>
      <c r="D7554" s="156" t="s">
        <v>1444</v>
      </c>
      <c r="E7554" s="154" t="n">
        <v>0.053647546</v>
      </c>
      <c r="F7554" s="149" t="n">
        <f aca="false">IF(C7554="MAT.",VLOOKUP(A7554,INSUMOS_AUX!$A$3:$H$813,6,0),0)</f>
        <v>0</v>
      </c>
      <c r="G7554" s="149" t="n">
        <f aca="false">IF(C7554="M.O.",VLOOKUP(A7554,INSUMOS_AUX!A:F,6,0),0)</f>
        <v>13.26</v>
      </c>
    </row>
    <row r="7555" customFormat="false" ht="15" hidden="false" customHeight="false" outlineLevel="0" collapsed="false">
      <c r="A7555" s="154" t="n">
        <v>2696</v>
      </c>
      <c r="B7555" s="155" t="s">
        <v>1483</v>
      </c>
      <c r="C7555" s="148" t="str">
        <f aca="false">VLOOKUP($A7555,INSUMOS_AUX!$A$3:$H$813,3,0)</f>
        <v>M.O.</v>
      </c>
      <c r="D7555" s="156" t="s">
        <v>1444</v>
      </c>
      <c r="E7555" s="154" t="n">
        <v>0.053647546</v>
      </c>
      <c r="F7555" s="149" t="n">
        <f aca="false">IF(C7555="MAT.",VLOOKUP(A7555,INSUMOS_AUX!$A$3:$H$813,6,0),0)</f>
        <v>0</v>
      </c>
      <c r="G7555" s="149" t="n">
        <f aca="false">IF(C7555="M.O.",VLOOKUP(A7555,INSUMOS_AUX!A:F,6,0),0)</f>
        <v>20.22</v>
      </c>
    </row>
    <row r="7556" customFormat="false" ht="31.5" hidden="false" customHeight="false" outlineLevel="0" collapsed="false">
      <c r="A7556" s="150" t="n">
        <v>105234</v>
      </c>
      <c r="B7556" s="151" t="s">
        <v>2830</v>
      </c>
      <c r="C7556" s="152" t="s">
        <v>59</v>
      </c>
      <c r="D7556" s="152" t="s">
        <v>31</v>
      </c>
      <c r="E7556" s="150"/>
      <c r="F7556" s="153" t="n">
        <f aca="false">(SUMPRODUCT($E7557:$E7568,F7557:F7568))*1</f>
        <v>7.0071</v>
      </c>
      <c r="G7556" s="153" t="n">
        <f aca="false">(SUMPRODUCT($E7557:$E7568,G7557:G7568))*1</f>
        <v>2.24600184936</v>
      </c>
    </row>
    <row r="7557" customFormat="false" ht="21" hidden="false" customHeight="false" outlineLevel="0" collapsed="false">
      <c r="A7557" s="154" t="n">
        <v>37370</v>
      </c>
      <c r="B7557" s="155" t="s">
        <v>1443</v>
      </c>
      <c r="C7557" s="148" t="str">
        <f aca="false">VLOOKUP($A7557,INSUMOS_AUX!$A$3:$H$813,3,0)</f>
        <v>MAT.</v>
      </c>
      <c r="D7557" s="156" t="s">
        <v>1444</v>
      </c>
      <c r="E7557" s="154" t="n">
        <v>0.1318</v>
      </c>
      <c r="F7557" s="149" t="n">
        <f aca="false">IF(C7557="MAT.",VLOOKUP(A7557,INSUMOS_AUX!$A$3:$H$813,6,0),0)</f>
        <v>3.32</v>
      </c>
      <c r="G7557" s="149" t="n">
        <f aca="false">IF(C7557="M.O.",VLOOKUP(A7557,INSUMOS_AUX!A:F,6,0),0)</f>
        <v>0</v>
      </c>
    </row>
    <row r="7558" customFormat="false" ht="21" hidden="false" customHeight="false" outlineLevel="0" collapsed="false">
      <c r="A7558" s="154" t="n">
        <v>43485</v>
      </c>
      <c r="B7558" s="155" t="s">
        <v>1481</v>
      </c>
      <c r="C7558" s="148" t="str">
        <f aca="false">VLOOKUP($A7558,INSUMOS_AUX!$A$3:$H$813,3,0)</f>
        <v>MAT.</v>
      </c>
      <c r="D7558" s="156" t="s">
        <v>1444</v>
      </c>
      <c r="E7558" s="154" t="n">
        <v>0.1318</v>
      </c>
      <c r="F7558" s="149" t="n">
        <f aca="false">IF(C7558="MAT.",VLOOKUP(A7558,INSUMOS_AUX!$A$3:$H$813,6,0),0)</f>
        <v>1.13</v>
      </c>
      <c r="G7558" s="149" t="n">
        <f aca="false">IF(C7558="M.O.",VLOOKUP(A7558,INSUMOS_AUX!A:F,6,0),0)</f>
        <v>0</v>
      </c>
    </row>
    <row r="7559" customFormat="false" ht="21" hidden="false" customHeight="false" outlineLevel="0" collapsed="false">
      <c r="A7559" s="154" t="n">
        <v>37372</v>
      </c>
      <c r="B7559" s="155" t="s">
        <v>1446</v>
      </c>
      <c r="C7559" s="148" t="str">
        <f aca="false">VLOOKUP($A7559,INSUMOS_AUX!$A$3:$H$813,3,0)</f>
        <v>MAT.</v>
      </c>
      <c r="D7559" s="156" t="s">
        <v>1444</v>
      </c>
      <c r="E7559" s="154" t="n">
        <v>0.1318</v>
      </c>
      <c r="F7559" s="149" t="n">
        <f aca="false">IF(C7559="MAT.",VLOOKUP(A7559,INSUMOS_AUX!$A$3:$H$813,6,0),0)</f>
        <v>1.43</v>
      </c>
      <c r="G7559" s="149" t="n">
        <f aca="false">IF(C7559="M.O.",VLOOKUP(A7559,INSUMOS_AUX!A:F,6,0),0)</f>
        <v>0</v>
      </c>
    </row>
    <row r="7560" customFormat="false" ht="21" hidden="false" customHeight="false" outlineLevel="0" collapsed="false">
      <c r="A7560" s="154" t="n">
        <v>43461</v>
      </c>
      <c r="B7560" s="155" t="s">
        <v>1482</v>
      </c>
      <c r="C7560" s="148" t="str">
        <f aca="false">VLOOKUP($A7560,INSUMOS_AUX!$A$3:$H$813,3,0)</f>
        <v>MAT.</v>
      </c>
      <c r="D7560" s="156" t="s">
        <v>1444</v>
      </c>
      <c r="E7560" s="154" t="n">
        <v>0.1318</v>
      </c>
      <c r="F7560" s="149" t="n">
        <f aca="false">IF(C7560="MAT.",VLOOKUP(A7560,INSUMOS_AUX!$A$3:$H$813,6,0),0)</f>
        <v>0.31</v>
      </c>
      <c r="G7560" s="149" t="n">
        <f aca="false">IF(C7560="M.O.",VLOOKUP(A7560,INSUMOS_AUX!A:F,6,0),0)</f>
        <v>0</v>
      </c>
    </row>
    <row r="7561" customFormat="false" ht="21" hidden="false" customHeight="false" outlineLevel="0" collapsed="false">
      <c r="A7561" s="154" t="n">
        <v>37373</v>
      </c>
      <c r="B7561" s="155" t="s">
        <v>1448</v>
      </c>
      <c r="C7561" s="148" t="str">
        <f aca="false">VLOOKUP($A7561,INSUMOS_AUX!$A$3:$H$813,3,0)</f>
        <v>MAT.</v>
      </c>
      <c r="D7561" s="156" t="s">
        <v>1444</v>
      </c>
      <c r="E7561" s="154" t="n">
        <v>0.1318</v>
      </c>
      <c r="F7561" s="149" t="n">
        <f aca="false">IF(C7561="MAT.",VLOOKUP(A7561,INSUMOS_AUX!$A$3:$H$813,6,0),0)</f>
        <v>0.08</v>
      </c>
      <c r="G7561" s="149" t="n">
        <f aca="false">IF(C7561="M.O.",VLOOKUP(A7561,INSUMOS_AUX!A:F,6,0),0)</f>
        <v>0</v>
      </c>
    </row>
    <row r="7562" customFormat="false" ht="21" hidden="false" customHeight="false" outlineLevel="0" collapsed="false">
      <c r="A7562" s="154" t="n">
        <v>37371</v>
      </c>
      <c r="B7562" s="155" t="s">
        <v>1449</v>
      </c>
      <c r="C7562" s="148" t="str">
        <f aca="false">VLOOKUP($A7562,INSUMOS_AUX!$A$3:$H$813,3,0)</f>
        <v>MAT.</v>
      </c>
      <c r="D7562" s="156" t="s">
        <v>1444</v>
      </c>
      <c r="E7562" s="154" t="n">
        <v>0.1318</v>
      </c>
      <c r="F7562" s="149" t="n">
        <f aca="false">IF(C7562="MAT.",VLOOKUP(A7562,INSUMOS_AUX!$A$3:$H$813,6,0),0)</f>
        <v>0.59</v>
      </c>
      <c r="G7562" s="149" t="n">
        <f aca="false">IF(C7562="M.O.",VLOOKUP(A7562,INSUMOS_AUX!A:F,6,0),0)</f>
        <v>0</v>
      </c>
    </row>
    <row r="7563" customFormat="false" ht="15" hidden="false" customHeight="false" outlineLevel="0" collapsed="false">
      <c r="A7563" s="154" t="n">
        <v>122</v>
      </c>
      <c r="B7563" s="155" t="s">
        <v>2097</v>
      </c>
      <c r="C7563" s="148" t="str">
        <f aca="false">VLOOKUP($A7563,INSUMOS_AUX!$A$3:$H$813,3,0)</f>
        <v>MAT.</v>
      </c>
      <c r="D7563" s="156" t="s">
        <v>31</v>
      </c>
      <c r="E7563" s="154" t="n">
        <v>0.0118</v>
      </c>
      <c r="F7563" s="149" t="n">
        <f aca="false">IF(C7563="MAT.",VLOOKUP(A7563,INSUMOS_AUX!$A$3:$H$813,6,0),0)</f>
        <v>63.09</v>
      </c>
      <c r="G7563" s="149" t="n">
        <f aca="false">IF(C7563="M.O.",VLOOKUP(A7563,INSUMOS_AUX!A:F,6,0),0)</f>
        <v>0</v>
      </c>
    </row>
    <row r="7564" customFormat="false" ht="21" hidden="false" customHeight="false" outlineLevel="0" collapsed="false">
      <c r="A7564" s="154" t="n">
        <v>813</v>
      </c>
      <c r="B7564" s="155" t="s">
        <v>2303</v>
      </c>
      <c r="C7564" s="148" t="str">
        <f aca="false">VLOOKUP($A7564,INSUMOS_AUX!$A$3:$H$813,3,0)</f>
        <v>MAT.</v>
      </c>
      <c r="D7564" s="156" t="s">
        <v>31</v>
      </c>
      <c r="E7564" s="154" t="n">
        <v>1</v>
      </c>
      <c r="F7564" s="149" t="n">
        <f aca="false">IF(C7564="MAT.",VLOOKUP(A7564,INSUMOS_AUX!$A$3:$H$813,6,0),0)</f>
        <v>4.26</v>
      </c>
      <c r="G7564" s="149" t="n">
        <f aca="false">IF(C7564="M.O.",VLOOKUP(A7564,INSUMOS_AUX!A:F,6,0),0)</f>
        <v>0</v>
      </c>
    </row>
    <row r="7565" customFormat="false" ht="15" hidden="false" customHeight="false" outlineLevel="0" collapsed="false">
      <c r="A7565" s="154" t="n">
        <v>38383</v>
      </c>
      <c r="B7565" s="155" t="s">
        <v>2093</v>
      </c>
      <c r="C7565" s="148" t="str">
        <f aca="false">VLOOKUP($A7565,INSUMOS_AUX!$A$3:$H$813,3,0)</f>
        <v>MAT.</v>
      </c>
      <c r="D7565" s="156" t="s">
        <v>31</v>
      </c>
      <c r="E7565" s="154" t="n">
        <v>0.011</v>
      </c>
      <c r="F7565" s="149" t="n">
        <f aca="false">IF(C7565="MAT.",VLOOKUP(A7565,INSUMOS_AUX!$A$3:$H$813,6,0),0)</f>
        <v>2.39</v>
      </c>
      <c r="G7565" s="149" t="n">
        <f aca="false">IF(C7565="M.O.",VLOOKUP(A7565,INSUMOS_AUX!A:F,6,0),0)</f>
        <v>0</v>
      </c>
    </row>
    <row r="7566" customFormat="false" ht="21" hidden="false" customHeight="false" outlineLevel="0" collapsed="false">
      <c r="A7566" s="154" t="n">
        <v>20083</v>
      </c>
      <c r="B7566" s="155" t="s">
        <v>2095</v>
      </c>
      <c r="C7566" s="148" t="str">
        <f aca="false">VLOOKUP($A7566,INSUMOS_AUX!$A$3:$H$813,3,0)</f>
        <v>MAT.</v>
      </c>
      <c r="D7566" s="156" t="s">
        <v>31</v>
      </c>
      <c r="E7566" s="154" t="n">
        <v>0.015</v>
      </c>
      <c r="F7566" s="149" t="n">
        <f aca="false">IF(C7566="MAT.",VLOOKUP(A7566,INSUMOS_AUX!$A$3:$H$813,6,0),0)</f>
        <v>71.48</v>
      </c>
      <c r="G7566" s="149" t="n">
        <f aca="false">IF(C7566="M.O.",VLOOKUP(A7566,INSUMOS_AUX!A:F,6,0),0)</f>
        <v>0</v>
      </c>
    </row>
    <row r="7567" customFormat="false" ht="15" hidden="false" customHeight="false" outlineLevel="0" collapsed="false">
      <c r="A7567" s="154" t="n">
        <v>246</v>
      </c>
      <c r="B7567" s="155" t="s">
        <v>1752</v>
      </c>
      <c r="C7567" s="148" t="str">
        <f aca="false">VLOOKUP($A7567,INSUMOS_AUX!$A$3:$H$813,3,0)</f>
        <v>M.O.</v>
      </c>
      <c r="D7567" s="156" t="s">
        <v>1444</v>
      </c>
      <c r="E7567" s="154" t="n">
        <v>0.067084882</v>
      </c>
      <c r="F7567" s="149" t="n">
        <f aca="false">IF(C7567="MAT.",VLOOKUP(A7567,INSUMOS_AUX!$A$3:$H$813,6,0),0)</f>
        <v>0</v>
      </c>
      <c r="G7567" s="149" t="n">
        <f aca="false">IF(C7567="M.O.",VLOOKUP(A7567,INSUMOS_AUX!A:F,6,0),0)</f>
        <v>13.26</v>
      </c>
    </row>
    <row r="7568" customFormat="false" ht="15" hidden="false" customHeight="false" outlineLevel="0" collapsed="false">
      <c r="A7568" s="154" t="n">
        <v>2696</v>
      </c>
      <c r="B7568" s="155" t="s">
        <v>1483</v>
      </c>
      <c r="C7568" s="148" t="str">
        <f aca="false">VLOOKUP($A7568,INSUMOS_AUX!$A$3:$H$813,3,0)</f>
        <v>M.O.</v>
      </c>
      <c r="D7568" s="156" t="s">
        <v>1444</v>
      </c>
      <c r="E7568" s="154" t="n">
        <v>0.067084882</v>
      </c>
      <c r="F7568" s="149" t="n">
        <f aca="false">IF(C7568="MAT.",VLOOKUP(A7568,INSUMOS_AUX!$A$3:$H$813,6,0),0)</f>
        <v>0</v>
      </c>
      <c r="G7568" s="149" t="n">
        <f aca="false">IF(C7568="M.O.",VLOOKUP(A7568,INSUMOS_AUX!A:F,6,0),0)</f>
        <v>20.22</v>
      </c>
    </row>
    <row r="7569" customFormat="false" ht="31.5" hidden="false" customHeight="false" outlineLevel="0" collapsed="false">
      <c r="A7569" s="150" t="n">
        <v>103981</v>
      </c>
      <c r="B7569" s="151" t="s">
        <v>2831</v>
      </c>
      <c r="C7569" s="152" t="s">
        <v>59</v>
      </c>
      <c r="D7569" s="152" t="s">
        <v>31</v>
      </c>
      <c r="E7569" s="150"/>
      <c r="F7569" s="153" t="n">
        <f aca="false">(SUMPRODUCT($E7570:$E7581,F7570:F7581))*1</f>
        <v>9.912355</v>
      </c>
      <c r="G7569" s="153" t="n">
        <f aca="false">(SUMPRODUCT($E7570:$E7581,G7570:G7581))*1</f>
        <v>6.5437383168</v>
      </c>
    </row>
    <row r="7570" customFormat="false" ht="21" hidden="false" customHeight="false" outlineLevel="0" collapsed="false">
      <c r="A7570" s="154" t="n">
        <v>37370</v>
      </c>
      <c r="B7570" s="155" t="s">
        <v>1443</v>
      </c>
      <c r="C7570" s="148" t="str">
        <f aca="false">VLOOKUP($A7570,INSUMOS_AUX!$A$3:$H$813,3,0)</f>
        <v>MAT.</v>
      </c>
      <c r="D7570" s="156" t="s">
        <v>1444</v>
      </c>
      <c r="E7570" s="154" t="n">
        <v>0.384</v>
      </c>
      <c r="F7570" s="149" t="n">
        <f aca="false">IF(C7570="MAT.",VLOOKUP(A7570,INSUMOS_AUX!$A$3:$H$813,6,0),0)</f>
        <v>3.32</v>
      </c>
      <c r="G7570" s="149" t="n">
        <f aca="false">IF(C7570="M.O.",VLOOKUP(A7570,INSUMOS_AUX!A:F,6,0),0)</f>
        <v>0</v>
      </c>
    </row>
    <row r="7571" customFormat="false" ht="21" hidden="false" customHeight="false" outlineLevel="0" collapsed="false">
      <c r="A7571" s="154" t="n">
        <v>43485</v>
      </c>
      <c r="B7571" s="155" t="s">
        <v>1481</v>
      </c>
      <c r="C7571" s="148" t="str">
        <f aca="false">VLOOKUP($A7571,INSUMOS_AUX!$A$3:$H$813,3,0)</f>
        <v>MAT.</v>
      </c>
      <c r="D7571" s="156" t="s">
        <v>1444</v>
      </c>
      <c r="E7571" s="154" t="n">
        <v>0.384</v>
      </c>
      <c r="F7571" s="149" t="n">
        <f aca="false">IF(C7571="MAT.",VLOOKUP(A7571,INSUMOS_AUX!$A$3:$H$813,6,0),0)</f>
        <v>1.13</v>
      </c>
      <c r="G7571" s="149" t="n">
        <f aca="false">IF(C7571="M.O.",VLOOKUP(A7571,INSUMOS_AUX!A:F,6,0),0)</f>
        <v>0</v>
      </c>
    </row>
    <row r="7572" customFormat="false" ht="21" hidden="false" customHeight="false" outlineLevel="0" collapsed="false">
      <c r="A7572" s="154" t="n">
        <v>37372</v>
      </c>
      <c r="B7572" s="155" t="s">
        <v>1446</v>
      </c>
      <c r="C7572" s="148" t="s">
        <v>59</v>
      </c>
      <c r="D7572" s="156" t="s">
        <v>1444</v>
      </c>
      <c r="E7572" s="154" t="n">
        <v>0.384</v>
      </c>
      <c r="F7572" s="149" t="n">
        <f aca="false">IF(C7572="MAT.",VLOOKUP(A7572,INSUMOS_AUX!$A$3:$H$813,6,0),0)</f>
        <v>0</v>
      </c>
      <c r="G7572" s="149" t="n">
        <f aca="false">IF(C7572="M.O.",VLOOKUP(A7572,INSUMOS_AUX!A:F,6,0),0)</f>
        <v>0</v>
      </c>
    </row>
    <row r="7573" customFormat="false" ht="21" hidden="false" customHeight="false" outlineLevel="0" collapsed="false">
      <c r="A7573" s="154" t="n">
        <v>43461</v>
      </c>
      <c r="B7573" s="155" t="s">
        <v>1482</v>
      </c>
      <c r="C7573" s="148" t="str">
        <f aca="false">VLOOKUP($A7573,INSUMOS_AUX!$A$3:$H$813,3,0)</f>
        <v>MAT.</v>
      </c>
      <c r="D7573" s="156" t="s">
        <v>1444</v>
      </c>
      <c r="E7573" s="154" t="n">
        <v>0.384</v>
      </c>
      <c r="F7573" s="149" t="n">
        <f aca="false">IF(C7573="MAT.",VLOOKUP(A7573,INSUMOS_AUX!$A$3:$H$813,6,0),0)</f>
        <v>0.31</v>
      </c>
      <c r="G7573" s="149" t="n">
        <f aca="false">IF(C7573="M.O.",VLOOKUP(A7573,INSUMOS_AUX!A:F,6,0),0)</f>
        <v>0</v>
      </c>
    </row>
    <row r="7574" customFormat="false" ht="21" hidden="false" customHeight="false" outlineLevel="0" collapsed="false">
      <c r="A7574" s="154" t="n">
        <v>37373</v>
      </c>
      <c r="B7574" s="155" t="s">
        <v>1448</v>
      </c>
      <c r="C7574" s="148" t="str">
        <f aca="false">VLOOKUP($A7574,INSUMOS_AUX!$A$3:$H$813,3,0)</f>
        <v>MAT.</v>
      </c>
      <c r="D7574" s="156" t="s">
        <v>1444</v>
      </c>
      <c r="E7574" s="154" t="n">
        <v>0.384</v>
      </c>
      <c r="F7574" s="149" t="n">
        <f aca="false">IF(C7574="MAT.",VLOOKUP(A7574,INSUMOS_AUX!$A$3:$H$813,6,0),0)</f>
        <v>0.08</v>
      </c>
      <c r="G7574" s="149" t="n">
        <f aca="false">IF(C7574="M.O.",VLOOKUP(A7574,INSUMOS_AUX!A:F,6,0),0)</f>
        <v>0</v>
      </c>
    </row>
    <row r="7575" customFormat="false" ht="21" hidden="false" customHeight="false" outlineLevel="0" collapsed="false">
      <c r="A7575" s="154" t="n">
        <v>37371</v>
      </c>
      <c r="B7575" s="155" t="s">
        <v>1449</v>
      </c>
      <c r="C7575" s="148" t="str">
        <f aca="false">VLOOKUP($A7575,INSUMOS_AUX!$A$3:$H$813,3,0)</f>
        <v>MAT.</v>
      </c>
      <c r="D7575" s="156" t="s">
        <v>1444</v>
      </c>
      <c r="E7575" s="154" t="n">
        <v>0.384</v>
      </c>
      <c r="F7575" s="149" t="n">
        <f aca="false">IF(C7575="MAT.",VLOOKUP(A7575,INSUMOS_AUX!$A$3:$H$813,6,0),0)</f>
        <v>0.59</v>
      </c>
      <c r="G7575" s="149" t="n">
        <f aca="false">IF(C7575="M.O.",VLOOKUP(A7575,INSUMOS_AUX!A:F,6,0),0)</f>
        <v>0</v>
      </c>
    </row>
    <row r="7576" customFormat="false" ht="15" hidden="false" customHeight="false" outlineLevel="0" collapsed="false">
      <c r="A7576" s="154" t="n">
        <v>122</v>
      </c>
      <c r="B7576" s="155" t="s">
        <v>2097</v>
      </c>
      <c r="C7576" s="148" t="str">
        <f aca="false">VLOOKUP($A7576,INSUMOS_AUX!$A$3:$H$813,3,0)</f>
        <v>MAT.</v>
      </c>
      <c r="D7576" s="156" t="s">
        <v>31</v>
      </c>
      <c r="E7576" s="154" t="n">
        <v>0.0118</v>
      </c>
      <c r="F7576" s="149" t="n">
        <f aca="false">IF(C7576="MAT.",VLOOKUP(A7576,INSUMOS_AUX!$A$3:$H$813,6,0),0)</f>
        <v>63.09</v>
      </c>
      <c r="G7576" s="149" t="n">
        <f aca="false">IF(C7576="M.O.",VLOOKUP(A7576,INSUMOS_AUX!A:F,6,0),0)</f>
        <v>0</v>
      </c>
    </row>
    <row r="7577" customFormat="false" ht="21" hidden="false" customHeight="false" outlineLevel="0" collapsed="false">
      <c r="A7577" s="154" t="n">
        <v>3502</v>
      </c>
      <c r="B7577" s="155" t="s">
        <v>2832</v>
      </c>
      <c r="C7577" s="148" t="str">
        <f aca="false">VLOOKUP($A7577,INSUMOS_AUX!$A$3:$H$813,3,0)</f>
        <v>MAT.</v>
      </c>
      <c r="D7577" s="156" t="s">
        <v>31</v>
      </c>
      <c r="E7577" s="154" t="n">
        <v>1</v>
      </c>
      <c r="F7577" s="149" t="n">
        <f aca="false">IF(C7577="MAT.",VLOOKUP(A7577,INSUMOS_AUX!$A$3:$H$813,6,0),0)</f>
        <v>5.98</v>
      </c>
      <c r="G7577" s="149" t="n">
        <f aca="false">IF(C7577="M.O.",VLOOKUP(A7577,INSUMOS_AUX!A:F,6,0),0)</f>
        <v>0</v>
      </c>
    </row>
    <row r="7578" customFormat="false" ht="15" hidden="false" customHeight="false" outlineLevel="0" collapsed="false">
      <c r="A7578" s="154" t="n">
        <v>38383</v>
      </c>
      <c r="B7578" s="155" t="s">
        <v>2093</v>
      </c>
      <c r="C7578" s="148" t="str">
        <f aca="false">VLOOKUP($A7578,INSUMOS_AUX!$A$3:$H$813,3,0)</f>
        <v>MAT.</v>
      </c>
      <c r="D7578" s="156" t="s">
        <v>31</v>
      </c>
      <c r="E7578" s="154" t="n">
        <v>0.0427</v>
      </c>
      <c r="F7578" s="149" t="n">
        <f aca="false">IF(C7578="MAT.",VLOOKUP(A7578,INSUMOS_AUX!$A$3:$H$813,6,0),0)</f>
        <v>2.39</v>
      </c>
      <c r="G7578" s="149" t="n">
        <f aca="false">IF(C7578="M.O.",VLOOKUP(A7578,INSUMOS_AUX!A:F,6,0),0)</f>
        <v>0</v>
      </c>
    </row>
    <row r="7579" customFormat="false" ht="21" hidden="false" customHeight="false" outlineLevel="0" collapsed="false">
      <c r="A7579" s="154" t="n">
        <v>20083</v>
      </c>
      <c r="B7579" s="155" t="s">
        <v>2095</v>
      </c>
      <c r="C7579" s="148" t="str">
        <f aca="false">VLOOKUP($A7579,INSUMOS_AUX!$A$3:$H$813,3,0)</f>
        <v>MAT.</v>
      </c>
      <c r="D7579" s="156" t="s">
        <v>31</v>
      </c>
      <c r="E7579" s="154" t="n">
        <v>0.014</v>
      </c>
      <c r="F7579" s="149" t="n">
        <f aca="false">IF(C7579="MAT.",VLOOKUP(A7579,INSUMOS_AUX!$A$3:$H$813,6,0),0)</f>
        <v>71.48</v>
      </c>
      <c r="G7579" s="149" t="n">
        <f aca="false">IF(C7579="M.O.",VLOOKUP(A7579,INSUMOS_AUX!A:F,6,0),0)</f>
        <v>0</v>
      </c>
    </row>
    <row r="7580" customFormat="false" ht="15" hidden="false" customHeight="false" outlineLevel="0" collapsed="false">
      <c r="A7580" s="154" t="n">
        <v>246</v>
      </c>
      <c r="B7580" s="155" t="s">
        <v>1752</v>
      </c>
      <c r="C7580" s="148" t="str">
        <f aca="false">VLOOKUP($A7580,INSUMOS_AUX!$A$3:$H$813,3,0)</f>
        <v>M.O.</v>
      </c>
      <c r="D7580" s="156" t="s">
        <v>1444</v>
      </c>
      <c r="E7580" s="154" t="n">
        <v>0.19545216</v>
      </c>
      <c r="F7580" s="149" t="n">
        <f aca="false">IF(C7580="MAT.",VLOOKUP(A7580,INSUMOS_AUX!$A$3:$H$813,6,0),0)</f>
        <v>0</v>
      </c>
      <c r="G7580" s="149" t="n">
        <f aca="false">IF(C7580="M.O.",VLOOKUP(A7580,INSUMOS_AUX!A:F,6,0),0)</f>
        <v>13.26</v>
      </c>
    </row>
    <row r="7581" customFormat="false" ht="15" hidden="false" customHeight="false" outlineLevel="0" collapsed="false">
      <c r="A7581" s="154" t="n">
        <v>2696</v>
      </c>
      <c r="B7581" s="155" t="s">
        <v>1483</v>
      </c>
      <c r="C7581" s="148" t="str">
        <f aca="false">VLOOKUP($A7581,INSUMOS_AUX!$A$3:$H$813,3,0)</f>
        <v>M.O.</v>
      </c>
      <c r="D7581" s="156" t="s">
        <v>1444</v>
      </c>
      <c r="E7581" s="154" t="n">
        <v>0.19545216</v>
      </c>
      <c r="F7581" s="149" t="n">
        <f aca="false">IF(C7581="MAT.",VLOOKUP(A7581,INSUMOS_AUX!$A$3:$H$813,6,0),0)</f>
        <v>0</v>
      </c>
      <c r="G7581" s="149" t="n">
        <f aca="false">IF(C7581="M.O.",VLOOKUP(A7581,INSUMOS_AUX!A:F,6,0),0)</f>
        <v>20.22</v>
      </c>
    </row>
    <row r="7582" customFormat="false" ht="31.5" hidden="false" customHeight="false" outlineLevel="0" collapsed="false">
      <c r="A7582" s="150" t="n">
        <v>89518</v>
      </c>
      <c r="B7582" s="151" t="s">
        <v>2833</v>
      </c>
      <c r="C7582" s="152" t="s">
        <v>59</v>
      </c>
      <c r="D7582" s="152" t="s">
        <v>31</v>
      </c>
      <c r="E7582" s="150"/>
      <c r="F7582" s="153" t="n">
        <f aca="false">(SUMPRODUCT($E7583:$E7593,F7583:F7593))*1</f>
        <v>11.642804</v>
      </c>
      <c r="G7582" s="153" t="n">
        <f aca="false">(SUMPRODUCT($E7583:$E7593,G7583:G7593))*1</f>
        <v>2.06877560328</v>
      </c>
    </row>
    <row r="7583" customFormat="false" ht="21" hidden="false" customHeight="false" outlineLevel="0" collapsed="false">
      <c r="A7583" s="154" t="n">
        <v>37370</v>
      </c>
      <c r="B7583" s="155" t="s">
        <v>1443</v>
      </c>
      <c r="C7583" s="148" t="str">
        <f aca="false">VLOOKUP($A7583,INSUMOS_AUX!$A$3:$H$813,3,0)</f>
        <v>MAT.</v>
      </c>
      <c r="D7583" s="156" t="s">
        <v>1444</v>
      </c>
      <c r="E7583" s="154" t="n">
        <v>0.1214</v>
      </c>
      <c r="F7583" s="149" t="n">
        <f aca="false">IF(C7583="MAT.",VLOOKUP(A7583,INSUMOS_AUX!$A$3:$H$813,6,0),0)</f>
        <v>3.32</v>
      </c>
      <c r="G7583" s="149" t="n">
        <f aca="false">IF(C7583="M.O.",VLOOKUP(A7583,INSUMOS_AUX!A:F,6,0),0)</f>
        <v>0</v>
      </c>
    </row>
    <row r="7584" customFormat="false" ht="21" hidden="false" customHeight="false" outlineLevel="0" collapsed="false">
      <c r="A7584" s="154" t="n">
        <v>43485</v>
      </c>
      <c r="B7584" s="155" t="s">
        <v>1481</v>
      </c>
      <c r="C7584" s="148" t="str">
        <f aca="false">VLOOKUP($A7584,INSUMOS_AUX!$A$3:$H$813,3,0)</f>
        <v>MAT.</v>
      </c>
      <c r="D7584" s="156" t="s">
        <v>1444</v>
      </c>
      <c r="E7584" s="154" t="n">
        <v>0.1214</v>
      </c>
      <c r="F7584" s="149" t="n">
        <f aca="false">IF(C7584="MAT.",VLOOKUP(A7584,INSUMOS_AUX!$A$3:$H$813,6,0),0)</f>
        <v>1.13</v>
      </c>
      <c r="G7584" s="149" t="n">
        <f aca="false">IF(C7584="M.O.",VLOOKUP(A7584,INSUMOS_AUX!A:F,6,0),0)</f>
        <v>0</v>
      </c>
    </row>
    <row r="7585" customFormat="false" ht="21" hidden="false" customHeight="false" outlineLevel="0" collapsed="false">
      <c r="A7585" s="154" t="n">
        <v>37372</v>
      </c>
      <c r="B7585" s="155" t="s">
        <v>1446</v>
      </c>
      <c r="C7585" s="148" t="str">
        <f aca="false">VLOOKUP($A7585,INSUMOS_AUX!$A$3:$H$813,3,0)</f>
        <v>MAT.</v>
      </c>
      <c r="D7585" s="156" t="s">
        <v>1444</v>
      </c>
      <c r="E7585" s="154" t="n">
        <v>0.1214</v>
      </c>
      <c r="F7585" s="149" t="n">
        <f aca="false">IF(C7585="MAT.",VLOOKUP(A7585,INSUMOS_AUX!$A$3:$H$813,6,0),0)</f>
        <v>1.43</v>
      </c>
      <c r="G7585" s="149" t="n">
        <f aca="false">IF(C7585="M.O.",VLOOKUP(A7585,INSUMOS_AUX!A:F,6,0),0)</f>
        <v>0</v>
      </c>
    </row>
    <row r="7586" customFormat="false" ht="21" hidden="false" customHeight="false" outlineLevel="0" collapsed="false">
      <c r="A7586" s="154" t="n">
        <v>43461</v>
      </c>
      <c r="B7586" s="155" t="s">
        <v>1482</v>
      </c>
      <c r="C7586" s="148" t="str">
        <f aca="false">VLOOKUP($A7586,INSUMOS_AUX!$A$3:$H$813,3,0)</f>
        <v>MAT.</v>
      </c>
      <c r="D7586" s="156" t="s">
        <v>1444</v>
      </c>
      <c r="E7586" s="154" t="n">
        <v>0.1214</v>
      </c>
      <c r="F7586" s="149" t="n">
        <f aca="false">IF(C7586="MAT.",VLOOKUP(A7586,INSUMOS_AUX!$A$3:$H$813,6,0),0)</f>
        <v>0.31</v>
      </c>
      <c r="G7586" s="149" t="n">
        <f aca="false">IF(C7586="M.O.",VLOOKUP(A7586,INSUMOS_AUX!A:F,6,0),0)</f>
        <v>0</v>
      </c>
    </row>
    <row r="7587" customFormat="false" ht="21" hidden="false" customHeight="false" outlineLevel="0" collapsed="false">
      <c r="A7587" s="154" t="n">
        <v>37373</v>
      </c>
      <c r="B7587" s="155" t="s">
        <v>1448</v>
      </c>
      <c r="C7587" s="148" t="str">
        <f aca="false">VLOOKUP($A7587,INSUMOS_AUX!$A$3:$H$813,3,0)</f>
        <v>MAT.</v>
      </c>
      <c r="D7587" s="156" t="s">
        <v>1444</v>
      </c>
      <c r="E7587" s="154" t="n">
        <v>0.1214</v>
      </c>
      <c r="F7587" s="149" t="n">
        <f aca="false">IF(C7587="MAT.",VLOOKUP(A7587,INSUMOS_AUX!$A$3:$H$813,6,0),0)</f>
        <v>0.08</v>
      </c>
      <c r="G7587" s="149" t="n">
        <f aca="false">IF(C7587="M.O.",VLOOKUP(A7587,INSUMOS_AUX!A:F,6,0),0)</f>
        <v>0</v>
      </c>
    </row>
    <row r="7588" customFormat="false" ht="21" hidden="false" customHeight="false" outlineLevel="0" collapsed="false">
      <c r="A7588" s="154" t="n">
        <v>37371</v>
      </c>
      <c r="B7588" s="155" t="s">
        <v>1449</v>
      </c>
      <c r="C7588" s="148" t="str">
        <f aca="false">VLOOKUP($A7588,INSUMOS_AUX!$A$3:$H$813,3,0)</f>
        <v>MAT.</v>
      </c>
      <c r="D7588" s="156" t="s">
        <v>1444</v>
      </c>
      <c r="E7588" s="154" t="n">
        <v>0.1214</v>
      </c>
      <c r="F7588" s="149" t="n">
        <f aca="false">IF(C7588="MAT.",VLOOKUP(A7588,INSUMOS_AUX!$A$3:$H$813,6,0),0)</f>
        <v>0.59</v>
      </c>
      <c r="G7588" s="149" t="n">
        <f aca="false">IF(C7588="M.O.",VLOOKUP(A7588,INSUMOS_AUX!A:F,6,0),0)</f>
        <v>0</v>
      </c>
    </row>
    <row r="7589" customFormat="false" ht="21" hidden="false" customHeight="false" outlineLevel="0" collapsed="false">
      <c r="A7589" s="154" t="n">
        <v>20085</v>
      </c>
      <c r="B7589" s="155" t="s">
        <v>2263</v>
      </c>
      <c r="C7589" s="148" t="str">
        <f aca="false">VLOOKUP($A7589,INSUMOS_AUX!$A$3:$H$813,3,0)</f>
        <v>MAT.</v>
      </c>
      <c r="D7589" s="156" t="s">
        <v>31</v>
      </c>
      <c r="E7589" s="154" t="n">
        <v>2</v>
      </c>
      <c r="F7589" s="149" t="n">
        <f aca="false">IF(C7589="MAT.",VLOOKUP(A7589,INSUMOS_AUX!$A$3:$H$813,6,0),0)</f>
        <v>2.22</v>
      </c>
      <c r="G7589" s="149" t="n">
        <f aca="false">IF(C7589="M.O.",VLOOKUP(A7589,INSUMOS_AUX!A:F,6,0),0)</f>
        <v>0</v>
      </c>
    </row>
    <row r="7590" customFormat="false" ht="15" hidden="false" customHeight="false" outlineLevel="0" collapsed="false">
      <c r="A7590" s="154" t="n">
        <v>20155</v>
      </c>
      <c r="B7590" s="155" t="s">
        <v>2834</v>
      </c>
      <c r="C7590" s="148" t="str">
        <f aca="false">VLOOKUP($A7590,INSUMOS_AUX!$A$3:$H$813,3,0)</f>
        <v>MAT.</v>
      </c>
      <c r="D7590" s="156" t="s">
        <v>31</v>
      </c>
      <c r="E7590" s="154" t="n">
        <v>1</v>
      </c>
      <c r="F7590" s="149" t="n">
        <f aca="false">IF(C7590="MAT.",VLOOKUP(A7590,INSUMOS_AUX!$A$3:$H$813,6,0),0)</f>
        <v>6.37</v>
      </c>
      <c r="G7590" s="149" t="n">
        <f aca="false">IF(C7590="M.O.",VLOOKUP(A7590,INSUMOS_AUX!A:F,6,0),0)</f>
        <v>0</v>
      </c>
    </row>
    <row r="7591" customFormat="false" ht="31.5" hidden="false" customHeight="false" outlineLevel="0" collapsed="false">
      <c r="A7591" s="154" t="n">
        <v>20078</v>
      </c>
      <c r="B7591" s="155" t="s">
        <v>2123</v>
      </c>
      <c r="C7591" s="148" t="s">
        <v>59</v>
      </c>
      <c r="D7591" s="156" t="s">
        <v>31</v>
      </c>
      <c r="E7591" s="154" t="n">
        <v>0.05</v>
      </c>
      <c r="F7591" s="149" t="n">
        <f aca="false">IF(C7591="MAT.",VLOOKUP(A7591,INSUMOS_AUX!$A$3:$H$813,6,0),0)</f>
        <v>0</v>
      </c>
      <c r="G7591" s="149" t="n">
        <f aca="false">IF(C7591="M.O.",VLOOKUP(A7591,INSUMOS_AUX!A:F,6,0),0)</f>
        <v>0</v>
      </c>
    </row>
    <row r="7592" customFormat="false" ht="15" hidden="false" customHeight="false" outlineLevel="0" collapsed="false">
      <c r="A7592" s="154" t="n">
        <v>246</v>
      </c>
      <c r="B7592" s="155" t="s">
        <v>1752</v>
      </c>
      <c r="C7592" s="148" t="str">
        <f aca="false">VLOOKUP($A7592,INSUMOS_AUX!$A$3:$H$813,3,0)</f>
        <v>M.O.</v>
      </c>
      <c r="D7592" s="156" t="s">
        <v>1444</v>
      </c>
      <c r="E7592" s="154" t="n">
        <v>0.061791386</v>
      </c>
      <c r="F7592" s="149" t="n">
        <f aca="false">IF(C7592="MAT.",VLOOKUP(A7592,INSUMOS_AUX!$A$3:$H$813,6,0),0)</f>
        <v>0</v>
      </c>
      <c r="G7592" s="149" t="n">
        <f aca="false">IF(C7592="M.O.",VLOOKUP(A7592,INSUMOS_AUX!A:F,6,0),0)</f>
        <v>13.26</v>
      </c>
    </row>
    <row r="7593" customFormat="false" ht="15" hidden="false" customHeight="false" outlineLevel="0" collapsed="false">
      <c r="A7593" s="154" t="n">
        <v>2696</v>
      </c>
      <c r="B7593" s="155" t="s">
        <v>1483</v>
      </c>
      <c r="C7593" s="148" t="str">
        <f aca="false">VLOOKUP($A7593,INSUMOS_AUX!$A$3:$H$813,3,0)</f>
        <v>M.O.</v>
      </c>
      <c r="D7593" s="156" t="s">
        <v>1444</v>
      </c>
      <c r="E7593" s="154" t="n">
        <v>0.061791386</v>
      </c>
      <c r="F7593" s="149" t="n">
        <f aca="false">IF(C7593="MAT.",VLOOKUP(A7593,INSUMOS_AUX!$A$3:$H$813,6,0),0)</f>
        <v>0</v>
      </c>
      <c r="G7593" s="149" t="n">
        <f aca="false">IF(C7593="M.O.",VLOOKUP(A7593,INSUMOS_AUX!A:F,6,0),0)</f>
        <v>20.22</v>
      </c>
    </row>
    <row r="7594" customFormat="false" ht="21" hidden="false" customHeight="false" outlineLevel="0" collapsed="false">
      <c r="A7594" s="150" t="n">
        <v>89866</v>
      </c>
      <c r="B7594" s="151" t="s">
        <v>2835</v>
      </c>
      <c r="C7594" s="152" t="s">
        <v>59</v>
      </c>
      <c r="D7594" s="152" t="s">
        <v>31</v>
      </c>
      <c r="E7594" s="150"/>
      <c r="F7594" s="153" t="n">
        <f aca="false">(SUMPRODUCT($E7595:$E7606,F7595:F7606))*1</f>
        <v>3.28179</v>
      </c>
      <c r="G7594" s="153" t="n">
        <f aca="false">(SUMPRODUCT($E7595:$E7606,G7595:G7606))*1</f>
        <v>3.76946592624</v>
      </c>
    </row>
    <row r="7595" customFormat="false" ht="21" hidden="false" customHeight="false" outlineLevel="0" collapsed="false">
      <c r="A7595" s="154" t="n">
        <v>37370</v>
      </c>
      <c r="B7595" s="155" t="s">
        <v>1443</v>
      </c>
      <c r="C7595" s="148" t="str">
        <f aca="false">VLOOKUP($A7595,INSUMOS_AUX!$A$3:$H$813,3,0)</f>
        <v>MAT.</v>
      </c>
      <c r="D7595" s="156" t="s">
        <v>1444</v>
      </c>
      <c r="E7595" s="154" t="n">
        <v>0.2212</v>
      </c>
      <c r="F7595" s="149" t="n">
        <f aca="false">IF(C7595="MAT.",VLOOKUP(A7595,INSUMOS_AUX!$A$3:$H$813,6,0),0)</f>
        <v>3.32</v>
      </c>
      <c r="G7595" s="149" t="n">
        <f aca="false">IF(C7595="M.O.",VLOOKUP(A7595,INSUMOS_AUX!A:F,6,0),0)</f>
        <v>0</v>
      </c>
    </row>
    <row r="7596" customFormat="false" ht="21" hidden="false" customHeight="false" outlineLevel="0" collapsed="false">
      <c r="A7596" s="154" t="n">
        <v>43485</v>
      </c>
      <c r="B7596" s="155" t="s">
        <v>1481</v>
      </c>
      <c r="C7596" s="148" t="str">
        <f aca="false">VLOOKUP($A7596,INSUMOS_AUX!$A$3:$H$813,3,0)</f>
        <v>MAT.</v>
      </c>
      <c r="D7596" s="156" t="s">
        <v>1444</v>
      </c>
      <c r="E7596" s="154" t="n">
        <v>0.2212</v>
      </c>
      <c r="F7596" s="149" t="n">
        <f aca="false">IF(C7596="MAT.",VLOOKUP(A7596,INSUMOS_AUX!$A$3:$H$813,6,0),0)</f>
        <v>1.13</v>
      </c>
      <c r="G7596" s="149" t="n">
        <f aca="false">IF(C7596="M.O.",VLOOKUP(A7596,INSUMOS_AUX!A:F,6,0),0)</f>
        <v>0</v>
      </c>
    </row>
    <row r="7597" customFormat="false" ht="21" hidden="false" customHeight="false" outlineLevel="0" collapsed="false">
      <c r="A7597" s="154" t="n">
        <v>37372</v>
      </c>
      <c r="B7597" s="155" t="s">
        <v>1446</v>
      </c>
      <c r="C7597" s="148" t="str">
        <f aca="false">VLOOKUP($A7597,INSUMOS_AUX!$A$3:$H$813,3,0)</f>
        <v>MAT.</v>
      </c>
      <c r="D7597" s="156" t="s">
        <v>1444</v>
      </c>
      <c r="E7597" s="154" t="n">
        <v>0.2212</v>
      </c>
      <c r="F7597" s="149" t="n">
        <f aca="false">IF(C7597="MAT.",VLOOKUP(A7597,INSUMOS_AUX!$A$3:$H$813,6,0),0)</f>
        <v>1.43</v>
      </c>
      <c r="G7597" s="149" t="n">
        <f aca="false">IF(C7597="M.O.",VLOOKUP(A7597,INSUMOS_AUX!A:F,6,0),0)</f>
        <v>0</v>
      </c>
    </row>
    <row r="7598" customFormat="false" ht="21" hidden="false" customHeight="false" outlineLevel="0" collapsed="false">
      <c r="A7598" s="154" t="n">
        <v>43461</v>
      </c>
      <c r="B7598" s="155" t="s">
        <v>1482</v>
      </c>
      <c r="C7598" s="148" t="str">
        <f aca="false">VLOOKUP($A7598,INSUMOS_AUX!$A$3:$H$813,3,0)</f>
        <v>MAT.</v>
      </c>
      <c r="D7598" s="156" t="s">
        <v>1444</v>
      </c>
      <c r="E7598" s="154" t="n">
        <v>0.2212</v>
      </c>
      <c r="F7598" s="149" t="n">
        <f aca="false">IF(C7598="MAT.",VLOOKUP(A7598,INSUMOS_AUX!$A$3:$H$813,6,0),0)</f>
        <v>0.31</v>
      </c>
      <c r="G7598" s="149" t="n">
        <f aca="false">IF(C7598="M.O.",VLOOKUP(A7598,INSUMOS_AUX!A:F,6,0),0)</f>
        <v>0</v>
      </c>
    </row>
    <row r="7599" customFormat="false" ht="21" hidden="false" customHeight="false" outlineLevel="0" collapsed="false">
      <c r="A7599" s="154" t="n">
        <v>37373</v>
      </c>
      <c r="B7599" s="155" t="s">
        <v>1448</v>
      </c>
      <c r="C7599" s="148" t="str">
        <f aca="false">VLOOKUP($A7599,INSUMOS_AUX!$A$3:$H$813,3,0)</f>
        <v>MAT.</v>
      </c>
      <c r="D7599" s="156" t="s">
        <v>1444</v>
      </c>
      <c r="E7599" s="154" t="n">
        <v>0.2212</v>
      </c>
      <c r="F7599" s="149" t="n">
        <f aca="false">IF(C7599="MAT.",VLOOKUP(A7599,INSUMOS_AUX!$A$3:$H$813,6,0),0)</f>
        <v>0.08</v>
      </c>
      <c r="G7599" s="149" t="n">
        <f aca="false">IF(C7599="M.O.",VLOOKUP(A7599,INSUMOS_AUX!A:F,6,0),0)</f>
        <v>0</v>
      </c>
    </row>
    <row r="7600" customFormat="false" ht="21" hidden="false" customHeight="false" outlineLevel="0" collapsed="false">
      <c r="A7600" s="154" t="n">
        <v>37371</v>
      </c>
      <c r="B7600" s="155" t="s">
        <v>1449</v>
      </c>
      <c r="C7600" s="148" t="str">
        <f aca="false">VLOOKUP($A7600,INSUMOS_AUX!$A$3:$H$813,3,0)</f>
        <v>MAT.</v>
      </c>
      <c r="D7600" s="156" t="s">
        <v>1444</v>
      </c>
      <c r="E7600" s="154" t="n">
        <v>0.2212</v>
      </c>
      <c r="F7600" s="149" t="n">
        <f aca="false">IF(C7600="MAT.",VLOOKUP(A7600,INSUMOS_AUX!$A$3:$H$813,6,0),0)</f>
        <v>0.59</v>
      </c>
      <c r="G7600" s="149" t="n">
        <f aca="false">IF(C7600="M.O.",VLOOKUP(A7600,INSUMOS_AUX!A:F,6,0),0)</f>
        <v>0</v>
      </c>
    </row>
    <row r="7601" customFormat="false" ht="15" hidden="false" customHeight="false" outlineLevel="0" collapsed="false">
      <c r="A7601" s="154" t="n">
        <v>122</v>
      </c>
      <c r="B7601" s="155" t="s">
        <v>2097</v>
      </c>
      <c r="C7601" s="148" t="str">
        <f aca="false">VLOOKUP($A7601,INSUMOS_AUX!$A$3:$H$813,3,0)</f>
        <v>MAT.</v>
      </c>
      <c r="D7601" s="156" t="s">
        <v>31</v>
      </c>
      <c r="E7601" s="154" t="n">
        <v>0.0071</v>
      </c>
      <c r="F7601" s="149" t="n">
        <f aca="false">IF(C7601="MAT.",VLOOKUP(A7601,INSUMOS_AUX!$A$3:$H$813,6,0),0)</f>
        <v>63.09</v>
      </c>
      <c r="G7601" s="149" t="n">
        <f aca="false">IF(C7601="M.O.",VLOOKUP(A7601,INSUMOS_AUX!A:F,6,0),0)</f>
        <v>0</v>
      </c>
    </row>
    <row r="7602" customFormat="false" ht="21" hidden="false" customHeight="false" outlineLevel="0" collapsed="false">
      <c r="A7602" s="154" t="n">
        <v>3529</v>
      </c>
      <c r="B7602" s="155" t="s">
        <v>2106</v>
      </c>
      <c r="C7602" s="148" t="str">
        <f aca="false">VLOOKUP($A7602,INSUMOS_AUX!$A$3:$H$813,3,0)</f>
        <v>MAT.</v>
      </c>
      <c r="D7602" s="156" t="s">
        <v>31</v>
      </c>
      <c r="E7602" s="154" t="n">
        <v>1</v>
      </c>
      <c r="F7602" s="149" t="n">
        <f aca="false">IF(C7602="MAT.",VLOOKUP(A7602,INSUMOS_AUX!$A$3:$H$813,6,0),0)</f>
        <v>0.73</v>
      </c>
      <c r="G7602" s="149" t="n">
        <f aca="false">IF(C7602="M.O.",VLOOKUP(A7602,INSUMOS_AUX!A:F,6,0),0)</f>
        <v>0</v>
      </c>
    </row>
    <row r="7603" customFormat="false" ht="15" hidden="false" customHeight="false" outlineLevel="0" collapsed="false">
      <c r="A7603" s="154" t="n">
        <v>38383</v>
      </c>
      <c r="B7603" s="155" t="s">
        <v>2093</v>
      </c>
      <c r="C7603" s="148" t="str">
        <f aca="false">VLOOKUP($A7603,INSUMOS_AUX!$A$3:$H$813,3,0)</f>
        <v>MAT.</v>
      </c>
      <c r="D7603" s="156" t="s">
        <v>31</v>
      </c>
      <c r="E7603" s="154" t="n">
        <v>0.0061</v>
      </c>
      <c r="F7603" s="149" t="n">
        <f aca="false">IF(C7603="MAT.",VLOOKUP(A7603,INSUMOS_AUX!$A$3:$H$813,6,0),0)</f>
        <v>2.39</v>
      </c>
      <c r="G7603" s="149" t="n">
        <f aca="false">IF(C7603="M.O.",VLOOKUP(A7603,INSUMOS_AUX!A:F,6,0),0)</f>
        <v>0</v>
      </c>
    </row>
    <row r="7604" customFormat="false" ht="21" hidden="false" customHeight="false" outlineLevel="0" collapsed="false">
      <c r="A7604" s="154" t="n">
        <v>20083</v>
      </c>
      <c r="B7604" s="155" t="s">
        <v>2095</v>
      </c>
      <c r="C7604" s="148" t="str">
        <f aca="false">VLOOKUP($A7604,INSUMOS_AUX!$A$3:$H$813,3,0)</f>
        <v>MAT.</v>
      </c>
      <c r="D7604" s="156" t="s">
        <v>31</v>
      </c>
      <c r="E7604" s="154" t="n">
        <v>0.008</v>
      </c>
      <c r="F7604" s="149" t="n">
        <f aca="false">IF(C7604="MAT.",VLOOKUP(A7604,INSUMOS_AUX!$A$3:$H$813,6,0),0)</f>
        <v>71.48</v>
      </c>
      <c r="G7604" s="149" t="n">
        <f aca="false">IF(C7604="M.O.",VLOOKUP(A7604,INSUMOS_AUX!A:F,6,0),0)</f>
        <v>0</v>
      </c>
    </row>
    <row r="7605" customFormat="false" ht="15" hidden="false" customHeight="false" outlineLevel="0" collapsed="false">
      <c r="A7605" s="154" t="n">
        <v>246</v>
      </c>
      <c r="B7605" s="155" t="s">
        <v>1752</v>
      </c>
      <c r="C7605" s="148" t="str">
        <f aca="false">VLOOKUP($A7605,INSUMOS_AUX!$A$3:$H$813,3,0)</f>
        <v>M.O.</v>
      </c>
      <c r="D7605" s="156" t="s">
        <v>1444</v>
      </c>
      <c r="E7605" s="154" t="n">
        <v>0.112588588</v>
      </c>
      <c r="F7605" s="149" t="n">
        <f aca="false">IF(C7605="MAT.",VLOOKUP(A7605,INSUMOS_AUX!$A$3:$H$813,6,0),0)</f>
        <v>0</v>
      </c>
      <c r="G7605" s="149" t="n">
        <f aca="false">IF(C7605="M.O.",VLOOKUP(A7605,INSUMOS_AUX!A:F,6,0),0)</f>
        <v>13.26</v>
      </c>
    </row>
    <row r="7606" customFormat="false" ht="15" hidden="false" customHeight="false" outlineLevel="0" collapsed="false">
      <c r="A7606" s="154" t="n">
        <v>2696</v>
      </c>
      <c r="B7606" s="155" t="s">
        <v>1483</v>
      </c>
      <c r="C7606" s="148" t="str">
        <f aca="false">VLOOKUP($A7606,INSUMOS_AUX!$A$3:$H$813,3,0)</f>
        <v>M.O.</v>
      </c>
      <c r="D7606" s="156" t="s">
        <v>1444</v>
      </c>
      <c r="E7606" s="154" t="n">
        <v>0.112588588</v>
      </c>
      <c r="F7606" s="149" t="n">
        <f aca="false">IF(C7606="MAT.",VLOOKUP(A7606,INSUMOS_AUX!$A$3:$H$813,6,0),0)</f>
        <v>0</v>
      </c>
      <c r="G7606" s="149" t="n">
        <f aca="false">IF(C7606="M.O.",VLOOKUP(A7606,INSUMOS_AUX!A:F,6,0),0)</f>
        <v>20.22</v>
      </c>
    </row>
    <row r="7607" customFormat="false" ht="21" hidden="false" customHeight="false" outlineLevel="0" collapsed="false">
      <c r="A7607" s="150" t="n">
        <v>89497</v>
      </c>
      <c r="B7607" s="151" t="s">
        <v>2836</v>
      </c>
      <c r="C7607" s="152" t="s">
        <v>59</v>
      </c>
      <c r="D7607" s="152" t="s">
        <v>31</v>
      </c>
      <c r="E7607" s="150"/>
      <c r="F7607" s="153" t="n">
        <f aca="false">(SUMPRODUCT($E7608:$E7619,F7608:F7619))*1</f>
        <v>9.084275</v>
      </c>
      <c r="G7607" s="153" t="n">
        <f aca="false">(SUMPRODUCT($E7608:$E7619,G7608:G7619))*1</f>
        <v>3.56838230088</v>
      </c>
    </row>
    <row r="7608" customFormat="false" ht="21" hidden="false" customHeight="false" outlineLevel="0" collapsed="false">
      <c r="A7608" s="154" t="n">
        <v>37370</v>
      </c>
      <c r="B7608" s="155" t="s">
        <v>1443</v>
      </c>
      <c r="C7608" s="148" t="str">
        <f aca="false">VLOOKUP($A7608,INSUMOS_AUX!$A$3:$H$813,3,0)</f>
        <v>MAT.</v>
      </c>
      <c r="D7608" s="156" t="s">
        <v>1444</v>
      </c>
      <c r="E7608" s="154" t="n">
        <v>0.2094</v>
      </c>
      <c r="F7608" s="149" t="n">
        <f aca="false">IF(C7608="MAT.",VLOOKUP(A7608,INSUMOS_AUX!$A$3:$H$813,6,0),0)</f>
        <v>3.32</v>
      </c>
      <c r="G7608" s="149" t="n">
        <f aca="false">IF(C7608="M.O.",VLOOKUP(A7608,INSUMOS_AUX!A:F,6,0),0)</f>
        <v>0</v>
      </c>
    </row>
    <row r="7609" customFormat="false" ht="21" hidden="false" customHeight="false" outlineLevel="0" collapsed="false">
      <c r="A7609" s="154" t="n">
        <v>43485</v>
      </c>
      <c r="B7609" s="155" t="s">
        <v>1481</v>
      </c>
      <c r="C7609" s="148" t="str">
        <f aca="false">VLOOKUP($A7609,INSUMOS_AUX!$A$3:$H$813,3,0)</f>
        <v>MAT.</v>
      </c>
      <c r="D7609" s="156" t="s">
        <v>1444</v>
      </c>
      <c r="E7609" s="154" t="n">
        <v>0.2094</v>
      </c>
      <c r="F7609" s="149" t="n">
        <f aca="false">IF(C7609="MAT.",VLOOKUP(A7609,INSUMOS_AUX!$A$3:$H$813,6,0),0)</f>
        <v>1.13</v>
      </c>
      <c r="G7609" s="149" t="n">
        <f aca="false">IF(C7609="M.O.",VLOOKUP(A7609,INSUMOS_AUX!A:F,6,0),0)</f>
        <v>0</v>
      </c>
    </row>
    <row r="7610" customFormat="false" ht="21" hidden="false" customHeight="false" outlineLevel="0" collapsed="false">
      <c r="A7610" s="154" t="n">
        <v>37372</v>
      </c>
      <c r="B7610" s="155" t="s">
        <v>1446</v>
      </c>
      <c r="C7610" s="148" t="str">
        <f aca="false">VLOOKUP($A7610,INSUMOS_AUX!$A$3:$H$813,3,0)</f>
        <v>MAT.</v>
      </c>
      <c r="D7610" s="156" t="s">
        <v>1444</v>
      </c>
      <c r="E7610" s="154" t="n">
        <v>0.2094</v>
      </c>
      <c r="F7610" s="149" t="n">
        <f aca="false">IF(C7610="MAT.",VLOOKUP(A7610,INSUMOS_AUX!$A$3:$H$813,6,0),0)</f>
        <v>1.43</v>
      </c>
      <c r="G7610" s="149" t="n">
        <f aca="false">IF(C7610="M.O.",VLOOKUP(A7610,INSUMOS_AUX!A:F,6,0),0)</f>
        <v>0</v>
      </c>
    </row>
    <row r="7611" customFormat="false" ht="21" hidden="false" customHeight="false" outlineLevel="0" collapsed="false">
      <c r="A7611" s="154" t="n">
        <v>43461</v>
      </c>
      <c r="B7611" s="155" t="s">
        <v>1482</v>
      </c>
      <c r="C7611" s="148" t="s">
        <v>59</v>
      </c>
      <c r="D7611" s="156" t="s">
        <v>1444</v>
      </c>
      <c r="E7611" s="154" t="n">
        <v>0.2094</v>
      </c>
      <c r="F7611" s="149" t="n">
        <f aca="false">IF(C7611="MAT.",VLOOKUP(A7611,INSUMOS_AUX!$A$3:$H$813,6,0),0)</f>
        <v>0</v>
      </c>
      <c r="G7611" s="149" t="n">
        <f aca="false">IF(C7611="M.O.",VLOOKUP(A7611,INSUMOS_AUX!A:F,6,0),0)</f>
        <v>0</v>
      </c>
    </row>
    <row r="7612" customFormat="false" ht="21" hidden="false" customHeight="false" outlineLevel="0" collapsed="false">
      <c r="A7612" s="154" t="n">
        <v>37373</v>
      </c>
      <c r="B7612" s="155" t="s">
        <v>1448</v>
      </c>
      <c r="C7612" s="148" t="str">
        <f aca="false">VLOOKUP($A7612,INSUMOS_AUX!$A$3:$H$813,3,0)</f>
        <v>MAT.</v>
      </c>
      <c r="D7612" s="156" t="s">
        <v>1444</v>
      </c>
      <c r="E7612" s="154" t="n">
        <v>0.2094</v>
      </c>
      <c r="F7612" s="149" t="n">
        <f aca="false">IF(C7612="MAT.",VLOOKUP(A7612,INSUMOS_AUX!$A$3:$H$813,6,0),0)</f>
        <v>0.08</v>
      </c>
      <c r="G7612" s="149" t="n">
        <f aca="false">IF(C7612="M.O.",VLOOKUP(A7612,INSUMOS_AUX!A:F,6,0),0)</f>
        <v>0</v>
      </c>
    </row>
    <row r="7613" customFormat="false" ht="21" hidden="false" customHeight="false" outlineLevel="0" collapsed="false">
      <c r="A7613" s="154" t="n">
        <v>37371</v>
      </c>
      <c r="B7613" s="155" t="s">
        <v>1449</v>
      </c>
      <c r="C7613" s="148" t="str">
        <f aca="false">VLOOKUP($A7613,INSUMOS_AUX!$A$3:$H$813,3,0)</f>
        <v>MAT.</v>
      </c>
      <c r="D7613" s="156" t="s">
        <v>1444</v>
      </c>
      <c r="E7613" s="154" t="n">
        <v>0.2094</v>
      </c>
      <c r="F7613" s="149" t="n">
        <f aca="false">IF(C7613="MAT.",VLOOKUP(A7613,INSUMOS_AUX!$A$3:$H$813,6,0),0)</f>
        <v>0.59</v>
      </c>
      <c r="G7613" s="149" t="n">
        <f aca="false">IF(C7613="M.O.",VLOOKUP(A7613,INSUMOS_AUX!A:F,6,0),0)</f>
        <v>0</v>
      </c>
    </row>
    <row r="7614" customFormat="false" ht="15" hidden="false" customHeight="false" outlineLevel="0" collapsed="false">
      <c r="A7614" s="154" t="n">
        <v>122</v>
      </c>
      <c r="B7614" s="155" t="s">
        <v>2097</v>
      </c>
      <c r="C7614" s="148" t="str">
        <f aca="false">VLOOKUP($A7614,INSUMOS_AUX!$A$3:$H$813,3,0)</f>
        <v>MAT.</v>
      </c>
      <c r="D7614" s="156" t="s">
        <v>31</v>
      </c>
      <c r="E7614" s="154" t="n">
        <v>0.0118</v>
      </c>
      <c r="F7614" s="149" t="n">
        <f aca="false">IF(C7614="MAT.",VLOOKUP(A7614,INSUMOS_AUX!$A$3:$H$813,6,0),0)</f>
        <v>63.09</v>
      </c>
      <c r="G7614" s="149" t="n">
        <f aca="false">IF(C7614="M.O.",VLOOKUP(A7614,INSUMOS_AUX!A:F,6,0),0)</f>
        <v>0</v>
      </c>
    </row>
    <row r="7615" customFormat="false" ht="21" hidden="false" customHeight="false" outlineLevel="0" collapsed="false">
      <c r="A7615" s="154" t="n">
        <v>3535</v>
      </c>
      <c r="B7615" s="155" t="s">
        <v>2837</v>
      </c>
      <c r="C7615" s="148" t="str">
        <f aca="false">VLOOKUP($A7615,INSUMOS_AUX!$A$3:$H$813,3,0)</f>
        <v>MAT.</v>
      </c>
      <c r="D7615" s="156" t="s">
        <v>31</v>
      </c>
      <c r="E7615" s="154" t="n">
        <v>1</v>
      </c>
      <c r="F7615" s="149" t="n">
        <f aca="false">IF(C7615="MAT.",VLOOKUP(A7615,INSUMOS_AUX!$A$3:$H$813,6,0),0)</f>
        <v>5.93</v>
      </c>
      <c r="G7615" s="149" t="n">
        <f aca="false">IF(C7615="M.O.",VLOOKUP(A7615,INSUMOS_AUX!A:F,6,0),0)</f>
        <v>0</v>
      </c>
    </row>
    <row r="7616" customFormat="false" ht="15" hidden="false" customHeight="false" outlineLevel="0" collapsed="false">
      <c r="A7616" s="154" t="n">
        <v>38383</v>
      </c>
      <c r="B7616" s="155" t="s">
        <v>2093</v>
      </c>
      <c r="C7616" s="148" t="str">
        <f aca="false">VLOOKUP($A7616,INSUMOS_AUX!$A$3:$H$813,3,0)</f>
        <v>MAT.</v>
      </c>
      <c r="D7616" s="156" t="s">
        <v>31</v>
      </c>
      <c r="E7616" s="154" t="n">
        <v>0.0157</v>
      </c>
      <c r="F7616" s="149" t="n">
        <f aca="false">IF(C7616="MAT.",VLOOKUP(A7616,INSUMOS_AUX!$A$3:$H$813,6,0),0)</f>
        <v>2.39</v>
      </c>
      <c r="G7616" s="149" t="n">
        <f aca="false">IF(C7616="M.O.",VLOOKUP(A7616,INSUMOS_AUX!A:F,6,0),0)</f>
        <v>0</v>
      </c>
    </row>
    <row r="7617" customFormat="false" ht="21" hidden="false" customHeight="false" outlineLevel="0" collapsed="false">
      <c r="A7617" s="154" t="n">
        <v>20083</v>
      </c>
      <c r="B7617" s="155" t="s">
        <v>2095</v>
      </c>
      <c r="C7617" s="148" t="str">
        <f aca="false">VLOOKUP($A7617,INSUMOS_AUX!$A$3:$H$813,3,0)</f>
        <v>MAT.</v>
      </c>
      <c r="D7617" s="156" t="s">
        <v>31</v>
      </c>
      <c r="E7617" s="154" t="n">
        <v>0.014</v>
      </c>
      <c r="F7617" s="149" t="n">
        <f aca="false">IF(C7617="MAT.",VLOOKUP(A7617,INSUMOS_AUX!$A$3:$H$813,6,0),0)</f>
        <v>71.48</v>
      </c>
      <c r="G7617" s="149" t="n">
        <f aca="false">IF(C7617="M.O.",VLOOKUP(A7617,INSUMOS_AUX!A:F,6,0),0)</f>
        <v>0</v>
      </c>
    </row>
    <row r="7618" customFormat="false" ht="15" hidden="false" customHeight="false" outlineLevel="0" collapsed="false">
      <c r="A7618" s="154" t="n">
        <v>246</v>
      </c>
      <c r="B7618" s="155" t="s">
        <v>1752</v>
      </c>
      <c r="C7618" s="148" t="str">
        <f aca="false">VLOOKUP($A7618,INSUMOS_AUX!$A$3:$H$813,3,0)</f>
        <v>M.O.</v>
      </c>
      <c r="D7618" s="156" t="s">
        <v>1444</v>
      </c>
      <c r="E7618" s="154" t="n">
        <v>0.106582506</v>
      </c>
      <c r="F7618" s="149" t="n">
        <f aca="false">IF(C7618="MAT.",VLOOKUP(A7618,INSUMOS_AUX!$A$3:$H$813,6,0),0)</f>
        <v>0</v>
      </c>
      <c r="G7618" s="149" t="n">
        <f aca="false">IF(C7618="M.O.",VLOOKUP(A7618,INSUMOS_AUX!A:F,6,0),0)</f>
        <v>13.26</v>
      </c>
    </row>
    <row r="7619" customFormat="false" ht="15" hidden="false" customHeight="false" outlineLevel="0" collapsed="false">
      <c r="A7619" s="154" t="n">
        <v>2696</v>
      </c>
      <c r="B7619" s="155" t="s">
        <v>1483</v>
      </c>
      <c r="C7619" s="148" t="str">
        <f aca="false">VLOOKUP($A7619,INSUMOS_AUX!$A$3:$H$813,3,0)</f>
        <v>M.O.</v>
      </c>
      <c r="D7619" s="156" t="s">
        <v>1444</v>
      </c>
      <c r="E7619" s="154" t="n">
        <v>0.106582506</v>
      </c>
      <c r="F7619" s="149" t="n">
        <f aca="false">IF(C7619="MAT.",VLOOKUP(A7619,INSUMOS_AUX!$A$3:$H$813,6,0),0)</f>
        <v>0</v>
      </c>
      <c r="G7619" s="149" t="n">
        <f aca="false">IF(C7619="M.O.",VLOOKUP(A7619,INSUMOS_AUX!A:F,6,0),0)</f>
        <v>20.22</v>
      </c>
    </row>
    <row r="7620" customFormat="false" ht="21" hidden="false" customHeight="false" outlineLevel="0" collapsed="false">
      <c r="A7620" s="150" t="n">
        <v>89868</v>
      </c>
      <c r="B7620" s="151" t="s">
        <v>2838</v>
      </c>
      <c r="C7620" s="152" t="s">
        <v>59</v>
      </c>
      <c r="D7620" s="152" t="s">
        <v>31</v>
      </c>
      <c r="E7620" s="150"/>
      <c r="F7620" s="153" t="n">
        <f aca="false">(SUMPRODUCT($E7621:$E7632,F7621:F7632))*1</f>
        <v>2.293682</v>
      </c>
      <c r="G7620" s="153" t="n">
        <f aca="false">(SUMPRODUCT($E7621:$E7632,G7621:G7632))*1</f>
        <v>2.51184121848</v>
      </c>
    </row>
    <row r="7621" customFormat="false" ht="21" hidden="false" customHeight="false" outlineLevel="0" collapsed="false">
      <c r="A7621" s="154" t="n">
        <v>37370</v>
      </c>
      <c r="B7621" s="155" t="s">
        <v>1443</v>
      </c>
      <c r="C7621" s="148" t="str">
        <f aca="false">VLOOKUP($A7621,INSUMOS_AUX!$A$3:$H$813,3,0)</f>
        <v>MAT.</v>
      </c>
      <c r="D7621" s="156" t="s">
        <v>1444</v>
      </c>
      <c r="E7621" s="154" t="n">
        <v>0.1474</v>
      </c>
      <c r="F7621" s="149" t="n">
        <f aca="false">IF(C7621="MAT.",VLOOKUP(A7621,INSUMOS_AUX!$A$3:$H$813,6,0),0)</f>
        <v>3.32</v>
      </c>
      <c r="G7621" s="149" t="n">
        <f aca="false">IF(C7621="M.O.",VLOOKUP(A7621,INSUMOS_AUX!A:F,6,0),0)</f>
        <v>0</v>
      </c>
    </row>
    <row r="7622" customFormat="false" ht="21" hidden="false" customHeight="false" outlineLevel="0" collapsed="false">
      <c r="A7622" s="154" t="n">
        <v>43485</v>
      </c>
      <c r="B7622" s="155" t="s">
        <v>1481</v>
      </c>
      <c r="C7622" s="148" t="str">
        <f aca="false">VLOOKUP($A7622,INSUMOS_AUX!$A$3:$H$813,3,0)</f>
        <v>MAT.</v>
      </c>
      <c r="D7622" s="156" t="s">
        <v>1444</v>
      </c>
      <c r="E7622" s="154" t="n">
        <v>0.1474</v>
      </c>
      <c r="F7622" s="149" t="n">
        <f aca="false">IF(C7622="MAT.",VLOOKUP(A7622,INSUMOS_AUX!$A$3:$H$813,6,0),0)</f>
        <v>1.13</v>
      </c>
      <c r="G7622" s="149" t="n">
        <f aca="false">IF(C7622="M.O.",VLOOKUP(A7622,INSUMOS_AUX!A:F,6,0),0)</f>
        <v>0</v>
      </c>
    </row>
    <row r="7623" customFormat="false" ht="21" hidden="false" customHeight="false" outlineLevel="0" collapsed="false">
      <c r="A7623" s="154" t="n">
        <v>37372</v>
      </c>
      <c r="B7623" s="155" t="s">
        <v>1446</v>
      </c>
      <c r="C7623" s="148" t="str">
        <f aca="false">VLOOKUP($A7623,INSUMOS_AUX!$A$3:$H$813,3,0)</f>
        <v>MAT.</v>
      </c>
      <c r="D7623" s="156" t="s">
        <v>1444</v>
      </c>
      <c r="E7623" s="154" t="n">
        <v>0.1474</v>
      </c>
      <c r="F7623" s="149" t="n">
        <f aca="false">IF(C7623="MAT.",VLOOKUP(A7623,INSUMOS_AUX!$A$3:$H$813,6,0),0)</f>
        <v>1.43</v>
      </c>
      <c r="G7623" s="149" t="n">
        <f aca="false">IF(C7623="M.O.",VLOOKUP(A7623,INSUMOS_AUX!A:F,6,0),0)</f>
        <v>0</v>
      </c>
    </row>
    <row r="7624" customFormat="false" ht="21" hidden="false" customHeight="false" outlineLevel="0" collapsed="false">
      <c r="A7624" s="154" t="n">
        <v>43461</v>
      </c>
      <c r="B7624" s="155" t="s">
        <v>1482</v>
      </c>
      <c r="C7624" s="148" t="str">
        <f aca="false">VLOOKUP($A7624,INSUMOS_AUX!$A$3:$H$813,3,0)</f>
        <v>MAT.</v>
      </c>
      <c r="D7624" s="156" t="s">
        <v>1444</v>
      </c>
      <c r="E7624" s="154" t="n">
        <v>0.1474</v>
      </c>
      <c r="F7624" s="149" t="n">
        <f aca="false">IF(C7624="MAT.",VLOOKUP(A7624,INSUMOS_AUX!$A$3:$H$813,6,0),0)</f>
        <v>0.31</v>
      </c>
      <c r="G7624" s="149" t="n">
        <f aca="false">IF(C7624="M.O.",VLOOKUP(A7624,INSUMOS_AUX!A:F,6,0),0)</f>
        <v>0</v>
      </c>
    </row>
    <row r="7625" customFormat="false" ht="21" hidden="false" customHeight="false" outlineLevel="0" collapsed="false">
      <c r="A7625" s="154" t="n">
        <v>37373</v>
      </c>
      <c r="B7625" s="155" t="s">
        <v>1448</v>
      </c>
      <c r="C7625" s="148" t="str">
        <f aca="false">VLOOKUP($A7625,INSUMOS_AUX!$A$3:$H$813,3,0)</f>
        <v>MAT.</v>
      </c>
      <c r="D7625" s="156" t="s">
        <v>1444</v>
      </c>
      <c r="E7625" s="154" t="n">
        <v>0.1474</v>
      </c>
      <c r="F7625" s="149" t="n">
        <f aca="false">IF(C7625="MAT.",VLOOKUP(A7625,INSUMOS_AUX!$A$3:$H$813,6,0),0)</f>
        <v>0.08</v>
      </c>
      <c r="G7625" s="149" t="n">
        <f aca="false">IF(C7625="M.O.",VLOOKUP(A7625,INSUMOS_AUX!A:F,6,0),0)</f>
        <v>0</v>
      </c>
    </row>
    <row r="7626" customFormat="false" ht="21" hidden="false" customHeight="false" outlineLevel="0" collapsed="false">
      <c r="A7626" s="154" t="n">
        <v>37371</v>
      </c>
      <c r="B7626" s="155" t="s">
        <v>1449</v>
      </c>
      <c r="C7626" s="148" t="str">
        <f aca="false">VLOOKUP($A7626,INSUMOS_AUX!$A$3:$H$813,3,0)</f>
        <v>MAT.</v>
      </c>
      <c r="D7626" s="156" t="s">
        <v>1444</v>
      </c>
      <c r="E7626" s="154" t="n">
        <v>0.1474</v>
      </c>
      <c r="F7626" s="149" t="n">
        <f aca="false">IF(C7626="MAT.",VLOOKUP(A7626,INSUMOS_AUX!$A$3:$H$813,6,0),0)</f>
        <v>0.59</v>
      </c>
      <c r="G7626" s="149" t="n">
        <f aca="false">IF(C7626="M.O.",VLOOKUP(A7626,INSUMOS_AUX!A:F,6,0),0)</f>
        <v>0</v>
      </c>
    </row>
    <row r="7627" customFormat="false" ht="15" hidden="false" customHeight="false" outlineLevel="0" collapsed="false">
      <c r="A7627" s="154" t="n">
        <v>122</v>
      </c>
      <c r="B7627" s="155" t="s">
        <v>2097</v>
      </c>
      <c r="C7627" s="148" t="str">
        <f aca="false">VLOOKUP($A7627,INSUMOS_AUX!$A$3:$H$813,3,0)</f>
        <v>MAT.</v>
      </c>
      <c r="D7627" s="156" t="s">
        <v>31</v>
      </c>
      <c r="E7627" s="154" t="n">
        <v>0.0071</v>
      </c>
      <c r="F7627" s="149" t="n">
        <f aca="false">IF(C7627="MAT.",VLOOKUP(A7627,INSUMOS_AUX!$A$3:$H$813,6,0),0)</f>
        <v>63.09</v>
      </c>
      <c r="G7627" s="149" t="n">
        <f aca="false">IF(C7627="M.O.",VLOOKUP(A7627,INSUMOS_AUX!A:F,6,0),0)</f>
        <v>0</v>
      </c>
    </row>
    <row r="7628" customFormat="false" ht="15" hidden="false" customHeight="false" outlineLevel="0" collapsed="false">
      <c r="A7628" s="154" t="n">
        <v>38383</v>
      </c>
      <c r="B7628" s="155" t="s">
        <v>2093</v>
      </c>
      <c r="C7628" s="148" t="str">
        <f aca="false">VLOOKUP($A7628,INSUMOS_AUX!$A$3:$H$813,3,0)</f>
        <v>MAT.</v>
      </c>
      <c r="D7628" s="156" t="s">
        <v>31</v>
      </c>
      <c r="E7628" s="154" t="n">
        <v>0.0061</v>
      </c>
      <c r="F7628" s="149" t="n">
        <f aca="false">IF(C7628="MAT.",VLOOKUP(A7628,INSUMOS_AUX!$A$3:$H$813,6,0),0)</f>
        <v>2.39</v>
      </c>
      <c r="G7628" s="149" t="n">
        <f aca="false">IF(C7628="M.O.",VLOOKUP(A7628,INSUMOS_AUX!A:F,6,0),0)</f>
        <v>0</v>
      </c>
    </row>
    <row r="7629" customFormat="false" ht="15" hidden="false" customHeight="false" outlineLevel="0" collapsed="false">
      <c r="A7629" s="154" t="n">
        <v>3904</v>
      </c>
      <c r="B7629" s="155" t="s">
        <v>2839</v>
      </c>
      <c r="C7629" s="148" t="str">
        <f aca="false">VLOOKUP($A7629,INSUMOS_AUX!$A$3:$H$813,3,0)</f>
        <v>MAT.</v>
      </c>
      <c r="D7629" s="156" t="s">
        <v>31</v>
      </c>
      <c r="E7629" s="154" t="n">
        <v>1</v>
      </c>
      <c r="F7629" s="149" t="n">
        <f aca="false">IF(C7629="MAT.",VLOOKUP(A7629,INSUMOS_AUX!$A$3:$H$813,6,0),0)</f>
        <v>0.82</v>
      </c>
      <c r="G7629" s="149" t="n">
        <f aca="false">IF(C7629="M.O.",VLOOKUP(A7629,INSUMOS_AUX!A:F,6,0),0)</f>
        <v>0</v>
      </c>
    </row>
    <row r="7630" customFormat="false" ht="21" hidden="false" customHeight="false" outlineLevel="0" collapsed="false">
      <c r="A7630" s="154" t="n">
        <v>20083</v>
      </c>
      <c r="B7630" s="155" t="s">
        <v>2095</v>
      </c>
      <c r="C7630" s="148" t="s">
        <v>59</v>
      </c>
      <c r="D7630" s="156" t="s">
        <v>31</v>
      </c>
      <c r="E7630" s="154" t="n">
        <v>0.008</v>
      </c>
      <c r="F7630" s="149" t="n">
        <f aca="false">IF(C7630="MAT.",VLOOKUP(A7630,INSUMOS_AUX!$A$3:$H$813,6,0),0)</f>
        <v>0</v>
      </c>
      <c r="G7630" s="149" t="n">
        <f aca="false">IF(C7630="M.O.",VLOOKUP(A7630,INSUMOS_AUX!A:F,6,0),0)</f>
        <v>0</v>
      </c>
    </row>
    <row r="7631" customFormat="false" ht="15" hidden="false" customHeight="false" outlineLevel="0" collapsed="false">
      <c r="A7631" s="154" t="n">
        <v>246</v>
      </c>
      <c r="B7631" s="155" t="s">
        <v>1752</v>
      </c>
      <c r="C7631" s="148" t="str">
        <f aca="false">VLOOKUP($A7631,INSUMOS_AUX!$A$3:$H$813,3,0)</f>
        <v>M.O.</v>
      </c>
      <c r="D7631" s="156" t="s">
        <v>1444</v>
      </c>
      <c r="E7631" s="154" t="n">
        <v>0.075025126</v>
      </c>
      <c r="F7631" s="149" t="n">
        <f aca="false">IF(C7631="MAT.",VLOOKUP(A7631,INSUMOS_AUX!$A$3:$H$813,6,0),0)</f>
        <v>0</v>
      </c>
      <c r="G7631" s="149" t="n">
        <f aca="false">IF(C7631="M.O.",VLOOKUP(A7631,INSUMOS_AUX!A:F,6,0),0)</f>
        <v>13.26</v>
      </c>
    </row>
    <row r="7632" customFormat="false" ht="15" hidden="false" customHeight="false" outlineLevel="0" collapsed="false">
      <c r="A7632" s="154" t="n">
        <v>2696</v>
      </c>
      <c r="B7632" s="155" t="s">
        <v>1483</v>
      </c>
      <c r="C7632" s="148" t="str">
        <f aca="false">VLOOKUP($A7632,INSUMOS_AUX!$A$3:$H$813,3,0)</f>
        <v>M.O.</v>
      </c>
      <c r="D7632" s="156" t="s">
        <v>1444</v>
      </c>
      <c r="E7632" s="154" t="n">
        <v>0.075025126</v>
      </c>
      <c r="F7632" s="149" t="n">
        <f aca="false">IF(C7632="MAT.",VLOOKUP(A7632,INSUMOS_AUX!$A$3:$H$813,6,0),0)</f>
        <v>0</v>
      </c>
      <c r="G7632" s="149" t="n">
        <f aca="false">IF(C7632="M.O.",VLOOKUP(A7632,INSUMOS_AUX!A:F,6,0),0)</f>
        <v>20.22</v>
      </c>
    </row>
    <row r="7633" customFormat="false" ht="21" hidden="false" customHeight="false" outlineLevel="0" collapsed="false">
      <c r="A7633" s="150" t="n">
        <v>89624</v>
      </c>
      <c r="B7633" s="151" t="s">
        <v>2840</v>
      </c>
      <c r="C7633" s="152" t="s">
        <v>59</v>
      </c>
      <c r="D7633" s="152" t="s">
        <v>31</v>
      </c>
      <c r="E7633" s="150"/>
      <c r="F7633" s="153" t="n">
        <f aca="false">(SUMPRODUCT($E7634:$E7645,F7634:F7645))*1</f>
        <v>12.862296</v>
      </c>
      <c r="G7633" s="153" t="n">
        <f aca="false">(SUMPRODUCT($E7634:$E7645,G7634:G7645))*1</f>
        <v>4.35226762008</v>
      </c>
    </row>
    <row r="7634" customFormat="false" ht="21" hidden="false" customHeight="false" outlineLevel="0" collapsed="false">
      <c r="A7634" s="154" t="n">
        <v>37370</v>
      </c>
      <c r="B7634" s="155" t="s">
        <v>1443</v>
      </c>
      <c r="C7634" s="148" t="str">
        <f aca="false">VLOOKUP($A7634,INSUMOS_AUX!$A$3:$H$813,3,0)</f>
        <v>MAT.</v>
      </c>
      <c r="D7634" s="156" t="s">
        <v>1444</v>
      </c>
      <c r="E7634" s="154" t="n">
        <v>0.2554</v>
      </c>
      <c r="F7634" s="149" t="n">
        <f aca="false">IF(C7634="MAT.",VLOOKUP(A7634,INSUMOS_AUX!$A$3:$H$813,6,0),0)</f>
        <v>3.32</v>
      </c>
      <c r="G7634" s="149" t="n">
        <f aca="false">IF(C7634="M.O.",VLOOKUP(A7634,INSUMOS_AUX!A:F,6,0),0)</f>
        <v>0</v>
      </c>
    </row>
    <row r="7635" customFormat="false" ht="21" hidden="false" customHeight="false" outlineLevel="0" collapsed="false">
      <c r="A7635" s="154" t="n">
        <v>43485</v>
      </c>
      <c r="B7635" s="155" t="s">
        <v>1481</v>
      </c>
      <c r="C7635" s="148" t="str">
        <f aca="false">VLOOKUP($A7635,INSUMOS_AUX!$A$3:$H$813,3,0)</f>
        <v>MAT.</v>
      </c>
      <c r="D7635" s="156" t="s">
        <v>1444</v>
      </c>
      <c r="E7635" s="154" t="n">
        <v>0.2554</v>
      </c>
      <c r="F7635" s="149" t="n">
        <f aca="false">IF(C7635="MAT.",VLOOKUP(A7635,INSUMOS_AUX!$A$3:$H$813,6,0),0)</f>
        <v>1.13</v>
      </c>
      <c r="G7635" s="149" t="n">
        <f aca="false">IF(C7635="M.O.",VLOOKUP(A7635,INSUMOS_AUX!A:F,6,0),0)</f>
        <v>0</v>
      </c>
    </row>
    <row r="7636" customFormat="false" ht="21" hidden="false" customHeight="false" outlineLevel="0" collapsed="false">
      <c r="A7636" s="154" t="n">
        <v>37372</v>
      </c>
      <c r="B7636" s="155" t="s">
        <v>1446</v>
      </c>
      <c r="C7636" s="148" t="str">
        <f aca="false">VLOOKUP($A7636,INSUMOS_AUX!$A$3:$H$813,3,0)</f>
        <v>MAT.</v>
      </c>
      <c r="D7636" s="156" t="s">
        <v>1444</v>
      </c>
      <c r="E7636" s="154" t="n">
        <v>0.2554</v>
      </c>
      <c r="F7636" s="149" t="n">
        <f aca="false">IF(C7636="MAT.",VLOOKUP(A7636,INSUMOS_AUX!$A$3:$H$813,6,0),0)</f>
        <v>1.43</v>
      </c>
      <c r="G7636" s="149" t="n">
        <f aca="false">IF(C7636="M.O.",VLOOKUP(A7636,INSUMOS_AUX!A:F,6,0),0)</f>
        <v>0</v>
      </c>
    </row>
    <row r="7637" customFormat="false" ht="21" hidden="false" customHeight="false" outlineLevel="0" collapsed="false">
      <c r="A7637" s="154" t="n">
        <v>43461</v>
      </c>
      <c r="B7637" s="155" t="s">
        <v>1482</v>
      </c>
      <c r="C7637" s="148" t="str">
        <f aca="false">VLOOKUP($A7637,INSUMOS_AUX!$A$3:$H$813,3,0)</f>
        <v>MAT.</v>
      </c>
      <c r="D7637" s="156" t="s">
        <v>1444</v>
      </c>
      <c r="E7637" s="154" t="n">
        <v>0.2554</v>
      </c>
      <c r="F7637" s="149" t="n">
        <f aca="false">IF(C7637="MAT.",VLOOKUP(A7637,INSUMOS_AUX!$A$3:$H$813,6,0),0)</f>
        <v>0.31</v>
      </c>
      <c r="G7637" s="149" t="n">
        <f aca="false">IF(C7637="M.O.",VLOOKUP(A7637,INSUMOS_AUX!A:F,6,0),0)</f>
        <v>0</v>
      </c>
    </row>
    <row r="7638" customFormat="false" ht="21" hidden="false" customHeight="false" outlineLevel="0" collapsed="false">
      <c r="A7638" s="154" t="n">
        <v>37373</v>
      </c>
      <c r="B7638" s="155" t="s">
        <v>1448</v>
      </c>
      <c r="C7638" s="148" t="str">
        <f aca="false">VLOOKUP($A7638,INSUMOS_AUX!$A$3:$H$813,3,0)</f>
        <v>MAT.</v>
      </c>
      <c r="D7638" s="156" t="s">
        <v>1444</v>
      </c>
      <c r="E7638" s="154" t="n">
        <v>0.2554</v>
      </c>
      <c r="F7638" s="149" t="n">
        <f aca="false">IF(C7638="MAT.",VLOOKUP(A7638,INSUMOS_AUX!$A$3:$H$813,6,0),0)</f>
        <v>0.08</v>
      </c>
      <c r="G7638" s="149" t="n">
        <f aca="false">IF(C7638="M.O.",VLOOKUP(A7638,INSUMOS_AUX!A:F,6,0),0)</f>
        <v>0</v>
      </c>
    </row>
    <row r="7639" customFormat="false" ht="21" hidden="false" customHeight="false" outlineLevel="0" collapsed="false">
      <c r="A7639" s="154" t="n">
        <v>37371</v>
      </c>
      <c r="B7639" s="155" t="s">
        <v>1449</v>
      </c>
      <c r="C7639" s="148" t="str">
        <f aca="false">VLOOKUP($A7639,INSUMOS_AUX!$A$3:$H$813,3,0)</f>
        <v>MAT.</v>
      </c>
      <c r="D7639" s="156" t="s">
        <v>1444</v>
      </c>
      <c r="E7639" s="154" t="n">
        <v>0.2554</v>
      </c>
      <c r="F7639" s="149" t="n">
        <f aca="false">IF(C7639="MAT.",VLOOKUP(A7639,INSUMOS_AUX!$A$3:$H$813,6,0),0)</f>
        <v>0.59</v>
      </c>
      <c r="G7639" s="149" t="n">
        <f aca="false">IF(C7639="M.O.",VLOOKUP(A7639,INSUMOS_AUX!A:F,6,0),0)</f>
        <v>0</v>
      </c>
    </row>
    <row r="7640" customFormat="false" ht="15" hidden="false" customHeight="false" outlineLevel="0" collapsed="false">
      <c r="A7640" s="154" t="n">
        <v>122</v>
      </c>
      <c r="B7640" s="155" t="s">
        <v>2097</v>
      </c>
      <c r="C7640" s="148" t="str">
        <f aca="false">VLOOKUP($A7640,INSUMOS_AUX!$A$3:$H$813,3,0)</f>
        <v>MAT.</v>
      </c>
      <c r="D7640" s="156" t="s">
        <v>31</v>
      </c>
      <c r="E7640" s="154" t="n">
        <v>0.0159</v>
      </c>
      <c r="F7640" s="149" t="n">
        <f aca="false">IF(C7640="MAT.",VLOOKUP(A7640,INSUMOS_AUX!$A$3:$H$813,6,0),0)</f>
        <v>63.09</v>
      </c>
      <c r="G7640" s="149" t="n">
        <f aca="false">IF(C7640="M.O.",VLOOKUP(A7640,INSUMOS_AUX!A:F,6,0),0)</f>
        <v>0</v>
      </c>
    </row>
    <row r="7641" customFormat="false" ht="15" hidden="false" customHeight="false" outlineLevel="0" collapsed="false">
      <c r="A7641" s="154" t="n">
        <v>38383</v>
      </c>
      <c r="B7641" s="155" t="s">
        <v>2093</v>
      </c>
      <c r="C7641" s="148" t="str">
        <f aca="false">VLOOKUP($A7641,INSUMOS_AUX!$A$3:$H$813,3,0)</f>
        <v>MAT.</v>
      </c>
      <c r="D7641" s="156" t="s">
        <v>31</v>
      </c>
      <c r="E7641" s="154" t="n">
        <v>0.0223</v>
      </c>
      <c r="F7641" s="149" t="n">
        <f aca="false">IF(C7641="MAT.",VLOOKUP(A7641,INSUMOS_AUX!$A$3:$H$813,6,0),0)</f>
        <v>2.39</v>
      </c>
      <c r="G7641" s="149" t="n">
        <f aca="false">IF(C7641="M.O.",VLOOKUP(A7641,INSUMOS_AUX!A:F,6,0),0)</f>
        <v>0</v>
      </c>
    </row>
    <row r="7642" customFormat="false" ht="21" hidden="false" customHeight="false" outlineLevel="0" collapsed="false">
      <c r="A7642" s="154" t="n">
        <v>20083</v>
      </c>
      <c r="B7642" s="155" t="s">
        <v>2095</v>
      </c>
      <c r="C7642" s="148" t="str">
        <f aca="false">VLOOKUP($A7642,INSUMOS_AUX!$A$3:$H$813,3,0)</f>
        <v>MAT.</v>
      </c>
      <c r="D7642" s="156" t="s">
        <v>31</v>
      </c>
      <c r="E7642" s="154" t="n">
        <v>0.0188</v>
      </c>
      <c r="F7642" s="149" t="n">
        <f aca="false">IF(C7642="MAT.",VLOOKUP(A7642,INSUMOS_AUX!$A$3:$H$813,6,0),0)</f>
        <v>71.48</v>
      </c>
      <c r="G7642" s="149" t="n">
        <f aca="false">IF(C7642="M.O.",VLOOKUP(A7642,INSUMOS_AUX!A:F,6,0),0)</f>
        <v>0</v>
      </c>
    </row>
    <row r="7643" customFormat="false" ht="21" hidden="false" customHeight="false" outlineLevel="0" collapsed="false">
      <c r="A7643" s="154" t="n">
        <v>7128</v>
      </c>
      <c r="B7643" s="155" t="s">
        <v>2841</v>
      </c>
      <c r="C7643" s="148" t="str">
        <f aca="false">VLOOKUP($A7643,INSUMOS_AUX!$A$3:$H$813,3,0)</f>
        <v>MAT.</v>
      </c>
      <c r="D7643" s="156" t="s">
        <v>31</v>
      </c>
      <c r="E7643" s="154" t="n">
        <v>1</v>
      </c>
      <c r="F7643" s="149" t="n">
        <f aca="false">IF(C7643="MAT.",VLOOKUP(A7643,INSUMOS_AUX!$A$3:$H$813,6,0),0)</f>
        <v>8.71</v>
      </c>
      <c r="G7643" s="149" t="n">
        <f aca="false">IF(C7643="M.O.",VLOOKUP(A7643,INSUMOS_AUX!A:F,6,0),0)</f>
        <v>0</v>
      </c>
    </row>
    <row r="7644" customFormat="false" ht="15" hidden="false" customHeight="false" outlineLevel="0" collapsed="false">
      <c r="A7644" s="154" t="n">
        <v>246</v>
      </c>
      <c r="B7644" s="155" t="s">
        <v>1752</v>
      </c>
      <c r="C7644" s="148" t="str">
        <f aca="false">VLOOKUP($A7644,INSUMOS_AUX!$A$3:$H$813,3,0)</f>
        <v>M.O.</v>
      </c>
      <c r="D7644" s="156" t="s">
        <v>1444</v>
      </c>
      <c r="E7644" s="154" t="n">
        <v>0.129996046</v>
      </c>
      <c r="F7644" s="149" t="n">
        <f aca="false">IF(C7644="MAT.",VLOOKUP(A7644,INSUMOS_AUX!$A$3:$H$813,6,0),0)</f>
        <v>0</v>
      </c>
      <c r="G7644" s="149" t="n">
        <f aca="false">IF(C7644="M.O.",VLOOKUP(A7644,INSUMOS_AUX!A:F,6,0),0)</f>
        <v>13.26</v>
      </c>
    </row>
    <row r="7645" customFormat="false" ht="15" hidden="false" customHeight="false" outlineLevel="0" collapsed="false">
      <c r="A7645" s="154" t="n">
        <v>2696</v>
      </c>
      <c r="B7645" s="155" t="s">
        <v>1483</v>
      </c>
      <c r="C7645" s="148" t="str">
        <f aca="false">VLOOKUP($A7645,INSUMOS_AUX!$A$3:$H$813,3,0)</f>
        <v>M.O.</v>
      </c>
      <c r="D7645" s="156" t="s">
        <v>1444</v>
      </c>
      <c r="E7645" s="154" t="n">
        <v>0.129996046</v>
      </c>
      <c r="F7645" s="149" t="n">
        <f aca="false">IF(C7645="MAT.",VLOOKUP(A7645,INSUMOS_AUX!$A$3:$H$813,6,0),0)</f>
        <v>0</v>
      </c>
      <c r="G7645" s="149" t="n">
        <f aca="false">IF(C7645="M.O.",VLOOKUP(A7645,INSUMOS_AUX!A:F,6,0),0)</f>
        <v>20.22</v>
      </c>
    </row>
    <row r="7646" customFormat="false" ht="21" hidden="false" customHeight="false" outlineLevel="0" collapsed="false">
      <c r="A7646" s="150" t="n">
        <v>89869</v>
      </c>
      <c r="B7646" s="151" t="s">
        <v>2842</v>
      </c>
      <c r="C7646" s="152" t="s">
        <v>59</v>
      </c>
      <c r="D7646" s="152" t="s">
        <v>31</v>
      </c>
      <c r="E7646" s="150"/>
      <c r="F7646" s="153" t="n">
        <f aca="false">(SUMPRODUCT($E7647:$E7658,F7647:F7658))*1</f>
        <v>4.359266</v>
      </c>
      <c r="G7646" s="153" t="n">
        <f aca="false">(SUMPRODUCT($E7647:$E7658,G7647:G7658))*1</f>
        <v>5.02368243696</v>
      </c>
    </row>
    <row r="7647" customFormat="false" ht="21" hidden="false" customHeight="false" outlineLevel="0" collapsed="false">
      <c r="A7647" s="154" t="n">
        <v>37370</v>
      </c>
      <c r="B7647" s="155" t="s">
        <v>1443</v>
      </c>
      <c r="C7647" s="148" t="str">
        <f aca="false">VLOOKUP($A7647,INSUMOS_AUX!$A$3:$H$813,3,0)</f>
        <v>MAT.</v>
      </c>
      <c r="D7647" s="156" t="s">
        <v>1444</v>
      </c>
      <c r="E7647" s="154" t="n">
        <v>0.2948</v>
      </c>
      <c r="F7647" s="149" t="n">
        <f aca="false">IF(C7647="MAT.",VLOOKUP(A7647,INSUMOS_AUX!$A$3:$H$813,6,0),0)</f>
        <v>3.32</v>
      </c>
      <c r="G7647" s="149" t="n">
        <f aca="false">IF(C7647="M.O.",VLOOKUP(A7647,INSUMOS_AUX!A:F,6,0),0)</f>
        <v>0</v>
      </c>
    </row>
    <row r="7648" customFormat="false" ht="21" hidden="false" customHeight="false" outlineLevel="0" collapsed="false">
      <c r="A7648" s="154" t="n">
        <v>43485</v>
      </c>
      <c r="B7648" s="155" t="s">
        <v>1481</v>
      </c>
      <c r="C7648" s="148" t="str">
        <f aca="false">VLOOKUP($A7648,INSUMOS_AUX!$A$3:$H$813,3,0)</f>
        <v>MAT.</v>
      </c>
      <c r="D7648" s="156" t="s">
        <v>1444</v>
      </c>
      <c r="E7648" s="154" t="n">
        <v>0.2948</v>
      </c>
      <c r="F7648" s="149" t="n">
        <f aca="false">IF(C7648="MAT.",VLOOKUP(A7648,INSUMOS_AUX!$A$3:$H$813,6,0),0)</f>
        <v>1.13</v>
      </c>
      <c r="G7648" s="149" t="n">
        <f aca="false">IF(C7648="M.O.",VLOOKUP(A7648,INSUMOS_AUX!A:F,6,0),0)</f>
        <v>0</v>
      </c>
    </row>
    <row r="7649" customFormat="false" ht="21" hidden="false" customHeight="false" outlineLevel="0" collapsed="false">
      <c r="A7649" s="154" t="n">
        <v>37372</v>
      </c>
      <c r="B7649" s="155" t="s">
        <v>1446</v>
      </c>
      <c r="C7649" s="148" t="s">
        <v>59</v>
      </c>
      <c r="D7649" s="156" t="s">
        <v>1444</v>
      </c>
      <c r="E7649" s="154" t="n">
        <v>0.2948</v>
      </c>
      <c r="F7649" s="149" t="n">
        <f aca="false">IF(C7649="MAT.",VLOOKUP(A7649,INSUMOS_AUX!$A$3:$H$813,6,0),0)</f>
        <v>0</v>
      </c>
      <c r="G7649" s="149" t="n">
        <f aca="false">IF(C7649="M.O.",VLOOKUP(A7649,INSUMOS_AUX!A:F,6,0),0)</f>
        <v>0</v>
      </c>
    </row>
    <row r="7650" customFormat="false" ht="21" hidden="false" customHeight="false" outlineLevel="0" collapsed="false">
      <c r="A7650" s="154" t="n">
        <v>43461</v>
      </c>
      <c r="B7650" s="155" t="s">
        <v>1482</v>
      </c>
      <c r="C7650" s="148" t="str">
        <f aca="false">VLOOKUP($A7650,INSUMOS_AUX!$A$3:$H$813,3,0)</f>
        <v>MAT.</v>
      </c>
      <c r="D7650" s="156" t="s">
        <v>1444</v>
      </c>
      <c r="E7650" s="154" t="n">
        <v>0.2948</v>
      </c>
      <c r="F7650" s="149" t="n">
        <f aca="false">IF(C7650="MAT.",VLOOKUP(A7650,INSUMOS_AUX!$A$3:$H$813,6,0),0)</f>
        <v>0.31</v>
      </c>
      <c r="G7650" s="149" t="n">
        <f aca="false">IF(C7650="M.O.",VLOOKUP(A7650,INSUMOS_AUX!A:F,6,0),0)</f>
        <v>0</v>
      </c>
    </row>
    <row r="7651" customFormat="false" ht="21" hidden="false" customHeight="false" outlineLevel="0" collapsed="false">
      <c r="A7651" s="154" t="n">
        <v>37373</v>
      </c>
      <c r="B7651" s="155" t="s">
        <v>1448</v>
      </c>
      <c r="C7651" s="148" t="str">
        <f aca="false">VLOOKUP($A7651,INSUMOS_AUX!$A$3:$H$813,3,0)</f>
        <v>MAT.</v>
      </c>
      <c r="D7651" s="156" t="s">
        <v>1444</v>
      </c>
      <c r="E7651" s="154" t="n">
        <v>0.2948</v>
      </c>
      <c r="F7651" s="149" t="n">
        <f aca="false">IF(C7651="MAT.",VLOOKUP(A7651,INSUMOS_AUX!$A$3:$H$813,6,0),0)</f>
        <v>0.08</v>
      </c>
      <c r="G7651" s="149" t="n">
        <f aca="false">IF(C7651="M.O.",VLOOKUP(A7651,INSUMOS_AUX!A:F,6,0),0)</f>
        <v>0</v>
      </c>
    </row>
    <row r="7652" customFormat="false" ht="21" hidden="false" customHeight="false" outlineLevel="0" collapsed="false">
      <c r="A7652" s="154" t="n">
        <v>37371</v>
      </c>
      <c r="B7652" s="155" t="s">
        <v>1449</v>
      </c>
      <c r="C7652" s="148" t="str">
        <f aca="false">VLOOKUP($A7652,INSUMOS_AUX!$A$3:$H$813,3,0)</f>
        <v>MAT.</v>
      </c>
      <c r="D7652" s="156" t="s">
        <v>1444</v>
      </c>
      <c r="E7652" s="154" t="n">
        <v>0.2948</v>
      </c>
      <c r="F7652" s="149" t="n">
        <f aca="false">IF(C7652="MAT.",VLOOKUP(A7652,INSUMOS_AUX!$A$3:$H$813,6,0),0)</f>
        <v>0.59</v>
      </c>
      <c r="G7652" s="149" t="n">
        <f aca="false">IF(C7652="M.O.",VLOOKUP(A7652,INSUMOS_AUX!A:F,6,0),0)</f>
        <v>0</v>
      </c>
    </row>
    <row r="7653" customFormat="false" ht="15" hidden="false" customHeight="false" outlineLevel="0" collapsed="false">
      <c r="A7653" s="154" t="n">
        <v>122</v>
      </c>
      <c r="B7653" s="155" t="s">
        <v>2097</v>
      </c>
      <c r="C7653" s="148" t="str">
        <f aca="false">VLOOKUP($A7653,INSUMOS_AUX!$A$3:$H$813,3,0)</f>
        <v>MAT.</v>
      </c>
      <c r="D7653" s="156" t="s">
        <v>31</v>
      </c>
      <c r="E7653" s="154" t="n">
        <v>0.0106</v>
      </c>
      <c r="F7653" s="149" t="n">
        <f aca="false">IF(C7653="MAT.",VLOOKUP(A7653,INSUMOS_AUX!$A$3:$H$813,6,0),0)</f>
        <v>63.09</v>
      </c>
      <c r="G7653" s="149" t="n">
        <f aca="false">IF(C7653="M.O.",VLOOKUP(A7653,INSUMOS_AUX!A:F,6,0),0)</f>
        <v>0</v>
      </c>
    </row>
    <row r="7654" customFormat="false" ht="15" hidden="false" customHeight="false" outlineLevel="0" collapsed="false">
      <c r="A7654" s="154" t="n">
        <v>38383</v>
      </c>
      <c r="B7654" s="155" t="s">
        <v>2093</v>
      </c>
      <c r="C7654" s="148" t="str">
        <f aca="false">VLOOKUP($A7654,INSUMOS_AUX!$A$3:$H$813,3,0)</f>
        <v>MAT.</v>
      </c>
      <c r="D7654" s="156" t="s">
        <v>31</v>
      </c>
      <c r="E7654" s="154" t="n">
        <v>0.0092</v>
      </c>
      <c r="F7654" s="149" t="n">
        <f aca="false">IF(C7654="MAT.",VLOOKUP(A7654,INSUMOS_AUX!$A$3:$H$813,6,0),0)</f>
        <v>2.39</v>
      </c>
      <c r="G7654" s="149" t="n">
        <f aca="false">IF(C7654="M.O.",VLOOKUP(A7654,INSUMOS_AUX!A:F,6,0),0)</f>
        <v>0</v>
      </c>
    </row>
    <row r="7655" customFormat="false" ht="21" hidden="false" customHeight="false" outlineLevel="0" collapsed="false">
      <c r="A7655" s="154" t="n">
        <v>20083</v>
      </c>
      <c r="B7655" s="155" t="s">
        <v>2095</v>
      </c>
      <c r="C7655" s="148" t="str">
        <f aca="false">VLOOKUP($A7655,INSUMOS_AUX!$A$3:$H$813,3,0)</f>
        <v>MAT.</v>
      </c>
      <c r="D7655" s="156" t="s">
        <v>31</v>
      </c>
      <c r="E7655" s="154" t="n">
        <v>0.012</v>
      </c>
      <c r="F7655" s="149" t="n">
        <f aca="false">IF(C7655="MAT.",VLOOKUP(A7655,INSUMOS_AUX!$A$3:$H$813,6,0),0)</f>
        <v>71.48</v>
      </c>
      <c r="G7655" s="149" t="n">
        <f aca="false">IF(C7655="M.O.",VLOOKUP(A7655,INSUMOS_AUX!A:F,6,0),0)</f>
        <v>0</v>
      </c>
    </row>
    <row r="7656" customFormat="false" ht="21" hidden="false" customHeight="false" outlineLevel="0" collapsed="false">
      <c r="A7656" s="154" t="n">
        <v>7139</v>
      </c>
      <c r="B7656" s="155" t="s">
        <v>2110</v>
      </c>
      <c r="C7656" s="148" t="str">
        <f aca="false">VLOOKUP($A7656,INSUMOS_AUX!$A$3:$H$813,3,0)</f>
        <v>MAT.</v>
      </c>
      <c r="D7656" s="156" t="s">
        <v>31</v>
      </c>
      <c r="E7656" s="154" t="n">
        <v>1</v>
      </c>
      <c r="F7656" s="149" t="n">
        <f aca="false">IF(C7656="MAT.",VLOOKUP(A7656,INSUMOS_AUX!$A$3:$H$813,6,0),0)</f>
        <v>1.21</v>
      </c>
      <c r="G7656" s="149" t="n">
        <f aca="false">IF(C7656="M.O.",VLOOKUP(A7656,INSUMOS_AUX!A:F,6,0),0)</f>
        <v>0</v>
      </c>
    </row>
    <row r="7657" customFormat="false" ht="15" hidden="false" customHeight="false" outlineLevel="0" collapsed="false">
      <c r="A7657" s="154" t="n">
        <v>246</v>
      </c>
      <c r="B7657" s="155" t="s">
        <v>1752</v>
      </c>
      <c r="C7657" s="148" t="str">
        <f aca="false">VLOOKUP($A7657,INSUMOS_AUX!$A$3:$H$813,3,0)</f>
        <v>M.O.</v>
      </c>
      <c r="D7657" s="156" t="s">
        <v>1444</v>
      </c>
      <c r="E7657" s="154" t="n">
        <v>0.150050252</v>
      </c>
      <c r="F7657" s="149" t="n">
        <f aca="false">IF(C7657="MAT.",VLOOKUP(A7657,INSUMOS_AUX!$A$3:$H$813,6,0),0)</f>
        <v>0</v>
      </c>
      <c r="G7657" s="149" t="n">
        <f aca="false">IF(C7657="M.O.",VLOOKUP(A7657,INSUMOS_AUX!A:F,6,0),0)</f>
        <v>13.26</v>
      </c>
    </row>
    <row r="7658" customFormat="false" ht="15" hidden="false" customHeight="false" outlineLevel="0" collapsed="false">
      <c r="A7658" s="154" t="n">
        <v>2696</v>
      </c>
      <c r="B7658" s="155" t="s">
        <v>1483</v>
      </c>
      <c r="C7658" s="148" t="str">
        <f aca="false">VLOOKUP($A7658,INSUMOS_AUX!$A$3:$H$813,3,0)</f>
        <v>M.O.</v>
      </c>
      <c r="D7658" s="156" t="s">
        <v>1444</v>
      </c>
      <c r="E7658" s="154" t="n">
        <v>0.150050252</v>
      </c>
      <c r="F7658" s="149" t="n">
        <f aca="false">IF(C7658="MAT.",VLOOKUP(A7658,INSUMOS_AUX!$A$3:$H$813,6,0),0)</f>
        <v>0</v>
      </c>
      <c r="G7658" s="149" t="n">
        <f aca="false">IF(C7658="M.O.",VLOOKUP(A7658,INSUMOS_AUX!A:F,6,0),0)</f>
        <v>20.22</v>
      </c>
    </row>
    <row r="7659" customFormat="false" ht="21" hidden="false" customHeight="false" outlineLevel="0" collapsed="false">
      <c r="A7659" s="150" t="n">
        <v>89623</v>
      </c>
      <c r="B7659" s="151" t="s">
        <v>2843</v>
      </c>
      <c r="C7659" s="152" t="s">
        <v>59</v>
      </c>
      <c r="D7659" s="152" t="s">
        <v>31</v>
      </c>
      <c r="E7659" s="150"/>
      <c r="F7659" s="153" t="n">
        <f aca="false">(SUMPRODUCT($E7660:$E7671,F7660:F7671))*1</f>
        <v>12.347588</v>
      </c>
      <c r="G7659" s="153" t="n">
        <f aca="false">(SUMPRODUCT($E7660:$E7671,G7660:G7671))*1</f>
        <v>4.771475856</v>
      </c>
    </row>
    <row r="7660" customFormat="false" ht="21" hidden="false" customHeight="false" outlineLevel="0" collapsed="false">
      <c r="A7660" s="154" t="n">
        <v>37370</v>
      </c>
      <c r="B7660" s="155" t="s">
        <v>1443</v>
      </c>
      <c r="C7660" s="148" t="str">
        <f aca="false">VLOOKUP($A7660,INSUMOS_AUX!$A$3:$H$813,3,0)</f>
        <v>MAT.</v>
      </c>
      <c r="D7660" s="156" t="s">
        <v>1444</v>
      </c>
      <c r="E7660" s="154" t="n">
        <v>0.28</v>
      </c>
      <c r="F7660" s="149" t="n">
        <f aca="false">IF(C7660="MAT.",VLOOKUP(A7660,INSUMOS_AUX!$A$3:$H$813,6,0),0)</f>
        <v>3.32</v>
      </c>
      <c r="G7660" s="149" t="n">
        <f aca="false">IF(C7660="M.O.",VLOOKUP(A7660,INSUMOS_AUX!A:F,6,0),0)</f>
        <v>0</v>
      </c>
    </row>
    <row r="7661" customFormat="false" ht="21" hidden="false" customHeight="false" outlineLevel="0" collapsed="false">
      <c r="A7661" s="154" t="n">
        <v>43485</v>
      </c>
      <c r="B7661" s="155" t="s">
        <v>1481</v>
      </c>
      <c r="C7661" s="148" t="str">
        <f aca="false">VLOOKUP($A7661,INSUMOS_AUX!$A$3:$H$813,3,0)</f>
        <v>MAT.</v>
      </c>
      <c r="D7661" s="156" t="s">
        <v>1444</v>
      </c>
      <c r="E7661" s="154" t="n">
        <v>0.28</v>
      </c>
      <c r="F7661" s="149" t="n">
        <f aca="false">IF(C7661="MAT.",VLOOKUP(A7661,INSUMOS_AUX!$A$3:$H$813,6,0),0)</f>
        <v>1.13</v>
      </c>
      <c r="G7661" s="149" t="n">
        <f aca="false">IF(C7661="M.O.",VLOOKUP(A7661,INSUMOS_AUX!A:F,6,0),0)</f>
        <v>0</v>
      </c>
    </row>
    <row r="7662" customFormat="false" ht="21" hidden="false" customHeight="false" outlineLevel="0" collapsed="false">
      <c r="A7662" s="154" t="n">
        <v>37372</v>
      </c>
      <c r="B7662" s="155" t="s">
        <v>1446</v>
      </c>
      <c r="C7662" s="148" t="str">
        <f aca="false">VLOOKUP($A7662,INSUMOS_AUX!$A$3:$H$813,3,0)</f>
        <v>MAT.</v>
      </c>
      <c r="D7662" s="156" t="s">
        <v>1444</v>
      </c>
      <c r="E7662" s="154" t="n">
        <v>0.28</v>
      </c>
      <c r="F7662" s="149" t="n">
        <f aca="false">IF(C7662="MAT.",VLOOKUP(A7662,INSUMOS_AUX!$A$3:$H$813,6,0),0)</f>
        <v>1.43</v>
      </c>
      <c r="G7662" s="149" t="n">
        <f aca="false">IF(C7662="M.O.",VLOOKUP(A7662,INSUMOS_AUX!A:F,6,0),0)</f>
        <v>0</v>
      </c>
    </row>
    <row r="7663" customFormat="false" ht="21" hidden="false" customHeight="false" outlineLevel="0" collapsed="false">
      <c r="A7663" s="154" t="n">
        <v>43461</v>
      </c>
      <c r="B7663" s="155" t="s">
        <v>1482</v>
      </c>
      <c r="C7663" s="148" t="str">
        <f aca="false">VLOOKUP($A7663,INSUMOS_AUX!$A$3:$H$813,3,0)</f>
        <v>MAT.</v>
      </c>
      <c r="D7663" s="156" t="s">
        <v>1444</v>
      </c>
      <c r="E7663" s="154" t="n">
        <v>0.28</v>
      </c>
      <c r="F7663" s="149" t="n">
        <f aca="false">IF(C7663="MAT.",VLOOKUP(A7663,INSUMOS_AUX!$A$3:$H$813,6,0),0)</f>
        <v>0.31</v>
      </c>
      <c r="G7663" s="149" t="n">
        <f aca="false">IF(C7663="M.O.",VLOOKUP(A7663,INSUMOS_AUX!A:F,6,0),0)</f>
        <v>0</v>
      </c>
    </row>
    <row r="7664" customFormat="false" ht="21" hidden="false" customHeight="false" outlineLevel="0" collapsed="false">
      <c r="A7664" s="154" t="n">
        <v>37373</v>
      </c>
      <c r="B7664" s="155" t="s">
        <v>1448</v>
      </c>
      <c r="C7664" s="148" t="str">
        <f aca="false">VLOOKUP($A7664,INSUMOS_AUX!$A$3:$H$813,3,0)</f>
        <v>MAT.</v>
      </c>
      <c r="D7664" s="156" t="s">
        <v>1444</v>
      </c>
      <c r="E7664" s="154" t="n">
        <v>0.28</v>
      </c>
      <c r="F7664" s="149" t="n">
        <f aca="false">IF(C7664="MAT.",VLOOKUP(A7664,INSUMOS_AUX!$A$3:$H$813,6,0),0)</f>
        <v>0.08</v>
      </c>
      <c r="G7664" s="149" t="n">
        <f aca="false">IF(C7664="M.O.",VLOOKUP(A7664,INSUMOS_AUX!A:F,6,0),0)</f>
        <v>0</v>
      </c>
    </row>
    <row r="7665" customFormat="false" ht="21" hidden="false" customHeight="false" outlineLevel="0" collapsed="false">
      <c r="A7665" s="154" t="n">
        <v>37371</v>
      </c>
      <c r="B7665" s="155" t="s">
        <v>1449</v>
      </c>
      <c r="C7665" s="148" t="str">
        <f aca="false">VLOOKUP($A7665,INSUMOS_AUX!$A$3:$H$813,3,0)</f>
        <v>MAT.</v>
      </c>
      <c r="D7665" s="156" t="s">
        <v>1444</v>
      </c>
      <c r="E7665" s="154" t="n">
        <v>0.28</v>
      </c>
      <c r="F7665" s="149" t="n">
        <f aca="false">IF(C7665="MAT.",VLOOKUP(A7665,INSUMOS_AUX!$A$3:$H$813,6,0),0)</f>
        <v>0.59</v>
      </c>
      <c r="G7665" s="149" t="n">
        <f aca="false">IF(C7665="M.O.",VLOOKUP(A7665,INSUMOS_AUX!A:F,6,0),0)</f>
        <v>0</v>
      </c>
    </row>
    <row r="7666" customFormat="false" ht="15" hidden="false" customHeight="false" outlineLevel="0" collapsed="false">
      <c r="A7666" s="154" t="n">
        <v>122</v>
      </c>
      <c r="B7666" s="155" t="s">
        <v>2097</v>
      </c>
      <c r="C7666" s="148" t="str">
        <f aca="false">VLOOKUP($A7666,INSUMOS_AUX!$A$3:$H$813,3,0)</f>
        <v>MAT.</v>
      </c>
      <c r="D7666" s="156" t="s">
        <v>31</v>
      </c>
      <c r="E7666" s="154" t="n">
        <v>0.0176</v>
      </c>
      <c r="F7666" s="149" t="n">
        <f aca="false">IF(C7666="MAT.",VLOOKUP(A7666,INSUMOS_AUX!$A$3:$H$813,6,0),0)</f>
        <v>63.09</v>
      </c>
      <c r="G7666" s="149" t="n">
        <f aca="false">IF(C7666="M.O.",VLOOKUP(A7666,INSUMOS_AUX!A:F,6,0),0)</f>
        <v>0</v>
      </c>
    </row>
    <row r="7667" customFormat="false" ht="15" hidden="false" customHeight="false" outlineLevel="0" collapsed="false">
      <c r="A7667" s="154" t="n">
        <v>38383</v>
      </c>
      <c r="B7667" s="155" t="s">
        <v>2093</v>
      </c>
      <c r="C7667" s="148" t="str">
        <f aca="false">VLOOKUP($A7667,INSUMOS_AUX!$A$3:$H$813,3,0)</f>
        <v>MAT.</v>
      </c>
      <c r="D7667" s="156" t="s">
        <v>31</v>
      </c>
      <c r="E7667" s="154" t="n">
        <v>0.0236</v>
      </c>
      <c r="F7667" s="149" t="n">
        <f aca="false">IF(C7667="MAT.",VLOOKUP(A7667,INSUMOS_AUX!$A$3:$H$813,6,0),0)</f>
        <v>2.39</v>
      </c>
      <c r="G7667" s="149" t="n">
        <f aca="false">IF(C7667="M.O.",VLOOKUP(A7667,INSUMOS_AUX!A:F,6,0),0)</f>
        <v>0</v>
      </c>
    </row>
    <row r="7668" customFormat="false" ht="21" hidden="false" customHeight="false" outlineLevel="0" collapsed="false">
      <c r="A7668" s="154" t="n">
        <v>20083</v>
      </c>
      <c r="B7668" s="155" t="s">
        <v>2095</v>
      </c>
      <c r="C7668" s="148" t="s">
        <v>59</v>
      </c>
      <c r="D7668" s="156" t="s">
        <v>31</v>
      </c>
      <c r="E7668" s="154" t="n">
        <v>0.021</v>
      </c>
      <c r="F7668" s="149" t="n">
        <f aca="false">IF(C7668="MAT.",VLOOKUP(A7668,INSUMOS_AUX!$A$3:$H$813,6,0),0)</f>
        <v>0</v>
      </c>
      <c r="G7668" s="149" t="n">
        <f aca="false">IF(C7668="M.O.",VLOOKUP(A7668,INSUMOS_AUX!A:F,6,0),0)</f>
        <v>0</v>
      </c>
    </row>
    <row r="7669" customFormat="false" ht="21" hidden="false" customHeight="false" outlineLevel="0" collapsed="false">
      <c r="A7669" s="154" t="n">
        <v>7141</v>
      </c>
      <c r="B7669" s="155" t="s">
        <v>2844</v>
      </c>
      <c r="C7669" s="148" t="str">
        <f aca="false">VLOOKUP($A7669,INSUMOS_AUX!$A$3:$H$813,3,0)</f>
        <v>MAT.</v>
      </c>
      <c r="D7669" s="156" t="s">
        <v>31</v>
      </c>
      <c r="E7669" s="154" t="n">
        <v>1</v>
      </c>
      <c r="F7669" s="149" t="n">
        <f aca="false">IF(C7669="MAT.",VLOOKUP(A7669,INSUMOS_AUX!$A$3:$H$813,6,0),0)</f>
        <v>9.26</v>
      </c>
      <c r="G7669" s="149" t="n">
        <f aca="false">IF(C7669="M.O.",VLOOKUP(A7669,INSUMOS_AUX!A:F,6,0),0)</f>
        <v>0</v>
      </c>
    </row>
    <row r="7670" customFormat="false" ht="15" hidden="false" customHeight="false" outlineLevel="0" collapsed="false">
      <c r="A7670" s="154" t="n">
        <v>246</v>
      </c>
      <c r="B7670" s="155" t="s">
        <v>1752</v>
      </c>
      <c r="C7670" s="148" t="str">
        <f aca="false">VLOOKUP($A7670,INSUMOS_AUX!$A$3:$H$813,3,0)</f>
        <v>M.O.</v>
      </c>
      <c r="D7670" s="156" t="s">
        <v>1444</v>
      </c>
      <c r="E7670" s="154" t="n">
        <v>0.1425172</v>
      </c>
      <c r="F7670" s="149" t="n">
        <f aca="false">IF(C7670="MAT.",VLOOKUP(A7670,INSUMOS_AUX!$A$3:$H$813,6,0),0)</f>
        <v>0</v>
      </c>
      <c r="G7670" s="149" t="n">
        <f aca="false">IF(C7670="M.O.",VLOOKUP(A7670,INSUMOS_AUX!A:F,6,0),0)</f>
        <v>13.26</v>
      </c>
    </row>
    <row r="7671" customFormat="false" ht="15" hidden="false" customHeight="false" outlineLevel="0" collapsed="false">
      <c r="A7671" s="154" t="n">
        <v>2696</v>
      </c>
      <c r="B7671" s="155" t="s">
        <v>1483</v>
      </c>
      <c r="C7671" s="148" t="str">
        <f aca="false">VLOOKUP($A7671,INSUMOS_AUX!$A$3:$H$813,3,0)</f>
        <v>M.O.</v>
      </c>
      <c r="D7671" s="156" t="s">
        <v>1444</v>
      </c>
      <c r="E7671" s="154" t="n">
        <v>0.1425172</v>
      </c>
      <c r="F7671" s="149" t="n">
        <f aca="false">IF(C7671="MAT.",VLOOKUP(A7671,INSUMOS_AUX!$A$3:$H$813,6,0),0)</f>
        <v>0</v>
      </c>
      <c r="G7671" s="149" t="n">
        <f aca="false">IF(C7671="M.O.",VLOOKUP(A7671,INSUMOS_AUX!A:F,6,0),0)</f>
        <v>20.22</v>
      </c>
    </row>
    <row r="7672" customFormat="false" ht="21" hidden="false" customHeight="false" outlineLevel="0" collapsed="false">
      <c r="A7672" s="150" t="s">
        <v>1294</v>
      </c>
      <c r="B7672" s="151" t="s">
        <v>2845</v>
      </c>
      <c r="C7672" s="152" t="s">
        <v>59</v>
      </c>
      <c r="D7672" s="152" t="s">
        <v>1455</v>
      </c>
      <c r="E7672" s="150"/>
      <c r="F7672" s="153" t="n">
        <f aca="false">(SUMPRODUCT($E7673:$E7682,F7673:F7682))*1</f>
        <v>13.9154246666667</v>
      </c>
      <c r="G7672" s="153" t="n">
        <f aca="false">(SUMPRODUCT($E7673:$E7682,G7673:G7682))*1</f>
        <v>1.0071547344</v>
      </c>
    </row>
    <row r="7673" customFormat="false" ht="21" hidden="false" customHeight="false" outlineLevel="0" collapsed="false">
      <c r="A7673" s="154" t="n">
        <v>37370</v>
      </c>
      <c r="B7673" s="155" t="s">
        <v>1443</v>
      </c>
      <c r="C7673" s="148" t="str">
        <f aca="false">VLOOKUP($A7673,INSUMOS_AUX!$A$3:$H$813,3,0)</f>
        <v>MAT.</v>
      </c>
      <c r="D7673" s="156" t="s">
        <v>1444</v>
      </c>
      <c r="E7673" s="154" t="n">
        <v>0.058</v>
      </c>
      <c r="F7673" s="149" t="n">
        <f aca="false">IF(C7673="MAT.",VLOOKUP(A7673,INSUMOS_AUX!$A$3:$H$813,6,0),0)</f>
        <v>3.32</v>
      </c>
      <c r="G7673" s="149" t="n">
        <f aca="false">IF(C7673="M.O.",VLOOKUP(A7673,INSUMOS_AUX!A:F,6,0),0)</f>
        <v>0</v>
      </c>
    </row>
    <row r="7674" customFormat="false" ht="21" hidden="false" customHeight="false" outlineLevel="0" collapsed="false">
      <c r="A7674" s="154" t="n">
        <v>43484</v>
      </c>
      <c r="B7674" s="155" t="s">
        <v>1523</v>
      </c>
      <c r="C7674" s="148" t="str">
        <f aca="false">VLOOKUP($A7674,INSUMOS_AUX!$A$3:$H$813,3,0)</f>
        <v>MAT.</v>
      </c>
      <c r="D7674" s="156" t="s">
        <v>1444</v>
      </c>
      <c r="E7674" s="154" t="n">
        <v>0.058</v>
      </c>
      <c r="F7674" s="149" t="n">
        <f aca="false">IF(C7674="MAT.",VLOOKUP(A7674,INSUMOS_AUX!$A$3:$H$813,6,0),0)</f>
        <v>1.26</v>
      </c>
      <c r="G7674" s="149" t="n">
        <f aca="false">IF(C7674="M.O.",VLOOKUP(A7674,INSUMOS_AUX!A:F,6,0),0)</f>
        <v>0</v>
      </c>
    </row>
    <row r="7675" customFormat="false" ht="21" hidden="false" customHeight="false" outlineLevel="0" collapsed="false">
      <c r="A7675" s="154" t="n">
        <v>37372</v>
      </c>
      <c r="B7675" s="155" t="s">
        <v>1446</v>
      </c>
      <c r="C7675" s="148" t="str">
        <f aca="false">VLOOKUP($A7675,INSUMOS_AUX!$A$3:$H$813,3,0)</f>
        <v>MAT.</v>
      </c>
      <c r="D7675" s="156" t="s">
        <v>1444</v>
      </c>
      <c r="E7675" s="154" t="n">
        <v>0.058</v>
      </c>
      <c r="F7675" s="149" t="n">
        <f aca="false">IF(C7675="MAT.",VLOOKUP(A7675,INSUMOS_AUX!$A$3:$H$813,6,0),0)</f>
        <v>1.43</v>
      </c>
      <c r="G7675" s="149" t="n">
        <f aca="false">IF(C7675="M.O.",VLOOKUP(A7675,INSUMOS_AUX!A:F,6,0),0)</f>
        <v>0</v>
      </c>
    </row>
    <row r="7676" customFormat="false" ht="21" hidden="false" customHeight="false" outlineLevel="0" collapsed="false">
      <c r="A7676" s="154" t="n">
        <v>43460</v>
      </c>
      <c r="B7676" s="155" t="s">
        <v>1524</v>
      </c>
      <c r="C7676" s="148" t="str">
        <f aca="false">VLOOKUP($A7676,INSUMOS_AUX!$A$3:$H$813,3,0)</f>
        <v>MAT.</v>
      </c>
      <c r="D7676" s="156" t="s">
        <v>1444</v>
      </c>
      <c r="E7676" s="154" t="n">
        <v>0.058</v>
      </c>
      <c r="F7676" s="149" t="n">
        <f aca="false">IF(C7676="MAT.",VLOOKUP(A7676,INSUMOS_AUX!$A$3:$H$813,6,0),0)</f>
        <v>0.86</v>
      </c>
      <c r="G7676" s="149" t="n">
        <f aca="false">IF(C7676="M.O.",VLOOKUP(A7676,INSUMOS_AUX!A:F,6,0),0)</f>
        <v>0</v>
      </c>
    </row>
    <row r="7677" customFormat="false" ht="21" hidden="false" customHeight="false" outlineLevel="0" collapsed="false">
      <c r="A7677" s="154" t="n">
        <v>37373</v>
      </c>
      <c r="B7677" s="155" t="s">
        <v>1448</v>
      </c>
      <c r="C7677" s="148" t="str">
        <f aca="false">VLOOKUP($A7677,INSUMOS_AUX!$A$3:$H$813,3,0)</f>
        <v>MAT.</v>
      </c>
      <c r="D7677" s="156" t="s">
        <v>1444</v>
      </c>
      <c r="E7677" s="154" t="n">
        <v>0.058</v>
      </c>
      <c r="F7677" s="149" t="n">
        <f aca="false">IF(C7677="MAT.",VLOOKUP(A7677,INSUMOS_AUX!$A$3:$H$813,6,0),0)</f>
        <v>0.08</v>
      </c>
      <c r="G7677" s="149" t="n">
        <f aca="false">IF(C7677="M.O.",VLOOKUP(A7677,INSUMOS_AUX!A:F,6,0),0)</f>
        <v>0</v>
      </c>
    </row>
    <row r="7678" customFormat="false" ht="21" hidden="false" customHeight="false" outlineLevel="0" collapsed="false">
      <c r="A7678" s="154" t="n">
        <v>37371</v>
      </c>
      <c r="B7678" s="155" t="s">
        <v>1449</v>
      </c>
      <c r="C7678" s="148" t="str">
        <f aca="false">VLOOKUP($A7678,INSUMOS_AUX!$A$3:$H$813,3,0)</f>
        <v>MAT.</v>
      </c>
      <c r="D7678" s="156" t="s">
        <v>1444</v>
      </c>
      <c r="E7678" s="154" t="n">
        <v>0.058</v>
      </c>
      <c r="F7678" s="149" t="n">
        <f aca="false">IF(C7678="MAT.",VLOOKUP(A7678,INSUMOS_AUX!$A$3:$H$813,6,0),0)</f>
        <v>0.59</v>
      </c>
      <c r="G7678" s="149" t="n">
        <f aca="false">IF(C7678="M.O.",VLOOKUP(A7678,INSUMOS_AUX!A:F,6,0),0)</f>
        <v>0</v>
      </c>
    </row>
    <row r="7679" customFormat="false" ht="31.5" hidden="false" customHeight="false" outlineLevel="0" collapsed="false">
      <c r="A7679" s="154" t="s">
        <v>2846</v>
      </c>
      <c r="B7679" s="155" t="s">
        <v>2847</v>
      </c>
      <c r="C7679" s="148" t="str">
        <f aca="false">VLOOKUP($A7679,INSUMOS_AUX!$A$3:$H$813,3,0)</f>
        <v>MAT.</v>
      </c>
      <c r="D7679" s="156" t="s">
        <v>1455</v>
      </c>
      <c r="E7679" s="154" t="n">
        <v>1.2434</v>
      </c>
      <c r="F7679" s="149" t="n">
        <f aca="false">IF(C7679="MAT.",VLOOKUP(A7679,INSUMOS_AUX!$A$3:$H$813,6,0),0)</f>
        <v>10.8133333333333</v>
      </c>
      <c r="G7679" s="149" t="n">
        <f aca="false">IF(C7679="M.O.",VLOOKUP(A7679,INSUMOS_AUX!A:F,6,0),0)</f>
        <v>0</v>
      </c>
    </row>
    <row r="7680" customFormat="false" ht="21" hidden="false" customHeight="false" outlineLevel="0" collapsed="false">
      <c r="A7680" s="154" t="n">
        <v>21127</v>
      </c>
      <c r="B7680" s="155" t="s">
        <v>1542</v>
      </c>
      <c r="C7680" s="148" t="str">
        <f aca="false">VLOOKUP($A7680,INSUMOS_AUX!$A$3:$H$813,3,0)</f>
        <v>MAT.</v>
      </c>
      <c r="D7680" s="156" t="s">
        <v>31</v>
      </c>
      <c r="E7680" s="154" t="n">
        <v>0.0094</v>
      </c>
      <c r="F7680" s="149" t="n">
        <f aca="false">IF(C7680="MAT.",VLOOKUP(A7680,INSUMOS_AUX!$A$3:$H$813,6,0),0)</f>
        <v>3.49</v>
      </c>
      <c r="G7680" s="149" t="n">
        <f aca="false">IF(C7680="M.O.",VLOOKUP(A7680,INSUMOS_AUX!A:F,6,0),0)</f>
        <v>0</v>
      </c>
    </row>
    <row r="7681" customFormat="false" ht="15" hidden="false" customHeight="false" outlineLevel="0" collapsed="false">
      <c r="A7681" s="154" t="n">
        <v>247</v>
      </c>
      <c r="B7681" s="155" t="s">
        <v>1554</v>
      </c>
      <c r="C7681" s="148" t="str">
        <f aca="false">VLOOKUP($A7681,INSUMOS_AUX!$A$3:$H$813,3,0)</f>
        <v>M.O.</v>
      </c>
      <c r="D7681" s="156" t="s">
        <v>1444</v>
      </c>
      <c r="E7681" s="154" t="n">
        <v>0.03008228</v>
      </c>
      <c r="F7681" s="149" t="n">
        <f aca="false">IF(C7681="MAT.",VLOOKUP(A7681,INSUMOS_AUX!$A$3:$H$813,6,0),0)</f>
        <v>0</v>
      </c>
      <c r="G7681" s="149" t="n">
        <f aca="false">IF(C7681="M.O.",VLOOKUP(A7681,INSUMOS_AUX!A:F,6,0),0)</f>
        <v>13.26</v>
      </c>
    </row>
    <row r="7682" customFormat="false" ht="15" hidden="false" customHeight="false" outlineLevel="0" collapsed="false">
      <c r="A7682" s="154" t="n">
        <v>2436</v>
      </c>
      <c r="B7682" s="155" t="s">
        <v>1557</v>
      </c>
      <c r="C7682" s="148" t="str">
        <f aca="false">VLOOKUP($A7682,INSUMOS_AUX!$A$3:$H$813,3,0)</f>
        <v>M.O.</v>
      </c>
      <c r="D7682" s="156" t="s">
        <v>1444</v>
      </c>
      <c r="E7682" s="154" t="n">
        <v>0.03008228</v>
      </c>
      <c r="F7682" s="149" t="n">
        <f aca="false">IF(C7682="MAT.",VLOOKUP(A7682,INSUMOS_AUX!$A$3:$H$813,6,0),0)</f>
        <v>0</v>
      </c>
      <c r="G7682" s="149" t="n">
        <f aca="false">IF(C7682="M.O.",VLOOKUP(A7682,INSUMOS_AUX!A:F,6,0),0)</f>
        <v>20.22</v>
      </c>
    </row>
    <row r="7683" customFormat="false" ht="21" hidden="false" customHeight="false" outlineLevel="0" collapsed="false">
      <c r="A7683" s="150" t="s">
        <v>1300</v>
      </c>
      <c r="B7683" s="151" t="s">
        <v>2848</v>
      </c>
      <c r="C7683" s="152" t="s">
        <v>59</v>
      </c>
      <c r="D7683" s="152" t="s">
        <v>31</v>
      </c>
      <c r="E7683" s="150"/>
      <c r="F7683" s="153" t="n">
        <f aca="false">(SUMPRODUCT($E7684:$E7694,F7684:F7694))*1</f>
        <v>64.2358866666667</v>
      </c>
      <c r="G7683" s="153" t="n">
        <f aca="false">(SUMPRODUCT($E7684:$E7694,G7684:G7694))*1</f>
        <v>45.12604490118</v>
      </c>
    </row>
    <row r="7684" customFormat="false" ht="21" hidden="false" customHeight="false" outlineLevel="0" collapsed="false">
      <c r="A7684" s="154" t="n">
        <v>37370</v>
      </c>
      <c r="B7684" s="155" t="s">
        <v>1443</v>
      </c>
      <c r="C7684" s="148" t="str">
        <f aca="false">VLOOKUP($A7684,INSUMOS_AUX!$A$3:$H$813,3,0)</f>
        <v>MAT.</v>
      </c>
      <c r="D7684" s="156" t="s">
        <v>1444</v>
      </c>
      <c r="E7684" s="154" t="n">
        <v>2.6164</v>
      </c>
      <c r="F7684" s="149" t="n">
        <f aca="false">IF(C7684="MAT.",VLOOKUP(A7684,INSUMOS_AUX!$A$3:$H$813,6,0),0)</f>
        <v>3.32</v>
      </c>
      <c r="G7684" s="149" t="n">
        <f aca="false">IF(C7684="M.O.",VLOOKUP(A7684,INSUMOS_AUX!A:F,6,0),0)</f>
        <v>0</v>
      </c>
    </row>
    <row r="7685" customFormat="false" ht="21" hidden="false" customHeight="false" outlineLevel="0" collapsed="false">
      <c r="A7685" s="154" t="n">
        <v>43484</v>
      </c>
      <c r="B7685" s="155" t="s">
        <v>1523</v>
      </c>
      <c r="C7685" s="148" t="str">
        <f aca="false">VLOOKUP($A7685,INSUMOS_AUX!$A$3:$H$813,3,0)</f>
        <v>MAT.</v>
      </c>
      <c r="D7685" s="156" t="s">
        <v>1444</v>
      </c>
      <c r="E7685" s="154" t="n">
        <v>1.3082</v>
      </c>
      <c r="F7685" s="149" t="n">
        <f aca="false">IF(C7685="MAT.",VLOOKUP(A7685,INSUMOS_AUX!$A$3:$H$813,6,0),0)</f>
        <v>1.26</v>
      </c>
      <c r="G7685" s="149" t="n">
        <f aca="false">IF(C7685="M.O.",VLOOKUP(A7685,INSUMOS_AUX!A:F,6,0),0)</f>
        <v>0</v>
      </c>
    </row>
    <row r="7686" customFormat="false" ht="21" hidden="false" customHeight="false" outlineLevel="0" collapsed="false">
      <c r="A7686" s="154" t="n">
        <v>43491</v>
      </c>
      <c r="B7686" s="155" t="s">
        <v>1457</v>
      </c>
      <c r="C7686" s="148" t="str">
        <f aca="false">VLOOKUP($A7686,INSUMOS_AUX!$A$3:$H$813,3,0)</f>
        <v>MAT.</v>
      </c>
      <c r="D7686" s="156" t="s">
        <v>1444</v>
      </c>
      <c r="E7686" s="154" t="n">
        <v>1.3082</v>
      </c>
      <c r="F7686" s="149" t="n">
        <f aca="false">IF(C7686="MAT.",VLOOKUP(A7686,INSUMOS_AUX!$A$3:$H$813,6,0),0)</f>
        <v>1.39</v>
      </c>
      <c r="G7686" s="149" t="n">
        <f aca="false">IF(C7686="M.O.",VLOOKUP(A7686,INSUMOS_AUX!A:F,6,0),0)</f>
        <v>0</v>
      </c>
    </row>
    <row r="7687" customFormat="false" ht="21" hidden="false" customHeight="false" outlineLevel="0" collapsed="false">
      <c r="A7687" s="154" t="n">
        <v>37372</v>
      </c>
      <c r="B7687" s="155" t="s">
        <v>1446</v>
      </c>
      <c r="C7687" s="148" t="s">
        <v>59</v>
      </c>
      <c r="D7687" s="156" t="s">
        <v>1444</v>
      </c>
      <c r="E7687" s="154" t="n">
        <v>2.6164</v>
      </c>
      <c r="F7687" s="149" t="n">
        <f aca="false">IF(C7687="MAT.",VLOOKUP(A7687,INSUMOS_AUX!$A$3:$H$813,6,0),0)</f>
        <v>0</v>
      </c>
      <c r="G7687" s="149" t="n">
        <f aca="false">IF(C7687="M.O.",VLOOKUP(A7687,INSUMOS_AUX!A:F,6,0),0)</f>
        <v>0</v>
      </c>
    </row>
    <row r="7688" customFormat="false" ht="21" hidden="false" customHeight="false" outlineLevel="0" collapsed="false">
      <c r="A7688" s="154" t="n">
        <v>43460</v>
      </c>
      <c r="B7688" s="155" t="s">
        <v>1524</v>
      </c>
      <c r="C7688" s="148" t="str">
        <f aca="false">VLOOKUP($A7688,INSUMOS_AUX!$A$3:$H$813,3,0)</f>
        <v>MAT.</v>
      </c>
      <c r="D7688" s="156" t="s">
        <v>1444</v>
      </c>
      <c r="E7688" s="154" t="n">
        <v>1.3082</v>
      </c>
      <c r="F7688" s="149" t="n">
        <f aca="false">IF(C7688="MAT.",VLOOKUP(A7688,INSUMOS_AUX!$A$3:$H$813,6,0),0)</f>
        <v>0.86</v>
      </c>
      <c r="G7688" s="149" t="n">
        <f aca="false">IF(C7688="M.O.",VLOOKUP(A7688,INSUMOS_AUX!A:F,6,0),0)</f>
        <v>0</v>
      </c>
    </row>
    <row r="7689" customFormat="false" ht="21" hidden="false" customHeight="false" outlineLevel="0" collapsed="false">
      <c r="A7689" s="154" t="n">
        <v>43467</v>
      </c>
      <c r="B7689" s="155" t="s">
        <v>1459</v>
      </c>
      <c r="C7689" s="148" t="str">
        <f aca="false">VLOOKUP($A7689,INSUMOS_AUX!$A$3:$H$813,3,0)</f>
        <v>MAT.</v>
      </c>
      <c r="D7689" s="156" t="s">
        <v>1444</v>
      </c>
      <c r="E7689" s="154" t="n">
        <v>1.3082</v>
      </c>
      <c r="F7689" s="149" t="n">
        <f aca="false">IF(C7689="MAT.",VLOOKUP(A7689,INSUMOS_AUX!$A$3:$H$813,6,0),0)</f>
        <v>0.61</v>
      </c>
      <c r="G7689" s="149" t="n">
        <f aca="false">IF(C7689="M.O.",VLOOKUP(A7689,INSUMOS_AUX!A:F,6,0),0)</f>
        <v>0</v>
      </c>
    </row>
    <row r="7690" customFormat="false" ht="21" hidden="false" customHeight="false" outlineLevel="0" collapsed="false">
      <c r="A7690" s="154" t="n">
        <v>37373</v>
      </c>
      <c r="B7690" s="155" t="s">
        <v>1448</v>
      </c>
      <c r="C7690" s="148" t="str">
        <f aca="false">VLOOKUP($A7690,INSUMOS_AUX!$A$3:$H$813,3,0)</f>
        <v>MAT.</v>
      </c>
      <c r="D7690" s="156" t="s">
        <v>1444</v>
      </c>
      <c r="E7690" s="154" t="n">
        <v>2.6164</v>
      </c>
      <c r="F7690" s="149" t="n">
        <f aca="false">IF(C7690="MAT.",VLOOKUP(A7690,INSUMOS_AUX!$A$3:$H$813,6,0),0)</f>
        <v>0.08</v>
      </c>
      <c r="G7690" s="149" t="n">
        <f aca="false">IF(C7690="M.O.",VLOOKUP(A7690,INSUMOS_AUX!A:F,6,0),0)</f>
        <v>0</v>
      </c>
    </row>
    <row r="7691" customFormat="false" ht="21" hidden="false" customHeight="false" outlineLevel="0" collapsed="false">
      <c r="A7691" s="154" t="n">
        <v>37371</v>
      </c>
      <c r="B7691" s="155" t="s">
        <v>1449</v>
      </c>
      <c r="C7691" s="148" t="str">
        <f aca="false">VLOOKUP($A7691,INSUMOS_AUX!$A$3:$H$813,3,0)</f>
        <v>MAT.</v>
      </c>
      <c r="D7691" s="156" t="s">
        <v>1444</v>
      </c>
      <c r="E7691" s="154" t="n">
        <v>2.6164</v>
      </c>
      <c r="F7691" s="149" t="n">
        <f aca="false">IF(C7691="MAT.",VLOOKUP(A7691,INSUMOS_AUX!$A$3:$H$813,6,0),0)</f>
        <v>0.59</v>
      </c>
      <c r="G7691" s="149" t="n">
        <f aca="false">IF(C7691="M.O.",VLOOKUP(A7691,INSUMOS_AUX!A:F,6,0),0)</f>
        <v>0</v>
      </c>
    </row>
    <row r="7692" customFormat="false" ht="15" hidden="false" customHeight="false" outlineLevel="0" collapsed="false">
      <c r="A7692" s="154" t="s">
        <v>2849</v>
      </c>
      <c r="B7692" s="155" t="s">
        <v>2850</v>
      </c>
      <c r="C7692" s="148" t="str">
        <f aca="false">VLOOKUP($A7692,INSUMOS_AUX!$A$3:$H$813,3,0)</f>
        <v>MAT.</v>
      </c>
      <c r="D7692" s="156" t="s">
        <v>31</v>
      </c>
      <c r="E7692" s="154" t="n">
        <v>1</v>
      </c>
      <c r="F7692" s="149" t="n">
        <f aca="false">IF(C7692="MAT.",VLOOKUP(A7692,INSUMOS_AUX!$A$3:$H$813,6,0),0)</f>
        <v>48.4066666666667</v>
      </c>
      <c r="G7692" s="149" t="n">
        <f aca="false">IF(C7692="M.O.",VLOOKUP(A7692,INSUMOS_AUX!A:F,6,0),0)</f>
        <v>0</v>
      </c>
    </row>
    <row r="7693" customFormat="false" ht="15" hidden="false" customHeight="false" outlineLevel="0" collapsed="false">
      <c r="A7693" s="154" t="n">
        <v>242</v>
      </c>
      <c r="B7693" s="155" t="s">
        <v>1660</v>
      </c>
      <c r="C7693" s="148" t="str">
        <f aca="false">VLOOKUP($A7693,INSUMOS_AUX!$A$3:$H$813,3,0)</f>
        <v>M.O.</v>
      </c>
      <c r="D7693" s="156" t="s">
        <v>1444</v>
      </c>
      <c r="E7693" s="154" t="n">
        <v>1.323296628</v>
      </c>
      <c r="F7693" s="149" t="n">
        <f aca="false">IF(C7693="MAT.",VLOOKUP(A7693,INSUMOS_AUX!$A$3:$H$813,6,0),0)</f>
        <v>0</v>
      </c>
      <c r="G7693" s="149" t="n">
        <f aca="false">IF(C7693="M.O.",VLOOKUP(A7693,INSUMOS_AUX!A:F,6,0),0)</f>
        <v>13.61</v>
      </c>
    </row>
    <row r="7694" customFormat="false" ht="15" hidden="false" customHeight="false" outlineLevel="0" collapsed="false">
      <c r="A7694" s="154" t="n">
        <v>34794</v>
      </c>
      <c r="B7694" s="155" t="s">
        <v>2764</v>
      </c>
      <c r="C7694" s="148" t="str">
        <f aca="false">VLOOKUP($A7694,INSUMOS_AUX!$A$3:$H$813,3,0)</f>
        <v>M.O.</v>
      </c>
      <c r="D7694" s="156" t="s">
        <v>1444</v>
      </c>
      <c r="E7694" s="154" t="n">
        <v>1.34437173</v>
      </c>
      <c r="F7694" s="149" t="n">
        <f aca="false">IF(C7694="MAT.",VLOOKUP(A7694,INSUMOS_AUX!$A$3:$H$813,6,0),0)</f>
        <v>0</v>
      </c>
      <c r="G7694" s="149" t="n">
        <f aca="false">IF(C7694="M.O.",VLOOKUP(A7694,INSUMOS_AUX!A:F,6,0),0)</f>
        <v>20.17</v>
      </c>
    </row>
    <row r="7695" customFormat="false" ht="21" hidden="false" customHeight="false" outlineLevel="0" collapsed="false">
      <c r="A7695" s="150" t="s">
        <v>1302</v>
      </c>
      <c r="B7695" s="151" t="s">
        <v>2851</v>
      </c>
      <c r="C7695" s="152" t="s">
        <v>59</v>
      </c>
      <c r="D7695" s="152" t="s">
        <v>31</v>
      </c>
      <c r="E7695" s="150"/>
      <c r="F7695" s="153" t="n">
        <f aca="false">(SUMPRODUCT($E7696:$E7706,F7696:F7706))*1</f>
        <v>88.0856073333333</v>
      </c>
      <c r="G7695" s="153" t="n">
        <f aca="false">(SUMPRODUCT($E7696:$E7706,G7696:G7706))*1</f>
        <v>45.12604490118</v>
      </c>
    </row>
    <row r="7696" customFormat="false" ht="21" hidden="false" customHeight="false" outlineLevel="0" collapsed="false">
      <c r="A7696" s="154" t="n">
        <v>37370</v>
      </c>
      <c r="B7696" s="155" t="s">
        <v>1443</v>
      </c>
      <c r="C7696" s="148" t="str">
        <f aca="false">VLOOKUP($A7696,INSUMOS_AUX!$A$3:$H$813,3,0)</f>
        <v>MAT.</v>
      </c>
      <c r="D7696" s="156" t="s">
        <v>1444</v>
      </c>
      <c r="E7696" s="154" t="n">
        <v>2.6164</v>
      </c>
      <c r="F7696" s="149" t="n">
        <f aca="false">IF(C7696="MAT.",VLOOKUP(A7696,INSUMOS_AUX!$A$3:$H$813,6,0),0)</f>
        <v>3.32</v>
      </c>
      <c r="G7696" s="149" t="n">
        <f aca="false">IF(C7696="M.O.",VLOOKUP(A7696,INSUMOS_AUX!A:F,6,0),0)</f>
        <v>0</v>
      </c>
    </row>
    <row r="7697" customFormat="false" ht="21" hidden="false" customHeight="false" outlineLevel="0" collapsed="false">
      <c r="A7697" s="154" t="n">
        <v>43484</v>
      </c>
      <c r="B7697" s="155" t="s">
        <v>1523</v>
      </c>
      <c r="C7697" s="148" t="str">
        <f aca="false">VLOOKUP($A7697,INSUMOS_AUX!$A$3:$H$813,3,0)</f>
        <v>MAT.</v>
      </c>
      <c r="D7697" s="156" t="s">
        <v>1444</v>
      </c>
      <c r="E7697" s="154" t="n">
        <v>1.3082</v>
      </c>
      <c r="F7697" s="149" t="n">
        <f aca="false">IF(C7697="MAT.",VLOOKUP(A7697,INSUMOS_AUX!$A$3:$H$813,6,0),0)</f>
        <v>1.26</v>
      </c>
      <c r="G7697" s="149" t="n">
        <f aca="false">IF(C7697="M.O.",VLOOKUP(A7697,INSUMOS_AUX!A:F,6,0),0)</f>
        <v>0</v>
      </c>
    </row>
    <row r="7698" customFormat="false" ht="21" hidden="false" customHeight="false" outlineLevel="0" collapsed="false">
      <c r="A7698" s="154" t="n">
        <v>43491</v>
      </c>
      <c r="B7698" s="155" t="s">
        <v>1457</v>
      </c>
      <c r="C7698" s="148" t="s">
        <v>59</v>
      </c>
      <c r="D7698" s="156" t="s">
        <v>1444</v>
      </c>
      <c r="E7698" s="154" t="n">
        <v>1.3082</v>
      </c>
      <c r="F7698" s="149" t="n">
        <f aca="false">IF(C7698="MAT.",VLOOKUP(A7698,INSUMOS_AUX!$A$3:$H$813,6,0),0)</f>
        <v>0</v>
      </c>
      <c r="G7698" s="149" t="n">
        <f aca="false">IF(C7698="M.O.",VLOOKUP(A7698,INSUMOS_AUX!A:F,6,0),0)</f>
        <v>0</v>
      </c>
    </row>
    <row r="7699" customFormat="false" ht="21" hidden="false" customHeight="false" outlineLevel="0" collapsed="false">
      <c r="A7699" s="154" t="n">
        <v>37372</v>
      </c>
      <c r="B7699" s="155" t="s">
        <v>1446</v>
      </c>
      <c r="C7699" s="148" t="str">
        <f aca="false">VLOOKUP($A7699,INSUMOS_AUX!$A$3:$H$813,3,0)</f>
        <v>MAT.</v>
      </c>
      <c r="D7699" s="156" t="s">
        <v>1444</v>
      </c>
      <c r="E7699" s="154" t="n">
        <v>2.6164</v>
      </c>
      <c r="F7699" s="149" t="n">
        <f aca="false">IF(C7699="MAT.",VLOOKUP(A7699,INSUMOS_AUX!$A$3:$H$813,6,0),0)</f>
        <v>1.43</v>
      </c>
      <c r="G7699" s="149" t="n">
        <f aca="false">IF(C7699="M.O.",VLOOKUP(A7699,INSUMOS_AUX!A:F,6,0),0)</f>
        <v>0</v>
      </c>
    </row>
    <row r="7700" customFormat="false" ht="21" hidden="false" customHeight="false" outlineLevel="0" collapsed="false">
      <c r="A7700" s="154" t="n">
        <v>43460</v>
      </c>
      <c r="B7700" s="155" t="s">
        <v>1524</v>
      </c>
      <c r="C7700" s="148" t="str">
        <f aca="false">VLOOKUP($A7700,INSUMOS_AUX!$A$3:$H$813,3,0)</f>
        <v>MAT.</v>
      </c>
      <c r="D7700" s="156" t="s">
        <v>1444</v>
      </c>
      <c r="E7700" s="154" t="n">
        <v>1.3082</v>
      </c>
      <c r="F7700" s="149" t="n">
        <f aca="false">IF(C7700="MAT.",VLOOKUP(A7700,INSUMOS_AUX!$A$3:$H$813,6,0),0)</f>
        <v>0.86</v>
      </c>
      <c r="G7700" s="149" t="n">
        <f aca="false">IF(C7700="M.O.",VLOOKUP(A7700,INSUMOS_AUX!A:F,6,0),0)</f>
        <v>0</v>
      </c>
    </row>
    <row r="7701" customFormat="false" ht="21" hidden="false" customHeight="false" outlineLevel="0" collapsed="false">
      <c r="A7701" s="154" t="n">
        <v>43467</v>
      </c>
      <c r="B7701" s="155" t="s">
        <v>1459</v>
      </c>
      <c r="C7701" s="148" t="str">
        <f aca="false">VLOOKUP($A7701,INSUMOS_AUX!$A$3:$H$813,3,0)</f>
        <v>MAT.</v>
      </c>
      <c r="D7701" s="156" t="s">
        <v>1444</v>
      </c>
      <c r="E7701" s="154" t="n">
        <v>1.3082</v>
      </c>
      <c r="F7701" s="149" t="n">
        <f aca="false">IF(C7701="MAT.",VLOOKUP(A7701,INSUMOS_AUX!$A$3:$H$813,6,0),0)</f>
        <v>0.61</v>
      </c>
      <c r="G7701" s="149" t="n">
        <f aca="false">IF(C7701="M.O.",VLOOKUP(A7701,INSUMOS_AUX!A:F,6,0),0)</f>
        <v>0</v>
      </c>
    </row>
    <row r="7702" customFormat="false" ht="21" hidden="false" customHeight="false" outlineLevel="0" collapsed="false">
      <c r="A7702" s="154" t="n">
        <v>37373</v>
      </c>
      <c r="B7702" s="155" t="s">
        <v>1448</v>
      </c>
      <c r="C7702" s="148" t="str">
        <f aca="false">VLOOKUP($A7702,INSUMOS_AUX!$A$3:$H$813,3,0)</f>
        <v>MAT.</v>
      </c>
      <c r="D7702" s="156" t="s">
        <v>1444</v>
      </c>
      <c r="E7702" s="154" t="n">
        <v>2.6164</v>
      </c>
      <c r="F7702" s="149" t="n">
        <f aca="false">IF(C7702="MAT.",VLOOKUP(A7702,INSUMOS_AUX!$A$3:$H$813,6,0),0)</f>
        <v>0.08</v>
      </c>
      <c r="G7702" s="149" t="n">
        <f aca="false">IF(C7702="M.O.",VLOOKUP(A7702,INSUMOS_AUX!A:F,6,0),0)</f>
        <v>0</v>
      </c>
    </row>
    <row r="7703" customFormat="false" ht="21" hidden="false" customHeight="false" outlineLevel="0" collapsed="false">
      <c r="A7703" s="154" t="n">
        <v>37371</v>
      </c>
      <c r="B7703" s="155" t="s">
        <v>1449</v>
      </c>
      <c r="C7703" s="148" t="str">
        <f aca="false">VLOOKUP($A7703,INSUMOS_AUX!$A$3:$H$813,3,0)</f>
        <v>MAT.</v>
      </c>
      <c r="D7703" s="156" t="s">
        <v>1444</v>
      </c>
      <c r="E7703" s="154" t="n">
        <v>2.6164</v>
      </c>
      <c r="F7703" s="149" t="n">
        <f aca="false">IF(C7703="MAT.",VLOOKUP(A7703,INSUMOS_AUX!$A$3:$H$813,6,0),0)</f>
        <v>0.59</v>
      </c>
      <c r="G7703" s="149" t="n">
        <f aca="false">IF(C7703="M.O.",VLOOKUP(A7703,INSUMOS_AUX!A:F,6,0),0)</f>
        <v>0</v>
      </c>
    </row>
    <row r="7704" customFormat="false" ht="15" hidden="false" customHeight="false" outlineLevel="0" collapsed="false">
      <c r="A7704" s="154" t="s">
        <v>2852</v>
      </c>
      <c r="B7704" s="155" t="s">
        <v>2853</v>
      </c>
      <c r="C7704" s="148" t="str">
        <f aca="false">VLOOKUP($A7704,INSUMOS_AUX!$A$3:$H$813,3,0)</f>
        <v>MAT.</v>
      </c>
      <c r="D7704" s="156" t="s">
        <v>31</v>
      </c>
      <c r="E7704" s="154" t="n">
        <v>1</v>
      </c>
      <c r="F7704" s="149" t="n">
        <f aca="false">IF(C7704="MAT.",VLOOKUP(A7704,INSUMOS_AUX!$A$3:$H$813,6,0),0)</f>
        <v>70.3333333333333</v>
      </c>
      <c r="G7704" s="149" t="n">
        <f aca="false">IF(C7704="M.O.",VLOOKUP(A7704,INSUMOS_AUX!A:F,6,0),0)</f>
        <v>0</v>
      </c>
    </row>
    <row r="7705" customFormat="false" ht="15" hidden="false" customHeight="false" outlineLevel="0" collapsed="false">
      <c r="A7705" s="154" t="n">
        <v>242</v>
      </c>
      <c r="B7705" s="155" t="s">
        <v>1660</v>
      </c>
      <c r="C7705" s="148" t="str">
        <f aca="false">VLOOKUP($A7705,INSUMOS_AUX!$A$3:$H$813,3,0)</f>
        <v>M.O.</v>
      </c>
      <c r="D7705" s="156" t="s">
        <v>1444</v>
      </c>
      <c r="E7705" s="154" t="n">
        <v>1.323296628</v>
      </c>
      <c r="F7705" s="149" t="n">
        <f aca="false">IF(C7705="MAT.",VLOOKUP(A7705,INSUMOS_AUX!$A$3:$H$813,6,0),0)</f>
        <v>0</v>
      </c>
      <c r="G7705" s="149" t="n">
        <f aca="false">IF(C7705="M.O.",VLOOKUP(A7705,INSUMOS_AUX!A:F,6,0),0)</f>
        <v>13.61</v>
      </c>
    </row>
    <row r="7706" customFormat="false" ht="15" hidden="false" customHeight="false" outlineLevel="0" collapsed="false">
      <c r="A7706" s="154" t="n">
        <v>34794</v>
      </c>
      <c r="B7706" s="155" t="s">
        <v>2764</v>
      </c>
      <c r="C7706" s="148" t="str">
        <f aca="false">VLOOKUP($A7706,INSUMOS_AUX!$A$3:$H$813,3,0)</f>
        <v>M.O.</v>
      </c>
      <c r="D7706" s="156" t="s">
        <v>1444</v>
      </c>
      <c r="E7706" s="154" t="n">
        <v>1.34437173</v>
      </c>
      <c r="F7706" s="149" t="n">
        <f aca="false">IF(C7706="MAT.",VLOOKUP(A7706,INSUMOS_AUX!$A$3:$H$813,6,0),0)</f>
        <v>0</v>
      </c>
      <c r="G7706" s="149" t="n">
        <f aca="false">IF(C7706="M.O.",VLOOKUP(A7706,INSUMOS_AUX!A:F,6,0),0)</f>
        <v>20.17</v>
      </c>
    </row>
    <row r="7707" customFormat="false" ht="21" hidden="false" customHeight="false" outlineLevel="0" collapsed="false">
      <c r="A7707" s="150" t="s">
        <v>1304</v>
      </c>
      <c r="B7707" s="151" t="s">
        <v>2854</v>
      </c>
      <c r="C7707" s="152" t="s">
        <v>59</v>
      </c>
      <c r="D7707" s="152" t="s">
        <v>31</v>
      </c>
      <c r="E7707" s="150"/>
      <c r="F7707" s="153" t="n">
        <f aca="false">(SUMPRODUCT($E7708:$E7719,F7708:F7719))*1</f>
        <v>31.4478866666667</v>
      </c>
      <c r="G7707" s="153" t="n">
        <f aca="false">(SUMPRODUCT($E7708:$E7719,G7708:G7719))*1</f>
        <v>45.12604490118</v>
      </c>
    </row>
    <row r="7708" customFormat="false" ht="21" hidden="false" customHeight="false" outlineLevel="0" collapsed="false">
      <c r="A7708" s="154" t="n">
        <v>37370</v>
      </c>
      <c r="B7708" s="155" t="s">
        <v>1443</v>
      </c>
      <c r="C7708" s="148" t="str">
        <f aca="false">VLOOKUP($A7708,INSUMOS_AUX!$A$3:$H$813,3,0)</f>
        <v>MAT.</v>
      </c>
      <c r="D7708" s="156" t="s">
        <v>1444</v>
      </c>
      <c r="E7708" s="154" t="n">
        <v>2.6164</v>
      </c>
      <c r="F7708" s="149" t="n">
        <f aca="false">IF(C7708="MAT.",VLOOKUP(A7708,INSUMOS_AUX!$A$3:$H$813,6,0),0)</f>
        <v>3.32</v>
      </c>
      <c r="G7708" s="149" t="n">
        <f aca="false">IF(C7708="M.O.",VLOOKUP(A7708,INSUMOS_AUX!A:F,6,0),0)</f>
        <v>0</v>
      </c>
    </row>
    <row r="7709" customFormat="false" ht="21" hidden="false" customHeight="false" outlineLevel="0" collapsed="false">
      <c r="A7709" s="154" t="n">
        <v>43484</v>
      </c>
      <c r="B7709" s="155" t="s">
        <v>1523</v>
      </c>
      <c r="C7709" s="148" t="str">
        <f aca="false">VLOOKUP($A7709,INSUMOS_AUX!$A$3:$H$813,3,0)</f>
        <v>MAT.</v>
      </c>
      <c r="D7709" s="156" t="s">
        <v>1444</v>
      </c>
      <c r="E7709" s="154" t="n">
        <v>1.3082</v>
      </c>
      <c r="F7709" s="149" t="n">
        <f aca="false">IF(C7709="MAT.",VLOOKUP(A7709,INSUMOS_AUX!$A$3:$H$813,6,0),0)</f>
        <v>1.26</v>
      </c>
      <c r="G7709" s="149" t="n">
        <f aca="false">IF(C7709="M.O.",VLOOKUP(A7709,INSUMOS_AUX!A:F,6,0),0)</f>
        <v>0</v>
      </c>
    </row>
    <row r="7710" customFormat="false" ht="21" hidden="false" customHeight="false" outlineLevel="0" collapsed="false">
      <c r="A7710" s="154" t="n">
        <v>43491</v>
      </c>
      <c r="B7710" s="155" t="s">
        <v>1457</v>
      </c>
      <c r="C7710" s="148" t="str">
        <f aca="false">VLOOKUP($A7710,INSUMOS_AUX!$A$3:$H$813,3,0)</f>
        <v>MAT.</v>
      </c>
      <c r="D7710" s="156" t="s">
        <v>1444</v>
      </c>
      <c r="E7710" s="154" t="n">
        <v>1.3082</v>
      </c>
      <c r="F7710" s="149" t="n">
        <f aca="false">IF(C7710="MAT.",VLOOKUP(A7710,INSUMOS_AUX!$A$3:$H$813,6,0),0)</f>
        <v>1.39</v>
      </c>
      <c r="G7710" s="149" t="n">
        <f aca="false">IF(C7710="M.O.",VLOOKUP(A7710,INSUMOS_AUX!A:F,6,0),0)</f>
        <v>0</v>
      </c>
    </row>
    <row r="7711" customFormat="false" ht="21" hidden="false" customHeight="false" outlineLevel="0" collapsed="false">
      <c r="A7711" s="154" t="n">
        <v>37372</v>
      </c>
      <c r="B7711" s="155" t="s">
        <v>1446</v>
      </c>
      <c r="C7711" s="148" t="s">
        <v>59</v>
      </c>
      <c r="D7711" s="156" t="s">
        <v>1444</v>
      </c>
      <c r="E7711" s="154" t="n">
        <v>2.6164</v>
      </c>
      <c r="F7711" s="149" t="n">
        <f aca="false">IF(C7711="MAT.",VLOOKUP(A7711,INSUMOS_AUX!$A$3:$H$813,6,0),0)</f>
        <v>0</v>
      </c>
      <c r="G7711" s="149" t="n">
        <f aca="false">IF(C7711="M.O.",VLOOKUP(A7711,INSUMOS_AUX!A:F,6,0),0)</f>
        <v>0</v>
      </c>
    </row>
    <row r="7712" customFormat="false" ht="21" hidden="false" customHeight="false" outlineLevel="0" collapsed="false">
      <c r="A7712" s="154" t="n">
        <v>43460</v>
      </c>
      <c r="B7712" s="155" t="s">
        <v>1524</v>
      </c>
      <c r="C7712" s="148" t="str">
        <f aca="false">VLOOKUP($A7712,INSUMOS_AUX!$A$3:$H$813,3,0)</f>
        <v>MAT.</v>
      </c>
      <c r="D7712" s="156" t="s">
        <v>1444</v>
      </c>
      <c r="E7712" s="154" t="n">
        <v>1.3082</v>
      </c>
      <c r="F7712" s="149" t="n">
        <f aca="false">IF(C7712="MAT.",VLOOKUP(A7712,INSUMOS_AUX!$A$3:$H$813,6,0),0)</f>
        <v>0.86</v>
      </c>
      <c r="G7712" s="149" t="n">
        <f aca="false">IF(C7712="M.O.",VLOOKUP(A7712,INSUMOS_AUX!A:F,6,0),0)</f>
        <v>0</v>
      </c>
    </row>
    <row r="7713" customFormat="false" ht="21" hidden="false" customHeight="false" outlineLevel="0" collapsed="false">
      <c r="A7713" s="154" t="n">
        <v>43467</v>
      </c>
      <c r="B7713" s="155" t="s">
        <v>1459</v>
      </c>
      <c r="C7713" s="148" t="str">
        <f aca="false">VLOOKUP($A7713,INSUMOS_AUX!$A$3:$H$813,3,0)</f>
        <v>MAT.</v>
      </c>
      <c r="D7713" s="156" t="s">
        <v>1444</v>
      </c>
      <c r="E7713" s="154" t="n">
        <v>1.3082</v>
      </c>
      <c r="F7713" s="149" t="n">
        <f aca="false">IF(C7713="MAT.",VLOOKUP(A7713,INSUMOS_AUX!$A$3:$H$813,6,0),0)</f>
        <v>0.61</v>
      </c>
      <c r="G7713" s="149" t="n">
        <f aca="false">IF(C7713="M.O.",VLOOKUP(A7713,INSUMOS_AUX!A:F,6,0),0)</f>
        <v>0</v>
      </c>
    </row>
    <row r="7714" customFormat="false" ht="21" hidden="false" customHeight="false" outlineLevel="0" collapsed="false">
      <c r="A7714" s="154" t="n">
        <v>37373</v>
      </c>
      <c r="B7714" s="155" t="s">
        <v>1448</v>
      </c>
      <c r="C7714" s="148" t="str">
        <f aca="false">VLOOKUP($A7714,INSUMOS_AUX!$A$3:$H$813,3,0)</f>
        <v>MAT.</v>
      </c>
      <c r="D7714" s="156" t="s">
        <v>1444</v>
      </c>
      <c r="E7714" s="154" t="n">
        <v>2.6164</v>
      </c>
      <c r="F7714" s="149" t="n">
        <f aca="false">IF(C7714="MAT.",VLOOKUP(A7714,INSUMOS_AUX!$A$3:$H$813,6,0),0)</f>
        <v>0.08</v>
      </c>
      <c r="G7714" s="149" t="n">
        <f aca="false">IF(C7714="M.O.",VLOOKUP(A7714,INSUMOS_AUX!A:F,6,0),0)</f>
        <v>0</v>
      </c>
    </row>
    <row r="7715" customFormat="false" ht="21" hidden="false" customHeight="false" outlineLevel="0" collapsed="false">
      <c r="A7715" s="154" t="n">
        <v>37371</v>
      </c>
      <c r="B7715" s="155" t="s">
        <v>1449</v>
      </c>
      <c r="C7715" s="148" t="str">
        <f aca="false">VLOOKUP($A7715,INSUMOS_AUX!$A$3:$H$813,3,0)</f>
        <v>MAT.</v>
      </c>
      <c r="D7715" s="156" t="s">
        <v>1444</v>
      </c>
      <c r="E7715" s="154" t="n">
        <v>2.6164</v>
      </c>
      <c r="F7715" s="149" t="n">
        <f aca="false">IF(C7715="MAT.",VLOOKUP(A7715,INSUMOS_AUX!$A$3:$H$813,6,0),0)</f>
        <v>0.59</v>
      </c>
      <c r="G7715" s="149" t="n">
        <f aca="false">IF(C7715="M.O.",VLOOKUP(A7715,INSUMOS_AUX!A:F,6,0),0)</f>
        <v>0</v>
      </c>
    </row>
    <row r="7716" customFormat="false" ht="15" hidden="false" customHeight="false" outlineLevel="0" collapsed="false">
      <c r="A7716" s="154" t="s">
        <v>2855</v>
      </c>
      <c r="B7716" s="155" t="s">
        <v>2856</v>
      </c>
      <c r="C7716" s="148" t="str">
        <f aca="false">VLOOKUP($A7716,INSUMOS_AUX!$A$3:$H$813,3,0)</f>
        <v>MAT.</v>
      </c>
      <c r="D7716" s="156" t="s">
        <v>31</v>
      </c>
      <c r="E7716" s="154" t="n">
        <v>1</v>
      </c>
      <c r="F7716" s="149" t="n">
        <f aca="false">IF(C7716="MAT.",VLOOKUP(A7716,INSUMOS_AUX!$A$3:$H$813,6,0),0)</f>
        <v>14.4066666666667</v>
      </c>
      <c r="G7716" s="149" t="n">
        <f aca="false">IF(C7716="M.O.",VLOOKUP(A7716,INSUMOS_AUX!A:F,6,0),0)</f>
        <v>0</v>
      </c>
    </row>
    <row r="7717" customFormat="false" ht="15" hidden="false" customHeight="false" outlineLevel="0" collapsed="false">
      <c r="A7717" s="154" t="n">
        <v>40547</v>
      </c>
      <c r="B7717" s="155" t="s">
        <v>1785</v>
      </c>
      <c r="C7717" s="148" t="str">
        <f aca="false">VLOOKUP($A7717,INSUMOS_AUX!$A$3:$H$813,3,0)</f>
        <v>MAT.</v>
      </c>
      <c r="D7717" s="156" t="s">
        <v>1576</v>
      </c>
      <c r="E7717" s="154" t="n">
        <v>0.04</v>
      </c>
      <c r="F7717" s="149" t="n">
        <f aca="false">IF(C7717="MAT.",VLOOKUP(A7717,INSUMOS_AUX!$A$3:$H$813,6,0),0)</f>
        <v>30.3</v>
      </c>
      <c r="G7717" s="149" t="n">
        <f aca="false">IF(C7717="M.O.",VLOOKUP(A7717,INSUMOS_AUX!A:F,6,0),0)</f>
        <v>0</v>
      </c>
    </row>
    <row r="7718" customFormat="false" ht="15" hidden="false" customHeight="false" outlineLevel="0" collapsed="false">
      <c r="A7718" s="154" t="n">
        <v>242</v>
      </c>
      <c r="B7718" s="155" t="s">
        <v>1660</v>
      </c>
      <c r="C7718" s="148" t="str">
        <f aca="false">VLOOKUP($A7718,INSUMOS_AUX!$A$3:$H$813,3,0)</f>
        <v>M.O.</v>
      </c>
      <c r="D7718" s="156" t="s">
        <v>1444</v>
      </c>
      <c r="E7718" s="154" t="n">
        <v>1.323296628</v>
      </c>
      <c r="F7718" s="149" t="n">
        <f aca="false">IF(C7718="MAT.",VLOOKUP(A7718,INSUMOS_AUX!$A$3:$H$813,6,0),0)</f>
        <v>0</v>
      </c>
      <c r="G7718" s="149" t="n">
        <f aca="false">IF(C7718="M.O.",VLOOKUP(A7718,INSUMOS_AUX!A:F,6,0),0)</f>
        <v>13.61</v>
      </c>
    </row>
    <row r="7719" customFormat="false" ht="15" hidden="false" customHeight="false" outlineLevel="0" collapsed="false">
      <c r="A7719" s="154" t="n">
        <v>34794</v>
      </c>
      <c r="B7719" s="155" t="s">
        <v>2764</v>
      </c>
      <c r="C7719" s="148" t="str">
        <f aca="false">VLOOKUP($A7719,INSUMOS_AUX!$A$3:$H$813,3,0)</f>
        <v>M.O.</v>
      </c>
      <c r="D7719" s="156" t="s">
        <v>1444</v>
      </c>
      <c r="E7719" s="154" t="n">
        <v>1.34437173</v>
      </c>
      <c r="F7719" s="149" t="n">
        <f aca="false">IF(C7719="MAT.",VLOOKUP(A7719,INSUMOS_AUX!$A$3:$H$813,6,0),0)</f>
        <v>0</v>
      </c>
      <c r="G7719" s="149" t="n">
        <f aca="false">IF(C7719="M.O.",VLOOKUP(A7719,INSUMOS_AUX!A:F,6,0),0)</f>
        <v>20.17</v>
      </c>
    </row>
    <row r="7720" customFormat="false" ht="21" hidden="false" customHeight="false" outlineLevel="0" collapsed="false">
      <c r="A7720" s="150" t="s">
        <v>1306</v>
      </c>
      <c r="B7720" s="151" t="s">
        <v>2857</v>
      </c>
      <c r="C7720" s="152" t="s">
        <v>59</v>
      </c>
      <c r="D7720" s="152" t="s">
        <v>31</v>
      </c>
      <c r="E7720" s="150"/>
      <c r="F7720" s="153" t="n">
        <f aca="false">(SUMPRODUCT($E7721:$E7732,F7721:F7732))*1</f>
        <v>39.6678866666667</v>
      </c>
      <c r="G7720" s="153" t="n">
        <f aca="false">(SUMPRODUCT($E7721:$E7732,G7721:G7732))*1</f>
        <v>45.12604490118</v>
      </c>
    </row>
    <row r="7721" customFormat="false" ht="21" hidden="false" customHeight="false" outlineLevel="0" collapsed="false">
      <c r="A7721" s="154" t="n">
        <v>37370</v>
      </c>
      <c r="B7721" s="155" t="s">
        <v>1443</v>
      </c>
      <c r="C7721" s="148" t="str">
        <f aca="false">VLOOKUP($A7721,INSUMOS_AUX!$A$3:$H$813,3,0)</f>
        <v>MAT.</v>
      </c>
      <c r="D7721" s="156" t="s">
        <v>1444</v>
      </c>
      <c r="E7721" s="154" t="n">
        <v>2.6164</v>
      </c>
      <c r="F7721" s="149" t="n">
        <f aca="false">IF(C7721="MAT.",VLOOKUP(A7721,INSUMOS_AUX!$A$3:$H$813,6,0),0)</f>
        <v>3.32</v>
      </c>
      <c r="G7721" s="149" t="n">
        <f aca="false">IF(C7721="M.O.",VLOOKUP(A7721,INSUMOS_AUX!A:F,6,0),0)</f>
        <v>0</v>
      </c>
    </row>
    <row r="7722" customFormat="false" ht="21" hidden="false" customHeight="false" outlineLevel="0" collapsed="false">
      <c r="A7722" s="154" t="n">
        <v>43484</v>
      </c>
      <c r="B7722" s="155" t="s">
        <v>1523</v>
      </c>
      <c r="C7722" s="148" t="str">
        <f aca="false">VLOOKUP($A7722,INSUMOS_AUX!$A$3:$H$813,3,0)</f>
        <v>MAT.</v>
      </c>
      <c r="D7722" s="156" t="s">
        <v>1444</v>
      </c>
      <c r="E7722" s="154" t="n">
        <v>1.3082</v>
      </c>
      <c r="F7722" s="149" t="n">
        <f aca="false">IF(C7722="MAT.",VLOOKUP(A7722,INSUMOS_AUX!$A$3:$H$813,6,0),0)</f>
        <v>1.26</v>
      </c>
      <c r="G7722" s="149" t="n">
        <f aca="false">IF(C7722="M.O.",VLOOKUP(A7722,INSUMOS_AUX!A:F,6,0),0)</f>
        <v>0</v>
      </c>
    </row>
    <row r="7723" customFormat="false" ht="21" hidden="false" customHeight="false" outlineLevel="0" collapsed="false">
      <c r="A7723" s="154" t="n">
        <v>43491</v>
      </c>
      <c r="B7723" s="155" t="s">
        <v>1457</v>
      </c>
      <c r="C7723" s="148" t="str">
        <f aca="false">VLOOKUP($A7723,INSUMOS_AUX!$A$3:$H$813,3,0)</f>
        <v>MAT.</v>
      </c>
      <c r="D7723" s="156" t="s">
        <v>1444</v>
      </c>
      <c r="E7723" s="154" t="n">
        <v>1.3082</v>
      </c>
      <c r="F7723" s="149" t="n">
        <f aca="false">IF(C7723="MAT.",VLOOKUP(A7723,INSUMOS_AUX!$A$3:$H$813,6,0),0)</f>
        <v>1.39</v>
      </c>
      <c r="G7723" s="149" t="n">
        <f aca="false">IF(C7723="M.O.",VLOOKUP(A7723,INSUMOS_AUX!A:F,6,0),0)</f>
        <v>0</v>
      </c>
    </row>
    <row r="7724" customFormat="false" ht="21" hidden="false" customHeight="false" outlineLevel="0" collapsed="false">
      <c r="A7724" s="154" t="n">
        <v>37372</v>
      </c>
      <c r="B7724" s="155" t="s">
        <v>1446</v>
      </c>
      <c r="C7724" s="148" t="s">
        <v>59</v>
      </c>
      <c r="D7724" s="156" t="s">
        <v>1444</v>
      </c>
      <c r="E7724" s="154" t="n">
        <v>2.6164</v>
      </c>
      <c r="F7724" s="149" t="n">
        <f aca="false">IF(C7724="MAT.",VLOOKUP(A7724,INSUMOS_AUX!$A$3:$H$813,6,0),0)</f>
        <v>0</v>
      </c>
      <c r="G7724" s="149" t="n">
        <f aca="false">IF(C7724="M.O.",VLOOKUP(A7724,INSUMOS_AUX!A:F,6,0),0)</f>
        <v>0</v>
      </c>
    </row>
    <row r="7725" customFormat="false" ht="21" hidden="false" customHeight="false" outlineLevel="0" collapsed="false">
      <c r="A7725" s="154" t="n">
        <v>43460</v>
      </c>
      <c r="B7725" s="155" t="s">
        <v>1524</v>
      </c>
      <c r="C7725" s="148" t="str">
        <f aca="false">VLOOKUP($A7725,INSUMOS_AUX!$A$3:$H$813,3,0)</f>
        <v>MAT.</v>
      </c>
      <c r="D7725" s="156" t="s">
        <v>1444</v>
      </c>
      <c r="E7725" s="154" t="n">
        <v>1.3082</v>
      </c>
      <c r="F7725" s="149" t="n">
        <f aca="false">IF(C7725="MAT.",VLOOKUP(A7725,INSUMOS_AUX!$A$3:$H$813,6,0),0)</f>
        <v>0.86</v>
      </c>
      <c r="G7725" s="149" t="n">
        <f aca="false">IF(C7725="M.O.",VLOOKUP(A7725,INSUMOS_AUX!A:F,6,0),0)</f>
        <v>0</v>
      </c>
    </row>
    <row r="7726" customFormat="false" ht="21" hidden="false" customHeight="false" outlineLevel="0" collapsed="false">
      <c r="A7726" s="154" t="n">
        <v>43467</v>
      </c>
      <c r="B7726" s="155" t="s">
        <v>1459</v>
      </c>
      <c r="C7726" s="148" t="str">
        <f aca="false">VLOOKUP($A7726,INSUMOS_AUX!$A$3:$H$813,3,0)</f>
        <v>MAT.</v>
      </c>
      <c r="D7726" s="156" t="s">
        <v>1444</v>
      </c>
      <c r="E7726" s="154" t="n">
        <v>1.3082</v>
      </c>
      <c r="F7726" s="149" t="n">
        <f aca="false">IF(C7726="MAT.",VLOOKUP(A7726,INSUMOS_AUX!$A$3:$H$813,6,0),0)</f>
        <v>0.61</v>
      </c>
      <c r="G7726" s="149" t="n">
        <f aca="false">IF(C7726="M.O.",VLOOKUP(A7726,INSUMOS_AUX!A:F,6,0),0)</f>
        <v>0</v>
      </c>
    </row>
    <row r="7727" customFormat="false" ht="21" hidden="false" customHeight="false" outlineLevel="0" collapsed="false">
      <c r="A7727" s="154" t="n">
        <v>37373</v>
      </c>
      <c r="B7727" s="155" t="s">
        <v>1448</v>
      </c>
      <c r="C7727" s="148" t="str">
        <f aca="false">VLOOKUP($A7727,INSUMOS_AUX!$A$3:$H$813,3,0)</f>
        <v>MAT.</v>
      </c>
      <c r="D7727" s="156" t="s">
        <v>1444</v>
      </c>
      <c r="E7727" s="154" t="n">
        <v>2.6164</v>
      </c>
      <c r="F7727" s="149" t="n">
        <f aca="false">IF(C7727="MAT.",VLOOKUP(A7727,INSUMOS_AUX!$A$3:$H$813,6,0),0)</f>
        <v>0.08</v>
      </c>
      <c r="G7727" s="149" t="n">
        <f aca="false">IF(C7727="M.O.",VLOOKUP(A7727,INSUMOS_AUX!A:F,6,0),0)</f>
        <v>0</v>
      </c>
    </row>
    <row r="7728" customFormat="false" ht="21" hidden="false" customHeight="false" outlineLevel="0" collapsed="false">
      <c r="A7728" s="154" t="n">
        <v>37371</v>
      </c>
      <c r="B7728" s="155" t="s">
        <v>1449</v>
      </c>
      <c r="C7728" s="148" t="str">
        <f aca="false">VLOOKUP($A7728,INSUMOS_AUX!$A$3:$H$813,3,0)</f>
        <v>MAT.</v>
      </c>
      <c r="D7728" s="156" t="s">
        <v>1444</v>
      </c>
      <c r="E7728" s="154" t="n">
        <v>2.6164</v>
      </c>
      <c r="F7728" s="149" t="n">
        <f aca="false">IF(C7728="MAT.",VLOOKUP(A7728,INSUMOS_AUX!$A$3:$H$813,6,0),0)</f>
        <v>0.59</v>
      </c>
      <c r="G7728" s="149" t="n">
        <f aca="false">IF(C7728="M.O.",VLOOKUP(A7728,INSUMOS_AUX!A:F,6,0),0)</f>
        <v>0</v>
      </c>
    </row>
    <row r="7729" customFormat="false" ht="15" hidden="false" customHeight="false" outlineLevel="0" collapsed="false">
      <c r="A7729" s="154" t="s">
        <v>2858</v>
      </c>
      <c r="B7729" s="155" t="s">
        <v>2859</v>
      </c>
      <c r="C7729" s="148" t="str">
        <f aca="false">VLOOKUP($A7729,INSUMOS_AUX!$A$3:$H$813,3,0)</f>
        <v>MAT.</v>
      </c>
      <c r="D7729" s="156" t="s">
        <v>31</v>
      </c>
      <c r="E7729" s="154" t="n">
        <v>1</v>
      </c>
      <c r="F7729" s="149" t="n">
        <f aca="false">IF(C7729="MAT.",VLOOKUP(A7729,INSUMOS_AUX!$A$3:$H$813,6,0),0)</f>
        <v>22.6266666666667</v>
      </c>
      <c r="G7729" s="149" t="n">
        <f aca="false">IF(C7729="M.O.",VLOOKUP(A7729,INSUMOS_AUX!A:F,6,0),0)</f>
        <v>0</v>
      </c>
    </row>
    <row r="7730" customFormat="false" ht="15" hidden="false" customHeight="false" outlineLevel="0" collapsed="false">
      <c r="A7730" s="154" t="n">
        <v>40547</v>
      </c>
      <c r="B7730" s="155" t="s">
        <v>1785</v>
      </c>
      <c r="C7730" s="148" t="str">
        <f aca="false">VLOOKUP($A7730,INSUMOS_AUX!$A$3:$H$813,3,0)</f>
        <v>MAT.</v>
      </c>
      <c r="D7730" s="156" t="s">
        <v>1576</v>
      </c>
      <c r="E7730" s="154" t="n">
        <v>0.04</v>
      </c>
      <c r="F7730" s="149" t="n">
        <f aca="false">IF(C7730="MAT.",VLOOKUP(A7730,INSUMOS_AUX!$A$3:$H$813,6,0),0)</f>
        <v>30.3</v>
      </c>
      <c r="G7730" s="149" t="n">
        <f aca="false">IF(C7730="M.O.",VLOOKUP(A7730,INSUMOS_AUX!A:F,6,0),0)</f>
        <v>0</v>
      </c>
    </row>
    <row r="7731" customFormat="false" ht="15" hidden="false" customHeight="false" outlineLevel="0" collapsed="false">
      <c r="A7731" s="154" t="n">
        <v>242</v>
      </c>
      <c r="B7731" s="155" t="s">
        <v>1660</v>
      </c>
      <c r="C7731" s="148" t="str">
        <f aca="false">VLOOKUP($A7731,INSUMOS_AUX!$A$3:$H$813,3,0)</f>
        <v>M.O.</v>
      </c>
      <c r="D7731" s="156" t="s">
        <v>1444</v>
      </c>
      <c r="E7731" s="154" t="n">
        <v>1.323296628</v>
      </c>
      <c r="F7731" s="149" t="n">
        <f aca="false">IF(C7731="MAT.",VLOOKUP(A7731,INSUMOS_AUX!$A$3:$H$813,6,0),0)</f>
        <v>0</v>
      </c>
      <c r="G7731" s="149" t="n">
        <f aca="false">IF(C7731="M.O.",VLOOKUP(A7731,INSUMOS_AUX!A:F,6,0),0)</f>
        <v>13.61</v>
      </c>
    </row>
    <row r="7732" customFormat="false" ht="15" hidden="false" customHeight="false" outlineLevel="0" collapsed="false">
      <c r="A7732" s="154" t="n">
        <v>34794</v>
      </c>
      <c r="B7732" s="155" t="s">
        <v>2764</v>
      </c>
      <c r="C7732" s="148" t="str">
        <f aca="false">VLOOKUP($A7732,INSUMOS_AUX!$A$3:$H$813,3,0)</f>
        <v>M.O.</v>
      </c>
      <c r="D7732" s="156" t="s">
        <v>1444</v>
      </c>
      <c r="E7732" s="154" t="n">
        <v>1.34437173</v>
      </c>
      <c r="F7732" s="149" t="n">
        <f aca="false">IF(C7732="MAT.",VLOOKUP(A7732,INSUMOS_AUX!$A$3:$H$813,6,0),0)</f>
        <v>0</v>
      </c>
      <c r="G7732" s="149" t="n">
        <f aca="false">IF(C7732="M.O.",VLOOKUP(A7732,INSUMOS_AUX!A:F,6,0),0)</f>
        <v>20.17</v>
      </c>
    </row>
    <row r="7733" customFormat="false" ht="31.5" hidden="false" customHeight="false" outlineLevel="0" collapsed="false">
      <c r="A7733" s="150" t="s">
        <v>1309</v>
      </c>
      <c r="B7733" s="151" t="s">
        <v>2860</v>
      </c>
      <c r="C7733" s="152" t="s">
        <v>59</v>
      </c>
      <c r="D7733" s="152" t="s">
        <v>31</v>
      </c>
      <c r="E7733" s="150"/>
      <c r="F7733" s="153" t="n">
        <f aca="false">(SUMPRODUCT($E7734:$E7742,F7734:F7742))*1</f>
        <v>819.54</v>
      </c>
      <c r="G7733" s="153" t="n">
        <f aca="false">(SUMPRODUCT($E7734:$E7742,G7734:G7742))*1</f>
        <v>34.7294736</v>
      </c>
    </row>
    <row r="7734" customFormat="false" ht="21" hidden="false" customHeight="false" outlineLevel="0" collapsed="false">
      <c r="A7734" s="154" t="n">
        <v>37370</v>
      </c>
      <c r="B7734" s="155" t="s">
        <v>1443</v>
      </c>
      <c r="C7734" s="148" t="str">
        <f aca="false">VLOOKUP($A7734,INSUMOS_AUX!$A$3:$H$813,3,0)</f>
        <v>MAT.</v>
      </c>
      <c r="D7734" s="156" t="s">
        <v>1444</v>
      </c>
      <c r="E7734" s="154" t="n">
        <v>2</v>
      </c>
      <c r="F7734" s="149" t="n">
        <f aca="false">IF(C7734="MAT.",VLOOKUP(A7734,INSUMOS_AUX!$A$3:$H$813,6,0),0)</f>
        <v>3.32</v>
      </c>
      <c r="G7734" s="149" t="n">
        <f aca="false">IF(C7734="M.O.",VLOOKUP(A7734,INSUMOS_AUX!A:F,6,0),0)</f>
        <v>0</v>
      </c>
    </row>
    <row r="7735" customFormat="false" ht="21" hidden="false" customHeight="false" outlineLevel="0" collapsed="false">
      <c r="A7735" s="154" t="n">
        <v>43484</v>
      </c>
      <c r="B7735" s="155" t="s">
        <v>1523</v>
      </c>
      <c r="C7735" s="148" t="str">
        <f aca="false">VLOOKUP($A7735,INSUMOS_AUX!$A$3:$H$813,3,0)</f>
        <v>MAT.</v>
      </c>
      <c r="D7735" s="156" t="s">
        <v>1444</v>
      </c>
      <c r="E7735" s="154" t="n">
        <v>2</v>
      </c>
      <c r="F7735" s="149" t="n">
        <f aca="false">IF(C7735="MAT.",VLOOKUP(A7735,INSUMOS_AUX!$A$3:$H$813,6,0),0)</f>
        <v>1.26</v>
      </c>
      <c r="G7735" s="149" t="n">
        <f aca="false">IF(C7735="M.O.",VLOOKUP(A7735,INSUMOS_AUX!A:F,6,0),0)</f>
        <v>0</v>
      </c>
    </row>
    <row r="7736" customFormat="false" ht="21" hidden="false" customHeight="false" outlineLevel="0" collapsed="false">
      <c r="A7736" s="154" t="n">
        <v>37372</v>
      </c>
      <c r="B7736" s="155" t="s">
        <v>1446</v>
      </c>
      <c r="C7736" s="148" t="str">
        <f aca="false">VLOOKUP($A7736,INSUMOS_AUX!$A$3:$H$813,3,0)</f>
        <v>MAT.</v>
      </c>
      <c r="D7736" s="156" t="s">
        <v>1444</v>
      </c>
      <c r="E7736" s="154" t="n">
        <v>2</v>
      </c>
      <c r="F7736" s="149" t="n">
        <f aca="false">IF(C7736="MAT.",VLOOKUP(A7736,INSUMOS_AUX!$A$3:$H$813,6,0),0)</f>
        <v>1.43</v>
      </c>
      <c r="G7736" s="149" t="n">
        <f aca="false">IF(C7736="M.O.",VLOOKUP(A7736,INSUMOS_AUX!A:F,6,0),0)</f>
        <v>0</v>
      </c>
    </row>
    <row r="7737" customFormat="false" ht="21" hidden="false" customHeight="false" outlineLevel="0" collapsed="false">
      <c r="A7737" s="154" t="n">
        <v>43460</v>
      </c>
      <c r="B7737" s="155" t="s">
        <v>1524</v>
      </c>
      <c r="C7737" s="148" t="s">
        <v>59</v>
      </c>
      <c r="D7737" s="156" t="s">
        <v>1444</v>
      </c>
      <c r="E7737" s="154" t="n">
        <v>2</v>
      </c>
      <c r="F7737" s="149" t="n">
        <f aca="false">IF(C7737="MAT.",VLOOKUP(A7737,INSUMOS_AUX!$A$3:$H$813,6,0),0)</f>
        <v>0</v>
      </c>
      <c r="G7737" s="149" t="n">
        <f aca="false">IF(C7737="M.O.",VLOOKUP(A7737,INSUMOS_AUX!A:F,6,0),0)</f>
        <v>0</v>
      </c>
    </row>
    <row r="7738" customFormat="false" ht="21" hidden="false" customHeight="false" outlineLevel="0" collapsed="false">
      <c r="A7738" s="154" t="n">
        <v>37373</v>
      </c>
      <c r="B7738" s="155" t="s">
        <v>1448</v>
      </c>
      <c r="C7738" s="148" t="str">
        <f aca="false">VLOOKUP($A7738,INSUMOS_AUX!$A$3:$H$813,3,0)</f>
        <v>MAT.</v>
      </c>
      <c r="D7738" s="156" t="s">
        <v>1444</v>
      </c>
      <c r="E7738" s="154" t="n">
        <v>2</v>
      </c>
      <c r="F7738" s="149" t="n">
        <f aca="false">IF(C7738="MAT.",VLOOKUP(A7738,INSUMOS_AUX!$A$3:$H$813,6,0),0)</f>
        <v>0.08</v>
      </c>
      <c r="G7738" s="149" t="n">
        <f aca="false">IF(C7738="M.O.",VLOOKUP(A7738,INSUMOS_AUX!A:F,6,0),0)</f>
        <v>0</v>
      </c>
    </row>
    <row r="7739" customFormat="false" ht="21" hidden="false" customHeight="false" outlineLevel="0" collapsed="false">
      <c r="A7739" s="154" t="n">
        <v>37371</v>
      </c>
      <c r="B7739" s="155" t="s">
        <v>1449</v>
      </c>
      <c r="C7739" s="148" t="str">
        <f aca="false">VLOOKUP($A7739,INSUMOS_AUX!$A$3:$H$813,3,0)</f>
        <v>MAT.</v>
      </c>
      <c r="D7739" s="156" t="s">
        <v>1444</v>
      </c>
      <c r="E7739" s="154" t="n">
        <v>2</v>
      </c>
      <c r="F7739" s="149" t="n">
        <f aca="false">IF(C7739="MAT.",VLOOKUP(A7739,INSUMOS_AUX!$A$3:$H$813,6,0),0)</f>
        <v>0.59</v>
      </c>
      <c r="G7739" s="149" t="n">
        <f aca="false">IF(C7739="M.O.",VLOOKUP(A7739,INSUMOS_AUX!A:F,6,0),0)</f>
        <v>0</v>
      </c>
    </row>
    <row r="7740" customFormat="false" ht="15" hidden="false" customHeight="false" outlineLevel="0" collapsed="false">
      <c r="A7740" s="154" t="s">
        <v>2861</v>
      </c>
      <c r="B7740" s="155" t="s">
        <v>2862</v>
      </c>
      <c r="C7740" s="148" t="str">
        <f aca="false">VLOOKUP($A7740,INSUMOS_AUX!$A$3:$H$813,3,0)</f>
        <v>MAT.</v>
      </c>
      <c r="D7740" s="156" t="s">
        <v>31</v>
      </c>
      <c r="E7740" s="154" t="n">
        <v>1</v>
      </c>
      <c r="F7740" s="149" t="n">
        <f aca="false">IF(C7740="MAT.",VLOOKUP(A7740,INSUMOS_AUX!$A$3:$H$813,6,0),0)</f>
        <v>806.18</v>
      </c>
      <c r="G7740" s="149" t="n">
        <f aca="false">IF(C7740="M.O.",VLOOKUP(A7740,INSUMOS_AUX!A:F,6,0),0)</f>
        <v>0</v>
      </c>
    </row>
    <row r="7741" customFormat="false" ht="15" hidden="false" customHeight="false" outlineLevel="0" collapsed="false">
      <c r="A7741" s="154" t="n">
        <v>247</v>
      </c>
      <c r="B7741" s="155" t="s">
        <v>1554</v>
      </c>
      <c r="C7741" s="148" t="str">
        <f aca="false">VLOOKUP($A7741,INSUMOS_AUX!$A$3:$H$813,3,0)</f>
        <v>M.O.</v>
      </c>
      <c r="D7741" s="156" t="s">
        <v>1444</v>
      </c>
      <c r="E7741" s="154" t="n">
        <v>1.03732</v>
      </c>
      <c r="F7741" s="149" t="n">
        <f aca="false">IF(C7741="MAT.",VLOOKUP(A7741,INSUMOS_AUX!$A$3:$H$813,6,0),0)</f>
        <v>0</v>
      </c>
      <c r="G7741" s="149" t="n">
        <f aca="false">IF(C7741="M.O.",VLOOKUP(A7741,INSUMOS_AUX!A:F,6,0),0)</f>
        <v>13.26</v>
      </c>
    </row>
    <row r="7742" customFormat="false" ht="15" hidden="false" customHeight="false" outlineLevel="0" collapsed="false">
      <c r="A7742" s="154" t="n">
        <v>2436</v>
      </c>
      <c r="B7742" s="155" t="s">
        <v>1557</v>
      </c>
      <c r="C7742" s="148" t="str">
        <f aca="false">VLOOKUP($A7742,INSUMOS_AUX!$A$3:$H$813,3,0)</f>
        <v>M.O.</v>
      </c>
      <c r="D7742" s="156" t="s">
        <v>1444</v>
      </c>
      <c r="E7742" s="154" t="n">
        <v>1.03732</v>
      </c>
      <c r="F7742" s="149" t="n">
        <f aca="false">IF(C7742="MAT.",VLOOKUP(A7742,INSUMOS_AUX!$A$3:$H$813,6,0),0)</f>
        <v>0</v>
      </c>
      <c r="G7742" s="149" t="n">
        <f aca="false">IF(C7742="M.O.",VLOOKUP(A7742,INSUMOS_AUX!A:F,6,0),0)</f>
        <v>20.22</v>
      </c>
    </row>
    <row r="7743" customFormat="false" ht="31.5" hidden="false" customHeight="false" outlineLevel="0" collapsed="false">
      <c r="A7743" s="150" t="s">
        <v>1311</v>
      </c>
      <c r="B7743" s="151" t="s">
        <v>2863</v>
      </c>
      <c r="C7743" s="152" t="s">
        <v>59</v>
      </c>
      <c r="D7743" s="152" t="s">
        <v>31</v>
      </c>
      <c r="E7743" s="150"/>
      <c r="F7743" s="153" t="n">
        <f aca="false">(SUMPRODUCT($E7744:$E7752,F7744:F7752))*1</f>
        <v>15.08</v>
      </c>
      <c r="G7743" s="153" t="n">
        <f aca="false">(SUMPRODUCT($E7744:$E7752,G7744:G7752))*1</f>
        <v>34.7294736</v>
      </c>
    </row>
    <row r="7744" customFormat="false" ht="21" hidden="false" customHeight="false" outlineLevel="0" collapsed="false">
      <c r="A7744" s="154" t="n">
        <v>37370</v>
      </c>
      <c r="B7744" s="155" t="s">
        <v>1443</v>
      </c>
      <c r="C7744" s="148" t="str">
        <f aca="false">VLOOKUP($A7744,INSUMOS_AUX!$A$3:$H$813,3,0)</f>
        <v>MAT.</v>
      </c>
      <c r="D7744" s="156" t="s">
        <v>1444</v>
      </c>
      <c r="E7744" s="154" t="n">
        <v>2</v>
      </c>
      <c r="F7744" s="149" t="n">
        <f aca="false">IF(C7744="MAT.",VLOOKUP(A7744,INSUMOS_AUX!$A$3:$H$813,6,0),0)</f>
        <v>3.32</v>
      </c>
      <c r="G7744" s="149" t="n">
        <f aca="false">IF(C7744="M.O.",VLOOKUP(A7744,INSUMOS_AUX!A:F,6,0),0)</f>
        <v>0</v>
      </c>
    </row>
    <row r="7745" customFormat="false" ht="21" hidden="false" customHeight="false" outlineLevel="0" collapsed="false">
      <c r="A7745" s="154" t="n">
        <v>43484</v>
      </c>
      <c r="B7745" s="155" t="s">
        <v>1523</v>
      </c>
      <c r="C7745" s="148" t="str">
        <f aca="false">VLOOKUP($A7745,INSUMOS_AUX!$A$3:$H$813,3,0)</f>
        <v>MAT.</v>
      </c>
      <c r="D7745" s="156" t="s">
        <v>1444</v>
      </c>
      <c r="E7745" s="154" t="n">
        <v>2</v>
      </c>
      <c r="F7745" s="149" t="n">
        <f aca="false">IF(C7745="MAT.",VLOOKUP(A7745,INSUMOS_AUX!$A$3:$H$813,6,0),0)</f>
        <v>1.26</v>
      </c>
      <c r="G7745" s="149" t="n">
        <f aca="false">IF(C7745="M.O.",VLOOKUP(A7745,INSUMOS_AUX!A:F,6,0),0)</f>
        <v>0</v>
      </c>
    </row>
    <row r="7746" customFormat="false" ht="21" hidden="false" customHeight="false" outlineLevel="0" collapsed="false">
      <c r="A7746" s="154" t="n">
        <v>37372</v>
      </c>
      <c r="B7746" s="155" t="s">
        <v>1446</v>
      </c>
      <c r="C7746" s="148" t="str">
        <f aca="false">VLOOKUP($A7746,INSUMOS_AUX!$A$3:$H$813,3,0)</f>
        <v>MAT.</v>
      </c>
      <c r="D7746" s="156" t="s">
        <v>1444</v>
      </c>
      <c r="E7746" s="154" t="n">
        <v>2</v>
      </c>
      <c r="F7746" s="149" t="n">
        <f aca="false">IF(C7746="MAT.",VLOOKUP(A7746,INSUMOS_AUX!$A$3:$H$813,6,0),0)</f>
        <v>1.43</v>
      </c>
      <c r="G7746" s="149" t="n">
        <f aca="false">IF(C7746="M.O.",VLOOKUP(A7746,INSUMOS_AUX!A:F,6,0),0)</f>
        <v>0</v>
      </c>
    </row>
    <row r="7747" customFormat="false" ht="21" hidden="false" customHeight="false" outlineLevel="0" collapsed="false">
      <c r="A7747" s="154" t="n">
        <v>43460</v>
      </c>
      <c r="B7747" s="155" t="s">
        <v>1524</v>
      </c>
      <c r="C7747" s="148" t="str">
        <f aca="false">VLOOKUP($A7747,INSUMOS_AUX!$A$3:$H$813,3,0)</f>
        <v>MAT.</v>
      </c>
      <c r="D7747" s="156" t="s">
        <v>1444</v>
      </c>
      <c r="E7747" s="154" t="n">
        <v>2</v>
      </c>
      <c r="F7747" s="149" t="n">
        <f aca="false">IF(C7747="MAT.",VLOOKUP(A7747,INSUMOS_AUX!$A$3:$H$813,6,0),0)</f>
        <v>0.86</v>
      </c>
      <c r="G7747" s="149" t="n">
        <f aca="false">IF(C7747="M.O.",VLOOKUP(A7747,INSUMOS_AUX!A:F,6,0),0)</f>
        <v>0</v>
      </c>
    </row>
    <row r="7748" customFormat="false" ht="21" hidden="false" customHeight="false" outlineLevel="0" collapsed="false">
      <c r="A7748" s="154" t="n">
        <v>37373</v>
      </c>
      <c r="B7748" s="155" t="s">
        <v>1448</v>
      </c>
      <c r="C7748" s="148" t="str">
        <f aca="false">VLOOKUP($A7748,INSUMOS_AUX!$A$3:$H$813,3,0)</f>
        <v>MAT.</v>
      </c>
      <c r="D7748" s="156" t="s">
        <v>1444</v>
      </c>
      <c r="E7748" s="154" t="n">
        <v>2</v>
      </c>
      <c r="F7748" s="149" t="n">
        <f aca="false">IF(C7748="MAT.",VLOOKUP(A7748,INSUMOS_AUX!$A$3:$H$813,6,0),0)</f>
        <v>0.08</v>
      </c>
      <c r="G7748" s="149" t="n">
        <f aca="false">IF(C7748="M.O.",VLOOKUP(A7748,INSUMOS_AUX!A:F,6,0),0)</f>
        <v>0</v>
      </c>
    </row>
    <row r="7749" customFormat="false" ht="21" hidden="false" customHeight="false" outlineLevel="0" collapsed="false">
      <c r="A7749" s="154" t="n">
        <v>37371</v>
      </c>
      <c r="B7749" s="155" t="s">
        <v>1449</v>
      </c>
      <c r="C7749" s="148" t="str">
        <f aca="false">VLOOKUP($A7749,INSUMOS_AUX!$A$3:$H$813,3,0)</f>
        <v>MAT.</v>
      </c>
      <c r="D7749" s="156" t="s">
        <v>1444</v>
      </c>
      <c r="E7749" s="154" t="n">
        <v>2</v>
      </c>
      <c r="F7749" s="149" t="n">
        <f aca="false">IF(C7749="MAT.",VLOOKUP(A7749,INSUMOS_AUX!$A$3:$H$813,6,0),0)</f>
        <v>0.59</v>
      </c>
      <c r="G7749" s="149" t="n">
        <f aca="false">IF(C7749="M.O.",VLOOKUP(A7749,INSUMOS_AUX!A:F,6,0),0)</f>
        <v>0</v>
      </c>
    </row>
    <row r="7750" customFormat="false" ht="15" hidden="false" customHeight="false" outlineLevel="0" collapsed="false">
      <c r="A7750" s="154" t="s">
        <v>2864</v>
      </c>
      <c r="B7750" s="155" t="s">
        <v>2865</v>
      </c>
      <c r="C7750" s="148" t="s">
        <v>59</v>
      </c>
      <c r="D7750" s="156" t="s">
        <v>31</v>
      </c>
      <c r="E7750" s="154" t="n">
        <v>1</v>
      </c>
      <c r="F7750" s="149" t="n">
        <f aca="false">IF(C7750="MAT.",VLOOKUP(A7750,INSUMOS_AUX!$A$3:$H$813,6,0),0)</f>
        <v>0</v>
      </c>
      <c r="G7750" s="149" t="n">
        <f aca="false">IF(C7750="M.O.",VLOOKUP(A7750,INSUMOS_AUX!A:F,6,0),0)</f>
        <v>0</v>
      </c>
    </row>
    <row r="7751" customFormat="false" ht="15" hidden="false" customHeight="false" outlineLevel="0" collapsed="false">
      <c r="A7751" s="154" t="n">
        <v>247</v>
      </c>
      <c r="B7751" s="155" t="s">
        <v>1554</v>
      </c>
      <c r="C7751" s="148" t="str">
        <f aca="false">VLOOKUP($A7751,INSUMOS_AUX!$A$3:$H$813,3,0)</f>
        <v>M.O.</v>
      </c>
      <c r="D7751" s="156" t="s">
        <v>1444</v>
      </c>
      <c r="E7751" s="154" t="n">
        <v>1.03732</v>
      </c>
      <c r="F7751" s="149" t="n">
        <f aca="false">IF(C7751="MAT.",VLOOKUP(A7751,INSUMOS_AUX!$A$3:$H$813,6,0),0)</f>
        <v>0</v>
      </c>
      <c r="G7751" s="149" t="n">
        <f aca="false">IF(C7751="M.O.",VLOOKUP(A7751,INSUMOS_AUX!A:F,6,0),0)</f>
        <v>13.26</v>
      </c>
    </row>
    <row r="7752" customFormat="false" ht="15" hidden="false" customHeight="false" outlineLevel="0" collapsed="false">
      <c r="A7752" s="154" t="n">
        <v>2436</v>
      </c>
      <c r="B7752" s="155" t="s">
        <v>1557</v>
      </c>
      <c r="C7752" s="148" t="str">
        <f aca="false">VLOOKUP($A7752,INSUMOS_AUX!$A$3:$H$813,3,0)</f>
        <v>M.O.</v>
      </c>
      <c r="D7752" s="156" t="s">
        <v>1444</v>
      </c>
      <c r="E7752" s="154" t="n">
        <v>1.03732</v>
      </c>
      <c r="F7752" s="149" t="n">
        <f aca="false">IF(C7752="MAT.",VLOOKUP(A7752,INSUMOS_AUX!$A$3:$H$813,6,0),0)</f>
        <v>0</v>
      </c>
      <c r="G7752" s="149" t="n">
        <f aca="false">IF(C7752="M.O.",VLOOKUP(A7752,INSUMOS_AUX!A:F,6,0),0)</f>
        <v>20.22</v>
      </c>
    </row>
    <row r="7753" customFormat="false" ht="31.5" hidden="false" customHeight="false" outlineLevel="0" collapsed="false">
      <c r="A7753" s="150" t="s">
        <v>1313</v>
      </c>
      <c r="B7753" s="151" t="s">
        <v>2866</v>
      </c>
      <c r="C7753" s="152" t="s">
        <v>59</v>
      </c>
      <c r="D7753" s="152" t="s">
        <v>31</v>
      </c>
      <c r="E7753" s="150"/>
      <c r="F7753" s="153" t="n">
        <f aca="false">(SUMPRODUCT($E7754:$E7762,F7754:F7762))*1</f>
        <v>2887.74666666667</v>
      </c>
      <c r="G7753" s="153" t="n">
        <f aca="false">(SUMPRODUCT($E7754:$E7762,G7754:G7762))*1</f>
        <v>20.9746104</v>
      </c>
    </row>
    <row r="7754" customFormat="false" ht="21" hidden="false" customHeight="false" outlineLevel="0" collapsed="false">
      <c r="A7754" s="154" t="n">
        <v>37370</v>
      </c>
      <c r="B7754" s="155" t="s">
        <v>1443</v>
      </c>
      <c r="C7754" s="148" t="str">
        <f aca="false">VLOOKUP($A7754,INSUMOS_AUX!$A$3:$H$813,3,0)</f>
        <v>MAT.</v>
      </c>
      <c r="D7754" s="156" t="s">
        <v>1444</v>
      </c>
      <c r="E7754" s="154" t="n">
        <v>2</v>
      </c>
      <c r="F7754" s="149" t="n">
        <f aca="false">IF(C7754="MAT.",VLOOKUP(A7754,INSUMOS_AUX!$A$3:$H$813,6,0),0)</f>
        <v>3.32</v>
      </c>
      <c r="G7754" s="149" t="n">
        <f aca="false">IF(C7754="M.O.",VLOOKUP(A7754,INSUMOS_AUX!A:F,6,0),0)</f>
        <v>0</v>
      </c>
    </row>
    <row r="7755" customFormat="false" ht="21" hidden="false" customHeight="false" outlineLevel="0" collapsed="false">
      <c r="A7755" s="154" t="n">
        <v>43484</v>
      </c>
      <c r="B7755" s="155" t="s">
        <v>1523</v>
      </c>
      <c r="C7755" s="148" t="str">
        <f aca="false">VLOOKUP($A7755,INSUMOS_AUX!$A$3:$H$813,3,0)</f>
        <v>MAT.</v>
      </c>
      <c r="D7755" s="156" t="s">
        <v>1444</v>
      </c>
      <c r="E7755" s="154" t="n">
        <v>2</v>
      </c>
      <c r="F7755" s="149" t="n">
        <f aca="false">IF(C7755="MAT.",VLOOKUP(A7755,INSUMOS_AUX!$A$3:$H$813,6,0),0)</f>
        <v>1.26</v>
      </c>
      <c r="G7755" s="149" t="n">
        <f aca="false">IF(C7755="M.O.",VLOOKUP(A7755,INSUMOS_AUX!A:F,6,0),0)</f>
        <v>0</v>
      </c>
    </row>
    <row r="7756" customFormat="false" ht="21" hidden="false" customHeight="false" outlineLevel="0" collapsed="false">
      <c r="A7756" s="154" t="n">
        <v>37372</v>
      </c>
      <c r="B7756" s="155" t="s">
        <v>1446</v>
      </c>
      <c r="C7756" s="148" t="str">
        <f aca="false">VLOOKUP($A7756,INSUMOS_AUX!$A$3:$H$813,3,0)</f>
        <v>MAT.</v>
      </c>
      <c r="D7756" s="156" t="s">
        <v>1444</v>
      </c>
      <c r="E7756" s="154" t="n">
        <v>2</v>
      </c>
      <c r="F7756" s="149" t="n">
        <f aca="false">IF(C7756="MAT.",VLOOKUP(A7756,INSUMOS_AUX!$A$3:$H$813,6,0),0)</f>
        <v>1.43</v>
      </c>
      <c r="G7756" s="149" t="n">
        <f aca="false">IF(C7756="M.O.",VLOOKUP(A7756,INSUMOS_AUX!A:F,6,0),0)</f>
        <v>0</v>
      </c>
    </row>
    <row r="7757" customFormat="false" ht="21" hidden="false" customHeight="false" outlineLevel="0" collapsed="false">
      <c r="A7757" s="154" t="n">
        <v>43460</v>
      </c>
      <c r="B7757" s="155" t="s">
        <v>1524</v>
      </c>
      <c r="C7757" s="148" t="str">
        <f aca="false">VLOOKUP($A7757,INSUMOS_AUX!$A$3:$H$813,3,0)</f>
        <v>MAT.</v>
      </c>
      <c r="D7757" s="156" t="s">
        <v>1444</v>
      </c>
      <c r="E7757" s="154" t="n">
        <v>2</v>
      </c>
      <c r="F7757" s="149" t="n">
        <f aca="false">IF(C7757="MAT.",VLOOKUP(A7757,INSUMOS_AUX!$A$3:$H$813,6,0),0)</f>
        <v>0.86</v>
      </c>
      <c r="G7757" s="149" t="n">
        <f aca="false">IF(C7757="M.O.",VLOOKUP(A7757,INSUMOS_AUX!A:F,6,0),0)</f>
        <v>0</v>
      </c>
    </row>
    <row r="7758" customFormat="false" ht="21" hidden="false" customHeight="false" outlineLevel="0" collapsed="false">
      <c r="A7758" s="154" t="n">
        <v>37373</v>
      </c>
      <c r="B7758" s="155" t="s">
        <v>1448</v>
      </c>
      <c r="C7758" s="148" t="str">
        <f aca="false">VLOOKUP($A7758,INSUMOS_AUX!$A$3:$H$813,3,0)</f>
        <v>MAT.</v>
      </c>
      <c r="D7758" s="156" t="s">
        <v>1444</v>
      </c>
      <c r="E7758" s="154" t="n">
        <v>2</v>
      </c>
      <c r="F7758" s="149" t="n">
        <f aca="false">IF(C7758="MAT.",VLOOKUP(A7758,INSUMOS_AUX!$A$3:$H$813,6,0),0)</f>
        <v>0.08</v>
      </c>
      <c r="G7758" s="149" t="n">
        <f aca="false">IF(C7758="M.O.",VLOOKUP(A7758,INSUMOS_AUX!A:F,6,0),0)</f>
        <v>0</v>
      </c>
    </row>
    <row r="7759" customFormat="false" ht="21" hidden="false" customHeight="false" outlineLevel="0" collapsed="false">
      <c r="A7759" s="154" t="n">
        <v>37371</v>
      </c>
      <c r="B7759" s="155" t="s">
        <v>1449</v>
      </c>
      <c r="C7759" s="148" t="str">
        <f aca="false">VLOOKUP($A7759,INSUMOS_AUX!$A$3:$H$813,3,0)</f>
        <v>MAT.</v>
      </c>
      <c r="D7759" s="156" t="s">
        <v>1444</v>
      </c>
      <c r="E7759" s="154" t="n">
        <v>2</v>
      </c>
      <c r="F7759" s="149" t="n">
        <f aca="false">IF(C7759="MAT.",VLOOKUP(A7759,INSUMOS_AUX!$A$3:$H$813,6,0),0)</f>
        <v>0.59</v>
      </c>
      <c r="G7759" s="149" t="n">
        <f aca="false">IF(C7759="M.O.",VLOOKUP(A7759,INSUMOS_AUX!A:F,6,0),0)</f>
        <v>0</v>
      </c>
    </row>
    <row r="7760" customFormat="false" ht="15" hidden="false" customHeight="false" outlineLevel="0" collapsed="false">
      <c r="A7760" s="154" t="s">
        <v>2867</v>
      </c>
      <c r="B7760" s="155" t="s">
        <v>2868</v>
      </c>
      <c r="C7760" s="148" t="str">
        <f aca="false">VLOOKUP($A7760,INSUMOS_AUX!$A$3:$H$813,3,0)</f>
        <v>MAT.</v>
      </c>
      <c r="D7760" s="156" t="s">
        <v>31</v>
      </c>
      <c r="E7760" s="154" t="n">
        <v>1</v>
      </c>
      <c r="F7760" s="149" t="n">
        <f aca="false">IF(C7760="MAT.",VLOOKUP(A7760,INSUMOS_AUX!$A$3:$H$813,6,0),0)</f>
        <v>2872.66666666667</v>
      </c>
      <c r="G7760" s="149" t="n">
        <f aca="false">IF(C7760="M.O.",VLOOKUP(A7760,INSUMOS_AUX!A:F,6,0),0)</f>
        <v>0</v>
      </c>
    </row>
    <row r="7761" customFormat="false" ht="15" hidden="false" customHeight="false" outlineLevel="0" collapsed="false">
      <c r="A7761" s="154" t="n">
        <v>247</v>
      </c>
      <c r="B7761" s="155" t="s">
        <v>1554</v>
      </c>
      <c r="C7761" s="148" t="s">
        <v>59</v>
      </c>
      <c r="D7761" s="156" t="s">
        <v>1444</v>
      </c>
      <c r="E7761" s="154" t="n">
        <v>1.03732</v>
      </c>
      <c r="F7761" s="149" t="n">
        <f aca="false">IF(C7761="MAT.",VLOOKUP(A7761,INSUMOS_AUX!$A$3:$H$813,6,0),0)</f>
        <v>0</v>
      </c>
      <c r="G7761" s="149" t="n">
        <f aca="false">IF(C7761="M.O.",VLOOKUP(A7761,INSUMOS_AUX!A:F,6,0),0)</f>
        <v>0</v>
      </c>
    </row>
    <row r="7762" customFormat="false" ht="15" hidden="false" customHeight="false" outlineLevel="0" collapsed="false">
      <c r="A7762" s="154" t="n">
        <v>2436</v>
      </c>
      <c r="B7762" s="155" t="s">
        <v>1557</v>
      </c>
      <c r="C7762" s="148" t="str">
        <f aca="false">VLOOKUP($A7762,INSUMOS_AUX!$A$3:$H$813,3,0)</f>
        <v>M.O.</v>
      </c>
      <c r="D7762" s="156" t="s">
        <v>1444</v>
      </c>
      <c r="E7762" s="154" t="n">
        <v>1.03732</v>
      </c>
      <c r="F7762" s="149" t="n">
        <f aca="false">IF(C7762="MAT.",VLOOKUP(A7762,INSUMOS_AUX!$A$3:$H$813,6,0),0)</f>
        <v>0</v>
      </c>
      <c r="G7762" s="149" t="n">
        <f aca="false">IF(C7762="M.O.",VLOOKUP(A7762,INSUMOS_AUX!A:F,6,0),0)</f>
        <v>20.22</v>
      </c>
    </row>
    <row r="7763" customFormat="false" ht="21" hidden="false" customHeight="false" outlineLevel="0" collapsed="false">
      <c r="A7763" s="150" t="s">
        <v>1317</v>
      </c>
      <c r="B7763" s="151" t="s">
        <v>2869</v>
      </c>
      <c r="C7763" s="152" t="s">
        <v>59</v>
      </c>
      <c r="D7763" s="152" t="s">
        <v>1455</v>
      </c>
      <c r="E7763" s="150"/>
      <c r="F7763" s="153" t="n">
        <f aca="false">(SUMPRODUCT($E7764:$E7777,F7764:F7777))*1</f>
        <v>21.165847</v>
      </c>
      <c r="G7763" s="153" t="n">
        <f aca="false">(SUMPRODUCT($E7764:$E7777,G7764:G7777))*1</f>
        <v>20.94070834653</v>
      </c>
    </row>
    <row r="7764" customFormat="false" ht="21" hidden="false" customHeight="false" outlineLevel="0" collapsed="false">
      <c r="A7764" s="154" t="n">
        <v>37370</v>
      </c>
      <c r="B7764" s="155" t="s">
        <v>1443</v>
      </c>
      <c r="C7764" s="148" t="str">
        <f aca="false">VLOOKUP($A7764,INSUMOS_AUX!$A$3:$H$813,3,0)</f>
        <v>MAT.</v>
      </c>
      <c r="D7764" s="156" t="s">
        <v>1444</v>
      </c>
      <c r="E7764" s="154" t="n">
        <v>1.173</v>
      </c>
      <c r="F7764" s="149" t="n">
        <f aca="false">IF(C7764="MAT.",VLOOKUP(A7764,INSUMOS_AUX!$A$3:$H$813,6,0),0)</f>
        <v>3.32</v>
      </c>
      <c r="G7764" s="149" t="n">
        <f aca="false">IF(C7764="M.O.",VLOOKUP(A7764,INSUMOS_AUX!A:F,6,0),0)</f>
        <v>0</v>
      </c>
    </row>
    <row r="7765" customFormat="false" ht="21" hidden="false" customHeight="false" outlineLevel="0" collapsed="false">
      <c r="A7765" s="154" t="n">
        <v>43484</v>
      </c>
      <c r="B7765" s="155" t="s">
        <v>1523</v>
      </c>
      <c r="C7765" s="148" t="str">
        <f aca="false">VLOOKUP($A7765,INSUMOS_AUX!$A$3:$H$813,3,0)</f>
        <v>MAT.</v>
      </c>
      <c r="D7765" s="156" t="s">
        <v>1444</v>
      </c>
      <c r="E7765" s="154" t="n">
        <v>0.8531</v>
      </c>
      <c r="F7765" s="149" t="n">
        <f aca="false">IF(C7765="MAT.",VLOOKUP(A7765,INSUMOS_AUX!$A$3:$H$813,6,0),0)</f>
        <v>1.26</v>
      </c>
      <c r="G7765" s="149" t="n">
        <f aca="false">IF(C7765="M.O.",VLOOKUP(A7765,INSUMOS_AUX!A:F,6,0),0)</f>
        <v>0</v>
      </c>
    </row>
    <row r="7766" customFormat="false" ht="21" hidden="false" customHeight="false" outlineLevel="0" collapsed="false">
      <c r="A7766" s="154" t="n">
        <v>43491</v>
      </c>
      <c r="B7766" s="155" t="s">
        <v>1457</v>
      </c>
      <c r="C7766" s="148" t="str">
        <f aca="false">VLOOKUP($A7766,INSUMOS_AUX!$A$3:$H$813,3,0)</f>
        <v>MAT.</v>
      </c>
      <c r="D7766" s="156" t="s">
        <v>1444</v>
      </c>
      <c r="E7766" s="154" t="n">
        <v>0.3199</v>
      </c>
      <c r="F7766" s="149" t="n">
        <f aca="false">IF(C7766="MAT.",VLOOKUP(A7766,INSUMOS_AUX!$A$3:$H$813,6,0),0)</f>
        <v>1.39</v>
      </c>
      <c r="G7766" s="149" t="n">
        <f aca="false">IF(C7766="M.O.",VLOOKUP(A7766,INSUMOS_AUX!A:F,6,0),0)</f>
        <v>0</v>
      </c>
    </row>
    <row r="7767" customFormat="false" ht="21" hidden="false" customHeight="false" outlineLevel="0" collapsed="false">
      <c r="A7767" s="154" t="n">
        <v>37372</v>
      </c>
      <c r="B7767" s="155" t="s">
        <v>1446</v>
      </c>
      <c r="C7767" s="148" t="str">
        <f aca="false">VLOOKUP($A7767,INSUMOS_AUX!$A$3:$H$813,3,0)</f>
        <v>MAT.</v>
      </c>
      <c r="D7767" s="156" t="s">
        <v>1444</v>
      </c>
      <c r="E7767" s="154" t="n">
        <v>1.173</v>
      </c>
      <c r="F7767" s="149" t="n">
        <f aca="false">IF(C7767="MAT.",VLOOKUP(A7767,INSUMOS_AUX!$A$3:$H$813,6,0),0)</f>
        <v>1.43</v>
      </c>
      <c r="G7767" s="149" t="n">
        <f aca="false">IF(C7767="M.O.",VLOOKUP(A7767,INSUMOS_AUX!A:F,6,0),0)</f>
        <v>0</v>
      </c>
    </row>
    <row r="7768" customFormat="false" ht="21" hidden="false" customHeight="false" outlineLevel="0" collapsed="false">
      <c r="A7768" s="154" t="n">
        <v>43460</v>
      </c>
      <c r="B7768" s="155" t="s">
        <v>1524</v>
      </c>
      <c r="C7768" s="148" t="str">
        <f aca="false">VLOOKUP($A7768,INSUMOS_AUX!$A$3:$H$813,3,0)</f>
        <v>MAT.</v>
      </c>
      <c r="D7768" s="156" t="s">
        <v>1444</v>
      </c>
      <c r="E7768" s="154" t="n">
        <v>0.8531</v>
      </c>
      <c r="F7768" s="149" t="n">
        <f aca="false">IF(C7768="MAT.",VLOOKUP(A7768,INSUMOS_AUX!$A$3:$H$813,6,0),0)</f>
        <v>0.86</v>
      </c>
      <c r="G7768" s="149" t="n">
        <f aca="false">IF(C7768="M.O.",VLOOKUP(A7768,INSUMOS_AUX!A:F,6,0),0)</f>
        <v>0</v>
      </c>
    </row>
    <row r="7769" customFormat="false" ht="21" hidden="false" customHeight="false" outlineLevel="0" collapsed="false">
      <c r="A7769" s="154" t="n">
        <v>43467</v>
      </c>
      <c r="B7769" s="155" t="s">
        <v>1459</v>
      </c>
      <c r="C7769" s="148" t="str">
        <f aca="false">VLOOKUP($A7769,INSUMOS_AUX!$A$3:$H$813,3,0)</f>
        <v>MAT.</v>
      </c>
      <c r="D7769" s="156" t="s">
        <v>1444</v>
      </c>
      <c r="E7769" s="154" t="n">
        <v>0.3199</v>
      </c>
      <c r="F7769" s="149" t="n">
        <f aca="false">IF(C7769="MAT.",VLOOKUP(A7769,INSUMOS_AUX!$A$3:$H$813,6,0),0)</f>
        <v>0.61</v>
      </c>
      <c r="G7769" s="149" t="n">
        <f aca="false">IF(C7769="M.O.",VLOOKUP(A7769,INSUMOS_AUX!A:F,6,0),0)</f>
        <v>0</v>
      </c>
    </row>
    <row r="7770" customFormat="false" ht="21" hidden="false" customHeight="false" outlineLevel="0" collapsed="false">
      <c r="A7770" s="154" t="n">
        <v>37373</v>
      </c>
      <c r="B7770" s="155" t="s">
        <v>1448</v>
      </c>
      <c r="C7770" s="148" t="str">
        <f aca="false">VLOOKUP($A7770,INSUMOS_AUX!$A$3:$H$813,3,0)</f>
        <v>MAT.</v>
      </c>
      <c r="D7770" s="156" t="s">
        <v>1444</v>
      </c>
      <c r="E7770" s="154" t="n">
        <v>1.173</v>
      </c>
      <c r="F7770" s="149" t="n">
        <f aca="false">IF(C7770="MAT.",VLOOKUP(A7770,INSUMOS_AUX!$A$3:$H$813,6,0),0)</f>
        <v>0.08</v>
      </c>
      <c r="G7770" s="149" t="n">
        <f aca="false">IF(C7770="M.O.",VLOOKUP(A7770,INSUMOS_AUX!A:F,6,0),0)</f>
        <v>0</v>
      </c>
    </row>
    <row r="7771" customFormat="false" ht="21" hidden="false" customHeight="false" outlineLevel="0" collapsed="false">
      <c r="A7771" s="154" t="n">
        <v>37371</v>
      </c>
      <c r="B7771" s="155" t="s">
        <v>1449</v>
      </c>
      <c r="C7771" s="148" t="str">
        <f aca="false">VLOOKUP($A7771,INSUMOS_AUX!$A$3:$H$813,3,0)</f>
        <v>MAT.</v>
      </c>
      <c r="D7771" s="156" t="s">
        <v>1444</v>
      </c>
      <c r="E7771" s="154" t="n">
        <v>1.173</v>
      </c>
      <c r="F7771" s="149" t="n">
        <f aca="false">IF(C7771="MAT.",VLOOKUP(A7771,INSUMOS_AUX!$A$3:$H$813,6,0),0)</f>
        <v>0.59</v>
      </c>
      <c r="G7771" s="149" t="n">
        <f aca="false">IF(C7771="M.O.",VLOOKUP(A7771,INSUMOS_AUX!A:F,6,0),0)</f>
        <v>0</v>
      </c>
    </row>
    <row r="7772" customFormat="false" ht="31.5" hidden="false" customHeight="false" outlineLevel="0" collapsed="false">
      <c r="A7772" s="154" t="n">
        <v>4350</v>
      </c>
      <c r="B7772" s="155" t="s">
        <v>2668</v>
      </c>
      <c r="C7772" s="148" t="s">
        <v>59</v>
      </c>
      <c r="D7772" s="156" t="s">
        <v>31</v>
      </c>
      <c r="E7772" s="154" t="n">
        <v>2.5926</v>
      </c>
      <c r="F7772" s="149" t="n">
        <f aca="false">IF(C7772="MAT.",VLOOKUP(A7772,INSUMOS_AUX!$A$3:$H$813,6,0),0)</f>
        <v>0</v>
      </c>
      <c r="G7772" s="149" t="n">
        <f aca="false">IF(C7772="M.O.",VLOOKUP(A7772,INSUMOS_AUX!A:F,6,0),0)</f>
        <v>0</v>
      </c>
    </row>
    <row r="7773" customFormat="false" ht="15" hidden="false" customHeight="false" outlineLevel="0" collapsed="false">
      <c r="A7773" s="154" t="s">
        <v>2870</v>
      </c>
      <c r="B7773" s="155" t="s">
        <v>2871</v>
      </c>
      <c r="C7773" s="148" t="str">
        <f aca="false">VLOOKUP($A7773,INSUMOS_AUX!$A$3:$H$813,3,0)</f>
        <v>MAT.</v>
      </c>
      <c r="D7773" s="156" t="s">
        <v>1455</v>
      </c>
      <c r="E7773" s="154" t="n">
        <v>1.05</v>
      </c>
      <c r="F7773" s="149" t="n">
        <f aca="false">IF(C7773="MAT.",VLOOKUP(A7773,INSUMOS_AUX!$A$3:$H$813,6,0),0)</f>
        <v>10.6843333333333</v>
      </c>
      <c r="G7773" s="149" t="n">
        <f aca="false">IF(C7773="M.O.",VLOOKUP(A7773,INSUMOS_AUX!A:F,6,0),0)</f>
        <v>0</v>
      </c>
    </row>
    <row r="7774" customFormat="false" ht="21" hidden="false" customHeight="false" outlineLevel="0" collapsed="false">
      <c r="A7774" s="154" t="n">
        <v>14153</v>
      </c>
      <c r="B7774" s="155" t="s">
        <v>2872</v>
      </c>
      <c r="C7774" s="148" t="str">
        <f aca="false">VLOOKUP($A7774,INSUMOS_AUX!$A$3:$H$813,3,0)</f>
        <v>MAT.</v>
      </c>
      <c r="D7774" s="156" t="s">
        <v>31</v>
      </c>
      <c r="E7774" s="154" t="n">
        <v>0.0185</v>
      </c>
      <c r="F7774" s="149" t="n">
        <f aca="false">IF(C7774="MAT.",VLOOKUP(A7774,INSUMOS_AUX!$A$3:$H$813,6,0),0)</f>
        <v>61.69</v>
      </c>
      <c r="G7774" s="149" t="n">
        <f aca="false">IF(C7774="M.O.",VLOOKUP(A7774,INSUMOS_AUX!A:F,6,0),0)</f>
        <v>0</v>
      </c>
    </row>
    <row r="7775" customFormat="false" ht="15" hidden="false" customHeight="false" outlineLevel="0" collapsed="false">
      <c r="A7775" s="154" t="n">
        <v>242</v>
      </c>
      <c r="B7775" s="155" t="s">
        <v>1660</v>
      </c>
      <c r="C7775" s="148" t="str">
        <f aca="false">VLOOKUP($A7775,INSUMOS_AUX!$A$3:$H$813,3,0)</f>
        <v>M.O.</v>
      </c>
      <c r="D7775" s="156" t="s">
        <v>1444</v>
      </c>
      <c r="E7775" s="154" t="n">
        <v>0.32359164</v>
      </c>
      <c r="F7775" s="149" t="n">
        <f aca="false">IF(C7775="MAT.",VLOOKUP(A7775,INSUMOS_AUX!$A$3:$H$813,6,0),0)</f>
        <v>0</v>
      </c>
      <c r="G7775" s="149" t="n">
        <f aca="false">IF(C7775="M.O.",VLOOKUP(A7775,INSUMOS_AUX!A:F,6,0),0)</f>
        <v>13.61</v>
      </c>
    </row>
    <row r="7776" customFormat="false" ht="15" hidden="false" customHeight="false" outlineLevel="0" collapsed="false">
      <c r="A7776" s="154" t="n">
        <v>34794</v>
      </c>
      <c r="B7776" s="155" t="s">
        <v>2764</v>
      </c>
      <c r="C7776" s="148" t="str">
        <f aca="false">VLOOKUP($A7776,INSUMOS_AUX!$A$3:$H$813,3,0)</f>
        <v>M.O.</v>
      </c>
      <c r="D7776" s="156" t="s">
        <v>1444</v>
      </c>
      <c r="E7776" s="154" t="n">
        <v>0.7090785</v>
      </c>
      <c r="F7776" s="149" t="n">
        <f aca="false">IF(C7776="MAT.",VLOOKUP(A7776,INSUMOS_AUX!$A$3:$H$813,6,0),0)</f>
        <v>0</v>
      </c>
      <c r="G7776" s="149" t="n">
        <f aca="false">IF(C7776="M.O.",VLOOKUP(A7776,INSUMOS_AUX!A:F,6,0),0)</f>
        <v>20.17</v>
      </c>
    </row>
    <row r="7777" customFormat="false" ht="15" hidden="false" customHeight="false" outlineLevel="0" collapsed="false">
      <c r="A7777" s="154" t="n">
        <v>2437</v>
      </c>
      <c r="B7777" s="155" t="s">
        <v>2873</v>
      </c>
      <c r="C7777" s="148" t="str">
        <f aca="false">VLOOKUP($A7777,INSUMOS_AUX!$A$3:$H$813,3,0)</f>
        <v>M.O.</v>
      </c>
      <c r="D7777" s="156" t="s">
        <v>1444</v>
      </c>
      <c r="E7777" s="154" t="n">
        <v>0.168134897</v>
      </c>
      <c r="F7777" s="149" t="n">
        <f aca="false">IF(C7777="MAT.",VLOOKUP(A7777,INSUMOS_AUX!$A$3:$H$813,6,0),0)</f>
        <v>0</v>
      </c>
      <c r="G7777" s="149" t="n">
        <f aca="false">IF(C7777="M.O.",VLOOKUP(A7777,INSUMOS_AUX!A:F,6,0),0)</f>
        <v>13.29</v>
      </c>
    </row>
    <row r="7778" customFormat="false" ht="21" hidden="false" customHeight="false" outlineLevel="0" collapsed="false">
      <c r="A7778" s="150" t="s">
        <v>1319</v>
      </c>
      <c r="B7778" s="151" t="s">
        <v>2874</v>
      </c>
      <c r="C7778" s="152" t="s">
        <v>59</v>
      </c>
      <c r="D7778" s="152" t="s">
        <v>1455</v>
      </c>
      <c r="E7778" s="150"/>
      <c r="F7778" s="153" t="n">
        <f aca="false">(SUMPRODUCT($E7779:$E7792,F7779:F7792))*1</f>
        <v>28.670657</v>
      </c>
      <c r="G7778" s="153" t="n">
        <f aca="false">(SUMPRODUCT($E7779:$E7792,G7779:G7792))*1</f>
        <v>22.67389629136</v>
      </c>
    </row>
    <row r="7779" customFormat="false" ht="21" hidden="false" customHeight="false" outlineLevel="0" collapsed="false">
      <c r="A7779" s="154" t="n">
        <v>37370</v>
      </c>
      <c r="B7779" s="155" t="s">
        <v>1443</v>
      </c>
      <c r="C7779" s="148" t="str">
        <f aca="false">VLOOKUP($A7779,INSUMOS_AUX!$A$3:$H$813,3,0)</f>
        <v>MAT.</v>
      </c>
      <c r="D7779" s="156" t="s">
        <v>1444</v>
      </c>
      <c r="E7779" s="154" t="n">
        <v>1.2992</v>
      </c>
      <c r="F7779" s="149" t="n">
        <f aca="false">IF(C7779="MAT.",VLOOKUP(A7779,INSUMOS_AUX!$A$3:$H$813,6,0),0)</f>
        <v>3.32</v>
      </c>
      <c r="G7779" s="149" t="n">
        <f aca="false">IF(C7779="M.O.",VLOOKUP(A7779,INSUMOS_AUX!A:F,6,0),0)</f>
        <v>0</v>
      </c>
    </row>
    <row r="7780" customFormat="false" ht="21" hidden="false" customHeight="false" outlineLevel="0" collapsed="false">
      <c r="A7780" s="154" t="n">
        <v>43484</v>
      </c>
      <c r="B7780" s="155" t="s">
        <v>1523</v>
      </c>
      <c r="C7780" s="148" t="str">
        <f aca="false">VLOOKUP($A7780,INSUMOS_AUX!$A$3:$H$813,3,0)</f>
        <v>MAT.</v>
      </c>
      <c r="D7780" s="156" t="s">
        <v>1444</v>
      </c>
      <c r="E7780" s="154" t="n">
        <v>0.9162</v>
      </c>
      <c r="F7780" s="149" t="n">
        <f aca="false">IF(C7780="MAT.",VLOOKUP(A7780,INSUMOS_AUX!$A$3:$H$813,6,0),0)</f>
        <v>1.26</v>
      </c>
      <c r="G7780" s="149" t="n">
        <f aca="false">IF(C7780="M.O.",VLOOKUP(A7780,INSUMOS_AUX!A:F,6,0),0)</f>
        <v>0</v>
      </c>
    </row>
    <row r="7781" customFormat="false" ht="21" hidden="false" customHeight="false" outlineLevel="0" collapsed="false">
      <c r="A7781" s="154" t="n">
        <v>43491</v>
      </c>
      <c r="B7781" s="155" t="s">
        <v>1457</v>
      </c>
      <c r="C7781" s="148" t="str">
        <f aca="false">VLOOKUP($A7781,INSUMOS_AUX!$A$3:$H$813,3,0)</f>
        <v>MAT.</v>
      </c>
      <c r="D7781" s="156" t="s">
        <v>1444</v>
      </c>
      <c r="E7781" s="154" t="n">
        <v>0.383</v>
      </c>
      <c r="F7781" s="149" t="n">
        <f aca="false">IF(C7781="MAT.",VLOOKUP(A7781,INSUMOS_AUX!$A$3:$H$813,6,0),0)</f>
        <v>1.39</v>
      </c>
      <c r="G7781" s="149" t="n">
        <f aca="false">IF(C7781="M.O.",VLOOKUP(A7781,INSUMOS_AUX!A:F,6,0),0)</f>
        <v>0</v>
      </c>
    </row>
    <row r="7782" customFormat="false" ht="21" hidden="false" customHeight="false" outlineLevel="0" collapsed="false">
      <c r="A7782" s="154" t="n">
        <v>37372</v>
      </c>
      <c r="B7782" s="155" t="s">
        <v>1446</v>
      </c>
      <c r="C7782" s="148" t="str">
        <f aca="false">VLOOKUP($A7782,INSUMOS_AUX!$A$3:$H$813,3,0)</f>
        <v>MAT.</v>
      </c>
      <c r="D7782" s="156" t="s">
        <v>1444</v>
      </c>
      <c r="E7782" s="154" t="n">
        <v>1.2992</v>
      </c>
      <c r="F7782" s="149" t="n">
        <f aca="false">IF(C7782="MAT.",VLOOKUP(A7782,INSUMOS_AUX!$A$3:$H$813,6,0),0)</f>
        <v>1.43</v>
      </c>
      <c r="G7782" s="149" t="n">
        <f aca="false">IF(C7782="M.O.",VLOOKUP(A7782,INSUMOS_AUX!A:F,6,0),0)</f>
        <v>0</v>
      </c>
    </row>
    <row r="7783" customFormat="false" ht="21" hidden="false" customHeight="false" outlineLevel="0" collapsed="false">
      <c r="A7783" s="154" t="n">
        <v>43460</v>
      </c>
      <c r="B7783" s="155" t="s">
        <v>1524</v>
      </c>
      <c r="C7783" s="148" t="str">
        <f aca="false">VLOOKUP($A7783,INSUMOS_AUX!$A$3:$H$813,3,0)</f>
        <v>MAT.</v>
      </c>
      <c r="D7783" s="156" t="s">
        <v>1444</v>
      </c>
      <c r="E7783" s="154" t="n">
        <v>0.9162</v>
      </c>
      <c r="F7783" s="149" t="n">
        <f aca="false">IF(C7783="MAT.",VLOOKUP(A7783,INSUMOS_AUX!$A$3:$H$813,6,0),0)</f>
        <v>0.86</v>
      </c>
      <c r="G7783" s="149" t="n">
        <f aca="false">IF(C7783="M.O.",VLOOKUP(A7783,INSUMOS_AUX!A:F,6,0),0)</f>
        <v>0</v>
      </c>
    </row>
    <row r="7784" customFormat="false" ht="21" hidden="false" customHeight="false" outlineLevel="0" collapsed="false">
      <c r="A7784" s="154" t="n">
        <v>43467</v>
      </c>
      <c r="B7784" s="155" t="s">
        <v>1459</v>
      </c>
      <c r="C7784" s="148" t="str">
        <f aca="false">VLOOKUP($A7784,INSUMOS_AUX!$A$3:$H$813,3,0)</f>
        <v>MAT.</v>
      </c>
      <c r="D7784" s="156" t="s">
        <v>1444</v>
      </c>
      <c r="E7784" s="154" t="n">
        <v>0.383</v>
      </c>
      <c r="F7784" s="149" t="n">
        <f aca="false">IF(C7784="MAT.",VLOOKUP(A7784,INSUMOS_AUX!$A$3:$H$813,6,0),0)</f>
        <v>0.61</v>
      </c>
      <c r="G7784" s="149" t="n">
        <f aca="false">IF(C7784="M.O.",VLOOKUP(A7784,INSUMOS_AUX!A:F,6,0),0)</f>
        <v>0</v>
      </c>
    </row>
    <row r="7785" customFormat="false" ht="21" hidden="false" customHeight="false" outlineLevel="0" collapsed="false">
      <c r="A7785" s="154" t="n">
        <v>37373</v>
      </c>
      <c r="B7785" s="155" t="s">
        <v>1448</v>
      </c>
      <c r="C7785" s="148" t="s">
        <v>59</v>
      </c>
      <c r="D7785" s="156" t="s">
        <v>1444</v>
      </c>
      <c r="E7785" s="154" t="n">
        <v>1.2992</v>
      </c>
      <c r="F7785" s="149" t="n">
        <f aca="false">IF(C7785="MAT.",VLOOKUP(A7785,INSUMOS_AUX!$A$3:$H$813,6,0),0)</f>
        <v>0</v>
      </c>
      <c r="G7785" s="149" t="n">
        <f aca="false">IF(C7785="M.O.",VLOOKUP(A7785,INSUMOS_AUX!A:F,6,0),0)</f>
        <v>0</v>
      </c>
    </row>
    <row r="7786" customFormat="false" ht="21" hidden="false" customHeight="false" outlineLevel="0" collapsed="false">
      <c r="A7786" s="154" t="n">
        <v>37371</v>
      </c>
      <c r="B7786" s="155" t="s">
        <v>1449</v>
      </c>
      <c r="C7786" s="148" t="str">
        <f aca="false">VLOOKUP($A7786,INSUMOS_AUX!$A$3:$H$813,3,0)</f>
        <v>MAT.</v>
      </c>
      <c r="D7786" s="156" t="s">
        <v>1444</v>
      </c>
      <c r="E7786" s="154" t="n">
        <v>1.2992</v>
      </c>
      <c r="F7786" s="149" t="n">
        <f aca="false">IF(C7786="MAT.",VLOOKUP(A7786,INSUMOS_AUX!$A$3:$H$813,6,0),0)</f>
        <v>0.59</v>
      </c>
      <c r="G7786" s="149" t="n">
        <f aca="false">IF(C7786="M.O.",VLOOKUP(A7786,INSUMOS_AUX!A:F,6,0),0)</f>
        <v>0</v>
      </c>
    </row>
    <row r="7787" customFormat="false" ht="31.5" hidden="false" customHeight="false" outlineLevel="0" collapsed="false">
      <c r="A7787" s="154" t="n">
        <v>4350</v>
      </c>
      <c r="B7787" s="155" t="s">
        <v>2668</v>
      </c>
      <c r="C7787" s="148" t="str">
        <f aca="false">VLOOKUP($A7787,INSUMOS_AUX!$A$3:$H$813,3,0)</f>
        <v>MAT.</v>
      </c>
      <c r="D7787" s="156" t="s">
        <v>31</v>
      </c>
      <c r="E7787" s="154" t="n">
        <v>2.5926</v>
      </c>
      <c r="F7787" s="149" t="n">
        <f aca="false">IF(C7787="MAT.",VLOOKUP(A7787,INSUMOS_AUX!$A$3:$H$813,6,0),0)</f>
        <v>0.7</v>
      </c>
      <c r="G7787" s="149" t="n">
        <f aca="false">IF(C7787="M.O.",VLOOKUP(A7787,INSUMOS_AUX!A:F,6,0),0)</f>
        <v>0</v>
      </c>
    </row>
    <row r="7788" customFormat="false" ht="15" hidden="false" customHeight="false" outlineLevel="0" collapsed="false">
      <c r="A7788" s="154" t="s">
        <v>2875</v>
      </c>
      <c r="B7788" s="155" t="s">
        <v>2876</v>
      </c>
      <c r="C7788" s="148" t="str">
        <f aca="false">VLOOKUP($A7788,INSUMOS_AUX!$A$3:$H$813,3,0)</f>
        <v>MAT.</v>
      </c>
      <c r="D7788" s="156" t="s">
        <v>1455</v>
      </c>
      <c r="E7788" s="154" t="n">
        <v>1.05</v>
      </c>
      <c r="F7788" s="149" t="n">
        <f aca="false">IF(C7788="MAT.",VLOOKUP(A7788,INSUMOS_AUX!$A$3:$H$813,6,0),0)</f>
        <v>15.3033333333333</v>
      </c>
      <c r="G7788" s="149" t="n">
        <f aca="false">IF(C7788="M.O.",VLOOKUP(A7788,INSUMOS_AUX!A:F,6,0),0)</f>
        <v>0</v>
      </c>
    </row>
    <row r="7789" customFormat="false" ht="21" hidden="false" customHeight="false" outlineLevel="0" collapsed="false">
      <c r="A7789" s="154" t="n">
        <v>14153</v>
      </c>
      <c r="B7789" s="155" t="s">
        <v>2872</v>
      </c>
      <c r="C7789" s="148" t="str">
        <f aca="false">VLOOKUP($A7789,INSUMOS_AUX!$A$3:$H$813,3,0)</f>
        <v>MAT.</v>
      </c>
      <c r="D7789" s="156" t="s">
        <v>31</v>
      </c>
      <c r="E7789" s="154" t="n">
        <v>0.0185</v>
      </c>
      <c r="F7789" s="149" t="n">
        <f aca="false">IF(C7789="MAT.",VLOOKUP(A7789,INSUMOS_AUX!$A$3:$H$813,6,0),0)</f>
        <v>61.69</v>
      </c>
      <c r="G7789" s="149" t="n">
        <f aca="false">IF(C7789="M.O.",VLOOKUP(A7789,INSUMOS_AUX!A:F,6,0),0)</f>
        <v>0</v>
      </c>
    </row>
    <row r="7790" customFormat="false" ht="15" hidden="false" customHeight="false" outlineLevel="0" collapsed="false">
      <c r="A7790" s="154" t="n">
        <v>242</v>
      </c>
      <c r="B7790" s="155" t="s">
        <v>1660</v>
      </c>
      <c r="C7790" s="148" t="str">
        <f aca="false">VLOOKUP($A7790,INSUMOS_AUX!$A$3:$H$813,3,0)</f>
        <v>M.O.</v>
      </c>
      <c r="D7790" s="156" t="s">
        <v>1444</v>
      </c>
      <c r="E7790" s="154" t="n">
        <v>0.38741981</v>
      </c>
      <c r="F7790" s="149" t="n">
        <f aca="false">IF(C7790="MAT.",VLOOKUP(A7790,INSUMOS_AUX!$A$3:$H$813,6,0),0)</f>
        <v>0</v>
      </c>
      <c r="G7790" s="149" t="n">
        <f aca="false">IF(C7790="M.O.",VLOOKUP(A7790,INSUMOS_AUX!A:F,6,0),0)</f>
        <v>13.61</v>
      </c>
    </row>
    <row r="7791" customFormat="false" ht="15" hidden="false" customHeight="false" outlineLevel="0" collapsed="false">
      <c r="A7791" s="154" t="n">
        <v>34794</v>
      </c>
      <c r="B7791" s="155" t="s">
        <v>2764</v>
      </c>
      <c r="C7791" s="148" t="str">
        <f aca="false">VLOOKUP($A7791,INSUMOS_AUX!$A$3:$H$813,3,0)</f>
        <v>M.O.</v>
      </c>
      <c r="D7791" s="156" t="s">
        <v>1444</v>
      </c>
      <c r="E7791" s="154" t="n">
        <v>0.7090785</v>
      </c>
      <c r="F7791" s="149" t="n">
        <f aca="false">IF(C7791="MAT.",VLOOKUP(A7791,INSUMOS_AUX!$A$3:$H$813,6,0),0)</f>
        <v>0</v>
      </c>
      <c r="G7791" s="149" t="n">
        <f aca="false">IF(C7791="M.O.",VLOOKUP(A7791,INSUMOS_AUX!A:F,6,0),0)</f>
        <v>20.17</v>
      </c>
    </row>
    <row r="7792" customFormat="false" ht="15" hidden="false" customHeight="false" outlineLevel="0" collapsed="false">
      <c r="A7792" s="154" t="n">
        <v>2437</v>
      </c>
      <c r="B7792" s="155" t="s">
        <v>2873</v>
      </c>
      <c r="C7792" s="148" t="str">
        <f aca="false">VLOOKUP($A7792,INSUMOS_AUX!$A$3:$H$813,3,0)</f>
        <v>M.O.</v>
      </c>
      <c r="D7792" s="156" t="s">
        <v>1444</v>
      </c>
      <c r="E7792" s="154" t="n">
        <v>0.233182794</v>
      </c>
      <c r="F7792" s="149" t="n">
        <f aca="false">IF(C7792="MAT.",VLOOKUP(A7792,INSUMOS_AUX!$A$3:$H$813,6,0),0)</f>
        <v>0</v>
      </c>
      <c r="G7792" s="149" t="n">
        <f aca="false">IF(C7792="M.O.",VLOOKUP(A7792,INSUMOS_AUX!A:F,6,0),0)</f>
        <v>13.29</v>
      </c>
    </row>
    <row r="7793" customFormat="false" ht="31.5" hidden="false" customHeight="false" outlineLevel="0" collapsed="false">
      <c r="A7793" s="150" t="s">
        <v>1321</v>
      </c>
      <c r="B7793" s="151" t="s">
        <v>2877</v>
      </c>
      <c r="C7793" s="152" t="s">
        <v>59</v>
      </c>
      <c r="D7793" s="152" t="s">
        <v>1477</v>
      </c>
      <c r="E7793" s="150"/>
      <c r="F7793" s="153" t="n">
        <f aca="false">(SUMPRODUCT($E7794:$E7805,F7794:F7805))*1</f>
        <v>119.203863</v>
      </c>
      <c r="G7793" s="153" t="n">
        <f aca="false">(SUMPRODUCT($E7794:$E7805,G7794:G7805))*1</f>
        <v>32.1306172524</v>
      </c>
    </row>
    <row r="7794" customFormat="false" ht="21" hidden="false" customHeight="false" outlineLevel="0" collapsed="false">
      <c r="A7794" s="154" t="n">
        <v>37370</v>
      </c>
      <c r="B7794" s="155" t="s">
        <v>1443</v>
      </c>
      <c r="C7794" s="148" t="str">
        <f aca="false">VLOOKUP($A7794,INSUMOS_AUX!$A$3:$H$813,3,0)</f>
        <v>MAT.</v>
      </c>
      <c r="D7794" s="156" t="s">
        <v>1444</v>
      </c>
      <c r="E7794" s="154" t="n">
        <v>1.7442</v>
      </c>
      <c r="F7794" s="149" t="n">
        <f aca="false">IF(C7794="MAT.",VLOOKUP(A7794,INSUMOS_AUX!$A$3:$H$813,6,0),0)</f>
        <v>3.32</v>
      </c>
      <c r="G7794" s="149" t="n">
        <f aca="false">IF(C7794="M.O.",VLOOKUP(A7794,INSUMOS_AUX!A:F,6,0),0)</f>
        <v>0</v>
      </c>
    </row>
    <row r="7795" customFormat="false" ht="21" hidden="false" customHeight="false" outlineLevel="0" collapsed="false">
      <c r="A7795" s="154" t="n">
        <v>43489</v>
      </c>
      <c r="B7795" s="155" t="s">
        <v>1456</v>
      </c>
      <c r="C7795" s="148" t="str">
        <f aca="false">VLOOKUP($A7795,INSUMOS_AUX!$A$3:$H$813,3,0)</f>
        <v>MAT.</v>
      </c>
      <c r="D7795" s="156" t="s">
        <v>1444</v>
      </c>
      <c r="E7795" s="154" t="n">
        <v>1.7442</v>
      </c>
      <c r="F7795" s="149" t="n">
        <f aca="false">IF(C7795="MAT.",VLOOKUP(A7795,INSUMOS_AUX!$A$3:$H$813,6,0),0)</f>
        <v>1.31</v>
      </c>
      <c r="G7795" s="149" t="n">
        <f aca="false">IF(C7795="M.O.",VLOOKUP(A7795,INSUMOS_AUX!A:F,6,0),0)</f>
        <v>0</v>
      </c>
    </row>
    <row r="7796" customFormat="false" ht="21" hidden="false" customHeight="false" outlineLevel="0" collapsed="false">
      <c r="A7796" s="154" t="n">
        <v>37372</v>
      </c>
      <c r="B7796" s="155" t="s">
        <v>1446</v>
      </c>
      <c r="C7796" s="148" t="str">
        <f aca="false">VLOOKUP($A7796,INSUMOS_AUX!$A$3:$H$813,3,0)</f>
        <v>MAT.</v>
      </c>
      <c r="D7796" s="156" t="s">
        <v>1444</v>
      </c>
      <c r="E7796" s="154" t="n">
        <v>1.7442</v>
      </c>
      <c r="F7796" s="149" t="n">
        <f aca="false">IF(C7796="MAT.",VLOOKUP(A7796,INSUMOS_AUX!$A$3:$H$813,6,0),0)</f>
        <v>1.43</v>
      </c>
      <c r="G7796" s="149" t="n">
        <f aca="false">IF(C7796="M.O.",VLOOKUP(A7796,INSUMOS_AUX!A:F,6,0),0)</f>
        <v>0</v>
      </c>
    </row>
    <row r="7797" customFormat="false" ht="21" hidden="false" customHeight="false" outlineLevel="0" collapsed="false">
      <c r="A7797" s="154" t="n">
        <v>43465</v>
      </c>
      <c r="B7797" s="155" t="s">
        <v>1458</v>
      </c>
      <c r="C7797" s="148" t="str">
        <f aca="false">VLOOKUP($A7797,INSUMOS_AUX!$A$3:$H$813,3,0)</f>
        <v>MAT.</v>
      </c>
      <c r="D7797" s="156" t="s">
        <v>1444</v>
      </c>
      <c r="E7797" s="154" t="n">
        <v>1.7442</v>
      </c>
      <c r="F7797" s="149" t="n">
        <f aca="false">IF(C7797="MAT.",VLOOKUP(A7797,INSUMOS_AUX!$A$3:$H$813,6,0),0)</f>
        <v>0.78</v>
      </c>
      <c r="G7797" s="149" t="n">
        <f aca="false">IF(C7797="M.O.",VLOOKUP(A7797,INSUMOS_AUX!A:F,6,0),0)</f>
        <v>0</v>
      </c>
    </row>
    <row r="7798" customFormat="false" ht="21" hidden="false" customHeight="false" outlineLevel="0" collapsed="false">
      <c r="A7798" s="154" t="n">
        <v>37373</v>
      </c>
      <c r="B7798" s="155" t="s">
        <v>1448</v>
      </c>
      <c r="C7798" s="148" t="s">
        <v>59</v>
      </c>
      <c r="D7798" s="156" t="s">
        <v>1444</v>
      </c>
      <c r="E7798" s="154" t="n">
        <v>1.7442</v>
      </c>
      <c r="F7798" s="149" t="n">
        <f aca="false">IF(C7798="MAT.",VLOOKUP(A7798,INSUMOS_AUX!$A$3:$H$813,6,0),0)</f>
        <v>0</v>
      </c>
      <c r="G7798" s="149" t="n">
        <f aca="false">IF(C7798="M.O.",VLOOKUP(A7798,INSUMOS_AUX!A:F,6,0),0)</f>
        <v>0</v>
      </c>
    </row>
    <row r="7799" customFormat="false" ht="21" hidden="false" customHeight="false" outlineLevel="0" collapsed="false">
      <c r="A7799" s="154" t="n">
        <v>37371</v>
      </c>
      <c r="B7799" s="155" t="s">
        <v>1449</v>
      </c>
      <c r="C7799" s="148" t="str">
        <f aca="false">VLOOKUP($A7799,INSUMOS_AUX!$A$3:$H$813,3,0)</f>
        <v>MAT.</v>
      </c>
      <c r="D7799" s="156" t="s">
        <v>1444</v>
      </c>
      <c r="E7799" s="154" t="n">
        <v>1.7442</v>
      </c>
      <c r="F7799" s="149" t="n">
        <f aca="false">IF(C7799="MAT.",VLOOKUP(A7799,INSUMOS_AUX!$A$3:$H$813,6,0),0)</f>
        <v>0.59</v>
      </c>
      <c r="G7799" s="149" t="n">
        <f aca="false">IF(C7799="M.O.",VLOOKUP(A7799,INSUMOS_AUX!A:F,6,0),0)</f>
        <v>0</v>
      </c>
    </row>
    <row r="7800" customFormat="false" ht="21" hidden="false" customHeight="false" outlineLevel="0" collapsed="false">
      <c r="A7800" s="154" t="n">
        <v>11049</v>
      </c>
      <c r="B7800" s="155" t="s">
        <v>2878</v>
      </c>
      <c r="C7800" s="148" t="str">
        <f aca="false">VLOOKUP($A7800,INSUMOS_AUX!$A$3:$H$813,3,0)</f>
        <v>MAT.</v>
      </c>
      <c r="D7800" s="156" t="s">
        <v>1513</v>
      </c>
      <c r="E7800" s="154" t="n">
        <v>7.0157</v>
      </c>
      <c r="F7800" s="149" t="n">
        <f aca="false">IF(C7800="MAT.",VLOOKUP(A7800,INSUMOS_AUX!$A$3:$H$813,6,0),0)</f>
        <v>10.81</v>
      </c>
      <c r="G7800" s="149" t="n">
        <f aca="false">IF(C7800="M.O.",VLOOKUP(A7800,INSUMOS_AUX!A:F,6,0),0)</f>
        <v>0</v>
      </c>
    </row>
    <row r="7801" customFormat="false" ht="21" hidden="false" customHeight="false" outlineLevel="0" collapsed="false">
      <c r="A7801" s="154" t="n">
        <v>44397</v>
      </c>
      <c r="B7801" s="155" t="s">
        <v>2679</v>
      </c>
      <c r="C7801" s="148" t="str">
        <f aca="false">VLOOKUP($A7801,INSUMOS_AUX!$A$3:$H$813,3,0)</f>
        <v>MAT.</v>
      </c>
      <c r="D7801" s="156" t="s">
        <v>1455</v>
      </c>
      <c r="E7801" s="154" t="n">
        <v>1.022</v>
      </c>
      <c r="F7801" s="149" t="n">
        <f aca="false">IF(C7801="MAT.",VLOOKUP(A7801,INSUMOS_AUX!$A$3:$H$813,6,0),0)</f>
        <v>3.97</v>
      </c>
      <c r="G7801" s="149" t="n">
        <f aca="false">IF(C7801="M.O.",VLOOKUP(A7801,INSUMOS_AUX!A:F,6,0),0)</f>
        <v>0</v>
      </c>
    </row>
    <row r="7802" customFormat="false" ht="31.5" hidden="false" customHeight="false" outlineLevel="0" collapsed="false">
      <c r="A7802" s="154" t="n">
        <v>151</v>
      </c>
      <c r="B7802" s="155" t="s">
        <v>2879</v>
      </c>
      <c r="C7802" s="148" t="str">
        <f aca="false">VLOOKUP($A7802,INSUMOS_AUX!$A$3:$H$813,3,0)</f>
        <v>MAT.</v>
      </c>
      <c r="D7802" s="156" t="s">
        <v>1452</v>
      </c>
      <c r="E7802" s="154" t="n">
        <v>1</v>
      </c>
      <c r="F7802" s="149" t="n">
        <f aca="false">IF(C7802="MAT.",VLOOKUP(A7802,INSUMOS_AUX!$A$3:$H$813,6,0),0)</f>
        <v>26.34</v>
      </c>
      <c r="G7802" s="149" t="n">
        <f aca="false">IF(C7802="M.O.",VLOOKUP(A7802,INSUMOS_AUX!A:F,6,0),0)</f>
        <v>0</v>
      </c>
    </row>
    <row r="7803" customFormat="false" ht="31.5" hidden="false" customHeight="false" outlineLevel="0" collapsed="false">
      <c r="A7803" s="154" t="n">
        <v>13246</v>
      </c>
      <c r="B7803" s="155" t="s">
        <v>1811</v>
      </c>
      <c r="C7803" s="148" t="str">
        <f aca="false">VLOOKUP($A7803,INSUMOS_AUX!$A$3:$H$813,3,0)</f>
        <v>MAT.</v>
      </c>
      <c r="D7803" s="156" t="s">
        <v>31</v>
      </c>
      <c r="E7803" s="154" t="n">
        <v>0.0148</v>
      </c>
      <c r="F7803" s="149" t="n">
        <f aca="false">IF(C7803="MAT.",VLOOKUP(A7803,INSUMOS_AUX!$A$3:$H$813,6,0),0)</f>
        <v>0.5</v>
      </c>
      <c r="G7803" s="149" t="n">
        <f aca="false">IF(C7803="M.O.",VLOOKUP(A7803,INSUMOS_AUX!A:F,6,0),0)</f>
        <v>0</v>
      </c>
    </row>
    <row r="7804" customFormat="false" ht="15" hidden="false" customHeight="false" outlineLevel="0" collapsed="false">
      <c r="A7804" s="154" t="n">
        <v>252</v>
      </c>
      <c r="B7804" s="155" t="s">
        <v>1600</v>
      </c>
      <c r="C7804" s="148" t="str">
        <f aca="false">VLOOKUP($A7804,INSUMOS_AUX!$A$3:$H$813,3,0)</f>
        <v>M.O.</v>
      </c>
      <c r="D7804" s="156" t="s">
        <v>1444</v>
      </c>
      <c r="E7804" s="154" t="n">
        <v>0.509209236</v>
      </c>
      <c r="F7804" s="149" t="n">
        <f aca="false">IF(C7804="MAT.",VLOOKUP(A7804,INSUMOS_AUX!$A$3:$H$813,6,0),0)</f>
        <v>0</v>
      </c>
      <c r="G7804" s="149" t="n">
        <f aca="false">IF(C7804="M.O.",VLOOKUP(A7804,INSUMOS_AUX!A:F,6,0),0)</f>
        <v>13.26</v>
      </c>
    </row>
    <row r="7805" customFormat="false" ht="15" hidden="false" customHeight="false" outlineLevel="0" collapsed="false">
      <c r="A7805" s="154" t="n">
        <v>6110</v>
      </c>
      <c r="B7805" s="155" t="s">
        <v>1601</v>
      </c>
      <c r="C7805" s="148" t="str">
        <f aca="false">VLOOKUP($A7805,INSUMOS_AUX!$A$3:$H$813,3,0)</f>
        <v>M.O.</v>
      </c>
      <c r="D7805" s="156" t="s">
        <v>1444</v>
      </c>
      <c r="E7805" s="154" t="n">
        <v>1.255118832</v>
      </c>
      <c r="F7805" s="149" t="n">
        <f aca="false">IF(C7805="MAT.",VLOOKUP(A7805,INSUMOS_AUX!$A$3:$H$813,6,0),0)</f>
        <v>0</v>
      </c>
      <c r="G7805" s="149" t="n">
        <f aca="false">IF(C7805="M.O.",VLOOKUP(A7805,INSUMOS_AUX!A:F,6,0),0)</f>
        <v>20.22</v>
      </c>
    </row>
    <row r="7806" customFormat="false" ht="31.5" hidden="false" customHeight="false" outlineLevel="0" collapsed="false">
      <c r="A7806" s="150" t="s">
        <v>1323</v>
      </c>
      <c r="B7806" s="151" t="s">
        <v>2880</v>
      </c>
      <c r="C7806" s="152" t="s">
        <v>59</v>
      </c>
      <c r="D7806" s="152" t="s">
        <v>1477</v>
      </c>
      <c r="E7806" s="150"/>
      <c r="F7806" s="153" t="n">
        <f aca="false">(SUMPRODUCT($E7807:$E7818,F7807:F7818))*1</f>
        <v>106.543597</v>
      </c>
      <c r="G7806" s="153" t="n">
        <f aca="false">(SUMPRODUCT($E7807:$E7818,G7807:G7818))*1</f>
        <v>61.82591553936</v>
      </c>
    </row>
    <row r="7807" customFormat="false" ht="21" hidden="false" customHeight="false" outlineLevel="0" collapsed="false">
      <c r="A7807" s="154" t="n">
        <v>37370</v>
      </c>
      <c r="B7807" s="155" t="s">
        <v>1443</v>
      </c>
      <c r="C7807" s="148" t="str">
        <f aca="false">VLOOKUP($A7807,INSUMOS_AUX!$A$3:$H$813,3,0)</f>
        <v>MAT.</v>
      </c>
      <c r="D7807" s="156" t="s">
        <v>1444</v>
      </c>
      <c r="E7807" s="154" t="n">
        <v>3.44</v>
      </c>
      <c r="F7807" s="149" t="n">
        <f aca="false">IF(C7807="MAT.",VLOOKUP(A7807,INSUMOS_AUX!$A$3:$H$813,6,0),0)</f>
        <v>3.32</v>
      </c>
      <c r="G7807" s="149" t="n">
        <f aca="false">IF(C7807="M.O.",VLOOKUP(A7807,INSUMOS_AUX!A:F,6,0),0)</f>
        <v>0</v>
      </c>
    </row>
    <row r="7808" customFormat="false" ht="21" hidden="false" customHeight="false" outlineLevel="0" collapsed="false">
      <c r="A7808" s="154" t="n">
        <v>43489</v>
      </c>
      <c r="B7808" s="155" t="s">
        <v>1456</v>
      </c>
      <c r="C7808" s="148" t="str">
        <f aca="false">VLOOKUP($A7808,INSUMOS_AUX!$A$3:$H$813,3,0)</f>
        <v>MAT.</v>
      </c>
      <c r="D7808" s="156" t="s">
        <v>1444</v>
      </c>
      <c r="E7808" s="154" t="n">
        <v>3.44</v>
      </c>
      <c r="F7808" s="149" t="n">
        <f aca="false">IF(C7808="MAT.",VLOOKUP(A7808,INSUMOS_AUX!$A$3:$H$813,6,0),0)</f>
        <v>1.31</v>
      </c>
      <c r="G7808" s="149" t="n">
        <f aca="false">IF(C7808="M.O.",VLOOKUP(A7808,INSUMOS_AUX!A:F,6,0),0)</f>
        <v>0</v>
      </c>
    </row>
    <row r="7809" customFormat="false" ht="21" hidden="false" customHeight="false" outlineLevel="0" collapsed="false">
      <c r="A7809" s="154" t="n">
        <v>37372</v>
      </c>
      <c r="B7809" s="155" t="s">
        <v>1446</v>
      </c>
      <c r="C7809" s="148" t="str">
        <f aca="false">VLOOKUP($A7809,INSUMOS_AUX!$A$3:$H$813,3,0)</f>
        <v>MAT.</v>
      </c>
      <c r="D7809" s="156" t="s">
        <v>1444</v>
      </c>
      <c r="E7809" s="154" t="n">
        <v>3.44</v>
      </c>
      <c r="F7809" s="149" t="n">
        <f aca="false">IF(C7809="MAT.",VLOOKUP(A7809,INSUMOS_AUX!$A$3:$H$813,6,0),0)</f>
        <v>1.43</v>
      </c>
      <c r="G7809" s="149" t="n">
        <f aca="false">IF(C7809="M.O.",VLOOKUP(A7809,INSUMOS_AUX!A:F,6,0),0)</f>
        <v>0</v>
      </c>
    </row>
    <row r="7810" customFormat="false" ht="21" hidden="false" customHeight="false" outlineLevel="0" collapsed="false">
      <c r="A7810" s="154" t="n">
        <v>43465</v>
      </c>
      <c r="B7810" s="155" t="s">
        <v>1458</v>
      </c>
      <c r="C7810" s="148" t="str">
        <f aca="false">VLOOKUP($A7810,INSUMOS_AUX!$A$3:$H$813,3,0)</f>
        <v>MAT.</v>
      </c>
      <c r="D7810" s="156" t="s">
        <v>1444</v>
      </c>
      <c r="E7810" s="154" t="n">
        <v>3.44</v>
      </c>
      <c r="F7810" s="149" t="n">
        <f aca="false">IF(C7810="MAT.",VLOOKUP(A7810,INSUMOS_AUX!$A$3:$H$813,6,0),0)</f>
        <v>0.78</v>
      </c>
      <c r="G7810" s="149" t="n">
        <f aca="false">IF(C7810="M.O.",VLOOKUP(A7810,INSUMOS_AUX!A:F,6,0),0)</f>
        <v>0</v>
      </c>
    </row>
    <row r="7811" customFormat="false" ht="21" hidden="false" customHeight="false" outlineLevel="0" collapsed="false">
      <c r="A7811" s="154" t="n">
        <v>37373</v>
      </c>
      <c r="B7811" s="155" t="s">
        <v>1448</v>
      </c>
      <c r="C7811" s="148" t="s">
        <v>59</v>
      </c>
      <c r="D7811" s="156" t="s">
        <v>1444</v>
      </c>
      <c r="E7811" s="154" t="n">
        <v>3.44</v>
      </c>
      <c r="F7811" s="149" t="n">
        <f aca="false">IF(C7811="MAT.",VLOOKUP(A7811,INSUMOS_AUX!$A$3:$H$813,6,0),0)</f>
        <v>0</v>
      </c>
      <c r="G7811" s="149" t="n">
        <f aca="false">IF(C7811="M.O.",VLOOKUP(A7811,INSUMOS_AUX!A:F,6,0),0)</f>
        <v>0</v>
      </c>
    </row>
    <row r="7812" customFormat="false" ht="21" hidden="false" customHeight="false" outlineLevel="0" collapsed="false">
      <c r="A7812" s="154" t="n">
        <v>37371</v>
      </c>
      <c r="B7812" s="155" t="s">
        <v>1449</v>
      </c>
      <c r="C7812" s="148" t="str">
        <f aca="false">VLOOKUP($A7812,INSUMOS_AUX!$A$3:$H$813,3,0)</f>
        <v>MAT.</v>
      </c>
      <c r="D7812" s="156" t="s">
        <v>1444</v>
      </c>
      <c r="E7812" s="154" t="n">
        <v>3.44</v>
      </c>
      <c r="F7812" s="149" t="n">
        <f aca="false">IF(C7812="MAT.",VLOOKUP(A7812,INSUMOS_AUX!$A$3:$H$813,6,0),0)</f>
        <v>0.59</v>
      </c>
      <c r="G7812" s="149" t="n">
        <f aca="false">IF(C7812="M.O.",VLOOKUP(A7812,INSUMOS_AUX!A:F,6,0),0)</f>
        <v>0</v>
      </c>
    </row>
    <row r="7813" customFormat="false" ht="21" hidden="false" customHeight="false" outlineLevel="0" collapsed="false">
      <c r="A7813" s="154" t="n">
        <v>11049</v>
      </c>
      <c r="B7813" s="155" t="s">
        <v>2878</v>
      </c>
      <c r="C7813" s="148" t="str">
        <f aca="false">VLOOKUP($A7813,INSUMOS_AUX!$A$3:$H$813,3,0)</f>
        <v>MAT.</v>
      </c>
      <c r="D7813" s="156" t="s">
        <v>1513</v>
      </c>
      <c r="E7813" s="154" t="n">
        <v>7.0157</v>
      </c>
      <c r="F7813" s="149" t="n">
        <f aca="false">IF(C7813="MAT.",VLOOKUP(A7813,INSUMOS_AUX!$A$3:$H$813,6,0),0)</f>
        <v>10.81</v>
      </c>
      <c r="G7813" s="149" t="n">
        <f aca="false">IF(C7813="M.O.",VLOOKUP(A7813,INSUMOS_AUX!A:F,6,0),0)</f>
        <v>0</v>
      </c>
    </row>
    <row r="7814" customFormat="false" ht="21" hidden="false" customHeight="false" outlineLevel="0" collapsed="false">
      <c r="A7814" s="154" t="n">
        <v>44397</v>
      </c>
      <c r="B7814" s="155" t="s">
        <v>2679</v>
      </c>
      <c r="C7814" s="148" t="str">
        <f aca="false">VLOOKUP($A7814,INSUMOS_AUX!$A$3:$H$813,3,0)</f>
        <v>MAT.</v>
      </c>
      <c r="D7814" s="156" t="s">
        <v>1455</v>
      </c>
      <c r="E7814" s="154" t="n">
        <v>1.022</v>
      </c>
      <c r="F7814" s="149" t="n">
        <f aca="false">IF(C7814="MAT.",VLOOKUP(A7814,INSUMOS_AUX!$A$3:$H$813,6,0),0)</f>
        <v>3.97</v>
      </c>
      <c r="G7814" s="149" t="n">
        <f aca="false">IF(C7814="M.O.",VLOOKUP(A7814,INSUMOS_AUX!A:F,6,0),0)</f>
        <v>0</v>
      </c>
    </row>
    <row r="7815" customFormat="false" ht="21" hidden="false" customHeight="false" outlineLevel="0" collapsed="false">
      <c r="A7815" s="154" t="n">
        <v>151</v>
      </c>
      <c r="B7815" s="155" t="s">
        <v>2881</v>
      </c>
      <c r="C7815" s="148" t="str">
        <f aca="false">VLOOKUP($A7815,INSUMOS_AUX!$A$3:$H$813,3,0)</f>
        <v>MAT.</v>
      </c>
      <c r="D7815" s="156" t="s">
        <v>1452</v>
      </c>
      <c r="E7815" s="154" t="n">
        <v>0.041</v>
      </c>
      <c r="F7815" s="149" t="n">
        <f aca="false">IF(C7815="MAT.",VLOOKUP(A7815,INSUMOS_AUX!$A$3:$H$813,6,0),0)</f>
        <v>26.34</v>
      </c>
      <c r="G7815" s="149" t="n">
        <f aca="false">IF(C7815="M.O.",VLOOKUP(A7815,INSUMOS_AUX!A:F,6,0),0)</f>
        <v>0</v>
      </c>
    </row>
    <row r="7816" customFormat="false" ht="31.5" hidden="false" customHeight="false" outlineLevel="0" collapsed="false">
      <c r="A7816" s="154" t="n">
        <v>13246</v>
      </c>
      <c r="B7816" s="155" t="s">
        <v>1811</v>
      </c>
      <c r="C7816" s="148" t="str">
        <f aca="false">VLOOKUP($A7816,INSUMOS_AUX!$A$3:$H$813,3,0)</f>
        <v>MAT.</v>
      </c>
      <c r="D7816" s="156" t="s">
        <v>31</v>
      </c>
      <c r="E7816" s="154" t="n">
        <v>0.0148</v>
      </c>
      <c r="F7816" s="149" t="n">
        <f aca="false">IF(C7816="MAT.",VLOOKUP(A7816,INSUMOS_AUX!$A$3:$H$813,6,0),0)</f>
        <v>0.5</v>
      </c>
      <c r="G7816" s="149" t="n">
        <f aca="false">IF(C7816="M.O.",VLOOKUP(A7816,INSUMOS_AUX!A:F,6,0),0)</f>
        <v>0</v>
      </c>
    </row>
    <row r="7817" customFormat="false" ht="15" hidden="false" customHeight="false" outlineLevel="0" collapsed="false">
      <c r="A7817" s="154" t="n">
        <v>252</v>
      </c>
      <c r="B7817" s="155" t="s">
        <v>1600</v>
      </c>
      <c r="C7817" s="148" t="str">
        <f aca="false">VLOOKUP($A7817,INSUMOS_AUX!$A$3:$H$813,3,0)</f>
        <v>M.O.</v>
      </c>
      <c r="D7817" s="156" t="s">
        <v>1444</v>
      </c>
      <c r="E7817" s="154" t="n">
        <v>1.226087634</v>
      </c>
      <c r="F7817" s="149" t="n">
        <f aca="false">IF(C7817="MAT.",VLOOKUP(A7817,INSUMOS_AUX!$A$3:$H$813,6,0),0)</f>
        <v>0</v>
      </c>
      <c r="G7817" s="149" t="n">
        <f aca="false">IF(C7817="M.O.",VLOOKUP(A7817,INSUMOS_AUX!A:F,6,0),0)</f>
        <v>13.26</v>
      </c>
    </row>
    <row r="7818" customFormat="false" ht="15" hidden="false" customHeight="false" outlineLevel="0" collapsed="false">
      <c r="A7818" s="154" t="n">
        <v>6110</v>
      </c>
      <c r="B7818" s="155" t="s">
        <v>1601</v>
      </c>
      <c r="C7818" s="148" t="str">
        <f aca="false">VLOOKUP($A7818,INSUMOS_AUX!$A$3:$H$813,3,0)</f>
        <v>M.O.</v>
      </c>
      <c r="D7818" s="156" t="s">
        <v>1444</v>
      </c>
      <c r="E7818" s="154" t="n">
        <v>2.253609966</v>
      </c>
      <c r="F7818" s="149" t="n">
        <f aca="false">IF(C7818="MAT.",VLOOKUP(A7818,INSUMOS_AUX!$A$3:$H$813,6,0),0)</f>
        <v>0</v>
      </c>
      <c r="G7818" s="149" t="n">
        <f aca="false">IF(C7818="M.O.",VLOOKUP(A7818,INSUMOS_AUX!A:F,6,0),0)</f>
        <v>20.22</v>
      </c>
    </row>
    <row r="7819" customFormat="false" ht="15" hidden="false" customHeight="false" outlineLevel="0" collapsed="false">
      <c r="A7819" s="150" t="n">
        <v>98519</v>
      </c>
      <c r="B7819" s="151" t="s">
        <v>2882</v>
      </c>
      <c r="C7819" s="152" t="s">
        <v>59</v>
      </c>
      <c r="D7819" s="152" t="s">
        <v>1477</v>
      </c>
      <c r="E7819" s="150"/>
      <c r="F7819" s="153" t="n">
        <f aca="false">(SUMPRODUCT($E7820:$E7829,F7820:F7829))*1</f>
        <v>1.22724</v>
      </c>
      <c r="G7819" s="153" t="n">
        <f aca="false">(SUMPRODUCT($E7820:$E7829,G7820:G7829))*1</f>
        <v>2.3757307476</v>
      </c>
    </row>
    <row r="7820" customFormat="false" ht="21" hidden="false" customHeight="false" outlineLevel="0" collapsed="false">
      <c r="A7820" s="154" t="n">
        <v>37370</v>
      </c>
      <c r="B7820" s="155" t="s">
        <v>1443</v>
      </c>
      <c r="C7820" s="148" t="str">
        <f aca="false">VLOOKUP($A7820,INSUMOS_AUX!$A$3:$H$813,3,0)</f>
        <v>MAT.</v>
      </c>
      <c r="D7820" s="156" t="s">
        <v>1444</v>
      </c>
      <c r="E7820" s="154" t="n">
        <v>0.168</v>
      </c>
      <c r="F7820" s="149" t="n">
        <f aca="false">IF(C7820="MAT.",VLOOKUP(A7820,INSUMOS_AUX!$A$3:$H$813,6,0),0)</f>
        <v>3.32</v>
      </c>
      <c r="G7820" s="149" t="n">
        <f aca="false">IF(C7820="M.O.",VLOOKUP(A7820,INSUMOS_AUX!A:F,6,0),0)</f>
        <v>0</v>
      </c>
    </row>
    <row r="7821" customFormat="false" ht="21" hidden="false" customHeight="false" outlineLevel="0" collapsed="false">
      <c r="A7821" s="154" t="n">
        <v>43489</v>
      </c>
      <c r="B7821" s="155" t="s">
        <v>1456</v>
      </c>
      <c r="C7821" s="148" t="str">
        <f aca="false">VLOOKUP($A7821,INSUMOS_AUX!$A$3:$H$813,3,0)</f>
        <v>MAT.</v>
      </c>
      <c r="D7821" s="156" t="s">
        <v>1444</v>
      </c>
      <c r="E7821" s="154" t="n">
        <v>0.028</v>
      </c>
      <c r="F7821" s="149" t="n">
        <f aca="false">IF(C7821="MAT.",VLOOKUP(A7821,INSUMOS_AUX!$A$3:$H$813,6,0),0)</f>
        <v>1.31</v>
      </c>
      <c r="G7821" s="149" t="n">
        <f aca="false">IF(C7821="M.O.",VLOOKUP(A7821,INSUMOS_AUX!A:F,6,0),0)</f>
        <v>0</v>
      </c>
    </row>
    <row r="7822" customFormat="false" ht="21" hidden="false" customHeight="false" outlineLevel="0" collapsed="false">
      <c r="A7822" s="154" t="n">
        <v>43491</v>
      </c>
      <c r="B7822" s="155" t="s">
        <v>1457</v>
      </c>
      <c r="C7822" s="148" t="str">
        <f aca="false">VLOOKUP($A7822,INSUMOS_AUX!$A$3:$H$813,3,0)</f>
        <v>MAT.</v>
      </c>
      <c r="D7822" s="156" t="s">
        <v>1444</v>
      </c>
      <c r="E7822" s="154" t="n">
        <v>0.14</v>
      </c>
      <c r="F7822" s="149" t="n">
        <f aca="false">IF(C7822="MAT.",VLOOKUP(A7822,INSUMOS_AUX!$A$3:$H$813,6,0),0)</f>
        <v>1.39</v>
      </c>
      <c r="G7822" s="149" t="n">
        <f aca="false">IF(C7822="M.O.",VLOOKUP(A7822,INSUMOS_AUX!A:F,6,0),0)</f>
        <v>0</v>
      </c>
    </row>
    <row r="7823" customFormat="false" ht="21" hidden="false" customHeight="false" outlineLevel="0" collapsed="false">
      <c r="A7823" s="154" t="n">
        <v>37372</v>
      </c>
      <c r="B7823" s="155" t="s">
        <v>1446</v>
      </c>
      <c r="C7823" s="148" t="str">
        <f aca="false">VLOOKUP($A7823,INSUMOS_AUX!$A$3:$H$813,3,0)</f>
        <v>MAT.</v>
      </c>
      <c r="D7823" s="156" t="s">
        <v>1444</v>
      </c>
      <c r="E7823" s="154" t="n">
        <v>0.168</v>
      </c>
      <c r="F7823" s="149" t="n">
        <f aca="false">IF(C7823="MAT.",VLOOKUP(A7823,INSUMOS_AUX!$A$3:$H$813,6,0),0)</f>
        <v>1.43</v>
      </c>
      <c r="G7823" s="149" t="n">
        <f aca="false">IF(C7823="M.O.",VLOOKUP(A7823,INSUMOS_AUX!A:F,6,0),0)</f>
        <v>0</v>
      </c>
    </row>
    <row r="7824" customFormat="false" ht="21" hidden="false" customHeight="false" outlineLevel="0" collapsed="false">
      <c r="A7824" s="154" t="n">
        <v>43465</v>
      </c>
      <c r="B7824" s="155" t="s">
        <v>1458</v>
      </c>
      <c r="C7824" s="148" t="s">
        <v>59</v>
      </c>
      <c r="D7824" s="156" t="s">
        <v>1444</v>
      </c>
      <c r="E7824" s="154" t="n">
        <v>0.028</v>
      </c>
      <c r="F7824" s="149" t="n">
        <f aca="false">IF(C7824="MAT.",VLOOKUP(A7824,INSUMOS_AUX!$A$3:$H$813,6,0),0)</f>
        <v>0</v>
      </c>
      <c r="G7824" s="149" t="n">
        <f aca="false">IF(C7824="M.O.",VLOOKUP(A7824,INSUMOS_AUX!A:F,6,0),0)</f>
        <v>0</v>
      </c>
    </row>
    <row r="7825" customFormat="false" ht="21" hidden="false" customHeight="false" outlineLevel="0" collapsed="false">
      <c r="A7825" s="154" t="n">
        <v>43467</v>
      </c>
      <c r="B7825" s="155" t="s">
        <v>1459</v>
      </c>
      <c r="C7825" s="148" t="str">
        <f aca="false">VLOOKUP($A7825,INSUMOS_AUX!$A$3:$H$813,3,0)</f>
        <v>MAT.</v>
      </c>
      <c r="D7825" s="156" t="s">
        <v>1444</v>
      </c>
      <c r="E7825" s="154" t="n">
        <v>0.14</v>
      </c>
      <c r="F7825" s="149" t="n">
        <f aca="false">IF(C7825="MAT.",VLOOKUP(A7825,INSUMOS_AUX!$A$3:$H$813,6,0),0)</f>
        <v>0.61</v>
      </c>
      <c r="G7825" s="149" t="n">
        <f aca="false">IF(C7825="M.O.",VLOOKUP(A7825,INSUMOS_AUX!A:F,6,0),0)</f>
        <v>0</v>
      </c>
    </row>
    <row r="7826" customFormat="false" ht="21" hidden="false" customHeight="false" outlineLevel="0" collapsed="false">
      <c r="A7826" s="154" t="n">
        <v>37373</v>
      </c>
      <c r="B7826" s="155" t="s">
        <v>1448</v>
      </c>
      <c r="C7826" s="148" t="str">
        <f aca="false">VLOOKUP($A7826,INSUMOS_AUX!$A$3:$H$813,3,0)</f>
        <v>MAT.</v>
      </c>
      <c r="D7826" s="156" t="s">
        <v>1444</v>
      </c>
      <c r="E7826" s="154" t="n">
        <v>0.168</v>
      </c>
      <c r="F7826" s="149" t="n">
        <f aca="false">IF(C7826="MAT.",VLOOKUP(A7826,INSUMOS_AUX!$A$3:$H$813,6,0),0)</f>
        <v>0.08</v>
      </c>
      <c r="G7826" s="149" t="n">
        <f aca="false">IF(C7826="M.O.",VLOOKUP(A7826,INSUMOS_AUX!A:F,6,0),0)</f>
        <v>0</v>
      </c>
    </row>
    <row r="7827" customFormat="false" ht="21" hidden="false" customHeight="false" outlineLevel="0" collapsed="false">
      <c r="A7827" s="154" t="n">
        <v>37371</v>
      </c>
      <c r="B7827" s="155" t="s">
        <v>1449</v>
      </c>
      <c r="C7827" s="148" t="str">
        <f aca="false">VLOOKUP($A7827,INSUMOS_AUX!$A$3:$H$813,3,0)</f>
        <v>MAT.</v>
      </c>
      <c r="D7827" s="156" t="s">
        <v>1444</v>
      </c>
      <c r="E7827" s="154" t="n">
        <v>0.168</v>
      </c>
      <c r="F7827" s="149" t="n">
        <f aca="false">IF(C7827="MAT.",VLOOKUP(A7827,INSUMOS_AUX!$A$3:$H$813,6,0),0)</f>
        <v>0.59</v>
      </c>
      <c r="G7827" s="149" t="n">
        <f aca="false">IF(C7827="M.O.",VLOOKUP(A7827,INSUMOS_AUX!A:F,6,0),0)</f>
        <v>0</v>
      </c>
    </row>
    <row r="7828" customFormat="false" ht="15" hidden="false" customHeight="false" outlineLevel="0" collapsed="false">
      <c r="A7828" s="154" t="n">
        <v>44503</v>
      </c>
      <c r="B7828" s="155" t="s">
        <v>1491</v>
      </c>
      <c r="C7828" s="148" t="str">
        <f aca="false">VLOOKUP($A7828,INSUMOS_AUX!$A$3:$H$813,3,0)</f>
        <v>M.O.</v>
      </c>
      <c r="D7828" s="156" t="s">
        <v>1444</v>
      </c>
      <c r="E7828" s="154" t="n">
        <v>0.02814252</v>
      </c>
      <c r="F7828" s="149" t="n">
        <f aca="false">IF(C7828="MAT.",VLOOKUP(A7828,INSUMOS_AUX!$A$3:$H$813,6,0),0)</f>
        <v>0</v>
      </c>
      <c r="G7828" s="149" t="n">
        <f aca="false">IF(C7828="M.O.",VLOOKUP(A7828,INSUMOS_AUX!A:F,6,0),0)</f>
        <v>18.63</v>
      </c>
    </row>
    <row r="7829" customFormat="false" ht="15" hidden="false" customHeight="false" outlineLevel="0" collapsed="false">
      <c r="A7829" s="154" t="n">
        <v>6111</v>
      </c>
      <c r="B7829" s="155" t="s">
        <v>1464</v>
      </c>
      <c r="C7829" s="148" t="str">
        <f aca="false">VLOOKUP($A7829,INSUMOS_AUX!$A$3:$H$813,3,0)</f>
        <v>M.O.</v>
      </c>
      <c r="D7829" s="156" t="s">
        <v>1444</v>
      </c>
      <c r="E7829" s="154" t="n">
        <v>0.142968</v>
      </c>
      <c r="F7829" s="149" t="n">
        <f aca="false">IF(C7829="MAT.",VLOOKUP(A7829,INSUMOS_AUX!$A$3:$H$813,6,0),0)</f>
        <v>0</v>
      </c>
      <c r="G7829" s="149" t="n">
        <f aca="false">IF(C7829="M.O.",VLOOKUP(A7829,INSUMOS_AUX!A:F,6,0),0)</f>
        <v>12.95</v>
      </c>
    </row>
    <row r="7830" customFormat="false" ht="15" hidden="false" customHeight="false" outlineLevel="0" collapsed="false">
      <c r="A7830" s="150" t="s">
        <v>1328</v>
      </c>
      <c r="B7830" s="151" t="s">
        <v>2883</v>
      </c>
      <c r="C7830" s="152" t="s">
        <v>59</v>
      </c>
      <c r="D7830" s="152" t="s">
        <v>1442</v>
      </c>
      <c r="E7830" s="150"/>
      <c r="F7830" s="153" t="n">
        <f aca="false">(SUMPRODUCT($E7831:$E7843,F7831:F7843))*1</f>
        <v>60.744969</v>
      </c>
      <c r="G7830" s="153" t="n">
        <f aca="false">(SUMPRODUCT($E7831:$E7843,G7831:G7843))*1</f>
        <v>1.13032073586</v>
      </c>
    </row>
    <row r="7831" customFormat="false" ht="21" hidden="false" customHeight="false" outlineLevel="0" collapsed="false">
      <c r="A7831" s="154" t="n">
        <v>37370</v>
      </c>
      <c r="B7831" s="155" t="s">
        <v>1443</v>
      </c>
      <c r="C7831" s="148" t="str">
        <f aca="false">VLOOKUP($A7831,INSUMOS_AUX!$A$3:$H$813,3,0)</f>
        <v>MAT.</v>
      </c>
      <c r="D7831" s="156" t="s">
        <v>1444</v>
      </c>
      <c r="E7831" s="154" t="n">
        <v>0.0789</v>
      </c>
      <c r="F7831" s="149" t="n">
        <f aca="false">IF(C7831="MAT.",VLOOKUP(A7831,INSUMOS_AUX!$A$3:$H$813,6,0),0)</f>
        <v>3.32</v>
      </c>
      <c r="G7831" s="149" t="n">
        <f aca="false">IF(C7831="M.O.",VLOOKUP(A7831,INSUMOS_AUX!A:F,6,0),0)</f>
        <v>0</v>
      </c>
    </row>
    <row r="7832" customFormat="false" ht="21" hidden="false" customHeight="false" outlineLevel="0" collapsed="false">
      <c r="A7832" s="154" t="n">
        <v>43489</v>
      </c>
      <c r="B7832" s="155" t="s">
        <v>1456</v>
      </c>
      <c r="C7832" s="148" t="str">
        <f aca="false">VLOOKUP($A7832,INSUMOS_AUX!$A$3:$H$813,3,0)</f>
        <v>MAT.</v>
      </c>
      <c r="D7832" s="156" t="s">
        <v>1444</v>
      </c>
      <c r="E7832" s="154" t="n">
        <v>0.0158</v>
      </c>
      <c r="F7832" s="149" t="n">
        <f aca="false">IF(C7832="MAT.",VLOOKUP(A7832,INSUMOS_AUX!$A$3:$H$813,6,0),0)</f>
        <v>1.31</v>
      </c>
      <c r="G7832" s="149" t="n">
        <f aca="false">IF(C7832="M.O.",VLOOKUP(A7832,INSUMOS_AUX!A:F,6,0),0)</f>
        <v>0</v>
      </c>
    </row>
    <row r="7833" customFormat="false" ht="21" hidden="false" customHeight="false" outlineLevel="0" collapsed="false">
      <c r="A7833" s="154" t="n">
        <v>43491</v>
      </c>
      <c r="B7833" s="155" t="s">
        <v>1457</v>
      </c>
      <c r="C7833" s="148" t="str">
        <f aca="false">VLOOKUP($A7833,INSUMOS_AUX!$A$3:$H$813,3,0)</f>
        <v>MAT.</v>
      </c>
      <c r="D7833" s="156" t="s">
        <v>1444</v>
      </c>
      <c r="E7833" s="154" t="n">
        <v>0.0631</v>
      </c>
      <c r="F7833" s="149" t="n">
        <f aca="false">IF(C7833="MAT.",VLOOKUP(A7833,INSUMOS_AUX!$A$3:$H$813,6,0),0)</f>
        <v>1.39</v>
      </c>
      <c r="G7833" s="149" t="n">
        <f aca="false">IF(C7833="M.O.",VLOOKUP(A7833,INSUMOS_AUX!A:F,6,0),0)</f>
        <v>0</v>
      </c>
    </row>
    <row r="7834" customFormat="false" ht="21" hidden="false" customHeight="false" outlineLevel="0" collapsed="false">
      <c r="A7834" s="154" t="n">
        <v>37372</v>
      </c>
      <c r="B7834" s="155" t="s">
        <v>1446</v>
      </c>
      <c r="C7834" s="148" t="str">
        <f aca="false">VLOOKUP($A7834,INSUMOS_AUX!$A$3:$H$813,3,0)</f>
        <v>MAT.</v>
      </c>
      <c r="D7834" s="156" t="s">
        <v>1444</v>
      </c>
      <c r="E7834" s="154" t="n">
        <v>0.0789</v>
      </c>
      <c r="F7834" s="149" t="n">
        <f aca="false">IF(C7834="MAT.",VLOOKUP(A7834,INSUMOS_AUX!$A$3:$H$813,6,0),0)</f>
        <v>1.43</v>
      </c>
      <c r="G7834" s="149" t="n">
        <f aca="false">IF(C7834="M.O.",VLOOKUP(A7834,INSUMOS_AUX!A:F,6,0),0)</f>
        <v>0</v>
      </c>
    </row>
    <row r="7835" customFormat="false" ht="21" hidden="false" customHeight="false" outlineLevel="0" collapsed="false">
      <c r="A7835" s="154" t="n">
        <v>43465</v>
      </c>
      <c r="B7835" s="155" t="s">
        <v>1458</v>
      </c>
      <c r="C7835" s="148" t="str">
        <f aca="false">VLOOKUP($A7835,INSUMOS_AUX!$A$3:$H$813,3,0)</f>
        <v>MAT.</v>
      </c>
      <c r="D7835" s="156" t="s">
        <v>1444</v>
      </c>
      <c r="E7835" s="154" t="n">
        <v>0.0158</v>
      </c>
      <c r="F7835" s="149" t="n">
        <f aca="false">IF(C7835="MAT.",VLOOKUP(A7835,INSUMOS_AUX!$A$3:$H$813,6,0),0)</f>
        <v>0.78</v>
      </c>
      <c r="G7835" s="149" t="n">
        <f aca="false">IF(C7835="M.O.",VLOOKUP(A7835,INSUMOS_AUX!A:F,6,0),0)</f>
        <v>0</v>
      </c>
    </row>
    <row r="7836" customFormat="false" ht="21" hidden="false" customHeight="false" outlineLevel="0" collapsed="false">
      <c r="A7836" s="154" t="n">
        <v>43467</v>
      </c>
      <c r="B7836" s="155" t="s">
        <v>1459</v>
      </c>
      <c r="C7836" s="148" t="s">
        <v>59</v>
      </c>
      <c r="D7836" s="156" t="s">
        <v>1444</v>
      </c>
      <c r="E7836" s="154" t="n">
        <v>0.0631</v>
      </c>
      <c r="F7836" s="149" t="n">
        <f aca="false">IF(C7836="MAT.",VLOOKUP(A7836,INSUMOS_AUX!$A$3:$H$813,6,0),0)</f>
        <v>0</v>
      </c>
      <c r="G7836" s="149" t="n">
        <f aca="false">IF(C7836="M.O.",VLOOKUP(A7836,INSUMOS_AUX!A:F,6,0),0)</f>
        <v>0</v>
      </c>
    </row>
    <row r="7837" customFormat="false" ht="21" hidden="false" customHeight="false" outlineLevel="0" collapsed="false">
      <c r="A7837" s="154" t="n">
        <v>37373</v>
      </c>
      <c r="B7837" s="155" t="s">
        <v>1448</v>
      </c>
      <c r="C7837" s="148" t="str">
        <f aca="false">VLOOKUP($A7837,INSUMOS_AUX!$A$3:$H$813,3,0)</f>
        <v>MAT.</v>
      </c>
      <c r="D7837" s="156" t="s">
        <v>1444</v>
      </c>
      <c r="E7837" s="154" t="n">
        <v>0.0789</v>
      </c>
      <c r="F7837" s="149" t="n">
        <f aca="false">IF(C7837="MAT.",VLOOKUP(A7837,INSUMOS_AUX!$A$3:$H$813,6,0),0)</f>
        <v>0.08</v>
      </c>
      <c r="G7837" s="149" t="n">
        <f aca="false">IF(C7837="M.O.",VLOOKUP(A7837,INSUMOS_AUX!A:F,6,0),0)</f>
        <v>0</v>
      </c>
    </row>
    <row r="7838" customFormat="false" ht="21" hidden="false" customHeight="false" outlineLevel="0" collapsed="false">
      <c r="A7838" s="154" t="n">
        <v>37371</v>
      </c>
      <c r="B7838" s="155" t="s">
        <v>1449</v>
      </c>
      <c r="C7838" s="148" t="str">
        <f aca="false">VLOOKUP($A7838,INSUMOS_AUX!$A$3:$H$813,3,0)</f>
        <v>MAT.</v>
      </c>
      <c r="D7838" s="156" t="s">
        <v>1444</v>
      </c>
      <c r="E7838" s="154" t="n">
        <v>0.0789</v>
      </c>
      <c r="F7838" s="149" t="n">
        <f aca="false">IF(C7838="MAT.",VLOOKUP(A7838,INSUMOS_AUX!$A$3:$H$813,6,0),0)</f>
        <v>0.59</v>
      </c>
      <c r="G7838" s="149" t="n">
        <f aca="false">IF(C7838="M.O.",VLOOKUP(A7838,INSUMOS_AUX!A:F,6,0),0)</f>
        <v>0</v>
      </c>
    </row>
    <row r="7839" customFormat="false" ht="15" hidden="false" customHeight="false" outlineLevel="0" collapsed="false">
      <c r="A7839" s="154" t="n">
        <v>3123</v>
      </c>
      <c r="B7839" s="155" t="s">
        <v>2884</v>
      </c>
      <c r="C7839" s="148" t="str">
        <f aca="false">VLOOKUP($A7839,INSUMOS_AUX!$A$3:$H$813,3,0)</f>
        <v>MAT.</v>
      </c>
      <c r="D7839" s="156" t="s">
        <v>1513</v>
      </c>
      <c r="E7839" s="154" t="n">
        <v>0.04</v>
      </c>
      <c r="F7839" s="149" t="n">
        <f aca="false">IF(C7839="MAT.",VLOOKUP(A7839,INSUMOS_AUX!$A$3:$H$813,6,0),0)</f>
        <v>2.78</v>
      </c>
      <c r="G7839" s="149" t="n">
        <f aca="false">IF(C7839="M.O.",VLOOKUP(A7839,INSUMOS_AUX!A:F,6,0),0)</f>
        <v>0</v>
      </c>
    </row>
    <row r="7840" customFormat="false" ht="15" hidden="false" customHeight="false" outlineLevel="0" collapsed="false">
      <c r="A7840" s="154" t="n">
        <v>38125</v>
      </c>
      <c r="B7840" s="155" t="s">
        <v>2885</v>
      </c>
      <c r="C7840" s="148" t="str">
        <f aca="false">VLOOKUP($A7840,INSUMOS_AUX!$A$3:$H$813,3,0)</f>
        <v>MAT.</v>
      </c>
      <c r="D7840" s="156" t="s">
        <v>1513</v>
      </c>
      <c r="E7840" s="154" t="n">
        <v>1</v>
      </c>
      <c r="F7840" s="149" t="n">
        <f aca="false">IF(C7840="MAT.",VLOOKUP(A7840,INSUMOS_AUX!$A$3:$H$813,6,0),0)</f>
        <v>2.1</v>
      </c>
      <c r="G7840" s="149" t="n">
        <f aca="false">IF(C7840="M.O.",VLOOKUP(A7840,INSUMOS_AUX!A:F,6,0),0)</f>
        <v>0</v>
      </c>
    </row>
    <row r="7841" customFormat="false" ht="15" hidden="false" customHeight="false" outlineLevel="0" collapsed="false">
      <c r="A7841" s="154" t="n">
        <v>7253</v>
      </c>
      <c r="B7841" s="155" t="s">
        <v>2886</v>
      </c>
      <c r="C7841" s="148" t="str">
        <f aca="false">VLOOKUP($A7841,INSUMOS_AUX!$A$3:$H$813,3,0)</f>
        <v>MAT.</v>
      </c>
      <c r="D7841" s="156" t="s">
        <v>1442</v>
      </c>
      <c r="E7841" s="154" t="n">
        <v>0.22</v>
      </c>
      <c r="F7841" s="149" t="n">
        <f aca="false">IF(C7841="MAT.",VLOOKUP(A7841,INSUMOS_AUX!$A$3:$H$813,6,0),0)</f>
        <v>263.57</v>
      </c>
      <c r="G7841" s="149" t="n">
        <f aca="false">IF(C7841="M.O.",VLOOKUP(A7841,INSUMOS_AUX!A:F,6,0),0)</f>
        <v>0</v>
      </c>
    </row>
    <row r="7842" customFormat="false" ht="15" hidden="false" customHeight="false" outlineLevel="0" collapsed="false">
      <c r="A7842" s="154" t="n">
        <v>44503</v>
      </c>
      <c r="B7842" s="155" t="s">
        <v>1491</v>
      </c>
      <c r="C7842" s="148" t="str">
        <f aca="false">VLOOKUP($A7842,INSUMOS_AUX!$A$3:$H$813,3,0)</f>
        <v>M.O.</v>
      </c>
      <c r="D7842" s="156" t="s">
        <v>1444</v>
      </c>
      <c r="E7842" s="154" t="n">
        <v>0.015880422</v>
      </c>
      <c r="F7842" s="149" t="n">
        <f aca="false">IF(C7842="MAT.",VLOOKUP(A7842,INSUMOS_AUX!$A$3:$H$813,6,0),0)</f>
        <v>0</v>
      </c>
      <c r="G7842" s="149" t="n">
        <f aca="false">IF(C7842="M.O.",VLOOKUP(A7842,INSUMOS_AUX!A:F,6,0),0)</f>
        <v>18.63</v>
      </c>
    </row>
    <row r="7843" customFormat="false" ht="15" hidden="false" customHeight="false" outlineLevel="0" collapsed="false">
      <c r="A7843" s="154" t="n">
        <v>6111</v>
      </c>
      <c r="B7843" s="155" t="s">
        <v>1464</v>
      </c>
      <c r="C7843" s="148" t="str">
        <f aca="false">VLOOKUP($A7843,INSUMOS_AUX!$A$3:$H$813,3,0)</f>
        <v>M.O.</v>
      </c>
      <c r="D7843" s="156" t="s">
        <v>1444</v>
      </c>
      <c r="E7843" s="154" t="n">
        <v>0.06443772</v>
      </c>
      <c r="F7843" s="149" t="n">
        <f aca="false">IF(C7843="MAT.",VLOOKUP(A7843,INSUMOS_AUX!$A$3:$H$813,6,0),0)</f>
        <v>0</v>
      </c>
      <c r="G7843" s="149" t="n">
        <f aca="false">IF(C7843="M.O.",VLOOKUP(A7843,INSUMOS_AUX!A:F,6,0),0)</f>
        <v>12.95</v>
      </c>
    </row>
    <row r="7844" customFormat="false" ht="21" hidden="false" customHeight="false" outlineLevel="0" collapsed="false">
      <c r="A7844" s="150" t="s">
        <v>1332</v>
      </c>
      <c r="B7844" s="151" t="s">
        <v>2887</v>
      </c>
      <c r="C7844" s="152" t="s">
        <v>59</v>
      </c>
      <c r="D7844" s="152" t="s">
        <v>31</v>
      </c>
      <c r="E7844" s="150"/>
      <c r="F7844" s="153" t="n">
        <f aca="false">(SUMPRODUCT($E7845:$E7861,F7845:F7861))*1</f>
        <v>535.516068283002</v>
      </c>
      <c r="G7844" s="153" t="n">
        <f aca="false">(SUMPRODUCT($E7845:$E7861,G7845:G7861))*1</f>
        <v>155.99823900426</v>
      </c>
    </row>
    <row r="7845" customFormat="false" ht="21" hidden="false" customHeight="false" outlineLevel="0" collapsed="false">
      <c r="A7845" s="154" t="n">
        <v>37370</v>
      </c>
      <c r="B7845" s="155" t="s">
        <v>1443</v>
      </c>
      <c r="C7845" s="148" t="str">
        <f aca="false">VLOOKUP($A7845,INSUMOS_AUX!$A$3:$H$813,3,0)</f>
        <v>MAT.</v>
      </c>
      <c r="D7845" s="156" t="s">
        <v>1444</v>
      </c>
      <c r="E7845" s="154" t="n">
        <v>9.2668</v>
      </c>
      <c r="F7845" s="149" t="n">
        <f aca="false">IF(C7845="MAT.",VLOOKUP(A7845,INSUMOS_AUX!$A$3:$H$813,6,0),0)</f>
        <v>3.32</v>
      </c>
      <c r="G7845" s="149" t="n">
        <f aca="false">IF(C7845="M.O.",VLOOKUP(A7845,INSUMOS_AUX!A:F,6,0),0)</f>
        <v>0</v>
      </c>
    </row>
    <row r="7846" customFormat="false" ht="21" hidden="false" customHeight="false" outlineLevel="0" collapsed="false">
      <c r="A7846" s="154" t="n">
        <v>43488</v>
      </c>
      <c r="B7846" s="155" t="s">
        <v>1445</v>
      </c>
      <c r="C7846" s="148" t="str">
        <f aca="false">VLOOKUP($A7846,INSUMOS_AUX!$A$3:$H$813,3,0)</f>
        <v>MAT.</v>
      </c>
      <c r="D7846" s="156" t="s">
        <v>1444</v>
      </c>
      <c r="E7846" s="154" t="n">
        <v>2.0255</v>
      </c>
      <c r="F7846" s="149" t="n">
        <f aca="false">IF(C7846="MAT.",VLOOKUP(A7846,INSUMOS_AUX!$A$3:$H$813,6,0),0)</f>
        <v>0.89</v>
      </c>
      <c r="G7846" s="149" t="n">
        <f aca="false">IF(C7846="M.O.",VLOOKUP(A7846,INSUMOS_AUX!A:F,6,0),0)</f>
        <v>0</v>
      </c>
    </row>
    <row r="7847" customFormat="false" ht="21" hidden="false" customHeight="false" outlineLevel="0" collapsed="false">
      <c r="A7847" s="154" t="n">
        <v>43489</v>
      </c>
      <c r="B7847" s="155" t="s">
        <v>1456</v>
      </c>
      <c r="C7847" s="148" t="str">
        <f aca="false">VLOOKUP($A7847,INSUMOS_AUX!$A$3:$H$813,3,0)</f>
        <v>MAT.</v>
      </c>
      <c r="D7847" s="156" t="s">
        <v>1444</v>
      </c>
      <c r="E7847" s="154" t="n">
        <v>1.4483</v>
      </c>
      <c r="F7847" s="149" t="n">
        <f aca="false">IF(C7847="MAT.",VLOOKUP(A7847,INSUMOS_AUX!$A$3:$H$813,6,0),0)</f>
        <v>1.31</v>
      </c>
      <c r="G7847" s="149" t="n">
        <f aca="false">IF(C7847="M.O.",VLOOKUP(A7847,INSUMOS_AUX!A:F,6,0),0)</f>
        <v>0</v>
      </c>
    </row>
    <row r="7848" customFormat="false" ht="21" hidden="false" customHeight="false" outlineLevel="0" collapsed="false">
      <c r="A7848" s="154" t="n">
        <v>43491</v>
      </c>
      <c r="B7848" s="155" t="s">
        <v>1457</v>
      </c>
      <c r="C7848" s="148" t="str">
        <f aca="false">VLOOKUP($A7848,INSUMOS_AUX!$A$3:$H$813,3,0)</f>
        <v>MAT.</v>
      </c>
      <c r="D7848" s="156" t="s">
        <v>1444</v>
      </c>
      <c r="E7848" s="154" t="n">
        <v>5.793</v>
      </c>
      <c r="F7848" s="149" t="n">
        <f aca="false">IF(C7848="MAT.",VLOOKUP(A7848,INSUMOS_AUX!$A$3:$H$813,6,0),0)</f>
        <v>1.39</v>
      </c>
      <c r="G7848" s="149" t="n">
        <f aca="false">IF(C7848="M.O.",VLOOKUP(A7848,INSUMOS_AUX!A:F,6,0),0)</f>
        <v>0</v>
      </c>
    </row>
    <row r="7849" customFormat="false" ht="21" hidden="false" customHeight="false" outlineLevel="0" collapsed="false">
      <c r="A7849" s="154" t="n">
        <v>37372</v>
      </c>
      <c r="B7849" s="155" t="s">
        <v>1446</v>
      </c>
      <c r="C7849" s="148" t="s">
        <v>59</v>
      </c>
      <c r="D7849" s="156" t="s">
        <v>1444</v>
      </c>
      <c r="E7849" s="154" t="n">
        <v>9.2668</v>
      </c>
      <c r="F7849" s="149" t="n">
        <f aca="false">IF(C7849="MAT.",VLOOKUP(A7849,INSUMOS_AUX!$A$3:$H$813,6,0),0)</f>
        <v>0</v>
      </c>
      <c r="G7849" s="149" t="n">
        <f aca="false">IF(C7849="M.O.",VLOOKUP(A7849,INSUMOS_AUX!A:F,6,0),0)</f>
        <v>0</v>
      </c>
    </row>
    <row r="7850" customFormat="false" ht="21" hidden="false" customHeight="false" outlineLevel="0" collapsed="false">
      <c r="A7850" s="154" t="n">
        <v>43464</v>
      </c>
      <c r="B7850" s="155" t="s">
        <v>1447</v>
      </c>
      <c r="C7850" s="148" t="str">
        <f aca="false">VLOOKUP($A7850,INSUMOS_AUX!$A$3:$H$813,3,0)</f>
        <v>MAT.</v>
      </c>
      <c r="D7850" s="156" t="s">
        <v>1444</v>
      </c>
      <c r="E7850" s="154" t="n">
        <v>2.0255</v>
      </c>
      <c r="F7850" s="149" t="n">
        <f aca="false">IF(C7850="MAT.",VLOOKUP(A7850,INSUMOS_AUX!$A$3:$H$813,6,0),0)</f>
        <v>0.01</v>
      </c>
      <c r="G7850" s="149" t="n">
        <f aca="false">IF(C7850="M.O.",VLOOKUP(A7850,INSUMOS_AUX!A:F,6,0),0)</f>
        <v>0</v>
      </c>
    </row>
    <row r="7851" customFormat="false" ht="21" hidden="false" customHeight="false" outlineLevel="0" collapsed="false">
      <c r="A7851" s="154" t="n">
        <v>43465</v>
      </c>
      <c r="B7851" s="155" t="s">
        <v>1458</v>
      </c>
      <c r="C7851" s="148" t="str">
        <f aca="false">VLOOKUP($A7851,INSUMOS_AUX!$A$3:$H$813,3,0)</f>
        <v>MAT.</v>
      </c>
      <c r="D7851" s="156" t="s">
        <v>1444</v>
      </c>
      <c r="E7851" s="154" t="n">
        <v>1.4483</v>
      </c>
      <c r="F7851" s="149" t="n">
        <f aca="false">IF(C7851="MAT.",VLOOKUP(A7851,INSUMOS_AUX!$A$3:$H$813,6,0),0)</f>
        <v>0.78</v>
      </c>
      <c r="G7851" s="149" t="n">
        <f aca="false">IF(C7851="M.O.",VLOOKUP(A7851,INSUMOS_AUX!A:F,6,0),0)</f>
        <v>0</v>
      </c>
    </row>
    <row r="7852" customFormat="false" ht="21" hidden="false" customHeight="false" outlineLevel="0" collapsed="false">
      <c r="A7852" s="154" t="n">
        <v>43467</v>
      </c>
      <c r="B7852" s="155" t="s">
        <v>1459</v>
      </c>
      <c r="C7852" s="148" t="str">
        <f aca="false">VLOOKUP($A7852,INSUMOS_AUX!$A$3:$H$813,3,0)</f>
        <v>MAT.</v>
      </c>
      <c r="D7852" s="156" t="s">
        <v>1444</v>
      </c>
      <c r="E7852" s="154" t="n">
        <v>5.793</v>
      </c>
      <c r="F7852" s="149" t="n">
        <f aca="false">IF(C7852="MAT.",VLOOKUP(A7852,INSUMOS_AUX!$A$3:$H$813,6,0),0)</f>
        <v>0.61</v>
      </c>
      <c r="G7852" s="149" t="n">
        <f aca="false">IF(C7852="M.O.",VLOOKUP(A7852,INSUMOS_AUX!A:F,6,0),0)</f>
        <v>0</v>
      </c>
    </row>
    <row r="7853" customFormat="false" ht="21" hidden="false" customHeight="false" outlineLevel="0" collapsed="false">
      <c r="A7853" s="154" t="n">
        <v>37373</v>
      </c>
      <c r="B7853" s="155" t="s">
        <v>1448</v>
      </c>
      <c r="C7853" s="148" t="str">
        <f aca="false">VLOOKUP($A7853,INSUMOS_AUX!$A$3:$H$813,3,0)</f>
        <v>MAT.</v>
      </c>
      <c r="D7853" s="156" t="s">
        <v>1444</v>
      </c>
      <c r="E7853" s="154" t="n">
        <v>9.2668</v>
      </c>
      <c r="F7853" s="149" t="n">
        <f aca="false">IF(C7853="MAT.",VLOOKUP(A7853,INSUMOS_AUX!$A$3:$H$813,6,0),0)</f>
        <v>0.08</v>
      </c>
      <c r="G7853" s="149" t="n">
        <f aca="false">IF(C7853="M.O.",VLOOKUP(A7853,INSUMOS_AUX!A:F,6,0),0)</f>
        <v>0</v>
      </c>
    </row>
    <row r="7854" customFormat="false" ht="21" hidden="false" customHeight="false" outlineLevel="0" collapsed="false">
      <c r="A7854" s="154" t="n">
        <v>37371</v>
      </c>
      <c r="B7854" s="155" t="s">
        <v>1449</v>
      </c>
      <c r="C7854" s="148" t="str">
        <f aca="false">VLOOKUP($A7854,INSUMOS_AUX!$A$3:$H$813,3,0)</f>
        <v>MAT.</v>
      </c>
      <c r="D7854" s="156" t="s">
        <v>1444</v>
      </c>
      <c r="E7854" s="154" t="n">
        <v>9.2668</v>
      </c>
      <c r="F7854" s="149" t="n">
        <f aca="false">IF(C7854="MAT.",VLOOKUP(A7854,INSUMOS_AUX!$A$3:$H$813,6,0),0)</f>
        <v>0.59</v>
      </c>
      <c r="G7854" s="149" t="n">
        <f aca="false">IF(C7854="M.O.",VLOOKUP(A7854,INSUMOS_AUX!A:F,6,0),0)</f>
        <v>0</v>
      </c>
    </row>
    <row r="7855" customFormat="false" ht="31.5" hidden="false" customHeight="false" outlineLevel="0" collapsed="false">
      <c r="A7855" s="154" t="n">
        <v>44056</v>
      </c>
      <c r="B7855" s="155" t="s">
        <v>2888</v>
      </c>
      <c r="C7855" s="148" t="str">
        <f aca="false">VLOOKUP($A7855,INSUMOS_AUX!$A$3:$H$813,3,0)</f>
        <v>MAT.</v>
      </c>
      <c r="D7855" s="156" t="s">
        <v>31</v>
      </c>
      <c r="E7855" s="154" t="n">
        <v>0.00013519024</v>
      </c>
      <c r="F7855" s="149" t="n">
        <f aca="false">IF(C7855="MAT.",VLOOKUP(A7855,INSUMOS_AUX!$A$3:$H$813,6,0),0)</f>
        <v>477088.26</v>
      </c>
      <c r="G7855" s="149" t="n">
        <f aca="false">IF(C7855="M.O.",VLOOKUP(A7855,INSUMOS_AUX!A:F,6,0),0)</f>
        <v>0</v>
      </c>
    </row>
    <row r="7856" customFormat="false" ht="42" hidden="false" customHeight="false" outlineLevel="0" collapsed="false">
      <c r="A7856" s="154" t="n">
        <v>10712</v>
      </c>
      <c r="B7856" s="155" t="s">
        <v>2889</v>
      </c>
      <c r="C7856" s="148" t="str">
        <f aca="false">VLOOKUP($A7856,INSUMOS_AUX!$A$3:$H$813,3,0)</f>
        <v>MAT.</v>
      </c>
      <c r="D7856" s="156" t="s">
        <v>31</v>
      </c>
      <c r="E7856" s="154" t="n">
        <v>0.00017996302</v>
      </c>
      <c r="F7856" s="149" t="n">
        <f aca="false">IF(C7856="MAT.",VLOOKUP(A7856,INSUMOS_AUX!$A$3:$H$813,6,0),0)</f>
        <v>101983.98</v>
      </c>
      <c r="G7856" s="149" t="n">
        <f aca="false">IF(C7856="M.O.",VLOOKUP(A7856,INSUMOS_AUX!A:F,6,0),0)</f>
        <v>0</v>
      </c>
    </row>
    <row r="7857" customFormat="false" ht="21" hidden="false" customHeight="false" outlineLevel="0" collapsed="false">
      <c r="A7857" s="154" t="s">
        <v>2890</v>
      </c>
      <c r="B7857" s="155" t="s">
        <v>2891</v>
      </c>
      <c r="C7857" s="148" t="str">
        <f aca="false">VLOOKUP($A7857,INSUMOS_AUX!$A$3:$H$813,3,0)</f>
        <v>MAT.</v>
      </c>
      <c r="D7857" s="156" t="s">
        <v>31</v>
      </c>
      <c r="E7857" s="154" t="n">
        <v>1</v>
      </c>
      <c r="F7857" s="149" t="n">
        <f aca="false">IF(C7857="MAT.",VLOOKUP(A7857,INSUMOS_AUX!$A$3:$H$813,6,0),0)</f>
        <v>343.3</v>
      </c>
      <c r="G7857" s="149" t="n">
        <f aca="false">IF(C7857="M.O.",VLOOKUP(A7857,INSUMOS_AUX!A:F,6,0),0)</f>
        <v>0</v>
      </c>
    </row>
    <row r="7858" customFormat="false" ht="15" hidden="false" customHeight="false" outlineLevel="0" collapsed="false">
      <c r="A7858" s="154" t="n">
        <v>4221</v>
      </c>
      <c r="B7858" s="155" t="s">
        <v>1451</v>
      </c>
      <c r="C7858" s="148" t="str">
        <f aca="false">VLOOKUP($A7858,INSUMOS_AUX!$A$3:$H$813,3,0)</f>
        <v>MAT.</v>
      </c>
      <c r="D7858" s="156" t="s">
        <v>1452</v>
      </c>
      <c r="E7858" s="154" t="n">
        <v>8.909971</v>
      </c>
      <c r="F7858" s="149" t="n">
        <f aca="false">IF(C7858="MAT.",VLOOKUP(A7858,INSUMOS_AUX!$A$3:$H$813,6,0),0)</f>
        <v>6.28</v>
      </c>
      <c r="G7858" s="149" t="n">
        <f aca="false">IF(C7858="M.O.",VLOOKUP(A7858,INSUMOS_AUX!A:F,6,0),0)</f>
        <v>0</v>
      </c>
    </row>
    <row r="7859" customFormat="false" ht="15" hidden="false" customHeight="false" outlineLevel="0" collapsed="false">
      <c r="A7859" s="154" t="n">
        <v>44503</v>
      </c>
      <c r="B7859" s="155" t="s">
        <v>1491</v>
      </c>
      <c r="C7859" s="148" t="str">
        <f aca="false">VLOOKUP($A7859,INSUMOS_AUX!$A$3:$H$813,3,0)</f>
        <v>M.O.</v>
      </c>
      <c r="D7859" s="156" t="s">
        <v>1444</v>
      </c>
      <c r="E7859" s="154" t="n">
        <v>1.455671847</v>
      </c>
      <c r="F7859" s="149" t="n">
        <f aca="false">IF(C7859="MAT.",VLOOKUP(A7859,INSUMOS_AUX!$A$3:$H$813,6,0),0)</f>
        <v>0</v>
      </c>
      <c r="G7859" s="149" t="n">
        <f aca="false">IF(C7859="M.O.",VLOOKUP(A7859,INSUMOS_AUX!A:F,6,0),0)</f>
        <v>18.63</v>
      </c>
    </row>
    <row r="7860" customFormat="false" ht="15" hidden="false" customHeight="false" outlineLevel="0" collapsed="false">
      <c r="A7860" s="154" t="n">
        <v>4096</v>
      </c>
      <c r="B7860" s="155" t="s">
        <v>2892</v>
      </c>
      <c r="C7860" s="148" t="str">
        <f aca="false">VLOOKUP($A7860,INSUMOS_AUX!$A$3:$H$813,3,0)</f>
        <v>M.O.</v>
      </c>
      <c r="D7860" s="156" t="s">
        <v>1444</v>
      </c>
      <c r="E7860" s="154" t="n">
        <v>2.058657435</v>
      </c>
      <c r="F7860" s="149" t="n">
        <f aca="false">IF(C7860="MAT.",VLOOKUP(A7860,INSUMOS_AUX!$A$3:$H$813,6,0),0)</f>
        <v>0</v>
      </c>
      <c r="G7860" s="149" t="n">
        <f aca="false">IF(C7860="M.O.",VLOOKUP(A7860,INSUMOS_AUX!A:F,6,0),0)</f>
        <v>25.39</v>
      </c>
    </row>
    <row r="7861" customFormat="false" ht="15" hidden="false" customHeight="false" outlineLevel="0" collapsed="false">
      <c r="A7861" s="154" t="n">
        <v>6111</v>
      </c>
      <c r="B7861" s="155" t="s">
        <v>1464</v>
      </c>
      <c r="C7861" s="148" t="str">
        <f aca="false">VLOOKUP($A7861,INSUMOS_AUX!$A$3:$H$813,3,0)</f>
        <v>M.O.</v>
      </c>
      <c r="D7861" s="156" t="s">
        <v>1444</v>
      </c>
      <c r="E7861" s="154" t="n">
        <v>5.9158116</v>
      </c>
      <c r="F7861" s="149" t="n">
        <f aca="false">IF(C7861="MAT.",VLOOKUP(A7861,INSUMOS_AUX!$A$3:$H$813,6,0),0)</f>
        <v>0</v>
      </c>
      <c r="G7861" s="149" t="n">
        <f aca="false">IF(C7861="M.O.",VLOOKUP(A7861,INSUMOS_AUX!A:F,6,0),0)</f>
        <v>12.95</v>
      </c>
    </row>
    <row r="7862" customFormat="false" ht="15" hidden="false" customHeight="false" outlineLevel="0" collapsed="false">
      <c r="A7862" s="150" t="s">
        <v>1334</v>
      </c>
      <c r="B7862" s="151" t="s">
        <v>2893</v>
      </c>
      <c r="C7862" s="152" t="s">
        <v>59</v>
      </c>
      <c r="D7862" s="152" t="s">
        <v>31</v>
      </c>
      <c r="E7862" s="150"/>
      <c r="F7862" s="153" t="n">
        <f aca="false">(SUMPRODUCT($E7863:$E7873,F7863:F7873))*1</f>
        <v>168.495206</v>
      </c>
      <c r="G7862" s="153" t="n">
        <f aca="false">(SUMPRODUCT($E7863:$E7873,G7863:G7873))*1</f>
        <v>3.6501274137</v>
      </c>
    </row>
    <row r="7863" customFormat="false" ht="21" hidden="false" customHeight="false" outlineLevel="0" collapsed="false">
      <c r="A7863" s="154" t="n">
        <v>37370</v>
      </c>
      <c r="B7863" s="155" t="s">
        <v>1443</v>
      </c>
      <c r="C7863" s="148" t="str">
        <f aca="false">VLOOKUP($A7863,INSUMOS_AUX!$A$3:$H$813,3,0)</f>
        <v>MAT.</v>
      </c>
      <c r="D7863" s="156" t="s">
        <v>1444</v>
      </c>
      <c r="E7863" s="154" t="n">
        <v>0.2548</v>
      </c>
      <c r="F7863" s="149" t="n">
        <f aca="false">IF(C7863="MAT.",VLOOKUP(A7863,INSUMOS_AUX!$A$3:$H$813,6,0),0)</f>
        <v>3.32</v>
      </c>
      <c r="G7863" s="149" t="n">
        <f aca="false">IF(C7863="M.O.",VLOOKUP(A7863,INSUMOS_AUX!A:F,6,0),0)</f>
        <v>0</v>
      </c>
    </row>
    <row r="7864" customFormat="false" ht="21" hidden="false" customHeight="false" outlineLevel="0" collapsed="false">
      <c r="A7864" s="154" t="n">
        <v>43489</v>
      </c>
      <c r="B7864" s="155" t="s">
        <v>1456</v>
      </c>
      <c r="C7864" s="148" t="str">
        <f aca="false">VLOOKUP($A7864,INSUMOS_AUX!$A$3:$H$813,3,0)</f>
        <v>MAT.</v>
      </c>
      <c r="D7864" s="156" t="s">
        <v>1444</v>
      </c>
      <c r="E7864" s="154" t="n">
        <v>0.051</v>
      </c>
      <c r="F7864" s="149" t="n">
        <f aca="false">IF(C7864="MAT.",VLOOKUP(A7864,INSUMOS_AUX!$A$3:$H$813,6,0),0)</f>
        <v>1.31</v>
      </c>
      <c r="G7864" s="149" t="n">
        <f aca="false">IF(C7864="M.O.",VLOOKUP(A7864,INSUMOS_AUX!A:F,6,0),0)</f>
        <v>0</v>
      </c>
    </row>
    <row r="7865" customFormat="false" ht="21" hidden="false" customHeight="false" outlineLevel="0" collapsed="false">
      <c r="A7865" s="154" t="n">
        <v>43491</v>
      </c>
      <c r="B7865" s="155" t="s">
        <v>1457</v>
      </c>
      <c r="C7865" s="148" t="str">
        <f aca="false">VLOOKUP($A7865,INSUMOS_AUX!$A$3:$H$813,3,0)</f>
        <v>MAT.</v>
      </c>
      <c r="D7865" s="156" t="s">
        <v>1444</v>
      </c>
      <c r="E7865" s="154" t="n">
        <v>0.2038</v>
      </c>
      <c r="F7865" s="149" t="n">
        <f aca="false">IF(C7865="MAT.",VLOOKUP(A7865,INSUMOS_AUX!$A$3:$H$813,6,0),0)</f>
        <v>1.39</v>
      </c>
      <c r="G7865" s="149" t="n">
        <f aca="false">IF(C7865="M.O.",VLOOKUP(A7865,INSUMOS_AUX!A:F,6,0),0)</f>
        <v>0</v>
      </c>
    </row>
    <row r="7866" customFormat="false" ht="21" hidden="false" customHeight="false" outlineLevel="0" collapsed="false">
      <c r="A7866" s="154" t="n">
        <v>37372</v>
      </c>
      <c r="B7866" s="155" t="s">
        <v>1446</v>
      </c>
      <c r="C7866" s="148" t="str">
        <f aca="false">VLOOKUP($A7866,INSUMOS_AUX!$A$3:$H$813,3,0)</f>
        <v>MAT.</v>
      </c>
      <c r="D7866" s="156" t="s">
        <v>1444</v>
      </c>
      <c r="E7866" s="154" t="n">
        <v>0.2548</v>
      </c>
      <c r="F7866" s="149" t="n">
        <f aca="false">IF(C7866="MAT.",VLOOKUP(A7866,INSUMOS_AUX!$A$3:$H$813,6,0),0)</f>
        <v>1.43</v>
      </c>
      <c r="G7866" s="149" t="n">
        <f aca="false">IF(C7866="M.O.",VLOOKUP(A7866,INSUMOS_AUX!A:F,6,0),0)</f>
        <v>0</v>
      </c>
    </row>
    <row r="7867" customFormat="false" ht="21" hidden="false" customHeight="false" outlineLevel="0" collapsed="false">
      <c r="A7867" s="154" t="n">
        <v>43465</v>
      </c>
      <c r="B7867" s="155" t="s">
        <v>1458</v>
      </c>
      <c r="C7867" s="148" t="str">
        <f aca="false">VLOOKUP($A7867,INSUMOS_AUX!$A$3:$H$813,3,0)</f>
        <v>MAT.</v>
      </c>
      <c r="D7867" s="156" t="s">
        <v>1444</v>
      </c>
      <c r="E7867" s="154" t="n">
        <v>0.051</v>
      </c>
      <c r="F7867" s="149" t="n">
        <f aca="false">IF(C7867="MAT.",VLOOKUP(A7867,INSUMOS_AUX!$A$3:$H$813,6,0),0)</f>
        <v>0.78</v>
      </c>
      <c r="G7867" s="149" t="n">
        <f aca="false">IF(C7867="M.O.",VLOOKUP(A7867,INSUMOS_AUX!A:F,6,0),0)</f>
        <v>0</v>
      </c>
    </row>
    <row r="7868" customFormat="false" ht="21" hidden="false" customHeight="false" outlineLevel="0" collapsed="false">
      <c r="A7868" s="154" t="n">
        <v>43467</v>
      </c>
      <c r="B7868" s="155" t="s">
        <v>1459</v>
      </c>
      <c r="C7868" s="148" t="str">
        <f aca="false">VLOOKUP($A7868,INSUMOS_AUX!$A$3:$H$813,3,0)</f>
        <v>MAT.</v>
      </c>
      <c r="D7868" s="156" t="s">
        <v>1444</v>
      </c>
      <c r="E7868" s="154" t="n">
        <v>0.2038</v>
      </c>
      <c r="F7868" s="149" t="n">
        <f aca="false">IF(C7868="MAT.",VLOOKUP(A7868,INSUMOS_AUX!$A$3:$H$813,6,0),0)</f>
        <v>0.61</v>
      </c>
      <c r="G7868" s="149" t="n">
        <f aca="false">IF(C7868="M.O.",VLOOKUP(A7868,INSUMOS_AUX!A:F,6,0),0)</f>
        <v>0</v>
      </c>
    </row>
    <row r="7869" customFormat="false" ht="21" hidden="false" customHeight="false" outlineLevel="0" collapsed="false">
      <c r="A7869" s="154" t="n">
        <v>37373</v>
      </c>
      <c r="B7869" s="155" t="s">
        <v>1448</v>
      </c>
      <c r="C7869" s="148" t="str">
        <f aca="false">VLOOKUP($A7869,INSUMOS_AUX!$A$3:$H$813,3,0)</f>
        <v>MAT.</v>
      </c>
      <c r="D7869" s="156" t="s">
        <v>1444</v>
      </c>
      <c r="E7869" s="154" t="n">
        <v>0.2548</v>
      </c>
      <c r="F7869" s="149" t="n">
        <f aca="false">IF(C7869="MAT.",VLOOKUP(A7869,INSUMOS_AUX!$A$3:$H$813,6,0),0)</f>
        <v>0.08</v>
      </c>
      <c r="G7869" s="149" t="n">
        <f aca="false">IF(C7869="M.O.",VLOOKUP(A7869,INSUMOS_AUX!A:F,6,0),0)</f>
        <v>0</v>
      </c>
    </row>
    <row r="7870" customFormat="false" ht="21" hidden="false" customHeight="false" outlineLevel="0" collapsed="false">
      <c r="A7870" s="154" t="n">
        <v>37371</v>
      </c>
      <c r="B7870" s="155" t="s">
        <v>1449</v>
      </c>
      <c r="C7870" s="148" t="str">
        <f aca="false">VLOOKUP($A7870,INSUMOS_AUX!$A$3:$H$813,3,0)</f>
        <v>MAT.</v>
      </c>
      <c r="D7870" s="156" t="s">
        <v>1444</v>
      </c>
      <c r="E7870" s="154" t="n">
        <v>0.2548</v>
      </c>
      <c r="F7870" s="149" t="n">
        <f aca="false">IF(C7870="MAT.",VLOOKUP(A7870,INSUMOS_AUX!$A$3:$H$813,6,0),0)</f>
        <v>0.59</v>
      </c>
      <c r="G7870" s="149" t="n">
        <f aca="false">IF(C7870="M.O.",VLOOKUP(A7870,INSUMOS_AUX!A:F,6,0),0)</f>
        <v>0</v>
      </c>
    </row>
    <row r="7871" customFormat="false" ht="15" hidden="false" customHeight="false" outlineLevel="0" collapsed="false">
      <c r="A7871" s="154" t="s">
        <v>2894</v>
      </c>
      <c r="B7871" s="155" t="s">
        <v>2895</v>
      </c>
      <c r="C7871" s="148" t="str">
        <f aca="false">VLOOKUP($A7871,INSUMOS_AUX!$A$3:$H$813,3,0)</f>
        <v>MAT.</v>
      </c>
      <c r="D7871" s="156" t="s">
        <v>31</v>
      </c>
      <c r="E7871" s="154" t="n">
        <v>1</v>
      </c>
      <c r="F7871" s="149" t="n">
        <f aca="false">IF(C7871="MAT.",VLOOKUP(A7871,INSUMOS_AUX!$A$3:$H$813,6,0),0)</f>
        <v>166.6</v>
      </c>
      <c r="G7871" s="149" t="n">
        <f aca="false">IF(C7871="M.O.",VLOOKUP(A7871,INSUMOS_AUX!A:F,6,0),0)</f>
        <v>0</v>
      </c>
    </row>
    <row r="7872" customFormat="false" ht="15" hidden="false" customHeight="false" outlineLevel="0" collapsed="false">
      <c r="A7872" s="154" t="n">
        <v>44503</v>
      </c>
      <c r="B7872" s="155" t="s">
        <v>1491</v>
      </c>
      <c r="C7872" s="148" t="str">
        <f aca="false">VLOOKUP($A7872,INSUMOS_AUX!$A$3:$H$813,3,0)</f>
        <v>M.O.</v>
      </c>
      <c r="D7872" s="156" t="s">
        <v>1444</v>
      </c>
      <c r="E7872" s="154" t="n">
        <v>0.05125959</v>
      </c>
      <c r="F7872" s="149" t="n">
        <f aca="false">IF(C7872="MAT.",VLOOKUP(A7872,INSUMOS_AUX!$A$3:$H$813,6,0),0)</f>
        <v>0</v>
      </c>
      <c r="G7872" s="149" t="n">
        <f aca="false">IF(C7872="M.O.",VLOOKUP(A7872,INSUMOS_AUX!A:F,6,0),0)</f>
        <v>18.63</v>
      </c>
    </row>
    <row r="7873" customFormat="false" ht="15" hidden="false" customHeight="false" outlineLevel="0" collapsed="false">
      <c r="A7873" s="154" t="n">
        <v>6111</v>
      </c>
      <c r="B7873" s="155" t="s">
        <v>1464</v>
      </c>
      <c r="C7873" s="148" t="str">
        <f aca="false">VLOOKUP($A7873,INSUMOS_AUX!$A$3:$H$813,3,0)</f>
        <v>M.O.</v>
      </c>
      <c r="D7873" s="156" t="s">
        <v>1444</v>
      </c>
      <c r="E7873" s="154" t="n">
        <v>0.20812056</v>
      </c>
      <c r="F7873" s="149" t="n">
        <f aca="false">IF(C7873="MAT.",VLOOKUP(A7873,INSUMOS_AUX!$A$3:$H$813,6,0),0)</f>
        <v>0</v>
      </c>
      <c r="G7873" s="149" t="n">
        <f aca="false">IF(C7873="M.O.",VLOOKUP(A7873,INSUMOS_AUX!A:F,6,0),0)</f>
        <v>12.95</v>
      </c>
    </row>
    <row r="7874" customFormat="false" ht="21" hidden="false" customHeight="false" outlineLevel="0" collapsed="false">
      <c r="A7874" s="150" t="s">
        <v>1336</v>
      </c>
      <c r="B7874" s="151" t="s">
        <v>2896</v>
      </c>
      <c r="C7874" s="152" t="s">
        <v>59</v>
      </c>
      <c r="D7874" s="152" t="s">
        <v>31</v>
      </c>
      <c r="E7874" s="150"/>
      <c r="F7874" s="153" t="n">
        <f aca="false">(SUMPRODUCT($E7875:$E7885,F7875:F7885))*1</f>
        <v>62.4620213333333</v>
      </c>
      <c r="G7874" s="153" t="n">
        <f aca="false">(SUMPRODUCT($E7875:$E7885,G7875:G7885))*1</f>
        <v>1.73459873214</v>
      </c>
    </row>
    <row r="7875" customFormat="false" ht="21" hidden="false" customHeight="false" outlineLevel="0" collapsed="false">
      <c r="A7875" s="154" t="n">
        <v>37370</v>
      </c>
      <c r="B7875" s="155" t="s">
        <v>1443</v>
      </c>
      <c r="C7875" s="148" t="s">
        <v>59</v>
      </c>
      <c r="D7875" s="156" t="s">
        <v>1444</v>
      </c>
      <c r="E7875" s="154" t="n">
        <v>0.1211</v>
      </c>
      <c r="F7875" s="149" t="n">
        <f aca="false">IF(C7875="MAT.",VLOOKUP(A7875,INSUMOS_AUX!$A$3:$H$813,6,0),0)</f>
        <v>0</v>
      </c>
      <c r="G7875" s="149" t="n">
        <f aca="false">IF(C7875="M.O.",VLOOKUP(A7875,INSUMOS_AUX!A:F,6,0),0)</f>
        <v>0</v>
      </c>
    </row>
    <row r="7876" customFormat="false" ht="21" hidden="false" customHeight="false" outlineLevel="0" collapsed="false">
      <c r="A7876" s="154" t="n">
        <v>43489</v>
      </c>
      <c r="B7876" s="155" t="s">
        <v>1456</v>
      </c>
      <c r="C7876" s="148" t="str">
        <f aca="false">VLOOKUP($A7876,INSUMOS_AUX!$A$3:$H$813,3,0)</f>
        <v>MAT.</v>
      </c>
      <c r="D7876" s="156" t="s">
        <v>1444</v>
      </c>
      <c r="E7876" s="154" t="n">
        <v>0.0242</v>
      </c>
      <c r="F7876" s="149" t="n">
        <f aca="false">IF(C7876="MAT.",VLOOKUP(A7876,INSUMOS_AUX!$A$3:$H$813,6,0),0)</f>
        <v>1.31</v>
      </c>
      <c r="G7876" s="149" t="n">
        <f aca="false">IF(C7876="M.O.",VLOOKUP(A7876,INSUMOS_AUX!A:F,6,0),0)</f>
        <v>0</v>
      </c>
    </row>
    <row r="7877" customFormat="false" ht="21" hidden="false" customHeight="false" outlineLevel="0" collapsed="false">
      <c r="A7877" s="154" t="n">
        <v>43491</v>
      </c>
      <c r="B7877" s="155" t="s">
        <v>1457</v>
      </c>
      <c r="C7877" s="148" t="str">
        <f aca="false">VLOOKUP($A7877,INSUMOS_AUX!$A$3:$H$813,3,0)</f>
        <v>MAT.</v>
      </c>
      <c r="D7877" s="156" t="s">
        <v>1444</v>
      </c>
      <c r="E7877" s="154" t="n">
        <v>0.0969</v>
      </c>
      <c r="F7877" s="149" t="n">
        <f aca="false">IF(C7877="MAT.",VLOOKUP(A7877,INSUMOS_AUX!$A$3:$H$813,6,0),0)</f>
        <v>1.39</v>
      </c>
      <c r="G7877" s="149" t="n">
        <f aca="false">IF(C7877="M.O.",VLOOKUP(A7877,INSUMOS_AUX!A:F,6,0),0)</f>
        <v>0</v>
      </c>
    </row>
    <row r="7878" customFormat="false" ht="21" hidden="false" customHeight="false" outlineLevel="0" collapsed="false">
      <c r="A7878" s="154" t="n">
        <v>37372</v>
      </c>
      <c r="B7878" s="155" t="s">
        <v>1446</v>
      </c>
      <c r="C7878" s="148" t="str">
        <f aca="false">VLOOKUP($A7878,INSUMOS_AUX!$A$3:$H$813,3,0)</f>
        <v>MAT.</v>
      </c>
      <c r="D7878" s="156" t="s">
        <v>1444</v>
      </c>
      <c r="E7878" s="154" t="n">
        <v>0.1211</v>
      </c>
      <c r="F7878" s="149" t="n">
        <f aca="false">IF(C7878="MAT.",VLOOKUP(A7878,INSUMOS_AUX!$A$3:$H$813,6,0),0)</f>
        <v>1.43</v>
      </c>
      <c r="G7878" s="149" t="n">
        <f aca="false">IF(C7878="M.O.",VLOOKUP(A7878,INSUMOS_AUX!A:F,6,0),0)</f>
        <v>0</v>
      </c>
    </row>
    <row r="7879" customFormat="false" ht="21" hidden="false" customHeight="false" outlineLevel="0" collapsed="false">
      <c r="A7879" s="154" t="n">
        <v>43465</v>
      </c>
      <c r="B7879" s="155" t="s">
        <v>1458</v>
      </c>
      <c r="C7879" s="148" t="str">
        <f aca="false">VLOOKUP($A7879,INSUMOS_AUX!$A$3:$H$813,3,0)</f>
        <v>MAT.</v>
      </c>
      <c r="D7879" s="156" t="s">
        <v>1444</v>
      </c>
      <c r="E7879" s="154" t="n">
        <v>0.0242</v>
      </c>
      <c r="F7879" s="149" t="n">
        <f aca="false">IF(C7879="MAT.",VLOOKUP(A7879,INSUMOS_AUX!$A$3:$H$813,6,0),0)</f>
        <v>0.78</v>
      </c>
      <c r="G7879" s="149" t="n">
        <f aca="false">IF(C7879="M.O.",VLOOKUP(A7879,INSUMOS_AUX!A:F,6,0),0)</f>
        <v>0</v>
      </c>
    </row>
    <row r="7880" customFormat="false" ht="21" hidden="false" customHeight="false" outlineLevel="0" collapsed="false">
      <c r="A7880" s="154" t="n">
        <v>43467</v>
      </c>
      <c r="B7880" s="155" t="s">
        <v>1459</v>
      </c>
      <c r="C7880" s="148" t="str">
        <f aca="false">VLOOKUP($A7880,INSUMOS_AUX!$A$3:$H$813,3,0)</f>
        <v>MAT.</v>
      </c>
      <c r="D7880" s="156" t="s">
        <v>1444</v>
      </c>
      <c r="E7880" s="154" t="n">
        <v>0.0969</v>
      </c>
      <c r="F7880" s="149" t="n">
        <f aca="false">IF(C7880="MAT.",VLOOKUP(A7880,INSUMOS_AUX!$A$3:$H$813,6,0),0)</f>
        <v>0.61</v>
      </c>
      <c r="G7880" s="149" t="n">
        <f aca="false">IF(C7880="M.O.",VLOOKUP(A7880,INSUMOS_AUX!A:F,6,0),0)</f>
        <v>0</v>
      </c>
    </row>
    <row r="7881" customFormat="false" ht="21" hidden="false" customHeight="false" outlineLevel="0" collapsed="false">
      <c r="A7881" s="154" t="n">
        <v>37373</v>
      </c>
      <c r="B7881" s="155" t="s">
        <v>1448</v>
      </c>
      <c r="C7881" s="148" t="str">
        <f aca="false">VLOOKUP($A7881,INSUMOS_AUX!$A$3:$H$813,3,0)</f>
        <v>MAT.</v>
      </c>
      <c r="D7881" s="156" t="s">
        <v>1444</v>
      </c>
      <c r="E7881" s="154" t="n">
        <v>0.1211</v>
      </c>
      <c r="F7881" s="149" t="n">
        <f aca="false">IF(C7881="MAT.",VLOOKUP(A7881,INSUMOS_AUX!$A$3:$H$813,6,0),0)</f>
        <v>0.08</v>
      </c>
      <c r="G7881" s="149" t="n">
        <f aca="false">IF(C7881="M.O.",VLOOKUP(A7881,INSUMOS_AUX!A:F,6,0),0)</f>
        <v>0</v>
      </c>
    </row>
    <row r="7882" customFormat="false" ht="21" hidden="false" customHeight="false" outlineLevel="0" collapsed="false">
      <c r="A7882" s="154" t="n">
        <v>37371</v>
      </c>
      <c r="B7882" s="155" t="s">
        <v>1449</v>
      </c>
      <c r="C7882" s="148" t="str">
        <f aca="false">VLOOKUP($A7882,INSUMOS_AUX!$A$3:$H$813,3,0)</f>
        <v>MAT.</v>
      </c>
      <c r="D7882" s="156" t="s">
        <v>1444</v>
      </c>
      <c r="E7882" s="154" t="n">
        <v>0.1211</v>
      </c>
      <c r="F7882" s="149" t="n">
        <f aca="false">IF(C7882="MAT.",VLOOKUP(A7882,INSUMOS_AUX!$A$3:$H$813,6,0),0)</f>
        <v>0.59</v>
      </c>
      <c r="G7882" s="149" t="n">
        <f aca="false">IF(C7882="M.O.",VLOOKUP(A7882,INSUMOS_AUX!A:F,6,0),0)</f>
        <v>0</v>
      </c>
    </row>
    <row r="7883" customFormat="false" ht="15" hidden="false" customHeight="false" outlineLevel="0" collapsed="false">
      <c r="A7883" s="154" t="s">
        <v>2897</v>
      </c>
      <c r="B7883" s="155" t="s">
        <v>2898</v>
      </c>
      <c r="C7883" s="148" t="str">
        <f aca="false">VLOOKUP($A7883,INSUMOS_AUX!$A$3:$H$813,3,0)</f>
        <v>MAT.</v>
      </c>
      <c r="D7883" s="156" t="s">
        <v>31</v>
      </c>
      <c r="E7883" s="154" t="n">
        <v>1</v>
      </c>
      <c r="F7883" s="149" t="n">
        <f aca="false">IF(C7883="MAT.",VLOOKUP(A7883,INSUMOS_AUX!$A$3:$H$813,6,0),0)</f>
        <v>61.9633333333333</v>
      </c>
      <c r="G7883" s="149" t="n">
        <f aca="false">IF(C7883="M.O.",VLOOKUP(A7883,INSUMOS_AUX!A:F,6,0),0)</f>
        <v>0</v>
      </c>
    </row>
    <row r="7884" customFormat="false" ht="15" hidden="false" customHeight="false" outlineLevel="0" collapsed="false">
      <c r="A7884" s="154" t="n">
        <v>44503</v>
      </c>
      <c r="B7884" s="155" t="s">
        <v>1491</v>
      </c>
      <c r="C7884" s="148" t="str">
        <f aca="false">VLOOKUP($A7884,INSUMOS_AUX!$A$3:$H$813,3,0)</f>
        <v>M.O.</v>
      </c>
      <c r="D7884" s="156" t="s">
        <v>1444</v>
      </c>
      <c r="E7884" s="154" t="n">
        <v>0.024323178</v>
      </c>
      <c r="F7884" s="149" t="n">
        <f aca="false">IF(C7884="MAT.",VLOOKUP(A7884,INSUMOS_AUX!$A$3:$H$813,6,0),0)</f>
        <v>0</v>
      </c>
      <c r="G7884" s="149" t="n">
        <f aca="false">IF(C7884="M.O.",VLOOKUP(A7884,INSUMOS_AUX!A:F,6,0),0)</f>
        <v>18.63</v>
      </c>
    </row>
    <row r="7885" customFormat="false" ht="15" hidden="false" customHeight="false" outlineLevel="0" collapsed="false">
      <c r="A7885" s="154" t="n">
        <v>6111</v>
      </c>
      <c r="B7885" s="155" t="s">
        <v>1464</v>
      </c>
      <c r="C7885" s="148" t="str">
        <f aca="false">VLOOKUP($A7885,INSUMOS_AUX!$A$3:$H$813,3,0)</f>
        <v>M.O.</v>
      </c>
      <c r="D7885" s="156" t="s">
        <v>1444</v>
      </c>
      <c r="E7885" s="154" t="n">
        <v>0.09895428</v>
      </c>
      <c r="F7885" s="149" t="n">
        <f aca="false">IF(C7885="MAT.",VLOOKUP(A7885,INSUMOS_AUX!$A$3:$H$813,6,0),0)</f>
        <v>0</v>
      </c>
      <c r="G7885" s="149" t="n">
        <f aca="false">IF(C7885="M.O.",VLOOKUP(A7885,INSUMOS_AUX!A:F,6,0),0)</f>
        <v>12.95</v>
      </c>
    </row>
    <row r="7886" customFormat="false" ht="21" hidden="false" customHeight="false" outlineLevel="0" collapsed="false">
      <c r="A7886" s="150" t="s">
        <v>1338</v>
      </c>
      <c r="B7886" s="151" t="s">
        <v>2899</v>
      </c>
      <c r="C7886" s="152" t="s">
        <v>59</v>
      </c>
      <c r="D7886" s="152" t="s">
        <v>31</v>
      </c>
      <c r="E7886" s="150"/>
      <c r="F7886" s="153" t="n">
        <f aca="false">(SUMPRODUCT($E7887:$E7897,F7887:F7897))*1</f>
        <v>33.6950626666667</v>
      </c>
      <c r="G7886" s="153" t="n">
        <f aca="false">(SUMPRODUCT($E7887:$E7897,G7887:G7897))*1</f>
        <v>3.6501274137</v>
      </c>
    </row>
    <row r="7887" customFormat="false" ht="21" hidden="false" customHeight="false" outlineLevel="0" collapsed="false">
      <c r="A7887" s="154" t="n">
        <v>37370</v>
      </c>
      <c r="B7887" s="155" t="s">
        <v>1443</v>
      </c>
      <c r="C7887" s="148" t="str">
        <f aca="false">VLOOKUP($A7887,INSUMOS_AUX!$A$3:$H$813,3,0)</f>
        <v>MAT.</v>
      </c>
      <c r="D7887" s="156" t="s">
        <v>1444</v>
      </c>
      <c r="E7887" s="154" t="n">
        <v>0.2548</v>
      </c>
      <c r="F7887" s="149" t="n">
        <f aca="false">IF(C7887="MAT.",VLOOKUP(A7887,INSUMOS_AUX!$A$3:$H$813,6,0),0)</f>
        <v>3.32</v>
      </c>
      <c r="G7887" s="149" t="n">
        <f aca="false">IF(C7887="M.O.",VLOOKUP(A7887,INSUMOS_AUX!A:F,6,0),0)</f>
        <v>0</v>
      </c>
    </row>
    <row r="7888" customFormat="false" ht="21" hidden="false" customHeight="false" outlineLevel="0" collapsed="false">
      <c r="A7888" s="154" t="n">
        <v>43489</v>
      </c>
      <c r="B7888" s="155" t="s">
        <v>1456</v>
      </c>
      <c r="C7888" s="148" t="s">
        <v>59</v>
      </c>
      <c r="D7888" s="156" t="s">
        <v>1444</v>
      </c>
      <c r="E7888" s="154" t="n">
        <v>0.051</v>
      </c>
      <c r="F7888" s="149" t="n">
        <f aca="false">IF(C7888="MAT.",VLOOKUP(A7888,INSUMOS_AUX!$A$3:$H$813,6,0),0)</f>
        <v>0</v>
      </c>
      <c r="G7888" s="149" t="n">
        <f aca="false">IF(C7888="M.O.",VLOOKUP(A7888,INSUMOS_AUX!A:F,6,0),0)</f>
        <v>0</v>
      </c>
    </row>
    <row r="7889" customFormat="false" ht="21" hidden="false" customHeight="false" outlineLevel="0" collapsed="false">
      <c r="A7889" s="154" t="n">
        <v>43491</v>
      </c>
      <c r="B7889" s="155" t="s">
        <v>1457</v>
      </c>
      <c r="C7889" s="148" t="str">
        <f aca="false">VLOOKUP($A7889,INSUMOS_AUX!$A$3:$H$813,3,0)</f>
        <v>MAT.</v>
      </c>
      <c r="D7889" s="156" t="s">
        <v>1444</v>
      </c>
      <c r="E7889" s="154" t="n">
        <v>0.2038</v>
      </c>
      <c r="F7889" s="149" t="n">
        <f aca="false">IF(C7889="MAT.",VLOOKUP(A7889,INSUMOS_AUX!$A$3:$H$813,6,0),0)</f>
        <v>1.39</v>
      </c>
      <c r="G7889" s="149" t="n">
        <f aca="false">IF(C7889="M.O.",VLOOKUP(A7889,INSUMOS_AUX!A:F,6,0),0)</f>
        <v>0</v>
      </c>
    </row>
    <row r="7890" customFormat="false" ht="21" hidden="false" customHeight="false" outlineLevel="0" collapsed="false">
      <c r="A7890" s="154" t="n">
        <v>37372</v>
      </c>
      <c r="B7890" s="155" t="s">
        <v>1446</v>
      </c>
      <c r="C7890" s="148" t="str">
        <f aca="false">VLOOKUP($A7890,INSUMOS_AUX!$A$3:$H$813,3,0)</f>
        <v>MAT.</v>
      </c>
      <c r="D7890" s="156" t="s">
        <v>1444</v>
      </c>
      <c r="E7890" s="154" t="n">
        <v>0.2548</v>
      </c>
      <c r="F7890" s="149" t="n">
        <f aca="false">IF(C7890="MAT.",VLOOKUP(A7890,INSUMOS_AUX!$A$3:$H$813,6,0),0)</f>
        <v>1.43</v>
      </c>
      <c r="G7890" s="149" t="n">
        <f aca="false">IF(C7890="M.O.",VLOOKUP(A7890,INSUMOS_AUX!A:F,6,0),0)</f>
        <v>0</v>
      </c>
    </row>
    <row r="7891" customFormat="false" ht="21" hidden="false" customHeight="false" outlineLevel="0" collapsed="false">
      <c r="A7891" s="154" t="n">
        <v>43465</v>
      </c>
      <c r="B7891" s="155" t="s">
        <v>1458</v>
      </c>
      <c r="C7891" s="148" t="str">
        <f aca="false">VLOOKUP($A7891,INSUMOS_AUX!$A$3:$H$813,3,0)</f>
        <v>MAT.</v>
      </c>
      <c r="D7891" s="156" t="s">
        <v>1444</v>
      </c>
      <c r="E7891" s="154" t="n">
        <v>0.051</v>
      </c>
      <c r="F7891" s="149" t="n">
        <f aca="false">IF(C7891="MAT.",VLOOKUP(A7891,INSUMOS_AUX!$A$3:$H$813,6,0),0)</f>
        <v>0.78</v>
      </c>
      <c r="G7891" s="149" t="n">
        <f aca="false">IF(C7891="M.O.",VLOOKUP(A7891,INSUMOS_AUX!A:F,6,0),0)</f>
        <v>0</v>
      </c>
    </row>
    <row r="7892" customFormat="false" ht="21" hidden="false" customHeight="false" outlineLevel="0" collapsed="false">
      <c r="A7892" s="154" t="n">
        <v>43467</v>
      </c>
      <c r="B7892" s="155" t="s">
        <v>1459</v>
      </c>
      <c r="C7892" s="148" t="str">
        <f aca="false">VLOOKUP($A7892,INSUMOS_AUX!$A$3:$H$813,3,0)</f>
        <v>MAT.</v>
      </c>
      <c r="D7892" s="156" t="s">
        <v>1444</v>
      </c>
      <c r="E7892" s="154" t="n">
        <v>0.2038</v>
      </c>
      <c r="F7892" s="149" t="n">
        <f aca="false">IF(C7892="MAT.",VLOOKUP(A7892,INSUMOS_AUX!$A$3:$H$813,6,0),0)</f>
        <v>0.61</v>
      </c>
      <c r="G7892" s="149" t="n">
        <f aca="false">IF(C7892="M.O.",VLOOKUP(A7892,INSUMOS_AUX!A:F,6,0),0)</f>
        <v>0</v>
      </c>
    </row>
    <row r="7893" customFormat="false" ht="21" hidden="false" customHeight="false" outlineLevel="0" collapsed="false">
      <c r="A7893" s="154" t="n">
        <v>37373</v>
      </c>
      <c r="B7893" s="155" t="s">
        <v>1448</v>
      </c>
      <c r="C7893" s="148" t="str">
        <f aca="false">VLOOKUP($A7893,INSUMOS_AUX!$A$3:$H$813,3,0)</f>
        <v>MAT.</v>
      </c>
      <c r="D7893" s="156" t="s">
        <v>1444</v>
      </c>
      <c r="E7893" s="154" t="n">
        <v>0.2548</v>
      </c>
      <c r="F7893" s="149" t="n">
        <f aca="false">IF(C7893="MAT.",VLOOKUP(A7893,INSUMOS_AUX!$A$3:$H$813,6,0),0)</f>
        <v>0.08</v>
      </c>
      <c r="G7893" s="149" t="n">
        <f aca="false">IF(C7893="M.O.",VLOOKUP(A7893,INSUMOS_AUX!A:F,6,0),0)</f>
        <v>0</v>
      </c>
    </row>
    <row r="7894" customFormat="false" ht="21" hidden="false" customHeight="false" outlineLevel="0" collapsed="false">
      <c r="A7894" s="154" t="n">
        <v>37371</v>
      </c>
      <c r="B7894" s="155" t="s">
        <v>1449</v>
      </c>
      <c r="C7894" s="148" t="str">
        <f aca="false">VLOOKUP($A7894,INSUMOS_AUX!$A$3:$H$813,3,0)</f>
        <v>MAT.</v>
      </c>
      <c r="D7894" s="156" t="s">
        <v>1444</v>
      </c>
      <c r="E7894" s="154" t="n">
        <v>0.2548</v>
      </c>
      <c r="F7894" s="149" t="n">
        <f aca="false">IF(C7894="MAT.",VLOOKUP(A7894,INSUMOS_AUX!$A$3:$H$813,6,0),0)</f>
        <v>0.59</v>
      </c>
      <c r="G7894" s="149" t="n">
        <f aca="false">IF(C7894="M.O.",VLOOKUP(A7894,INSUMOS_AUX!A:F,6,0),0)</f>
        <v>0</v>
      </c>
    </row>
    <row r="7895" customFormat="false" ht="15" hidden="false" customHeight="false" outlineLevel="0" collapsed="false">
      <c r="A7895" s="154" t="s">
        <v>2900</v>
      </c>
      <c r="B7895" s="155" t="s">
        <v>2901</v>
      </c>
      <c r="C7895" s="148" t="str">
        <f aca="false">VLOOKUP($A7895,INSUMOS_AUX!$A$3:$H$813,3,0)</f>
        <v>MAT.</v>
      </c>
      <c r="D7895" s="156" t="s">
        <v>31</v>
      </c>
      <c r="E7895" s="154" t="n">
        <v>1</v>
      </c>
      <c r="F7895" s="149" t="n">
        <f aca="false">IF(C7895="MAT.",VLOOKUP(A7895,INSUMOS_AUX!$A$3:$H$813,6,0),0)</f>
        <v>31.8666666666667</v>
      </c>
      <c r="G7895" s="149" t="n">
        <f aca="false">IF(C7895="M.O.",VLOOKUP(A7895,INSUMOS_AUX!A:F,6,0),0)</f>
        <v>0</v>
      </c>
    </row>
    <row r="7896" customFormat="false" ht="15" hidden="false" customHeight="false" outlineLevel="0" collapsed="false">
      <c r="A7896" s="154" t="n">
        <v>44503</v>
      </c>
      <c r="B7896" s="155" t="s">
        <v>1491</v>
      </c>
      <c r="C7896" s="148" t="str">
        <f aca="false">VLOOKUP($A7896,INSUMOS_AUX!$A$3:$H$813,3,0)</f>
        <v>M.O.</v>
      </c>
      <c r="D7896" s="156" t="s">
        <v>1444</v>
      </c>
      <c r="E7896" s="154" t="n">
        <v>0.05125959</v>
      </c>
      <c r="F7896" s="149" t="n">
        <f aca="false">IF(C7896="MAT.",VLOOKUP(A7896,INSUMOS_AUX!$A$3:$H$813,6,0),0)</f>
        <v>0</v>
      </c>
      <c r="G7896" s="149" t="n">
        <f aca="false">IF(C7896="M.O.",VLOOKUP(A7896,INSUMOS_AUX!A:F,6,0),0)</f>
        <v>18.63</v>
      </c>
    </row>
    <row r="7897" customFormat="false" ht="15" hidden="false" customHeight="false" outlineLevel="0" collapsed="false">
      <c r="A7897" s="154" t="n">
        <v>6111</v>
      </c>
      <c r="B7897" s="155" t="s">
        <v>1464</v>
      </c>
      <c r="C7897" s="148" t="str">
        <f aca="false">VLOOKUP($A7897,INSUMOS_AUX!$A$3:$H$813,3,0)</f>
        <v>M.O.</v>
      </c>
      <c r="D7897" s="156" t="s">
        <v>1444</v>
      </c>
      <c r="E7897" s="154" t="n">
        <v>0.20812056</v>
      </c>
      <c r="F7897" s="149" t="n">
        <f aca="false">IF(C7897="MAT.",VLOOKUP(A7897,INSUMOS_AUX!$A$3:$H$813,6,0),0)</f>
        <v>0</v>
      </c>
      <c r="G7897" s="149" t="n">
        <f aca="false">IF(C7897="M.O.",VLOOKUP(A7897,INSUMOS_AUX!A:F,6,0),0)</f>
        <v>12.95</v>
      </c>
    </row>
    <row r="7898" customFormat="false" ht="15" hidden="false" customHeight="false" outlineLevel="0" collapsed="false">
      <c r="A7898" s="150" t="s">
        <v>1340</v>
      </c>
      <c r="B7898" s="151" t="s">
        <v>2902</v>
      </c>
      <c r="C7898" s="152" t="s">
        <v>59</v>
      </c>
      <c r="D7898" s="152" t="s">
        <v>1477</v>
      </c>
      <c r="E7898" s="150"/>
      <c r="F7898" s="153" t="n">
        <f aca="false">(SUMPRODUCT($E7899:$E7909,F7899:F7909))*1</f>
        <v>626.0044386</v>
      </c>
      <c r="G7898" s="153" t="n">
        <f aca="false">(SUMPRODUCT($E7899:$E7909,G7899:G7909))*1</f>
        <v>4.538825909712</v>
      </c>
    </row>
    <row r="7899" customFormat="false" ht="21" hidden="false" customHeight="false" outlineLevel="0" collapsed="false">
      <c r="A7899" s="154" t="n">
        <v>37370</v>
      </c>
      <c r="B7899" s="155" t="s">
        <v>1443</v>
      </c>
      <c r="C7899" s="148" t="str">
        <f aca="false">VLOOKUP($A7899,INSUMOS_AUX!$A$3:$H$813,3,0)</f>
        <v>MAT.</v>
      </c>
      <c r="D7899" s="156" t="s">
        <v>1444</v>
      </c>
      <c r="E7899" s="154" t="n">
        <v>0.31686</v>
      </c>
      <c r="F7899" s="149" t="n">
        <f aca="false">IF(C7899="MAT.",VLOOKUP(A7899,INSUMOS_AUX!$A$3:$H$813,6,0),0)</f>
        <v>3.32</v>
      </c>
      <c r="G7899" s="149" t="n">
        <f aca="false">IF(C7899="M.O.",VLOOKUP(A7899,INSUMOS_AUX!A:F,6,0),0)</f>
        <v>0</v>
      </c>
    </row>
    <row r="7900" customFormat="false" ht="21" hidden="false" customHeight="false" outlineLevel="0" collapsed="false">
      <c r="A7900" s="154" t="n">
        <v>43489</v>
      </c>
      <c r="B7900" s="155" t="s">
        <v>1456</v>
      </c>
      <c r="C7900" s="148" t="str">
        <f aca="false">VLOOKUP($A7900,INSUMOS_AUX!$A$3:$H$813,3,0)</f>
        <v>MAT.</v>
      </c>
      <c r="D7900" s="156" t="s">
        <v>1444</v>
      </c>
      <c r="E7900" s="154" t="n">
        <v>0.06336</v>
      </c>
      <c r="F7900" s="149" t="n">
        <f aca="false">IF(C7900="MAT.",VLOOKUP(A7900,INSUMOS_AUX!$A$3:$H$813,6,0),0)</f>
        <v>1.31</v>
      </c>
      <c r="G7900" s="149" t="n">
        <f aca="false">IF(C7900="M.O.",VLOOKUP(A7900,INSUMOS_AUX!A:F,6,0),0)</f>
        <v>0</v>
      </c>
    </row>
    <row r="7901" customFormat="false" ht="21" hidden="false" customHeight="false" outlineLevel="0" collapsed="false">
      <c r="A7901" s="154" t="n">
        <v>43491</v>
      </c>
      <c r="B7901" s="155" t="s">
        <v>1457</v>
      </c>
      <c r="C7901" s="148" t="s">
        <v>59</v>
      </c>
      <c r="D7901" s="156" t="s">
        <v>1444</v>
      </c>
      <c r="E7901" s="154" t="n">
        <v>0.2535</v>
      </c>
      <c r="F7901" s="149" t="n">
        <f aca="false">IF(C7901="MAT.",VLOOKUP(A7901,INSUMOS_AUX!$A$3:$H$813,6,0),0)</f>
        <v>0</v>
      </c>
      <c r="G7901" s="149" t="n">
        <f aca="false">IF(C7901="M.O.",VLOOKUP(A7901,INSUMOS_AUX!A:F,6,0),0)</f>
        <v>0</v>
      </c>
    </row>
    <row r="7902" customFormat="false" ht="21" hidden="false" customHeight="false" outlineLevel="0" collapsed="false">
      <c r="A7902" s="154" t="n">
        <v>37372</v>
      </c>
      <c r="B7902" s="155" t="s">
        <v>1446</v>
      </c>
      <c r="C7902" s="148" t="str">
        <f aca="false">VLOOKUP($A7902,INSUMOS_AUX!$A$3:$H$813,3,0)</f>
        <v>MAT.</v>
      </c>
      <c r="D7902" s="156" t="s">
        <v>1444</v>
      </c>
      <c r="E7902" s="154" t="n">
        <v>0.31686</v>
      </c>
      <c r="F7902" s="149" t="n">
        <f aca="false">IF(C7902="MAT.",VLOOKUP(A7902,INSUMOS_AUX!$A$3:$H$813,6,0),0)</f>
        <v>1.43</v>
      </c>
      <c r="G7902" s="149" t="n">
        <f aca="false">IF(C7902="M.O.",VLOOKUP(A7902,INSUMOS_AUX!A:F,6,0),0)</f>
        <v>0</v>
      </c>
    </row>
    <row r="7903" customFormat="false" ht="21" hidden="false" customHeight="false" outlineLevel="0" collapsed="false">
      <c r="A7903" s="154" t="n">
        <v>43465</v>
      </c>
      <c r="B7903" s="155" t="s">
        <v>1458</v>
      </c>
      <c r="C7903" s="148" t="str">
        <f aca="false">VLOOKUP($A7903,INSUMOS_AUX!$A$3:$H$813,3,0)</f>
        <v>MAT.</v>
      </c>
      <c r="D7903" s="156" t="s">
        <v>1444</v>
      </c>
      <c r="E7903" s="154" t="n">
        <v>0.06336</v>
      </c>
      <c r="F7903" s="149" t="n">
        <f aca="false">IF(C7903="MAT.",VLOOKUP(A7903,INSUMOS_AUX!$A$3:$H$813,6,0),0)</f>
        <v>0.78</v>
      </c>
      <c r="G7903" s="149" t="n">
        <f aca="false">IF(C7903="M.O.",VLOOKUP(A7903,INSUMOS_AUX!A:F,6,0),0)</f>
        <v>0</v>
      </c>
    </row>
    <row r="7904" customFormat="false" ht="21" hidden="false" customHeight="false" outlineLevel="0" collapsed="false">
      <c r="A7904" s="154" t="n">
        <v>43467</v>
      </c>
      <c r="B7904" s="155" t="s">
        <v>1459</v>
      </c>
      <c r="C7904" s="148" t="str">
        <f aca="false">VLOOKUP($A7904,INSUMOS_AUX!$A$3:$H$813,3,0)</f>
        <v>MAT.</v>
      </c>
      <c r="D7904" s="156" t="s">
        <v>1444</v>
      </c>
      <c r="E7904" s="154" t="n">
        <v>0.2535</v>
      </c>
      <c r="F7904" s="149" t="n">
        <f aca="false">IF(C7904="MAT.",VLOOKUP(A7904,INSUMOS_AUX!$A$3:$H$813,6,0),0)</f>
        <v>0.61</v>
      </c>
      <c r="G7904" s="149" t="n">
        <f aca="false">IF(C7904="M.O.",VLOOKUP(A7904,INSUMOS_AUX!A:F,6,0),0)</f>
        <v>0</v>
      </c>
    </row>
    <row r="7905" customFormat="false" ht="21" hidden="false" customHeight="false" outlineLevel="0" collapsed="false">
      <c r="A7905" s="154" t="n">
        <v>37373</v>
      </c>
      <c r="B7905" s="155" t="s">
        <v>1448</v>
      </c>
      <c r="C7905" s="148" t="str">
        <f aca="false">VLOOKUP($A7905,INSUMOS_AUX!$A$3:$H$813,3,0)</f>
        <v>MAT.</v>
      </c>
      <c r="D7905" s="156" t="s">
        <v>1444</v>
      </c>
      <c r="E7905" s="154" t="n">
        <v>0.31686</v>
      </c>
      <c r="F7905" s="149" t="n">
        <f aca="false">IF(C7905="MAT.",VLOOKUP(A7905,INSUMOS_AUX!$A$3:$H$813,6,0),0)</f>
        <v>0.08</v>
      </c>
      <c r="G7905" s="149" t="n">
        <f aca="false">IF(C7905="M.O.",VLOOKUP(A7905,INSUMOS_AUX!A:F,6,0),0)</f>
        <v>0</v>
      </c>
    </row>
    <row r="7906" customFormat="false" ht="21" hidden="false" customHeight="false" outlineLevel="0" collapsed="false">
      <c r="A7906" s="154" t="n">
        <v>37371</v>
      </c>
      <c r="B7906" s="155" t="s">
        <v>1449</v>
      </c>
      <c r="C7906" s="148" t="str">
        <f aca="false">VLOOKUP($A7906,INSUMOS_AUX!$A$3:$H$813,3,0)</f>
        <v>MAT.</v>
      </c>
      <c r="D7906" s="156" t="s">
        <v>1444</v>
      </c>
      <c r="E7906" s="154" t="n">
        <v>0.31686</v>
      </c>
      <c r="F7906" s="149" t="n">
        <f aca="false">IF(C7906="MAT.",VLOOKUP(A7906,INSUMOS_AUX!$A$3:$H$813,6,0),0)</f>
        <v>0.59</v>
      </c>
      <c r="G7906" s="149" t="n">
        <f aca="false">IF(C7906="M.O.",VLOOKUP(A7906,INSUMOS_AUX!A:F,6,0),0)</f>
        <v>0</v>
      </c>
    </row>
    <row r="7907" customFormat="false" ht="15" hidden="false" customHeight="false" outlineLevel="0" collapsed="false">
      <c r="A7907" s="154" t="s">
        <v>2903</v>
      </c>
      <c r="B7907" s="155" t="s">
        <v>2904</v>
      </c>
      <c r="C7907" s="148" t="str">
        <f aca="false">VLOOKUP($A7907,INSUMOS_AUX!$A$3:$H$813,3,0)</f>
        <v>MAT.</v>
      </c>
      <c r="D7907" s="156" t="s">
        <v>31</v>
      </c>
      <c r="E7907" s="154" t="n">
        <v>30</v>
      </c>
      <c r="F7907" s="149" t="n">
        <f aca="false">IF(C7907="MAT.",VLOOKUP(A7907,INSUMOS_AUX!$A$3:$H$813,6,0),0)</f>
        <v>20.8</v>
      </c>
      <c r="G7907" s="149" t="n">
        <f aca="false">IF(C7907="M.O.",VLOOKUP(A7907,INSUMOS_AUX!A:F,6,0),0)</f>
        <v>0</v>
      </c>
    </row>
    <row r="7908" customFormat="false" ht="15" hidden="false" customHeight="false" outlineLevel="0" collapsed="false">
      <c r="A7908" s="154" t="n">
        <v>44503</v>
      </c>
      <c r="B7908" s="155" t="s">
        <v>1491</v>
      </c>
      <c r="C7908" s="148" t="str">
        <f aca="false">VLOOKUP($A7908,INSUMOS_AUX!$A$3:$H$813,3,0)</f>
        <v>M.O.</v>
      </c>
      <c r="D7908" s="156" t="s">
        <v>1444</v>
      </c>
      <c r="E7908" s="154" t="n">
        <v>0.0636825024</v>
      </c>
      <c r="F7908" s="149" t="n">
        <f aca="false">IF(C7908="MAT.",VLOOKUP(A7908,INSUMOS_AUX!$A$3:$H$813,6,0),0)</f>
        <v>0</v>
      </c>
      <c r="G7908" s="149" t="n">
        <f aca="false">IF(C7908="M.O.",VLOOKUP(A7908,INSUMOS_AUX!A:F,6,0),0)</f>
        <v>18.63</v>
      </c>
    </row>
    <row r="7909" customFormat="false" ht="15" hidden="false" customHeight="false" outlineLevel="0" collapsed="false">
      <c r="A7909" s="154" t="n">
        <v>6111</v>
      </c>
      <c r="B7909" s="155" t="s">
        <v>1464</v>
      </c>
      <c r="C7909" s="148" t="str">
        <f aca="false">VLOOKUP($A7909,INSUMOS_AUX!$A$3:$H$813,3,0)</f>
        <v>M.O.</v>
      </c>
      <c r="D7909" s="156" t="s">
        <v>1444</v>
      </c>
      <c r="E7909" s="154" t="n">
        <v>0.2588742</v>
      </c>
      <c r="F7909" s="149" t="n">
        <f aca="false">IF(C7909="MAT.",VLOOKUP(A7909,INSUMOS_AUX!$A$3:$H$813,6,0),0)</f>
        <v>0</v>
      </c>
      <c r="G7909" s="149" t="n">
        <f aca="false">IF(C7909="M.O.",VLOOKUP(A7909,INSUMOS_AUX!A:F,6,0),0)</f>
        <v>12.95</v>
      </c>
    </row>
    <row r="7910" customFormat="false" ht="21" hidden="false" customHeight="false" outlineLevel="0" collapsed="false">
      <c r="A7910" s="150" t="s">
        <v>1342</v>
      </c>
      <c r="B7910" s="151" t="s">
        <v>2905</v>
      </c>
      <c r="C7910" s="152" t="s">
        <v>59</v>
      </c>
      <c r="D7910" s="152" t="s">
        <v>1477</v>
      </c>
      <c r="E7910" s="150"/>
      <c r="F7910" s="153" t="n">
        <f aca="false">(SUMPRODUCT($E7911:$E7921,F7911:F7921))*1</f>
        <v>304.751580666667</v>
      </c>
      <c r="G7910" s="153" t="n">
        <f aca="false">(SUMPRODUCT($E7911:$E7921,G7911:G7921))*1</f>
        <v>3.77904878976</v>
      </c>
    </row>
    <row r="7911" customFormat="false" ht="21" hidden="false" customHeight="false" outlineLevel="0" collapsed="false">
      <c r="A7911" s="154" t="n">
        <v>37370</v>
      </c>
      <c r="B7911" s="155" t="s">
        <v>1443</v>
      </c>
      <c r="C7911" s="148" t="str">
        <f aca="false">VLOOKUP($A7911,INSUMOS_AUX!$A$3:$H$813,3,0)</f>
        <v>MAT.</v>
      </c>
      <c r="D7911" s="156" t="s">
        <v>1444</v>
      </c>
      <c r="E7911" s="154" t="n">
        <v>0.2638</v>
      </c>
      <c r="F7911" s="149" t="n">
        <f aca="false">IF(C7911="MAT.",VLOOKUP(A7911,INSUMOS_AUX!$A$3:$H$813,6,0),0)</f>
        <v>3.32</v>
      </c>
      <c r="G7911" s="149" t="n">
        <f aca="false">IF(C7911="M.O.",VLOOKUP(A7911,INSUMOS_AUX!A:F,6,0),0)</f>
        <v>0</v>
      </c>
    </row>
    <row r="7912" customFormat="false" ht="21" hidden="false" customHeight="false" outlineLevel="0" collapsed="false">
      <c r="A7912" s="154" t="n">
        <v>43489</v>
      </c>
      <c r="B7912" s="155" t="s">
        <v>1456</v>
      </c>
      <c r="C7912" s="148" t="str">
        <f aca="false">VLOOKUP($A7912,INSUMOS_AUX!$A$3:$H$813,3,0)</f>
        <v>MAT.</v>
      </c>
      <c r="D7912" s="156" t="s">
        <v>1444</v>
      </c>
      <c r="E7912" s="154" t="n">
        <v>0.0528</v>
      </c>
      <c r="F7912" s="149" t="n">
        <f aca="false">IF(C7912="MAT.",VLOOKUP(A7912,INSUMOS_AUX!$A$3:$H$813,6,0),0)</f>
        <v>1.31</v>
      </c>
      <c r="G7912" s="149" t="n">
        <f aca="false">IF(C7912="M.O.",VLOOKUP(A7912,INSUMOS_AUX!A:F,6,0),0)</f>
        <v>0</v>
      </c>
    </row>
    <row r="7913" customFormat="false" ht="21" hidden="false" customHeight="false" outlineLevel="0" collapsed="false">
      <c r="A7913" s="154" t="n">
        <v>43491</v>
      </c>
      <c r="B7913" s="155" t="s">
        <v>1457</v>
      </c>
      <c r="C7913" s="148" t="str">
        <f aca="false">VLOOKUP($A7913,INSUMOS_AUX!$A$3:$H$813,3,0)</f>
        <v>MAT.</v>
      </c>
      <c r="D7913" s="156" t="s">
        <v>1444</v>
      </c>
      <c r="E7913" s="154" t="n">
        <v>0.211</v>
      </c>
      <c r="F7913" s="149" t="n">
        <f aca="false">IF(C7913="MAT.",VLOOKUP(A7913,INSUMOS_AUX!$A$3:$H$813,6,0),0)</f>
        <v>1.39</v>
      </c>
      <c r="G7913" s="149" t="n">
        <f aca="false">IF(C7913="M.O.",VLOOKUP(A7913,INSUMOS_AUX!A:F,6,0),0)</f>
        <v>0</v>
      </c>
    </row>
    <row r="7914" customFormat="false" ht="21" hidden="false" customHeight="false" outlineLevel="0" collapsed="false">
      <c r="A7914" s="154" t="n">
        <v>37372</v>
      </c>
      <c r="B7914" s="155" t="s">
        <v>1446</v>
      </c>
      <c r="C7914" s="148" t="s">
        <v>59</v>
      </c>
      <c r="D7914" s="156" t="s">
        <v>1444</v>
      </c>
      <c r="E7914" s="154" t="n">
        <v>0.2638</v>
      </c>
      <c r="F7914" s="149" t="n">
        <f aca="false">IF(C7914="MAT.",VLOOKUP(A7914,INSUMOS_AUX!$A$3:$H$813,6,0),0)</f>
        <v>0</v>
      </c>
      <c r="G7914" s="149" t="n">
        <f aca="false">IF(C7914="M.O.",VLOOKUP(A7914,INSUMOS_AUX!A:F,6,0),0)</f>
        <v>0</v>
      </c>
    </row>
    <row r="7915" customFormat="false" ht="21" hidden="false" customHeight="false" outlineLevel="0" collapsed="false">
      <c r="A7915" s="154" t="n">
        <v>43465</v>
      </c>
      <c r="B7915" s="155" t="s">
        <v>1458</v>
      </c>
      <c r="C7915" s="148" t="str">
        <f aca="false">VLOOKUP($A7915,INSUMOS_AUX!$A$3:$H$813,3,0)</f>
        <v>MAT.</v>
      </c>
      <c r="D7915" s="156" t="s">
        <v>1444</v>
      </c>
      <c r="E7915" s="154" t="n">
        <v>0.0528</v>
      </c>
      <c r="F7915" s="149" t="n">
        <f aca="false">IF(C7915="MAT.",VLOOKUP(A7915,INSUMOS_AUX!$A$3:$H$813,6,0),0)</f>
        <v>0.78</v>
      </c>
      <c r="G7915" s="149" t="n">
        <f aca="false">IF(C7915="M.O.",VLOOKUP(A7915,INSUMOS_AUX!A:F,6,0),0)</f>
        <v>0</v>
      </c>
    </row>
    <row r="7916" customFormat="false" ht="21" hidden="false" customHeight="false" outlineLevel="0" collapsed="false">
      <c r="A7916" s="154" t="n">
        <v>43467</v>
      </c>
      <c r="B7916" s="155" t="s">
        <v>1459</v>
      </c>
      <c r="C7916" s="148" t="str">
        <f aca="false">VLOOKUP($A7916,INSUMOS_AUX!$A$3:$H$813,3,0)</f>
        <v>MAT.</v>
      </c>
      <c r="D7916" s="156" t="s">
        <v>1444</v>
      </c>
      <c r="E7916" s="154" t="n">
        <v>0.211</v>
      </c>
      <c r="F7916" s="149" t="n">
        <f aca="false">IF(C7916="MAT.",VLOOKUP(A7916,INSUMOS_AUX!$A$3:$H$813,6,0),0)</f>
        <v>0.61</v>
      </c>
      <c r="G7916" s="149" t="n">
        <f aca="false">IF(C7916="M.O.",VLOOKUP(A7916,INSUMOS_AUX!A:F,6,0),0)</f>
        <v>0</v>
      </c>
    </row>
    <row r="7917" customFormat="false" ht="21" hidden="false" customHeight="false" outlineLevel="0" collapsed="false">
      <c r="A7917" s="154" t="n">
        <v>37373</v>
      </c>
      <c r="B7917" s="155" t="s">
        <v>1448</v>
      </c>
      <c r="C7917" s="148" t="str">
        <f aca="false">VLOOKUP($A7917,INSUMOS_AUX!$A$3:$H$813,3,0)</f>
        <v>MAT.</v>
      </c>
      <c r="D7917" s="156" t="s">
        <v>1444</v>
      </c>
      <c r="E7917" s="154" t="n">
        <v>0.2638</v>
      </c>
      <c r="F7917" s="149" t="n">
        <f aca="false">IF(C7917="MAT.",VLOOKUP(A7917,INSUMOS_AUX!$A$3:$H$813,6,0),0)</f>
        <v>0.08</v>
      </c>
      <c r="G7917" s="149" t="n">
        <f aca="false">IF(C7917="M.O.",VLOOKUP(A7917,INSUMOS_AUX!A:F,6,0),0)</f>
        <v>0</v>
      </c>
    </row>
    <row r="7918" customFormat="false" ht="21" hidden="false" customHeight="false" outlineLevel="0" collapsed="false">
      <c r="A7918" s="154" t="n">
        <v>37371</v>
      </c>
      <c r="B7918" s="155" t="s">
        <v>1449</v>
      </c>
      <c r="C7918" s="148" t="str">
        <f aca="false">VLOOKUP($A7918,INSUMOS_AUX!$A$3:$H$813,3,0)</f>
        <v>MAT.</v>
      </c>
      <c r="D7918" s="156" t="s">
        <v>1444</v>
      </c>
      <c r="E7918" s="154" t="n">
        <v>0.2638</v>
      </c>
      <c r="F7918" s="149" t="n">
        <f aca="false">IF(C7918="MAT.",VLOOKUP(A7918,INSUMOS_AUX!$A$3:$H$813,6,0),0)</f>
        <v>0.59</v>
      </c>
      <c r="G7918" s="149" t="n">
        <f aca="false">IF(C7918="M.O.",VLOOKUP(A7918,INSUMOS_AUX!A:F,6,0),0)</f>
        <v>0</v>
      </c>
    </row>
    <row r="7919" customFormat="false" ht="15" hidden="false" customHeight="false" outlineLevel="0" collapsed="false">
      <c r="A7919" s="154" t="s">
        <v>2906</v>
      </c>
      <c r="B7919" s="155" t="s">
        <v>2907</v>
      </c>
      <c r="C7919" s="148" t="str">
        <f aca="false">VLOOKUP($A7919,INSUMOS_AUX!$A$3:$H$813,3,0)</f>
        <v>MAT.</v>
      </c>
      <c r="D7919" s="156" t="s">
        <v>31</v>
      </c>
      <c r="E7919" s="154" t="n">
        <v>25</v>
      </c>
      <c r="F7919" s="149" t="n">
        <f aca="false">IF(C7919="MAT.",VLOOKUP(A7919,INSUMOS_AUX!$A$3:$H$813,6,0),0)</f>
        <v>12.1266666666667</v>
      </c>
      <c r="G7919" s="149" t="n">
        <f aca="false">IF(C7919="M.O.",VLOOKUP(A7919,INSUMOS_AUX!A:F,6,0),0)</f>
        <v>0</v>
      </c>
    </row>
    <row r="7920" customFormat="false" ht="15" hidden="false" customHeight="false" outlineLevel="0" collapsed="false">
      <c r="A7920" s="154" t="n">
        <v>44503</v>
      </c>
      <c r="B7920" s="155" t="s">
        <v>1491</v>
      </c>
      <c r="C7920" s="148" t="str">
        <f aca="false">VLOOKUP($A7920,INSUMOS_AUX!$A$3:$H$813,3,0)</f>
        <v>M.O.</v>
      </c>
      <c r="D7920" s="156" t="s">
        <v>1444</v>
      </c>
      <c r="E7920" s="154" t="n">
        <v>0.053068752</v>
      </c>
      <c r="F7920" s="149" t="n">
        <f aca="false">IF(C7920="MAT.",VLOOKUP(A7920,INSUMOS_AUX!$A$3:$H$813,6,0),0)</f>
        <v>0</v>
      </c>
      <c r="G7920" s="149" t="n">
        <f aca="false">IF(C7920="M.O.",VLOOKUP(A7920,INSUMOS_AUX!A:F,6,0),0)</f>
        <v>18.63</v>
      </c>
    </row>
    <row r="7921" customFormat="false" ht="15" hidden="false" customHeight="false" outlineLevel="0" collapsed="false">
      <c r="A7921" s="154" t="n">
        <v>6111</v>
      </c>
      <c r="B7921" s="155" t="s">
        <v>1464</v>
      </c>
      <c r="C7921" s="148" t="str">
        <f aca="false">VLOOKUP($A7921,INSUMOS_AUX!$A$3:$H$813,3,0)</f>
        <v>M.O.</v>
      </c>
      <c r="D7921" s="156" t="s">
        <v>1444</v>
      </c>
      <c r="E7921" s="154" t="n">
        <v>0.2154732</v>
      </c>
      <c r="F7921" s="149" t="n">
        <f aca="false">IF(C7921="MAT.",VLOOKUP(A7921,INSUMOS_AUX!$A$3:$H$813,6,0),0)</f>
        <v>0</v>
      </c>
      <c r="G7921" s="149" t="n">
        <f aca="false">IF(C7921="M.O.",VLOOKUP(A7921,INSUMOS_AUX!A:F,6,0),0)</f>
        <v>12.95</v>
      </c>
    </row>
    <row r="7922" customFormat="false" ht="15" hidden="false" customHeight="false" outlineLevel="0" collapsed="false">
      <c r="A7922" s="150" t="s">
        <v>1344</v>
      </c>
      <c r="B7922" s="151" t="s">
        <v>2908</v>
      </c>
      <c r="C7922" s="152" t="s">
        <v>59</v>
      </c>
      <c r="D7922" s="152" t="s">
        <v>1477</v>
      </c>
      <c r="E7922" s="150"/>
      <c r="F7922" s="153" t="n">
        <f aca="false">(SUMPRODUCT($E7923:$E7933,F7923:F7933))*1</f>
        <v>76.668858</v>
      </c>
      <c r="G7922" s="153" t="n">
        <f aca="false">(SUMPRODUCT($E7923:$E7933,G7923:G7933))*1</f>
        <v>3.77904878976</v>
      </c>
    </row>
    <row r="7923" customFormat="false" ht="21" hidden="false" customHeight="false" outlineLevel="0" collapsed="false">
      <c r="A7923" s="154" t="n">
        <v>37370</v>
      </c>
      <c r="B7923" s="155" t="s">
        <v>1443</v>
      </c>
      <c r="C7923" s="148" t="str">
        <f aca="false">VLOOKUP($A7923,INSUMOS_AUX!$A$3:$H$813,3,0)</f>
        <v>MAT.</v>
      </c>
      <c r="D7923" s="156" t="s">
        <v>1444</v>
      </c>
      <c r="E7923" s="154" t="n">
        <v>0.2638</v>
      </c>
      <c r="F7923" s="149" t="n">
        <f aca="false">IF(C7923="MAT.",VLOOKUP(A7923,INSUMOS_AUX!$A$3:$H$813,6,0),0)</f>
        <v>3.32</v>
      </c>
      <c r="G7923" s="149" t="n">
        <f aca="false">IF(C7923="M.O.",VLOOKUP(A7923,INSUMOS_AUX!A:F,6,0),0)</f>
        <v>0</v>
      </c>
    </row>
    <row r="7924" customFormat="false" ht="21" hidden="false" customHeight="false" outlineLevel="0" collapsed="false">
      <c r="A7924" s="154" t="n">
        <v>43489</v>
      </c>
      <c r="B7924" s="155" t="s">
        <v>1456</v>
      </c>
      <c r="C7924" s="148" t="str">
        <f aca="false">VLOOKUP($A7924,INSUMOS_AUX!$A$3:$H$813,3,0)</f>
        <v>MAT.</v>
      </c>
      <c r="D7924" s="156" t="s">
        <v>1444</v>
      </c>
      <c r="E7924" s="154" t="n">
        <v>0.0528</v>
      </c>
      <c r="F7924" s="149" t="n">
        <f aca="false">IF(C7924="MAT.",VLOOKUP(A7924,INSUMOS_AUX!$A$3:$H$813,6,0),0)</f>
        <v>1.31</v>
      </c>
      <c r="G7924" s="149" t="n">
        <f aca="false">IF(C7924="M.O.",VLOOKUP(A7924,INSUMOS_AUX!A:F,6,0),0)</f>
        <v>0</v>
      </c>
    </row>
    <row r="7925" customFormat="false" ht="21" hidden="false" customHeight="false" outlineLevel="0" collapsed="false">
      <c r="A7925" s="154" t="n">
        <v>43491</v>
      </c>
      <c r="B7925" s="155" t="s">
        <v>1457</v>
      </c>
      <c r="C7925" s="148" t="s">
        <v>59</v>
      </c>
      <c r="D7925" s="156" t="s">
        <v>1444</v>
      </c>
      <c r="E7925" s="154" t="n">
        <v>0.211</v>
      </c>
      <c r="F7925" s="149" t="n">
        <f aca="false">IF(C7925="MAT.",VLOOKUP(A7925,INSUMOS_AUX!$A$3:$H$813,6,0),0)</f>
        <v>0</v>
      </c>
      <c r="G7925" s="149" t="n">
        <f aca="false">IF(C7925="M.O.",VLOOKUP(A7925,INSUMOS_AUX!A:F,6,0),0)</f>
        <v>0</v>
      </c>
    </row>
    <row r="7926" customFormat="false" ht="21" hidden="false" customHeight="false" outlineLevel="0" collapsed="false">
      <c r="A7926" s="154" t="n">
        <v>37372</v>
      </c>
      <c r="B7926" s="155" t="s">
        <v>1446</v>
      </c>
      <c r="C7926" s="148" t="str">
        <f aca="false">VLOOKUP($A7926,INSUMOS_AUX!$A$3:$H$813,3,0)</f>
        <v>MAT.</v>
      </c>
      <c r="D7926" s="156" t="s">
        <v>1444</v>
      </c>
      <c r="E7926" s="154" t="n">
        <v>0.2638</v>
      </c>
      <c r="F7926" s="149" t="n">
        <f aca="false">IF(C7926="MAT.",VLOOKUP(A7926,INSUMOS_AUX!$A$3:$H$813,6,0),0)</f>
        <v>1.43</v>
      </c>
      <c r="G7926" s="149" t="n">
        <f aca="false">IF(C7926="M.O.",VLOOKUP(A7926,INSUMOS_AUX!A:F,6,0),0)</f>
        <v>0</v>
      </c>
    </row>
    <row r="7927" customFormat="false" ht="21" hidden="false" customHeight="false" outlineLevel="0" collapsed="false">
      <c r="A7927" s="154" t="n">
        <v>43465</v>
      </c>
      <c r="B7927" s="155" t="s">
        <v>1458</v>
      </c>
      <c r="C7927" s="148" t="str">
        <f aca="false">VLOOKUP($A7927,INSUMOS_AUX!$A$3:$H$813,3,0)</f>
        <v>MAT.</v>
      </c>
      <c r="D7927" s="156" t="s">
        <v>1444</v>
      </c>
      <c r="E7927" s="154" t="n">
        <v>0.0528</v>
      </c>
      <c r="F7927" s="149" t="n">
        <f aca="false">IF(C7927="MAT.",VLOOKUP(A7927,INSUMOS_AUX!$A$3:$H$813,6,0),0)</f>
        <v>0.78</v>
      </c>
      <c r="G7927" s="149" t="n">
        <f aca="false">IF(C7927="M.O.",VLOOKUP(A7927,INSUMOS_AUX!A:F,6,0),0)</f>
        <v>0</v>
      </c>
    </row>
    <row r="7928" customFormat="false" ht="21" hidden="false" customHeight="false" outlineLevel="0" collapsed="false">
      <c r="A7928" s="154" t="n">
        <v>43467</v>
      </c>
      <c r="B7928" s="155" t="s">
        <v>1459</v>
      </c>
      <c r="C7928" s="148" t="str">
        <f aca="false">VLOOKUP($A7928,INSUMOS_AUX!$A$3:$H$813,3,0)</f>
        <v>MAT.</v>
      </c>
      <c r="D7928" s="156" t="s">
        <v>1444</v>
      </c>
      <c r="E7928" s="154" t="n">
        <v>0.211</v>
      </c>
      <c r="F7928" s="149" t="n">
        <f aca="false">IF(C7928="MAT.",VLOOKUP(A7928,INSUMOS_AUX!$A$3:$H$813,6,0),0)</f>
        <v>0.61</v>
      </c>
      <c r="G7928" s="149" t="n">
        <f aca="false">IF(C7928="M.O.",VLOOKUP(A7928,INSUMOS_AUX!A:F,6,0),0)</f>
        <v>0</v>
      </c>
    </row>
    <row r="7929" customFormat="false" ht="21" hidden="false" customHeight="false" outlineLevel="0" collapsed="false">
      <c r="A7929" s="154" t="n">
        <v>37373</v>
      </c>
      <c r="B7929" s="155" t="s">
        <v>1448</v>
      </c>
      <c r="C7929" s="148" t="str">
        <f aca="false">VLOOKUP($A7929,INSUMOS_AUX!$A$3:$H$813,3,0)</f>
        <v>MAT.</v>
      </c>
      <c r="D7929" s="156" t="s">
        <v>1444</v>
      </c>
      <c r="E7929" s="154" t="n">
        <v>0.2638</v>
      </c>
      <c r="F7929" s="149" t="n">
        <f aca="false">IF(C7929="MAT.",VLOOKUP(A7929,INSUMOS_AUX!$A$3:$H$813,6,0),0)</f>
        <v>0.08</v>
      </c>
      <c r="G7929" s="149" t="n">
        <f aca="false">IF(C7929="M.O.",VLOOKUP(A7929,INSUMOS_AUX!A:F,6,0),0)</f>
        <v>0</v>
      </c>
    </row>
    <row r="7930" customFormat="false" ht="21" hidden="false" customHeight="false" outlineLevel="0" collapsed="false">
      <c r="A7930" s="154" t="n">
        <v>37371</v>
      </c>
      <c r="B7930" s="155" t="s">
        <v>1449</v>
      </c>
      <c r="C7930" s="148" t="str">
        <f aca="false">VLOOKUP($A7930,INSUMOS_AUX!$A$3:$H$813,3,0)</f>
        <v>MAT.</v>
      </c>
      <c r="D7930" s="156" t="s">
        <v>1444</v>
      </c>
      <c r="E7930" s="154" t="n">
        <v>0.2638</v>
      </c>
      <c r="F7930" s="149" t="n">
        <f aca="false">IF(C7930="MAT.",VLOOKUP(A7930,INSUMOS_AUX!$A$3:$H$813,6,0),0)</f>
        <v>0.59</v>
      </c>
      <c r="G7930" s="149" t="n">
        <f aca="false">IF(C7930="M.O.",VLOOKUP(A7930,INSUMOS_AUX!A:F,6,0),0)</f>
        <v>0</v>
      </c>
    </row>
    <row r="7931" customFormat="false" ht="21" hidden="false" customHeight="false" outlineLevel="0" collapsed="false">
      <c r="A7931" s="154" t="n">
        <v>360</v>
      </c>
      <c r="B7931" s="155" t="s">
        <v>2909</v>
      </c>
      <c r="C7931" s="148" t="str">
        <f aca="false">VLOOKUP($A7931,INSUMOS_AUX!$A$3:$H$813,3,0)</f>
        <v>MAT.</v>
      </c>
      <c r="D7931" s="156" t="s">
        <v>31</v>
      </c>
      <c r="E7931" s="154" t="n">
        <v>25</v>
      </c>
      <c r="F7931" s="149" t="n">
        <f aca="false">IF(C7931="MAT.",VLOOKUP(A7931,INSUMOS_AUX!$A$3:$H$813,6,0),0)</f>
        <v>3</v>
      </c>
      <c r="G7931" s="149" t="n">
        <f aca="false">IF(C7931="M.O.",VLOOKUP(A7931,INSUMOS_AUX!A:F,6,0),0)</f>
        <v>0</v>
      </c>
    </row>
    <row r="7932" customFormat="false" ht="15" hidden="false" customHeight="false" outlineLevel="0" collapsed="false">
      <c r="A7932" s="154" t="n">
        <v>44503</v>
      </c>
      <c r="B7932" s="155" t="s">
        <v>1491</v>
      </c>
      <c r="C7932" s="148" t="str">
        <f aca="false">VLOOKUP($A7932,INSUMOS_AUX!$A$3:$H$813,3,0)</f>
        <v>M.O.</v>
      </c>
      <c r="D7932" s="156" t="s">
        <v>1444</v>
      </c>
      <c r="E7932" s="154" t="n">
        <v>0.053068752</v>
      </c>
      <c r="F7932" s="149" t="n">
        <f aca="false">IF(C7932="MAT.",VLOOKUP(A7932,INSUMOS_AUX!$A$3:$H$813,6,0),0)</f>
        <v>0</v>
      </c>
      <c r="G7932" s="149" t="n">
        <f aca="false">IF(C7932="M.O.",VLOOKUP(A7932,INSUMOS_AUX!A:F,6,0),0)</f>
        <v>18.63</v>
      </c>
    </row>
    <row r="7933" customFormat="false" ht="15" hidden="false" customHeight="false" outlineLevel="0" collapsed="false">
      <c r="A7933" s="154" t="n">
        <v>6111</v>
      </c>
      <c r="B7933" s="155" t="s">
        <v>1464</v>
      </c>
      <c r="C7933" s="148" t="str">
        <f aca="false">VLOOKUP($A7933,INSUMOS_AUX!$A$3:$H$813,3,0)</f>
        <v>M.O.</v>
      </c>
      <c r="D7933" s="156" t="s">
        <v>1444</v>
      </c>
      <c r="E7933" s="154" t="n">
        <v>0.2154732</v>
      </c>
      <c r="F7933" s="149" t="n">
        <f aca="false">IF(C7933="MAT.",VLOOKUP(A7933,INSUMOS_AUX!$A$3:$H$813,6,0),0)</f>
        <v>0</v>
      </c>
      <c r="G7933" s="149" t="n">
        <f aca="false">IF(C7933="M.O.",VLOOKUP(A7933,INSUMOS_AUX!A:F,6,0),0)</f>
        <v>12.95</v>
      </c>
    </row>
    <row r="7934" customFormat="false" ht="21" hidden="false" customHeight="false" outlineLevel="0" collapsed="false">
      <c r="A7934" s="150" t="n">
        <v>103946</v>
      </c>
      <c r="B7934" s="151" t="s">
        <v>2910</v>
      </c>
      <c r="C7934" s="152" t="s">
        <v>59</v>
      </c>
      <c r="D7934" s="152" t="s">
        <v>1477</v>
      </c>
      <c r="E7934" s="150"/>
      <c r="F7934" s="153" t="n">
        <f aca="false">(SUMPRODUCT($E7935:$E7945,F7935:F7945))*1</f>
        <v>16.793785</v>
      </c>
      <c r="G7934" s="153" t="n">
        <f aca="false">(SUMPRODUCT($E7935:$E7945,G7935:G7945))*1</f>
        <v>2.35159894359</v>
      </c>
    </row>
    <row r="7935" customFormat="false" ht="21" hidden="false" customHeight="false" outlineLevel="0" collapsed="false">
      <c r="A7935" s="154" t="n">
        <v>37370</v>
      </c>
      <c r="B7935" s="155" t="s">
        <v>1443</v>
      </c>
      <c r="C7935" s="148" t="str">
        <f aca="false">VLOOKUP($A7935,INSUMOS_AUX!$A$3:$H$813,3,0)</f>
        <v>MAT.</v>
      </c>
      <c r="D7935" s="156" t="s">
        <v>1444</v>
      </c>
      <c r="E7935" s="154" t="n">
        <v>0.1663</v>
      </c>
      <c r="F7935" s="149" t="n">
        <f aca="false">IF(C7935="MAT.",VLOOKUP(A7935,INSUMOS_AUX!$A$3:$H$813,6,0),0)</f>
        <v>3.32</v>
      </c>
      <c r="G7935" s="149" t="n">
        <f aca="false">IF(C7935="M.O.",VLOOKUP(A7935,INSUMOS_AUX!A:F,6,0),0)</f>
        <v>0</v>
      </c>
    </row>
    <row r="7936" customFormat="false" ht="21" hidden="false" customHeight="false" outlineLevel="0" collapsed="false">
      <c r="A7936" s="154" t="n">
        <v>43489</v>
      </c>
      <c r="B7936" s="155" t="s">
        <v>1456</v>
      </c>
      <c r="C7936" s="148" t="str">
        <f aca="false">VLOOKUP($A7936,INSUMOS_AUX!$A$3:$H$813,3,0)</f>
        <v>MAT.</v>
      </c>
      <c r="D7936" s="156" t="s">
        <v>1444</v>
      </c>
      <c r="E7936" s="154" t="n">
        <v>0.0277</v>
      </c>
      <c r="F7936" s="149" t="n">
        <f aca="false">IF(C7936="MAT.",VLOOKUP(A7936,INSUMOS_AUX!$A$3:$H$813,6,0),0)</f>
        <v>1.31</v>
      </c>
      <c r="G7936" s="149" t="n">
        <f aca="false">IF(C7936="M.O.",VLOOKUP(A7936,INSUMOS_AUX!A:F,6,0),0)</f>
        <v>0</v>
      </c>
    </row>
    <row r="7937" customFormat="false" ht="21" hidden="false" customHeight="false" outlineLevel="0" collapsed="false">
      <c r="A7937" s="154" t="n">
        <v>43491</v>
      </c>
      <c r="B7937" s="155" t="s">
        <v>1457</v>
      </c>
      <c r="C7937" s="148" t="s">
        <v>59</v>
      </c>
      <c r="D7937" s="156" t="s">
        <v>1444</v>
      </c>
      <c r="E7937" s="154" t="n">
        <v>0.1386</v>
      </c>
      <c r="F7937" s="149" t="n">
        <f aca="false">IF(C7937="MAT.",VLOOKUP(A7937,INSUMOS_AUX!$A$3:$H$813,6,0),0)</f>
        <v>0</v>
      </c>
      <c r="G7937" s="149" t="n">
        <f aca="false">IF(C7937="M.O.",VLOOKUP(A7937,INSUMOS_AUX!A:F,6,0),0)</f>
        <v>0</v>
      </c>
    </row>
    <row r="7938" customFormat="false" ht="21" hidden="false" customHeight="false" outlineLevel="0" collapsed="false">
      <c r="A7938" s="154" t="n">
        <v>37372</v>
      </c>
      <c r="B7938" s="155" t="s">
        <v>1446</v>
      </c>
      <c r="C7938" s="148" t="str">
        <f aca="false">VLOOKUP($A7938,INSUMOS_AUX!$A$3:$H$813,3,0)</f>
        <v>MAT.</v>
      </c>
      <c r="D7938" s="156" t="s">
        <v>1444</v>
      </c>
      <c r="E7938" s="154" t="n">
        <v>0.1663</v>
      </c>
      <c r="F7938" s="149" t="n">
        <f aca="false">IF(C7938="MAT.",VLOOKUP(A7938,INSUMOS_AUX!$A$3:$H$813,6,0),0)</f>
        <v>1.43</v>
      </c>
      <c r="G7938" s="149" t="n">
        <f aca="false">IF(C7938="M.O.",VLOOKUP(A7938,INSUMOS_AUX!A:F,6,0),0)</f>
        <v>0</v>
      </c>
    </row>
    <row r="7939" customFormat="false" ht="21" hidden="false" customHeight="false" outlineLevel="0" collapsed="false">
      <c r="A7939" s="154" t="n">
        <v>43465</v>
      </c>
      <c r="B7939" s="155" t="s">
        <v>1458</v>
      </c>
      <c r="C7939" s="148" t="str">
        <f aca="false">VLOOKUP($A7939,INSUMOS_AUX!$A$3:$H$813,3,0)</f>
        <v>MAT.</v>
      </c>
      <c r="D7939" s="156" t="s">
        <v>1444</v>
      </c>
      <c r="E7939" s="154" t="n">
        <v>0.0277</v>
      </c>
      <c r="F7939" s="149" t="n">
        <f aca="false">IF(C7939="MAT.",VLOOKUP(A7939,INSUMOS_AUX!$A$3:$H$813,6,0),0)</f>
        <v>0.78</v>
      </c>
      <c r="G7939" s="149" t="n">
        <f aca="false">IF(C7939="M.O.",VLOOKUP(A7939,INSUMOS_AUX!A:F,6,0),0)</f>
        <v>0</v>
      </c>
    </row>
    <row r="7940" customFormat="false" ht="21" hidden="false" customHeight="false" outlineLevel="0" collapsed="false">
      <c r="A7940" s="154" t="n">
        <v>43467</v>
      </c>
      <c r="B7940" s="155" t="s">
        <v>1459</v>
      </c>
      <c r="C7940" s="148" t="str">
        <f aca="false">VLOOKUP($A7940,INSUMOS_AUX!$A$3:$H$813,3,0)</f>
        <v>MAT.</v>
      </c>
      <c r="D7940" s="156" t="s">
        <v>1444</v>
      </c>
      <c r="E7940" s="154" t="n">
        <v>0.1386</v>
      </c>
      <c r="F7940" s="149" t="n">
        <f aca="false">IF(C7940="MAT.",VLOOKUP(A7940,INSUMOS_AUX!$A$3:$H$813,6,0),0)</f>
        <v>0.61</v>
      </c>
      <c r="G7940" s="149" t="n">
        <f aca="false">IF(C7940="M.O.",VLOOKUP(A7940,INSUMOS_AUX!A:F,6,0),0)</f>
        <v>0</v>
      </c>
    </row>
    <row r="7941" customFormat="false" ht="21" hidden="false" customHeight="false" outlineLevel="0" collapsed="false">
      <c r="A7941" s="154" t="n">
        <v>37373</v>
      </c>
      <c r="B7941" s="155" t="s">
        <v>1448</v>
      </c>
      <c r="C7941" s="148" t="str">
        <f aca="false">VLOOKUP($A7941,INSUMOS_AUX!$A$3:$H$813,3,0)</f>
        <v>MAT.</v>
      </c>
      <c r="D7941" s="156" t="s">
        <v>1444</v>
      </c>
      <c r="E7941" s="154" t="n">
        <v>0.1663</v>
      </c>
      <c r="F7941" s="149" t="n">
        <f aca="false">IF(C7941="MAT.",VLOOKUP(A7941,INSUMOS_AUX!$A$3:$H$813,6,0),0)</f>
        <v>0.08</v>
      </c>
      <c r="G7941" s="149" t="n">
        <f aca="false">IF(C7941="M.O.",VLOOKUP(A7941,INSUMOS_AUX!A:F,6,0),0)</f>
        <v>0</v>
      </c>
    </row>
    <row r="7942" customFormat="false" ht="21" hidden="false" customHeight="false" outlineLevel="0" collapsed="false">
      <c r="A7942" s="154" t="n">
        <v>37371</v>
      </c>
      <c r="B7942" s="155" t="s">
        <v>1449</v>
      </c>
      <c r="C7942" s="148" t="str">
        <f aca="false">VLOOKUP($A7942,INSUMOS_AUX!$A$3:$H$813,3,0)</f>
        <v>MAT.</v>
      </c>
      <c r="D7942" s="156" t="s">
        <v>1444</v>
      </c>
      <c r="E7942" s="154" t="n">
        <v>0.1663</v>
      </c>
      <c r="F7942" s="149" t="n">
        <f aca="false">IF(C7942="MAT.",VLOOKUP(A7942,INSUMOS_AUX!$A$3:$H$813,6,0),0)</f>
        <v>0.59</v>
      </c>
      <c r="G7942" s="149" t="n">
        <f aca="false">IF(C7942="M.O.",VLOOKUP(A7942,INSUMOS_AUX!A:F,6,0),0)</f>
        <v>0</v>
      </c>
    </row>
    <row r="7943" customFormat="false" ht="21" hidden="false" customHeight="false" outlineLevel="0" collapsed="false">
      <c r="A7943" s="154" t="n">
        <v>3322</v>
      </c>
      <c r="B7943" s="155" t="s">
        <v>2911</v>
      </c>
      <c r="C7943" s="148" t="str">
        <f aca="false">VLOOKUP($A7943,INSUMOS_AUX!$A$3:$H$813,3,0)</f>
        <v>MAT.</v>
      </c>
      <c r="D7943" s="156" t="s">
        <v>1477</v>
      </c>
      <c r="E7943" s="154" t="n">
        <v>1</v>
      </c>
      <c r="F7943" s="149" t="n">
        <f aca="false">IF(C7943="MAT.",VLOOKUP(A7943,INSUMOS_AUX!$A$3:$H$813,6,0),0)</f>
        <v>15.75</v>
      </c>
      <c r="G7943" s="149" t="n">
        <f aca="false">IF(C7943="M.O.",VLOOKUP(A7943,INSUMOS_AUX!A:F,6,0),0)</f>
        <v>0</v>
      </c>
    </row>
    <row r="7944" customFormat="false" ht="15" hidden="false" customHeight="false" outlineLevel="0" collapsed="false">
      <c r="A7944" s="154" t="n">
        <v>44503</v>
      </c>
      <c r="B7944" s="155" t="s">
        <v>1491</v>
      </c>
      <c r="C7944" s="148" t="str">
        <f aca="false">VLOOKUP($A7944,INSUMOS_AUX!$A$3:$H$813,3,0)</f>
        <v>M.O.</v>
      </c>
      <c r="D7944" s="156" t="s">
        <v>1444</v>
      </c>
      <c r="E7944" s="154" t="n">
        <v>0.027840993</v>
      </c>
      <c r="F7944" s="149" t="n">
        <f aca="false">IF(C7944="MAT.",VLOOKUP(A7944,INSUMOS_AUX!$A$3:$H$813,6,0),0)</f>
        <v>0</v>
      </c>
      <c r="G7944" s="149" t="n">
        <f aca="false">IF(C7944="M.O.",VLOOKUP(A7944,INSUMOS_AUX!A:F,6,0),0)</f>
        <v>18.63</v>
      </c>
    </row>
    <row r="7945" customFormat="false" ht="15" hidden="false" customHeight="false" outlineLevel="0" collapsed="false">
      <c r="A7945" s="154" t="n">
        <v>6111</v>
      </c>
      <c r="B7945" s="155" t="s">
        <v>1464</v>
      </c>
      <c r="C7945" s="148" t="str">
        <f aca="false">VLOOKUP($A7945,INSUMOS_AUX!$A$3:$H$813,3,0)</f>
        <v>M.O.</v>
      </c>
      <c r="D7945" s="156" t="s">
        <v>1444</v>
      </c>
      <c r="E7945" s="154" t="n">
        <v>0.14153832</v>
      </c>
      <c r="F7945" s="149" t="n">
        <f aca="false">IF(C7945="MAT.",VLOOKUP(A7945,INSUMOS_AUX!$A$3:$H$813,6,0),0)</f>
        <v>0</v>
      </c>
      <c r="G7945" s="149" t="n">
        <f aca="false">IF(C7945="M.O.",VLOOKUP(A7945,INSUMOS_AUX!A:F,6,0),0)</f>
        <v>12.95</v>
      </c>
    </row>
    <row r="7946" customFormat="false" ht="21" hidden="false" customHeight="false" outlineLevel="0" collapsed="false">
      <c r="A7946" s="150" t="s">
        <v>1348</v>
      </c>
      <c r="B7946" s="151" t="s">
        <v>2912</v>
      </c>
      <c r="C7946" s="152" t="s">
        <v>59</v>
      </c>
      <c r="D7946" s="152" t="s">
        <v>31</v>
      </c>
      <c r="E7946" s="150"/>
      <c r="F7946" s="153" t="n">
        <f aca="false">(SUMPRODUCT($E7947:$E7959,F7947:F7959))*1</f>
        <v>474.21445</v>
      </c>
      <c r="G7946" s="153" t="n">
        <f aca="false">(SUMPRODUCT($E7947:$E7959,G7947:G7959))*1</f>
        <v>86.6423812104</v>
      </c>
    </row>
    <row r="7947" customFormat="false" ht="21" hidden="false" customHeight="false" outlineLevel="0" collapsed="false">
      <c r="A7947" s="154" t="n">
        <v>37370</v>
      </c>
      <c r="B7947" s="155" t="s">
        <v>1443</v>
      </c>
      <c r="C7947" s="148" t="str">
        <f aca="false">VLOOKUP($A7947,INSUMOS_AUX!$A$3:$H$813,3,0)</f>
        <v>MAT.</v>
      </c>
      <c r="D7947" s="156" t="s">
        <v>1444</v>
      </c>
      <c r="E7947" s="154" t="n">
        <v>4.495</v>
      </c>
      <c r="F7947" s="149" t="n">
        <f aca="false">IF(C7947="MAT.",VLOOKUP(A7947,INSUMOS_AUX!$A$3:$H$813,6,0),0)</f>
        <v>3.32</v>
      </c>
      <c r="G7947" s="149" t="n">
        <f aca="false">IF(C7947="M.O.",VLOOKUP(A7947,INSUMOS_AUX!A:F,6,0),0)</f>
        <v>0</v>
      </c>
    </row>
    <row r="7948" customFormat="false" ht="21" hidden="false" customHeight="false" outlineLevel="0" collapsed="false">
      <c r="A7948" s="154" t="n">
        <v>43484</v>
      </c>
      <c r="B7948" s="155" t="s">
        <v>1523</v>
      </c>
      <c r="C7948" s="148" t="str">
        <f aca="false">VLOOKUP($A7948,INSUMOS_AUX!$A$3:$H$813,3,0)</f>
        <v>MAT.</v>
      </c>
      <c r="D7948" s="156" t="s">
        <v>1444</v>
      </c>
      <c r="E7948" s="154" t="n">
        <v>4.495</v>
      </c>
      <c r="F7948" s="149" t="n">
        <f aca="false">IF(C7948="MAT.",VLOOKUP(A7948,INSUMOS_AUX!$A$3:$H$813,6,0),0)</f>
        <v>1.26</v>
      </c>
      <c r="G7948" s="149" t="n">
        <f aca="false">IF(C7948="M.O.",VLOOKUP(A7948,INSUMOS_AUX!A:F,6,0),0)</f>
        <v>0</v>
      </c>
    </row>
    <row r="7949" customFormat="false" ht="21" hidden="false" customHeight="false" outlineLevel="0" collapsed="false">
      <c r="A7949" s="154" t="n">
        <v>37372</v>
      </c>
      <c r="B7949" s="155" t="s">
        <v>1446</v>
      </c>
      <c r="C7949" s="148" t="s">
        <v>59</v>
      </c>
      <c r="D7949" s="156" t="s">
        <v>1444</v>
      </c>
      <c r="E7949" s="154" t="n">
        <v>4.495</v>
      </c>
      <c r="F7949" s="149" t="n">
        <f aca="false">IF(C7949="MAT.",VLOOKUP(A7949,INSUMOS_AUX!$A$3:$H$813,6,0),0)</f>
        <v>0</v>
      </c>
      <c r="G7949" s="149" t="n">
        <f aca="false">IF(C7949="M.O.",VLOOKUP(A7949,INSUMOS_AUX!A:F,6,0),0)</f>
        <v>0</v>
      </c>
    </row>
    <row r="7950" customFormat="false" ht="21" hidden="false" customHeight="false" outlineLevel="0" collapsed="false">
      <c r="A7950" s="154" t="n">
        <v>43460</v>
      </c>
      <c r="B7950" s="155" t="s">
        <v>1524</v>
      </c>
      <c r="C7950" s="148" t="str">
        <f aca="false">VLOOKUP($A7950,INSUMOS_AUX!$A$3:$H$813,3,0)</f>
        <v>MAT.</v>
      </c>
      <c r="D7950" s="156" t="s">
        <v>1444</v>
      </c>
      <c r="E7950" s="154" t="n">
        <v>4.495</v>
      </c>
      <c r="F7950" s="149" t="n">
        <f aca="false">IF(C7950="MAT.",VLOOKUP(A7950,INSUMOS_AUX!$A$3:$H$813,6,0),0)</f>
        <v>0.86</v>
      </c>
      <c r="G7950" s="149" t="n">
        <f aca="false">IF(C7950="M.O.",VLOOKUP(A7950,INSUMOS_AUX!A:F,6,0),0)</f>
        <v>0</v>
      </c>
    </row>
    <row r="7951" customFormat="false" ht="21" hidden="false" customHeight="false" outlineLevel="0" collapsed="false">
      <c r="A7951" s="154" t="n">
        <v>37373</v>
      </c>
      <c r="B7951" s="155" t="s">
        <v>1448</v>
      </c>
      <c r="C7951" s="148" t="str">
        <f aca="false">VLOOKUP($A7951,INSUMOS_AUX!$A$3:$H$813,3,0)</f>
        <v>MAT.</v>
      </c>
      <c r="D7951" s="156" t="s">
        <v>1444</v>
      </c>
      <c r="E7951" s="154" t="n">
        <v>4.495</v>
      </c>
      <c r="F7951" s="149" t="n">
        <f aca="false">IF(C7951="MAT.",VLOOKUP(A7951,INSUMOS_AUX!$A$3:$H$813,6,0),0)</f>
        <v>0.08</v>
      </c>
      <c r="G7951" s="149" t="n">
        <f aca="false">IF(C7951="M.O.",VLOOKUP(A7951,INSUMOS_AUX!A:F,6,0),0)</f>
        <v>0</v>
      </c>
    </row>
    <row r="7952" customFormat="false" ht="21" hidden="false" customHeight="false" outlineLevel="0" collapsed="false">
      <c r="A7952" s="154" t="n">
        <v>37371</v>
      </c>
      <c r="B7952" s="155" t="s">
        <v>1449</v>
      </c>
      <c r="C7952" s="148" t="str">
        <f aca="false">VLOOKUP($A7952,INSUMOS_AUX!$A$3:$H$813,3,0)</f>
        <v>MAT.</v>
      </c>
      <c r="D7952" s="156" t="s">
        <v>1444</v>
      </c>
      <c r="E7952" s="154" t="n">
        <v>4.495</v>
      </c>
      <c r="F7952" s="149" t="n">
        <f aca="false">IF(C7952="MAT.",VLOOKUP(A7952,INSUMOS_AUX!$A$3:$H$813,6,0),0)</f>
        <v>0.59</v>
      </c>
      <c r="G7952" s="149" t="n">
        <f aca="false">IF(C7952="M.O.",VLOOKUP(A7952,INSUMOS_AUX!A:F,6,0),0)</f>
        <v>0</v>
      </c>
    </row>
    <row r="7953" customFormat="false" ht="15" hidden="false" customHeight="false" outlineLevel="0" collapsed="false">
      <c r="A7953" s="154" t="n">
        <v>863</v>
      </c>
      <c r="B7953" s="155" t="s">
        <v>2618</v>
      </c>
      <c r="C7953" s="148" t="str">
        <f aca="false">VLOOKUP($A7953,INSUMOS_AUX!$A$3:$H$813,3,0)</f>
        <v>MAT.</v>
      </c>
      <c r="D7953" s="156" t="s">
        <v>1455</v>
      </c>
      <c r="E7953" s="154" t="n">
        <v>2</v>
      </c>
      <c r="F7953" s="149" t="n">
        <f aca="false">IF(C7953="MAT.",VLOOKUP(A7953,INSUMOS_AUX!$A$3:$H$813,6,0),0)</f>
        <v>39.4</v>
      </c>
      <c r="G7953" s="149" t="n">
        <f aca="false">IF(C7953="M.O.",VLOOKUP(A7953,INSUMOS_AUX!A:F,6,0),0)</f>
        <v>0</v>
      </c>
    </row>
    <row r="7954" customFormat="false" ht="21" hidden="false" customHeight="false" outlineLevel="0" collapsed="false">
      <c r="A7954" s="154" t="n">
        <v>11975</v>
      </c>
      <c r="B7954" s="155" t="s">
        <v>2913</v>
      </c>
      <c r="C7954" s="148" t="str">
        <f aca="false">VLOOKUP($A7954,INSUMOS_AUX!$A$3:$H$813,3,0)</f>
        <v>MAT.</v>
      </c>
      <c r="D7954" s="156" t="s">
        <v>31</v>
      </c>
      <c r="E7954" s="154" t="n">
        <v>4</v>
      </c>
      <c r="F7954" s="149" t="n">
        <f aca="false">IF(C7954="MAT.",VLOOKUP(A7954,INSUMOS_AUX!$A$3:$H$813,6,0),0)</f>
        <v>26.06</v>
      </c>
      <c r="G7954" s="149" t="n">
        <f aca="false">IF(C7954="M.O.",VLOOKUP(A7954,INSUMOS_AUX!A:F,6,0),0)</f>
        <v>0</v>
      </c>
    </row>
    <row r="7955" customFormat="false" ht="21" hidden="false" customHeight="false" outlineLevel="0" collapsed="false">
      <c r="A7955" s="154" t="n">
        <v>38193</v>
      </c>
      <c r="B7955" s="155" t="s">
        <v>2914</v>
      </c>
      <c r="C7955" s="148" t="str">
        <f aca="false">VLOOKUP($A7955,INSUMOS_AUX!$A$3:$H$813,3,0)</f>
        <v>MAT.</v>
      </c>
      <c r="D7955" s="156" t="s">
        <v>31</v>
      </c>
      <c r="E7955" s="154" t="n">
        <v>1</v>
      </c>
      <c r="F7955" s="149" t="n">
        <f aca="false">IF(C7955="MAT.",VLOOKUP(A7955,INSUMOS_AUX!$A$3:$H$813,6,0),0)</f>
        <v>3.99</v>
      </c>
      <c r="G7955" s="149" t="n">
        <f aca="false">IF(C7955="M.O.",VLOOKUP(A7955,INSUMOS_AUX!A:F,6,0),0)</f>
        <v>0</v>
      </c>
    </row>
    <row r="7956" customFormat="false" ht="21" hidden="false" customHeight="false" outlineLevel="0" collapsed="false">
      <c r="A7956" s="154" t="n">
        <v>12388</v>
      </c>
      <c r="B7956" s="155" t="s">
        <v>2915</v>
      </c>
      <c r="C7956" s="148" t="str">
        <f aca="false">VLOOKUP($A7956,INSUMOS_AUX!$A$3:$H$813,3,0)</f>
        <v>MAT.</v>
      </c>
      <c r="D7956" s="156" t="s">
        <v>31</v>
      </c>
      <c r="E7956" s="154" t="n">
        <v>1</v>
      </c>
      <c r="F7956" s="149" t="n">
        <f aca="false">IF(C7956="MAT.",VLOOKUP(A7956,INSUMOS_AUX!$A$3:$H$813,6,0),0)</f>
        <v>252.68</v>
      </c>
      <c r="G7956" s="149" t="n">
        <f aca="false">IF(C7956="M.O.",VLOOKUP(A7956,INSUMOS_AUX!A:F,6,0),0)</f>
        <v>0</v>
      </c>
    </row>
    <row r="7957" customFormat="false" ht="21" hidden="false" customHeight="false" outlineLevel="0" collapsed="false">
      <c r="A7957" s="154" t="n">
        <v>12294</v>
      </c>
      <c r="B7957" s="155" t="s">
        <v>2916</v>
      </c>
      <c r="C7957" s="148" t="str">
        <f aca="false">VLOOKUP($A7957,INSUMOS_AUX!$A$3:$H$813,3,0)</f>
        <v>MAT.</v>
      </c>
      <c r="D7957" s="156" t="s">
        <v>31</v>
      </c>
      <c r="E7957" s="154" t="n">
        <v>1</v>
      </c>
      <c r="F7957" s="149" t="n">
        <f aca="false">IF(C7957="MAT.",VLOOKUP(A7957,INSUMOS_AUX!$A$3:$H$813,6,0),0)</f>
        <v>7.04</v>
      </c>
      <c r="G7957" s="149" t="n">
        <f aca="false">IF(C7957="M.O.",VLOOKUP(A7957,INSUMOS_AUX!A:F,6,0),0)</f>
        <v>0</v>
      </c>
    </row>
    <row r="7958" customFormat="false" ht="15" hidden="false" customHeight="false" outlineLevel="0" collapsed="false">
      <c r="A7958" s="154" t="n">
        <v>247</v>
      </c>
      <c r="B7958" s="155" t="s">
        <v>1554</v>
      </c>
      <c r="C7958" s="148" t="str">
        <f aca="false">VLOOKUP($A7958,INSUMOS_AUX!$A$3:$H$813,3,0)</f>
        <v>M.O.</v>
      </c>
      <c r="D7958" s="156" t="s">
        <v>1444</v>
      </c>
      <c r="E7958" s="154" t="n">
        <v>1.09748456</v>
      </c>
      <c r="F7958" s="149" t="n">
        <f aca="false">IF(C7958="MAT.",VLOOKUP(A7958,INSUMOS_AUX!$A$3:$H$813,6,0),0)</f>
        <v>0</v>
      </c>
      <c r="G7958" s="149" t="n">
        <f aca="false">IF(C7958="M.O.",VLOOKUP(A7958,INSUMOS_AUX!A:F,6,0),0)</f>
        <v>13.26</v>
      </c>
    </row>
    <row r="7959" customFormat="false" ht="15" hidden="false" customHeight="false" outlineLevel="0" collapsed="false">
      <c r="A7959" s="154" t="n">
        <v>2436</v>
      </c>
      <c r="B7959" s="155" t="s">
        <v>1557</v>
      </c>
      <c r="C7959" s="148" t="str">
        <f aca="false">VLOOKUP($A7959,INSUMOS_AUX!$A$3:$H$813,3,0)</f>
        <v>M.O.</v>
      </c>
      <c r="D7959" s="156" t="s">
        <v>1444</v>
      </c>
      <c r="E7959" s="154" t="n">
        <v>3.56526884</v>
      </c>
      <c r="F7959" s="149" t="n">
        <f aca="false">IF(C7959="MAT.",VLOOKUP(A7959,INSUMOS_AUX!$A$3:$H$813,6,0),0)</f>
        <v>0</v>
      </c>
      <c r="G7959" s="149" t="n">
        <f aca="false">IF(C7959="M.O.",VLOOKUP(A7959,INSUMOS_AUX!A:F,6,0),0)</f>
        <v>20.22</v>
      </c>
    </row>
    <row r="7960" customFormat="false" ht="31.5" hidden="false" customHeight="false" outlineLevel="0" collapsed="false">
      <c r="A7960" s="150" t="n">
        <v>97605</v>
      </c>
      <c r="B7960" s="151" t="s">
        <v>2917</v>
      </c>
      <c r="C7960" s="152" t="s">
        <v>59</v>
      </c>
      <c r="D7960" s="152" t="s">
        <v>31</v>
      </c>
      <c r="E7960" s="150"/>
      <c r="F7960" s="153" t="n">
        <f aca="false">(SUMPRODUCT($E7961:$E7970,F7961:F7970))*1</f>
        <v>72.334628375</v>
      </c>
      <c r="G7960" s="153" t="n">
        <f aca="false">(SUMPRODUCT($E7961:$E7970,G7961:G7970))*1</f>
        <v>9.68967017451</v>
      </c>
    </row>
    <row r="7961" customFormat="false" ht="21" hidden="false" customHeight="false" outlineLevel="0" collapsed="false">
      <c r="A7961" s="154" t="n">
        <v>37370</v>
      </c>
      <c r="B7961" s="155" t="s">
        <v>1443</v>
      </c>
      <c r="C7961" s="148" t="str">
        <f aca="false">VLOOKUP($A7961,INSUMOS_AUX!$A$3:$H$813,3,0)</f>
        <v>MAT.</v>
      </c>
      <c r="D7961" s="156" t="s">
        <v>1444</v>
      </c>
      <c r="E7961" s="154" t="n">
        <v>0.5032125</v>
      </c>
      <c r="F7961" s="149" t="n">
        <f aca="false">IF(C7961="MAT.",VLOOKUP(A7961,INSUMOS_AUX!$A$3:$H$813,6,0),0)</f>
        <v>3.32</v>
      </c>
      <c r="G7961" s="149" t="n">
        <f aca="false">IF(C7961="M.O.",VLOOKUP(A7961,INSUMOS_AUX!A:F,6,0),0)</f>
        <v>0</v>
      </c>
    </row>
    <row r="7962" customFormat="false" ht="21" hidden="false" customHeight="false" outlineLevel="0" collapsed="false">
      <c r="A7962" s="154" t="n">
        <v>43484</v>
      </c>
      <c r="B7962" s="155" t="s">
        <v>1523</v>
      </c>
      <c r="C7962" s="148" t="str">
        <f aca="false">VLOOKUP($A7962,INSUMOS_AUX!$A$3:$H$813,3,0)</f>
        <v>MAT.</v>
      </c>
      <c r="D7962" s="156" t="s">
        <v>1444</v>
      </c>
      <c r="E7962" s="154" t="n">
        <v>0.5032125</v>
      </c>
      <c r="F7962" s="149" t="n">
        <f aca="false">IF(C7962="MAT.",VLOOKUP(A7962,INSUMOS_AUX!$A$3:$H$813,6,0),0)</f>
        <v>1.26</v>
      </c>
      <c r="G7962" s="149" t="n">
        <f aca="false">IF(C7962="M.O.",VLOOKUP(A7962,INSUMOS_AUX!A:F,6,0),0)</f>
        <v>0</v>
      </c>
    </row>
    <row r="7963" customFormat="false" ht="21" hidden="false" customHeight="false" outlineLevel="0" collapsed="false">
      <c r="A7963" s="154" t="n">
        <v>37372</v>
      </c>
      <c r="B7963" s="155" t="s">
        <v>1446</v>
      </c>
      <c r="C7963" s="148" t="s">
        <v>59</v>
      </c>
      <c r="D7963" s="156" t="s">
        <v>1444</v>
      </c>
      <c r="E7963" s="154" t="n">
        <v>0.5032125</v>
      </c>
      <c r="F7963" s="149" t="n">
        <f aca="false">IF(C7963="MAT.",VLOOKUP(A7963,INSUMOS_AUX!$A$3:$H$813,6,0),0)</f>
        <v>0</v>
      </c>
      <c r="G7963" s="149" t="n">
        <f aca="false">IF(C7963="M.O.",VLOOKUP(A7963,INSUMOS_AUX!A:F,6,0),0)</f>
        <v>0</v>
      </c>
    </row>
    <row r="7964" customFormat="false" ht="21" hidden="false" customHeight="false" outlineLevel="0" collapsed="false">
      <c r="A7964" s="154" t="n">
        <v>43460</v>
      </c>
      <c r="B7964" s="155" t="s">
        <v>1524</v>
      </c>
      <c r="C7964" s="148" t="str">
        <f aca="false">VLOOKUP($A7964,INSUMOS_AUX!$A$3:$H$813,3,0)</f>
        <v>MAT.</v>
      </c>
      <c r="D7964" s="156" t="s">
        <v>1444</v>
      </c>
      <c r="E7964" s="154" t="n">
        <v>0.5032125</v>
      </c>
      <c r="F7964" s="149" t="n">
        <f aca="false">IF(C7964="MAT.",VLOOKUP(A7964,INSUMOS_AUX!$A$3:$H$813,6,0),0)</f>
        <v>0.86</v>
      </c>
      <c r="G7964" s="149" t="n">
        <f aca="false">IF(C7964="M.O.",VLOOKUP(A7964,INSUMOS_AUX!A:F,6,0),0)</f>
        <v>0</v>
      </c>
    </row>
    <row r="7965" customFormat="false" ht="21" hidden="false" customHeight="false" outlineLevel="0" collapsed="false">
      <c r="A7965" s="154" t="n">
        <v>37373</v>
      </c>
      <c r="B7965" s="155" t="s">
        <v>1448</v>
      </c>
      <c r="C7965" s="148" t="str">
        <f aca="false">VLOOKUP($A7965,INSUMOS_AUX!$A$3:$H$813,3,0)</f>
        <v>MAT.</v>
      </c>
      <c r="D7965" s="156" t="s">
        <v>1444</v>
      </c>
      <c r="E7965" s="154" t="n">
        <v>0.5032125</v>
      </c>
      <c r="F7965" s="149" t="n">
        <f aca="false">IF(C7965="MAT.",VLOOKUP(A7965,INSUMOS_AUX!$A$3:$H$813,6,0),0)</f>
        <v>0.08</v>
      </c>
      <c r="G7965" s="149" t="n">
        <f aca="false">IF(C7965="M.O.",VLOOKUP(A7965,INSUMOS_AUX!A:F,6,0),0)</f>
        <v>0</v>
      </c>
    </row>
    <row r="7966" customFormat="false" ht="21" hidden="false" customHeight="false" outlineLevel="0" collapsed="false">
      <c r="A7966" s="154" t="n">
        <v>37371</v>
      </c>
      <c r="B7966" s="155" t="s">
        <v>1449</v>
      </c>
      <c r="C7966" s="148" t="str">
        <f aca="false">VLOOKUP($A7966,INSUMOS_AUX!$A$3:$H$813,3,0)</f>
        <v>MAT.</v>
      </c>
      <c r="D7966" s="156" t="s">
        <v>1444</v>
      </c>
      <c r="E7966" s="154" t="n">
        <v>0.5032125</v>
      </c>
      <c r="F7966" s="149" t="n">
        <f aca="false">IF(C7966="MAT.",VLOOKUP(A7966,INSUMOS_AUX!$A$3:$H$813,6,0),0)</f>
        <v>0.59</v>
      </c>
      <c r="G7966" s="149" t="n">
        <f aca="false">IF(C7966="M.O.",VLOOKUP(A7966,INSUMOS_AUX!A:F,6,0),0)</f>
        <v>0</v>
      </c>
    </row>
    <row r="7967" customFormat="false" ht="21" hidden="false" customHeight="false" outlineLevel="0" collapsed="false">
      <c r="A7967" s="154" t="n">
        <v>38193</v>
      </c>
      <c r="B7967" s="155" t="s">
        <v>2914</v>
      </c>
      <c r="C7967" s="148" t="str">
        <f aca="false">VLOOKUP($A7967,INSUMOS_AUX!$A$3:$H$813,3,0)</f>
        <v>MAT.</v>
      </c>
      <c r="D7967" s="156" t="s">
        <v>31</v>
      </c>
      <c r="E7967" s="154" t="n">
        <v>1</v>
      </c>
      <c r="F7967" s="149" t="n">
        <f aca="false">IF(C7967="MAT.",VLOOKUP(A7967,INSUMOS_AUX!$A$3:$H$813,6,0),0)</f>
        <v>3.99</v>
      </c>
      <c r="G7967" s="149" t="n">
        <f aca="false">IF(C7967="M.O.",VLOOKUP(A7967,INSUMOS_AUX!A:F,6,0),0)</f>
        <v>0</v>
      </c>
    </row>
    <row r="7968" customFormat="false" ht="31.5" hidden="false" customHeight="false" outlineLevel="0" collapsed="false">
      <c r="A7968" s="154" t="n">
        <v>38769</v>
      </c>
      <c r="B7968" s="155" t="s">
        <v>2918</v>
      </c>
      <c r="C7968" s="148" t="str">
        <f aca="false">VLOOKUP($A7968,INSUMOS_AUX!$A$3:$H$813,3,0)</f>
        <v>MAT.</v>
      </c>
      <c r="D7968" s="156" t="s">
        <v>31</v>
      </c>
      <c r="E7968" s="154" t="n">
        <v>1</v>
      </c>
      <c r="F7968" s="149" t="n">
        <f aca="false">IF(C7968="MAT.",VLOOKUP(A7968,INSUMOS_AUX!$A$3:$H$813,6,0),0)</f>
        <v>65.27</v>
      </c>
      <c r="G7968" s="149" t="n">
        <f aca="false">IF(C7968="M.O.",VLOOKUP(A7968,INSUMOS_AUX!A:F,6,0),0)</f>
        <v>0</v>
      </c>
    </row>
    <row r="7969" customFormat="false" ht="15" hidden="false" customHeight="false" outlineLevel="0" collapsed="false">
      <c r="A7969" s="154" t="n">
        <v>247</v>
      </c>
      <c r="B7969" s="155" t="s">
        <v>1554</v>
      </c>
      <c r="C7969" s="148" t="str">
        <f aca="false">VLOOKUP($A7969,INSUMOS_AUX!$A$3:$H$813,3,0)</f>
        <v>M.O.</v>
      </c>
      <c r="D7969" s="156" t="s">
        <v>1444</v>
      </c>
      <c r="E7969" s="154" t="n">
        <v>0.1242839025</v>
      </c>
      <c r="F7969" s="149" t="n">
        <f aca="false">IF(C7969="MAT.",VLOOKUP(A7969,INSUMOS_AUX!$A$3:$H$813,6,0),0)</f>
        <v>0</v>
      </c>
      <c r="G7969" s="149" t="n">
        <f aca="false">IF(C7969="M.O.",VLOOKUP(A7969,INSUMOS_AUX!A:F,6,0),0)</f>
        <v>13.26</v>
      </c>
    </row>
    <row r="7970" customFormat="false" ht="15" hidden="false" customHeight="false" outlineLevel="0" collapsed="false">
      <c r="A7970" s="154" t="n">
        <v>2436</v>
      </c>
      <c r="B7970" s="155" t="s">
        <v>1557</v>
      </c>
      <c r="C7970" s="148" t="str">
        <f aca="false">VLOOKUP($A7970,INSUMOS_AUX!$A$3:$H$813,3,0)</f>
        <v>M.O.</v>
      </c>
      <c r="D7970" s="156" t="s">
        <v>1444</v>
      </c>
      <c r="E7970" s="154" t="n">
        <v>0.397708488</v>
      </c>
      <c r="F7970" s="149" t="n">
        <f aca="false">IF(C7970="MAT.",VLOOKUP(A7970,INSUMOS_AUX!$A$3:$H$813,6,0),0)</f>
        <v>0</v>
      </c>
      <c r="G7970" s="149" t="n">
        <f aca="false">IF(C7970="M.O.",VLOOKUP(A7970,INSUMOS_AUX!A:F,6,0),0)</f>
        <v>20.22</v>
      </c>
    </row>
    <row r="7971" customFormat="false" ht="21" hidden="false" customHeight="false" outlineLevel="0" collapsed="false">
      <c r="A7971" s="150" t="n">
        <v>99804</v>
      </c>
      <c r="B7971" s="151" t="s">
        <v>2919</v>
      </c>
      <c r="C7971" s="152" t="s">
        <v>59</v>
      </c>
      <c r="D7971" s="152" t="s">
        <v>1477</v>
      </c>
      <c r="E7971" s="150"/>
      <c r="F7971" s="153" t="n">
        <f aca="false">(SUMPRODUCT($E7972:$E7979,F7972:F7979))*1</f>
        <v>1.57164</v>
      </c>
      <c r="G7971" s="153" t="n">
        <f aca="false">(SUMPRODUCT($E7972:$E7979,G7972:G7979))*1</f>
        <v>3.27968592</v>
      </c>
    </row>
    <row r="7972" customFormat="false" ht="21" hidden="false" customHeight="false" outlineLevel="0" collapsed="false">
      <c r="A7972" s="154" t="n">
        <v>37370</v>
      </c>
      <c r="B7972" s="155" t="s">
        <v>1443</v>
      </c>
      <c r="C7972" s="148" t="str">
        <f aca="false">VLOOKUP($A7972,INSUMOS_AUX!$A$3:$H$813,3,0)</f>
        <v>MAT.</v>
      </c>
      <c r="D7972" s="156" t="s">
        <v>1444</v>
      </c>
      <c r="E7972" s="154" t="n">
        <v>0.248</v>
      </c>
      <c r="F7972" s="149" t="n">
        <f aca="false">IF(C7972="MAT.",VLOOKUP(A7972,INSUMOS_AUX!$A$3:$H$813,6,0),0)</f>
        <v>3.32</v>
      </c>
      <c r="G7972" s="149" t="n">
        <f aca="false">IF(C7972="M.O.",VLOOKUP(A7972,INSUMOS_AUX!A:F,6,0),0)</f>
        <v>0</v>
      </c>
    </row>
    <row r="7973" customFormat="false" ht="21" hidden="false" customHeight="false" outlineLevel="0" collapsed="false">
      <c r="A7973" s="154" t="n">
        <v>43491</v>
      </c>
      <c r="B7973" s="155" t="s">
        <v>1457</v>
      </c>
      <c r="C7973" s="148" t="s">
        <v>59</v>
      </c>
      <c r="D7973" s="156" t="s">
        <v>1444</v>
      </c>
      <c r="E7973" s="154" t="n">
        <v>0.248</v>
      </c>
      <c r="F7973" s="149" t="n">
        <f aca="false">IF(C7973="MAT.",VLOOKUP(A7973,INSUMOS_AUX!$A$3:$H$813,6,0),0)</f>
        <v>0</v>
      </c>
      <c r="G7973" s="149" t="n">
        <f aca="false">IF(C7973="M.O.",VLOOKUP(A7973,INSUMOS_AUX!A:F,6,0),0)</f>
        <v>0</v>
      </c>
    </row>
    <row r="7974" customFormat="false" ht="21" hidden="false" customHeight="false" outlineLevel="0" collapsed="false">
      <c r="A7974" s="154" t="n">
        <v>37372</v>
      </c>
      <c r="B7974" s="155" t="s">
        <v>1446</v>
      </c>
      <c r="C7974" s="148" t="str">
        <f aca="false">VLOOKUP($A7974,INSUMOS_AUX!$A$3:$H$813,3,0)</f>
        <v>MAT.</v>
      </c>
      <c r="D7974" s="156" t="s">
        <v>1444</v>
      </c>
      <c r="E7974" s="154" t="n">
        <v>0.248</v>
      </c>
      <c r="F7974" s="149" t="n">
        <f aca="false">IF(C7974="MAT.",VLOOKUP(A7974,INSUMOS_AUX!$A$3:$H$813,6,0),0)</f>
        <v>1.43</v>
      </c>
      <c r="G7974" s="149" t="n">
        <f aca="false">IF(C7974="M.O.",VLOOKUP(A7974,INSUMOS_AUX!A:F,6,0),0)</f>
        <v>0</v>
      </c>
    </row>
    <row r="7975" customFormat="false" ht="21" hidden="false" customHeight="false" outlineLevel="0" collapsed="false">
      <c r="A7975" s="154" t="n">
        <v>43467</v>
      </c>
      <c r="B7975" s="155" t="s">
        <v>1459</v>
      </c>
      <c r="C7975" s="148" t="str">
        <f aca="false">VLOOKUP($A7975,INSUMOS_AUX!$A$3:$H$813,3,0)</f>
        <v>MAT.</v>
      </c>
      <c r="D7975" s="156" t="s">
        <v>1444</v>
      </c>
      <c r="E7975" s="154" t="n">
        <v>0.248</v>
      </c>
      <c r="F7975" s="149" t="n">
        <f aca="false">IF(C7975="MAT.",VLOOKUP(A7975,INSUMOS_AUX!$A$3:$H$813,6,0),0)</f>
        <v>0.61</v>
      </c>
      <c r="G7975" s="149" t="n">
        <f aca="false">IF(C7975="M.O.",VLOOKUP(A7975,INSUMOS_AUX!A:F,6,0),0)</f>
        <v>0</v>
      </c>
    </row>
    <row r="7976" customFormat="false" ht="21" hidden="false" customHeight="false" outlineLevel="0" collapsed="false">
      <c r="A7976" s="154" t="n">
        <v>37373</v>
      </c>
      <c r="B7976" s="155" t="s">
        <v>1448</v>
      </c>
      <c r="C7976" s="148" t="str">
        <f aca="false">VLOOKUP($A7976,INSUMOS_AUX!$A$3:$H$813,3,0)</f>
        <v>MAT.</v>
      </c>
      <c r="D7976" s="156" t="s">
        <v>1444</v>
      </c>
      <c r="E7976" s="154" t="n">
        <v>0.248</v>
      </c>
      <c r="F7976" s="149" t="n">
        <f aca="false">IF(C7976="MAT.",VLOOKUP(A7976,INSUMOS_AUX!$A$3:$H$813,6,0),0)</f>
        <v>0.08</v>
      </c>
      <c r="G7976" s="149" t="n">
        <f aca="false">IF(C7976="M.O.",VLOOKUP(A7976,INSUMOS_AUX!A:F,6,0),0)</f>
        <v>0</v>
      </c>
    </row>
    <row r="7977" customFormat="false" ht="21" hidden="false" customHeight="false" outlineLevel="0" collapsed="false">
      <c r="A7977" s="154" t="n">
        <v>37371</v>
      </c>
      <c r="B7977" s="155" t="s">
        <v>1449</v>
      </c>
      <c r="C7977" s="148" t="str">
        <f aca="false">VLOOKUP($A7977,INSUMOS_AUX!$A$3:$H$813,3,0)</f>
        <v>MAT.</v>
      </c>
      <c r="D7977" s="156" t="s">
        <v>1444</v>
      </c>
      <c r="E7977" s="154" t="n">
        <v>0.248</v>
      </c>
      <c r="F7977" s="149" t="n">
        <f aca="false">IF(C7977="MAT.",VLOOKUP(A7977,INSUMOS_AUX!$A$3:$H$813,6,0),0)</f>
        <v>0.59</v>
      </c>
      <c r="G7977" s="149" t="n">
        <f aca="false">IF(C7977="M.O.",VLOOKUP(A7977,INSUMOS_AUX!A:F,6,0),0)</f>
        <v>0</v>
      </c>
    </row>
    <row r="7978" customFormat="false" ht="15" hidden="false" customHeight="false" outlineLevel="0" collapsed="false">
      <c r="A7978" s="154" t="n">
        <v>44329</v>
      </c>
      <c r="B7978" s="155" t="s">
        <v>2920</v>
      </c>
      <c r="C7978" s="148" t="str">
        <f aca="false">VLOOKUP($A7978,INSUMOS_AUX!$A$3:$H$813,3,0)</f>
        <v>MAT.</v>
      </c>
      <c r="D7978" s="156" t="s">
        <v>1452</v>
      </c>
      <c r="E7978" s="154" t="n">
        <v>0.006</v>
      </c>
      <c r="F7978" s="149" t="n">
        <f aca="false">IF(C7978="MAT.",VLOOKUP(A7978,INSUMOS_AUX!$A$3:$H$813,6,0),0)</f>
        <v>12.7</v>
      </c>
      <c r="G7978" s="149" t="n">
        <f aca="false">IF(C7978="M.O.",VLOOKUP(A7978,INSUMOS_AUX!A:F,6,0),0)</f>
        <v>0</v>
      </c>
    </row>
    <row r="7979" customFormat="false" ht="15" hidden="false" customHeight="false" outlineLevel="0" collapsed="false">
      <c r="A7979" s="154" t="n">
        <v>6111</v>
      </c>
      <c r="B7979" s="155" t="s">
        <v>1464</v>
      </c>
      <c r="C7979" s="148" t="str">
        <f aca="false">VLOOKUP($A7979,INSUMOS_AUX!$A$3:$H$813,3,0)</f>
        <v>M.O.</v>
      </c>
      <c r="D7979" s="156" t="s">
        <v>1444</v>
      </c>
      <c r="E7979" s="154" t="n">
        <v>0.2532576</v>
      </c>
      <c r="F7979" s="149" t="n">
        <f aca="false">IF(C7979="MAT.",VLOOKUP(A7979,INSUMOS_AUX!$A$3:$H$813,6,0),0)</f>
        <v>0</v>
      </c>
      <c r="G7979" s="149" t="n">
        <f aca="false">IF(C7979="M.O.",VLOOKUP(A7979,INSUMOS_AUX!A:F,6,0),0)</f>
        <v>12.95</v>
      </c>
    </row>
    <row r="7980" customFormat="false" ht="21" hidden="false" customHeight="false" outlineLevel="0" collapsed="false">
      <c r="A7980" s="150" t="n">
        <v>99807</v>
      </c>
      <c r="B7980" s="151" t="s">
        <v>2921</v>
      </c>
      <c r="C7980" s="152" t="s">
        <v>59</v>
      </c>
      <c r="D7980" s="152" t="s">
        <v>1477</v>
      </c>
      <c r="E7980" s="150"/>
      <c r="F7980" s="153" t="n">
        <f aca="false">(SUMPRODUCT($E7981:$E7988,F7981:F7988))*1</f>
        <v>0.57479</v>
      </c>
      <c r="G7980" s="153" t="n">
        <f aca="false">(SUMPRODUCT($E7981:$E7988,G7981:G7988))*1</f>
        <v>0.96539142</v>
      </c>
    </row>
    <row r="7981" customFormat="false" ht="21" hidden="false" customHeight="false" outlineLevel="0" collapsed="false">
      <c r="A7981" s="154" t="n">
        <v>37370</v>
      </c>
      <c r="B7981" s="155" t="s">
        <v>1443</v>
      </c>
      <c r="C7981" s="148" t="str">
        <f aca="false">VLOOKUP($A7981,INSUMOS_AUX!$A$3:$H$813,3,0)</f>
        <v>MAT.</v>
      </c>
      <c r="D7981" s="156" t="s">
        <v>1444</v>
      </c>
      <c r="E7981" s="154" t="n">
        <v>0.073</v>
      </c>
      <c r="F7981" s="149" t="n">
        <f aca="false">IF(C7981="MAT.",VLOOKUP(A7981,INSUMOS_AUX!$A$3:$H$813,6,0),0)</f>
        <v>3.32</v>
      </c>
      <c r="G7981" s="149" t="n">
        <f aca="false">IF(C7981="M.O.",VLOOKUP(A7981,INSUMOS_AUX!A:F,6,0),0)</f>
        <v>0</v>
      </c>
    </row>
    <row r="7982" customFormat="false" ht="21" hidden="false" customHeight="false" outlineLevel="0" collapsed="false">
      <c r="A7982" s="154" t="n">
        <v>43491</v>
      </c>
      <c r="B7982" s="155" t="s">
        <v>1457</v>
      </c>
      <c r="C7982" s="148" t="str">
        <f aca="false">VLOOKUP($A7982,INSUMOS_AUX!$A$3:$H$813,3,0)</f>
        <v>MAT.</v>
      </c>
      <c r="D7982" s="156" t="s">
        <v>1444</v>
      </c>
      <c r="E7982" s="154" t="n">
        <v>0.073</v>
      </c>
      <c r="F7982" s="149" t="n">
        <f aca="false">IF(C7982="MAT.",VLOOKUP(A7982,INSUMOS_AUX!$A$3:$H$813,6,0),0)</f>
        <v>1.39</v>
      </c>
      <c r="G7982" s="149" t="n">
        <f aca="false">IF(C7982="M.O.",VLOOKUP(A7982,INSUMOS_AUX!A:F,6,0),0)</f>
        <v>0</v>
      </c>
    </row>
    <row r="7983" customFormat="false" ht="21" hidden="false" customHeight="false" outlineLevel="0" collapsed="false">
      <c r="A7983" s="154" t="n">
        <v>37372</v>
      </c>
      <c r="B7983" s="155" t="s">
        <v>1446</v>
      </c>
      <c r="C7983" s="148" t="str">
        <f aca="false">VLOOKUP($A7983,INSUMOS_AUX!$A$3:$H$813,3,0)</f>
        <v>MAT.</v>
      </c>
      <c r="D7983" s="156" t="s">
        <v>1444</v>
      </c>
      <c r="E7983" s="154" t="n">
        <v>0.073</v>
      </c>
      <c r="F7983" s="149" t="n">
        <f aca="false">IF(C7983="MAT.",VLOOKUP(A7983,INSUMOS_AUX!$A$3:$H$813,6,0),0)</f>
        <v>1.43</v>
      </c>
      <c r="G7983" s="149" t="n">
        <f aca="false">IF(C7983="M.O.",VLOOKUP(A7983,INSUMOS_AUX!A:F,6,0),0)</f>
        <v>0</v>
      </c>
    </row>
    <row r="7984" customFormat="false" ht="21" hidden="false" customHeight="false" outlineLevel="0" collapsed="false">
      <c r="A7984" s="154" t="n">
        <v>43467</v>
      </c>
      <c r="B7984" s="155" t="s">
        <v>1459</v>
      </c>
      <c r="C7984" s="148" t="str">
        <f aca="false">VLOOKUP($A7984,INSUMOS_AUX!$A$3:$H$813,3,0)</f>
        <v>MAT.</v>
      </c>
      <c r="D7984" s="156" t="s">
        <v>1444</v>
      </c>
      <c r="E7984" s="154" t="n">
        <v>0.073</v>
      </c>
      <c r="F7984" s="149" t="n">
        <f aca="false">IF(C7984="MAT.",VLOOKUP(A7984,INSUMOS_AUX!$A$3:$H$813,6,0),0)</f>
        <v>0.61</v>
      </c>
      <c r="G7984" s="149" t="n">
        <f aca="false">IF(C7984="M.O.",VLOOKUP(A7984,INSUMOS_AUX!A:F,6,0),0)</f>
        <v>0</v>
      </c>
    </row>
    <row r="7985" customFormat="false" ht="21" hidden="false" customHeight="false" outlineLevel="0" collapsed="false">
      <c r="A7985" s="154" t="n">
        <v>37373</v>
      </c>
      <c r="B7985" s="155" t="s">
        <v>1448</v>
      </c>
      <c r="C7985" s="148" t="str">
        <f aca="false">VLOOKUP($A7985,INSUMOS_AUX!$A$3:$H$813,3,0)</f>
        <v>MAT.</v>
      </c>
      <c r="D7985" s="156" t="s">
        <v>1444</v>
      </c>
      <c r="E7985" s="154" t="n">
        <v>0.073</v>
      </c>
      <c r="F7985" s="149" t="n">
        <f aca="false">IF(C7985="MAT.",VLOOKUP(A7985,INSUMOS_AUX!$A$3:$H$813,6,0),0)</f>
        <v>0.08</v>
      </c>
      <c r="G7985" s="149" t="n">
        <f aca="false">IF(C7985="M.O.",VLOOKUP(A7985,INSUMOS_AUX!A:F,6,0),0)</f>
        <v>0</v>
      </c>
    </row>
    <row r="7986" customFormat="false" ht="21" hidden="false" customHeight="false" outlineLevel="0" collapsed="false">
      <c r="A7986" s="154" t="n">
        <v>37371</v>
      </c>
      <c r="B7986" s="155" t="s">
        <v>1449</v>
      </c>
      <c r="C7986" s="148" t="s">
        <v>59</v>
      </c>
      <c r="D7986" s="156" t="s">
        <v>1444</v>
      </c>
      <c r="E7986" s="154" t="n">
        <v>0.073</v>
      </c>
      <c r="F7986" s="149" t="n">
        <f aca="false">IF(C7986="MAT.",VLOOKUP(A7986,INSUMOS_AUX!$A$3:$H$813,6,0),0)</f>
        <v>0</v>
      </c>
      <c r="G7986" s="149" t="n">
        <f aca="false">IF(C7986="M.O.",VLOOKUP(A7986,INSUMOS_AUX!A:F,6,0),0)</f>
        <v>0</v>
      </c>
    </row>
    <row r="7987" customFormat="false" ht="15" hidden="false" customHeight="false" outlineLevel="0" collapsed="false">
      <c r="A7987" s="154" t="n">
        <v>44329</v>
      </c>
      <c r="B7987" s="155" t="s">
        <v>2920</v>
      </c>
      <c r="C7987" s="148" t="str">
        <f aca="false">VLOOKUP($A7987,INSUMOS_AUX!$A$3:$H$813,3,0)</f>
        <v>MAT.</v>
      </c>
      <c r="D7987" s="156" t="s">
        <v>1452</v>
      </c>
      <c r="E7987" s="154" t="n">
        <v>0.006</v>
      </c>
      <c r="F7987" s="149" t="n">
        <f aca="false">IF(C7987="MAT.",VLOOKUP(A7987,INSUMOS_AUX!$A$3:$H$813,6,0),0)</f>
        <v>12.7</v>
      </c>
      <c r="G7987" s="149" t="n">
        <f aca="false">IF(C7987="M.O.",VLOOKUP(A7987,INSUMOS_AUX!A:F,6,0),0)</f>
        <v>0</v>
      </c>
    </row>
    <row r="7988" customFormat="false" ht="15" hidden="false" customHeight="false" outlineLevel="0" collapsed="false">
      <c r="A7988" s="154" t="n">
        <v>6111</v>
      </c>
      <c r="B7988" s="155" t="s">
        <v>1464</v>
      </c>
      <c r="C7988" s="148" t="str">
        <f aca="false">VLOOKUP($A7988,INSUMOS_AUX!$A$3:$H$813,3,0)</f>
        <v>M.O.</v>
      </c>
      <c r="D7988" s="156" t="s">
        <v>1444</v>
      </c>
      <c r="E7988" s="154" t="n">
        <v>0.0745476</v>
      </c>
      <c r="F7988" s="149" t="n">
        <f aca="false">IF(C7988="MAT.",VLOOKUP(A7988,INSUMOS_AUX!$A$3:$H$813,6,0),0)</f>
        <v>0</v>
      </c>
      <c r="G7988" s="149" t="n">
        <f aca="false">IF(C7988="M.O.",VLOOKUP(A7988,INSUMOS_AUX!A:F,6,0),0)</f>
        <v>12.95</v>
      </c>
    </row>
    <row r="7989" customFormat="false" ht="15" hidden="false" customHeight="false" outlineLevel="0" collapsed="false">
      <c r="A7989" s="150" t="n">
        <v>99822</v>
      </c>
      <c r="B7989" s="151" t="s">
        <v>2922</v>
      </c>
      <c r="C7989" s="152" t="s">
        <v>59</v>
      </c>
      <c r="D7989" s="152" t="s">
        <v>1477</v>
      </c>
      <c r="E7989" s="150"/>
      <c r="F7989" s="153" t="n">
        <f aca="false">(SUMPRODUCT($E7990:$E7996,F7990:F7996))*1</f>
        <v>0.34874</v>
      </c>
      <c r="G7989" s="153" t="n">
        <f aca="false">(SUMPRODUCT($E7990:$E7996,G7990:G7996))*1</f>
        <v>0</v>
      </c>
    </row>
    <row r="7990" customFormat="false" ht="21" hidden="false" customHeight="false" outlineLevel="0" collapsed="false">
      <c r="A7990" s="154" t="n">
        <v>37370</v>
      </c>
      <c r="B7990" s="155" t="s">
        <v>1443</v>
      </c>
      <c r="C7990" s="148" t="str">
        <f aca="false">VLOOKUP($A7990,INSUMOS_AUX!$A$3:$H$813,3,0)</f>
        <v>MAT.</v>
      </c>
      <c r="D7990" s="156" t="s">
        <v>1444</v>
      </c>
      <c r="E7990" s="154" t="n">
        <v>0.047</v>
      </c>
      <c r="F7990" s="149" t="n">
        <f aca="false">IF(C7990="MAT.",VLOOKUP(A7990,INSUMOS_AUX!$A$3:$H$813,6,0),0)</f>
        <v>3.32</v>
      </c>
      <c r="G7990" s="149" t="n">
        <f aca="false">IF(C7990="M.O.",VLOOKUP(A7990,INSUMOS_AUX!A:F,6,0),0)</f>
        <v>0</v>
      </c>
    </row>
    <row r="7991" customFormat="false" ht="21" hidden="false" customHeight="false" outlineLevel="0" collapsed="false">
      <c r="A7991" s="154" t="n">
        <v>43491</v>
      </c>
      <c r="B7991" s="155" t="s">
        <v>1457</v>
      </c>
      <c r="C7991" s="148" t="str">
        <f aca="false">VLOOKUP($A7991,INSUMOS_AUX!$A$3:$H$813,3,0)</f>
        <v>MAT.</v>
      </c>
      <c r="D7991" s="156" t="s">
        <v>1444</v>
      </c>
      <c r="E7991" s="154" t="n">
        <v>0.047</v>
      </c>
      <c r="F7991" s="149" t="n">
        <f aca="false">IF(C7991="MAT.",VLOOKUP(A7991,INSUMOS_AUX!$A$3:$H$813,6,0),0)</f>
        <v>1.39</v>
      </c>
      <c r="G7991" s="149" t="n">
        <f aca="false">IF(C7991="M.O.",VLOOKUP(A7991,INSUMOS_AUX!A:F,6,0),0)</f>
        <v>0</v>
      </c>
    </row>
    <row r="7992" customFormat="false" ht="21" hidden="false" customHeight="false" outlineLevel="0" collapsed="false">
      <c r="A7992" s="154" t="n">
        <v>37372</v>
      </c>
      <c r="B7992" s="155" t="s">
        <v>1446</v>
      </c>
      <c r="C7992" s="148" t="str">
        <f aca="false">VLOOKUP($A7992,INSUMOS_AUX!$A$3:$H$813,3,0)</f>
        <v>MAT.</v>
      </c>
      <c r="D7992" s="156" t="s">
        <v>1444</v>
      </c>
      <c r="E7992" s="154" t="n">
        <v>0.047</v>
      </c>
      <c r="F7992" s="149" t="n">
        <f aca="false">IF(C7992="MAT.",VLOOKUP(A7992,INSUMOS_AUX!$A$3:$H$813,6,0),0)</f>
        <v>1.43</v>
      </c>
      <c r="G7992" s="149" t="n">
        <f aca="false">IF(C7992="M.O.",VLOOKUP(A7992,INSUMOS_AUX!A:F,6,0),0)</f>
        <v>0</v>
      </c>
    </row>
    <row r="7993" customFormat="false" ht="21" hidden="false" customHeight="false" outlineLevel="0" collapsed="false">
      <c r="A7993" s="154" t="n">
        <v>43467</v>
      </c>
      <c r="B7993" s="155" t="s">
        <v>1459</v>
      </c>
      <c r="C7993" s="148" t="str">
        <f aca="false">VLOOKUP($A7993,INSUMOS_AUX!$A$3:$H$813,3,0)</f>
        <v>MAT.</v>
      </c>
      <c r="D7993" s="156" t="s">
        <v>1444</v>
      </c>
      <c r="E7993" s="154" t="n">
        <v>0.047</v>
      </c>
      <c r="F7993" s="149" t="n">
        <f aca="false">IF(C7993="MAT.",VLOOKUP(A7993,INSUMOS_AUX!$A$3:$H$813,6,0),0)</f>
        <v>0.61</v>
      </c>
      <c r="G7993" s="149" t="n">
        <f aca="false">IF(C7993="M.O.",VLOOKUP(A7993,INSUMOS_AUX!A:F,6,0),0)</f>
        <v>0</v>
      </c>
    </row>
    <row r="7994" customFormat="false" ht="21" hidden="false" customHeight="false" outlineLevel="0" collapsed="false">
      <c r="A7994" s="154" t="n">
        <v>37373</v>
      </c>
      <c r="B7994" s="155" t="s">
        <v>1448</v>
      </c>
      <c r="C7994" s="148" t="str">
        <f aca="false">VLOOKUP($A7994,INSUMOS_AUX!$A$3:$H$813,3,0)</f>
        <v>MAT.</v>
      </c>
      <c r="D7994" s="156" t="s">
        <v>1444</v>
      </c>
      <c r="E7994" s="154" t="n">
        <v>0.047</v>
      </c>
      <c r="F7994" s="149" t="n">
        <f aca="false">IF(C7994="MAT.",VLOOKUP(A7994,INSUMOS_AUX!$A$3:$H$813,6,0),0)</f>
        <v>0.08</v>
      </c>
      <c r="G7994" s="149" t="n">
        <f aca="false">IF(C7994="M.O.",VLOOKUP(A7994,INSUMOS_AUX!A:F,6,0),0)</f>
        <v>0</v>
      </c>
    </row>
    <row r="7995" customFormat="false" ht="21" hidden="false" customHeight="false" outlineLevel="0" collapsed="false">
      <c r="A7995" s="154" t="n">
        <v>37371</v>
      </c>
      <c r="B7995" s="155" t="s">
        <v>1449</v>
      </c>
      <c r="C7995" s="148" t="str">
        <f aca="false">VLOOKUP($A7995,INSUMOS_AUX!$A$3:$H$813,3,0)</f>
        <v>MAT.</v>
      </c>
      <c r="D7995" s="156" t="s">
        <v>1444</v>
      </c>
      <c r="E7995" s="154" t="n">
        <v>0.047</v>
      </c>
      <c r="F7995" s="149" t="n">
        <f aca="false">IF(C7995="MAT.",VLOOKUP(A7995,INSUMOS_AUX!$A$3:$H$813,6,0),0)</f>
        <v>0.59</v>
      </c>
      <c r="G7995" s="149" t="n">
        <f aca="false">IF(C7995="M.O.",VLOOKUP(A7995,INSUMOS_AUX!A:F,6,0),0)</f>
        <v>0</v>
      </c>
    </row>
    <row r="7996" customFormat="false" ht="15" hidden="false" customHeight="false" outlineLevel="0" collapsed="false">
      <c r="A7996" s="154" t="n">
        <v>6111</v>
      </c>
      <c r="B7996" s="155" t="s">
        <v>1464</v>
      </c>
      <c r="C7996" s="148" t="s">
        <v>59</v>
      </c>
      <c r="D7996" s="156" t="s">
        <v>1444</v>
      </c>
      <c r="E7996" s="154" t="n">
        <v>0.0479964</v>
      </c>
      <c r="F7996" s="149" t="n">
        <f aca="false">IF(C7996="MAT.",VLOOKUP(A7996,INSUMOS_AUX!$A$3:$H$813,6,0),0)</f>
        <v>0</v>
      </c>
      <c r="G7996" s="149" t="n">
        <f aca="false">IF(C7996="M.O.",VLOOKUP(A7996,INSUMOS_AUX!A:F,6,0),0)</f>
        <v>0</v>
      </c>
    </row>
    <row r="7997" customFormat="false" ht="21" hidden="false" customHeight="false" outlineLevel="0" collapsed="false">
      <c r="A7997" s="150" t="n">
        <v>99821</v>
      </c>
      <c r="B7997" s="151" t="s">
        <v>2923</v>
      </c>
      <c r="C7997" s="152" t="s">
        <v>59</v>
      </c>
      <c r="D7997" s="152" t="s">
        <v>1477</v>
      </c>
      <c r="E7997" s="150"/>
      <c r="F7997" s="153" t="n">
        <f aca="false">(SUMPRODUCT($E7998:$E8007,F7998:F8007))*1</f>
        <v>1.23126</v>
      </c>
      <c r="G7997" s="153" t="n">
        <f aca="false">(SUMPRODUCT($E7998:$E8007,G7998:G8007))*1</f>
        <v>1.21665768</v>
      </c>
    </row>
    <row r="7998" customFormat="false" ht="21" hidden="false" customHeight="false" outlineLevel="0" collapsed="false">
      <c r="A7998" s="154" t="n">
        <v>37370</v>
      </c>
      <c r="B7998" s="155" t="s">
        <v>1443</v>
      </c>
      <c r="C7998" s="148" t="str">
        <f aca="false">VLOOKUP($A7998,INSUMOS_AUX!$A$3:$H$813,3,0)</f>
        <v>MAT.</v>
      </c>
      <c r="D7998" s="156" t="s">
        <v>1444</v>
      </c>
      <c r="E7998" s="154" t="n">
        <v>0.092</v>
      </c>
      <c r="F7998" s="149" t="n">
        <f aca="false">IF(C7998="MAT.",VLOOKUP(A7998,INSUMOS_AUX!$A$3:$H$813,6,0),0)</f>
        <v>3.32</v>
      </c>
      <c r="G7998" s="149" t="n">
        <f aca="false">IF(C7998="M.O.",VLOOKUP(A7998,INSUMOS_AUX!A:F,6,0),0)</f>
        <v>0</v>
      </c>
    </row>
    <row r="7999" customFormat="false" ht="21" hidden="false" customHeight="false" outlineLevel="0" collapsed="false">
      <c r="A7999" s="154" t="n">
        <v>43491</v>
      </c>
      <c r="B7999" s="155" t="s">
        <v>1457</v>
      </c>
      <c r="C7999" s="148" t="str">
        <f aca="false">VLOOKUP($A7999,INSUMOS_AUX!$A$3:$H$813,3,0)</f>
        <v>MAT.</v>
      </c>
      <c r="D7999" s="156" t="s">
        <v>1444</v>
      </c>
      <c r="E7999" s="154" t="n">
        <v>0.092</v>
      </c>
      <c r="F7999" s="149" t="n">
        <f aca="false">IF(C7999="MAT.",VLOOKUP(A7999,INSUMOS_AUX!$A$3:$H$813,6,0),0)</f>
        <v>1.39</v>
      </c>
      <c r="G7999" s="149" t="n">
        <f aca="false">IF(C7999="M.O.",VLOOKUP(A7999,INSUMOS_AUX!A:F,6,0),0)</f>
        <v>0</v>
      </c>
    </row>
    <row r="8000" customFormat="false" ht="21" hidden="false" customHeight="false" outlineLevel="0" collapsed="false">
      <c r="A8000" s="154" t="n">
        <v>37372</v>
      </c>
      <c r="B8000" s="155" t="s">
        <v>1446</v>
      </c>
      <c r="C8000" s="148" t="str">
        <f aca="false">VLOOKUP($A8000,INSUMOS_AUX!$A$3:$H$813,3,0)</f>
        <v>MAT.</v>
      </c>
      <c r="D8000" s="156" t="s">
        <v>1444</v>
      </c>
      <c r="E8000" s="154" t="n">
        <v>0.092</v>
      </c>
      <c r="F8000" s="149" t="n">
        <f aca="false">IF(C8000="MAT.",VLOOKUP(A8000,INSUMOS_AUX!$A$3:$H$813,6,0),0)</f>
        <v>1.43</v>
      </c>
      <c r="G8000" s="149" t="n">
        <f aca="false">IF(C8000="M.O.",VLOOKUP(A8000,INSUMOS_AUX!A:F,6,0),0)</f>
        <v>0</v>
      </c>
    </row>
    <row r="8001" customFormat="false" ht="21" hidden="false" customHeight="false" outlineLevel="0" collapsed="false">
      <c r="A8001" s="154" t="n">
        <v>43467</v>
      </c>
      <c r="B8001" s="155" t="s">
        <v>1459</v>
      </c>
      <c r="C8001" s="148" t="str">
        <f aca="false">VLOOKUP($A8001,INSUMOS_AUX!$A$3:$H$813,3,0)</f>
        <v>MAT.</v>
      </c>
      <c r="D8001" s="156" t="s">
        <v>1444</v>
      </c>
      <c r="E8001" s="154" t="n">
        <v>0.092</v>
      </c>
      <c r="F8001" s="149" t="n">
        <f aca="false">IF(C8001="MAT.",VLOOKUP(A8001,INSUMOS_AUX!$A$3:$H$813,6,0),0)</f>
        <v>0.61</v>
      </c>
      <c r="G8001" s="149" t="n">
        <f aca="false">IF(C8001="M.O.",VLOOKUP(A8001,INSUMOS_AUX!A:F,6,0),0)</f>
        <v>0</v>
      </c>
    </row>
    <row r="8002" customFormat="false" ht="21" hidden="false" customHeight="false" outlineLevel="0" collapsed="false">
      <c r="A8002" s="154" t="n">
        <v>37373</v>
      </c>
      <c r="B8002" s="155" t="s">
        <v>1448</v>
      </c>
      <c r="C8002" s="148" t="str">
        <f aca="false">VLOOKUP($A8002,INSUMOS_AUX!$A$3:$H$813,3,0)</f>
        <v>MAT.</v>
      </c>
      <c r="D8002" s="156" t="s">
        <v>1444</v>
      </c>
      <c r="E8002" s="154" t="n">
        <v>0.092</v>
      </c>
      <c r="F8002" s="149" t="n">
        <f aca="false">IF(C8002="MAT.",VLOOKUP(A8002,INSUMOS_AUX!$A$3:$H$813,6,0),0)</f>
        <v>0.08</v>
      </c>
      <c r="G8002" s="149" t="n">
        <f aca="false">IF(C8002="M.O.",VLOOKUP(A8002,INSUMOS_AUX!A:F,6,0),0)</f>
        <v>0</v>
      </c>
    </row>
    <row r="8003" customFormat="false" ht="21" hidden="false" customHeight="false" outlineLevel="0" collapsed="false">
      <c r="A8003" s="154" t="n">
        <v>37371</v>
      </c>
      <c r="B8003" s="155" t="s">
        <v>1449</v>
      </c>
      <c r="C8003" s="148" t="str">
        <f aca="false">VLOOKUP($A8003,INSUMOS_AUX!$A$3:$H$813,3,0)</f>
        <v>MAT.</v>
      </c>
      <c r="D8003" s="156" t="s">
        <v>1444</v>
      </c>
      <c r="E8003" s="154" t="n">
        <v>0.092</v>
      </c>
      <c r="F8003" s="149" t="n">
        <f aca="false">IF(C8003="MAT.",VLOOKUP(A8003,INSUMOS_AUX!$A$3:$H$813,6,0),0)</f>
        <v>0.59</v>
      </c>
      <c r="G8003" s="149" t="n">
        <f aca="false">IF(C8003="M.O.",VLOOKUP(A8003,INSUMOS_AUX!A:F,6,0),0)</f>
        <v>0</v>
      </c>
    </row>
    <row r="8004" customFormat="false" ht="15" hidden="false" customHeight="false" outlineLevel="0" collapsed="false">
      <c r="A8004" s="154" t="n">
        <v>44329</v>
      </c>
      <c r="B8004" s="155" t="s">
        <v>2920</v>
      </c>
      <c r="C8004" s="148" t="str">
        <f aca="false">VLOOKUP($A8004,INSUMOS_AUX!$A$3:$H$813,3,0)</f>
        <v>MAT.</v>
      </c>
      <c r="D8004" s="156" t="s">
        <v>1452</v>
      </c>
      <c r="E8004" s="154" t="n">
        <v>0.006</v>
      </c>
      <c r="F8004" s="149" t="n">
        <f aca="false">IF(C8004="MAT.",VLOOKUP(A8004,INSUMOS_AUX!$A$3:$H$813,6,0),0)</f>
        <v>12.7</v>
      </c>
      <c r="G8004" s="149" t="n">
        <f aca="false">IF(C8004="M.O.",VLOOKUP(A8004,INSUMOS_AUX!A:F,6,0),0)</f>
        <v>0</v>
      </c>
    </row>
    <row r="8005" customFormat="false" ht="15" hidden="false" customHeight="false" outlineLevel="0" collapsed="false">
      <c r="A8005" s="154" t="n">
        <v>5318</v>
      </c>
      <c r="B8005" s="155" t="s">
        <v>1732</v>
      </c>
      <c r="C8005" s="148" t="str">
        <f aca="false">VLOOKUP($A8005,INSUMOS_AUX!$A$3:$H$813,3,0)</f>
        <v>MAT.</v>
      </c>
      <c r="D8005" s="156" t="s">
        <v>1452</v>
      </c>
      <c r="E8005" s="154" t="n">
        <v>0.023</v>
      </c>
      <c r="F8005" s="149" t="n">
        <f aca="false">IF(C8005="MAT.",VLOOKUP(A8005,INSUMOS_AUX!$A$3:$H$813,6,0),0)</f>
        <v>20.54</v>
      </c>
      <c r="G8005" s="149" t="n">
        <f aca="false">IF(C8005="M.O.",VLOOKUP(A8005,INSUMOS_AUX!A:F,6,0),0)</f>
        <v>0</v>
      </c>
    </row>
    <row r="8006" customFormat="false" ht="15" hidden="false" customHeight="false" outlineLevel="0" collapsed="false">
      <c r="A8006" s="154" t="n">
        <v>44331</v>
      </c>
      <c r="B8006" s="155" t="s">
        <v>2924</v>
      </c>
      <c r="C8006" s="148" t="s">
        <v>59</v>
      </c>
      <c r="D8006" s="156" t="s">
        <v>1452</v>
      </c>
      <c r="E8006" s="154" t="n">
        <v>0.011</v>
      </c>
      <c r="F8006" s="149" t="n">
        <f aca="false">IF(C8006="MAT.",VLOOKUP(A8006,INSUMOS_AUX!$A$3:$H$813,6,0),0)</f>
        <v>0</v>
      </c>
      <c r="G8006" s="149" t="n">
        <f aca="false">IF(C8006="M.O.",VLOOKUP(A8006,INSUMOS_AUX!A:F,6,0),0)</f>
        <v>0</v>
      </c>
    </row>
    <row r="8007" customFormat="false" ht="15" hidden="false" customHeight="false" outlineLevel="0" collapsed="false">
      <c r="A8007" s="154" t="n">
        <v>6111</v>
      </c>
      <c r="B8007" s="155" t="s">
        <v>1464</v>
      </c>
      <c r="C8007" s="148" t="str">
        <f aca="false">VLOOKUP($A8007,INSUMOS_AUX!$A$3:$H$813,3,0)</f>
        <v>M.O.</v>
      </c>
      <c r="D8007" s="156" t="s">
        <v>1444</v>
      </c>
      <c r="E8007" s="154" t="n">
        <v>0.0939504</v>
      </c>
      <c r="F8007" s="149" t="n">
        <f aca="false">IF(C8007="MAT.",VLOOKUP(A8007,INSUMOS_AUX!$A$3:$H$813,6,0),0)</f>
        <v>0</v>
      </c>
      <c r="G8007" s="149" t="n">
        <f aca="false">IF(C8007="M.O.",VLOOKUP(A8007,INSUMOS_AUX!A:F,6,0),0)</f>
        <v>12.95</v>
      </c>
    </row>
    <row r="8008" customFormat="false" ht="21" hidden="false" customHeight="false" outlineLevel="0" collapsed="false">
      <c r="A8008" s="150" t="n">
        <v>99819</v>
      </c>
      <c r="B8008" s="151" t="s">
        <v>2925</v>
      </c>
      <c r="C8008" s="152" t="s">
        <v>59</v>
      </c>
      <c r="D8008" s="152" t="s">
        <v>1477</v>
      </c>
      <c r="E8008" s="150"/>
      <c r="F8008" s="153" t="n">
        <f aca="false">(SUMPRODUCT($E8009:$E8017,F8009:F8017))*1</f>
        <v>5.89131</v>
      </c>
      <c r="G8008" s="153" t="n">
        <f aca="false">(SUMPRODUCT($E8009:$E8017,G8009:G8017))*1</f>
        <v>10.27546758</v>
      </c>
    </row>
    <row r="8009" customFormat="false" ht="21" hidden="false" customHeight="false" outlineLevel="0" collapsed="false">
      <c r="A8009" s="154" t="n">
        <v>37370</v>
      </c>
      <c r="B8009" s="155" t="s">
        <v>1443</v>
      </c>
      <c r="C8009" s="148" t="str">
        <f aca="false">VLOOKUP($A8009,INSUMOS_AUX!$A$3:$H$813,3,0)</f>
        <v>MAT.</v>
      </c>
      <c r="D8009" s="156" t="s">
        <v>1444</v>
      </c>
      <c r="E8009" s="154" t="n">
        <v>0.777</v>
      </c>
      <c r="F8009" s="149" t="n">
        <f aca="false">IF(C8009="MAT.",VLOOKUP(A8009,INSUMOS_AUX!$A$3:$H$813,6,0),0)</f>
        <v>3.32</v>
      </c>
      <c r="G8009" s="149" t="n">
        <f aca="false">IF(C8009="M.O.",VLOOKUP(A8009,INSUMOS_AUX!A:F,6,0),0)</f>
        <v>0</v>
      </c>
    </row>
    <row r="8010" customFormat="false" ht="21" hidden="false" customHeight="false" outlineLevel="0" collapsed="false">
      <c r="A8010" s="154" t="n">
        <v>43491</v>
      </c>
      <c r="B8010" s="155" t="s">
        <v>1457</v>
      </c>
      <c r="C8010" s="148" t="str">
        <f aca="false">VLOOKUP($A8010,INSUMOS_AUX!$A$3:$H$813,3,0)</f>
        <v>MAT.</v>
      </c>
      <c r="D8010" s="156" t="s">
        <v>1444</v>
      </c>
      <c r="E8010" s="154" t="n">
        <v>0.777</v>
      </c>
      <c r="F8010" s="149" t="n">
        <f aca="false">IF(C8010="MAT.",VLOOKUP(A8010,INSUMOS_AUX!$A$3:$H$813,6,0),0)</f>
        <v>1.39</v>
      </c>
      <c r="G8010" s="149" t="n">
        <f aca="false">IF(C8010="M.O.",VLOOKUP(A8010,INSUMOS_AUX!A:F,6,0),0)</f>
        <v>0</v>
      </c>
    </row>
    <row r="8011" customFormat="false" ht="21" hidden="false" customHeight="false" outlineLevel="0" collapsed="false">
      <c r="A8011" s="154" t="n">
        <v>37372</v>
      </c>
      <c r="B8011" s="155" t="s">
        <v>1446</v>
      </c>
      <c r="C8011" s="148" t="str">
        <f aca="false">VLOOKUP($A8011,INSUMOS_AUX!$A$3:$H$813,3,0)</f>
        <v>MAT.</v>
      </c>
      <c r="D8011" s="156" t="s">
        <v>1444</v>
      </c>
      <c r="E8011" s="154" t="n">
        <v>0.777</v>
      </c>
      <c r="F8011" s="149" t="n">
        <f aca="false">IF(C8011="MAT.",VLOOKUP(A8011,INSUMOS_AUX!$A$3:$H$813,6,0),0)</f>
        <v>1.43</v>
      </c>
      <c r="G8011" s="149" t="n">
        <f aca="false">IF(C8011="M.O.",VLOOKUP(A8011,INSUMOS_AUX!A:F,6,0),0)</f>
        <v>0</v>
      </c>
    </row>
    <row r="8012" customFormat="false" ht="21" hidden="false" customHeight="false" outlineLevel="0" collapsed="false">
      <c r="A8012" s="154" t="n">
        <v>43467</v>
      </c>
      <c r="B8012" s="155" t="s">
        <v>1459</v>
      </c>
      <c r="C8012" s="148" t="str">
        <f aca="false">VLOOKUP($A8012,INSUMOS_AUX!$A$3:$H$813,3,0)</f>
        <v>MAT.</v>
      </c>
      <c r="D8012" s="156" t="s">
        <v>1444</v>
      </c>
      <c r="E8012" s="154" t="n">
        <v>0.777</v>
      </c>
      <c r="F8012" s="149" t="n">
        <f aca="false">IF(C8012="MAT.",VLOOKUP(A8012,INSUMOS_AUX!$A$3:$H$813,6,0),0)</f>
        <v>0.61</v>
      </c>
      <c r="G8012" s="149" t="n">
        <f aca="false">IF(C8012="M.O.",VLOOKUP(A8012,INSUMOS_AUX!A:F,6,0),0)</f>
        <v>0</v>
      </c>
    </row>
    <row r="8013" customFormat="false" ht="21" hidden="false" customHeight="false" outlineLevel="0" collapsed="false">
      <c r="A8013" s="154" t="n">
        <v>37373</v>
      </c>
      <c r="B8013" s="155" t="s">
        <v>1448</v>
      </c>
      <c r="C8013" s="148" t="str">
        <f aca="false">VLOOKUP($A8013,INSUMOS_AUX!$A$3:$H$813,3,0)</f>
        <v>MAT.</v>
      </c>
      <c r="D8013" s="156" t="s">
        <v>1444</v>
      </c>
      <c r="E8013" s="154" t="n">
        <v>0.777</v>
      </c>
      <c r="F8013" s="149" t="n">
        <f aca="false">IF(C8013="MAT.",VLOOKUP(A8013,INSUMOS_AUX!$A$3:$H$813,6,0),0)</f>
        <v>0.08</v>
      </c>
      <c r="G8013" s="149" t="n">
        <f aca="false">IF(C8013="M.O.",VLOOKUP(A8013,INSUMOS_AUX!A:F,6,0),0)</f>
        <v>0</v>
      </c>
    </row>
    <row r="8014" customFormat="false" ht="21" hidden="false" customHeight="false" outlineLevel="0" collapsed="false">
      <c r="A8014" s="154" t="n">
        <v>37371</v>
      </c>
      <c r="B8014" s="155" t="s">
        <v>1449</v>
      </c>
      <c r="C8014" s="148" t="str">
        <f aca="false">VLOOKUP($A8014,INSUMOS_AUX!$A$3:$H$813,3,0)</f>
        <v>MAT.</v>
      </c>
      <c r="D8014" s="156" t="s">
        <v>1444</v>
      </c>
      <c r="E8014" s="154" t="n">
        <v>0.777</v>
      </c>
      <c r="F8014" s="149" t="n">
        <f aca="false">IF(C8014="MAT.",VLOOKUP(A8014,INSUMOS_AUX!$A$3:$H$813,6,0),0)</f>
        <v>0.59</v>
      </c>
      <c r="G8014" s="149" t="n">
        <f aca="false">IF(C8014="M.O.",VLOOKUP(A8014,INSUMOS_AUX!A:F,6,0),0)</f>
        <v>0</v>
      </c>
    </row>
    <row r="8015" customFormat="false" ht="15" hidden="false" customHeight="false" outlineLevel="0" collapsed="false">
      <c r="A8015" s="154" t="n">
        <v>44330</v>
      </c>
      <c r="B8015" s="155" t="s">
        <v>2926</v>
      </c>
      <c r="C8015" s="148" t="str">
        <f aca="false">VLOOKUP($A8015,INSUMOS_AUX!$A$3:$H$813,3,0)</f>
        <v>MAT.</v>
      </c>
      <c r="D8015" s="156" t="s">
        <v>1452</v>
      </c>
      <c r="E8015" s="154" t="n">
        <v>0.013</v>
      </c>
      <c r="F8015" s="149" t="n">
        <f aca="false">IF(C8015="MAT.",VLOOKUP(A8015,INSUMOS_AUX!$A$3:$H$813,6,0),0)</f>
        <v>9.69</v>
      </c>
      <c r="G8015" s="149" t="n">
        <f aca="false">IF(C8015="M.O.",VLOOKUP(A8015,INSUMOS_AUX!A:F,6,0),0)</f>
        <v>0</v>
      </c>
    </row>
    <row r="8016" customFormat="false" ht="15" hidden="false" customHeight="false" outlineLevel="0" collapsed="false">
      <c r="A8016" s="154" t="n">
        <v>44329</v>
      </c>
      <c r="B8016" s="155" t="s">
        <v>2920</v>
      </c>
      <c r="C8016" s="148" t="s">
        <v>59</v>
      </c>
      <c r="D8016" s="156" t="s">
        <v>1452</v>
      </c>
      <c r="E8016" s="154" t="n">
        <v>0.006</v>
      </c>
      <c r="F8016" s="149" t="n">
        <f aca="false">IF(C8016="MAT.",VLOOKUP(A8016,INSUMOS_AUX!$A$3:$H$813,6,0),0)</f>
        <v>0</v>
      </c>
      <c r="G8016" s="149" t="n">
        <f aca="false">IF(C8016="M.O.",VLOOKUP(A8016,INSUMOS_AUX!A:F,6,0),0)</f>
        <v>0</v>
      </c>
    </row>
    <row r="8017" customFormat="false" ht="15" hidden="false" customHeight="false" outlineLevel="0" collapsed="false">
      <c r="A8017" s="154" t="n">
        <v>6111</v>
      </c>
      <c r="B8017" s="155" t="s">
        <v>1464</v>
      </c>
      <c r="C8017" s="148" t="str">
        <f aca="false">VLOOKUP($A8017,INSUMOS_AUX!$A$3:$H$813,3,0)</f>
        <v>M.O.</v>
      </c>
      <c r="D8017" s="156" t="s">
        <v>1444</v>
      </c>
      <c r="E8017" s="154" t="n">
        <v>0.7934724</v>
      </c>
      <c r="F8017" s="149" t="n">
        <f aca="false">IF(C8017="MAT.",VLOOKUP(A8017,INSUMOS_AUX!$A$3:$H$813,6,0),0)</f>
        <v>0</v>
      </c>
      <c r="G8017" s="149" t="n">
        <f aca="false">IF(C8017="M.O.",VLOOKUP(A8017,INSUMOS_AUX!A:F,6,0),0)</f>
        <v>12.95</v>
      </c>
    </row>
    <row r="8018" customFormat="false" ht="21" hidden="false" customHeight="false" outlineLevel="0" collapsed="false">
      <c r="A8018" s="150" t="n">
        <v>99818</v>
      </c>
      <c r="B8018" s="151" t="s">
        <v>2927</v>
      </c>
      <c r="C8018" s="152" t="s">
        <v>59</v>
      </c>
      <c r="D8018" s="152" t="s">
        <v>31</v>
      </c>
      <c r="E8018" s="150"/>
      <c r="F8018" s="153" t="n">
        <f aca="false">(SUMPRODUCT($E8019:$E8027,F8019:F8027))*1</f>
        <v>3.80831</v>
      </c>
      <c r="G8018" s="153" t="n">
        <f aca="false">(SUMPRODUCT($E8019:$E8027,G8019:G8027))*1</f>
        <v>1.63984296</v>
      </c>
    </row>
    <row r="8019" customFormat="false" ht="21" hidden="false" customHeight="false" outlineLevel="0" collapsed="false">
      <c r="A8019" s="154" t="n">
        <v>37370</v>
      </c>
      <c r="B8019" s="155" t="s">
        <v>1443</v>
      </c>
      <c r="C8019" s="148" t="str">
        <f aca="false">VLOOKUP($A8019,INSUMOS_AUX!$A$3:$H$813,3,0)</f>
        <v>MAT.</v>
      </c>
      <c r="D8019" s="156" t="s">
        <v>1444</v>
      </c>
      <c r="E8019" s="154" t="n">
        <v>0.124</v>
      </c>
      <c r="F8019" s="149" t="n">
        <f aca="false">IF(C8019="MAT.",VLOOKUP(A8019,INSUMOS_AUX!$A$3:$H$813,6,0),0)</f>
        <v>3.32</v>
      </c>
      <c r="G8019" s="149" t="n">
        <f aca="false">IF(C8019="M.O.",VLOOKUP(A8019,INSUMOS_AUX!A:F,6,0),0)</f>
        <v>0</v>
      </c>
    </row>
    <row r="8020" customFormat="false" ht="21" hidden="false" customHeight="false" outlineLevel="0" collapsed="false">
      <c r="A8020" s="154" t="n">
        <v>43491</v>
      </c>
      <c r="B8020" s="155" t="s">
        <v>1457</v>
      </c>
      <c r="C8020" s="148" t="str">
        <f aca="false">VLOOKUP($A8020,INSUMOS_AUX!$A$3:$H$813,3,0)</f>
        <v>MAT.</v>
      </c>
      <c r="D8020" s="156" t="s">
        <v>1444</v>
      </c>
      <c r="E8020" s="154" t="n">
        <v>0.124</v>
      </c>
      <c r="F8020" s="149" t="n">
        <f aca="false">IF(C8020="MAT.",VLOOKUP(A8020,INSUMOS_AUX!$A$3:$H$813,6,0),0)</f>
        <v>1.39</v>
      </c>
      <c r="G8020" s="149" t="n">
        <f aca="false">IF(C8020="M.O.",VLOOKUP(A8020,INSUMOS_AUX!A:F,6,0),0)</f>
        <v>0</v>
      </c>
    </row>
    <row r="8021" customFormat="false" ht="21" hidden="false" customHeight="false" outlineLevel="0" collapsed="false">
      <c r="A8021" s="154" t="n">
        <v>37372</v>
      </c>
      <c r="B8021" s="155" t="s">
        <v>1446</v>
      </c>
      <c r="C8021" s="148" t="str">
        <f aca="false">VLOOKUP($A8021,INSUMOS_AUX!$A$3:$H$813,3,0)</f>
        <v>MAT.</v>
      </c>
      <c r="D8021" s="156" t="s">
        <v>1444</v>
      </c>
      <c r="E8021" s="154" t="n">
        <v>0.124</v>
      </c>
      <c r="F8021" s="149" t="n">
        <f aca="false">IF(C8021="MAT.",VLOOKUP(A8021,INSUMOS_AUX!$A$3:$H$813,6,0),0)</f>
        <v>1.43</v>
      </c>
      <c r="G8021" s="149" t="n">
        <f aca="false">IF(C8021="M.O.",VLOOKUP(A8021,INSUMOS_AUX!A:F,6,0),0)</f>
        <v>0</v>
      </c>
    </row>
    <row r="8022" customFormat="false" ht="21" hidden="false" customHeight="false" outlineLevel="0" collapsed="false">
      <c r="A8022" s="154" t="n">
        <v>43467</v>
      </c>
      <c r="B8022" s="155" t="s">
        <v>1459</v>
      </c>
      <c r="C8022" s="148" t="str">
        <f aca="false">VLOOKUP($A8022,INSUMOS_AUX!$A$3:$H$813,3,0)</f>
        <v>MAT.</v>
      </c>
      <c r="D8022" s="156" t="s">
        <v>1444</v>
      </c>
      <c r="E8022" s="154" t="n">
        <v>0.124</v>
      </c>
      <c r="F8022" s="149" t="n">
        <f aca="false">IF(C8022="MAT.",VLOOKUP(A8022,INSUMOS_AUX!$A$3:$H$813,6,0),0)</f>
        <v>0.61</v>
      </c>
      <c r="G8022" s="149" t="n">
        <f aca="false">IF(C8022="M.O.",VLOOKUP(A8022,INSUMOS_AUX!A:F,6,0),0)</f>
        <v>0</v>
      </c>
    </row>
    <row r="8023" customFormat="false" ht="21" hidden="false" customHeight="false" outlineLevel="0" collapsed="false">
      <c r="A8023" s="154" t="n">
        <v>37373</v>
      </c>
      <c r="B8023" s="155" t="s">
        <v>1448</v>
      </c>
      <c r="C8023" s="148" t="str">
        <f aca="false">VLOOKUP($A8023,INSUMOS_AUX!$A$3:$H$813,3,0)</f>
        <v>MAT.</v>
      </c>
      <c r="D8023" s="156" t="s">
        <v>1444</v>
      </c>
      <c r="E8023" s="154" t="n">
        <v>0.124</v>
      </c>
      <c r="F8023" s="149" t="n">
        <f aca="false">IF(C8023="MAT.",VLOOKUP(A8023,INSUMOS_AUX!$A$3:$H$813,6,0),0)</f>
        <v>0.08</v>
      </c>
      <c r="G8023" s="149" t="n">
        <f aca="false">IF(C8023="M.O.",VLOOKUP(A8023,INSUMOS_AUX!A:F,6,0),0)</f>
        <v>0</v>
      </c>
    </row>
    <row r="8024" customFormat="false" ht="21" hidden="false" customHeight="false" outlineLevel="0" collapsed="false">
      <c r="A8024" s="154" t="n">
        <v>37371</v>
      </c>
      <c r="B8024" s="155" t="s">
        <v>1449</v>
      </c>
      <c r="C8024" s="148" t="str">
        <f aca="false">VLOOKUP($A8024,INSUMOS_AUX!$A$3:$H$813,3,0)</f>
        <v>MAT.</v>
      </c>
      <c r="D8024" s="156" t="s">
        <v>1444</v>
      </c>
      <c r="E8024" s="154" t="n">
        <v>0.124</v>
      </c>
      <c r="F8024" s="149" t="n">
        <f aca="false">IF(C8024="MAT.",VLOOKUP(A8024,INSUMOS_AUX!$A$3:$H$813,6,0),0)</f>
        <v>0.59</v>
      </c>
      <c r="G8024" s="149" t="n">
        <f aca="false">IF(C8024="M.O.",VLOOKUP(A8024,INSUMOS_AUX!A:F,6,0),0)</f>
        <v>0</v>
      </c>
    </row>
    <row r="8025" customFormat="false" ht="15" hidden="false" customHeight="false" outlineLevel="0" collapsed="false">
      <c r="A8025" s="154" t="n">
        <v>44330</v>
      </c>
      <c r="B8025" s="155" t="s">
        <v>2926</v>
      </c>
      <c r="C8025" s="148" t="str">
        <f aca="false">VLOOKUP($A8025,INSUMOS_AUX!$A$3:$H$813,3,0)</f>
        <v>MAT.</v>
      </c>
      <c r="D8025" s="156" t="s">
        <v>1452</v>
      </c>
      <c r="E8025" s="154" t="n">
        <v>0.167</v>
      </c>
      <c r="F8025" s="149" t="n">
        <f aca="false">IF(C8025="MAT.",VLOOKUP(A8025,INSUMOS_AUX!$A$3:$H$813,6,0),0)</f>
        <v>9.69</v>
      </c>
      <c r="G8025" s="149" t="n">
        <f aca="false">IF(C8025="M.O.",VLOOKUP(A8025,INSUMOS_AUX!A:F,6,0),0)</f>
        <v>0</v>
      </c>
    </row>
    <row r="8026" customFormat="false" ht="15" hidden="false" customHeight="false" outlineLevel="0" collapsed="false">
      <c r="A8026" s="154" t="n">
        <v>44329</v>
      </c>
      <c r="B8026" s="155" t="s">
        <v>2920</v>
      </c>
      <c r="C8026" s="148" t="str">
        <f aca="false">VLOOKUP($A8026,INSUMOS_AUX!$A$3:$H$813,3,0)</f>
        <v>MAT.</v>
      </c>
      <c r="D8026" s="156" t="s">
        <v>1452</v>
      </c>
      <c r="E8026" s="154" t="n">
        <v>0.1</v>
      </c>
      <c r="F8026" s="149" t="n">
        <f aca="false">IF(C8026="MAT.",VLOOKUP(A8026,INSUMOS_AUX!$A$3:$H$813,6,0),0)</f>
        <v>12.7</v>
      </c>
      <c r="G8026" s="149" t="n">
        <f aca="false">IF(C8026="M.O.",VLOOKUP(A8026,INSUMOS_AUX!A:F,6,0),0)</f>
        <v>0</v>
      </c>
    </row>
    <row r="8027" customFormat="false" ht="15" hidden="false" customHeight="false" outlineLevel="0" collapsed="false">
      <c r="A8027" s="154" t="n">
        <v>6111</v>
      </c>
      <c r="B8027" s="155" t="s">
        <v>1464</v>
      </c>
      <c r="C8027" s="148" t="str">
        <f aca="false">VLOOKUP($A8027,INSUMOS_AUX!$A$3:$H$813,3,0)</f>
        <v>M.O.</v>
      </c>
      <c r="D8027" s="156" t="s">
        <v>1444</v>
      </c>
      <c r="E8027" s="154" t="n">
        <v>0.1266288</v>
      </c>
      <c r="F8027" s="149" t="n">
        <f aca="false">IF(C8027="MAT.",VLOOKUP(A8027,INSUMOS_AUX!$A$3:$H$813,6,0),0)</f>
        <v>0</v>
      </c>
      <c r="G8027" s="149" t="n">
        <f aca="false">IF(C8027="M.O.",VLOOKUP(A8027,INSUMOS_AUX!A:F,6,0),0)</f>
        <v>12.95</v>
      </c>
    </row>
    <row r="8028" customFormat="false" ht="15" hidden="false" customHeight="false" outlineLevel="0" collapsed="false">
      <c r="A8028" s="150" t="s">
        <v>1362</v>
      </c>
      <c r="B8028" s="151" t="s">
        <v>2928</v>
      </c>
      <c r="C8028" s="152" t="s">
        <v>59</v>
      </c>
      <c r="D8028" s="152" t="s">
        <v>1477</v>
      </c>
      <c r="E8028" s="150"/>
      <c r="F8028" s="153" t="n">
        <f aca="false">(SUMPRODUCT($E8029:$E8043,F8029:F8043))*1</f>
        <v>0.54364901375718</v>
      </c>
      <c r="G8028" s="153" t="n">
        <f aca="false">(SUMPRODUCT($E8029:$E8043,G8029:G8043))*1</f>
        <v>0.6972703152</v>
      </c>
    </row>
    <row r="8029" customFormat="false" ht="21" hidden="false" customHeight="false" outlineLevel="0" collapsed="false">
      <c r="A8029" s="154" t="n">
        <v>37370</v>
      </c>
      <c r="B8029" s="155" t="s">
        <v>1443</v>
      </c>
      <c r="C8029" s="148" t="str">
        <f aca="false">VLOOKUP($A8029,INSUMOS_AUX!$A$3:$H$813,3,0)</f>
        <v>MAT.</v>
      </c>
      <c r="D8029" s="156" t="s">
        <v>1444</v>
      </c>
      <c r="E8029" s="154" t="n">
        <v>0.051572</v>
      </c>
      <c r="F8029" s="149" t="n">
        <f aca="false">IF(C8029="MAT.",VLOOKUP(A8029,INSUMOS_AUX!$A$3:$H$813,6,0),0)</f>
        <v>3.32</v>
      </c>
      <c r="G8029" s="149" t="n">
        <f aca="false">IF(C8029="M.O.",VLOOKUP(A8029,INSUMOS_AUX!A:F,6,0),0)</f>
        <v>0</v>
      </c>
    </row>
    <row r="8030" customFormat="false" ht="21" hidden="false" customHeight="false" outlineLevel="0" collapsed="false">
      <c r="A8030" s="154" t="n">
        <v>43488</v>
      </c>
      <c r="B8030" s="155" t="s">
        <v>1445</v>
      </c>
      <c r="C8030" s="148" t="str">
        <f aca="false">VLOOKUP($A8030,INSUMOS_AUX!$A$3:$H$813,3,0)</f>
        <v>MAT.</v>
      </c>
      <c r="D8030" s="156" t="s">
        <v>1444</v>
      </c>
      <c r="E8030" s="154" t="n">
        <v>0.001572</v>
      </c>
      <c r="F8030" s="149" t="n">
        <f aca="false">IF(C8030="MAT.",VLOOKUP(A8030,INSUMOS_AUX!$A$3:$H$813,6,0),0)</f>
        <v>0.89</v>
      </c>
      <c r="G8030" s="149" t="n">
        <f aca="false">IF(C8030="M.O.",VLOOKUP(A8030,INSUMOS_AUX!A:F,6,0),0)</f>
        <v>0</v>
      </c>
    </row>
    <row r="8031" customFormat="false" ht="21" hidden="false" customHeight="false" outlineLevel="0" collapsed="false">
      <c r="A8031" s="154" t="n">
        <v>43491</v>
      </c>
      <c r="B8031" s="155" t="s">
        <v>1457</v>
      </c>
      <c r="C8031" s="148" t="s">
        <v>59</v>
      </c>
      <c r="D8031" s="156" t="s">
        <v>1444</v>
      </c>
      <c r="E8031" s="154" t="n">
        <v>0.05</v>
      </c>
      <c r="F8031" s="149" t="n">
        <f aca="false">IF(C8031="MAT.",VLOOKUP(A8031,INSUMOS_AUX!$A$3:$H$813,6,0),0)</f>
        <v>0</v>
      </c>
      <c r="G8031" s="149" t="n">
        <f aca="false">IF(C8031="M.O.",VLOOKUP(A8031,INSUMOS_AUX!A:F,6,0),0)</f>
        <v>0</v>
      </c>
    </row>
    <row r="8032" customFormat="false" ht="21" hidden="false" customHeight="false" outlineLevel="0" collapsed="false">
      <c r="A8032" s="154" t="n">
        <v>37372</v>
      </c>
      <c r="B8032" s="155" t="s">
        <v>1446</v>
      </c>
      <c r="C8032" s="148" t="str">
        <f aca="false">VLOOKUP($A8032,INSUMOS_AUX!$A$3:$H$813,3,0)</f>
        <v>MAT.</v>
      </c>
      <c r="D8032" s="156" t="s">
        <v>1444</v>
      </c>
      <c r="E8032" s="154" t="n">
        <v>0.051572</v>
      </c>
      <c r="F8032" s="149" t="n">
        <f aca="false">IF(C8032="MAT.",VLOOKUP(A8032,INSUMOS_AUX!$A$3:$H$813,6,0),0)</f>
        <v>1.43</v>
      </c>
      <c r="G8032" s="149" t="n">
        <f aca="false">IF(C8032="M.O.",VLOOKUP(A8032,INSUMOS_AUX!A:F,6,0),0)</f>
        <v>0</v>
      </c>
    </row>
    <row r="8033" customFormat="false" ht="21" hidden="false" customHeight="false" outlineLevel="0" collapsed="false">
      <c r="A8033" s="154" t="n">
        <v>43464</v>
      </c>
      <c r="B8033" s="155" t="s">
        <v>1447</v>
      </c>
      <c r="C8033" s="148" t="str">
        <f aca="false">VLOOKUP($A8033,INSUMOS_AUX!$A$3:$H$813,3,0)</f>
        <v>MAT.</v>
      </c>
      <c r="D8033" s="156" t="s">
        <v>1444</v>
      </c>
      <c r="E8033" s="154" t="n">
        <v>0.001572</v>
      </c>
      <c r="F8033" s="149" t="n">
        <f aca="false">IF(C8033="MAT.",VLOOKUP(A8033,INSUMOS_AUX!$A$3:$H$813,6,0),0)</f>
        <v>0.01</v>
      </c>
      <c r="G8033" s="149" t="n">
        <f aca="false">IF(C8033="M.O.",VLOOKUP(A8033,INSUMOS_AUX!A:F,6,0),0)</f>
        <v>0</v>
      </c>
    </row>
    <row r="8034" customFormat="false" ht="21" hidden="false" customHeight="false" outlineLevel="0" collapsed="false">
      <c r="A8034" s="154" t="n">
        <v>43467</v>
      </c>
      <c r="B8034" s="155" t="s">
        <v>1459</v>
      </c>
      <c r="C8034" s="148" t="str">
        <f aca="false">VLOOKUP($A8034,INSUMOS_AUX!$A$3:$H$813,3,0)</f>
        <v>MAT.</v>
      </c>
      <c r="D8034" s="156" t="s">
        <v>1444</v>
      </c>
      <c r="E8034" s="154" t="n">
        <v>0.05</v>
      </c>
      <c r="F8034" s="149" t="n">
        <f aca="false">IF(C8034="MAT.",VLOOKUP(A8034,INSUMOS_AUX!$A$3:$H$813,6,0),0)</f>
        <v>0.61</v>
      </c>
      <c r="G8034" s="149" t="n">
        <f aca="false">IF(C8034="M.O.",VLOOKUP(A8034,INSUMOS_AUX!A:F,6,0),0)</f>
        <v>0</v>
      </c>
    </row>
    <row r="8035" customFormat="false" ht="21" hidden="false" customHeight="false" outlineLevel="0" collapsed="false">
      <c r="A8035" s="154" t="n">
        <v>37373</v>
      </c>
      <c r="B8035" s="155" t="s">
        <v>1448</v>
      </c>
      <c r="C8035" s="148" t="str">
        <f aca="false">VLOOKUP($A8035,INSUMOS_AUX!$A$3:$H$813,3,0)</f>
        <v>MAT.</v>
      </c>
      <c r="D8035" s="156" t="s">
        <v>1444</v>
      </c>
      <c r="E8035" s="154" t="n">
        <v>0.051572</v>
      </c>
      <c r="F8035" s="149" t="n">
        <f aca="false">IF(C8035="MAT.",VLOOKUP(A8035,INSUMOS_AUX!$A$3:$H$813,6,0),0)</f>
        <v>0.08</v>
      </c>
      <c r="G8035" s="149" t="n">
        <f aca="false">IF(C8035="M.O.",VLOOKUP(A8035,INSUMOS_AUX!A:F,6,0),0)</f>
        <v>0</v>
      </c>
    </row>
    <row r="8036" customFormat="false" ht="21" hidden="false" customHeight="false" outlineLevel="0" collapsed="false">
      <c r="A8036" s="154" t="n">
        <v>37371</v>
      </c>
      <c r="B8036" s="155" t="s">
        <v>1449</v>
      </c>
      <c r="C8036" s="148" t="str">
        <f aca="false">VLOOKUP($A8036,INSUMOS_AUX!$A$3:$H$813,3,0)</f>
        <v>MAT.</v>
      </c>
      <c r="D8036" s="156" t="s">
        <v>1444</v>
      </c>
      <c r="E8036" s="154" t="n">
        <v>0.051572</v>
      </c>
      <c r="F8036" s="149" t="n">
        <f aca="false">IF(C8036="MAT.",VLOOKUP(A8036,INSUMOS_AUX!$A$3:$H$813,6,0),0)</f>
        <v>0.59</v>
      </c>
      <c r="G8036" s="149" t="n">
        <f aca="false">IF(C8036="M.O.",VLOOKUP(A8036,INSUMOS_AUX!A:F,6,0),0)</f>
        <v>0</v>
      </c>
    </row>
    <row r="8037" customFormat="false" ht="21" hidden="false" customHeight="false" outlineLevel="0" collapsed="false">
      <c r="A8037" s="154" t="n">
        <v>37734</v>
      </c>
      <c r="B8037" s="155" t="s">
        <v>1471</v>
      </c>
      <c r="C8037" s="148" t="str">
        <f aca="false">VLOOKUP($A8037,INSUMOS_AUX!$A$3:$H$813,3,0)</f>
        <v>MAT.</v>
      </c>
      <c r="D8037" s="156" t="s">
        <v>31</v>
      </c>
      <c r="E8037" s="154" t="n">
        <v>1.31877E-007</v>
      </c>
      <c r="F8037" s="149" t="n">
        <f aca="false">IF(C8037="MAT.",VLOOKUP(A8037,INSUMOS_AUX!$A$3:$H$813,6,0),0)</f>
        <v>81699.7</v>
      </c>
      <c r="G8037" s="149" t="n">
        <f aca="false">IF(C8037="M.O.",VLOOKUP(A8037,INSUMOS_AUX!A:F,6,0),0)</f>
        <v>0</v>
      </c>
    </row>
    <row r="8038" customFormat="false" ht="31.5" hidden="false" customHeight="false" outlineLevel="0" collapsed="false">
      <c r="A8038" s="154" t="n">
        <v>37758</v>
      </c>
      <c r="B8038" s="155" t="s">
        <v>1472</v>
      </c>
      <c r="C8038" s="148" t="str">
        <f aca="false">VLOOKUP($A8038,INSUMOS_AUX!$A$3:$H$813,3,0)</f>
        <v>MAT.</v>
      </c>
      <c r="D8038" s="156" t="s">
        <v>31</v>
      </c>
      <c r="E8038" s="154" t="n">
        <v>9.25668E-008</v>
      </c>
      <c r="F8038" s="149" t="n">
        <f aca="false">IF(C8038="MAT.",VLOOKUP(A8038,INSUMOS_AUX!$A$3:$H$813,6,0),0)</f>
        <v>728477.1</v>
      </c>
      <c r="G8038" s="149" t="n">
        <f aca="false">IF(C8038="M.O.",VLOOKUP(A8038,INSUMOS_AUX!A:F,6,0),0)</f>
        <v>0</v>
      </c>
    </row>
    <row r="8039" customFormat="false" ht="21" hidden="false" customHeight="false" outlineLevel="0" collapsed="false">
      <c r="A8039" s="154" t="n">
        <v>10685</v>
      </c>
      <c r="B8039" s="155" t="s">
        <v>1473</v>
      </c>
      <c r="C8039" s="148" t="str">
        <f aca="false">VLOOKUP($A8039,INSUMOS_AUX!$A$3:$H$813,3,0)</f>
        <v>MAT.</v>
      </c>
      <c r="D8039" s="156" t="s">
        <v>31</v>
      </c>
      <c r="E8039" s="154" t="n">
        <v>5.73612E-008</v>
      </c>
      <c r="F8039" s="149" t="n">
        <f aca="false">IF(C8039="MAT.",VLOOKUP(A8039,INSUMOS_AUX!$A$3:$H$813,6,0),0)</f>
        <v>850000</v>
      </c>
      <c r="G8039" s="149" t="n">
        <f aca="false">IF(C8039="M.O.",VLOOKUP(A8039,INSUMOS_AUX!A:F,6,0),0)</f>
        <v>0</v>
      </c>
    </row>
    <row r="8040" customFormat="false" ht="15" hidden="false" customHeight="false" outlineLevel="0" collapsed="false">
      <c r="A8040" s="154" t="n">
        <v>4221</v>
      </c>
      <c r="B8040" s="155" t="s">
        <v>1451</v>
      </c>
      <c r="C8040" s="148" t="str">
        <f aca="false">VLOOKUP($A8040,INSUMOS_AUX!$A$3:$H$813,3,0)</f>
        <v>MAT.</v>
      </c>
      <c r="D8040" s="156" t="s">
        <v>1452</v>
      </c>
      <c r="E8040" s="154" t="n">
        <v>0.01675953</v>
      </c>
      <c r="F8040" s="149" t="n">
        <f aca="false">IF(C8040="MAT.",VLOOKUP(A8040,INSUMOS_AUX!$A$3:$H$813,6,0),0)</f>
        <v>6.28</v>
      </c>
      <c r="G8040" s="149" t="n">
        <f aca="false">IF(C8040="M.O.",VLOOKUP(A8040,INSUMOS_AUX!A:F,6,0),0)</f>
        <v>0</v>
      </c>
    </row>
    <row r="8041" customFormat="false" ht="15" hidden="false" customHeight="false" outlineLevel="0" collapsed="false">
      <c r="A8041" s="154" t="n">
        <v>20020</v>
      </c>
      <c r="B8041" s="155" t="s">
        <v>1474</v>
      </c>
      <c r="C8041" s="148" t="str">
        <f aca="false">VLOOKUP($A8041,INSUMOS_AUX!$A$3:$H$813,3,0)</f>
        <v>M.O.</v>
      </c>
      <c r="D8041" s="156" t="s">
        <v>1444</v>
      </c>
      <c r="E8041" s="154" t="n">
        <v>0.00101313072</v>
      </c>
      <c r="F8041" s="149" t="n">
        <f aca="false">IF(C8041="MAT.",VLOOKUP(A8041,INSUMOS_AUX!$A$3:$H$813,6,0),0)</f>
        <v>0</v>
      </c>
      <c r="G8041" s="149" t="n">
        <f aca="false">IF(C8041="M.O.",VLOOKUP(A8041,INSUMOS_AUX!A:F,6,0),0)</f>
        <v>24.19</v>
      </c>
    </row>
    <row r="8042" customFormat="false" ht="15" hidden="false" customHeight="false" outlineLevel="0" collapsed="false">
      <c r="A8042" s="154" t="n">
        <v>4234</v>
      </c>
      <c r="B8042" s="155" t="s">
        <v>1475</v>
      </c>
      <c r="C8042" s="148" t="str">
        <f aca="false">VLOOKUP($A8042,INSUMOS_AUX!$A$3:$H$813,3,0)</f>
        <v>M.O.</v>
      </c>
      <c r="D8042" s="156" t="s">
        <v>1444</v>
      </c>
      <c r="E8042" s="154" t="n">
        <v>0.00057050856</v>
      </c>
      <c r="F8042" s="149" t="n">
        <f aca="false">IF(C8042="MAT.",VLOOKUP(A8042,INSUMOS_AUX!$A$3:$H$813,6,0),0)</f>
        <v>0</v>
      </c>
      <c r="G8042" s="149" t="n">
        <f aca="false">IF(C8042="M.O.",VLOOKUP(A8042,INSUMOS_AUX!A:F,6,0),0)</f>
        <v>20.22</v>
      </c>
    </row>
    <row r="8043" customFormat="false" ht="15" hidden="false" customHeight="false" outlineLevel="0" collapsed="false">
      <c r="A8043" s="154" t="n">
        <v>6111</v>
      </c>
      <c r="B8043" s="155" t="s">
        <v>1464</v>
      </c>
      <c r="C8043" s="148" t="str">
        <f aca="false">VLOOKUP($A8043,INSUMOS_AUX!$A$3:$H$813,3,0)</f>
        <v>M.O.</v>
      </c>
      <c r="D8043" s="156" t="s">
        <v>1444</v>
      </c>
      <c r="E8043" s="154" t="n">
        <v>0.05106</v>
      </c>
      <c r="F8043" s="149" t="n">
        <f aca="false">IF(C8043="MAT.",VLOOKUP(A8043,INSUMOS_AUX!$A$3:$H$813,6,0),0)</f>
        <v>0</v>
      </c>
      <c r="G8043" s="149" t="n">
        <f aca="false">IF(C8043="M.O.",VLOOKUP(A8043,INSUMOS_AUX!A:F,6,0),0)</f>
        <v>12.95</v>
      </c>
    </row>
    <row r="8044" customFormat="false" ht="15" hidden="false" customHeight="false" outlineLevel="0" collapsed="false">
      <c r="A8044" s="150" t="s">
        <v>1366</v>
      </c>
      <c r="B8044" s="151" t="s">
        <v>2929</v>
      </c>
      <c r="C8044" s="152" t="s">
        <v>59</v>
      </c>
      <c r="D8044" s="152" t="s">
        <v>1854</v>
      </c>
      <c r="E8044" s="150"/>
      <c r="F8044" s="153" t="n">
        <f aca="false">(SUMPRODUCT($E8045:$E8053,F8045:F8053))*1</f>
        <v>2011.51</v>
      </c>
      <c r="G8044" s="153" t="n">
        <f aca="false">(SUMPRODUCT($E8045:$E8053,G8045:G8053))*1</f>
        <v>5.162166</v>
      </c>
    </row>
    <row r="8045" customFormat="false" ht="21" hidden="false" customHeight="false" outlineLevel="0" collapsed="false">
      <c r="A8045" s="154" t="n">
        <v>37370</v>
      </c>
      <c r="B8045" s="155" t="s">
        <v>1443</v>
      </c>
      <c r="C8045" s="148" t="str">
        <f aca="false">VLOOKUP($A8045,INSUMOS_AUX!$A$3:$H$813,3,0)</f>
        <v>MAT.</v>
      </c>
      <c r="D8045" s="156" t="s">
        <v>1444</v>
      </c>
      <c r="E8045" s="154" t="n">
        <v>0.25</v>
      </c>
      <c r="F8045" s="149" t="n">
        <f aca="false">IF(C8045="MAT.",VLOOKUP(A8045,INSUMOS_AUX!$A$3:$H$813,6,0),0)</f>
        <v>3.32</v>
      </c>
      <c r="G8045" s="149" t="n">
        <f aca="false">IF(C8045="M.O.",VLOOKUP(A8045,INSUMOS_AUX!A:F,6,0),0)</f>
        <v>0</v>
      </c>
    </row>
    <row r="8046" customFormat="false" ht="21" hidden="false" customHeight="false" outlineLevel="0" collapsed="false">
      <c r="A8046" s="154" t="n">
        <v>43489</v>
      </c>
      <c r="B8046" s="155" t="s">
        <v>1456</v>
      </c>
      <c r="C8046" s="148" t="s">
        <v>59</v>
      </c>
      <c r="D8046" s="156" t="s">
        <v>1444</v>
      </c>
      <c r="E8046" s="154" t="n">
        <v>0.25</v>
      </c>
      <c r="F8046" s="149" t="n">
        <f aca="false">IF(C8046="MAT.",VLOOKUP(A8046,INSUMOS_AUX!$A$3:$H$813,6,0),0)</f>
        <v>0</v>
      </c>
      <c r="G8046" s="149" t="n">
        <f aca="false">IF(C8046="M.O.",VLOOKUP(A8046,INSUMOS_AUX!A:F,6,0),0)</f>
        <v>0</v>
      </c>
    </row>
    <row r="8047" customFormat="false" ht="21" hidden="false" customHeight="false" outlineLevel="0" collapsed="false">
      <c r="A8047" s="154" t="n">
        <v>37372</v>
      </c>
      <c r="B8047" s="155" t="s">
        <v>1446</v>
      </c>
      <c r="C8047" s="148" t="str">
        <f aca="false">VLOOKUP($A8047,INSUMOS_AUX!$A$3:$H$813,3,0)</f>
        <v>MAT.</v>
      </c>
      <c r="D8047" s="156" t="s">
        <v>1444</v>
      </c>
      <c r="E8047" s="154" t="n">
        <v>0.25</v>
      </c>
      <c r="F8047" s="149" t="n">
        <f aca="false">IF(C8047="MAT.",VLOOKUP(A8047,INSUMOS_AUX!$A$3:$H$813,6,0),0)</f>
        <v>1.43</v>
      </c>
      <c r="G8047" s="149" t="n">
        <f aca="false">IF(C8047="M.O.",VLOOKUP(A8047,INSUMOS_AUX!A:F,6,0),0)</f>
        <v>0</v>
      </c>
    </row>
    <row r="8048" customFormat="false" ht="21" hidden="false" customHeight="false" outlineLevel="0" collapsed="false">
      <c r="A8048" s="154" t="n">
        <v>43465</v>
      </c>
      <c r="B8048" s="155" t="s">
        <v>1458</v>
      </c>
      <c r="C8048" s="148" t="str">
        <f aca="false">VLOOKUP($A8048,INSUMOS_AUX!$A$3:$H$813,3,0)</f>
        <v>MAT.</v>
      </c>
      <c r="D8048" s="156" t="s">
        <v>1444</v>
      </c>
      <c r="E8048" s="154" t="n">
        <v>0.25</v>
      </c>
      <c r="F8048" s="149" t="n">
        <f aca="false">IF(C8048="MAT.",VLOOKUP(A8048,INSUMOS_AUX!$A$3:$H$813,6,0),0)</f>
        <v>0.78</v>
      </c>
      <c r="G8048" s="149" t="n">
        <f aca="false">IF(C8048="M.O.",VLOOKUP(A8048,INSUMOS_AUX!A:F,6,0),0)</f>
        <v>0</v>
      </c>
    </row>
    <row r="8049" customFormat="false" ht="21" hidden="false" customHeight="false" outlineLevel="0" collapsed="false">
      <c r="A8049" s="154" t="n">
        <v>37373</v>
      </c>
      <c r="B8049" s="155" t="s">
        <v>1448</v>
      </c>
      <c r="C8049" s="148" t="str">
        <f aca="false">VLOOKUP($A8049,INSUMOS_AUX!$A$3:$H$813,3,0)</f>
        <v>MAT.</v>
      </c>
      <c r="D8049" s="156" t="s">
        <v>1444</v>
      </c>
      <c r="E8049" s="154" t="n">
        <v>0.25</v>
      </c>
      <c r="F8049" s="149" t="n">
        <f aca="false">IF(C8049="MAT.",VLOOKUP(A8049,INSUMOS_AUX!$A$3:$H$813,6,0),0)</f>
        <v>0.08</v>
      </c>
      <c r="G8049" s="149" t="n">
        <f aca="false">IF(C8049="M.O.",VLOOKUP(A8049,INSUMOS_AUX!A:F,6,0),0)</f>
        <v>0</v>
      </c>
    </row>
    <row r="8050" customFormat="false" ht="21" hidden="false" customHeight="false" outlineLevel="0" collapsed="false">
      <c r="A8050" s="154" t="n">
        <v>37371</v>
      </c>
      <c r="B8050" s="155" t="s">
        <v>1449</v>
      </c>
      <c r="C8050" s="148" t="str">
        <f aca="false">VLOOKUP($A8050,INSUMOS_AUX!$A$3:$H$813,3,0)</f>
        <v>MAT.</v>
      </c>
      <c r="D8050" s="156" t="s">
        <v>1444</v>
      </c>
      <c r="E8050" s="154" t="n">
        <v>0.25</v>
      </c>
      <c r="F8050" s="149" t="n">
        <f aca="false">IF(C8050="MAT.",VLOOKUP(A8050,INSUMOS_AUX!$A$3:$H$813,6,0),0)</f>
        <v>0.59</v>
      </c>
      <c r="G8050" s="149" t="n">
        <f aca="false">IF(C8050="M.O.",VLOOKUP(A8050,INSUMOS_AUX!A:F,6,0),0)</f>
        <v>0</v>
      </c>
    </row>
    <row r="8051" customFormat="false" ht="31.5" hidden="false" customHeight="false" outlineLevel="0" collapsed="false">
      <c r="A8051" s="154" t="n">
        <v>11950</v>
      </c>
      <c r="B8051" s="155" t="s">
        <v>1774</v>
      </c>
      <c r="C8051" s="148" t="str">
        <f aca="false">VLOOKUP($A8051,INSUMOS_AUX!$A$3:$H$813,3,0)</f>
        <v>MAT.</v>
      </c>
      <c r="D8051" s="156" t="s">
        <v>31</v>
      </c>
      <c r="E8051" s="154" t="n">
        <v>4</v>
      </c>
      <c r="F8051" s="149" t="n">
        <f aca="false">IF(C8051="MAT.",VLOOKUP(A8051,INSUMOS_AUX!$A$3:$H$813,6,0),0)</f>
        <v>0.26</v>
      </c>
      <c r="G8051" s="149" t="n">
        <f aca="false">IF(C8051="M.O.",VLOOKUP(A8051,INSUMOS_AUX!A:F,6,0),0)</f>
        <v>0</v>
      </c>
    </row>
    <row r="8052" customFormat="false" ht="15" hidden="false" customHeight="false" outlineLevel="0" collapsed="false">
      <c r="A8052" s="154" t="s">
        <v>2930</v>
      </c>
      <c r="B8052" s="155" t="s">
        <v>2931</v>
      </c>
      <c r="C8052" s="148" t="str">
        <f aca="false">VLOOKUP($A8052,INSUMOS_AUX!$A$3:$H$813,3,0)</f>
        <v>MAT.</v>
      </c>
      <c r="D8052" s="156" t="s">
        <v>31</v>
      </c>
      <c r="E8052" s="154" t="n">
        <v>1</v>
      </c>
      <c r="F8052" s="149" t="n">
        <f aca="false">IF(C8052="MAT.",VLOOKUP(A8052,INSUMOS_AUX!$A$3:$H$813,6,0),0)</f>
        <v>2008.92</v>
      </c>
      <c r="G8052" s="149" t="n">
        <f aca="false">IF(C8052="M.O.",VLOOKUP(A8052,INSUMOS_AUX!A:F,6,0),0)</f>
        <v>0</v>
      </c>
    </row>
    <row r="8053" customFormat="false" ht="15" hidden="false" customHeight="false" outlineLevel="0" collapsed="false">
      <c r="A8053" s="154" t="n">
        <v>4750</v>
      </c>
      <c r="B8053" s="155" t="s">
        <v>1463</v>
      </c>
      <c r="C8053" s="148" t="str">
        <f aca="false">VLOOKUP($A8053,INSUMOS_AUX!$A$3:$H$813,3,0)</f>
        <v>M.O.</v>
      </c>
      <c r="D8053" s="156" t="s">
        <v>1444</v>
      </c>
      <c r="E8053" s="154" t="n">
        <v>0.2553</v>
      </c>
      <c r="F8053" s="149" t="n">
        <f aca="false">IF(C8053="MAT.",VLOOKUP(A8053,INSUMOS_AUX!$A$3:$H$813,6,0),0)</f>
        <v>0</v>
      </c>
      <c r="G8053" s="149" t="n">
        <f aca="false">IF(C8053="M.O.",VLOOKUP(A8053,INSUMOS_AUX!A:F,6,0),0)</f>
        <v>20.22</v>
      </c>
    </row>
    <row r="8054" customFormat="false" ht="31.5" hidden="false" customHeight="false" outlineLevel="0" collapsed="false">
      <c r="A8054" s="150" t="s">
        <v>1370</v>
      </c>
      <c r="B8054" s="151" t="s">
        <v>2932</v>
      </c>
      <c r="C8054" s="152" t="s">
        <v>59</v>
      </c>
      <c r="D8054" s="152" t="s">
        <v>1477</v>
      </c>
      <c r="E8054" s="150"/>
      <c r="F8054" s="153" t="n">
        <f aca="false">(SUMPRODUCT($E8055:$E8062,F8055:F8062))*1</f>
        <v>0.137</v>
      </c>
      <c r="G8054" s="153" t="n">
        <f aca="false">(SUMPRODUCT($E8055:$E8062,G8055:G8062))*1</f>
        <v>6.052794173</v>
      </c>
    </row>
    <row r="8055" customFormat="false" ht="21" hidden="false" customHeight="false" outlineLevel="0" collapsed="false">
      <c r="A8055" s="154" t="n">
        <v>43486</v>
      </c>
      <c r="B8055" s="155" t="s">
        <v>1612</v>
      </c>
      <c r="C8055" s="148" t="str">
        <f aca="false">VLOOKUP($A8055,INSUMOS_AUX!$A$3:$H$813,3,0)</f>
        <v>MAT.</v>
      </c>
      <c r="D8055" s="156" t="s">
        <v>1444</v>
      </c>
      <c r="E8055" s="154" t="n">
        <v>0.05</v>
      </c>
      <c r="F8055" s="149" t="n">
        <f aca="false">IF(C8055="MAT.",VLOOKUP(A8055,INSUMOS_AUX!$A$3:$H$813,6,0),0)</f>
        <v>0.77</v>
      </c>
      <c r="G8055" s="149" t="n">
        <f aca="false">IF(C8055="M.O.",VLOOKUP(A8055,INSUMOS_AUX!A:F,6,0),0)</f>
        <v>0</v>
      </c>
    </row>
    <row r="8056" customFormat="false" ht="21" hidden="false" customHeight="false" outlineLevel="0" collapsed="false">
      <c r="A8056" s="154" t="n">
        <v>43493</v>
      </c>
      <c r="B8056" s="155" t="s">
        <v>2933</v>
      </c>
      <c r="C8056" s="148" t="str">
        <f aca="false">VLOOKUP($A8056,INSUMOS_AUX!$A$3:$H$813,3,0)</f>
        <v>MAT.</v>
      </c>
      <c r="D8056" s="156" t="s">
        <v>1444</v>
      </c>
      <c r="E8056" s="154" t="n">
        <v>0.01</v>
      </c>
      <c r="F8056" s="149" t="n">
        <f aca="false">IF(C8056="MAT.",VLOOKUP(A8056,INSUMOS_AUX!$A$3:$H$813,6,0),0)</f>
        <v>0.74</v>
      </c>
      <c r="G8056" s="149" t="n">
        <f aca="false">IF(C8056="M.O.",VLOOKUP(A8056,INSUMOS_AUX!A:F,6,0),0)</f>
        <v>0</v>
      </c>
    </row>
    <row r="8057" customFormat="false" ht="21" hidden="false" customHeight="false" outlineLevel="0" collapsed="false">
      <c r="A8057" s="154" t="n">
        <v>37372</v>
      </c>
      <c r="B8057" s="155" t="s">
        <v>1446</v>
      </c>
      <c r="C8057" s="148" t="str">
        <f aca="false">VLOOKUP($A8057,INSUMOS_AUX!$A$3:$H$813,3,0)</f>
        <v>MAT.</v>
      </c>
      <c r="D8057" s="156" t="s">
        <v>1444</v>
      </c>
      <c r="E8057" s="154" t="n">
        <v>0.06</v>
      </c>
      <c r="F8057" s="149" t="n">
        <f aca="false">IF(C8057="MAT.",VLOOKUP(A8057,INSUMOS_AUX!$A$3:$H$813,6,0),0)</f>
        <v>1.43</v>
      </c>
      <c r="G8057" s="149" t="n">
        <f aca="false">IF(C8057="M.O.",VLOOKUP(A8057,INSUMOS_AUX!A:F,6,0),0)</f>
        <v>0</v>
      </c>
    </row>
    <row r="8058" customFormat="false" ht="21" hidden="false" customHeight="false" outlineLevel="0" collapsed="false">
      <c r="A8058" s="154" t="n">
        <v>43462</v>
      </c>
      <c r="B8058" s="155" t="s">
        <v>1614</v>
      </c>
      <c r="C8058" s="148" t="str">
        <f aca="false">VLOOKUP($A8058,INSUMOS_AUX!$A$3:$H$813,3,0)</f>
        <v>MAT.</v>
      </c>
      <c r="D8058" s="156" t="s">
        <v>1444</v>
      </c>
      <c r="E8058" s="154" t="n">
        <v>0.05</v>
      </c>
      <c r="F8058" s="149" t="n">
        <f aca="false">IF(C8058="MAT.",VLOOKUP(A8058,INSUMOS_AUX!$A$3:$H$813,6,0),0)</f>
        <v>0.01</v>
      </c>
      <c r="G8058" s="149" t="n">
        <f aca="false">IF(C8058="M.O.",VLOOKUP(A8058,INSUMOS_AUX!A:F,6,0),0)</f>
        <v>0</v>
      </c>
    </row>
    <row r="8059" customFormat="false" ht="21" hidden="false" customHeight="false" outlineLevel="0" collapsed="false">
      <c r="A8059" s="154" t="n">
        <v>43469</v>
      </c>
      <c r="B8059" s="155" t="s">
        <v>2934</v>
      </c>
      <c r="C8059" s="148" t="s">
        <v>59</v>
      </c>
      <c r="D8059" s="156" t="s">
        <v>1444</v>
      </c>
      <c r="E8059" s="154" t="n">
        <v>0.01</v>
      </c>
      <c r="F8059" s="149" t="n">
        <f aca="false">IF(C8059="MAT.",VLOOKUP(A8059,INSUMOS_AUX!$A$3:$H$813,6,0),0)</f>
        <v>0</v>
      </c>
      <c r="G8059" s="149" t="n">
        <f aca="false">IF(C8059="M.O.",VLOOKUP(A8059,INSUMOS_AUX!A:F,6,0),0)</f>
        <v>0</v>
      </c>
    </row>
    <row r="8060" customFormat="false" ht="21" hidden="false" customHeight="false" outlineLevel="0" collapsed="false">
      <c r="A8060" s="154" t="n">
        <v>37373</v>
      </c>
      <c r="B8060" s="155" t="s">
        <v>1448</v>
      </c>
      <c r="C8060" s="148" t="str">
        <f aca="false">VLOOKUP($A8060,INSUMOS_AUX!$A$3:$H$813,3,0)</f>
        <v>MAT.</v>
      </c>
      <c r="D8060" s="156" t="s">
        <v>1444</v>
      </c>
      <c r="E8060" s="154" t="n">
        <v>0.06</v>
      </c>
      <c r="F8060" s="149" t="n">
        <f aca="false">IF(C8060="MAT.",VLOOKUP(A8060,INSUMOS_AUX!$A$3:$H$813,6,0),0)</f>
        <v>0.08</v>
      </c>
      <c r="G8060" s="149" t="n">
        <f aca="false">IF(C8060="M.O.",VLOOKUP(A8060,INSUMOS_AUX!A:F,6,0),0)</f>
        <v>0</v>
      </c>
    </row>
    <row r="8061" customFormat="false" ht="15" hidden="false" customHeight="false" outlineLevel="0" collapsed="false">
      <c r="A8061" s="154" t="n">
        <v>2358</v>
      </c>
      <c r="B8061" s="155" t="s">
        <v>2935</v>
      </c>
      <c r="C8061" s="148" t="str">
        <f aca="false">VLOOKUP($A8061,INSUMOS_AUX!$A$3:$H$813,3,0)</f>
        <v>M.O.</v>
      </c>
      <c r="D8061" s="156" t="s">
        <v>1444</v>
      </c>
      <c r="E8061" s="154" t="n">
        <v>0.0100509</v>
      </c>
      <c r="F8061" s="149" t="n">
        <f aca="false">IF(C8061="MAT.",VLOOKUP(A8061,INSUMOS_AUX!$A$3:$H$813,6,0),0)</f>
        <v>0</v>
      </c>
      <c r="G8061" s="149" t="n">
        <f aca="false">IF(C8061="M.O.",VLOOKUP(A8061,INSUMOS_AUX!A:F,6,0),0)</f>
        <v>15.17</v>
      </c>
    </row>
    <row r="8062" customFormat="false" ht="15" hidden="false" customHeight="false" outlineLevel="0" collapsed="false">
      <c r="A8062" s="154" t="n">
        <v>2707</v>
      </c>
      <c r="B8062" s="155" t="s">
        <v>1623</v>
      </c>
      <c r="C8062" s="148" t="str">
        <f aca="false">VLOOKUP($A8062,INSUMOS_AUX!$A$3:$H$813,3,0)</f>
        <v>M.O.</v>
      </c>
      <c r="D8062" s="156" t="s">
        <v>1444</v>
      </c>
      <c r="E8062" s="154" t="n">
        <v>0.050738</v>
      </c>
      <c r="F8062" s="149" t="n">
        <f aca="false">IF(C8062="MAT.",VLOOKUP(A8062,INSUMOS_AUX!$A$3:$H$813,6,0),0)</f>
        <v>0</v>
      </c>
      <c r="G8062" s="149" t="n">
        <f aca="false">IF(C8062="M.O.",VLOOKUP(A8062,INSUMOS_AUX!A:F,6,0),0)</f>
        <v>116.29</v>
      </c>
    </row>
  </sheetData>
  <autoFilter ref="A4:G8062"/>
  <mergeCells count="3">
    <mergeCell ref="A1:B3"/>
    <mergeCell ref="C1:G1"/>
    <mergeCell ref="C2:F3"/>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558ED5"/>
    <pageSetUpPr fitToPage="true"/>
  </sheetPr>
  <dimension ref="A1:M1014"/>
  <sheetViews>
    <sheetView showFormulas="false" showGridLines="true" showRowColHeaders="true" showZeros="true" rightToLeft="false" tabSelected="false" showOutlineSymbols="true" defaultGridColor="true" view="pageBreakPreview" topLeftCell="A83" colorId="64" zoomScale="85" zoomScaleNormal="85" zoomScalePageLayoutView="85" workbookViewId="0">
      <selection pane="topLeft" activeCell="E17" activeCellId="0" sqref="E17"/>
    </sheetView>
  </sheetViews>
  <sheetFormatPr defaultRowHeight="15" zeroHeight="false" outlineLevelRow="0" outlineLevelCol="0"/>
  <cols>
    <col collapsed="false" customWidth="true" hidden="false" outlineLevel="0" max="1" min="1" style="76" width="53.14"/>
    <col collapsed="false" customWidth="true" hidden="false" outlineLevel="0" max="2" min="2" style="76" width="15.42"/>
    <col collapsed="false" customWidth="true" hidden="false" outlineLevel="0" max="3" min="3" style="76" width="98.28"/>
    <col collapsed="false" customWidth="true" hidden="false" outlineLevel="0" max="4" min="4" style="76" width="14.43"/>
    <col collapsed="false" customWidth="true" hidden="false" outlineLevel="0" max="5" min="5" style="76" width="16.86"/>
    <col collapsed="false" customWidth="true" hidden="false" outlineLevel="0" max="6" min="6" style="76" width="14.57"/>
    <col collapsed="false" customWidth="true" hidden="false" outlineLevel="0" max="7" min="7" style="76" width="22.28"/>
    <col collapsed="false" customWidth="true" hidden="false" outlineLevel="0" max="8" min="8" style="157" width="13.14"/>
    <col collapsed="false" customWidth="true" hidden="false" outlineLevel="0" max="9" min="9" style="157" width="18.85"/>
    <col collapsed="false" customWidth="true" hidden="false" outlineLevel="0" max="10" min="10" style="157" width="15"/>
    <col collapsed="false" customWidth="true" hidden="false" outlineLevel="0" max="1025" min="11" style="157" width="9.14"/>
  </cols>
  <sheetData>
    <row r="1" customFormat="false" ht="15" hidden="false" customHeight="true" outlineLevel="0" collapsed="false">
      <c r="A1" s="143" t="s">
        <v>1379</v>
      </c>
      <c r="B1" s="143"/>
      <c r="C1" s="143"/>
      <c r="D1" s="143" t="s">
        <v>19</v>
      </c>
      <c r="E1" s="143"/>
      <c r="F1" s="143"/>
      <c r="G1" s="143"/>
    </row>
    <row r="2" customFormat="false" ht="15" hidden="false" customHeight="true" outlineLevel="0" collapsed="false">
      <c r="A2" s="143"/>
      <c r="B2" s="143"/>
      <c r="C2" s="143"/>
      <c r="D2" s="158" t="s">
        <v>2936</v>
      </c>
      <c r="E2" s="158"/>
      <c r="F2" s="158"/>
      <c r="G2" s="159" t="n">
        <f aca="false">01_SINTETICO!J2</f>
        <v>45750</v>
      </c>
      <c r="J2" s="160"/>
    </row>
    <row r="3" customFormat="false" ht="15" hidden="false" customHeight="false" outlineLevel="0" collapsed="false">
      <c r="A3" s="143"/>
      <c r="B3" s="143"/>
      <c r="C3" s="143"/>
      <c r="D3" s="158"/>
      <c r="E3" s="158"/>
      <c r="F3" s="158"/>
      <c r="G3" s="161" t="str">
        <f aca="false">'CAPA-DADOS'!E16</f>
        <v>SINAPI-FEV/2025</v>
      </c>
    </row>
    <row r="4" customFormat="false" ht="15" hidden="false" customHeight="true" outlineLevel="0" collapsed="false">
      <c r="A4" s="162" t="s">
        <v>2937</v>
      </c>
      <c r="B4" s="162"/>
      <c r="C4" s="162"/>
      <c r="D4" s="162"/>
      <c r="E4" s="162"/>
      <c r="F4" s="162"/>
      <c r="G4" s="162"/>
    </row>
    <row r="5" customFormat="false" ht="15" hidden="false" customHeight="false" outlineLevel="0" collapsed="false">
      <c r="A5" s="162"/>
      <c r="B5" s="162"/>
      <c r="C5" s="162"/>
      <c r="D5" s="162"/>
      <c r="E5" s="162"/>
      <c r="F5" s="162"/>
      <c r="G5" s="162"/>
    </row>
    <row r="6" customFormat="false" ht="15" hidden="false" customHeight="false" outlineLevel="0" collapsed="false">
      <c r="A6" s="163"/>
      <c r="B6" s="163"/>
      <c r="C6" s="163"/>
      <c r="D6" s="164"/>
      <c r="E6" s="164"/>
      <c r="F6" s="164"/>
    </row>
    <row r="7" customFormat="false" ht="15" hidden="false" customHeight="false" outlineLevel="0" collapsed="false">
      <c r="A7" s="165" t="s">
        <v>28</v>
      </c>
      <c r="B7" s="165" t="s">
        <v>1410</v>
      </c>
      <c r="C7" s="165" t="s">
        <v>2938</v>
      </c>
      <c r="D7" s="165"/>
      <c r="E7" s="165"/>
      <c r="F7" s="165" t="s">
        <v>2939</v>
      </c>
      <c r="G7" s="165" t="s">
        <v>2940</v>
      </c>
      <c r="H7" s="166"/>
      <c r="I7" s="166"/>
      <c r="J7" s="166"/>
      <c r="K7" s="166"/>
      <c r="L7" s="166"/>
      <c r="M7" s="166"/>
    </row>
    <row r="8" customFormat="false" ht="15" hidden="false" customHeight="true" outlineLevel="0" collapsed="false">
      <c r="A8" s="167" t="s">
        <v>28</v>
      </c>
      <c r="B8" s="167" t="s">
        <v>1410</v>
      </c>
      <c r="C8" s="167" t="s">
        <v>2938</v>
      </c>
      <c r="D8" s="167"/>
      <c r="E8" s="167"/>
      <c r="F8" s="167" t="s">
        <v>2939</v>
      </c>
      <c r="G8" s="167" t="s">
        <v>2940</v>
      </c>
      <c r="H8" s="166"/>
      <c r="I8" s="166"/>
      <c r="J8" s="166"/>
      <c r="K8" s="166"/>
      <c r="L8" s="166"/>
      <c r="M8" s="166"/>
    </row>
    <row r="9" customFormat="false" ht="15" hidden="false" customHeight="true" outlineLevel="0" collapsed="false">
      <c r="A9" s="38" t="s">
        <v>2666</v>
      </c>
      <c r="B9" s="168" t="s">
        <v>2941</v>
      </c>
      <c r="C9" s="169" t="s">
        <v>2942</v>
      </c>
      <c r="D9" s="169"/>
      <c r="E9" s="169"/>
      <c r="F9" s="170" t="s">
        <v>31</v>
      </c>
      <c r="G9" s="171" t="n">
        <f aca="false">F12</f>
        <v>233.846666666667</v>
      </c>
      <c r="H9" s="166"/>
      <c r="I9" s="166"/>
      <c r="J9" s="166"/>
      <c r="K9" s="166"/>
      <c r="L9" s="166"/>
      <c r="M9" s="166"/>
    </row>
    <row r="10" customFormat="false" ht="15" hidden="false" customHeight="true" outlineLevel="0" collapsed="false">
      <c r="A10" s="172" t="s">
        <v>2943</v>
      </c>
      <c r="B10" s="172" t="s">
        <v>2944</v>
      </c>
      <c r="C10" s="172" t="s">
        <v>2945</v>
      </c>
      <c r="D10" s="172" t="s">
        <v>2946</v>
      </c>
      <c r="E10" s="172" t="s">
        <v>2947</v>
      </c>
      <c r="F10" s="172" t="s">
        <v>2948</v>
      </c>
      <c r="G10" s="172"/>
      <c r="H10" s="166"/>
      <c r="I10" s="166"/>
      <c r="J10" s="166"/>
      <c r="K10" s="166"/>
      <c r="L10" s="166"/>
      <c r="M10" s="166"/>
    </row>
    <row r="11" customFormat="false" ht="15" hidden="false" customHeight="false" outlineLevel="0" collapsed="false">
      <c r="A11" s="172"/>
      <c r="B11" s="172"/>
      <c r="C11" s="172"/>
      <c r="D11" s="172"/>
      <c r="E11" s="172"/>
      <c r="F11" s="173" t="s">
        <v>1374</v>
      </c>
      <c r="G11" s="174" t="s">
        <v>2949</v>
      </c>
      <c r="H11" s="166"/>
      <c r="I11" s="166"/>
      <c r="J11" s="166"/>
      <c r="K11" s="166"/>
      <c r="L11" s="166"/>
      <c r="M11" s="166"/>
    </row>
    <row r="12" customFormat="false" ht="26.25" hidden="false" customHeight="false" outlineLevel="0" collapsed="false">
      <c r="A12" s="175" t="s">
        <v>2950</v>
      </c>
      <c r="B12" s="176" t="s">
        <v>2951</v>
      </c>
      <c r="C12" s="176" t="s">
        <v>2952</v>
      </c>
      <c r="D12" s="177" t="n">
        <v>200.37</v>
      </c>
      <c r="E12" s="178" t="n">
        <f aca="false">AVERAGE(D12:D14)</f>
        <v>233.846666666667</v>
      </c>
      <c r="F12" s="178" t="n">
        <f aca="false">E12</f>
        <v>233.846666666667</v>
      </c>
      <c r="G12" s="178" t="s">
        <v>2953</v>
      </c>
      <c r="H12" s="179" t="n">
        <f aca="false">F12</f>
        <v>233.846666666667</v>
      </c>
      <c r="I12" s="179" t="str">
        <f aca="false">G12</f>
        <v>UTILIZOU-SE SINAPI</v>
      </c>
      <c r="J12" s="166"/>
      <c r="K12" s="166"/>
      <c r="L12" s="166"/>
      <c r="M12" s="166"/>
    </row>
    <row r="13" customFormat="false" ht="15" hidden="false" customHeight="false" outlineLevel="0" collapsed="false">
      <c r="A13" s="175" t="s">
        <v>2954</v>
      </c>
      <c r="B13" s="176" t="s">
        <v>2955</v>
      </c>
      <c r="C13" s="176" t="s">
        <v>2956</v>
      </c>
      <c r="D13" s="177" t="n">
        <v>225.18</v>
      </c>
      <c r="E13" s="178"/>
      <c r="F13" s="178"/>
      <c r="G13" s="178"/>
      <c r="H13" s="166"/>
      <c r="I13" s="166"/>
      <c r="J13" s="166"/>
      <c r="K13" s="166"/>
      <c r="L13" s="166"/>
      <c r="M13" s="166"/>
    </row>
    <row r="14" customFormat="false" ht="15" hidden="false" customHeight="false" outlineLevel="0" collapsed="false">
      <c r="A14" s="175" t="s">
        <v>2957</v>
      </c>
      <c r="B14" s="176" t="s">
        <v>2958</v>
      </c>
      <c r="C14" s="176" t="s">
        <v>2959</v>
      </c>
      <c r="D14" s="177" t="n">
        <v>275.99</v>
      </c>
      <c r="E14" s="178"/>
      <c r="F14" s="178"/>
      <c r="G14" s="178"/>
      <c r="H14" s="166"/>
      <c r="I14" s="166"/>
      <c r="J14" s="166"/>
      <c r="K14" s="166"/>
      <c r="L14" s="166"/>
      <c r="M14" s="166"/>
    </row>
    <row r="15" s="157" customFormat="true" ht="12.75" hidden="false" customHeight="false" outlineLevel="0" collapsed="false">
      <c r="A15" s="180"/>
      <c r="B15" s="181"/>
      <c r="C15" s="181"/>
      <c r="D15" s="182"/>
      <c r="E15" s="182"/>
      <c r="F15" s="183"/>
    </row>
    <row r="16" customFormat="false" ht="15" hidden="false" customHeight="false" outlineLevel="0" collapsed="false">
      <c r="A16" s="165" t="s">
        <v>28</v>
      </c>
      <c r="B16" s="165" t="s">
        <v>1410</v>
      </c>
      <c r="C16" s="165" t="s">
        <v>2938</v>
      </c>
      <c r="D16" s="165"/>
      <c r="E16" s="165"/>
      <c r="F16" s="165" t="s">
        <v>2939</v>
      </c>
      <c r="G16" s="165" t="s">
        <v>2940</v>
      </c>
    </row>
    <row r="17" customFormat="false" ht="15" hidden="false" customHeight="false" outlineLevel="0" collapsed="false">
      <c r="A17" s="37" t="s">
        <v>2735</v>
      </c>
      <c r="B17" s="176" t="s">
        <v>2941</v>
      </c>
      <c r="C17" s="184" t="s">
        <v>2960</v>
      </c>
      <c r="D17" s="184"/>
      <c r="E17" s="184"/>
      <c r="F17" s="176" t="s">
        <v>31</v>
      </c>
      <c r="G17" s="178" t="n">
        <f aca="false">F20</f>
        <v>105.66</v>
      </c>
    </row>
    <row r="18" customFormat="false" ht="15" hidden="false" customHeight="true" outlineLevel="0" collapsed="false">
      <c r="A18" s="185" t="s">
        <v>2943</v>
      </c>
      <c r="B18" s="185" t="s">
        <v>2944</v>
      </c>
      <c r="C18" s="185" t="s">
        <v>2945</v>
      </c>
      <c r="D18" s="185" t="s">
        <v>2946</v>
      </c>
      <c r="E18" s="172" t="s">
        <v>2947</v>
      </c>
      <c r="F18" s="185" t="s">
        <v>2948</v>
      </c>
      <c r="G18" s="185"/>
    </row>
    <row r="19" customFormat="false" ht="15" hidden="false" customHeight="false" outlineLevel="0" collapsed="false">
      <c r="A19" s="185"/>
      <c r="B19" s="185"/>
      <c r="C19" s="185"/>
      <c r="D19" s="185"/>
      <c r="E19" s="172"/>
      <c r="F19" s="173" t="s">
        <v>1374</v>
      </c>
      <c r="G19" s="174" t="s">
        <v>2949</v>
      </c>
    </row>
    <row r="20" customFormat="false" ht="26.25" hidden="false" customHeight="false" outlineLevel="0" collapsed="false">
      <c r="A20" s="175" t="s">
        <v>2961</v>
      </c>
      <c r="B20" s="176" t="s">
        <v>2962</v>
      </c>
      <c r="C20" s="176" t="s">
        <v>2963</v>
      </c>
      <c r="D20" s="177" t="n">
        <v>91.09</v>
      </c>
      <c r="E20" s="178" t="n">
        <f aca="false">LARGE(D20:D22,1)</f>
        <v>105.66</v>
      </c>
      <c r="F20" s="178" t="n">
        <f aca="false">E20</f>
        <v>105.66</v>
      </c>
      <c r="G20" s="178" t="s">
        <v>2953</v>
      </c>
      <c r="H20" s="179" t="n">
        <f aca="false">F20</f>
        <v>105.66</v>
      </c>
      <c r="I20" s="179" t="str">
        <f aca="false">G20</f>
        <v>UTILIZOU-SE SINAPI</v>
      </c>
    </row>
    <row r="21" customFormat="false" ht="15" hidden="false" customHeight="false" outlineLevel="0" collapsed="false">
      <c r="A21" s="175" t="s">
        <v>2964</v>
      </c>
      <c r="B21" s="176" t="s">
        <v>2965</v>
      </c>
      <c r="C21" s="176" t="s">
        <v>2966</v>
      </c>
      <c r="D21" s="177" t="n">
        <v>85.08</v>
      </c>
      <c r="E21" s="178"/>
      <c r="F21" s="178"/>
      <c r="G21" s="178"/>
    </row>
    <row r="22" customFormat="false" ht="15" hidden="false" customHeight="false" outlineLevel="0" collapsed="false">
      <c r="A22" s="175" t="s">
        <v>2950</v>
      </c>
      <c r="B22" s="176" t="s">
        <v>2951</v>
      </c>
      <c r="C22" s="176" t="s">
        <v>2952</v>
      </c>
      <c r="D22" s="177" t="n">
        <v>105.66</v>
      </c>
      <c r="E22" s="178"/>
      <c r="F22" s="178"/>
      <c r="G22" s="178"/>
    </row>
    <row r="23" s="157" customFormat="true" ht="15" hidden="false" customHeight="false" outlineLevel="0" collapsed="false">
      <c r="B23" s="183"/>
      <c r="C23" s="186"/>
      <c r="D23" s="187"/>
      <c r="E23" s="188"/>
      <c r="F23" s="188"/>
      <c r="G23" s="183"/>
    </row>
    <row r="24" customFormat="false" ht="15" hidden="false" customHeight="false" outlineLevel="0" collapsed="false">
      <c r="A24" s="165" t="s">
        <v>28</v>
      </c>
      <c r="B24" s="165" t="s">
        <v>1410</v>
      </c>
      <c r="C24" s="165" t="s">
        <v>2938</v>
      </c>
      <c r="D24" s="165"/>
      <c r="E24" s="165"/>
      <c r="F24" s="165" t="s">
        <v>2939</v>
      </c>
      <c r="G24" s="165" t="s">
        <v>2940</v>
      </c>
    </row>
    <row r="25" customFormat="false" ht="15" hidden="false" customHeight="true" outlineLevel="0" collapsed="false">
      <c r="A25" s="189" t="s">
        <v>2790</v>
      </c>
      <c r="B25" s="190" t="s">
        <v>2941</v>
      </c>
      <c r="C25" s="191" t="s">
        <v>2791</v>
      </c>
      <c r="D25" s="191"/>
      <c r="E25" s="191"/>
      <c r="F25" s="190" t="s">
        <v>1538</v>
      </c>
      <c r="G25" s="192" t="n">
        <f aca="false">F28</f>
        <v>17764</v>
      </c>
    </row>
    <row r="26" customFormat="false" ht="15" hidden="false" customHeight="true" outlineLevel="0" collapsed="false">
      <c r="A26" s="185" t="s">
        <v>2943</v>
      </c>
      <c r="B26" s="185" t="s">
        <v>2944</v>
      </c>
      <c r="C26" s="185" t="s">
        <v>2945</v>
      </c>
      <c r="D26" s="185" t="s">
        <v>2946</v>
      </c>
      <c r="E26" s="172" t="s">
        <v>2947</v>
      </c>
      <c r="F26" s="185" t="s">
        <v>2948</v>
      </c>
      <c r="G26" s="185"/>
    </row>
    <row r="27" customFormat="false" ht="15" hidden="false" customHeight="false" outlineLevel="0" collapsed="false">
      <c r="A27" s="185"/>
      <c r="B27" s="185"/>
      <c r="C27" s="185"/>
      <c r="D27" s="185"/>
      <c r="E27" s="172"/>
      <c r="F27" s="173" t="s">
        <v>1374</v>
      </c>
      <c r="G27" s="174" t="s">
        <v>2949</v>
      </c>
    </row>
    <row r="28" customFormat="false" ht="26.25" hidden="false" customHeight="false" outlineLevel="0" collapsed="false">
      <c r="A28" s="175" t="s">
        <v>2967</v>
      </c>
      <c r="B28" s="176" t="s">
        <v>2968</v>
      </c>
      <c r="C28" s="176" t="s">
        <v>2969</v>
      </c>
      <c r="D28" s="177" t="n">
        <v>17354</v>
      </c>
      <c r="E28" s="178" t="n">
        <f aca="false">AVERAGE(D28:D30)</f>
        <v>17764</v>
      </c>
      <c r="F28" s="178" t="n">
        <f aca="false">E28</f>
        <v>17764</v>
      </c>
      <c r="G28" s="178" t="s">
        <v>2953</v>
      </c>
      <c r="H28" s="179" t="n">
        <f aca="false">F28</f>
        <v>17764</v>
      </c>
      <c r="I28" s="179" t="str">
        <f aca="false">G28</f>
        <v>UTILIZOU-SE SINAPI</v>
      </c>
    </row>
    <row r="29" customFormat="false" ht="15" hidden="false" customHeight="false" outlineLevel="0" collapsed="false">
      <c r="A29" s="175" t="s">
        <v>2970</v>
      </c>
      <c r="B29" s="176" t="s">
        <v>2971</v>
      </c>
      <c r="C29" s="176" t="s">
        <v>2972</v>
      </c>
      <c r="D29" s="177" t="n">
        <v>16784</v>
      </c>
      <c r="E29" s="178"/>
      <c r="F29" s="178"/>
      <c r="G29" s="178"/>
    </row>
    <row r="30" customFormat="false" ht="15" hidden="false" customHeight="false" outlineLevel="0" collapsed="false">
      <c r="A30" s="175" t="s">
        <v>2973</v>
      </c>
      <c r="B30" s="176" t="s">
        <v>2974</v>
      </c>
      <c r="C30" s="176" t="s">
        <v>2975</v>
      </c>
      <c r="D30" s="177" t="n">
        <v>19154</v>
      </c>
      <c r="E30" s="178"/>
      <c r="F30" s="178"/>
      <c r="G30" s="178"/>
    </row>
    <row r="31" s="157" customFormat="true" ht="15" hidden="false" customHeight="false" outlineLevel="0" collapsed="false">
      <c r="B31" s="183"/>
      <c r="C31" s="183"/>
      <c r="D31" s="187"/>
      <c r="E31" s="188"/>
      <c r="F31" s="188"/>
      <c r="G31" s="183"/>
    </row>
    <row r="32" customFormat="false" ht="15" hidden="false" customHeight="false" outlineLevel="0" collapsed="false">
      <c r="A32" s="165" t="s">
        <v>28</v>
      </c>
      <c r="B32" s="165" t="s">
        <v>1410</v>
      </c>
      <c r="C32" s="165" t="s">
        <v>2938</v>
      </c>
      <c r="D32" s="165"/>
      <c r="E32" s="165"/>
      <c r="F32" s="165" t="s">
        <v>2939</v>
      </c>
      <c r="G32" s="165" t="s">
        <v>2940</v>
      </c>
    </row>
    <row r="33" customFormat="false" ht="15" hidden="false" customHeight="true" outlineLevel="0" collapsed="false">
      <c r="A33" s="189" t="s">
        <v>2796</v>
      </c>
      <c r="B33" s="190" t="s">
        <v>2941</v>
      </c>
      <c r="C33" s="191" t="s">
        <v>2797</v>
      </c>
      <c r="D33" s="191"/>
      <c r="E33" s="191"/>
      <c r="F33" s="190" t="s">
        <v>1538</v>
      </c>
      <c r="G33" s="192" t="n">
        <f aca="false">F36</f>
        <v>20248.3333333333</v>
      </c>
    </row>
    <row r="34" customFormat="false" ht="15" hidden="false" customHeight="true" outlineLevel="0" collapsed="false">
      <c r="A34" s="185" t="s">
        <v>2943</v>
      </c>
      <c r="B34" s="185" t="s">
        <v>2944</v>
      </c>
      <c r="C34" s="185" t="s">
        <v>2945</v>
      </c>
      <c r="D34" s="185" t="s">
        <v>2946</v>
      </c>
      <c r="E34" s="172" t="s">
        <v>2947</v>
      </c>
      <c r="F34" s="185" t="s">
        <v>2948</v>
      </c>
      <c r="G34" s="185"/>
    </row>
    <row r="35" customFormat="false" ht="15" hidden="false" customHeight="false" outlineLevel="0" collapsed="false">
      <c r="A35" s="185"/>
      <c r="B35" s="185"/>
      <c r="C35" s="185"/>
      <c r="D35" s="185"/>
      <c r="E35" s="172"/>
      <c r="F35" s="173" t="s">
        <v>1374</v>
      </c>
      <c r="G35" s="174" t="s">
        <v>2949</v>
      </c>
    </row>
    <row r="36" customFormat="false" ht="26.25" hidden="false" customHeight="false" outlineLevel="0" collapsed="false">
      <c r="A36" s="175" t="s">
        <v>2967</v>
      </c>
      <c r="B36" s="176" t="s">
        <v>2968</v>
      </c>
      <c r="C36" s="176" t="s">
        <v>2969</v>
      </c>
      <c r="D36" s="177" t="n">
        <v>17797</v>
      </c>
      <c r="E36" s="178" t="n">
        <f aca="false">AVERAGE(D36:D38)</f>
        <v>20248.3333333333</v>
      </c>
      <c r="F36" s="178" t="n">
        <f aca="false">E36</f>
        <v>20248.3333333333</v>
      </c>
      <c r="G36" s="178" t="s">
        <v>2953</v>
      </c>
      <c r="H36" s="179" t="n">
        <f aca="false">F36</f>
        <v>20248.3333333333</v>
      </c>
      <c r="I36" s="179" t="str">
        <f aca="false">G36</f>
        <v>UTILIZOU-SE SINAPI</v>
      </c>
    </row>
    <row r="37" customFormat="false" ht="15" hidden="false" customHeight="false" outlineLevel="0" collapsed="false">
      <c r="A37" s="175" t="s">
        <v>2970</v>
      </c>
      <c r="B37" s="176" t="s">
        <v>2971</v>
      </c>
      <c r="C37" s="176" t="s">
        <v>2972</v>
      </c>
      <c r="D37" s="177" t="n">
        <v>22734</v>
      </c>
      <c r="E37" s="178"/>
      <c r="F37" s="178"/>
      <c r="G37" s="178"/>
    </row>
    <row r="38" customFormat="false" ht="15" hidden="false" customHeight="false" outlineLevel="0" collapsed="false">
      <c r="A38" s="175" t="s">
        <v>2973</v>
      </c>
      <c r="B38" s="176" t="s">
        <v>2974</v>
      </c>
      <c r="C38" s="176" t="s">
        <v>2975</v>
      </c>
      <c r="D38" s="177" t="n">
        <v>20214</v>
      </c>
      <c r="E38" s="178"/>
      <c r="F38" s="178"/>
      <c r="G38" s="178"/>
    </row>
    <row r="39" s="157" customFormat="true" ht="15" hidden="false" customHeight="false" outlineLevel="0" collapsed="false">
      <c r="B39" s="183"/>
      <c r="C39" s="186"/>
      <c r="D39" s="187"/>
      <c r="E39" s="188"/>
      <c r="F39" s="188"/>
      <c r="G39" s="183"/>
    </row>
    <row r="40" customFormat="false" ht="15" hidden="false" customHeight="false" outlineLevel="0" collapsed="false">
      <c r="A40" s="165" t="s">
        <v>28</v>
      </c>
      <c r="B40" s="165" t="s">
        <v>1410</v>
      </c>
      <c r="C40" s="165" t="s">
        <v>2938</v>
      </c>
      <c r="D40" s="165"/>
      <c r="E40" s="165"/>
      <c r="F40" s="165" t="s">
        <v>2939</v>
      </c>
      <c r="G40" s="165" t="s">
        <v>2940</v>
      </c>
    </row>
    <row r="41" customFormat="false" ht="15" hidden="false" customHeight="true" outlineLevel="0" collapsed="false">
      <c r="A41" s="189" t="s">
        <v>2802</v>
      </c>
      <c r="B41" s="190" t="s">
        <v>2941</v>
      </c>
      <c r="C41" s="191" t="s">
        <v>2803</v>
      </c>
      <c r="D41" s="191"/>
      <c r="E41" s="191"/>
      <c r="F41" s="190" t="s">
        <v>1538</v>
      </c>
      <c r="G41" s="192" t="n">
        <f aca="false">F44</f>
        <v>21955</v>
      </c>
    </row>
    <row r="42" customFormat="false" ht="15" hidden="false" customHeight="true" outlineLevel="0" collapsed="false">
      <c r="A42" s="185" t="s">
        <v>2943</v>
      </c>
      <c r="B42" s="185" t="s">
        <v>2944</v>
      </c>
      <c r="C42" s="185" t="s">
        <v>2945</v>
      </c>
      <c r="D42" s="185" t="s">
        <v>2946</v>
      </c>
      <c r="E42" s="172" t="s">
        <v>2947</v>
      </c>
      <c r="F42" s="185" t="s">
        <v>2948</v>
      </c>
      <c r="G42" s="185"/>
    </row>
    <row r="43" customFormat="false" ht="15" hidden="false" customHeight="false" outlineLevel="0" collapsed="false">
      <c r="A43" s="185"/>
      <c r="B43" s="185"/>
      <c r="C43" s="185"/>
      <c r="D43" s="185"/>
      <c r="E43" s="172"/>
      <c r="F43" s="173" t="s">
        <v>1374</v>
      </c>
      <c r="G43" s="174" t="s">
        <v>2949</v>
      </c>
    </row>
    <row r="44" customFormat="false" ht="26.25" hidden="false" customHeight="false" outlineLevel="0" collapsed="false">
      <c r="A44" s="175" t="s">
        <v>2967</v>
      </c>
      <c r="B44" s="176" t="s">
        <v>2968</v>
      </c>
      <c r="C44" s="176" t="s">
        <v>2969</v>
      </c>
      <c r="D44" s="177" t="n">
        <v>19797</v>
      </c>
      <c r="E44" s="178" t="n">
        <f aca="false">AVERAGE(D44:D46)</f>
        <v>21955</v>
      </c>
      <c r="F44" s="178" t="n">
        <f aca="false">E44</f>
        <v>21955</v>
      </c>
      <c r="G44" s="178" t="s">
        <v>2953</v>
      </c>
      <c r="H44" s="179" t="n">
        <f aca="false">F44</f>
        <v>21955</v>
      </c>
      <c r="I44" s="179" t="str">
        <f aca="false">G44</f>
        <v>UTILIZOU-SE SINAPI</v>
      </c>
    </row>
    <row r="45" customFormat="false" ht="15" hidden="false" customHeight="false" outlineLevel="0" collapsed="false">
      <c r="A45" s="175" t="s">
        <v>2970</v>
      </c>
      <c r="B45" s="176" t="s">
        <v>2971</v>
      </c>
      <c r="C45" s="176" t="s">
        <v>2972</v>
      </c>
      <c r="D45" s="177" t="n">
        <v>23034</v>
      </c>
      <c r="E45" s="178"/>
      <c r="F45" s="178"/>
      <c r="G45" s="178"/>
    </row>
    <row r="46" customFormat="false" ht="15" hidden="false" customHeight="false" outlineLevel="0" collapsed="false">
      <c r="A46" s="175" t="s">
        <v>2973</v>
      </c>
      <c r="B46" s="176" t="s">
        <v>2974</v>
      </c>
      <c r="C46" s="176" t="s">
        <v>2975</v>
      </c>
      <c r="D46" s="177" t="n">
        <v>23034</v>
      </c>
      <c r="E46" s="178"/>
      <c r="F46" s="178"/>
      <c r="G46" s="178"/>
    </row>
    <row r="47" s="157" customFormat="true" ht="15" hidden="false" customHeight="false" outlineLevel="0" collapsed="false">
      <c r="B47" s="183"/>
      <c r="C47" s="186"/>
      <c r="D47" s="187"/>
      <c r="E47" s="188"/>
      <c r="F47" s="188"/>
      <c r="G47" s="183"/>
    </row>
    <row r="48" customFormat="false" ht="15" hidden="false" customHeight="false" outlineLevel="0" collapsed="false">
      <c r="A48" s="165" t="s">
        <v>28</v>
      </c>
      <c r="B48" s="165" t="s">
        <v>1410</v>
      </c>
      <c r="C48" s="165" t="s">
        <v>2938</v>
      </c>
      <c r="D48" s="165"/>
      <c r="E48" s="165"/>
      <c r="F48" s="165" t="s">
        <v>2939</v>
      </c>
      <c r="G48" s="165" t="s">
        <v>2940</v>
      </c>
    </row>
    <row r="49" customFormat="false" ht="15" hidden="false" customHeight="true" outlineLevel="0" collapsed="false">
      <c r="A49" s="189" t="s">
        <v>2799</v>
      </c>
      <c r="B49" s="190" t="s">
        <v>2941</v>
      </c>
      <c r="C49" s="191" t="s">
        <v>2800</v>
      </c>
      <c r="D49" s="191"/>
      <c r="E49" s="191"/>
      <c r="F49" s="190" t="s">
        <v>1538</v>
      </c>
      <c r="G49" s="192" t="n">
        <f aca="false">F52</f>
        <v>25429</v>
      </c>
    </row>
    <row r="50" customFormat="false" ht="15" hidden="false" customHeight="true" outlineLevel="0" collapsed="false">
      <c r="A50" s="185" t="s">
        <v>2943</v>
      </c>
      <c r="B50" s="185" t="s">
        <v>2944</v>
      </c>
      <c r="C50" s="185" t="s">
        <v>2945</v>
      </c>
      <c r="D50" s="185" t="s">
        <v>2946</v>
      </c>
      <c r="E50" s="172" t="s">
        <v>2947</v>
      </c>
      <c r="F50" s="185" t="s">
        <v>2948</v>
      </c>
      <c r="G50" s="185"/>
    </row>
    <row r="51" customFormat="false" ht="15" hidden="false" customHeight="false" outlineLevel="0" collapsed="false">
      <c r="A51" s="185"/>
      <c r="B51" s="185"/>
      <c r="C51" s="185"/>
      <c r="D51" s="185"/>
      <c r="E51" s="172"/>
      <c r="F51" s="173" t="s">
        <v>1374</v>
      </c>
      <c r="G51" s="174" t="s">
        <v>2949</v>
      </c>
    </row>
    <row r="52" customFormat="false" ht="26.25" hidden="false" customHeight="false" outlineLevel="0" collapsed="false">
      <c r="A52" s="175" t="s">
        <v>2967</v>
      </c>
      <c r="B52" s="176" t="s">
        <v>2968</v>
      </c>
      <c r="C52" s="176" t="s">
        <v>2969</v>
      </c>
      <c r="D52" s="177" t="n">
        <v>20597</v>
      </c>
      <c r="E52" s="178" t="n">
        <f aca="false">AVERAGE(D52:D54)</f>
        <v>25429</v>
      </c>
      <c r="F52" s="178" t="n">
        <f aca="false">E52</f>
        <v>25429</v>
      </c>
      <c r="G52" s="178" t="s">
        <v>2953</v>
      </c>
      <c r="H52" s="179" t="n">
        <f aca="false">F52</f>
        <v>25429</v>
      </c>
      <c r="I52" s="179" t="str">
        <f aca="false">G52</f>
        <v>UTILIZOU-SE SINAPI</v>
      </c>
    </row>
    <row r="53" customFormat="false" ht="15" hidden="false" customHeight="false" outlineLevel="0" collapsed="false">
      <c r="A53" s="175" t="s">
        <v>2970</v>
      </c>
      <c r="B53" s="176" t="s">
        <v>2971</v>
      </c>
      <c r="C53" s="176" t="s">
        <v>2972</v>
      </c>
      <c r="D53" s="177" t="n">
        <v>23414</v>
      </c>
      <c r="E53" s="178"/>
      <c r="F53" s="178"/>
      <c r="G53" s="178"/>
    </row>
    <row r="54" customFormat="false" ht="15" hidden="false" customHeight="false" outlineLevel="0" collapsed="false">
      <c r="A54" s="193" t="s">
        <v>2976</v>
      </c>
      <c r="B54" s="190" t="s">
        <v>2977</v>
      </c>
      <c r="C54" s="194" t="s">
        <v>2978</v>
      </c>
      <c r="D54" s="177" t="n">
        <v>32276</v>
      </c>
      <c r="E54" s="178"/>
      <c r="F54" s="178"/>
      <c r="G54" s="178"/>
    </row>
    <row r="55" s="157" customFormat="true" ht="15" hidden="false" customHeight="false" outlineLevel="0" collapsed="false">
      <c r="B55" s="183"/>
      <c r="C55" s="186"/>
      <c r="D55" s="187"/>
      <c r="E55" s="188"/>
      <c r="F55" s="188"/>
      <c r="G55" s="183"/>
    </row>
    <row r="56" customFormat="false" ht="15" hidden="false" customHeight="false" outlineLevel="0" collapsed="false">
      <c r="A56" s="165" t="s">
        <v>28</v>
      </c>
      <c r="B56" s="165" t="s">
        <v>1410</v>
      </c>
      <c r="C56" s="165" t="s">
        <v>2938</v>
      </c>
      <c r="D56" s="165"/>
      <c r="E56" s="165"/>
      <c r="F56" s="165" t="s">
        <v>2939</v>
      </c>
      <c r="G56" s="165" t="s">
        <v>2940</v>
      </c>
    </row>
    <row r="57" customFormat="false" ht="15" hidden="false" customHeight="true" outlineLevel="0" collapsed="false">
      <c r="A57" s="189" t="s">
        <v>2787</v>
      </c>
      <c r="B57" s="190" t="s">
        <v>2941</v>
      </c>
      <c r="C57" s="191" t="s">
        <v>2788</v>
      </c>
      <c r="D57" s="191"/>
      <c r="E57" s="191"/>
      <c r="F57" s="190" t="s">
        <v>1538</v>
      </c>
      <c r="G57" s="192" t="n">
        <f aca="false">F60</f>
        <v>16526.6666666667</v>
      </c>
    </row>
    <row r="58" customFormat="false" ht="15" hidden="false" customHeight="true" outlineLevel="0" collapsed="false">
      <c r="A58" s="185" t="s">
        <v>2943</v>
      </c>
      <c r="B58" s="185" t="s">
        <v>2944</v>
      </c>
      <c r="C58" s="185" t="s">
        <v>2945</v>
      </c>
      <c r="D58" s="185" t="s">
        <v>2946</v>
      </c>
      <c r="E58" s="172" t="s">
        <v>2947</v>
      </c>
      <c r="F58" s="185" t="s">
        <v>2948</v>
      </c>
      <c r="G58" s="185"/>
    </row>
    <row r="59" customFormat="false" ht="15" hidden="false" customHeight="false" outlineLevel="0" collapsed="false">
      <c r="A59" s="185"/>
      <c r="B59" s="185"/>
      <c r="C59" s="185"/>
      <c r="D59" s="185"/>
      <c r="E59" s="172"/>
      <c r="F59" s="173" t="s">
        <v>1374</v>
      </c>
      <c r="G59" s="174" t="s">
        <v>2949</v>
      </c>
    </row>
    <row r="60" customFormat="false" ht="26.25" hidden="false" customHeight="false" outlineLevel="0" collapsed="false">
      <c r="A60" s="175" t="s">
        <v>2967</v>
      </c>
      <c r="B60" s="176" t="s">
        <v>2968</v>
      </c>
      <c r="C60" s="176" t="s">
        <v>2969</v>
      </c>
      <c r="D60" s="177" t="n">
        <v>16161</v>
      </c>
      <c r="E60" s="178" t="n">
        <f aca="false">AVERAGE(D60:D62)</f>
        <v>16526.6666666667</v>
      </c>
      <c r="F60" s="178" t="n">
        <f aca="false">E60</f>
        <v>16526.6666666667</v>
      </c>
      <c r="G60" s="178" t="s">
        <v>2953</v>
      </c>
      <c r="H60" s="179" t="n">
        <f aca="false">F60</f>
        <v>16526.6666666667</v>
      </c>
      <c r="I60" s="179" t="str">
        <f aca="false">G60</f>
        <v>UTILIZOU-SE SINAPI</v>
      </c>
    </row>
    <row r="61" customFormat="false" ht="15" hidden="false" customHeight="false" outlineLevel="0" collapsed="false">
      <c r="A61" s="175" t="s">
        <v>2970</v>
      </c>
      <c r="B61" s="176" t="s">
        <v>2971</v>
      </c>
      <c r="C61" s="176" t="s">
        <v>2972</v>
      </c>
      <c r="D61" s="177" t="n">
        <v>14265</v>
      </c>
      <c r="E61" s="178"/>
      <c r="F61" s="178"/>
      <c r="G61" s="178"/>
    </row>
    <row r="62" customFormat="false" ht="15" hidden="false" customHeight="false" outlineLevel="0" collapsed="false">
      <c r="A62" s="175" t="s">
        <v>2973</v>
      </c>
      <c r="B62" s="176" t="s">
        <v>2974</v>
      </c>
      <c r="C62" s="176" t="s">
        <v>2975</v>
      </c>
      <c r="D62" s="177" t="n">
        <v>19154</v>
      </c>
      <c r="E62" s="178"/>
      <c r="F62" s="178"/>
      <c r="G62" s="178"/>
    </row>
    <row r="63" s="157" customFormat="true" ht="15" hidden="false" customHeight="false" outlineLevel="0" collapsed="false">
      <c r="B63" s="183"/>
      <c r="C63" s="183"/>
      <c r="D63" s="187"/>
      <c r="E63" s="188"/>
      <c r="F63" s="188"/>
      <c r="G63" s="183"/>
    </row>
    <row r="64" customFormat="false" ht="15" hidden="false" customHeight="false" outlineLevel="0" collapsed="false">
      <c r="A64" s="165" t="s">
        <v>28</v>
      </c>
      <c r="B64" s="165" t="s">
        <v>1410</v>
      </c>
      <c r="C64" s="165" t="s">
        <v>2938</v>
      </c>
      <c r="D64" s="165"/>
      <c r="E64" s="165"/>
      <c r="F64" s="165" t="s">
        <v>2939</v>
      </c>
      <c r="G64" s="165" t="s">
        <v>2940</v>
      </c>
    </row>
    <row r="65" customFormat="false" ht="15" hidden="false" customHeight="true" outlineLevel="0" collapsed="false">
      <c r="A65" s="189" t="s">
        <v>2793</v>
      </c>
      <c r="B65" s="190" t="s">
        <v>2941</v>
      </c>
      <c r="C65" s="191" t="s">
        <v>2794</v>
      </c>
      <c r="D65" s="191"/>
      <c r="E65" s="191"/>
      <c r="F65" s="190" t="s">
        <v>1538</v>
      </c>
      <c r="G65" s="192" t="n">
        <f aca="false">F68</f>
        <v>16119</v>
      </c>
    </row>
    <row r="66" customFormat="false" ht="15" hidden="false" customHeight="true" outlineLevel="0" collapsed="false">
      <c r="A66" s="185" t="s">
        <v>2943</v>
      </c>
      <c r="B66" s="185" t="s">
        <v>2944</v>
      </c>
      <c r="C66" s="185" t="s">
        <v>2945</v>
      </c>
      <c r="D66" s="185" t="s">
        <v>2946</v>
      </c>
      <c r="E66" s="172" t="s">
        <v>2947</v>
      </c>
      <c r="F66" s="185" t="s">
        <v>2948</v>
      </c>
      <c r="G66" s="185"/>
    </row>
    <row r="67" customFormat="false" ht="15" hidden="false" customHeight="false" outlineLevel="0" collapsed="false">
      <c r="A67" s="185"/>
      <c r="B67" s="185"/>
      <c r="C67" s="185"/>
      <c r="D67" s="185"/>
      <c r="E67" s="172"/>
      <c r="F67" s="173" t="s">
        <v>1374</v>
      </c>
      <c r="G67" s="174" t="s">
        <v>2949</v>
      </c>
    </row>
    <row r="68" customFormat="false" ht="26.25" hidden="false" customHeight="false" outlineLevel="0" collapsed="false">
      <c r="A68" s="175" t="s">
        <v>2967</v>
      </c>
      <c r="B68" s="176" t="s">
        <v>2968</v>
      </c>
      <c r="C68" s="176" t="s">
        <v>2969</v>
      </c>
      <c r="D68" s="177" t="n">
        <v>15597</v>
      </c>
      <c r="E68" s="178" t="n">
        <f aca="false">AVERAGE(D68:D70)</f>
        <v>16119</v>
      </c>
      <c r="F68" s="178" t="n">
        <f aca="false">E68</f>
        <v>16119</v>
      </c>
      <c r="G68" s="178" t="s">
        <v>2953</v>
      </c>
      <c r="H68" s="179" t="n">
        <f aca="false">F68</f>
        <v>16119</v>
      </c>
      <c r="I68" s="179" t="str">
        <f aca="false">G68</f>
        <v>UTILIZOU-SE SINAPI</v>
      </c>
    </row>
    <row r="69" customFormat="false" ht="15" hidden="false" customHeight="false" outlineLevel="0" collapsed="false">
      <c r="A69" s="175" t="s">
        <v>2970</v>
      </c>
      <c r="B69" s="176" t="s">
        <v>2971</v>
      </c>
      <c r="C69" s="176" t="s">
        <v>2972</v>
      </c>
      <c r="D69" s="177" t="n">
        <v>15195</v>
      </c>
      <c r="E69" s="178"/>
      <c r="F69" s="178"/>
      <c r="G69" s="178"/>
    </row>
    <row r="70" customFormat="false" ht="15" hidden="false" customHeight="false" outlineLevel="0" collapsed="false">
      <c r="A70" s="175" t="s">
        <v>2973</v>
      </c>
      <c r="B70" s="176" t="s">
        <v>2974</v>
      </c>
      <c r="C70" s="176" t="s">
        <v>2975</v>
      </c>
      <c r="D70" s="177" t="n">
        <v>17565</v>
      </c>
      <c r="E70" s="178"/>
      <c r="F70" s="178"/>
      <c r="G70" s="178"/>
    </row>
    <row r="71" s="157" customFormat="true" ht="15" hidden="false" customHeight="false" outlineLevel="0" collapsed="false">
      <c r="B71" s="183"/>
      <c r="C71" s="186"/>
      <c r="D71" s="187"/>
      <c r="E71" s="188"/>
      <c r="F71" s="188"/>
      <c r="G71" s="183"/>
    </row>
    <row r="72" customFormat="false" ht="15" hidden="false" customHeight="false" outlineLevel="0" collapsed="false">
      <c r="A72" s="165" t="s">
        <v>28</v>
      </c>
      <c r="B72" s="165" t="s">
        <v>1410</v>
      </c>
      <c r="C72" s="165" t="s">
        <v>2938</v>
      </c>
      <c r="D72" s="165"/>
      <c r="E72" s="165"/>
      <c r="F72" s="165" t="s">
        <v>2939</v>
      </c>
      <c r="G72" s="165" t="s">
        <v>2940</v>
      </c>
    </row>
    <row r="73" customFormat="false" ht="15" hidden="false" customHeight="true" outlineLevel="0" collapsed="false">
      <c r="A73" s="189" t="s">
        <v>2805</v>
      </c>
      <c r="B73" s="190" t="s">
        <v>2941</v>
      </c>
      <c r="C73" s="191" t="s">
        <v>2806</v>
      </c>
      <c r="D73" s="191"/>
      <c r="E73" s="191"/>
      <c r="F73" s="190" t="s">
        <v>1538</v>
      </c>
      <c r="G73" s="192" t="n">
        <f aca="false">F76</f>
        <v>27618.6666666667</v>
      </c>
    </row>
    <row r="74" customFormat="false" ht="15" hidden="false" customHeight="true" outlineLevel="0" collapsed="false">
      <c r="A74" s="185" t="s">
        <v>2943</v>
      </c>
      <c r="B74" s="185" t="s">
        <v>2944</v>
      </c>
      <c r="C74" s="185" t="s">
        <v>2945</v>
      </c>
      <c r="D74" s="185" t="s">
        <v>2946</v>
      </c>
      <c r="E74" s="172" t="s">
        <v>2947</v>
      </c>
      <c r="F74" s="185" t="s">
        <v>2948</v>
      </c>
      <c r="G74" s="185"/>
    </row>
    <row r="75" customFormat="false" ht="15" hidden="false" customHeight="false" outlineLevel="0" collapsed="false">
      <c r="A75" s="185"/>
      <c r="B75" s="185"/>
      <c r="C75" s="185"/>
      <c r="D75" s="185"/>
      <c r="E75" s="172"/>
      <c r="F75" s="173" t="s">
        <v>1374</v>
      </c>
      <c r="G75" s="174" t="s">
        <v>2949</v>
      </c>
    </row>
    <row r="76" customFormat="false" ht="26.25" hidden="false" customHeight="false" outlineLevel="0" collapsed="false">
      <c r="A76" s="175" t="s">
        <v>2967</v>
      </c>
      <c r="B76" s="176" t="s">
        <v>2968</v>
      </c>
      <c r="C76" s="176" t="s">
        <v>2969</v>
      </c>
      <c r="D76" s="177" t="n">
        <v>28610</v>
      </c>
      <c r="E76" s="178" t="n">
        <f aca="false">AVERAGE(D76:D78)</f>
        <v>27618.6666666667</v>
      </c>
      <c r="F76" s="178" t="n">
        <f aca="false">E76</f>
        <v>27618.6666666667</v>
      </c>
      <c r="G76" s="178" t="s">
        <v>2953</v>
      </c>
      <c r="H76" s="179" t="n">
        <f aca="false">F76</f>
        <v>27618.6666666667</v>
      </c>
      <c r="I76" s="179" t="str">
        <f aca="false">G76</f>
        <v>UTILIZOU-SE SINAPI</v>
      </c>
    </row>
    <row r="77" customFormat="false" ht="15" hidden="false" customHeight="false" outlineLevel="0" collapsed="false">
      <c r="A77" s="175" t="s">
        <v>2970</v>
      </c>
      <c r="B77" s="176" t="s">
        <v>2971</v>
      </c>
      <c r="C77" s="176" t="s">
        <v>2972</v>
      </c>
      <c r="D77" s="177" t="n">
        <v>24604</v>
      </c>
      <c r="E77" s="178"/>
      <c r="F77" s="178"/>
      <c r="G77" s="178"/>
    </row>
    <row r="78" customFormat="false" ht="15" hidden="false" customHeight="false" outlineLevel="0" collapsed="false">
      <c r="A78" s="175" t="s">
        <v>2973</v>
      </c>
      <c r="B78" s="176" t="s">
        <v>2974</v>
      </c>
      <c r="C78" s="176" t="s">
        <v>2975</v>
      </c>
      <c r="D78" s="177" t="n">
        <v>29642</v>
      </c>
      <c r="E78" s="178"/>
      <c r="F78" s="178"/>
      <c r="G78" s="178"/>
    </row>
    <row r="80" customFormat="false" ht="15" hidden="false" customHeight="false" outlineLevel="0" collapsed="false">
      <c r="A80" s="165" t="s">
        <v>28</v>
      </c>
      <c r="B80" s="165" t="s">
        <v>1410</v>
      </c>
      <c r="C80" s="165" t="s">
        <v>2938</v>
      </c>
      <c r="D80" s="165"/>
      <c r="E80" s="165"/>
      <c r="F80" s="165" t="s">
        <v>2939</v>
      </c>
      <c r="G80" s="165" t="s">
        <v>2940</v>
      </c>
    </row>
    <row r="81" customFormat="false" ht="15" hidden="false" customHeight="true" outlineLevel="0" collapsed="false">
      <c r="A81" s="189" t="s">
        <v>2784</v>
      </c>
      <c r="B81" s="190" t="s">
        <v>2941</v>
      </c>
      <c r="C81" s="191" t="s">
        <v>2785</v>
      </c>
      <c r="D81" s="191"/>
      <c r="E81" s="191"/>
      <c r="F81" s="190" t="s">
        <v>1538</v>
      </c>
      <c r="G81" s="192" t="n">
        <f aca="false">F84</f>
        <v>9904.33333333333</v>
      </c>
    </row>
    <row r="82" customFormat="false" ht="15" hidden="false" customHeight="true" outlineLevel="0" collapsed="false">
      <c r="A82" s="185" t="s">
        <v>2943</v>
      </c>
      <c r="B82" s="185" t="s">
        <v>2944</v>
      </c>
      <c r="C82" s="185" t="s">
        <v>2945</v>
      </c>
      <c r="D82" s="185" t="s">
        <v>2946</v>
      </c>
      <c r="E82" s="172" t="s">
        <v>2947</v>
      </c>
      <c r="F82" s="185" t="s">
        <v>2948</v>
      </c>
      <c r="G82" s="185"/>
    </row>
    <row r="83" customFormat="false" ht="15" hidden="false" customHeight="false" outlineLevel="0" collapsed="false">
      <c r="A83" s="185"/>
      <c r="B83" s="185"/>
      <c r="C83" s="185"/>
      <c r="D83" s="185"/>
      <c r="E83" s="172"/>
      <c r="F83" s="173" t="s">
        <v>1374</v>
      </c>
      <c r="G83" s="174" t="s">
        <v>2949</v>
      </c>
    </row>
    <row r="84" customFormat="false" ht="26.25" hidden="false" customHeight="false" outlineLevel="0" collapsed="false">
      <c r="A84" s="175" t="s">
        <v>2967</v>
      </c>
      <c r="B84" s="176" t="s">
        <v>2968</v>
      </c>
      <c r="C84" s="176" t="s">
        <v>2969</v>
      </c>
      <c r="D84" s="177" t="n">
        <v>8847</v>
      </c>
      <c r="E84" s="178" t="n">
        <f aca="false">AVERAGE(D84:D86)</f>
        <v>9904.33333333333</v>
      </c>
      <c r="F84" s="178" t="n">
        <f aca="false">E84</f>
        <v>9904.33333333333</v>
      </c>
      <c r="G84" s="178" t="s">
        <v>2953</v>
      </c>
      <c r="H84" s="179" t="n">
        <f aca="false">F84</f>
        <v>9904.33333333333</v>
      </c>
      <c r="I84" s="179" t="str">
        <f aca="false">G84</f>
        <v>UTILIZOU-SE SINAPI</v>
      </c>
    </row>
    <row r="85" customFormat="false" ht="15" hidden="false" customHeight="false" outlineLevel="0" collapsed="false">
      <c r="A85" s="175" t="s">
        <v>2970</v>
      </c>
      <c r="B85" s="176" t="s">
        <v>2971</v>
      </c>
      <c r="C85" s="176" t="s">
        <v>2972</v>
      </c>
      <c r="D85" s="177" t="n">
        <v>8319</v>
      </c>
      <c r="E85" s="178"/>
      <c r="F85" s="178"/>
      <c r="G85" s="178"/>
    </row>
    <row r="86" customFormat="false" ht="15" hidden="false" customHeight="false" outlineLevel="0" collapsed="false">
      <c r="A86" s="175" t="s">
        <v>2973</v>
      </c>
      <c r="B86" s="176" t="s">
        <v>2974</v>
      </c>
      <c r="C86" s="176" t="s">
        <v>2975</v>
      </c>
      <c r="D86" s="177" t="n">
        <v>12547</v>
      </c>
      <c r="E86" s="178"/>
      <c r="F86" s="178"/>
      <c r="G86" s="178"/>
    </row>
    <row r="87" s="157" customFormat="true" ht="15" hidden="false" customHeight="false" outlineLevel="0" collapsed="false">
      <c r="B87" s="183"/>
      <c r="C87" s="183"/>
      <c r="D87" s="187"/>
      <c r="E87" s="188"/>
      <c r="F87" s="188"/>
      <c r="G87" s="183"/>
    </row>
    <row r="88" customFormat="false" ht="15" hidden="false" customHeight="false" outlineLevel="0" collapsed="false">
      <c r="A88" s="165" t="s">
        <v>28</v>
      </c>
      <c r="B88" s="165" t="s">
        <v>1410</v>
      </c>
      <c r="C88" s="165" t="s">
        <v>2938</v>
      </c>
      <c r="D88" s="165"/>
      <c r="E88" s="165"/>
      <c r="F88" s="165" t="s">
        <v>2939</v>
      </c>
      <c r="G88" s="165" t="s">
        <v>2940</v>
      </c>
    </row>
    <row r="89" customFormat="false" ht="15" hidden="false" customHeight="true" outlineLevel="0" collapsed="false">
      <c r="A89" s="189" t="s">
        <v>2779</v>
      </c>
      <c r="B89" s="190" t="s">
        <v>2941</v>
      </c>
      <c r="C89" s="191" t="s">
        <v>2780</v>
      </c>
      <c r="D89" s="191"/>
      <c r="E89" s="191"/>
      <c r="F89" s="190" t="s">
        <v>31</v>
      </c>
      <c r="G89" s="192" t="n">
        <f aca="false">F92</f>
        <v>14849.7933333333</v>
      </c>
    </row>
    <row r="90" customFormat="false" ht="15" hidden="false" customHeight="true" outlineLevel="0" collapsed="false">
      <c r="A90" s="185" t="s">
        <v>2943</v>
      </c>
      <c r="B90" s="185" t="s">
        <v>2944</v>
      </c>
      <c r="C90" s="185" t="s">
        <v>2945</v>
      </c>
      <c r="D90" s="185" t="s">
        <v>2946</v>
      </c>
      <c r="E90" s="172" t="s">
        <v>2947</v>
      </c>
      <c r="F90" s="185" t="s">
        <v>2948</v>
      </c>
      <c r="G90" s="185"/>
    </row>
    <row r="91" customFormat="false" ht="15" hidden="false" customHeight="false" outlineLevel="0" collapsed="false">
      <c r="A91" s="185"/>
      <c r="B91" s="185"/>
      <c r="C91" s="185"/>
      <c r="D91" s="185"/>
      <c r="E91" s="172"/>
      <c r="F91" s="173" t="s">
        <v>1374</v>
      </c>
      <c r="G91" s="174" t="s">
        <v>2949</v>
      </c>
    </row>
    <row r="92" customFormat="false" ht="26.25" hidden="false" customHeight="false" outlineLevel="0" collapsed="false">
      <c r="A92" s="175" t="s">
        <v>2970</v>
      </c>
      <c r="B92" s="176" t="s">
        <v>2971</v>
      </c>
      <c r="C92" s="176" t="s">
        <v>2972</v>
      </c>
      <c r="D92" s="177" t="n">
        <v>14600.55</v>
      </c>
      <c r="E92" s="178" t="n">
        <f aca="false">AVERAGE(D92:D94)</f>
        <v>14849.7933333333</v>
      </c>
      <c r="F92" s="178" t="n">
        <f aca="false">E92</f>
        <v>14849.7933333333</v>
      </c>
      <c r="G92" s="178" t="s">
        <v>2953</v>
      </c>
      <c r="H92" s="179" t="n">
        <f aca="false">F92</f>
        <v>14849.7933333333</v>
      </c>
      <c r="I92" s="179" t="str">
        <f aca="false">G92</f>
        <v>UTILIZOU-SE SINAPI</v>
      </c>
    </row>
    <row r="93" customFormat="false" ht="15" hidden="false" customHeight="false" outlineLevel="0" collapsed="false">
      <c r="A93" s="193" t="s">
        <v>2979</v>
      </c>
      <c r="B93" s="190" t="s">
        <v>2977</v>
      </c>
      <c r="C93" s="194" t="s">
        <v>2980</v>
      </c>
      <c r="D93" s="177" t="n">
        <v>14446.37</v>
      </c>
      <c r="E93" s="178"/>
      <c r="F93" s="178"/>
      <c r="G93" s="178"/>
    </row>
    <row r="94" customFormat="false" ht="15" hidden="false" customHeight="false" outlineLevel="0" collapsed="false">
      <c r="A94" s="193" t="s">
        <v>2981</v>
      </c>
      <c r="B94" s="190" t="s">
        <v>2982</v>
      </c>
      <c r="C94" s="194" t="s">
        <v>2983</v>
      </c>
      <c r="D94" s="177" t="n">
        <v>15502.46</v>
      </c>
      <c r="E94" s="178"/>
      <c r="F94" s="178"/>
      <c r="G94" s="178"/>
    </row>
    <row r="95" s="157" customFormat="true" ht="15" hidden="false" customHeight="false" outlineLevel="0" collapsed="false">
      <c r="B95" s="183"/>
      <c r="C95" s="183"/>
      <c r="D95" s="187"/>
      <c r="E95" s="188"/>
      <c r="F95" s="188"/>
      <c r="G95" s="183"/>
    </row>
    <row r="96" customFormat="false" ht="15" hidden="false" customHeight="false" outlineLevel="0" collapsed="false">
      <c r="A96" s="165" t="s">
        <v>28</v>
      </c>
      <c r="B96" s="165" t="s">
        <v>1410</v>
      </c>
      <c r="C96" s="165" t="s">
        <v>2938</v>
      </c>
      <c r="D96" s="165"/>
      <c r="E96" s="165"/>
      <c r="F96" s="165" t="s">
        <v>2939</v>
      </c>
      <c r="G96" s="165" t="s">
        <v>2940</v>
      </c>
    </row>
    <row r="97" s="57" customFormat="true" ht="15" hidden="false" customHeight="false" outlineLevel="0" collapsed="false">
      <c r="A97" s="189" t="s">
        <v>2772</v>
      </c>
      <c r="B97" s="190" t="s">
        <v>2941</v>
      </c>
      <c r="C97" s="195" t="s">
        <v>2773</v>
      </c>
      <c r="D97" s="195"/>
      <c r="E97" s="195"/>
      <c r="F97" s="190" t="s">
        <v>31</v>
      </c>
      <c r="G97" s="192" t="n">
        <f aca="false">F100</f>
        <v>15962.3333333333</v>
      </c>
      <c r="H97" s="196"/>
      <c r="I97" s="196"/>
    </row>
    <row r="98" customFormat="false" ht="15" hidden="false" customHeight="true" outlineLevel="0" collapsed="false">
      <c r="A98" s="185" t="s">
        <v>2943</v>
      </c>
      <c r="B98" s="185" t="s">
        <v>2944</v>
      </c>
      <c r="C98" s="185" t="s">
        <v>2945</v>
      </c>
      <c r="D98" s="185" t="s">
        <v>2946</v>
      </c>
      <c r="E98" s="172" t="s">
        <v>2947</v>
      </c>
      <c r="F98" s="185" t="s">
        <v>2948</v>
      </c>
      <c r="G98" s="185"/>
    </row>
    <row r="99" customFormat="false" ht="15" hidden="false" customHeight="false" outlineLevel="0" collapsed="false">
      <c r="A99" s="185"/>
      <c r="B99" s="185"/>
      <c r="C99" s="185"/>
      <c r="D99" s="185"/>
      <c r="E99" s="172"/>
      <c r="F99" s="173" t="s">
        <v>1374</v>
      </c>
      <c r="G99" s="174" t="s">
        <v>2949</v>
      </c>
    </row>
    <row r="100" customFormat="false" ht="26.25" hidden="false" customHeight="false" outlineLevel="0" collapsed="false">
      <c r="A100" s="175" t="s">
        <v>2967</v>
      </c>
      <c r="B100" s="176" t="s">
        <v>2968</v>
      </c>
      <c r="C100" s="176" t="s">
        <v>2969</v>
      </c>
      <c r="D100" s="177" t="n">
        <v>16199</v>
      </c>
      <c r="E100" s="178" t="n">
        <f aca="false">AVERAGE(D100:D102)</f>
        <v>15962.3333333333</v>
      </c>
      <c r="F100" s="178" t="n">
        <f aca="false">E100</f>
        <v>15962.3333333333</v>
      </c>
      <c r="G100" s="178" t="s">
        <v>2953</v>
      </c>
      <c r="H100" s="179" t="n">
        <f aca="false">F100</f>
        <v>15962.3333333333</v>
      </c>
      <c r="I100" s="179" t="str">
        <f aca="false">G100</f>
        <v>UTILIZOU-SE SINAPI</v>
      </c>
    </row>
    <row r="101" customFormat="false" ht="15" hidden="false" customHeight="false" outlineLevel="0" collapsed="false">
      <c r="A101" s="175" t="s">
        <v>2973</v>
      </c>
      <c r="B101" s="176" t="s">
        <v>2974</v>
      </c>
      <c r="C101" s="176" t="s">
        <v>2975</v>
      </c>
      <c r="D101" s="177" t="n">
        <v>15689</v>
      </c>
      <c r="E101" s="178"/>
      <c r="F101" s="178"/>
      <c r="G101" s="178"/>
    </row>
    <row r="102" customFormat="false" ht="15" hidden="false" customHeight="false" outlineLevel="0" collapsed="false">
      <c r="A102" s="175" t="s">
        <v>2970</v>
      </c>
      <c r="B102" s="176" t="s">
        <v>2971</v>
      </c>
      <c r="C102" s="176" t="s">
        <v>2972</v>
      </c>
      <c r="D102" s="177" t="n">
        <v>15999</v>
      </c>
      <c r="E102" s="178"/>
      <c r="F102" s="178"/>
      <c r="G102" s="178"/>
    </row>
    <row r="103" s="157" customFormat="true" ht="15" hidden="false" customHeight="false" outlineLevel="0" collapsed="false">
      <c r="B103" s="183"/>
      <c r="C103" s="183"/>
      <c r="D103" s="187"/>
      <c r="E103" s="188"/>
      <c r="F103" s="188"/>
      <c r="G103" s="183"/>
    </row>
    <row r="104" customFormat="false" ht="15" hidden="false" customHeight="false" outlineLevel="0" collapsed="false">
      <c r="A104" s="165" t="s">
        <v>28</v>
      </c>
      <c r="B104" s="165" t="s">
        <v>1410</v>
      </c>
      <c r="C104" s="165" t="s">
        <v>2938</v>
      </c>
      <c r="D104" s="165"/>
      <c r="E104" s="165"/>
      <c r="F104" s="165" t="s">
        <v>2939</v>
      </c>
      <c r="G104" s="165" t="s">
        <v>2940</v>
      </c>
    </row>
    <row r="105" customFormat="false" ht="15" hidden="false" customHeight="false" outlineLevel="0" collapsed="false">
      <c r="A105" s="189" t="s">
        <v>2776</v>
      </c>
      <c r="B105" s="190" t="s">
        <v>2941</v>
      </c>
      <c r="C105" s="195" t="s">
        <v>2777</v>
      </c>
      <c r="D105" s="195"/>
      <c r="E105" s="195"/>
      <c r="F105" s="190" t="s">
        <v>31</v>
      </c>
      <c r="G105" s="192" t="n">
        <f aca="false">F108</f>
        <v>19647.12</v>
      </c>
    </row>
    <row r="106" customFormat="false" ht="15" hidden="false" customHeight="true" outlineLevel="0" collapsed="false">
      <c r="A106" s="185" t="s">
        <v>2943</v>
      </c>
      <c r="B106" s="185" t="s">
        <v>2944</v>
      </c>
      <c r="C106" s="185" t="s">
        <v>2945</v>
      </c>
      <c r="D106" s="185" t="s">
        <v>2946</v>
      </c>
      <c r="E106" s="172" t="s">
        <v>2947</v>
      </c>
      <c r="F106" s="185" t="s">
        <v>2948</v>
      </c>
      <c r="G106" s="185"/>
    </row>
    <row r="107" customFormat="false" ht="15" hidden="false" customHeight="false" outlineLevel="0" collapsed="false">
      <c r="A107" s="185"/>
      <c r="B107" s="185"/>
      <c r="C107" s="185"/>
      <c r="D107" s="185"/>
      <c r="E107" s="172"/>
      <c r="F107" s="173" t="s">
        <v>1374</v>
      </c>
      <c r="G107" s="174" t="s">
        <v>2949</v>
      </c>
    </row>
    <row r="108" customFormat="false" ht="26.25" hidden="false" customHeight="false" outlineLevel="0" collapsed="false">
      <c r="A108" s="193" t="s">
        <v>2984</v>
      </c>
      <c r="B108" s="190" t="s">
        <v>2985</v>
      </c>
      <c r="C108" s="194" t="s">
        <v>2986</v>
      </c>
      <c r="D108" s="177" t="n">
        <v>18800</v>
      </c>
      <c r="E108" s="178" t="n">
        <f aca="false">AVERAGE(D108:D110)</f>
        <v>19647.12</v>
      </c>
      <c r="F108" s="178" t="n">
        <f aca="false">E108</f>
        <v>19647.12</v>
      </c>
      <c r="G108" s="178" t="s">
        <v>2953</v>
      </c>
      <c r="H108" s="179" t="n">
        <f aca="false">F108</f>
        <v>19647.12</v>
      </c>
      <c r="I108" s="179" t="str">
        <f aca="false">G108</f>
        <v>UTILIZOU-SE SINAPI</v>
      </c>
    </row>
    <row r="109" customFormat="false" ht="15" hidden="false" customHeight="false" outlineLevel="0" collapsed="false">
      <c r="A109" s="193" t="s">
        <v>2979</v>
      </c>
      <c r="B109" s="190" t="s">
        <v>2977</v>
      </c>
      <c r="C109" s="194" t="s">
        <v>2980</v>
      </c>
      <c r="D109" s="177" t="n">
        <v>20070.68</v>
      </c>
      <c r="E109" s="178"/>
      <c r="F109" s="178"/>
      <c r="G109" s="178"/>
    </row>
    <row r="110" customFormat="false" ht="15" hidden="false" customHeight="false" outlineLevel="0" collapsed="false">
      <c r="A110" s="193" t="s">
        <v>2976</v>
      </c>
      <c r="B110" s="190" t="s">
        <v>2977</v>
      </c>
      <c r="C110" s="194" t="s">
        <v>2978</v>
      </c>
      <c r="D110" s="177" t="n">
        <v>20070.68</v>
      </c>
      <c r="E110" s="178"/>
      <c r="F110" s="178"/>
      <c r="G110" s="178"/>
    </row>
    <row r="111" s="157" customFormat="true" ht="15" hidden="false" customHeight="false" outlineLevel="0" collapsed="false">
      <c r="B111" s="183"/>
      <c r="C111" s="183"/>
      <c r="D111" s="187"/>
      <c r="E111" s="188"/>
      <c r="F111" s="188"/>
      <c r="G111" s="183"/>
    </row>
    <row r="112" customFormat="false" ht="15" hidden="false" customHeight="false" outlineLevel="0" collapsed="false">
      <c r="A112" s="165" t="s">
        <v>28</v>
      </c>
      <c r="B112" s="165" t="s">
        <v>1410</v>
      </c>
      <c r="C112" s="165" t="s">
        <v>2938</v>
      </c>
      <c r="D112" s="165"/>
      <c r="E112" s="165"/>
      <c r="F112" s="165" t="s">
        <v>2939</v>
      </c>
      <c r="G112" s="165" t="s">
        <v>2940</v>
      </c>
    </row>
    <row r="113" customFormat="false" ht="15" hidden="false" customHeight="false" outlineLevel="0" collapsed="false">
      <c r="A113" s="189" t="s">
        <v>2593</v>
      </c>
      <c r="B113" s="190" t="s">
        <v>2941</v>
      </c>
      <c r="C113" s="195" t="s">
        <v>2594</v>
      </c>
      <c r="D113" s="195"/>
      <c r="E113" s="195"/>
      <c r="F113" s="190" t="s">
        <v>31</v>
      </c>
      <c r="G113" s="192" t="n">
        <f aca="false">F116</f>
        <v>523.4</v>
      </c>
    </row>
    <row r="114" customFormat="false" ht="15" hidden="false" customHeight="true" outlineLevel="0" collapsed="false">
      <c r="A114" s="185" t="s">
        <v>2943</v>
      </c>
      <c r="B114" s="185" t="s">
        <v>2944</v>
      </c>
      <c r="C114" s="185" t="s">
        <v>2945</v>
      </c>
      <c r="D114" s="185" t="s">
        <v>2946</v>
      </c>
      <c r="E114" s="172" t="s">
        <v>2947</v>
      </c>
      <c r="F114" s="185" t="s">
        <v>2948</v>
      </c>
      <c r="G114" s="185"/>
    </row>
    <row r="115" customFormat="false" ht="15" hidden="false" customHeight="false" outlineLevel="0" collapsed="false">
      <c r="A115" s="185"/>
      <c r="B115" s="185"/>
      <c r="C115" s="185"/>
      <c r="D115" s="185"/>
      <c r="E115" s="172"/>
      <c r="F115" s="173" t="s">
        <v>1374</v>
      </c>
      <c r="G115" s="174" t="s">
        <v>2949</v>
      </c>
    </row>
    <row r="116" customFormat="false" ht="26.25" hidden="false" customHeight="false" outlineLevel="0" collapsed="false">
      <c r="A116" s="193" t="s">
        <v>2987</v>
      </c>
      <c r="B116" s="190" t="s">
        <v>2988</v>
      </c>
      <c r="C116" s="197" t="s">
        <v>2989</v>
      </c>
      <c r="D116" s="177" t="n">
        <f aca="false">600</f>
        <v>600</v>
      </c>
      <c r="E116" s="178" t="n">
        <f aca="false">AVERAGE(D116:D118)</f>
        <v>523.4</v>
      </c>
      <c r="F116" s="178" t="n">
        <f aca="false">E116</f>
        <v>523.4</v>
      </c>
      <c r="G116" s="178" t="s">
        <v>2953</v>
      </c>
      <c r="H116" s="179" t="n">
        <f aca="false">F116</f>
        <v>523.4</v>
      </c>
      <c r="I116" s="179" t="str">
        <f aca="false">G116</f>
        <v>UTILIZOU-SE SINAPI</v>
      </c>
    </row>
    <row r="117" customFormat="false" ht="15" hidden="false" customHeight="false" outlineLevel="0" collapsed="false">
      <c r="A117" s="193" t="s">
        <v>2990</v>
      </c>
      <c r="B117" s="190"/>
      <c r="C117" s="197" t="s">
        <v>2991</v>
      </c>
      <c r="D117" s="177" t="n">
        <f aca="false">500</f>
        <v>500</v>
      </c>
      <c r="E117" s="178"/>
      <c r="F117" s="178"/>
      <c r="G117" s="178"/>
    </row>
    <row r="118" customFormat="false" ht="15" hidden="false" customHeight="false" outlineLevel="0" collapsed="false">
      <c r="A118" s="193" t="s">
        <v>2992</v>
      </c>
      <c r="B118" s="190" t="s">
        <v>2993</v>
      </c>
      <c r="C118" s="197" t="s">
        <v>2994</v>
      </c>
      <c r="D118" s="177" t="n">
        <v>470.2</v>
      </c>
      <c r="E118" s="178"/>
      <c r="F118" s="178"/>
      <c r="G118" s="178"/>
    </row>
    <row r="119" s="157" customFormat="true" ht="15" hidden="false" customHeight="false" outlineLevel="0" collapsed="false">
      <c r="B119" s="183"/>
      <c r="C119" s="186"/>
      <c r="D119" s="187"/>
      <c r="E119" s="188"/>
      <c r="F119" s="188"/>
      <c r="G119" s="183"/>
    </row>
    <row r="120" customFormat="false" ht="15" hidden="false" customHeight="false" outlineLevel="0" collapsed="false">
      <c r="A120" s="165" t="s">
        <v>28</v>
      </c>
      <c r="B120" s="165" t="s">
        <v>1410</v>
      </c>
      <c r="C120" s="165" t="s">
        <v>2938</v>
      </c>
      <c r="D120" s="165"/>
      <c r="E120" s="165"/>
      <c r="F120" s="165" t="s">
        <v>2939</v>
      </c>
      <c r="G120" s="165" t="s">
        <v>2940</v>
      </c>
    </row>
    <row r="121" customFormat="false" ht="15" hidden="false" customHeight="true" outlineLevel="0" collapsed="false">
      <c r="A121" s="198" t="s">
        <v>2052</v>
      </c>
      <c r="B121" s="176" t="s">
        <v>2941</v>
      </c>
      <c r="C121" s="169" t="s">
        <v>2053</v>
      </c>
      <c r="D121" s="169"/>
      <c r="E121" s="169"/>
      <c r="F121" s="176" t="s">
        <v>2995</v>
      </c>
      <c r="G121" s="178" t="n">
        <f aca="false">F124</f>
        <v>82.9633333333333</v>
      </c>
    </row>
    <row r="122" customFormat="false" ht="15" hidden="false" customHeight="true" outlineLevel="0" collapsed="false">
      <c r="A122" s="185" t="s">
        <v>2943</v>
      </c>
      <c r="B122" s="185" t="s">
        <v>2944</v>
      </c>
      <c r="C122" s="185" t="s">
        <v>2945</v>
      </c>
      <c r="D122" s="185" t="s">
        <v>2946</v>
      </c>
      <c r="E122" s="172" t="s">
        <v>2947</v>
      </c>
      <c r="F122" s="185" t="s">
        <v>2948</v>
      </c>
      <c r="G122" s="185"/>
    </row>
    <row r="123" customFormat="false" ht="15" hidden="false" customHeight="false" outlineLevel="0" collapsed="false">
      <c r="A123" s="185"/>
      <c r="B123" s="185"/>
      <c r="C123" s="185"/>
      <c r="D123" s="185"/>
      <c r="E123" s="172"/>
      <c r="F123" s="173" t="s">
        <v>1374</v>
      </c>
      <c r="G123" s="174" t="s">
        <v>2949</v>
      </c>
    </row>
    <row r="124" customFormat="false" ht="26.25" hidden="false" customHeight="false" outlineLevel="0" collapsed="false">
      <c r="A124" s="175" t="s">
        <v>2996</v>
      </c>
      <c r="B124" s="176" t="s">
        <v>2993</v>
      </c>
      <c r="C124" s="176" t="s">
        <v>2997</v>
      </c>
      <c r="D124" s="177" t="n">
        <v>59</v>
      </c>
      <c r="E124" s="178" t="n">
        <f aca="false">AVERAGE(D124:D126)</f>
        <v>82.9633333333333</v>
      </c>
      <c r="F124" s="178" t="n">
        <f aca="false">E124</f>
        <v>82.9633333333333</v>
      </c>
      <c r="G124" s="178" t="s">
        <v>2953</v>
      </c>
      <c r="H124" s="179" t="n">
        <f aca="false">F124</f>
        <v>82.9633333333333</v>
      </c>
      <c r="I124" s="179" t="str">
        <f aca="false">G124</f>
        <v>UTILIZOU-SE SINAPI</v>
      </c>
    </row>
    <row r="125" customFormat="false" ht="15" hidden="false" customHeight="false" outlineLevel="0" collapsed="false">
      <c r="A125" s="175" t="s">
        <v>2998</v>
      </c>
      <c r="B125" s="176" t="s">
        <v>2999</v>
      </c>
      <c r="C125" s="176" t="s">
        <v>3000</v>
      </c>
      <c r="D125" s="177" t="n">
        <v>78.99</v>
      </c>
      <c r="E125" s="178"/>
      <c r="F125" s="178"/>
      <c r="G125" s="178"/>
    </row>
    <row r="126" customFormat="false" ht="15" hidden="false" customHeight="false" outlineLevel="0" collapsed="false">
      <c r="A126" s="175" t="s">
        <v>3001</v>
      </c>
      <c r="B126" s="176" t="s">
        <v>3002</v>
      </c>
      <c r="C126" s="176" t="s">
        <v>3003</v>
      </c>
      <c r="D126" s="177" t="n">
        <v>110.9</v>
      </c>
      <c r="E126" s="178"/>
      <c r="F126" s="178"/>
      <c r="G126" s="178"/>
    </row>
    <row r="127" s="157" customFormat="true" ht="15" hidden="false" customHeight="false" outlineLevel="0" collapsed="false">
      <c r="B127" s="183"/>
      <c r="C127" s="186"/>
      <c r="D127" s="187"/>
      <c r="E127" s="188"/>
      <c r="F127" s="188"/>
      <c r="G127" s="183"/>
    </row>
    <row r="128" customFormat="false" ht="15" hidden="false" customHeight="false" outlineLevel="0" collapsed="false">
      <c r="A128" s="165" t="s">
        <v>28</v>
      </c>
      <c r="B128" s="165" t="s">
        <v>1410</v>
      </c>
      <c r="C128" s="165" t="s">
        <v>2938</v>
      </c>
      <c r="D128" s="165"/>
      <c r="E128" s="165"/>
      <c r="F128" s="165" t="s">
        <v>2939</v>
      </c>
      <c r="G128" s="165" t="s">
        <v>2940</v>
      </c>
    </row>
    <row r="129" customFormat="false" ht="15" hidden="false" customHeight="true" outlineLevel="0" collapsed="false">
      <c r="A129" s="198" t="s">
        <v>1863</v>
      </c>
      <c r="B129" s="176" t="s">
        <v>2941</v>
      </c>
      <c r="C129" s="169" t="s">
        <v>3004</v>
      </c>
      <c r="D129" s="169"/>
      <c r="E129" s="169"/>
      <c r="F129" s="176" t="s">
        <v>3005</v>
      </c>
      <c r="G129" s="178" t="n">
        <f aca="false">F132</f>
        <v>2775.88</v>
      </c>
    </row>
    <row r="130" customFormat="false" ht="15" hidden="false" customHeight="true" outlineLevel="0" collapsed="false">
      <c r="A130" s="185" t="s">
        <v>2943</v>
      </c>
      <c r="B130" s="185" t="s">
        <v>2944</v>
      </c>
      <c r="C130" s="185" t="s">
        <v>2945</v>
      </c>
      <c r="D130" s="185" t="s">
        <v>2946</v>
      </c>
      <c r="E130" s="172" t="s">
        <v>2947</v>
      </c>
      <c r="F130" s="185" t="s">
        <v>2948</v>
      </c>
      <c r="G130" s="185"/>
    </row>
    <row r="131" customFormat="false" ht="15" hidden="false" customHeight="false" outlineLevel="0" collapsed="false">
      <c r="A131" s="185"/>
      <c r="B131" s="185"/>
      <c r="C131" s="185"/>
      <c r="D131" s="185"/>
      <c r="E131" s="172"/>
      <c r="F131" s="173" t="s">
        <v>1374</v>
      </c>
      <c r="G131" s="174" t="s">
        <v>2949</v>
      </c>
    </row>
    <row r="132" customFormat="false" ht="15" hidden="false" customHeight="false" outlineLevel="0" collapsed="false">
      <c r="A132" s="175" t="s">
        <v>3006</v>
      </c>
      <c r="B132" s="176" t="s">
        <v>3007</v>
      </c>
      <c r="C132" s="176" t="s">
        <v>3008</v>
      </c>
      <c r="D132" s="177" t="n">
        <v>3074.17</v>
      </c>
      <c r="E132" s="178" t="n">
        <f aca="false">AVERAGE(D132:D134)</f>
        <v>2775.88</v>
      </c>
      <c r="F132" s="178" t="n">
        <f aca="false">E132</f>
        <v>2775.88</v>
      </c>
      <c r="G132" s="178" t="s">
        <v>2953</v>
      </c>
      <c r="H132" s="179" t="n">
        <f aca="false">F132</f>
        <v>2775.88</v>
      </c>
      <c r="I132" s="179" t="str">
        <f aca="false">G132</f>
        <v>UTILIZOU-SE SINAPI</v>
      </c>
    </row>
    <row r="133" customFormat="false" ht="15" hidden="false" customHeight="false" outlineLevel="0" collapsed="false">
      <c r="A133" s="175" t="s">
        <v>3009</v>
      </c>
      <c r="B133" s="176" t="s">
        <v>3010</v>
      </c>
      <c r="C133" s="176" t="s">
        <v>3011</v>
      </c>
      <c r="D133" s="177" t="n">
        <v>2620.01</v>
      </c>
      <c r="E133" s="178"/>
      <c r="F133" s="178"/>
      <c r="G133" s="178"/>
    </row>
    <row r="134" customFormat="false" ht="15" hidden="false" customHeight="false" outlineLevel="0" collapsed="false">
      <c r="A134" s="175" t="s">
        <v>3012</v>
      </c>
      <c r="B134" s="176" t="s">
        <v>3013</v>
      </c>
      <c r="C134" s="176" t="s">
        <v>3014</v>
      </c>
      <c r="D134" s="177" t="n">
        <v>2633.46</v>
      </c>
      <c r="E134" s="178"/>
      <c r="F134" s="178"/>
      <c r="G134" s="178"/>
    </row>
    <row r="135" s="157" customFormat="true" ht="15" hidden="false" customHeight="false" outlineLevel="0" collapsed="false">
      <c r="B135" s="183"/>
      <c r="C135" s="186"/>
      <c r="D135" s="187"/>
      <c r="E135" s="188"/>
      <c r="F135" s="188"/>
      <c r="G135" s="183"/>
    </row>
    <row r="136" customFormat="false" ht="15" hidden="false" customHeight="false" outlineLevel="0" collapsed="false">
      <c r="A136" s="165" t="s">
        <v>28</v>
      </c>
      <c r="B136" s="165" t="s">
        <v>1410</v>
      </c>
      <c r="C136" s="165" t="s">
        <v>2938</v>
      </c>
      <c r="D136" s="165"/>
      <c r="E136" s="165"/>
      <c r="F136" s="165" t="s">
        <v>2939</v>
      </c>
      <c r="G136" s="165" t="s">
        <v>2940</v>
      </c>
    </row>
    <row r="137" customFormat="false" ht="15" hidden="false" customHeight="true" outlineLevel="0" collapsed="false">
      <c r="A137" s="198" t="s">
        <v>2606</v>
      </c>
      <c r="B137" s="176" t="s">
        <v>2941</v>
      </c>
      <c r="C137" s="169" t="s">
        <v>3015</v>
      </c>
      <c r="D137" s="169"/>
      <c r="E137" s="169"/>
      <c r="F137" s="176" t="s">
        <v>1455</v>
      </c>
      <c r="G137" s="178" t="n">
        <f aca="false">F140</f>
        <v>49.3533333333333</v>
      </c>
    </row>
    <row r="138" customFormat="false" ht="15" hidden="false" customHeight="true" outlineLevel="0" collapsed="false">
      <c r="A138" s="185" t="s">
        <v>2943</v>
      </c>
      <c r="B138" s="185" t="s">
        <v>2944</v>
      </c>
      <c r="C138" s="185" t="s">
        <v>2945</v>
      </c>
      <c r="D138" s="185" t="s">
        <v>2946</v>
      </c>
      <c r="E138" s="172" t="s">
        <v>2947</v>
      </c>
      <c r="F138" s="185" t="s">
        <v>2948</v>
      </c>
      <c r="G138" s="185"/>
    </row>
    <row r="139" customFormat="false" ht="15" hidden="false" customHeight="false" outlineLevel="0" collapsed="false">
      <c r="A139" s="185"/>
      <c r="B139" s="185"/>
      <c r="C139" s="185"/>
      <c r="D139" s="185"/>
      <c r="E139" s="172"/>
      <c r="F139" s="173" t="s">
        <v>1374</v>
      </c>
      <c r="G139" s="174" t="s">
        <v>2949</v>
      </c>
    </row>
    <row r="140" customFormat="false" ht="15" hidden="false" customHeight="false" outlineLevel="0" collapsed="false">
      <c r="A140" s="175" t="s">
        <v>3016</v>
      </c>
      <c r="B140" s="176" t="s">
        <v>3017</v>
      </c>
      <c r="C140" s="176" t="s">
        <v>3018</v>
      </c>
      <c r="D140" s="177" t="n">
        <v>52.1</v>
      </c>
      <c r="E140" s="178" t="n">
        <f aca="false">AVERAGE(D140:D142)</f>
        <v>49.3533333333333</v>
      </c>
      <c r="F140" s="178" t="n">
        <f aca="false">E140</f>
        <v>49.3533333333333</v>
      </c>
      <c r="G140" s="178" t="s">
        <v>2953</v>
      </c>
      <c r="H140" s="179" t="n">
        <f aca="false">F140</f>
        <v>49.3533333333333</v>
      </c>
      <c r="I140" s="179" t="str">
        <f aca="false">G140</f>
        <v>UTILIZOU-SE SINAPI</v>
      </c>
    </row>
    <row r="141" customFormat="false" ht="15" hidden="false" customHeight="false" outlineLevel="0" collapsed="false">
      <c r="A141" s="175" t="s">
        <v>3019</v>
      </c>
      <c r="B141" s="176" t="s">
        <v>3020</v>
      </c>
      <c r="C141" s="176" t="s">
        <v>3021</v>
      </c>
      <c r="D141" s="177" t="n">
        <v>42.5</v>
      </c>
      <c r="E141" s="178"/>
      <c r="F141" s="178"/>
      <c r="G141" s="178"/>
    </row>
    <row r="142" customFormat="false" ht="15" hidden="false" customHeight="false" outlineLevel="0" collapsed="false">
      <c r="A142" s="175" t="s">
        <v>3022</v>
      </c>
      <c r="B142" s="176" t="s">
        <v>3023</v>
      </c>
      <c r="C142" s="176" t="s">
        <v>3024</v>
      </c>
      <c r="D142" s="177" t="n">
        <v>53.46</v>
      </c>
      <c r="E142" s="178"/>
      <c r="F142" s="178"/>
      <c r="G142" s="178"/>
    </row>
    <row r="143" s="157" customFormat="true" ht="15" hidden="false" customHeight="false" outlineLevel="0" collapsed="false">
      <c r="B143" s="183"/>
      <c r="C143" s="186"/>
      <c r="D143" s="187"/>
      <c r="E143" s="188"/>
      <c r="F143" s="188"/>
      <c r="G143" s="183"/>
    </row>
    <row r="144" customFormat="false" ht="15" hidden="false" customHeight="false" outlineLevel="0" collapsed="false">
      <c r="A144" s="165" t="s">
        <v>28</v>
      </c>
      <c r="B144" s="165" t="s">
        <v>1410</v>
      </c>
      <c r="C144" s="165" t="s">
        <v>2938</v>
      </c>
      <c r="D144" s="165"/>
      <c r="E144" s="165"/>
      <c r="F144" s="165" t="s">
        <v>2939</v>
      </c>
      <c r="G144" s="165" t="s">
        <v>2940</v>
      </c>
    </row>
    <row r="145" customFormat="false" ht="15" hidden="false" customHeight="true" outlineLevel="0" collapsed="false">
      <c r="A145" s="198" t="s">
        <v>2068</v>
      </c>
      <c r="B145" s="176" t="s">
        <v>2941</v>
      </c>
      <c r="C145" s="169" t="s">
        <v>3025</v>
      </c>
      <c r="D145" s="169"/>
      <c r="E145" s="169"/>
      <c r="F145" s="176" t="s">
        <v>2995</v>
      </c>
      <c r="G145" s="178" t="n">
        <f aca="false">F148</f>
        <v>69.3433333333333</v>
      </c>
    </row>
    <row r="146" customFormat="false" ht="15" hidden="false" customHeight="true" outlineLevel="0" collapsed="false">
      <c r="A146" s="185" t="s">
        <v>2943</v>
      </c>
      <c r="B146" s="185" t="s">
        <v>2944</v>
      </c>
      <c r="C146" s="185" t="s">
        <v>2945</v>
      </c>
      <c r="D146" s="185" t="s">
        <v>2946</v>
      </c>
      <c r="E146" s="172" t="s">
        <v>2947</v>
      </c>
      <c r="F146" s="185" t="s">
        <v>2948</v>
      </c>
      <c r="G146" s="185"/>
    </row>
    <row r="147" customFormat="false" ht="15" hidden="false" customHeight="false" outlineLevel="0" collapsed="false">
      <c r="A147" s="185"/>
      <c r="B147" s="185"/>
      <c r="C147" s="185"/>
      <c r="D147" s="185"/>
      <c r="E147" s="172"/>
      <c r="F147" s="173" t="s">
        <v>1374</v>
      </c>
      <c r="G147" s="174" t="s">
        <v>2949</v>
      </c>
    </row>
    <row r="148" customFormat="false" ht="15" hidden="false" customHeight="false" outlineLevel="0" collapsed="false">
      <c r="A148" s="175" t="s">
        <v>3026</v>
      </c>
      <c r="B148" s="176" t="s">
        <v>3027</v>
      </c>
      <c r="C148" s="176" t="s">
        <v>3028</v>
      </c>
      <c r="D148" s="177" t="n">
        <v>90.03</v>
      </c>
      <c r="E148" s="178" t="n">
        <f aca="false">AVERAGE(D148:D150)</f>
        <v>69.3433333333333</v>
      </c>
      <c r="F148" s="178" t="n">
        <f aca="false">E148</f>
        <v>69.3433333333333</v>
      </c>
      <c r="G148" s="178" t="s">
        <v>2953</v>
      </c>
      <c r="H148" s="179" t="n">
        <f aca="false">F148</f>
        <v>69.3433333333333</v>
      </c>
      <c r="I148" s="179" t="str">
        <f aca="false">G148</f>
        <v>UTILIZOU-SE SINAPI</v>
      </c>
    </row>
    <row r="149" customFormat="false" ht="15" hidden="false" customHeight="false" outlineLevel="0" collapsed="false">
      <c r="A149" s="175" t="s">
        <v>3029</v>
      </c>
      <c r="B149" s="176" t="s">
        <v>3030</v>
      </c>
      <c r="C149" s="176" t="s">
        <v>3031</v>
      </c>
      <c r="D149" s="177" t="n">
        <v>59</v>
      </c>
      <c r="E149" s="178"/>
      <c r="F149" s="178"/>
      <c r="G149" s="178"/>
    </row>
    <row r="150" customFormat="false" ht="15" hidden="false" customHeight="false" outlineLevel="0" collapsed="false">
      <c r="A150" s="175" t="s">
        <v>3001</v>
      </c>
      <c r="B150" s="176" t="s">
        <v>3002</v>
      </c>
      <c r="C150" s="176" t="s">
        <v>3003</v>
      </c>
      <c r="D150" s="177" t="n">
        <v>59</v>
      </c>
      <c r="E150" s="178"/>
      <c r="F150" s="178"/>
      <c r="G150" s="178"/>
    </row>
    <row r="151" s="157" customFormat="true" ht="15" hidden="false" customHeight="false" outlineLevel="0" collapsed="false">
      <c r="B151" s="183"/>
      <c r="C151" s="186"/>
      <c r="D151" s="187"/>
      <c r="E151" s="188"/>
      <c r="F151" s="188"/>
      <c r="G151" s="183"/>
    </row>
    <row r="152" customFormat="false" ht="15" hidden="false" customHeight="false" outlineLevel="0" collapsed="false">
      <c r="A152" s="165" t="s">
        <v>28</v>
      </c>
      <c r="B152" s="165" t="s">
        <v>1410</v>
      </c>
      <c r="C152" s="165" t="s">
        <v>2938</v>
      </c>
      <c r="D152" s="165"/>
      <c r="E152" s="165"/>
      <c r="F152" s="165" t="s">
        <v>2939</v>
      </c>
      <c r="G152" s="165" t="s">
        <v>2940</v>
      </c>
    </row>
    <row r="153" customFormat="false" ht="12.75" hidden="false" customHeight="true" outlineLevel="0" collapsed="false">
      <c r="A153" s="199" t="s">
        <v>2065</v>
      </c>
      <c r="B153" s="176" t="s">
        <v>2941</v>
      </c>
      <c r="C153" s="169" t="s">
        <v>3032</v>
      </c>
      <c r="D153" s="169"/>
      <c r="E153" s="169"/>
      <c r="F153" s="176" t="s">
        <v>2995</v>
      </c>
      <c r="G153" s="178" t="n">
        <f aca="false">F156</f>
        <v>121.736666666667</v>
      </c>
    </row>
    <row r="154" customFormat="false" ht="15" hidden="false" customHeight="true" outlineLevel="0" collapsed="false">
      <c r="A154" s="185" t="s">
        <v>2943</v>
      </c>
      <c r="B154" s="185" t="s">
        <v>2944</v>
      </c>
      <c r="C154" s="185" t="s">
        <v>2945</v>
      </c>
      <c r="D154" s="185" t="s">
        <v>2946</v>
      </c>
      <c r="E154" s="172" t="s">
        <v>2947</v>
      </c>
      <c r="F154" s="185" t="s">
        <v>2948</v>
      </c>
      <c r="G154" s="185"/>
    </row>
    <row r="155" customFormat="false" ht="15" hidden="false" customHeight="false" outlineLevel="0" collapsed="false">
      <c r="A155" s="185"/>
      <c r="B155" s="185"/>
      <c r="C155" s="185"/>
      <c r="D155" s="185"/>
      <c r="E155" s="172"/>
      <c r="F155" s="173" t="s">
        <v>1374</v>
      </c>
      <c r="G155" s="174" t="s">
        <v>2949</v>
      </c>
    </row>
    <row r="156" customFormat="false" ht="15" hidden="false" customHeight="false" outlineLevel="0" collapsed="false">
      <c r="A156" s="175" t="s">
        <v>3033</v>
      </c>
      <c r="B156" s="176" t="s">
        <v>3034</v>
      </c>
      <c r="C156" s="170" t="s">
        <v>3035</v>
      </c>
      <c r="D156" s="177" t="n">
        <v>110.11</v>
      </c>
      <c r="E156" s="178" t="n">
        <f aca="false">AVERAGE(D156:D158)</f>
        <v>121.736666666667</v>
      </c>
      <c r="F156" s="178" t="n">
        <f aca="false">E156</f>
        <v>121.736666666667</v>
      </c>
      <c r="G156" s="178" t="s">
        <v>2953</v>
      </c>
      <c r="H156" s="179" t="n">
        <f aca="false">F156</f>
        <v>121.736666666667</v>
      </c>
      <c r="I156" s="179" t="str">
        <f aca="false">G156</f>
        <v>UTILIZOU-SE SINAPI</v>
      </c>
    </row>
    <row r="157" customFormat="false" ht="15" hidden="false" customHeight="false" outlineLevel="0" collapsed="false">
      <c r="A157" s="175" t="s">
        <v>3036</v>
      </c>
      <c r="B157" s="176" t="s">
        <v>3037</v>
      </c>
      <c r="C157" s="170" t="s">
        <v>3038</v>
      </c>
      <c r="D157" s="177" t="n">
        <v>123.41</v>
      </c>
      <c r="E157" s="178"/>
      <c r="F157" s="178"/>
      <c r="G157" s="178"/>
    </row>
    <row r="158" customFormat="false" ht="15" hidden="false" customHeight="false" outlineLevel="0" collapsed="false">
      <c r="A158" s="175" t="s">
        <v>3039</v>
      </c>
      <c r="B158" s="176" t="s">
        <v>3040</v>
      </c>
      <c r="C158" s="170" t="s">
        <v>3041</v>
      </c>
      <c r="D158" s="177" t="n">
        <v>131.69</v>
      </c>
      <c r="E158" s="178"/>
      <c r="F158" s="178"/>
      <c r="G158" s="178"/>
    </row>
    <row r="159" s="157" customFormat="true" ht="15" hidden="false" customHeight="false" outlineLevel="0" collapsed="false">
      <c r="B159" s="183"/>
      <c r="C159" s="186"/>
      <c r="D159" s="187"/>
      <c r="E159" s="188"/>
      <c r="F159" s="188"/>
      <c r="G159" s="183"/>
    </row>
    <row r="160" customFormat="false" ht="15" hidden="false" customHeight="false" outlineLevel="0" collapsed="false">
      <c r="A160" s="165" t="s">
        <v>28</v>
      </c>
      <c r="B160" s="165" t="s">
        <v>1410</v>
      </c>
      <c r="C160" s="165" t="s">
        <v>2938</v>
      </c>
      <c r="D160" s="165"/>
      <c r="E160" s="165"/>
      <c r="F160" s="165" t="s">
        <v>2939</v>
      </c>
      <c r="G160" s="165" t="s">
        <v>2940</v>
      </c>
    </row>
    <row r="161" customFormat="false" ht="12.75" hidden="false" customHeight="true" outlineLevel="0" collapsed="false">
      <c r="A161" s="199" t="s">
        <v>2632</v>
      </c>
      <c r="B161" s="176" t="s">
        <v>2941</v>
      </c>
      <c r="C161" s="169" t="s">
        <v>3042</v>
      </c>
      <c r="D161" s="169"/>
      <c r="E161" s="169"/>
      <c r="F161" s="176" t="s">
        <v>2995</v>
      </c>
      <c r="G161" s="178" t="n">
        <f aca="false">F164</f>
        <v>51.87</v>
      </c>
    </row>
    <row r="162" customFormat="false" ht="15" hidden="false" customHeight="true" outlineLevel="0" collapsed="false">
      <c r="A162" s="185" t="s">
        <v>2943</v>
      </c>
      <c r="B162" s="185" t="s">
        <v>2944</v>
      </c>
      <c r="C162" s="185" t="s">
        <v>2945</v>
      </c>
      <c r="D162" s="185" t="s">
        <v>2946</v>
      </c>
      <c r="E162" s="172" t="s">
        <v>2947</v>
      </c>
      <c r="F162" s="185" t="s">
        <v>2948</v>
      </c>
      <c r="G162" s="185"/>
    </row>
    <row r="163" customFormat="false" ht="15" hidden="false" customHeight="false" outlineLevel="0" collapsed="false">
      <c r="A163" s="185"/>
      <c r="B163" s="185"/>
      <c r="C163" s="185"/>
      <c r="D163" s="185"/>
      <c r="E163" s="172"/>
      <c r="F163" s="173" t="s">
        <v>1374</v>
      </c>
      <c r="G163" s="174" t="s">
        <v>2949</v>
      </c>
    </row>
    <row r="164" customFormat="false" ht="15" hidden="false" customHeight="false" outlineLevel="0" collapsed="false">
      <c r="A164" s="175" t="s">
        <v>3043</v>
      </c>
      <c r="B164" s="176" t="s">
        <v>3044</v>
      </c>
      <c r="C164" s="176" t="s">
        <v>3045</v>
      </c>
      <c r="D164" s="200" t="n">
        <v>36.57</v>
      </c>
      <c r="E164" s="178" t="n">
        <f aca="false">AVERAGE(D164:D166)</f>
        <v>51.87</v>
      </c>
      <c r="F164" s="178" t="n">
        <f aca="false">E164</f>
        <v>51.87</v>
      </c>
      <c r="G164" s="178" t="s">
        <v>2953</v>
      </c>
      <c r="H164" s="179" t="n">
        <f aca="false">F164</f>
        <v>51.87</v>
      </c>
      <c r="I164" s="179" t="str">
        <f aca="false">G164</f>
        <v>UTILIZOU-SE SINAPI</v>
      </c>
    </row>
    <row r="165" customFormat="false" ht="15" hidden="false" customHeight="false" outlineLevel="0" collapsed="false">
      <c r="A165" s="175" t="s">
        <v>2954</v>
      </c>
      <c r="B165" s="176" t="s">
        <v>2955</v>
      </c>
      <c r="C165" s="176" t="s">
        <v>2956</v>
      </c>
      <c r="D165" s="177" t="n">
        <v>37.56</v>
      </c>
      <c r="E165" s="178"/>
      <c r="F165" s="178"/>
      <c r="G165" s="178"/>
    </row>
    <row r="166" customFormat="false" ht="15" hidden="false" customHeight="false" outlineLevel="0" collapsed="false">
      <c r="A166" s="175" t="s">
        <v>3019</v>
      </c>
      <c r="B166" s="176" t="s">
        <v>3020</v>
      </c>
      <c r="C166" s="176" t="s">
        <v>3021</v>
      </c>
      <c r="D166" s="177" t="n">
        <v>81.48</v>
      </c>
      <c r="E166" s="178"/>
      <c r="F166" s="178"/>
      <c r="G166" s="178"/>
    </row>
    <row r="167" s="157" customFormat="true" ht="15" hidden="false" customHeight="false" outlineLevel="0" collapsed="false">
      <c r="B167" s="183"/>
      <c r="C167" s="186"/>
      <c r="D167" s="187"/>
      <c r="E167" s="188"/>
      <c r="F167" s="188"/>
      <c r="G167" s="183"/>
    </row>
    <row r="168" customFormat="false" ht="15" hidden="false" customHeight="false" outlineLevel="0" collapsed="false">
      <c r="A168" s="165" t="s">
        <v>28</v>
      </c>
      <c r="B168" s="165" t="s">
        <v>1410</v>
      </c>
      <c r="C168" s="165" t="s">
        <v>2938</v>
      </c>
      <c r="D168" s="165"/>
      <c r="E168" s="165"/>
      <c r="F168" s="165" t="s">
        <v>2939</v>
      </c>
      <c r="G168" s="165" t="s">
        <v>2940</v>
      </c>
    </row>
    <row r="169" customFormat="false" ht="12.75" hidden="false" customHeight="true" outlineLevel="0" collapsed="false">
      <c r="A169" s="199" t="s">
        <v>2648</v>
      </c>
      <c r="B169" s="176" t="s">
        <v>2941</v>
      </c>
      <c r="C169" s="169" t="s">
        <v>3046</v>
      </c>
      <c r="D169" s="169"/>
      <c r="E169" s="169"/>
      <c r="F169" s="176" t="s">
        <v>31</v>
      </c>
      <c r="G169" s="178" t="n">
        <f aca="false">F172</f>
        <v>119.043333333333</v>
      </c>
    </row>
    <row r="170" customFormat="false" ht="15" hidden="false" customHeight="true" outlineLevel="0" collapsed="false">
      <c r="A170" s="185" t="s">
        <v>2943</v>
      </c>
      <c r="B170" s="185" t="s">
        <v>2944</v>
      </c>
      <c r="C170" s="185" t="s">
        <v>2945</v>
      </c>
      <c r="D170" s="185" t="s">
        <v>2946</v>
      </c>
      <c r="E170" s="172" t="s">
        <v>2947</v>
      </c>
      <c r="F170" s="185" t="s">
        <v>2948</v>
      </c>
      <c r="G170" s="185"/>
    </row>
    <row r="171" customFormat="false" ht="15" hidden="false" customHeight="false" outlineLevel="0" collapsed="false">
      <c r="A171" s="185"/>
      <c r="B171" s="185"/>
      <c r="C171" s="185"/>
      <c r="D171" s="185"/>
      <c r="E171" s="172"/>
      <c r="F171" s="173" t="s">
        <v>1374</v>
      </c>
      <c r="G171" s="174" t="s">
        <v>2949</v>
      </c>
    </row>
    <row r="172" customFormat="false" ht="15" hidden="false" customHeight="false" outlineLevel="0" collapsed="false">
      <c r="A172" s="175" t="s">
        <v>3047</v>
      </c>
      <c r="B172" s="176" t="s">
        <v>3048</v>
      </c>
      <c r="C172" s="170" t="s">
        <v>3049</v>
      </c>
      <c r="D172" s="201" t="n">
        <v>119.9</v>
      </c>
      <c r="E172" s="178" t="n">
        <f aca="false">AVERAGE(D172:D174)</f>
        <v>119.043333333333</v>
      </c>
      <c r="F172" s="178" t="n">
        <f aca="false">E172</f>
        <v>119.043333333333</v>
      </c>
      <c r="G172" s="178" t="s">
        <v>2953</v>
      </c>
      <c r="H172" s="179" t="n">
        <f aca="false">F172</f>
        <v>119.043333333333</v>
      </c>
      <c r="I172" s="179" t="str">
        <f aca="false">G172</f>
        <v>UTILIZOU-SE SINAPI</v>
      </c>
    </row>
    <row r="173" customFormat="false" ht="15" hidden="false" customHeight="false" outlineLevel="0" collapsed="false">
      <c r="A173" s="175" t="s">
        <v>2996</v>
      </c>
      <c r="B173" s="176" t="s">
        <v>2993</v>
      </c>
      <c r="C173" s="176" t="s">
        <v>2997</v>
      </c>
      <c r="D173" s="201" t="n">
        <v>134.73</v>
      </c>
      <c r="E173" s="178"/>
      <c r="F173" s="178"/>
      <c r="G173" s="178"/>
    </row>
    <row r="174" customFormat="false" ht="15" hidden="false" customHeight="false" outlineLevel="0" collapsed="false">
      <c r="A174" s="175" t="s">
        <v>3050</v>
      </c>
      <c r="B174" s="176" t="s">
        <v>3051</v>
      </c>
      <c r="C174" s="170" t="s">
        <v>3052</v>
      </c>
      <c r="D174" s="201" t="n">
        <v>102.5</v>
      </c>
      <c r="E174" s="178"/>
      <c r="F174" s="178"/>
      <c r="G174" s="178"/>
    </row>
    <row r="175" customFormat="false" ht="15" hidden="false" customHeight="false" outlineLevel="0" collapsed="false">
      <c r="A175" s="166"/>
      <c r="B175" s="166"/>
      <c r="C175" s="166"/>
      <c r="D175" s="202"/>
      <c r="E175" s="203"/>
      <c r="F175" s="166"/>
      <c r="G175" s="166"/>
    </row>
    <row r="176" customFormat="false" ht="15" hidden="false" customHeight="false" outlineLevel="0" collapsed="false">
      <c r="A176" s="165" t="s">
        <v>28</v>
      </c>
      <c r="B176" s="165" t="s">
        <v>1410</v>
      </c>
      <c r="C176" s="165" t="s">
        <v>2938</v>
      </c>
      <c r="D176" s="165"/>
      <c r="E176" s="165"/>
      <c r="F176" s="165" t="s">
        <v>2939</v>
      </c>
      <c r="G176" s="165" t="s">
        <v>2940</v>
      </c>
    </row>
    <row r="177" customFormat="false" ht="15" hidden="false" customHeight="true" outlineLevel="0" collapsed="false">
      <c r="A177" s="199" t="s">
        <v>2651</v>
      </c>
      <c r="B177" s="176" t="s">
        <v>2941</v>
      </c>
      <c r="C177" s="169" t="s">
        <v>3053</v>
      </c>
      <c r="D177" s="169"/>
      <c r="E177" s="169"/>
      <c r="F177" s="176" t="s">
        <v>31</v>
      </c>
      <c r="G177" s="178" t="n">
        <f aca="false">F180</f>
        <v>179.676666666667</v>
      </c>
    </row>
    <row r="178" customFormat="false" ht="15" hidden="false" customHeight="true" outlineLevel="0" collapsed="false">
      <c r="A178" s="185" t="s">
        <v>2943</v>
      </c>
      <c r="B178" s="185" t="s">
        <v>2944</v>
      </c>
      <c r="C178" s="185" t="s">
        <v>2945</v>
      </c>
      <c r="D178" s="185" t="s">
        <v>2946</v>
      </c>
      <c r="E178" s="172" t="s">
        <v>2947</v>
      </c>
      <c r="F178" s="185" t="s">
        <v>2948</v>
      </c>
      <c r="G178" s="185"/>
    </row>
    <row r="179" customFormat="false" ht="15" hidden="false" customHeight="false" outlineLevel="0" collapsed="false">
      <c r="A179" s="185"/>
      <c r="B179" s="185"/>
      <c r="C179" s="185"/>
      <c r="D179" s="185"/>
      <c r="E179" s="172"/>
      <c r="F179" s="173" t="s">
        <v>1374</v>
      </c>
      <c r="G179" s="174" t="s">
        <v>2949</v>
      </c>
    </row>
    <row r="180" customFormat="false" ht="15" hidden="false" customHeight="false" outlineLevel="0" collapsed="false">
      <c r="A180" s="175" t="s">
        <v>3009</v>
      </c>
      <c r="B180" s="176" t="s">
        <v>3010</v>
      </c>
      <c r="C180" s="176" t="s">
        <v>3011</v>
      </c>
      <c r="D180" s="201" t="n">
        <v>172.81</v>
      </c>
      <c r="E180" s="178" t="n">
        <f aca="false">AVERAGE(D180:D182)</f>
        <v>179.676666666667</v>
      </c>
      <c r="F180" s="178" t="n">
        <f aca="false">E180</f>
        <v>179.676666666667</v>
      </c>
      <c r="G180" s="178" t="s">
        <v>2953</v>
      </c>
      <c r="H180" s="179" t="n">
        <f aca="false">F180</f>
        <v>179.676666666667</v>
      </c>
      <c r="I180" s="179" t="str">
        <f aca="false">G180</f>
        <v>UTILIZOU-SE SINAPI</v>
      </c>
    </row>
    <row r="181" customFormat="false" ht="15" hidden="false" customHeight="false" outlineLevel="0" collapsed="false">
      <c r="A181" s="175" t="s">
        <v>2964</v>
      </c>
      <c r="B181" s="176" t="s">
        <v>2965</v>
      </c>
      <c r="C181" s="176" t="s">
        <v>2966</v>
      </c>
      <c r="D181" s="201" t="n">
        <v>173.12</v>
      </c>
      <c r="E181" s="178"/>
      <c r="F181" s="178"/>
      <c r="G181" s="178"/>
    </row>
    <row r="182" customFormat="false" ht="15" hidden="false" customHeight="false" outlineLevel="0" collapsed="false">
      <c r="A182" s="204" t="s">
        <v>3054</v>
      </c>
      <c r="B182" s="176" t="s">
        <v>3055</v>
      </c>
      <c r="C182" s="170" t="s">
        <v>3056</v>
      </c>
      <c r="D182" s="201" t="n">
        <v>193.1</v>
      </c>
      <c r="E182" s="178"/>
      <c r="F182" s="178"/>
      <c r="G182" s="178"/>
    </row>
    <row r="183" customFormat="false" ht="15" hidden="false" customHeight="false" outlineLevel="0" collapsed="false">
      <c r="A183" s="180"/>
      <c r="B183" s="183"/>
      <c r="C183" s="205"/>
      <c r="D183" s="187"/>
      <c r="E183" s="188"/>
      <c r="F183" s="188"/>
      <c r="G183" s="183"/>
    </row>
    <row r="184" customFormat="false" ht="15" hidden="false" customHeight="false" outlineLevel="0" collapsed="false">
      <c r="A184" s="165" t="s">
        <v>28</v>
      </c>
      <c r="B184" s="165" t="s">
        <v>1410</v>
      </c>
      <c r="C184" s="165" t="s">
        <v>2938</v>
      </c>
      <c r="D184" s="165"/>
      <c r="E184" s="165"/>
      <c r="F184" s="165" t="s">
        <v>2939</v>
      </c>
      <c r="G184" s="165" t="s">
        <v>2940</v>
      </c>
    </row>
    <row r="185" customFormat="false" ht="15" hidden="false" customHeight="true" outlineLevel="0" collapsed="false">
      <c r="A185" s="199" t="s">
        <v>2726</v>
      </c>
      <c r="B185" s="176" t="s">
        <v>2941</v>
      </c>
      <c r="C185" s="169" t="s">
        <v>3057</v>
      </c>
      <c r="D185" s="169"/>
      <c r="E185" s="169"/>
      <c r="F185" s="176" t="s">
        <v>2995</v>
      </c>
      <c r="G185" s="178" t="n">
        <f aca="false">F188</f>
        <v>4539.03</v>
      </c>
    </row>
    <row r="186" customFormat="false" ht="15" hidden="false" customHeight="true" outlineLevel="0" collapsed="false">
      <c r="A186" s="185" t="s">
        <v>2943</v>
      </c>
      <c r="B186" s="185" t="s">
        <v>2944</v>
      </c>
      <c r="C186" s="185" t="s">
        <v>2945</v>
      </c>
      <c r="D186" s="185" t="s">
        <v>2946</v>
      </c>
      <c r="E186" s="172" t="s">
        <v>2947</v>
      </c>
      <c r="F186" s="185" t="s">
        <v>2948</v>
      </c>
      <c r="G186" s="185"/>
    </row>
    <row r="187" customFormat="false" ht="15" hidden="false" customHeight="false" outlineLevel="0" collapsed="false">
      <c r="A187" s="185"/>
      <c r="B187" s="185"/>
      <c r="C187" s="185"/>
      <c r="D187" s="185"/>
      <c r="E187" s="172"/>
      <c r="F187" s="173" t="s">
        <v>1374</v>
      </c>
      <c r="G187" s="174" t="s">
        <v>2949</v>
      </c>
    </row>
    <row r="188" customFormat="false" ht="15" hidden="false" customHeight="false" outlineLevel="0" collapsed="false">
      <c r="A188" s="175" t="s">
        <v>3058</v>
      </c>
      <c r="B188" s="176" t="s">
        <v>3059</v>
      </c>
      <c r="C188" s="197" t="s">
        <v>3060</v>
      </c>
      <c r="D188" s="201" t="n">
        <v>4776.11</v>
      </c>
      <c r="E188" s="178" t="n">
        <f aca="false">AVERAGE(D188:D190)</f>
        <v>4539.03</v>
      </c>
      <c r="F188" s="178" t="n">
        <f aca="false">E188</f>
        <v>4539.03</v>
      </c>
      <c r="G188" s="178" t="s">
        <v>2953</v>
      </c>
      <c r="H188" s="179" t="n">
        <f aca="false">F188</f>
        <v>4539.03</v>
      </c>
      <c r="I188" s="179" t="str">
        <f aca="false">G188</f>
        <v>UTILIZOU-SE SINAPI</v>
      </c>
    </row>
    <row r="189" customFormat="false" ht="15" hidden="false" customHeight="false" outlineLevel="0" collapsed="false">
      <c r="A189" s="76" t="s">
        <v>3061</v>
      </c>
      <c r="B189" s="176" t="s">
        <v>3062</v>
      </c>
      <c r="C189" s="197" t="s">
        <v>3063</v>
      </c>
      <c r="D189" s="201" t="n">
        <v>4400</v>
      </c>
      <c r="E189" s="178"/>
      <c r="F189" s="178"/>
      <c r="G189" s="178"/>
    </row>
    <row r="190" customFormat="false" ht="15" hidden="false" customHeight="false" outlineLevel="0" collapsed="false">
      <c r="A190" s="175" t="s">
        <v>3064</v>
      </c>
      <c r="B190" s="176" t="s">
        <v>3065</v>
      </c>
      <c r="C190" s="197" t="s">
        <v>3066</v>
      </c>
      <c r="D190" s="201" t="n">
        <v>4440.98</v>
      </c>
      <c r="E190" s="178"/>
      <c r="F190" s="178"/>
      <c r="G190" s="178"/>
    </row>
    <row r="191" customFormat="false" ht="15" hidden="false" customHeight="false" outlineLevel="0" collapsed="false">
      <c r="A191" s="166"/>
      <c r="B191" s="166"/>
      <c r="C191" s="166"/>
      <c r="D191" s="166"/>
      <c r="E191" s="166"/>
      <c r="F191" s="166"/>
      <c r="G191" s="166"/>
    </row>
    <row r="192" customFormat="false" ht="15" hidden="false" customHeight="false" outlineLevel="0" collapsed="false">
      <c r="A192" s="165" t="s">
        <v>28</v>
      </c>
      <c r="B192" s="165" t="s">
        <v>1410</v>
      </c>
      <c r="C192" s="165" t="s">
        <v>2938</v>
      </c>
      <c r="D192" s="165"/>
      <c r="E192" s="165"/>
      <c r="F192" s="165" t="s">
        <v>2939</v>
      </c>
      <c r="G192" s="165" t="s">
        <v>2940</v>
      </c>
    </row>
    <row r="193" customFormat="false" ht="15" hidden="false" customHeight="true" outlineLevel="0" collapsed="false">
      <c r="A193" s="199" t="s">
        <v>2041</v>
      </c>
      <c r="B193" s="176" t="s">
        <v>2941</v>
      </c>
      <c r="C193" s="169" t="s">
        <v>3067</v>
      </c>
      <c r="D193" s="169"/>
      <c r="E193" s="169"/>
      <c r="F193" s="176" t="s">
        <v>2995</v>
      </c>
      <c r="G193" s="178" t="n">
        <f aca="false">F196</f>
        <v>21.9333333333333</v>
      </c>
    </row>
    <row r="194" customFormat="false" ht="15" hidden="false" customHeight="true" outlineLevel="0" collapsed="false">
      <c r="A194" s="185" t="s">
        <v>2943</v>
      </c>
      <c r="B194" s="185" t="s">
        <v>2944</v>
      </c>
      <c r="C194" s="185" t="s">
        <v>2945</v>
      </c>
      <c r="D194" s="185" t="s">
        <v>2946</v>
      </c>
      <c r="E194" s="172" t="s">
        <v>2947</v>
      </c>
      <c r="F194" s="185" t="s">
        <v>2948</v>
      </c>
      <c r="G194" s="185"/>
    </row>
    <row r="195" customFormat="false" ht="15" hidden="false" customHeight="false" outlineLevel="0" collapsed="false">
      <c r="A195" s="185"/>
      <c r="B195" s="185"/>
      <c r="C195" s="185"/>
      <c r="D195" s="185"/>
      <c r="E195" s="172"/>
      <c r="F195" s="173" t="s">
        <v>1374</v>
      </c>
      <c r="G195" s="174" t="s">
        <v>2949</v>
      </c>
    </row>
    <row r="196" customFormat="false" ht="15" hidden="false" customHeight="false" outlineLevel="0" collapsed="false">
      <c r="A196" s="175" t="s">
        <v>3068</v>
      </c>
      <c r="B196" s="176" t="s">
        <v>3069</v>
      </c>
      <c r="C196" s="170" t="s">
        <v>3070</v>
      </c>
      <c r="D196" s="201" t="n">
        <v>30</v>
      </c>
      <c r="E196" s="178" t="n">
        <f aca="false">AVERAGE(D196:D198)</f>
        <v>21.9333333333333</v>
      </c>
      <c r="F196" s="178" t="n">
        <f aca="false">E196</f>
        <v>21.9333333333333</v>
      </c>
      <c r="G196" s="178" t="s">
        <v>2953</v>
      </c>
      <c r="H196" s="179" t="n">
        <f aca="false">F196</f>
        <v>21.9333333333333</v>
      </c>
      <c r="I196" s="179" t="str">
        <f aca="false">G196</f>
        <v>UTILIZOU-SE SINAPI</v>
      </c>
    </row>
    <row r="197" customFormat="false" ht="15" hidden="false" customHeight="false" outlineLevel="0" collapsed="false">
      <c r="A197" s="175" t="s">
        <v>3071</v>
      </c>
      <c r="B197" s="176" t="s">
        <v>3072</v>
      </c>
      <c r="C197" s="170" t="s">
        <v>3073</v>
      </c>
      <c r="D197" s="201" t="n">
        <v>15.9</v>
      </c>
      <c r="E197" s="178"/>
      <c r="F197" s="178"/>
      <c r="G197" s="178"/>
    </row>
    <row r="198" customFormat="false" ht="15" hidden="false" customHeight="false" outlineLevel="0" collapsed="false">
      <c r="A198" s="175" t="s">
        <v>3050</v>
      </c>
      <c r="B198" s="176" t="s">
        <v>3051</v>
      </c>
      <c r="C198" s="170" t="s">
        <v>3052</v>
      </c>
      <c r="D198" s="201" t="n">
        <v>19.9</v>
      </c>
      <c r="E198" s="178"/>
      <c r="F198" s="178"/>
      <c r="G198" s="178"/>
    </row>
    <row r="199" customFormat="false" ht="15" hidden="false" customHeight="false" outlineLevel="0" collapsed="false">
      <c r="A199" s="166"/>
      <c r="B199" s="166"/>
      <c r="C199" s="166"/>
      <c r="D199" s="166"/>
      <c r="E199" s="166"/>
      <c r="F199" s="166"/>
      <c r="G199" s="166"/>
    </row>
    <row r="200" customFormat="false" ht="15" hidden="false" customHeight="false" outlineLevel="0" collapsed="false">
      <c r="A200" s="165" t="s">
        <v>28</v>
      </c>
      <c r="B200" s="165" t="s">
        <v>1410</v>
      </c>
      <c r="C200" s="165" t="s">
        <v>2938</v>
      </c>
      <c r="D200" s="165"/>
      <c r="E200" s="165"/>
      <c r="F200" s="165" t="s">
        <v>2939</v>
      </c>
      <c r="G200" s="165" t="s">
        <v>2940</v>
      </c>
    </row>
    <row r="201" s="57" customFormat="true" ht="15" hidden="false" customHeight="true" outlineLevel="0" collapsed="false">
      <c r="A201" s="206" t="s">
        <v>2585</v>
      </c>
      <c r="B201" s="190" t="s">
        <v>2941</v>
      </c>
      <c r="C201" s="191" t="s">
        <v>2586</v>
      </c>
      <c r="D201" s="191"/>
      <c r="E201" s="191"/>
      <c r="F201" s="190" t="s">
        <v>1455</v>
      </c>
      <c r="G201" s="192" t="n">
        <f aca="false">F204</f>
        <v>4.04986666666667</v>
      </c>
      <c r="H201" s="196"/>
      <c r="I201" s="196"/>
    </row>
    <row r="202" customFormat="false" ht="15" hidden="false" customHeight="true" outlineLevel="0" collapsed="false">
      <c r="A202" s="185" t="s">
        <v>2943</v>
      </c>
      <c r="B202" s="185" t="s">
        <v>2944</v>
      </c>
      <c r="C202" s="185" t="s">
        <v>2945</v>
      </c>
      <c r="D202" s="185" t="s">
        <v>2946</v>
      </c>
      <c r="E202" s="172" t="s">
        <v>2947</v>
      </c>
      <c r="F202" s="185" t="s">
        <v>2948</v>
      </c>
      <c r="G202" s="185"/>
    </row>
    <row r="203" customFormat="false" ht="15" hidden="false" customHeight="false" outlineLevel="0" collapsed="false">
      <c r="A203" s="185"/>
      <c r="B203" s="185"/>
      <c r="C203" s="185"/>
      <c r="D203" s="185"/>
      <c r="E203" s="172"/>
      <c r="F203" s="173" t="s">
        <v>1374</v>
      </c>
      <c r="G203" s="174" t="s">
        <v>2949</v>
      </c>
    </row>
    <row r="204" customFormat="false" ht="15" hidden="false" customHeight="false" outlineLevel="0" collapsed="false">
      <c r="A204" s="175" t="s">
        <v>3074</v>
      </c>
      <c r="B204" s="176" t="s">
        <v>3075</v>
      </c>
      <c r="C204" s="197" t="s">
        <v>3076</v>
      </c>
      <c r="D204" s="201" t="n">
        <f aca="false">489.99/100</f>
        <v>4.8999</v>
      </c>
      <c r="E204" s="178" t="n">
        <f aca="false">AVERAGE(D204:D206)</f>
        <v>4.04986666666667</v>
      </c>
      <c r="F204" s="178" t="n">
        <f aca="false">E204</f>
        <v>4.04986666666667</v>
      </c>
      <c r="G204" s="178" t="s">
        <v>2953</v>
      </c>
      <c r="H204" s="179" t="n">
        <f aca="false">F204</f>
        <v>4.04986666666667</v>
      </c>
      <c r="I204" s="179" t="str">
        <f aca="false">G204</f>
        <v>UTILIZOU-SE SINAPI</v>
      </c>
    </row>
    <row r="205" customFormat="false" ht="15" hidden="false" customHeight="false" outlineLevel="0" collapsed="false">
      <c r="A205" s="175" t="s">
        <v>3077</v>
      </c>
      <c r="B205" s="176" t="s">
        <v>3078</v>
      </c>
      <c r="C205" s="197" t="s">
        <v>3079</v>
      </c>
      <c r="D205" s="201" t="n">
        <f aca="false">349.98/100</f>
        <v>3.4998</v>
      </c>
      <c r="E205" s="178"/>
      <c r="F205" s="178"/>
      <c r="G205" s="178"/>
    </row>
    <row r="206" customFormat="false" ht="15" hidden="false" customHeight="false" outlineLevel="0" collapsed="false">
      <c r="A206" s="204" t="s">
        <v>3080</v>
      </c>
      <c r="B206" s="176" t="s">
        <v>3081</v>
      </c>
      <c r="C206" s="197" t="s">
        <v>3082</v>
      </c>
      <c r="D206" s="201" t="n">
        <f aca="false">374.99/100</f>
        <v>3.7499</v>
      </c>
      <c r="E206" s="178"/>
      <c r="F206" s="178"/>
      <c r="G206" s="178"/>
    </row>
    <row r="207" customFormat="false" ht="15" hidden="false" customHeight="false" outlineLevel="0" collapsed="false">
      <c r="A207" s="166"/>
      <c r="B207" s="166"/>
      <c r="C207" s="166"/>
      <c r="D207" s="166"/>
      <c r="E207" s="166"/>
      <c r="F207" s="166"/>
      <c r="G207" s="166"/>
    </row>
    <row r="208" customFormat="false" ht="15" hidden="false" customHeight="false" outlineLevel="0" collapsed="false">
      <c r="A208" s="165" t="s">
        <v>28</v>
      </c>
      <c r="B208" s="165" t="s">
        <v>1410</v>
      </c>
      <c r="C208" s="165" t="s">
        <v>2938</v>
      </c>
      <c r="D208" s="165"/>
      <c r="E208" s="165"/>
      <c r="F208" s="165" t="s">
        <v>2939</v>
      </c>
      <c r="G208" s="165" t="s">
        <v>2940</v>
      </c>
    </row>
    <row r="209" customFormat="false" ht="15" hidden="false" customHeight="true" outlineLevel="0" collapsed="false">
      <c r="A209" s="206" t="s">
        <v>2596</v>
      </c>
      <c r="B209" s="190" t="s">
        <v>2941</v>
      </c>
      <c r="C209" s="191" t="s">
        <v>2597</v>
      </c>
      <c r="D209" s="191"/>
      <c r="E209" s="191"/>
      <c r="F209" s="190" t="s">
        <v>1455</v>
      </c>
      <c r="G209" s="192" t="n">
        <f aca="false">F212</f>
        <v>3.61633333333333</v>
      </c>
    </row>
    <row r="210" customFormat="false" ht="15" hidden="false" customHeight="true" outlineLevel="0" collapsed="false">
      <c r="A210" s="185" t="s">
        <v>2943</v>
      </c>
      <c r="B210" s="185" t="s">
        <v>2944</v>
      </c>
      <c r="C210" s="185" t="s">
        <v>2945</v>
      </c>
      <c r="D210" s="185" t="s">
        <v>2946</v>
      </c>
      <c r="E210" s="172" t="s">
        <v>2947</v>
      </c>
      <c r="F210" s="185" t="s">
        <v>2948</v>
      </c>
      <c r="G210" s="185"/>
    </row>
    <row r="211" customFormat="false" ht="15" hidden="false" customHeight="false" outlineLevel="0" collapsed="false">
      <c r="A211" s="185"/>
      <c r="B211" s="185"/>
      <c r="C211" s="185"/>
      <c r="D211" s="185"/>
      <c r="E211" s="172"/>
      <c r="F211" s="173" t="s">
        <v>1374</v>
      </c>
      <c r="G211" s="174" t="s">
        <v>2949</v>
      </c>
    </row>
    <row r="212" customFormat="false" ht="15" hidden="false" customHeight="false" outlineLevel="0" collapsed="false">
      <c r="A212" s="175" t="s">
        <v>2996</v>
      </c>
      <c r="B212" s="176" t="s">
        <v>2993</v>
      </c>
      <c r="C212" s="176" t="s">
        <v>2997</v>
      </c>
      <c r="D212" s="201" t="n">
        <f aca="false">374.9/100</f>
        <v>3.749</v>
      </c>
      <c r="E212" s="178" t="n">
        <f aca="false">AVERAGE(D212:D214)</f>
        <v>3.61633333333333</v>
      </c>
      <c r="F212" s="178" t="n">
        <f aca="false">E212</f>
        <v>3.61633333333333</v>
      </c>
      <c r="G212" s="178" t="s">
        <v>2953</v>
      </c>
      <c r="H212" s="179" t="n">
        <f aca="false">F212</f>
        <v>3.61633333333333</v>
      </c>
      <c r="I212" s="179" t="str">
        <f aca="false">G212</f>
        <v>UTILIZOU-SE SINAPI</v>
      </c>
    </row>
    <row r="213" customFormat="false" ht="15" hidden="false" customHeight="false" outlineLevel="0" collapsed="false">
      <c r="A213" s="175" t="s">
        <v>3083</v>
      </c>
      <c r="B213" s="176" t="s">
        <v>3084</v>
      </c>
      <c r="C213" s="170" t="s">
        <v>3085</v>
      </c>
      <c r="D213" s="201" t="n">
        <f aca="false">204/50</f>
        <v>4.08</v>
      </c>
      <c r="E213" s="178"/>
      <c r="F213" s="178"/>
      <c r="G213" s="178"/>
    </row>
    <row r="214" customFormat="false" ht="15" hidden="false" customHeight="false" outlineLevel="0" collapsed="false">
      <c r="A214" s="175" t="s">
        <v>3050</v>
      </c>
      <c r="B214" s="176" t="s">
        <v>3051</v>
      </c>
      <c r="C214" s="170" t="s">
        <v>3052</v>
      </c>
      <c r="D214" s="201" t="n">
        <f aca="false">302/100</f>
        <v>3.02</v>
      </c>
      <c r="E214" s="178"/>
      <c r="F214" s="178"/>
      <c r="G214" s="178"/>
    </row>
    <row r="215" customFormat="false" ht="15" hidden="false" customHeight="false" outlineLevel="0" collapsed="false">
      <c r="A215" s="166"/>
      <c r="B215" s="166"/>
      <c r="C215" s="166"/>
      <c r="D215" s="166"/>
      <c r="E215" s="166"/>
      <c r="F215" s="166"/>
      <c r="G215" s="166"/>
    </row>
    <row r="216" customFormat="false" ht="15" hidden="false" customHeight="false" outlineLevel="0" collapsed="false">
      <c r="A216" s="165" t="s">
        <v>28</v>
      </c>
      <c r="B216" s="165" t="s">
        <v>1410</v>
      </c>
      <c r="C216" s="165" t="s">
        <v>2938</v>
      </c>
      <c r="D216" s="165"/>
      <c r="E216" s="165"/>
      <c r="F216" s="165" t="s">
        <v>2939</v>
      </c>
      <c r="G216" s="165" t="s">
        <v>2940</v>
      </c>
    </row>
    <row r="217" customFormat="false" ht="15" hidden="false" customHeight="true" outlineLevel="0" collapsed="false">
      <c r="A217" s="199" t="s">
        <v>2846</v>
      </c>
      <c r="B217" s="176" t="s">
        <v>2941</v>
      </c>
      <c r="C217" s="169" t="s">
        <v>3086</v>
      </c>
      <c r="D217" s="169"/>
      <c r="E217" s="169"/>
      <c r="F217" s="176" t="s">
        <v>1455</v>
      </c>
      <c r="G217" s="178" t="n">
        <f aca="false">F220</f>
        <v>10.8133333333333</v>
      </c>
    </row>
    <row r="218" customFormat="false" ht="15" hidden="false" customHeight="true" outlineLevel="0" collapsed="false">
      <c r="A218" s="185" t="s">
        <v>2943</v>
      </c>
      <c r="B218" s="185" t="s">
        <v>2944</v>
      </c>
      <c r="C218" s="185" t="s">
        <v>2945</v>
      </c>
      <c r="D218" s="185" t="s">
        <v>2946</v>
      </c>
      <c r="E218" s="172" t="s">
        <v>2947</v>
      </c>
      <c r="F218" s="185" t="s">
        <v>2948</v>
      </c>
      <c r="G218" s="185"/>
    </row>
    <row r="219" customFormat="false" ht="15" hidden="false" customHeight="false" outlineLevel="0" collapsed="false">
      <c r="A219" s="185"/>
      <c r="B219" s="185"/>
      <c r="C219" s="185"/>
      <c r="D219" s="185"/>
      <c r="E219" s="172"/>
      <c r="F219" s="173" t="s">
        <v>1374</v>
      </c>
      <c r="G219" s="174" t="s">
        <v>2949</v>
      </c>
    </row>
    <row r="220" customFormat="false" ht="15" hidden="false" customHeight="false" outlineLevel="0" collapsed="false">
      <c r="A220" s="175" t="s">
        <v>3087</v>
      </c>
      <c r="B220" s="176" t="s">
        <v>3088</v>
      </c>
      <c r="C220" s="170" t="s">
        <v>3089</v>
      </c>
      <c r="D220" s="201" t="n">
        <v>9.22</v>
      </c>
      <c r="E220" s="178" t="n">
        <f aca="false">AVERAGE(D220:D222)</f>
        <v>10.8133333333333</v>
      </c>
      <c r="F220" s="178" t="n">
        <f aca="false">E220</f>
        <v>10.8133333333333</v>
      </c>
      <c r="G220" s="178" t="s">
        <v>2953</v>
      </c>
      <c r="H220" s="179" t="n">
        <f aca="false">F220</f>
        <v>10.8133333333333</v>
      </c>
      <c r="I220" s="179" t="str">
        <f aca="false">G220</f>
        <v>UTILIZOU-SE SINAPI</v>
      </c>
    </row>
    <row r="221" customFormat="false" ht="15" hidden="false" customHeight="false" outlineLevel="0" collapsed="false">
      <c r="A221" s="175" t="s">
        <v>3090</v>
      </c>
      <c r="B221" s="176" t="s">
        <v>3091</v>
      </c>
      <c r="C221" s="176" t="s">
        <v>3092</v>
      </c>
      <c r="D221" s="201" t="n">
        <v>11.53</v>
      </c>
      <c r="E221" s="178"/>
      <c r="F221" s="178"/>
      <c r="G221" s="178"/>
    </row>
    <row r="222" customFormat="false" ht="15" hidden="false" customHeight="false" outlineLevel="0" collapsed="false">
      <c r="A222" s="204" t="s">
        <v>3093</v>
      </c>
      <c r="B222" s="176" t="s">
        <v>3094</v>
      </c>
      <c r="C222" s="170" t="s">
        <v>3095</v>
      </c>
      <c r="D222" s="201" t="n">
        <v>11.69</v>
      </c>
      <c r="E222" s="178"/>
      <c r="F222" s="178"/>
      <c r="G222" s="178"/>
    </row>
    <row r="223" customFormat="false" ht="15" hidden="false" customHeight="false" outlineLevel="0" collapsed="false">
      <c r="A223" s="166"/>
      <c r="B223" s="166"/>
      <c r="C223" s="166"/>
      <c r="D223" s="166"/>
      <c r="E223" s="166"/>
      <c r="F223" s="166"/>
      <c r="G223" s="166"/>
    </row>
    <row r="224" customFormat="false" ht="15" hidden="false" customHeight="false" outlineLevel="0" collapsed="false">
      <c r="A224" s="165" t="s">
        <v>28</v>
      </c>
      <c r="B224" s="165" t="s">
        <v>1410</v>
      </c>
      <c r="C224" s="165" t="s">
        <v>2938</v>
      </c>
      <c r="D224" s="165"/>
      <c r="E224" s="165"/>
      <c r="F224" s="165" t="s">
        <v>2939</v>
      </c>
      <c r="G224" s="165" t="s">
        <v>2940</v>
      </c>
    </row>
    <row r="225" customFormat="false" ht="15" hidden="false" customHeight="true" outlineLevel="0" collapsed="false">
      <c r="A225" s="199" t="s">
        <v>2621</v>
      </c>
      <c r="B225" s="176" t="s">
        <v>2941</v>
      </c>
      <c r="C225" s="169" t="s">
        <v>3096</v>
      </c>
      <c r="D225" s="169"/>
      <c r="E225" s="169"/>
      <c r="F225" s="176" t="s">
        <v>2995</v>
      </c>
      <c r="G225" s="178" t="n">
        <f aca="false">F228</f>
        <v>252.663333333333</v>
      </c>
    </row>
    <row r="226" customFormat="false" ht="15" hidden="false" customHeight="true" outlineLevel="0" collapsed="false">
      <c r="A226" s="185" t="s">
        <v>2943</v>
      </c>
      <c r="B226" s="185" t="s">
        <v>2944</v>
      </c>
      <c r="C226" s="185" t="s">
        <v>2945</v>
      </c>
      <c r="D226" s="185" t="s">
        <v>2946</v>
      </c>
      <c r="E226" s="172" t="s">
        <v>2947</v>
      </c>
      <c r="F226" s="185" t="s">
        <v>2948</v>
      </c>
      <c r="G226" s="185"/>
    </row>
    <row r="227" customFormat="false" ht="15" hidden="false" customHeight="false" outlineLevel="0" collapsed="false">
      <c r="A227" s="185"/>
      <c r="B227" s="185"/>
      <c r="C227" s="185"/>
      <c r="D227" s="185"/>
      <c r="E227" s="172"/>
      <c r="F227" s="173" t="s">
        <v>1374</v>
      </c>
      <c r="G227" s="174" t="s">
        <v>2949</v>
      </c>
    </row>
    <row r="228" customFormat="false" ht="15" hidden="false" customHeight="false" outlineLevel="0" collapsed="false">
      <c r="A228" s="175" t="s">
        <v>3097</v>
      </c>
      <c r="B228" s="176" t="s">
        <v>3098</v>
      </c>
      <c r="C228" s="170" t="s">
        <v>3099</v>
      </c>
      <c r="D228" s="201" t="n">
        <v>165.94</v>
      </c>
      <c r="E228" s="178" t="n">
        <f aca="false">AVERAGE(D228:D230)</f>
        <v>252.663333333333</v>
      </c>
      <c r="F228" s="178" t="n">
        <f aca="false">E228</f>
        <v>252.663333333333</v>
      </c>
      <c r="G228" s="178" t="s">
        <v>2953</v>
      </c>
      <c r="H228" s="179" t="n">
        <f aca="false">F228</f>
        <v>252.663333333333</v>
      </c>
      <c r="I228" s="179" t="str">
        <f aca="false">G228</f>
        <v>UTILIZOU-SE SINAPI</v>
      </c>
    </row>
    <row r="229" customFormat="false" ht="15" hidden="false" customHeight="false" outlineLevel="0" collapsed="false">
      <c r="A229" s="175" t="s">
        <v>2996</v>
      </c>
      <c r="B229" s="176" t="s">
        <v>2993</v>
      </c>
      <c r="C229" s="176" t="s">
        <v>2997</v>
      </c>
      <c r="D229" s="201" t="n">
        <v>387.05</v>
      </c>
      <c r="E229" s="178"/>
      <c r="F229" s="178"/>
      <c r="G229" s="178"/>
    </row>
    <row r="230" customFormat="false" ht="15" hidden="false" customHeight="false" outlineLevel="0" collapsed="false">
      <c r="A230" s="175" t="s">
        <v>3050</v>
      </c>
      <c r="B230" s="176" t="s">
        <v>3051</v>
      </c>
      <c r="C230" s="170" t="s">
        <v>3052</v>
      </c>
      <c r="D230" s="201" t="n">
        <v>205</v>
      </c>
      <c r="E230" s="178"/>
      <c r="F230" s="178"/>
      <c r="G230" s="178"/>
    </row>
    <row r="231" s="157" customFormat="true" ht="15" hidden="false" customHeight="false" outlineLevel="0" collapsed="false"/>
    <row r="232" customFormat="false" ht="15" hidden="false" customHeight="false" outlineLevel="0" collapsed="false">
      <c r="A232" s="165" t="s">
        <v>28</v>
      </c>
      <c r="B232" s="165" t="s">
        <v>1410</v>
      </c>
      <c r="C232" s="165" t="s">
        <v>2938</v>
      </c>
      <c r="D232" s="165"/>
      <c r="E232" s="165"/>
      <c r="F232" s="165" t="s">
        <v>2939</v>
      </c>
      <c r="G232" s="165" t="s">
        <v>2940</v>
      </c>
    </row>
    <row r="233" customFormat="false" ht="15" hidden="false" customHeight="true" outlineLevel="0" collapsed="false">
      <c r="A233" s="199" t="s">
        <v>2808</v>
      </c>
      <c r="B233" s="176" t="s">
        <v>2941</v>
      </c>
      <c r="C233" s="169" t="s">
        <v>3100</v>
      </c>
      <c r="D233" s="169"/>
      <c r="E233" s="169"/>
      <c r="F233" s="176" t="s">
        <v>2995</v>
      </c>
      <c r="G233" s="178" t="n">
        <f aca="false">F236</f>
        <v>22.9</v>
      </c>
    </row>
    <row r="234" customFormat="false" ht="15" hidden="false" customHeight="true" outlineLevel="0" collapsed="false">
      <c r="A234" s="185" t="s">
        <v>2943</v>
      </c>
      <c r="B234" s="185" t="s">
        <v>2944</v>
      </c>
      <c r="C234" s="185" t="s">
        <v>2945</v>
      </c>
      <c r="D234" s="185" t="s">
        <v>2946</v>
      </c>
      <c r="E234" s="172" t="s">
        <v>2947</v>
      </c>
      <c r="F234" s="185" t="s">
        <v>2948</v>
      </c>
      <c r="G234" s="185"/>
    </row>
    <row r="235" customFormat="false" ht="15" hidden="false" customHeight="false" outlineLevel="0" collapsed="false">
      <c r="A235" s="185"/>
      <c r="B235" s="185"/>
      <c r="C235" s="185"/>
      <c r="D235" s="185"/>
      <c r="E235" s="172"/>
      <c r="F235" s="173" t="s">
        <v>1374</v>
      </c>
      <c r="G235" s="174" t="s">
        <v>2949</v>
      </c>
    </row>
    <row r="236" customFormat="false" ht="15" hidden="false" customHeight="false" outlineLevel="0" collapsed="false">
      <c r="A236" s="175" t="s">
        <v>3101</v>
      </c>
      <c r="B236" s="176" t="s">
        <v>3102</v>
      </c>
      <c r="C236" s="170" t="s">
        <v>3103</v>
      </c>
      <c r="D236" s="201" t="n">
        <v>17.9</v>
      </c>
      <c r="E236" s="178" t="n">
        <f aca="false">AVERAGE(D236:D238)</f>
        <v>22.9</v>
      </c>
      <c r="F236" s="178" t="n">
        <f aca="false">E236</f>
        <v>22.9</v>
      </c>
      <c r="G236" s="178" t="s">
        <v>2953</v>
      </c>
      <c r="H236" s="179" t="n">
        <f aca="false">F236</f>
        <v>22.9</v>
      </c>
      <c r="I236" s="179" t="str">
        <f aca="false">G236</f>
        <v>UTILIZOU-SE SINAPI</v>
      </c>
    </row>
    <row r="237" customFormat="false" ht="15" hidden="false" customHeight="false" outlineLevel="0" collapsed="false">
      <c r="A237" s="175" t="s">
        <v>3104</v>
      </c>
      <c r="B237" s="176" t="s">
        <v>3105</v>
      </c>
      <c r="C237" s="176" t="s">
        <v>3106</v>
      </c>
      <c r="D237" s="201" t="n">
        <v>22.9</v>
      </c>
      <c r="E237" s="178"/>
      <c r="F237" s="178"/>
      <c r="G237" s="178"/>
    </row>
    <row r="238" customFormat="false" ht="15" hidden="false" customHeight="false" outlineLevel="0" collapsed="false">
      <c r="A238" s="175" t="s">
        <v>3001</v>
      </c>
      <c r="B238" s="176" t="s">
        <v>3002</v>
      </c>
      <c r="C238" s="176" t="s">
        <v>3003</v>
      </c>
      <c r="D238" s="201" t="n">
        <v>27.9</v>
      </c>
      <c r="E238" s="178"/>
      <c r="F238" s="178"/>
      <c r="G238" s="178"/>
    </row>
    <row r="240" customFormat="false" ht="15" hidden="false" customHeight="false" outlineLevel="0" collapsed="false">
      <c r="A240" s="165" t="s">
        <v>28</v>
      </c>
      <c r="B240" s="165" t="s">
        <v>1410</v>
      </c>
      <c r="C240" s="165" t="s">
        <v>2938</v>
      </c>
      <c r="D240" s="165"/>
      <c r="E240" s="165"/>
      <c r="F240" s="165" t="s">
        <v>2939</v>
      </c>
      <c r="G240" s="165" t="s">
        <v>2940</v>
      </c>
    </row>
    <row r="241" customFormat="false" ht="15" hidden="false" customHeight="true" outlineLevel="0" collapsed="false">
      <c r="A241" s="199" t="s">
        <v>2732</v>
      </c>
      <c r="B241" s="176" t="s">
        <v>2941</v>
      </c>
      <c r="C241" s="169" t="s">
        <v>3107</v>
      </c>
      <c r="D241" s="169"/>
      <c r="E241" s="169"/>
      <c r="F241" s="176" t="s">
        <v>2995</v>
      </c>
      <c r="G241" s="178" t="n">
        <f aca="false">F244</f>
        <v>838.056666666667</v>
      </c>
    </row>
    <row r="242" customFormat="false" ht="15" hidden="false" customHeight="true" outlineLevel="0" collapsed="false">
      <c r="A242" s="185" t="s">
        <v>2943</v>
      </c>
      <c r="B242" s="185" t="s">
        <v>2944</v>
      </c>
      <c r="C242" s="185" t="s">
        <v>2945</v>
      </c>
      <c r="D242" s="185" t="s">
        <v>2946</v>
      </c>
      <c r="E242" s="172" t="s">
        <v>2947</v>
      </c>
      <c r="F242" s="185" t="s">
        <v>2948</v>
      </c>
      <c r="G242" s="185"/>
    </row>
    <row r="243" customFormat="false" ht="15" hidden="false" customHeight="false" outlineLevel="0" collapsed="false">
      <c r="A243" s="185"/>
      <c r="B243" s="185"/>
      <c r="C243" s="185"/>
      <c r="D243" s="185"/>
      <c r="E243" s="172"/>
      <c r="F243" s="173" t="s">
        <v>1374</v>
      </c>
      <c r="G243" s="174" t="s">
        <v>2949</v>
      </c>
    </row>
    <row r="244" customFormat="false" ht="15" hidden="false" customHeight="false" outlineLevel="0" collapsed="false">
      <c r="A244" s="175" t="s">
        <v>3108</v>
      </c>
      <c r="B244" s="176" t="s">
        <v>3109</v>
      </c>
      <c r="C244" s="170" t="s">
        <v>3110</v>
      </c>
      <c r="D244" s="201" t="n">
        <v>943.35</v>
      </c>
      <c r="E244" s="178" t="n">
        <f aca="false">AVERAGE(D244:D246)</f>
        <v>838.056666666667</v>
      </c>
      <c r="F244" s="178" t="n">
        <f aca="false">E244</f>
        <v>838.056666666667</v>
      </c>
      <c r="G244" s="178" t="s">
        <v>2953</v>
      </c>
      <c r="H244" s="179" t="n">
        <f aca="false">F244</f>
        <v>838.056666666667</v>
      </c>
      <c r="I244" s="179" t="str">
        <f aca="false">G244</f>
        <v>UTILIZOU-SE SINAPI</v>
      </c>
    </row>
    <row r="245" customFormat="false" ht="15" hidden="false" customHeight="false" outlineLevel="0" collapsed="false">
      <c r="A245" s="175" t="s">
        <v>3111</v>
      </c>
      <c r="B245" s="176" t="s">
        <v>3112</v>
      </c>
      <c r="C245" s="176" t="s">
        <v>3113</v>
      </c>
      <c r="D245" s="201" t="n">
        <v>820.41</v>
      </c>
      <c r="E245" s="178"/>
      <c r="F245" s="178"/>
      <c r="G245" s="178"/>
    </row>
    <row r="246" customFormat="false" ht="15" hidden="false" customHeight="false" outlineLevel="0" collapsed="false">
      <c r="A246" s="175" t="s">
        <v>3009</v>
      </c>
      <c r="B246" s="176" t="s">
        <v>3010</v>
      </c>
      <c r="C246" s="176" t="s">
        <v>3011</v>
      </c>
      <c r="D246" s="201" t="n">
        <v>750.41</v>
      </c>
      <c r="E246" s="178"/>
      <c r="F246" s="178"/>
      <c r="G246" s="178"/>
    </row>
    <row r="248" customFormat="false" ht="15" hidden="false" customHeight="false" outlineLevel="0" collapsed="false">
      <c r="A248" s="165" t="s">
        <v>28</v>
      </c>
      <c r="B248" s="165" t="s">
        <v>1410</v>
      </c>
      <c r="C248" s="165" t="s">
        <v>2938</v>
      </c>
      <c r="D248" s="165"/>
      <c r="E248" s="165"/>
      <c r="F248" s="165" t="s">
        <v>2939</v>
      </c>
      <c r="G248" s="165" t="s">
        <v>2940</v>
      </c>
    </row>
    <row r="249" customFormat="false" ht="15" hidden="false" customHeight="true" outlineLevel="0" collapsed="false">
      <c r="A249" s="199" t="s">
        <v>2624</v>
      </c>
      <c r="B249" s="176" t="s">
        <v>2941</v>
      </c>
      <c r="C249" s="169" t="s">
        <v>3114</v>
      </c>
      <c r="D249" s="169"/>
      <c r="E249" s="169"/>
      <c r="F249" s="176" t="s">
        <v>2995</v>
      </c>
      <c r="G249" s="178" t="n">
        <f aca="false">F252</f>
        <v>3.87</v>
      </c>
    </row>
    <row r="250" customFormat="false" ht="15" hidden="false" customHeight="true" outlineLevel="0" collapsed="false">
      <c r="A250" s="185" t="s">
        <v>2943</v>
      </c>
      <c r="B250" s="185" t="s">
        <v>2944</v>
      </c>
      <c r="C250" s="185" t="s">
        <v>2945</v>
      </c>
      <c r="D250" s="185" t="s">
        <v>2946</v>
      </c>
      <c r="E250" s="172" t="s">
        <v>2947</v>
      </c>
      <c r="F250" s="185" t="s">
        <v>2948</v>
      </c>
      <c r="G250" s="185"/>
    </row>
    <row r="251" customFormat="false" ht="15" hidden="false" customHeight="false" outlineLevel="0" collapsed="false">
      <c r="A251" s="185"/>
      <c r="B251" s="185"/>
      <c r="C251" s="185"/>
      <c r="D251" s="185"/>
      <c r="E251" s="172"/>
      <c r="F251" s="173" t="s">
        <v>1374</v>
      </c>
      <c r="G251" s="174" t="s">
        <v>2949</v>
      </c>
    </row>
    <row r="252" customFormat="false" ht="15" hidden="false" customHeight="false" outlineLevel="0" collapsed="false">
      <c r="A252" s="175" t="s">
        <v>3115</v>
      </c>
      <c r="B252" s="176" t="s">
        <v>3116</v>
      </c>
      <c r="C252" s="170" t="s">
        <v>3117</v>
      </c>
      <c r="D252" s="201" t="n">
        <v>3.87</v>
      </c>
      <c r="E252" s="178" t="n">
        <f aca="false">AVERAGE(D252:D254)</f>
        <v>3.87</v>
      </c>
      <c r="F252" s="178" t="n">
        <f aca="false">E252</f>
        <v>3.87</v>
      </c>
      <c r="G252" s="178" t="s">
        <v>2953</v>
      </c>
      <c r="H252" s="179" t="n">
        <f aca="false">F252</f>
        <v>3.87</v>
      </c>
      <c r="I252" s="179" t="str">
        <f aca="false">G252</f>
        <v>UTILIZOU-SE SINAPI</v>
      </c>
    </row>
    <row r="253" customFormat="false" ht="15" hidden="false" customHeight="false" outlineLevel="0" collapsed="false">
      <c r="A253" s="175" t="s">
        <v>3118</v>
      </c>
      <c r="B253" s="176" t="s">
        <v>3119</v>
      </c>
      <c r="C253" s="176" t="s">
        <v>3120</v>
      </c>
      <c r="D253" s="201" t="n">
        <v>3.6</v>
      </c>
      <c r="E253" s="178"/>
      <c r="F253" s="178"/>
      <c r="G253" s="178"/>
    </row>
    <row r="254" customFormat="false" ht="15" hidden="false" customHeight="false" outlineLevel="0" collapsed="false">
      <c r="A254" s="175" t="s">
        <v>3121</v>
      </c>
      <c r="B254" s="176" t="s">
        <v>3122</v>
      </c>
      <c r="C254" s="170" t="s">
        <v>3123</v>
      </c>
      <c r="D254" s="201" t="n">
        <v>4.14</v>
      </c>
      <c r="E254" s="178"/>
      <c r="F254" s="178"/>
      <c r="G254" s="178"/>
    </row>
    <row r="256" customFormat="false" ht="15" hidden="false" customHeight="false" outlineLevel="0" collapsed="false">
      <c r="A256" s="165" t="s">
        <v>28</v>
      </c>
      <c r="B256" s="165" t="s">
        <v>1410</v>
      </c>
      <c r="C256" s="165" t="s">
        <v>2938</v>
      </c>
      <c r="D256" s="165"/>
      <c r="E256" s="165"/>
      <c r="F256" s="165" t="s">
        <v>2939</v>
      </c>
      <c r="G256" s="165" t="s">
        <v>2940</v>
      </c>
    </row>
    <row r="257" customFormat="false" ht="15" hidden="false" customHeight="true" outlineLevel="0" collapsed="false">
      <c r="A257" s="199" t="s">
        <v>2629</v>
      </c>
      <c r="B257" s="176" t="s">
        <v>2941</v>
      </c>
      <c r="C257" s="169" t="s">
        <v>3124</v>
      </c>
      <c r="D257" s="169"/>
      <c r="E257" s="169"/>
      <c r="F257" s="176" t="s">
        <v>2995</v>
      </c>
      <c r="G257" s="178" t="n">
        <f aca="false">F260</f>
        <v>56.4933333333333</v>
      </c>
    </row>
    <row r="258" customFormat="false" ht="15" hidden="false" customHeight="true" outlineLevel="0" collapsed="false">
      <c r="A258" s="185" t="s">
        <v>2943</v>
      </c>
      <c r="B258" s="185" t="s">
        <v>2944</v>
      </c>
      <c r="C258" s="185" t="s">
        <v>2945</v>
      </c>
      <c r="D258" s="185" t="s">
        <v>2946</v>
      </c>
      <c r="E258" s="172" t="s">
        <v>2947</v>
      </c>
      <c r="F258" s="185" t="s">
        <v>2948</v>
      </c>
      <c r="G258" s="185"/>
    </row>
    <row r="259" customFormat="false" ht="15" hidden="false" customHeight="false" outlineLevel="0" collapsed="false">
      <c r="A259" s="185"/>
      <c r="B259" s="185"/>
      <c r="C259" s="185"/>
      <c r="D259" s="185"/>
      <c r="E259" s="172"/>
      <c r="F259" s="173" t="s">
        <v>1374</v>
      </c>
      <c r="G259" s="174" t="s">
        <v>2949</v>
      </c>
    </row>
    <row r="260" customFormat="false" ht="15" hidden="false" customHeight="false" outlineLevel="0" collapsed="false">
      <c r="A260" s="175" t="s">
        <v>3125</v>
      </c>
      <c r="B260" s="176" t="s">
        <v>3126</v>
      </c>
      <c r="C260" s="170" t="s">
        <v>3127</v>
      </c>
      <c r="D260" s="201" t="n">
        <v>54.41</v>
      </c>
      <c r="E260" s="178" t="n">
        <f aca="false">AVERAGE(D260:D262)</f>
        <v>56.4933333333333</v>
      </c>
      <c r="F260" s="178" t="n">
        <f aca="false">E260</f>
        <v>56.4933333333333</v>
      </c>
      <c r="G260" s="178" t="s">
        <v>2953</v>
      </c>
      <c r="H260" s="179" t="n">
        <f aca="false">F260</f>
        <v>56.4933333333333</v>
      </c>
      <c r="I260" s="179" t="str">
        <f aca="false">G260</f>
        <v>UTILIZOU-SE SINAPI</v>
      </c>
    </row>
    <row r="261" customFormat="false" ht="15" hidden="false" customHeight="false" outlineLevel="0" collapsed="false">
      <c r="A261" s="175" t="s">
        <v>3128</v>
      </c>
      <c r="B261" s="176" t="s">
        <v>3129</v>
      </c>
      <c r="C261" s="176" t="s">
        <v>3130</v>
      </c>
      <c r="D261" s="201" t="n">
        <v>46.93</v>
      </c>
      <c r="E261" s="178"/>
      <c r="F261" s="178"/>
      <c r="G261" s="178"/>
    </row>
    <row r="262" customFormat="false" ht="15" hidden="false" customHeight="false" outlineLevel="0" collapsed="false">
      <c r="A262" s="175" t="s">
        <v>2954</v>
      </c>
      <c r="B262" s="176" t="s">
        <v>2955</v>
      </c>
      <c r="C262" s="176" t="s">
        <v>2956</v>
      </c>
      <c r="D262" s="201" t="n">
        <v>68.14</v>
      </c>
      <c r="E262" s="178"/>
      <c r="F262" s="178"/>
      <c r="G262" s="178"/>
    </row>
    <row r="263" s="157" customFormat="true" ht="15" hidden="false" customHeight="false" outlineLevel="0" collapsed="false">
      <c r="B263" s="183"/>
      <c r="C263" s="183"/>
      <c r="D263" s="187"/>
      <c r="E263" s="188"/>
      <c r="F263" s="188"/>
      <c r="G263" s="183"/>
    </row>
    <row r="264" customFormat="false" ht="15" hidden="false" customHeight="false" outlineLevel="0" collapsed="false">
      <c r="A264" s="165" t="s">
        <v>28</v>
      </c>
      <c r="B264" s="165" t="s">
        <v>1410</v>
      </c>
      <c r="C264" s="165" t="s">
        <v>2938</v>
      </c>
      <c r="D264" s="165"/>
      <c r="E264" s="165"/>
      <c r="F264" s="165" t="s">
        <v>2939</v>
      </c>
      <c r="G264" s="165" t="s">
        <v>2940</v>
      </c>
    </row>
    <row r="265" customFormat="false" ht="15" hidden="false" customHeight="true" outlineLevel="0" collapsed="false">
      <c r="A265" s="206" t="s">
        <v>2609</v>
      </c>
      <c r="B265" s="176" t="s">
        <v>2941</v>
      </c>
      <c r="C265" s="169" t="s">
        <v>3131</v>
      </c>
      <c r="D265" s="169"/>
      <c r="E265" s="169"/>
      <c r="F265" s="176" t="s">
        <v>2995</v>
      </c>
      <c r="G265" s="178" t="n">
        <f aca="false">F268</f>
        <v>9.73</v>
      </c>
    </row>
    <row r="266" customFormat="false" ht="15" hidden="false" customHeight="true" outlineLevel="0" collapsed="false">
      <c r="A266" s="185" t="s">
        <v>2943</v>
      </c>
      <c r="B266" s="185" t="s">
        <v>2944</v>
      </c>
      <c r="C266" s="185" t="s">
        <v>2945</v>
      </c>
      <c r="D266" s="185" t="s">
        <v>2946</v>
      </c>
      <c r="E266" s="172" t="s">
        <v>2947</v>
      </c>
      <c r="F266" s="185" t="s">
        <v>2948</v>
      </c>
      <c r="G266" s="185"/>
    </row>
    <row r="267" customFormat="false" ht="15" hidden="false" customHeight="false" outlineLevel="0" collapsed="false">
      <c r="A267" s="185"/>
      <c r="B267" s="185"/>
      <c r="C267" s="185"/>
      <c r="D267" s="185"/>
      <c r="E267" s="172"/>
      <c r="F267" s="173" t="s">
        <v>1374</v>
      </c>
      <c r="G267" s="174" t="s">
        <v>2949</v>
      </c>
    </row>
    <row r="268" customFormat="false" ht="15" hidden="false" customHeight="false" outlineLevel="0" collapsed="false">
      <c r="A268" s="175" t="s">
        <v>3121</v>
      </c>
      <c r="B268" s="176" t="s">
        <v>3122</v>
      </c>
      <c r="C268" s="170" t="s">
        <v>3123</v>
      </c>
      <c r="D268" s="201" t="n">
        <v>12.63</v>
      </c>
      <c r="E268" s="178" t="n">
        <f aca="false">AVERAGE(D268:D270)</f>
        <v>9.73</v>
      </c>
      <c r="F268" s="178" t="n">
        <f aca="false">E268</f>
        <v>9.73</v>
      </c>
      <c r="G268" s="178" t="s">
        <v>2953</v>
      </c>
      <c r="H268" s="179" t="n">
        <f aca="false">F268</f>
        <v>9.73</v>
      </c>
      <c r="I268" s="179" t="str">
        <f aca="false">G268</f>
        <v>UTILIZOU-SE SINAPI</v>
      </c>
    </row>
    <row r="269" customFormat="false" ht="15" hidden="false" customHeight="false" outlineLevel="0" collapsed="false">
      <c r="A269" s="175" t="s">
        <v>3132</v>
      </c>
      <c r="B269" s="176" t="s">
        <v>3133</v>
      </c>
      <c r="C269" s="176" t="s">
        <v>3134</v>
      </c>
      <c r="D269" s="201" t="n">
        <v>9.66</v>
      </c>
      <c r="E269" s="178"/>
      <c r="F269" s="178"/>
      <c r="G269" s="178"/>
    </row>
    <row r="270" customFormat="false" ht="15" hidden="false" customHeight="false" outlineLevel="0" collapsed="false">
      <c r="A270" s="175" t="s">
        <v>3118</v>
      </c>
      <c r="B270" s="176" t="s">
        <v>3119</v>
      </c>
      <c r="C270" s="176" t="s">
        <v>3120</v>
      </c>
      <c r="D270" s="201" t="n">
        <v>6.9</v>
      </c>
      <c r="E270" s="178"/>
      <c r="F270" s="178"/>
      <c r="G270" s="178"/>
    </row>
    <row r="272" customFormat="false" ht="15" hidden="false" customHeight="false" outlineLevel="0" collapsed="false">
      <c r="A272" s="165" t="s">
        <v>28</v>
      </c>
      <c r="B272" s="165" t="s">
        <v>1410</v>
      </c>
      <c r="C272" s="165" t="s">
        <v>2938</v>
      </c>
      <c r="D272" s="165"/>
      <c r="E272" s="165"/>
      <c r="F272" s="165" t="s">
        <v>2939</v>
      </c>
      <c r="G272" s="165" t="s">
        <v>2940</v>
      </c>
    </row>
    <row r="273" customFormat="false" ht="15" hidden="false" customHeight="true" outlineLevel="0" collapsed="false">
      <c r="A273" s="206" t="s">
        <v>2567</v>
      </c>
      <c r="B273" s="176" t="s">
        <v>2941</v>
      </c>
      <c r="C273" s="169" t="s">
        <v>3135</v>
      </c>
      <c r="D273" s="169"/>
      <c r="E273" s="169"/>
      <c r="F273" s="176" t="s">
        <v>2995</v>
      </c>
      <c r="G273" s="178" t="n">
        <f aca="false">F276</f>
        <v>37.8766666666667</v>
      </c>
    </row>
    <row r="274" customFormat="false" ht="15" hidden="false" customHeight="true" outlineLevel="0" collapsed="false">
      <c r="A274" s="185" t="s">
        <v>2943</v>
      </c>
      <c r="B274" s="185" t="s">
        <v>2944</v>
      </c>
      <c r="C274" s="185" t="s">
        <v>2938</v>
      </c>
      <c r="D274" s="185" t="s">
        <v>2946</v>
      </c>
      <c r="E274" s="172" t="s">
        <v>2947</v>
      </c>
      <c r="F274" s="185" t="s">
        <v>2948</v>
      </c>
      <c r="G274" s="185"/>
    </row>
    <row r="275" customFormat="false" ht="15" hidden="false" customHeight="false" outlineLevel="0" collapsed="false">
      <c r="A275" s="185"/>
      <c r="B275" s="185"/>
      <c r="C275" s="185"/>
      <c r="D275" s="185"/>
      <c r="E275" s="172"/>
      <c r="F275" s="173" t="s">
        <v>1374</v>
      </c>
      <c r="G275" s="174" t="s">
        <v>2949</v>
      </c>
    </row>
    <row r="276" customFormat="false" ht="15" hidden="false" customHeight="false" outlineLevel="0" collapsed="false">
      <c r="A276" s="175" t="s">
        <v>3022</v>
      </c>
      <c r="B276" s="176" t="s">
        <v>3023</v>
      </c>
      <c r="C276" s="176" t="s">
        <v>3024</v>
      </c>
      <c r="D276" s="201" t="n">
        <v>38.35</v>
      </c>
      <c r="E276" s="178" t="n">
        <f aca="false">AVERAGE(D276:D278)</f>
        <v>37.8766666666667</v>
      </c>
      <c r="F276" s="178" t="n">
        <f aca="false">E276</f>
        <v>37.8766666666667</v>
      </c>
      <c r="G276" s="178" t="s">
        <v>2953</v>
      </c>
      <c r="H276" s="179" t="n">
        <f aca="false">F276</f>
        <v>37.8766666666667</v>
      </c>
      <c r="I276" s="179" t="str">
        <f aca="false">G276</f>
        <v>UTILIZOU-SE SINAPI</v>
      </c>
    </row>
    <row r="277" customFormat="false" ht="15" hidden="false" customHeight="false" outlineLevel="0" collapsed="false">
      <c r="A277" s="175" t="s">
        <v>3090</v>
      </c>
      <c r="B277" s="176" t="s">
        <v>3091</v>
      </c>
      <c r="C277" s="176" t="s">
        <v>3092</v>
      </c>
      <c r="D277" s="201" t="n">
        <v>36.9</v>
      </c>
      <c r="E277" s="178"/>
      <c r="F277" s="178"/>
      <c r="G277" s="178"/>
    </row>
    <row r="278" customFormat="false" ht="15" hidden="false" customHeight="false" outlineLevel="0" collapsed="false">
      <c r="A278" s="175" t="s">
        <v>3136</v>
      </c>
      <c r="B278" s="176" t="s">
        <v>3137</v>
      </c>
      <c r="C278" s="170" t="s">
        <v>3138</v>
      </c>
      <c r="D278" s="201" t="n">
        <v>38.38</v>
      </c>
      <c r="E278" s="178"/>
      <c r="F278" s="178"/>
      <c r="G278" s="178"/>
    </row>
    <row r="279" s="157" customFormat="true" ht="15" hidden="false" customHeight="false" outlineLevel="0" collapsed="false">
      <c r="B279" s="183"/>
      <c r="C279" s="205"/>
      <c r="D279" s="187"/>
      <c r="E279" s="188"/>
      <c r="F279" s="188"/>
      <c r="G279" s="183"/>
    </row>
    <row r="280" customFormat="false" ht="15" hidden="false" customHeight="false" outlineLevel="0" collapsed="false">
      <c r="A280" s="165" t="s">
        <v>28</v>
      </c>
      <c r="B280" s="165" t="s">
        <v>1410</v>
      </c>
      <c r="C280" s="165" t="s">
        <v>2938</v>
      </c>
      <c r="D280" s="165"/>
      <c r="E280" s="165"/>
      <c r="F280" s="165" t="s">
        <v>2939</v>
      </c>
      <c r="G280" s="165" t="s">
        <v>2940</v>
      </c>
    </row>
    <row r="281" customFormat="false" ht="15" hidden="false" customHeight="true" outlineLevel="0" collapsed="false">
      <c r="A281" s="206" t="s">
        <v>2573</v>
      </c>
      <c r="B281" s="190" t="s">
        <v>2941</v>
      </c>
      <c r="C281" s="191" t="s">
        <v>2574</v>
      </c>
      <c r="D281" s="191"/>
      <c r="E281" s="191"/>
      <c r="F281" s="190" t="s">
        <v>2995</v>
      </c>
      <c r="G281" s="192" t="n">
        <f aca="false">F284</f>
        <v>26.2533333333333</v>
      </c>
    </row>
    <row r="282" customFormat="false" ht="15" hidden="false" customHeight="true" outlineLevel="0" collapsed="false">
      <c r="A282" s="185" t="s">
        <v>2943</v>
      </c>
      <c r="B282" s="185" t="s">
        <v>2944</v>
      </c>
      <c r="C282" s="185" t="s">
        <v>2938</v>
      </c>
      <c r="D282" s="185" t="s">
        <v>2946</v>
      </c>
      <c r="E282" s="172" t="s">
        <v>2947</v>
      </c>
      <c r="F282" s="185" t="s">
        <v>2948</v>
      </c>
      <c r="G282" s="185"/>
    </row>
    <row r="283" customFormat="false" ht="15" hidden="false" customHeight="false" outlineLevel="0" collapsed="false">
      <c r="A283" s="185"/>
      <c r="B283" s="185"/>
      <c r="C283" s="185"/>
      <c r="D283" s="185"/>
      <c r="E283" s="172"/>
      <c r="F283" s="173" t="s">
        <v>1374</v>
      </c>
      <c r="G283" s="174" t="s">
        <v>2949</v>
      </c>
    </row>
    <row r="284" customFormat="false" ht="15" hidden="false" customHeight="false" outlineLevel="0" collapsed="false">
      <c r="A284" s="175" t="s">
        <v>3050</v>
      </c>
      <c r="B284" s="176" t="s">
        <v>3051</v>
      </c>
      <c r="C284" s="170" t="s">
        <v>3052</v>
      </c>
      <c r="D284" s="201" t="n">
        <v>23.62</v>
      </c>
      <c r="E284" s="178" t="n">
        <f aca="false">AVERAGE(D284:D286)</f>
        <v>26.2533333333333</v>
      </c>
      <c r="F284" s="178" t="n">
        <f aca="false">E284</f>
        <v>26.2533333333333</v>
      </c>
      <c r="G284" s="178" t="s">
        <v>2953</v>
      </c>
      <c r="H284" s="179" t="n">
        <f aca="false">F284</f>
        <v>26.2533333333333</v>
      </c>
      <c r="I284" s="179" t="str">
        <f aca="false">G284</f>
        <v>UTILIZOU-SE SINAPI</v>
      </c>
    </row>
    <row r="285" customFormat="false" ht="15" hidden="false" customHeight="false" outlineLevel="0" collapsed="false">
      <c r="A285" s="175" t="s">
        <v>3136</v>
      </c>
      <c r="B285" s="176" t="s">
        <v>3137</v>
      </c>
      <c r="C285" s="170" t="s">
        <v>3138</v>
      </c>
      <c r="D285" s="201" t="n">
        <v>14.19</v>
      </c>
      <c r="E285" s="178"/>
      <c r="F285" s="178"/>
      <c r="G285" s="178"/>
    </row>
    <row r="286" customFormat="false" ht="15" hidden="false" customHeight="false" outlineLevel="0" collapsed="false">
      <c r="A286" s="175" t="s">
        <v>3139</v>
      </c>
      <c r="B286" s="176" t="s">
        <v>3140</v>
      </c>
      <c r="C286" s="170" t="s">
        <v>3141</v>
      </c>
      <c r="D286" s="201" t="n">
        <v>40.95</v>
      </c>
      <c r="E286" s="178"/>
      <c r="F286" s="178"/>
      <c r="G286" s="178"/>
    </row>
    <row r="287" s="157" customFormat="true" ht="15" hidden="false" customHeight="false" outlineLevel="0" collapsed="false">
      <c r="B287" s="183"/>
      <c r="C287" s="205"/>
      <c r="D287" s="187"/>
      <c r="E287" s="188"/>
      <c r="F287" s="188"/>
      <c r="G287" s="183"/>
    </row>
    <row r="288" customFormat="false" ht="15" hidden="false" customHeight="false" outlineLevel="0" collapsed="false">
      <c r="A288" s="165" t="s">
        <v>28</v>
      </c>
      <c r="B288" s="165" t="s">
        <v>1410</v>
      </c>
      <c r="C288" s="165" t="s">
        <v>2938</v>
      </c>
      <c r="D288" s="165"/>
      <c r="E288" s="165"/>
      <c r="F288" s="165" t="s">
        <v>2939</v>
      </c>
      <c r="G288" s="165" t="s">
        <v>2940</v>
      </c>
    </row>
    <row r="289" customFormat="false" ht="15" hidden="false" customHeight="true" outlineLevel="0" collapsed="false">
      <c r="A289" s="206" t="s">
        <v>2400</v>
      </c>
      <c r="B289" s="176" t="s">
        <v>2941</v>
      </c>
      <c r="C289" s="169" t="s">
        <v>3142</v>
      </c>
      <c r="D289" s="169"/>
      <c r="E289" s="169"/>
      <c r="F289" s="176" t="s">
        <v>2995</v>
      </c>
      <c r="G289" s="178" t="n">
        <f aca="false">F292</f>
        <v>9.50666666666667</v>
      </c>
    </row>
    <row r="290" customFormat="false" ht="15" hidden="false" customHeight="true" outlineLevel="0" collapsed="false">
      <c r="A290" s="185" t="s">
        <v>2943</v>
      </c>
      <c r="B290" s="185" t="s">
        <v>2944</v>
      </c>
      <c r="C290" s="185" t="s">
        <v>2945</v>
      </c>
      <c r="D290" s="185" t="s">
        <v>2946</v>
      </c>
      <c r="E290" s="172" t="s">
        <v>2947</v>
      </c>
      <c r="F290" s="185" t="s">
        <v>2948</v>
      </c>
      <c r="G290" s="185"/>
    </row>
    <row r="291" customFormat="false" ht="15" hidden="false" customHeight="false" outlineLevel="0" collapsed="false">
      <c r="A291" s="185"/>
      <c r="B291" s="185"/>
      <c r="C291" s="185"/>
      <c r="D291" s="185"/>
      <c r="E291" s="172"/>
      <c r="F291" s="173" t="s">
        <v>1374</v>
      </c>
      <c r="G291" s="174" t="s">
        <v>2949</v>
      </c>
    </row>
    <row r="292" customFormat="false" ht="15" hidden="false" customHeight="false" outlineLevel="0" collapsed="false">
      <c r="A292" s="175" t="s">
        <v>3121</v>
      </c>
      <c r="B292" s="176" t="s">
        <v>3122</v>
      </c>
      <c r="C292" s="170" t="s">
        <v>3123</v>
      </c>
      <c r="D292" s="201" t="n">
        <v>12.63</v>
      </c>
      <c r="E292" s="178" t="n">
        <f aca="false">AVERAGE(D292:D294)</f>
        <v>9.50666666666667</v>
      </c>
      <c r="F292" s="178" t="n">
        <f aca="false">E292</f>
        <v>9.50666666666667</v>
      </c>
      <c r="G292" s="178" t="s">
        <v>2953</v>
      </c>
      <c r="H292" s="179" t="n">
        <f aca="false">F292</f>
        <v>9.50666666666667</v>
      </c>
      <c r="I292" s="179" t="str">
        <f aca="false">G292</f>
        <v>UTILIZOU-SE SINAPI</v>
      </c>
    </row>
    <row r="293" customFormat="false" ht="15" hidden="false" customHeight="false" outlineLevel="0" collapsed="false">
      <c r="A293" s="175" t="s">
        <v>3143</v>
      </c>
      <c r="B293" s="176" t="s">
        <v>3144</v>
      </c>
      <c r="C293" s="170" t="s">
        <v>3145</v>
      </c>
      <c r="D293" s="201" t="n">
        <v>8.09</v>
      </c>
      <c r="E293" s="178"/>
      <c r="F293" s="178"/>
      <c r="G293" s="178"/>
    </row>
    <row r="294" customFormat="false" ht="15" hidden="false" customHeight="false" outlineLevel="0" collapsed="false">
      <c r="A294" s="175" t="s">
        <v>3090</v>
      </c>
      <c r="B294" s="176" t="s">
        <v>3091</v>
      </c>
      <c r="C294" s="176" t="s">
        <v>3092</v>
      </c>
      <c r="D294" s="201" t="n">
        <v>7.8</v>
      </c>
      <c r="E294" s="178"/>
      <c r="F294" s="178"/>
      <c r="G294" s="178"/>
    </row>
    <row r="295" s="157" customFormat="true" ht="15" hidden="false" customHeight="false" outlineLevel="0" collapsed="false">
      <c r="B295" s="183"/>
      <c r="C295" s="205"/>
      <c r="D295" s="187"/>
      <c r="E295" s="188"/>
      <c r="F295" s="188"/>
      <c r="G295" s="183"/>
    </row>
    <row r="296" customFormat="false" ht="15" hidden="false" customHeight="false" outlineLevel="0" collapsed="false">
      <c r="A296" s="165" t="s">
        <v>28</v>
      </c>
      <c r="B296" s="165" t="s">
        <v>1410</v>
      </c>
      <c r="C296" s="165" t="s">
        <v>2938</v>
      </c>
      <c r="D296" s="165"/>
      <c r="E296" s="165"/>
      <c r="F296" s="165" t="s">
        <v>2939</v>
      </c>
      <c r="G296" s="165" t="s">
        <v>2940</v>
      </c>
    </row>
    <row r="297" customFormat="false" ht="15" hidden="false" customHeight="true" outlineLevel="0" collapsed="false">
      <c r="A297" s="206" t="s">
        <v>2405</v>
      </c>
      <c r="B297" s="190" t="s">
        <v>2941</v>
      </c>
      <c r="C297" s="191" t="s">
        <v>2406</v>
      </c>
      <c r="D297" s="191"/>
      <c r="E297" s="191"/>
      <c r="F297" s="190" t="s">
        <v>2995</v>
      </c>
      <c r="G297" s="192" t="n">
        <f aca="false">F300</f>
        <v>13.9366666666667</v>
      </c>
    </row>
    <row r="298" customFormat="false" ht="15" hidden="false" customHeight="true" outlineLevel="0" collapsed="false">
      <c r="A298" s="185" t="s">
        <v>2943</v>
      </c>
      <c r="B298" s="185" t="s">
        <v>2944</v>
      </c>
      <c r="C298" s="185" t="s">
        <v>2945</v>
      </c>
      <c r="D298" s="185" t="s">
        <v>2946</v>
      </c>
      <c r="E298" s="172" t="s">
        <v>2947</v>
      </c>
      <c r="F298" s="185" t="s">
        <v>2948</v>
      </c>
      <c r="G298" s="185"/>
    </row>
    <row r="299" customFormat="false" ht="15" hidden="false" customHeight="false" outlineLevel="0" collapsed="false">
      <c r="A299" s="185"/>
      <c r="B299" s="185"/>
      <c r="C299" s="185"/>
      <c r="D299" s="185"/>
      <c r="E299" s="172"/>
      <c r="F299" s="173" t="s">
        <v>1374</v>
      </c>
      <c r="G299" s="174" t="s">
        <v>2949</v>
      </c>
    </row>
    <row r="300" customFormat="false" ht="15" hidden="false" customHeight="false" outlineLevel="0" collapsed="false">
      <c r="A300" s="175" t="s">
        <v>3143</v>
      </c>
      <c r="B300" s="176" t="s">
        <v>3144</v>
      </c>
      <c r="C300" s="170" t="s">
        <v>3145</v>
      </c>
      <c r="D300" s="201" t="n">
        <v>7.69</v>
      </c>
      <c r="E300" s="178" t="n">
        <f aca="false">AVERAGE(D300:D302)</f>
        <v>13.9366666666667</v>
      </c>
      <c r="F300" s="178" t="n">
        <f aca="false">E300</f>
        <v>13.9366666666667</v>
      </c>
      <c r="G300" s="178" t="s">
        <v>2953</v>
      </c>
      <c r="H300" s="179" t="n">
        <f aca="false">F300</f>
        <v>13.9366666666667</v>
      </c>
      <c r="I300" s="179" t="str">
        <f aca="false">G300</f>
        <v>UTILIZOU-SE SINAPI</v>
      </c>
    </row>
    <row r="301" customFormat="false" ht="15" hidden="false" customHeight="false" outlineLevel="0" collapsed="false">
      <c r="A301" s="175" t="s">
        <v>3090</v>
      </c>
      <c r="B301" s="176" t="s">
        <v>3091</v>
      </c>
      <c r="C301" s="176" t="s">
        <v>3092</v>
      </c>
      <c r="D301" s="201" t="n">
        <v>5.2</v>
      </c>
      <c r="E301" s="178"/>
      <c r="F301" s="178"/>
      <c r="G301" s="178"/>
    </row>
    <row r="302" customFormat="false" ht="15" hidden="false" customHeight="false" outlineLevel="0" collapsed="false">
      <c r="A302" s="175" t="s">
        <v>3050</v>
      </c>
      <c r="B302" s="176" t="s">
        <v>3051</v>
      </c>
      <c r="C302" s="170" t="s">
        <v>3052</v>
      </c>
      <c r="D302" s="201" t="n">
        <v>28.92</v>
      </c>
      <c r="E302" s="178"/>
      <c r="F302" s="178"/>
      <c r="G302" s="178"/>
    </row>
    <row r="303" s="157" customFormat="true" ht="15" hidden="false" customHeight="false" outlineLevel="0" collapsed="false">
      <c r="B303" s="183"/>
      <c r="C303" s="205"/>
      <c r="D303" s="187"/>
      <c r="E303" s="188"/>
      <c r="F303" s="188"/>
      <c r="G303" s="183"/>
    </row>
    <row r="304" customFormat="false" ht="15" hidden="false" customHeight="false" outlineLevel="0" collapsed="false">
      <c r="A304" s="165" t="s">
        <v>28</v>
      </c>
      <c r="B304" s="165" t="s">
        <v>1410</v>
      </c>
      <c r="C304" s="165" t="s">
        <v>2938</v>
      </c>
      <c r="D304" s="165"/>
      <c r="E304" s="165"/>
      <c r="F304" s="165" t="s">
        <v>2939</v>
      </c>
      <c r="G304" s="165" t="s">
        <v>2940</v>
      </c>
    </row>
    <row r="305" customFormat="false" ht="15" hidden="false" customHeight="false" outlineLevel="0" collapsed="false">
      <c r="A305" s="206" t="s">
        <v>2410</v>
      </c>
      <c r="B305" s="176" t="s">
        <v>2941</v>
      </c>
      <c r="C305" s="184" t="s">
        <v>3146</v>
      </c>
      <c r="D305" s="184"/>
      <c r="E305" s="184"/>
      <c r="F305" s="176" t="s">
        <v>2995</v>
      </c>
      <c r="G305" s="178" t="n">
        <f aca="false">F308</f>
        <v>13.8333333333333</v>
      </c>
    </row>
    <row r="306" customFormat="false" ht="15" hidden="false" customHeight="true" outlineLevel="0" collapsed="false">
      <c r="A306" s="185" t="s">
        <v>2943</v>
      </c>
      <c r="B306" s="185" t="s">
        <v>2944</v>
      </c>
      <c r="C306" s="185" t="s">
        <v>2945</v>
      </c>
      <c r="D306" s="185" t="s">
        <v>2946</v>
      </c>
      <c r="E306" s="172" t="s">
        <v>2947</v>
      </c>
      <c r="F306" s="185" t="s">
        <v>2948</v>
      </c>
      <c r="G306" s="185"/>
    </row>
    <row r="307" customFormat="false" ht="15" hidden="false" customHeight="false" outlineLevel="0" collapsed="false">
      <c r="A307" s="185"/>
      <c r="B307" s="185"/>
      <c r="C307" s="185"/>
      <c r="D307" s="185"/>
      <c r="E307" s="172"/>
      <c r="F307" s="173" t="s">
        <v>1374</v>
      </c>
      <c r="G307" s="174" t="s">
        <v>2949</v>
      </c>
    </row>
    <row r="308" customFormat="false" ht="15" hidden="false" customHeight="false" outlineLevel="0" collapsed="false">
      <c r="A308" s="175" t="s">
        <v>3136</v>
      </c>
      <c r="B308" s="176" t="s">
        <v>3137</v>
      </c>
      <c r="C308" s="170" t="s">
        <v>3138</v>
      </c>
      <c r="D308" s="201" t="n">
        <v>12.6</v>
      </c>
      <c r="E308" s="178" t="n">
        <f aca="false">AVERAGE(D308:D310)</f>
        <v>13.8333333333333</v>
      </c>
      <c r="F308" s="178" t="n">
        <f aca="false">E308</f>
        <v>13.8333333333333</v>
      </c>
      <c r="G308" s="178" t="s">
        <v>2953</v>
      </c>
      <c r="H308" s="179" t="n">
        <f aca="false">F308</f>
        <v>13.8333333333333</v>
      </c>
      <c r="I308" s="179" t="str">
        <f aca="false">G308</f>
        <v>UTILIZOU-SE SINAPI</v>
      </c>
    </row>
    <row r="309" customFormat="false" ht="15" hidden="false" customHeight="false" outlineLevel="0" collapsed="false">
      <c r="A309" s="175" t="s">
        <v>3090</v>
      </c>
      <c r="B309" s="176" t="s">
        <v>3091</v>
      </c>
      <c r="C309" s="176" t="s">
        <v>3092</v>
      </c>
      <c r="D309" s="201" t="n">
        <v>17.1</v>
      </c>
      <c r="E309" s="178"/>
      <c r="F309" s="178"/>
      <c r="G309" s="178"/>
    </row>
    <row r="310" customFormat="false" ht="15" hidden="false" customHeight="false" outlineLevel="0" collapsed="false">
      <c r="A310" s="193" t="s">
        <v>3147</v>
      </c>
      <c r="B310" s="190" t="s">
        <v>3148</v>
      </c>
      <c r="C310" s="194" t="s">
        <v>3149</v>
      </c>
      <c r="D310" s="201" t="n">
        <v>11.8</v>
      </c>
      <c r="E310" s="178"/>
      <c r="F310" s="178"/>
      <c r="G310" s="178"/>
    </row>
    <row r="311" s="157" customFormat="true" ht="15" hidden="false" customHeight="false" outlineLevel="0" collapsed="false">
      <c r="B311" s="183"/>
      <c r="C311" s="205"/>
      <c r="D311" s="187"/>
      <c r="E311" s="188"/>
      <c r="F311" s="188"/>
      <c r="G311" s="183"/>
    </row>
    <row r="312" customFormat="false" ht="15" hidden="false" customHeight="false" outlineLevel="0" collapsed="false">
      <c r="A312" s="165" t="s">
        <v>28</v>
      </c>
      <c r="B312" s="165" t="s">
        <v>1410</v>
      </c>
      <c r="C312" s="165" t="s">
        <v>2938</v>
      </c>
      <c r="D312" s="165"/>
      <c r="E312" s="165"/>
      <c r="F312" s="165" t="s">
        <v>2939</v>
      </c>
      <c r="G312" s="165" t="s">
        <v>2940</v>
      </c>
    </row>
    <row r="313" customFormat="false" ht="15" hidden="false" customHeight="false" outlineLevel="0" collapsed="false">
      <c r="A313" s="206" t="s">
        <v>2570</v>
      </c>
      <c r="B313" s="190" t="s">
        <v>2941</v>
      </c>
      <c r="C313" s="195" t="s">
        <v>2571</v>
      </c>
      <c r="D313" s="195"/>
      <c r="E313" s="195"/>
      <c r="F313" s="190" t="s">
        <v>2995</v>
      </c>
      <c r="G313" s="192" t="n">
        <f aca="false">F316</f>
        <v>22.84</v>
      </c>
    </row>
    <row r="314" customFormat="false" ht="15" hidden="false" customHeight="true" outlineLevel="0" collapsed="false">
      <c r="A314" s="185" t="s">
        <v>2943</v>
      </c>
      <c r="B314" s="185" t="s">
        <v>2944</v>
      </c>
      <c r="C314" s="185" t="s">
        <v>2945</v>
      </c>
      <c r="D314" s="185" t="s">
        <v>2946</v>
      </c>
      <c r="E314" s="172" t="s">
        <v>2947</v>
      </c>
      <c r="F314" s="185" t="s">
        <v>2948</v>
      </c>
      <c r="G314" s="185"/>
    </row>
    <row r="315" customFormat="false" ht="15" hidden="false" customHeight="false" outlineLevel="0" collapsed="false">
      <c r="A315" s="185"/>
      <c r="B315" s="185"/>
      <c r="C315" s="185"/>
      <c r="D315" s="185"/>
      <c r="E315" s="172"/>
      <c r="F315" s="173" t="s">
        <v>1374</v>
      </c>
      <c r="G315" s="174" t="s">
        <v>2949</v>
      </c>
    </row>
    <row r="316" customFormat="false" ht="15" hidden="false" customHeight="false" outlineLevel="0" collapsed="false">
      <c r="A316" s="175" t="s">
        <v>3090</v>
      </c>
      <c r="B316" s="176" t="s">
        <v>3091</v>
      </c>
      <c r="C316" s="176" t="s">
        <v>3092</v>
      </c>
      <c r="D316" s="201" t="n">
        <v>21.6</v>
      </c>
      <c r="E316" s="178" t="n">
        <f aca="false">AVERAGE(D316:D318)</f>
        <v>22.84</v>
      </c>
      <c r="F316" s="178" t="n">
        <f aca="false">E316</f>
        <v>22.84</v>
      </c>
      <c r="G316" s="178" t="s">
        <v>2953</v>
      </c>
      <c r="H316" s="179" t="n">
        <f aca="false">F316</f>
        <v>22.84</v>
      </c>
      <c r="I316" s="179" t="str">
        <f aca="false">G316</f>
        <v>UTILIZOU-SE SINAPI</v>
      </c>
    </row>
    <row r="317" customFormat="false" ht="15" hidden="false" customHeight="false" outlineLevel="0" collapsed="false">
      <c r="A317" s="175" t="s">
        <v>3136</v>
      </c>
      <c r="B317" s="176" t="s">
        <v>3137</v>
      </c>
      <c r="C317" s="170" t="s">
        <v>3138</v>
      </c>
      <c r="D317" s="201" t="n">
        <v>18.33</v>
      </c>
      <c r="E317" s="178"/>
      <c r="F317" s="178"/>
      <c r="G317" s="178"/>
    </row>
    <row r="318" customFormat="false" ht="15" hidden="false" customHeight="false" outlineLevel="0" collapsed="false">
      <c r="A318" s="193" t="s">
        <v>3150</v>
      </c>
      <c r="B318" s="190" t="s">
        <v>3151</v>
      </c>
      <c r="C318" s="194" t="s">
        <v>3152</v>
      </c>
      <c r="D318" s="201" t="n">
        <v>28.59</v>
      </c>
      <c r="E318" s="178"/>
      <c r="F318" s="178"/>
      <c r="G318" s="178"/>
    </row>
    <row r="319" s="157" customFormat="true" ht="15" hidden="false" customHeight="false" outlineLevel="0" collapsed="false">
      <c r="B319" s="183"/>
      <c r="C319" s="205"/>
      <c r="D319" s="187"/>
      <c r="E319" s="188"/>
      <c r="F319" s="188"/>
      <c r="G319" s="183"/>
    </row>
    <row r="320" customFormat="false" ht="15" hidden="false" customHeight="false" outlineLevel="0" collapsed="false">
      <c r="A320" s="165" t="s">
        <v>28</v>
      </c>
      <c r="B320" s="165" t="s">
        <v>1410</v>
      </c>
      <c r="C320" s="165" t="s">
        <v>2938</v>
      </c>
      <c r="D320" s="165"/>
      <c r="E320" s="165"/>
      <c r="F320" s="165" t="s">
        <v>2939</v>
      </c>
      <c r="G320" s="165" t="s">
        <v>2940</v>
      </c>
    </row>
    <row r="321" customFormat="false" ht="15" hidden="false" customHeight="false" outlineLevel="0" collapsed="false">
      <c r="A321" s="206" t="s">
        <v>2413</v>
      </c>
      <c r="B321" s="190" t="s">
        <v>2941</v>
      </c>
      <c r="C321" s="195" t="s">
        <v>2414</v>
      </c>
      <c r="D321" s="195"/>
      <c r="E321" s="195"/>
      <c r="F321" s="190" t="s">
        <v>2995</v>
      </c>
      <c r="G321" s="192" t="n">
        <f aca="false">F324</f>
        <v>16.9633333333333</v>
      </c>
    </row>
    <row r="322" customFormat="false" ht="15" hidden="false" customHeight="true" outlineLevel="0" collapsed="false">
      <c r="A322" s="185" t="s">
        <v>2943</v>
      </c>
      <c r="B322" s="185" t="s">
        <v>2944</v>
      </c>
      <c r="C322" s="185" t="s">
        <v>2945</v>
      </c>
      <c r="D322" s="185" t="s">
        <v>2946</v>
      </c>
      <c r="E322" s="172" t="s">
        <v>2947</v>
      </c>
      <c r="F322" s="185" t="s">
        <v>2948</v>
      </c>
      <c r="G322" s="185"/>
    </row>
    <row r="323" customFormat="false" ht="15" hidden="false" customHeight="false" outlineLevel="0" collapsed="false">
      <c r="A323" s="185"/>
      <c r="B323" s="185"/>
      <c r="C323" s="185"/>
      <c r="D323" s="185"/>
      <c r="E323" s="172"/>
      <c r="F323" s="173" t="s">
        <v>1374</v>
      </c>
      <c r="G323" s="174" t="s">
        <v>2949</v>
      </c>
    </row>
    <row r="324" customFormat="false" ht="15" hidden="false" customHeight="false" outlineLevel="0" collapsed="false">
      <c r="A324" s="175" t="s">
        <v>3143</v>
      </c>
      <c r="B324" s="176" t="s">
        <v>3144</v>
      </c>
      <c r="C324" s="170" t="s">
        <v>3145</v>
      </c>
      <c r="D324" s="201" t="n">
        <v>17.49</v>
      </c>
      <c r="E324" s="178" t="n">
        <f aca="false">AVERAGE(D324:D326)</f>
        <v>16.9633333333333</v>
      </c>
      <c r="F324" s="178" t="n">
        <f aca="false">E324</f>
        <v>16.9633333333333</v>
      </c>
      <c r="G324" s="178" t="s">
        <v>2953</v>
      </c>
      <c r="H324" s="179" t="n">
        <f aca="false">F324</f>
        <v>16.9633333333333</v>
      </c>
      <c r="I324" s="179" t="str">
        <f aca="false">G324</f>
        <v>UTILIZOU-SE SINAPI</v>
      </c>
    </row>
    <row r="325" customFormat="false" ht="15" hidden="false" customHeight="false" outlineLevel="0" collapsed="false">
      <c r="A325" s="175" t="s">
        <v>3090</v>
      </c>
      <c r="B325" s="176" t="s">
        <v>3091</v>
      </c>
      <c r="C325" s="176" t="s">
        <v>3092</v>
      </c>
      <c r="D325" s="201" t="n">
        <v>12.6</v>
      </c>
      <c r="E325" s="178"/>
      <c r="F325" s="178"/>
      <c r="G325" s="178"/>
    </row>
    <row r="326" customFormat="false" ht="15" hidden="false" customHeight="false" outlineLevel="0" collapsed="false">
      <c r="A326" s="175" t="s">
        <v>3050</v>
      </c>
      <c r="B326" s="176" t="s">
        <v>3051</v>
      </c>
      <c r="C326" s="170" t="s">
        <v>3052</v>
      </c>
      <c r="D326" s="201" t="n">
        <v>20.8</v>
      </c>
      <c r="E326" s="178"/>
      <c r="F326" s="178"/>
      <c r="G326" s="178"/>
    </row>
    <row r="327" s="157" customFormat="true" ht="15" hidden="false" customHeight="false" outlineLevel="0" collapsed="false">
      <c r="B327" s="183"/>
      <c r="C327" s="205"/>
      <c r="D327" s="187"/>
      <c r="E327" s="188"/>
      <c r="F327" s="188"/>
      <c r="G327" s="183"/>
    </row>
    <row r="328" customFormat="false" ht="15" hidden="false" customHeight="false" outlineLevel="0" collapsed="false">
      <c r="A328" s="165" t="s">
        <v>28</v>
      </c>
      <c r="B328" s="165" t="s">
        <v>1410</v>
      </c>
      <c r="C328" s="165" t="s">
        <v>2938</v>
      </c>
      <c r="D328" s="165"/>
      <c r="E328" s="165"/>
      <c r="F328" s="165" t="s">
        <v>2939</v>
      </c>
      <c r="G328" s="165" t="s">
        <v>2940</v>
      </c>
    </row>
    <row r="329" customFormat="false" ht="15" hidden="false" customHeight="false" outlineLevel="0" collapsed="false">
      <c r="A329" s="206" t="s">
        <v>2416</v>
      </c>
      <c r="B329" s="176" t="s">
        <v>2941</v>
      </c>
      <c r="C329" s="184" t="s">
        <v>3153</v>
      </c>
      <c r="D329" s="184"/>
      <c r="E329" s="184"/>
      <c r="F329" s="176" t="s">
        <v>2995</v>
      </c>
      <c r="G329" s="178" t="n">
        <f aca="false">F332</f>
        <v>15.9566666666667</v>
      </c>
    </row>
    <row r="330" customFormat="false" ht="15" hidden="false" customHeight="true" outlineLevel="0" collapsed="false">
      <c r="A330" s="185" t="s">
        <v>2943</v>
      </c>
      <c r="B330" s="185" t="s">
        <v>2944</v>
      </c>
      <c r="C330" s="185" t="s">
        <v>2945</v>
      </c>
      <c r="D330" s="185" t="s">
        <v>2946</v>
      </c>
      <c r="E330" s="172" t="s">
        <v>2947</v>
      </c>
      <c r="F330" s="185" t="s">
        <v>2948</v>
      </c>
      <c r="G330" s="185"/>
    </row>
    <row r="331" customFormat="false" ht="15" hidden="false" customHeight="false" outlineLevel="0" collapsed="false">
      <c r="A331" s="185"/>
      <c r="B331" s="185"/>
      <c r="C331" s="185"/>
      <c r="D331" s="185"/>
      <c r="E331" s="172"/>
      <c r="F331" s="173" t="s">
        <v>1374</v>
      </c>
      <c r="G331" s="174" t="s">
        <v>2949</v>
      </c>
    </row>
    <row r="332" customFormat="false" ht="15" hidden="false" customHeight="false" outlineLevel="0" collapsed="false">
      <c r="A332" s="175" t="s">
        <v>3022</v>
      </c>
      <c r="B332" s="176" t="s">
        <v>3023</v>
      </c>
      <c r="C332" s="176" t="s">
        <v>3024</v>
      </c>
      <c r="D332" s="201" t="n">
        <v>12.8</v>
      </c>
      <c r="E332" s="178" t="n">
        <f aca="false">AVERAGE(D332:D334)</f>
        <v>15.9566666666667</v>
      </c>
      <c r="F332" s="178" t="n">
        <f aca="false">E332</f>
        <v>15.9566666666667</v>
      </c>
      <c r="G332" s="178" t="s">
        <v>2953</v>
      </c>
      <c r="H332" s="179" t="n">
        <f aca="false">F332</f>
        <v>15.9566666666667</v>
      </c>
      <c r="I332" s="179" t="str">
        <f aca="false">G332</f>
        <v>UTILIZOU-SE SINAPI</v>
      </c>
    </row>
    <row r="333" customFormat="false" ht="15" hidden="false" customHeight="false" outlineLevel="0" collapsed="false">
      <c r="A333" s="175" t="s">
        <v>3090</v>
      </c>
      <c r="B333" s="176" t="s">
        <v>3091</v>
      </c>
      <c r="C333" s="176" t="s">
        <v>3092</v>
      </c>
      <c r="D333" s="201" t="n">
        <v>20</v>
      </c>
      <c r="E333" s="178"/>
      <c r="F333" s="178"/>
      <c r="G333" s="178"/>
    </row>
    <row r="334" customFormat="false" ht="15" hidden="false" customHeight="false" outlineLevel="0" collapsed="false">
      <c r="A334" s="175" t="s">
        <v>3136</v>
      </c>
      <c r="B334" s="176" t="s">
        <v>3137</v>
      </c>
      <c r="C334" s="170" t="s">
        <v>3138</v>
      </c>
      <c r="D334" s="201" t="n">
        <v>15.07</v>
      </c>
      <c r="E334" s="178"/>
      <c r="F334" s="178"/>
      <c r="G334" s="178"/>
    </row>
    <row r="335" s="157" customFormat="true" ht="15" hidden="false" customHeight="false" outlineLevel="0" collapsed="false">
      <c r="B335" s="183"/>
      <c r="C335" s="205"/>
      <c r="D335" s="187"/>
      <c r="E335" s="188"/>
      <c r="F335" s="188"/>
      <c r="G335" s="183"/>
    </row>
    <row r="336" customFormat="false" ht="15" hidden="false" customHeight="false" outlineLevel="0" collapsed="false">
      <c r="A336" s="165" t="s">
        <v>28</v>
      </c>
      <c r="B336" s="165" t="s">
        <v>1410</v>
      </c>
      <c r="C336" s="165" t="s">
        <v>2938</v>
      </c>
      <c r="D336" s="165"/>
      <c r="E336" s="165"/>
      <c r="F336" s="165" t="s">
        <v>2939</v>
      </c>
      <c r="G336" s="165" t="s">
        <v>2940</v>
      </c>
    </row>
    <row r="337" customFormat="false" ht="15" hidden="false" customHeight="true" outlineLevel="0" collapsed="false">
      <c r="A337" s="199" t="s">
        <v>2582</v>
      </c>
      <c r="B337" s="176" t="s">
        <v>2941</v>
      </c>
      <c r="C337" s="169" t="s">
        <v>2583</v>
      </c>
      <c r="D337" s="169"/>
      <c r="E337" s="169"/>
      <c r="F337" s="176" t="s">
        <v>2995</v>
      </c>
      <c r="G337" s="178" t="n">
        <f aca="false">F340</f>
        <v>660.423333333333</v>
      </c>
    </row>
    <row r="338" customFormat="false" ht="15" hidden="false" customHeight="true" outlineLevel="0" collapsed="false">
      <c r="A338" s="185" t="s">
        <v>2943</v>
      </c>
      <c r="B338" s="185" t="s">
        <v>2944</v>
      </c>
      <c r="C338" s="185" t="s">
        <v>2945</v>
      </c>
      <c r="D338" s="185" t="s">
        <v>2946</v>
      </c>
      <c r="E338" s="172" t="s">
        <v>2947</v>
      </c>
      <c r="F338" s="185" t="s">
        <v>2948</v>
      </c>
      <c r="G338" s="185"/>
    </row>
    <row r="339" customFormat="false" ht="15" hidden="false" customHeight="false" outlineLevel="0" collapsed="false">
      <c r="A339" s="185"/>
      <c r="B339" s="185"/>
      <c r="C339" s="185"/>
      <c r="D339" s="185"/>
      <c r="E339" s="172"/>
      <c r="F339" s="173" t="s">
        <v>1374</v>
      </c>
      <c r="G339" s="174" t="s">
        <v>2949</v>
      </c>
    </row>
    <row r="340" customFormat="false" ht="15" hidden="false" customHeight="false" outlineLevel="0" collapsed="false">
      <c r="A340" s="175" t="s">
        <v>3009</v>
      </c>
      <c r="B340" s="176" t="s">
        <v>3010</v>
      </c>
      <c r="C340" s="176" t="s">
        <v>3011</v>
      </c>
      <c r="D340" s="201" t="n">
        <v>636.41</v>
      </c>
      <c r="E340" s="178" t="n">
        <f aca="false">AVERAGE(D340:D342)</f>
        <v>660.423333333333</v>
      </c>
      <c r="F340" s="178" t="n">
        <f aca="false">E340</f>
        <v>660.423333333333</v>
      </c>
      <c r="G340" s="178" t="s">
        <v>2953</v>
      </c>
      <c r="H340" s="179" t="n">
        <f aca="false">F340</f>
        <v>660.423333333333</v>
      </c>
      <c r="I340" s="179" t="str">
        <f aca="false">G340</f>
        <v>UTILIZOU-SE SINAPI</v>
      </c>
    </row>
    <row r="341" customFormat="false" ht="15" hidden="false" customHeight="false" outlineLevel="0" collapsed="false">
      <c r="A341" s="175" t="s">
        <v>3154</v>
      </c>
      <c r="B341" s="176" t="s">
        <v>3155</v>
      </c>
      <c r="C341" s="176" t="s">
        <v>3156</v>
      </c>
      <c r="D341" s="201" t="n">
        <v>623.68</v>
      </c>
      <c r="E341" s="178"/>
      <c r="F341" s="178"/>
      <c r="G341" s="178"/>
    </row>
    <row r="342" customFormat="false" ht="15" hidden="false" customHeight="false" outlineLevel="0" collapsed="false">
      <c r="A342" s="175" t="s">
        <v>3157</v>
      </c>
      <c r="B342" s="176" t="s">
        <v>3158</v>
      </c>
      <c r="C342" s="170" t="s">
        <v>3159</v>
      </c>
      <c r="D342" s="201" t="n">
        <v>721.18</v>
      </c>
      <c r="E342" s="178"/>
      <c r="F342" s="178"/>
      <c r="G342" s="178"/>
    </row>
    <row r="344" customFormat="false" ht="15" hidden="false" customHeight="false" outlineLevel="0" collapsed="false">
      <c r="A344" s="165" t="s">
        <v>28</v>
      </c>
      <c r="B344" s="165" t="s">
        <v>1410</v>
      </c>
      <c r="C344" s="165" t="s">
        <v>2938</v>
      </c>
      <c r="D344" s="165"/>
      <c r="E344" s="165"/>
      <c r="F344" s="165" t="s">
        <v>2939</v>
      </c>
      <c r="G344" s="165" t="s">
        <v>2940</v>
      </c>
    </row>
    <row r="345" customFormat="false" ht="15" hidden="false" customHeight="true" outlineLevel="0" collapsed="false">
      <c r="A345" s="199" t="s">
        <v>2741</v>
      </c>
      <c r="B345" s="176" t="s">
        <v>2941</v>
      </c>
      <c r="C345" s="169" t="s">
        <v>3160</v>
      </c>
      <c r="D345" s="169"/>
      <c r="E345" s="169"/>
      <c r="F345" s="176" t="s">
        <v>2995</v>
      </c>
      <c r="G345" s="178" t="n">
        <f aca="false">F348</f>
        <v>143.666666666667</v>
      </c>
    </row>
    <row r="346" customFormat="false" ht="15" hidden="false" customHeight="true" outlineLevel="0" collapsed="false">
      <c r="A346" s="185" t="s">
        <v>2943</v>
      </c>
      <c r="B346" s="185" t="s">
        <v>2944</v>
      </c>
      <c r="C346" s="185" t="s">
        <v>2945</v>
      </c>
      <c r="D346" s="185" t="s">
        <v>2946</v>
      </c>
      <c r="E346" s="172" t="s">
        <v>2947</v>
      </c>
      <c r="F346" s="185" t="s">
        <v>2948</v>
      </c>
      <c r="G346" s="185"/>
    </row>
    <row r="347" customFormat="false" ht="15" hidden="false" customHeight="false" outlineLevel="0" collapsed="false">
      <c r="A347" s="185"/>
      <c r="B347" s="185"/>
      <c r="C347" s="185"/>
      <c r="D347" s="185"/>
      <c r="E347" s="172"/>
      <c r="F347" s="173" t="s">
        <v>1374</v>
      </c>
      <c r="G347" s="174" t="s">
        <v>2949</v>
      </c>
    </row>
    <row r="348" customFormat="false" ht="15" hidden="false" customHeight="false" outlineLevel="0" collapsed="false">
      <c r="A348" s="175" t="s">
        <v>3161</v>
      </c>
      <c r="B348" s="176" t="s">
        <v>3162</v>
      </c>
      <c r="C348" s="170" t="s">
        <v>3163</v>
      </c>
      <c r="D348" s="201" t="n">
        <v>119.9</v>
      </c>
      <c r="E348" s="178" t="n">
        <f aca="false">AVERAGE(D348:D350)</f>
        <v>143.666666666667</v>
      </c>
      <c r="F348" s="178" t="n">
        <f aca="false">E348</f>
        <v>143.666666666667</v>
      </c>
      <c r="G348" s="178" t="s">
        <v>2953</v>
      </c>
      <c r="H348" s="179" t="n">
        <f aca="false">F348</f>
        <v>143.666666666667</v>
      </c>
      <c r="I348" s="179" t="str">
        <f aca="false">G348</f>
        <v>UTILIZOU-SE SINAPI</v>
      </c>
    </row>
    <row r="349" customFormat="false" ht="15" hidden="false" customHeight="false" outlineLevel="0" collapsed="false">
      <c r="A349" s="175" t="s">
        <v>3009</v>
      </c>
      <c r="B349" s="176" t="s">
        <v>3010</v>
      </c>
      <c r="C349" s="176" t="s">
        <v>3011</v>
      </c>
      <c r="D349" s="201" t="n">
        <v>136.71</v>
      </c>
      <c r="E349" s="178"/>
      <c r="F349" s="178"/>
      <c r="G349" s="178"/>
    </row>
    <row r="350" customFormat="false" ht="15" hidden="false" customHeight="false" outlineLevel="0" collapsed="false">
      <c r="A350" s="175" t="s">
        <v>3050</v>
      </c>
      <c r="B350" s="176" t="s">
        <v>3051</v>
      </c>
      <c r="C350" s="170" t="s">
        <v>3052</v>
      </c>
      <c r="D350" s="201" t="n">
        <v>174.39</v>
      </c>
      <c r="E350" s="178"/>
      <c r="F350" s="178"/>
      <c r="G350" s="178"/>
    </row>
    <row r="352" customFormat="false" ht="15" hidden="false" customHeight="false" outlineLevel="0" collapsed="false">
      <c r="A352" s="165" t="s">
        <v>28</v>
      </c>
      <c r="B352" s="165" t="s">
        <v>1410</v>
      </c>
      <c r="C352" s="165" t="s">
        <v>2938</v>
      </c>
      <c r="D352" s="165"/>
      <c r="E352" s="165"/>
      <c r="F352" s="165" t="s">
        <v>2939</v>
      </c>
      <c r="G352" s="165" t="s">
        <v>2940</v>
      </c>
    </row>
    <row r="353" customFormat="false" ht="15" hidden="false" customHeight="true" outlineLevel="0" collapsed="false">
      <c r="A353" s="199" t="s">
        <v>2849</v>
      </c>
      <c r="B353" s="176" t="s">
        <v>2941</v>
      </c>
      <c r="C353" s="169" t="s">
        <v>3164</v>
      </c>
      <c r="D353" s="169"/>
      <c r="E353" s="169"/>
      <c r="F353" s="176" t="s">
        <v>2995</v>
      </c>
      <c r="G353" s="178" t="n">
        <f aca="false">F356</f>
        <v>48.4066666666667</v>
      </c>
    </row>
    <row r="354" customFormat="false" ht="15" hidden="false" customHeight="true" outlineLevel="0" collapsed="false">
      <c r="A354" s="185" t="s">
        <v>2943</v>
      </c>
      <c r="B354" s="185" t="s">
        <v>2944</v>
      </c>
      <c r="C354" s="185" t="s">
        <v>2945</v>
      </c>
      <c r="D354" s="185" t="s">
        <v>2946</v>
      </c>
      <c r="E354" s="172" t="s">
        <v>2947</v>
      </c>
      <c r="F354" s="185" t="s">
        <v>2948</v>
      </c>
      <c r="G354" s="185"/>
    </row>
    <row r="355" customFormat="false" ht="15" hidden="false" customHeight="false" outlineLevel="0" collapsed="false">
      <c r="A355" s="185"/>
      <c r="B355" s="185"/>
      <c r="C355" s="185"/>
      <c r="D355" s="185"/>
      <c r="E355" s="172"/>
      <c r="F355" s="173" t="s">
        <v>1374</v>
      </c>
      <c r="G355" s="174" t="s">
        <v>2949</v>
      </c>
    </row>
    <row r="356" customFormat="false" ht="15" hidden="false" customHeight="false" outlineLevel="0" collapsed="false">
      <c r="A356" s="175" t="s">
        <v>3165</v>
      </c>
      <c r="B356" s="176" t="s">
        <v>3166</v>
      </c>
      <c r="C356" s="170" t="s">
        <v>3167</v>
      </c>
      <c r="D356" s="201" t="n">
        <v>38.32</v>
      </c>
      <c r="E356" s="178" t="n">
        <f aca="false">AVERAGE(D356:D358)</f>
        <v>48.4066666666667</v>
      </c>
      <c r="F356" s="178" t="n">
        <f aca="false">E356</f>
        <v>48.4066666666667</v>
      </c>
      <c r="G356" s="178" t="s">
        <v>2953</v>
      </c>
      <c r="H356" s="179" t="n">
        <f aca="false">F356</f>
        <v>48.4066666666667</v>
      </c>
      <c r="I356" s="179" t="str">
        <f aca="false">G356</f>
        <v>UTILIZOU-SE SINAPI</v>
      </c>
    </row>
    <row r="357" customFormat="false" ht="15" hidden="false" customHeight="false" outlineLevel="0" collapsed="false">
      <c r="A357" s="175" t="s">
        <v>3050</v>
      </c>
      <c r="B357" s="176" t="s">
        <v>3051</v>
      </c>
      <c r="C357" s="170" t="s">
        <v>3052</v>
      </c>
      <c r="D357" s="201" t="n">
        <v>49.9</v>
      </c>
      <c r="E357" s="178"/>
      <c r="F357" s="178"/>
      <c r="G357" s="178"/>
    </row>
    <row r="358" customFormat="false" ht="15" hidden="false" customHeight="false" outlineLevel="0" collapsed="false">
      <c r="A358" s="175" t="s">
        <v>3168</v>
      </c>
      <c r="B358" s="176" t="s">
        <v>3169</v>
      </c>
      <c r="C358" s="170" t="s">
        <v>3170</v>
      </c>
      <c r="D358" s="201" t="n">
        <v>57</v>
      </c>
      <c r="E358" s="178"/>
      <c r="F358" s="178"/>
      <c r="G358" s="178"/>
    </row>
    <row r="360" customFormat="false" ht="15" hidden="false" customHeight="false" outlineLevel="0" collapsed="false">
      <c r="A360" s="165" t="s">
        <v>28</v>
      </c>
      <c r="B360" s="165" t="s">
        <v>1410</v>
      </c>
      <c r="C360" s="165" t="s">
        <v>2938</v>
      </c>
      <c r="D360" s="165"/>
      <c r="E360" s="165"/>
      <c r="F360" s="165" t="s">
        <v>2939</v>
      </c>
      <c r="G360" s="165" t="s">
        <v>2940</v>
      </c>
    </row>
    <row r="361" customFormat="false" ht="15" hidden="false" customHeight="true" outlineLevel="0" collapsed="false">
      <c r="A361" s="199" t="s">
        <v>2852</v>
      </c>
      <c r="B361" s="176" t="s">
        <v>2941</v>
      </c>
      <c r="C361" s="169" t="s">
        <v>3171</v>
      </c>
      <c r="D361" s="169"/>
      <c r="E361" s="169"/>
      <c r="F361" s="176" t="s">
        <v>2995</v>
      </c>
      <c r="G361" s="178" t="n">
        <f aca="false">F364</f>
        <v>70.3333333333333</v>
      </c>
    </row>
    <row r="362" customFormat="false" ht="15" hidden="false" customHeight="true" outlineLevel="0" collapsed="false">
      <c r="A362" s="185" t="s">
        <v>2943</v>
      </c>
      <c r="B362" s="185" t="s">
        <v>2944</v>
      </c>
      <c r="C362" s="185" t="s">
        <v>2945</v>
      </c>
      <c r="D362" s="185" t="s">
        <v>2946</v>
      </c>
      <c r="E362" s="172" t="s">
        <v>2947</v>
      </c>
      <c r="F362" s="185" t="s">
        <v>2948</v>
      </c>
      <c r="G362" s="185"/>
    </row>
    <row r="363" customFormat="false" ht="15" hidden="false" customHeight="false" outlineLevel="0" collapsed="false">
      <c r="A363" s="185"/>
      <c r="B363" s="185"/>
      <c r="C363" s="185"/>
      <c r="D363" s="185"/>
      <c r="E363" s="172"/>
      <c r="F363" s="173" t="s">
        <v>1374</v>
      </c>
      <c r="G363" s="174" t="s">
        <v>2949</v>
      </c>
    </row>
    <row r="364" customFormat="false" ht="15" hidden="false" customHeight="false" outlineLevel="0" collapsed="false">
      <c r="A364" s="175" t="s">
        <v>3172</v>
      </c>
      <c r="B364" s="176" t="s">
        <v>3173</v>
      </c>
      <c r="C364" s="170" t="s">
        <v>3174</v>
      </c>
      <c r="D364" s="201" t="n">
        <v>64.99</v>
      </c>
      <c r="E364" s="178" t="n">
        <f aca="false">AVERAGE(D364:D366)</f>
        <v>70.3333333333333</v>
      </c>
      <c r="F364" s="178" t="n">
        <f aca="false">E364</f>
        <v>70.3333333333333</v>
      </c>
      <c r="G364" s="178" t="s">
        <v>2953</v>
      </c>
      <c r="H364" s="179" t="n">
        <f aca="false">F364</f>
        <v>70.3333333333333</v>
      </c>
      <c r="I364" s="179" t="str">
        <f aca="false">G364</f>
        <v>UTILIZOU-SE SINAPI</v>
      </c>
    </row>
    <row r="365" customFormat="false" ht="15" hidden="false" customHeight="false" outlineLevel="0" collapsed="false">
      <c r="A365" s="175" t="s">
        <v>3175</v>
      </c>
      <c r="B365" s="176" t="s">
        <v>3176</v>
      </c>
      <c r="C365" s="170" t="s">
        <v>3177</v>
      </c>
      <c r="D365" s="201" t="n">
        <v>71.01</v>
      </c>
      <c r="E365" s="178"/>
      <c r="F365" s="178"/>
      <c r="G365" s="178"/>
    </row>
    <row r="366" customFormat="false" ht="15" hidden="false" customHeight="false" outlineLevel="0" collapsed="false">
      <c r="A366" s="175" t="s">
        <v>3178</v>
      </c>
      <c r="B366" s="176" t="s">
        <v>3179</v>
      </c>
      <c r="C366" s="170" t="s">
        <v>3180</v>
      </c>
      <c r="D366" s="201" t="n">
        <v>75</v>
      </c>
      <c r="E366" s="178"/>
      <c r="F366" s="178"/>
      <c r="G366" s="178"/>
    </row>
    <row r="368" customFormat="false" ht="15" hidden="false" customHeight="false" outlineLevel="0" collapsed="false">
      <c r="A368" s="165" t="s">
        <v>28</v>
      </c>
      <c r="B368" s="165" t="s">
        <v>1410</v>
      </c>
      <c r="C368" s="165" t="s">
        <v>2938</v>
      </c>
      <c r="D368" s="165"/>
      <c r="E368" s="165"/>
      <c r="F368" s="165" t="s">
        <v>2939</v>
      </c>
      <c r="G368" s="165" t="s">
        <v>2940</v>
      </c>
    </row>
    <row r="369" customFormat="false" ht="15" hidden="false" customHeight="true" outlineLevel="0" collapsed="false">
      <c r="A369" s="199" t="s">
        <v>2643</v>
      </c>
      <c r="B369" s="176" t="s">
        <v>2941</v>
      </c>
      <c r="C369" s="169" t="s">
        <v>3181</v>
      </c>
      <c r="D369" s="169"/>
      <c r="E369" s="169"/>
      <c r="F369" s="176" t="s">
        <v>2995</v>
      </c>
      <c r="G369" s="178" t="n">
        <f aca="false">F372</f>
        <v>108.36</v>
      </c>
    </row>
    <row r="370" customFormat="false" ht="15" hidden="false" customHeight="true" outlineLevel="0" collapsed="false">
      <c r="A370" s="185" t="s">
        <v>2943</v>
      </c>
      <c r="B370" s="185" t="s">
        <v>2944</v>
      </c>
      <c r="C370" s="185" t="s">
        <v>2945</v>
      </c>
      <c r="D370" s="185" t="s">
        <v>2946</v>
      </c>
      <c r="E370" s="172" t="s">
        <v>2947</v>
      </c>
      <c r="F370" s="185" t="s">
        <v>2948</v>
      </c>
      <c r="G370" s="185"/>
    </row>
    <row r="371" customFormat="false" ht="15" hidden="false" customHeight="false" outlineLevel="0" collapsed="false">
      <c r="A371" s="185"/>
      <c r="B371" s="185"/>
      <c r="C371" s="185"/>
      <c r="D371" s="185"/>
      <c r="E371" s="172"/>
      <c r="F371" s="173" t="s">
        <v>1374</v>
      </c>
      <c r="G371" s="174" t="s">
        <v>2949</v>
      </c>
    </row>
    <row r="372" customFormat="false" ht="15" hidden="false" customHeight="false" outlineLevel="0" collapsed="false">
      <c r="A372" s="204" t="s">
        <v>3093</v>
      </c>
      <c r="B372" s="176" t="s">
        <v>3094</v>
      </c>
      <c r="C372" s="170" t="s">
        <v>3095</v>
      </c>
      <c r="D372" s="201" t="n">
        <v>104.39</v>
      </c>
      <c r="E372" s="178" t="n">
        <f aca="false">AVERAGE(D372:D374)</f>
        <v>108.36</v>
      </c>
      <c r="F372" s="178" t="n">
        <f aca="false">E372</f>
        <v>108.36</v>
      </c>
      <c r="G372" s="178" t="s">
        <v>2953</v>
      </c>
      <c r="H372" s="179" t="n">
        <f aca="false">F372</f>
        <v>108.36</v>
      </c>
      <c r="I372" s="179" t="str">
        <f aca="false">G372</f>
        <v>UTILIZOU-SE SINAPI</v>
      </c>
    </row>
    <row r="373" customFormat="false" ht="15" hidden="false" customHeight="false" outlineLevel="0" collapsed="false">
      <c r="A373" s="175" t="s">
        <v>3182</v>
      </c>
      <c r="B373" s="176" t="s">
        <v>3183</v>
      </c>
      <c r="C373" s="170" t="s">
        <v>3184</v>
      </c>
      <c r="D373" s="201" t="n">
        <v>109.9</v>
      </c>
      <c r="E373" s="178"/>
      <c r="F373" s="178"/>
      <c r="G373" s="178"/>
    </row>
    <row r="374" customFormat="false" ht="15" hidden="false" customHeight="false" outlineLevel="0" collapsed="false">
      <c r="A374" s="175" t="s">
        <v>3185</v>
      </c>
      <c r="B374" s="176" t="s">
        <v>3186</v>
      </c>
      <c r="C374" s="170" t="s">
        <v>3187</v>
      </c>
      <c r="D374" s="201" t="n">
        <v>110.79</v>
      </c>
      <c r="E374" s="178"/>
      <c r="F374" s="178"/>
      <c r="G374" s="178"/>
    </row>
    <row r="376" customFormat="false" ht="15" hidden="false" customHeight="false" outlineLevel="0" collapsed="false">
      <c r="A376" s="165" t="s">
        <v>28</v>
      </c>
      <c r="B376" s="165" t="s">
        <v>1410</v>
      </c>
      <c r="C376" s="165" t="s">
        <v>2938</v>
      </c>
      <c r="D376" s="165"/>
      <c r="E376" s="165"/>
      <c r="F376" s="165" t="s">
        <v>2939</v>
      </c>
      <c r="G376" s="165" t="s">
        <v>2940</v>
      </c>
    </row>
    <row r="377" customFormat="false" ht="15" hidden="false" customHeight="false" outlineLevel="0" collapsed="false">
      <c r="A377" s="199" t="s">
        <v>2557</v>
      </c>
      <c r="B377" s="176" t="s">
        <v>2941</v>
      </c>
      <c r="C377" s="184" t="s">
        <v>2558</v>
      </c>
      <c r="D377" s="184"/>
      <c r="E377" s="184"/>
      <c r="F377" s="176" t="s">
        <v>2995</v>
      </c>
      <c r="G377" s="178" t="n">
        <f aca="false">F380</f>
        <v>526.333333333333</v>
      </c>
    </row>
    <row r="378" customFormat="false" ht="15" hidden="false" customHeight="true" outlineLevel="0" collapsed="false">
      <c r="A378" s="185" t="s">
        <v>2943</v>
      </c>
      <c r="B378" s="185" t="s">
        <v>2944</v>
      </c>
      <c r="C378" s="185" t="s">
        <v>2945</v>
      </c>
      <c r="D378" s="185" t="s">
        <v>2946</v>
      </c>
      <c r="E378" s="172" t="s">
        <v>2947</v>
      </c>
      <c r="F378" s="185" t="s">
        <v>2948</v>
      </c>
      <c r="G378" s="185"/>
    </row>
    <row r="379" customFormat="false" ht="15" hidden="false" customHeight="false" outlineLevel="0" collapsed="false">
      <c r="A379" s="185"/>
      <c r="B379" s="185"/>
      <c r="C379" s="185"/>
      <c r="D379" s="185"/>
      <c r="E379" s="172"/>
      <c r="F379" s="173" t="s">
        <v>1374</v>
      </c>
      <c r="G379" s="174" t="s">
        <v>2949</v>
      </c>
    </row>
    <row r="380" customFormat="false" ht="15" hidden="false" customHeight="false" outlineLevel="0" collapsed="false">
      <c r="A380" s="175" t="s">
        <v>3188</v>
      </c>
      <c r="B380" s="176" t="s">
        <v>3189</v>
      </c>
      <c r="C380" s="170" t="s">
        <v>3190</v>
      </c>
      <c r="D380" s="201" t="n">
        <v>679</v>
      </c>
      <c r="E380" s="178" t="n">
        <f aca="false">AVERAGE(D380:D382)</f>
        <v>526.333333333333</v>
      </c>
      <c r="F380" s="178" t="n">
        <f aca="false">E380</f>
        <v>526.333333333333</v>
      </c>
      <c r="G380" s="178" t="s">
        <v>2953</v>
      </c>
      <c r="H380" s="179" t="n">
        <f aca="false">F380</f>
        <v>526.333333333333</v>
      </c>
      <c r="I380" s="179" t="str">
        <f aca="false">G380</f>
        <v>UTILIZOU-SE SINAPI</v>
      </c>
    </row>
    <row r="381" customFormat="false" ht="15" hidden="false" customHeight="false" outlineLevel="0" collapsed="false">
      <c r="A381" s="175" t="s">
        <v>3191</v>
      </c>
      <c r="B381" s="176" t="s">
        <v>3192</v>
      </c>
      <c r="C381" s="170" t="s">
        <v>3193</v>
      </c>
      <c r="D381" s="201" t="n">
        <v>499</v>
      </c>
      <c r="E381" s="178"/>
      <c r="F381" s="178"/>
      <c r="G381" s="178"/>
    </row>
    <row r="382" customFormat="false" ht="15" hidden="false" customHeight="false" outlineLevel="0" collapsed="false">
      <c r="A382" s="175" t="s">
        <v>3050</v>
      </c>
      <c r="B382" s="176" t="s">
        <v>3051</v>
      </c>
      <c r="C382" s="170" t="s">
        <v>3052</v>
      </c>
      <c r="D382" s="201" t="n">
        <v>401</v>
      </c>
      <c r="E382" s="178"/>
      <c r="F382" s="178"/>
      <c r="G382" s="178"/>
    </row>
    <row r="384" customFormat="false" ht="15" hidden="false" customHeight="false" outlineLevel="0" collapsed="false">
      <c r="A384" s="165" t="s">
        <v>28</v>
      </c>
      <c r="B384" s="165" t="s">
        <v>1410</v>
      </c>
      <c r="C384" s="165" t="s">
        <v>2938</v>
      </c>
      <c r="D384" s="165"/>
      <c r="E384" s="165"/>
      <c r="F384" s="165" t="s">
        <v>2939</v>
      </c>
      <c r="G384" s="165" t="s">
        <v>2940</v>
      </c>
    </row>
    <row r="385" customFormat="false" ht="15" hidden="false" customHeight="true" outlineLevel="0" collapsed="false">
      <c r="A385" s="199" t="s">
        <v>2870</v>
      </c>
      <c r="B385" s="176" t="s">
        <v>2941</v>
      </c>
      <c r="C385" s="169" t="s">
        <v>3194</v>
      </c>
      <c r="D385" s="169"/>
      <c r="E385" s="169"/>
      <c r="F385" s="176" t="s">
        <v>1455</v>
      </c>
      <c r="G385" s="178" t="n">
        <f aca="false">F388</f>
        <v>10.6843333333333</v>
      </c>
    </row>
    <row r="386" customFormat="false" ht="15" hidden="false" customHeight="true" outlineLevel="0" collapsed="false">
      <c r="A386" s="185" t="s">
        <v>2943</v>
      </c>
      <c r="B386" s="185" t="s">
        <v>2944</v>
      </c>
      <c r="C386" s="185" t="s">
        <v>2945</v>
      </c>
      <c r="D386" s="185" t="s">
        <v>2946</v>
      </c>
      <c r="E386" s="172" t="s">
        <v>2947</v>
      </c>
      <c r="F386" s="185" t="s">
        <v>2948</v>
      </c>
      <c r="G386" s="185"/>
    </row>
    <row r="387" customFormat="false" ht="15" hidden="false" customHeight="false" outlineLevel="0" collapsed="false">
      <c r="A387" s="185"/>
      <c r="B387" s="185"/>
      <c r="C387" s="185"/>
      <c r="D387" s="185"/>
      <c r="E387" s="172"/>
      <c r="F387" s="173" t="s">
        <v>1374</v>
      </c>
      <c r="G387" s="174" t="s">
        <v>2949</v>
      </c>
    </row>
    <row r="388" customFormat="false" ht="15" hidden="false" customHeight="false" outlineLevel="0" collapsed="false">
      <c r="A388" s="175" t="s">
        <v>3195</v>
      </c>
      <c r="B388" s="176" t="s">
        <v>3196</v>
      </c>
      <c r="C388" s="170" t="s">
        <v>3197</v>
      </c>
      <c r="D388" s="201" t="n">
        <f aca="false">(63.23/10)</f>
        <v>6.323</v>
      </c>
      <c r="E388" s="178" t="n">
        <f aca="false">AVERAGE(D388:D390)</f>
        <v>10.6843333333333</v>
      </c>
      <c r="F388" s="178" t="n">
        <f aca="false">E388</f>
        <v>10.6843333333333</v>
      </c>
      <c r="G388" s="178" t="s">
        <v>2953</v>
      </c>
      <c r="H388" s="179" t="n">
        <f aca="false">F388</f>
        <v>10.6843333333333</v>
      </c>
      <c r="I388" s="179" t="str">
        <f aca="false">G388</f>
        <v>UTILIZOU-SE SINAPI</v>
      </c>
    </row>
    <row r="389" customFormat="false" ht="15" hidden="false" customHeight="false" outlineLevel="0" collapsed="false">
      <c r="A389" s="175" t="s">
        <v>3198</v>
      </c>
      <c r="B389" s="176" t="s">
        <v>3199</v>
      </c>
      <c r="C389" s="170" t="s">
        <v>3200</v>
      </c>
      <c r="D389" s="201" t="n">
        <v>11.61</v>
      </c>
      <c r="E389" s="178"/>
      <c r="F389" s="178"/>
      <c r="G389" s="178"/>
    </row>
    <row r="390" customFormat="false" ht="15" hidden="false" customHeight="false" outlineLevel="0" collapsed="false">
      <c r="A390" s="175" t="s">
        <v>3201</v>
      </c>
      <c r="B390" s="176" t="s">
        <v>3202</v>
      </c>
      <c r="C390" s="170" t="s">
        <v>3203</v>
      </c>
      <c r="D390" s="201" t="n">
        <f aca="false">(56.48/4)</f>
        <v>14.12</v>
      </c>
      <c r="E390" s="178"/>
      <c r="F390" s="178"/>
      <c r="G390" s="178"/>
    </row>
    <row r="392" customFormat="false" ht="15" hidden="false" customHeight="false" outlineLevel="0" collapsed="false">
      <c r="A392" s="165" t="s">
        <v>28</v>
      </c>
      <c r="B392" s="165" t="s">
        <v>1410</v>
      </c>
      <c r="C392" s="165" t="s">
        <v>2938</v>
      </c>
      <c r="D392" s="165"/>
      <c r="E392" s="165"/>
      <c r="F392" s="165" t="s">
        <v>2939</v>
      </c>
      <c r="G392" s="165" t="s">
        <v>2940</v>
      </c>
    </row>
    <row r="393" customFormat="false" ht="15" hidden="false" customHeight="true" outlineLevel="0" collapsed="false">
      <c r="A393" s="199" t="s">
        <v>2875</v>
      </c>
      <c r="B393" s="176" t="s">
        <v>2941</v>
      </c>
      <c r="C393" s="169" t="s">
        <v>3204</v>
      </c>
      <c r="D393" s="169"/>
      <c r="E393" s="169"/>
      <c r="F393" s="176" t="s">
        <v>1455</v>
      </c>
      <c r="G393" s="178" t="n">
        <f aca="false">F396</f>
        <v>15.3033333333333</v>
      </c>
    </row>
    <row r="394" customFormat="false" ht="15" hidden="false" customHeight="true" outlineLevel="0" collapsed="false">
      <c r="A394" s="185" t="s">
        <v>2943</v>
      </c>
      <c r="B394" s="185" t="s">
        <v>2944</v>
      </c>
      <c r="C394" s="185" t="s">
        <v>2945</v>
      </c>
      <c r="D394" s="185" t="s">
        <v>2946</v>
      </c>
      <c r="E394" s="172" t="s">
        <v>2947</v>
      </c>
      <c r="F394" s="185" t="s">
        <v>2948</v>
      </c>
      <c r="G394" s="185"/>
    </row>
    <row r="395" customFormat="false" ht="15" hidden="false" customHeight="false" outlineLevel="0" collapsed="false">
      <c r="A395" s="185"/>
      <c r="B395" s="185"/>
      <c r="C395" s="185"/>
      <c r="D395" s="185"/>
      <c r="E395" s="172"/>
      <c r="F395" s="173" t="s">
        <v>1374</v>
      </c>
      <c r="G395" s="174" t="s">
        <v>2949</v>
      </c>
    </row>
    <row r="396" customFormat="false" ht="15" hidden="false" customHeight="false" outlineLevel="0" collapsed="false">
      <c r="A396" s="175" t="s">
        <v>3195</v>
      </c>
      <c r="B396" s="176" t="s">
        <v>3196</v>
      </c>
      <c r="C396" s="170" t="s">
        <v>3197</v>
      </c>
      <c r="D396" s="201" t="n">
        <f aca="false">(97.5/10)</f>
        <v>9.75</v>
      </c>
      <c r="E396" s="178" t="n">
        <f aca="false">AVERAGE(D396:D398)</f>
        <v>15.3033333333333</v>
      </c>
      <c r="F396" s="178" t="n">
        <f aca="false">E396</f>
        <v>15.3033333333333</v>
      </c>
      <c r="G396" s="178" t="s">
        <v>2953</v>
      </c>
      <c r="H396" s="179" t="n">
        <f aca="false">F396</f>
        <v>15.3033333333333</v>
      </c>
      <c r="I396" s="179" t="str">
        <f aca="false">G396</f>
        <v>UTILIZOU-SE SINAPI</v>
      </c>
    </row>
    <row r="397" customFormat="false" ht="15" hidden="false" customHeight="false" outlineLevel="0" collapsed="false">
      <c r="A397" s="175" t="s">
        <v>3201</v>
      </c>
      <c r="B397" s="176" t="s">
        <v>3202</v>
      </c>
      <c r="C397" s="170" t="s">
        <v>3203</v>
      </c>
      <c r="D397" s="201" t="n">
        <f aca="false">(66.64/4)</f>
        <v>16.66</v>
      </c>
      <c r="E397" s="178"/>
      <c r="F397" s="178"/>
      <c r="G397" s="178"/>
    </row>
    <row r="398" customFormat="false" ht="15" hidden="false" customHeight="false" outlineLevel="0" collapsed="false">
      <c r="A398" s="175" t="s">
        <v>3205</v>
      </c>
      <c r="B398" s="176" t="s">
        <v>3206</v>
      </c>
      <c r="C398" s="170" t="s">
        <v>3207</v>
      </c>
      <c r="D398" s="201" t="n">
        <v>19.5</v>
      </c>
      <c r="E398" s="178"/>
      <c r="F398" s="178"/>
      <c r="G398" s="178"/>
    </row>
    <row r="399" s="157" customFormat="true" ht="15" hidden="false" customHeight="false" outlineLevel="0" collapsed="false">
      <c r="B399" s="183"/>
      <c r="C399" s="205"/>
      <c r="D399" s="187"/>
      <c r="E399" s="188"/>
      <c r="F399" s="188"/>
      <c r="G399" s="183"/>
    </row>
    <row r="400" customFormat="false" ht="15" hidden="false" customHeight="false" outlineLevel="0" collapsed="false">
      <c r="A400" s="165" t="s">
        <v>28</v>
      </c>
      <c r="B400" s="165" t="s">
        <v>1410</v>
      </c>
      <c r="C400" s="165" t="s">
        <v>2938</v>
      </c>
      <c r="D400" s="165"/>
      <c r="E400" s="165"/>
      <c r="F400" s="165" t="s">
        <v>2939</v>
      </c>
      <c r="G400" s="165" t="s">
        <v>2940</v>
      </c>
    </row>
    <row r="401" customFormat="false" ht="15" hidden="false" customHeight="true" outlineLevel="0" collapsed="false">
      <c r="A401" s="199" t="s">
        <v>1931</v>
      </c>
      <c r="B401" s="176" t="s">
        <v>2941</v>
      </c>
      <c r="C401" s="169" t="s">
        <v>1932</v>
      </c>
      <c r="D401" s="169"/>
      <c r="E401" s="169"/>
      <c r="F401" s="176" t="s">
        <v>1455</v>
      </c>
      <c r="G401" s="178" t="n">
        <f aca="false">F404</f>
        <v>131.6</v>
      </c>
    </row>
    <row r="402" customFormat="false" ht="15" hidden="false" customHeight="true" outlineLevel="0" collapsed="false">
      <c r="A402" s="185" t="s">
        <v>2943</v>
      </c>
      <c r="B402" s="185" t="s">
        <v>2944</v>
      </c>
      <c r="C402" s="185" t="s">
        <v>2945</v>
      </c>
      <c r="D402" s="185" t="s">
        <v>2946</v>
      </c>
      <c r="E402" s="172" t="s">
        <v>2947</v>
      </c>
      <c r="F402" s="185" t="s">
        <v>2948</v>
      </c>
      <c r="G402" s="185"/>
    </row>
    <row r="403" customFormat="false" ht="15" hidden="false" customHeight="false" outlineLevel="0" collapsed="false">
      <c r="A403" s="185"/>
      <c r="B403" s="185"/>
      <c r="C403" s="185"/>
      <c r="D403" s="185"/>
      <c r="E403" s="172"/>
      <c r="F403" s="173" t="s">
        <v>1374</v>
      </c>
      <c r="G403" s="174" t="s">
        <v>2949</v>
      </c>
    </row>
    <row r="404" customFormat="false" ht="15" hidden="false" customHeight="false" outlineLevel="0" collapsed="false">
      <c r="A404" s="175" t="s">
        <v>3208</v>
      </c>
      <c r="B404" s="176" t="s">
        <v>3209</v>
      </c>
      <c r="C404" s="197" t="s">
        <v>3210</v>
      </c>
      <c r="D404" s="201" t="n">
        <v>128.9</v>
      </c>
      <c r="E404" s="178" t="n">
        <f aca="false">AVERAGE(D404:D406)</f>
        <v>131.6</v>
      </c>
      <c r="F404" s="178" t="n">
        <f aca="false">E404</f>
        <v>131.6</v>
      </c>
      <c r="G404" s="178" t="s">
        <v>2953</v>
      </c>
      <c r="H404" s="179" t="n">
        <f aca="false">F404</f>
        <v>131.6</v>
      </c>
      <c r="I404" s="179" t="str">
        <f aca="false">G404</f>
        <v>UTILIZOU-SE SINAPI</v>
      </c>
    </row>
    <row r="405" customFormat="false" ht="15" hidden="false" customHeight="false" outlineLevel="0" collapsed="false">
      <c r="A405" s="175" t="s">
        <v>3211</v>
      </c>
      <c r="B405" s="176" t="s">
        <v>3212</v>
      </c>
      <c r="C405" s="197" t="s">
        <v>3213</v>
      </c>
      <c r="D405" s="201" t="n">
        <v>117</v>
      </c>
      <c r="E405" s="178"/>
      <c r="F405" s="178"/>
      <c r="G405" s="178"/>
    </row>
    <row r="406" customFormat="false" ht="15" hidden="false" customHeight="false" outlineLevel="0" collapsed="false">
      <c r="A406" s="175" t="s">
        <v>2992</v>
      </c>
      <c r="B406" s="176" t="s">
        <v>3214</v>
      </c>
      <c r="C406" s="197" t="s">
        <v>3215</v>
      </c>
      <c r="D406" s="201" t="n">
        <v>148.9</v>
      </c>
      <c r="E406" s="178"/>
      <c r="F406" s="178"/>
      <c r="G406" s="178"/>
    </row>
    <row r="407" s="157" customFormat="true" ht="15" hidden="false" customHeight="false" outlineLevel="0" collapsed="false">
      <c r="B407" s="183"/>
      <c r="C407" s="205"/>
      <c r="D407" s="187"/>
      <c r="E407" s="188"/>
      <c r="F407" s="188"/>
      <c r="G407" s="183"/>
    </row>
    <row r="408" customFormat="false" ht="15" hidden="false" customHeight="false" outlineLevel="0" collapsed="false">
      <c r="A408" s="165" t="s">
        <v>28</v>
      </c>
      <c r="B408" s="165" t="s">
        <v>1410</v>
      </c>
      <c r="C408" s="165" t="s">
        <v>2938</v>
      </c>
      <c r="D408" s="165"/>
      <c r="E408" s="165"/>
      <c r="F408" s="165" t="s">
        <v>2939</v>
      </c>
      <c r="G408" s="165" t="s">
        <v>2940</v>
      </c>
    </row>
    <row r="409" customFormat="false" ht="15" hidden="false" customHeight="true" outlineLevel="0" collapsed="false">
      <c r="A409" s="199" t="s">
        <v>1934</v>
      </c>
      <c r="B409" s="176" t="s">
        <v>2941</v>
      </c>
      <c r="C409" s="169" t="s">
        <v>1935</v>
      </c>
      <c r="D409" s="169"/>
      <c r="E409" s="169"/>
      <c r="F409" s="176" t="s">
        <v>1455</v>
      </c>
      <c r="G409" s="178" t="n">
        <f aca="false">F412</f>
        <v>109.333333333333</v>
      </c>
    </row>
    <row r="410" customFormat="false" ht="15" hidden="false" customHeight="true" outlineLevel="0" collapsed="false">
      <c r="A410" s="185" t="s">
        <v>2943</v>
      </c>
      <c r="B410" s="185" t="s">
        <v>2944</v>
      </c>
      <c r="C410" s="185" t="s">
        <v>2945</v>
      </c>
      <c r="D410" s="185" t="s">
        <v>2946</v>
      </c>
      <c r="E410" s="172" t="s">
        <v>2947</v>
      </c>
      <c r="F410" s="185" t="s">
        <v>2948</v>
      </c>
      <c r="G410" s="185"/>
    </row>
    <row r="411" customFormat="false" ht="15" hidden="false" customHeight="false" outlineLevel="0" collapsed="false">
      <c r="A411" s="185"/>
      <c r="B411" s="185"/>
      <c r="C411" s="185"/>
      <c r="D411" s="185"/>
      <c r="E411" s="172"/>
      <c r="F411" s="173" t="s">
        <v>1374</v>
      </c>
      <c r="G411" s="174" t="s">
        <v>2949</v>
      </c>
    </row>
    <row r="412" customFormat="false" ht="15" hidden="false" customHeight="false" outlineLevel="0" collapsed="false">
      <c r="A412" s="175" t="s">
        <v>3208</v>
      </c>
      <c r="B412" s="176" t="s">
        <v>3209</v>
      </c>
      <c r="C412" s="197" t="s">
        <v>3216</v>
      </c>
      <c r="D412" s="201" t="n">
        <v>103</v>
      </c>
      <c r="E412" s="178" t="n">
        <f aca="false">AVERAGE(D412:D414)</f>
        <v>109.333333333333</v>
      </c>
      <c r="F412" s="178" t="n">
        <f aca="false">E412</f>
        <v>109.333333333333</v>
      </c>
      <c r="G412" s="178" t="s">
        <v>2953</v>
      </c>
      <c r="H412" s="179" t="n">
        <f aca="false">F412</f>
        <v>109.333333333333</v>
      </c>
      <c r="I412" s="179" t="str">
        <f aca="false">G412</f>
        <v>UTILIZOU-SE SINAPI</v>
      </c>
    </row>
    <row r="413" customFormat="false" ht="15" hidden="false" customHeight="false" outlineLevel="0" collapsed="false">
      <c r="A413" s="175" t="s">
        <v>3211</v>
      </c>
      <c r="B413" s="176" t="s">
        <v>3212</v>
      </c>
      <c r="C413" s="197" t="s">
        <v>3217</v>
      </c>
      <c r="D413" s="201" t="n">
        <v>95</v>
      </c>
      <c r="E413" s="178"/>
      <c r="F413" s="178"/>
      <c r="G413" s="178"/>
    </row>
    <row r="414" customFormat="false" ht="15" hidden="false" customHeight="false" outlineLevel="0" collapsed="false">
      <c r="A414" s="175" t="s">
        <v>2992</v>
      </c>
      <c r="B414" s="176" t="s">
        <v>3214</v>
      </c>
      <c r="C414" s="197" t="s">
        <v>3218</v>
      </c>
      <c r="D414" s="201" t="n">
        <v>130</v>
      </c>
      <c r="E414" s="178"/>
      <c r="F414" s="178"/>
      <c r="G414" s="178"/>
    </row>
    <row r="415" s="157" customFormat="true" ht="15" hidden="false" customHeight="false" outlineLevel="0" collapsed="false">
      <c r="B415" s="183"/>
      <c r="C415" s="205"/>
      <c r="D415" s="187"/>
      <c r="E415" s="188"/>
      <c r="F415" s="188"/>
      <c r="G415" s="183"/>
    </row>
    <row r="416" customFormat="false" ht="15" hidden="false" customHeight="false" outlineLevel="0" collapsed="false">
      <c r="A416" s="165" t="s">
        <v>28</v>
      </c>
      <c r="B416" s="165" t="s">
        <v>1410</v>
      </c>
      <c r="C416" s="165" t="s">
        <v>2938</v>
      </c>
      <c r="D416" s="165"/>
      <c r="E416" s="165"/>
      <c r="F416" s="165" t="s">
        <v>2939</v>
      </c>
      <c r="G416" s="165" t="s">
        <v>2940</v>
      </c>
    </row>
    <row r="417" customFormat="false" ht="15" hidden="false" customHeight="false" outlineLevel="0" collapsed="false">
      <c r="A417" s="206" t="s">
        <v>2443</v>
      </c>
      <c r="B417" s="176" t="s">
        <v>2941</v>
      </c>
      <c r="C417" s="184" t="s">
        <v>3219</v>
      </c>
      <c r="D417" s="184"/>
      <c r="E417" s="184"/>
      <c r="F417" s="176" t="s">
        <v>1455</v>
      </c>
      <c r="G417" s="178" t="n">
        <f aca="false">F420</f>
        <v>16.4033333333333</v>
      </c>
    </row>
    <row r="418" customFormat="false" ht="15" hidden="false" customHeight="true" outlineLevel="0" collapsed="false">
      <c r="A418" s="185" t="s">
        <v>2943</v>
      </c>
      <c r="B418" s="185" t="s">
        <v>2944</v>
      </c>
      <c r="C418" s="185" t="s">
        <v>2945</v>
      </c>
      <c r="D418" s="185" t="s">
        <v>2946</v>
      </c>
      <c r="E418" s="172" t="s">
        <v>2947</v>
      </c>
      <c r="F418" s="185" t="s">
        <v>2948</v>
      </c>
      <c r="G418" s="185"/>
    </row>
    <row r="419" customFormat="false" ht="15" hidden="false" customHeight="false" outlineLevel="0" collapsed="false">
      <c r="A419" s="185"/>
      <c r="B419" s="185"/>
      <c r="C419" s="185"/>
      <c r="D419" s="185"/>
      <c r="E419" s="172"/>
      <c r="F419" s="173" t="s">
        <v>1374</v>
      </c>
      <c r="G419" s="174" t="s">
        <v>2949</v>
      </c>
    </row>
    <row r="420" customFormat="false" ht="15" hidden="false" customHeight="false" outlineLevel="0" collapsed="false">
      <c r="A420" s="175" t="s">
        <v>3022</v>
      </c>
      <c r="B420" s="176" t="s">
        <v>3023</v>
      </c>
      <c r="C420" s="176" t="s">
        <v>3024</v>
      </c>
      <c r="D420" s="201" t="n">
        <f aca="false">(32.94/3)</f>
        <v>10.98</v>
      </c>
      <c r="E420" s="178" t="n">
        <f aca="false">AVERAGE(D420:D422)</f>
        <v>16.4033333333333</v>
      </c>
      <c r="F420" s="178" t="n">
        <f aca="false">E420</f>
        <v>16.4033333333333</v>
      </c>
      <c r="G420" s="178" t="s">
        <v>2953</v>
      </c>
      <c r="H420" s="179" t="n">
        <f aca="false">F420</f>
        <v>16.4033333333333</v>
      </c>
      <c r="I420" s="179" t="str">
        <f aca="false">G420</f>
        <v>UTILIZOU-SE SINAPI</v>
      </c>
    </row>
    <row r="421" customFormat="false" ht="15" hidden="false" customHeight="false" outlineLevel="0" collapsed="false">
      <c r="A421" s="175" t="s">
        <v>3001</v>
      </c>
      <c r="B421" s="176" t="s">
        <v>3002</v>
      </c>
      <c r="C421" s="170" t="s">
        <v>3003</v>
      </c>
      <c r="D421" s="201" t="n">
        <f aca="false">(70.74/3)</f>
        <v>23.58</v>
      </c>
      <c r="E421" s="178"/>
      <c r="F421" s="178"/>
      <c r="G421" s="178"/>
    </row>
    <row r="422" customFormat="false" ht="15" hidden="false" customHeight="false" outlineLevel="0" collapsed="false">
      <c r="A422" s="175" t="s">
        <v>3220</v>
      </c>
      <c r="B422" s="176" t="s">
        <v>3221</v>
      </c>
      <c r="C422" s="176" t="s">
        <v>3222</v>
      </c>
      <c r="D422" s="201" t="n">
        <f aca="false">(43.95/3)</f>
        <v>14.65</v>
      </c>
      <c r="E422" s="178"/>
      <c r="F422" s="178"/>
      <c r="G422" s="178"/>
    </row>
    <row r="424" customFormat="false" ht="15" hidden="false" customHeight="false" outlineLevel="0" collapsed="false">
      <c r="A424" s="165" t="s">
        <v>28</v>
      </c>
      <c r="B424" s="165" t="s">
        <v>1410</v>
      </c>
      <c r="C424" s="165" t="s">
        <v>2938</v>
      </c>
      <c r="D424" s="165"/>
      <c r="E424" s="165"/>
      <c r="F424" s="165" t="s">
        <v>2939</v>
      </c>
      <c r="G424" s="165" t="s">
        <v>2940</v>
      </c>
    </row>
    <row r="425" customFormat="false" ht="15" hidden="false" customHeight="false" outlineLevel="0" collapsed="false">
      <c r="A425" s="206" t="s">
        <v>2433</v>
      </c>
      <c r="B425" s="176" t="s">
        <v>2941</v>
      </c>
      <c r="C425" s="184" t="s">
        <v>3223</v>
      </c>
      <c r="D425" s="184"/>
      <c r="E425" s="184"/>
      <c r="F425" s="176" t="s">
        <v>1455</v>
      </c>
      <c r="G425" s="178" t="n">
        <f aca="false">F428</f>
        <v>28.3122222222222</v>
      </c>
    </row>
    <row r="426" customFormat="false" ht="15" hidden="false" customHeight="true" outlineLevel="0" collapsed="false">
      <c r="A426" s="185" t="s">
        <v>2943</v>
      </c>
      <c r="B426" s="185" t="s">
        <v>2944</v>
      </c>
      <c r="C426" s="185" t="s">
        <v>2945</v>
      </c>
      <c r="D426" s="185" t="s">
        <v>2946</v>
      </c>
      <c r="E426" s="172" t="s">
        <v>2947</v>
      </c>
      <c r="F426" s="185" t="s">
        <v>2948</v>
      </c>
      <c r="G426" s="185"/>
    </row>
    <row r="427" customFormat="false" ht="15" hidden="false" customHeight="false" outlineLevel="0" collapsed="false">
      <c r="A427" s="185"/>
      <c r="B427" s="185"/>
      <c r="C427" s="185"/>
      <c r="D427" s="185"/>
      <c r="E427" s="172"/>
      <c r="F427" s="173" t="s">
        <v>1374</v>
      </c>
      <c r="G427" s="174" t="s">
        <v>2949</v>
      </c>
    </row>
    <row r="428" customFormat="false" ht="15" hidden="false" customHeight="false" outlineLevel="0" collapsed="false">
      <c r="A428" s="175" t="s">
        <v>3022</v>
      </c>
      <c r="B428" s="176" t="s">
        <v>3023</v>
      </c>
      <c r="C428" s="176" t="s">
        <v>3024</v>
      </c>
      <c r="D428" s="201" t="n">
        <f aca="false">(93.18/3)</f>
        <v>31.06</v>
      </c>
      <c r="E428" s="178" t="n">
        <f aca="false">AVERAGE(D428:D430)</f>
        <v>28.3122222222222</v>
      </c>
      <c r="F428" s="178" t="n">
        <f aca="false">E428</f>
        <v>28.3122222222222</v>
      </c>
      <c r="G428" s="178" t="s">
        <v>2953</v>
      </c>
      <c r="H428" s="179" t="n">
        <f aca="false">F428</f>
        <v>28.3122222222222</v>
      </c>
      <c r="I428" s="179" t="str">
        <f aca="false">G428</f>
        <v>UTILIZOU-SE SINAPI</v>
      </c>
    </row>
    <row r="429" customFormat="false" ht="15" hidden="false" customHeight="false" outlineLevel="0" collapsed="false">
      <c r="A429" s="175" t="s">
        <v>3224</v>
      </c>
      <c r="B429" s="176" t="s">
        <v>3225</v>
      </c>
      <c r="C429" s="170" t="s">
        <v>3226</v>
      </c>
      <c r="D429" s="201" t="n">
        <f aca="false">(81.63/3)</f>
        <v>27.21</v>
      </c>
      <c r="E429" s="178"/>
      <c r="F429" s="178"/>
      <c r="G429" s="178"/>
    </row>
    <row r="430" customFormat="false" ht="15" hidden="false" customHeight="false" outlineLevel="0" collapsed="false">
      <c r="A430" s="175" t="s">
        <v>3050</v>
      </c>
      <c r="B430" s="176" t="s">
        <v>3051</v>
      </c>
      <c r="C430" s="170" t="s">
        <v>3052</v>
      </c>
      <c r="D430" s="201" t="n">
        <f aca="false">(80/3)</f>
        <v>26.6666666666667</v>
      </c>
      <c r="E430" s="178"/>
      <c r="F430" s="178"/>
      <c r="G430" s="178"/>
    </row>
    <row r="431" s="157" customFormat="true" ht="15" hidden="false" customHeight="false" outlineLevel="0" collapsed="false">
      <c r="B431" s="183"/>
      <c r="C431" s="205"/>
      <c r="D431" s="187"/>
      <c r="E431" s="188"/>
      <c r="F431" s="188"/>
      <c r="G431" s="183"/>
    </row>
    <row r="432" customFormat="false" ht="15" hidden="false" customHeight="false" outlineLevel="0" collapsed="false">
      <c r="A432" s="165" t="s">
        <v>28</v>
      </c>
      <c r="B432" s="165" t="s">
        <v>1410</v>
      </c>
      <c r="C432" s="165" t="s">
        <v>2938</v>
      </c>
      <c r="D432" s="165"/>
      <c r="E432" s="165"/>
      <c r="F432" s="165" t="s">
        <v>2939</v>
      </c>
      <c r="G432" s="165" t="s">
        <v>2940</v>
      </c>
    </row>
    <row r="433" customFormat="false" ht="15" hidden="false" customHeight="false" outlineLevel="0" collapsed="false">
      <c r="A433" s="206" t="s">
        <v>2448</v>
      </c>
      <c r="B433" s="176" t="s">
        <v>2941</v>
      </c>
      <c r="C433" s="184" t="s">
        <v>3227</v>
      </c>
      <c r="D433" s="184"/>
      <c r="E433" s="184"/>
      <c r="F433" s="176" t="s">
        <v>1455</v>
      </c>
      <c r="G433" s="178" t="n">
        <f aca="false">F436</f>
        <v>12.2633333333333</v>
      </c>
    </row>
    <row r="434" customFormat="false" ht="15" hidden="false" customHeight="true" outlineLevel="0" collapsed="false">
      <c r="A434" s="185" t="s">
        <v>2943</v>
      </c>
      <c r="B434" s="185" t="s">
        <v>2944</v>
      </c>
      <c r="C434" s="185" t="s">
        <v>2945</v>
      </c>
      <c r="D434" s="185" t="s">
        <v>2946</v>
      </c>
      <c r="E434" s="172" t="s">
        <v>2947</v>
      </c>
      <c r="F434" s="185" t="s">
        <v>2948</v>
      </c>
      <c r="G434" s="185"/>
    </row>
    <row r="435" customFormat="false" ht="15" hidden="false" customHeight="false" outlineLevel="0" collapsed="false">
      <c r="A435" s="185"/>
      <c r="B435" s="185"/>
      <c r="C435" s="185"/>
      <c r="D435" s="185"/>
      <c r="E435" s="172"/>
      <c r="F435" s="173" t="s">
        <v>1374</v>
      </c>
      <c r="G435" s="174" t="s">
        <v>2949</v>
      </c>
    </row>
    <row r="436" customFormat="false" ht="15" hidden="false" customHeight="false" outlineLevel="0" collapsed="false">
      <c r="A436" s="175" t="s">
        <v>3022</v>
      </c>
      <c r="B436" s="176" t="s">
        <v>3023</v>
      </c>
      <c r="C436" s="176" t="s">
        <v>3024</v>
      </c>
      <c r="D436" s="201" t="n">
        <f aca="false">32.42/3</f>
        <v>10.8066666666667</v>
      </c>
      <c r="E436" s="178" t="n">
        <f aca="false">AVERAGE(D436:D438)</f>
        <v>12.2633333333333</v>
      </c>
      <c r="F436" s="178" t="n">
        <f aca="false">E436</f>
        <v>12.2633333333333</v>
      </c>
      <c r="G436" s="178" t="s">
        <v>2953</v>
      </c>
      <c r="H436" s="179" t="n">
        <f aca="false">F436</f>
        <v>12.2633333333333</v>
      </c>
      <c r="I436" s="179" t="str">
        <f aca="false">G436</f>
        <v>UTILIZOU-SE SINAPI</v>
      </c>
    </row>
    <row r="437" customFormat="false" ht="15" hidden="false" customHeight="false" outlineLevel="0" collapsed="false">
      <c r="A437" s="193" t="s">
        <v>3228</v>
      </c>
      <c r="B437" s="190" t="s">
        <v>3229</v>
      </c>
      <c r="C437" s="194" t="s">
        <v>3230</v>
      </c>
      <c r="D437" s="201" t="n">
        <f aca="false">44.75/3</f>
        <v>14.9166666666667</v>
      </c>
      <c r="E437" s="178"/>
      <c r="F437" s="178"/>
      <c r="G437" s="178"/>
    </row>
    <row r="438" customFormat="false" ht="15" hidden="false" customHeight="false" outlineLevel="0" collapsed="false">
      <c r="A438" s="175" t="s">
        <v>3090</v>
      </c>
      <c r="B438" s="176" t="s">
        <v>3091</v>
      </c>
      <c r="C438" s="176" t="s">
        <v>3092</v>
      </c>
      <c r="D438" s="201" t="n">
        <f aca="false">33.2/3</f>
        <v>11.0666666666667</v>
      </c>
      <c r="E438" s="178"/>
      <c r="F438" s="178"/>
      <c r="G438" s="178"/>
    </row>
    <row r="440" customFormat="false" ht="15" hidden="false" customHeight="false" outlineLevel="0" collapsed="false">
      <c r="A440" s="165" t="s">
        <v>28</v>
      </c>
      <c r="B440" s="165" t="s">
        <v>1410</v>
      </c>
      <c r="C440" s="165" t="s">
        <v>2938</v>
      </c>
      <c r="D440" s="165"/>
      <c r="E440" s="165"/>
      <c r="F440" s="165" t="s">
        <v>2939</v>
      </c>
      <c r="G440" s="165" t="s">
        <v>2940</v>
      </c>
    </row>
    <row r="441" customFormat="false" ht="30" hidden="false" customHeight="true" outlineLevel="0" collapsed="false">
      <c r="A441" s="206" t="s">
        <v>2397</v>
      </c>
      <c r="B441" s="176" t="s">
        <v>2941</v>
      </c>
      <c r="C441" s="169" t="s">
        <v>2398</v>
      </c>
      <c r="D441" s="169"/>
      <c r="E441" s="169"/>
      <c r="F441" s="176" t="s">
        <v>1455</v>
      </c>
      <c r="G441" s="178" t="n">
        <f aca="false">F444</f>
        <v>10.4259333333333</v>
      </c>
    </row>
    <row r="442" customFormat="false" ht="15" hidden="false" customHeight="true" outlineLevel="0" collapsed="false">
      <c r="A442" s="185" t="s">
        <v>2943</v>
      </c>
      <c r="B442" s="185" t="s">
        <v>2944</v>
      </c>
      <c r="C442" s="185" t="s">
        <v>2945</v>
      </c>
      <c r="D442" s="185" t="s">
        <v>2946</v>
      </c>
      <c r="E442" s="172" t="s">
        <v>2947</v>
      </c>
      <c r="F442" s="185" t="s">
        <v>2948</v>
      </c>
      <c r="G442" s="185"/>
    </row>
    <row r="443" customFormat="false" ht="15" hidden="false" customHeight="false" outlineLevel="0" collapsed="false">
      <c r="A443" s="185"/>
      <c r="B443" s="185"/>
      <c r="C443" s="185"/>
      <c r="D443" s="185"/>
      <c r="E443" s="172"/>
      <c r="F443" s="173" t="s">
        <v>1374</v>
      </c>
      <c r="G443" s="174" t="s">
        <v>2949</v>
      </c>
    </row>
    <row r="444" customFormat="false" ht="15" hidden="false" customHeight="false" outlineLevel="0" collapsed="false">
      <c r="A444" s="175" t="s">
        <v>2992</v>
      </c>
      <c r="B444" s="176" t="s">
        <v>3214</v>
      </c>
      <c r="C444" s="197" t="s">
        <v>3231</v>
      </c>
      <c r="D444" s="201" t="n">
        <f aca="false">382.91/50</f>
        <v>7.6582</v>
      </c>
      <c r="E444" s="178" t="n">
        <f aca="false">AVERAGE(D444:D446)</f>
        <v>10.4259333333333</v>
      </c>
      <c r="F444" s="178" t="n">
        <f aca="false">E444</f>
        <v>10.4259333333333</v>
      </c>
      <c r="G444" s="178" t="s">
        <v>2953</v>
      </c>
      <c r="H444" s="179" t="n">
        <f aca="false">F444</f>
        <v>10.4259333333333</v>
      </c>
      <c r="I444" s="179" t="str">
        <f aca="false">G444</f>
        <v>UTILIZOU-SE SINAPI</v>
      </c>
    </row>
    <row r="445" customFormat="false" ht="15" hidden="false" customHeight="false" outlineLevel="0" collapsed="false">
      <c r="A445" s="193" t="s">
        <v>3232</v>
      </c>
      <c r="B445" s="190" t="s">
        <v>3126</v>
      </c>
      <c r="C445" s="197" t="s">
        <v>3233</v>
      </c>
      <c r="D445" s="201" t="n">
        <v>5.46</v>
      </c>
      <c r="E445" s="178"/>
      <c r="F445" s="178"/>
      <c r="G445" s="178"/>
    </row>
    <row r="446" customFormat="false" ht="15" hidden="false" customHeight="false" outlineLevel="0" collapsed="false">
      <c r="A446" s="175" t="s">
        <v>3234</v>
      </c>
      <c r="B446" s="176" t="s">
        <v>3235</v>
      </c>
      <c r="C446" s="197" t="s">
        <v>3236</v>
      </c>
      <c r="D446" s="201" t="n">
        <f aca="false">453.99/25</f>
        <v>18.1596</v>
      </c>
      <c r="E446" s="178"/>
      <c r="F446" s="178"/>
      <c r="G446" s="178"/>
    </row>
    <row r="448" customFormat="false" ht="15" hidden="false" customHeight="false" outlineLevel="0" collapsed="false">
      <c r="A448" s="165" t="s">
        <v>28</v>
      </c>
      <c r="B448" s="165" t="s">
        <v>1410</v>
      </c>
      <c r="C448" s="165" t="s">
        <v>2938</v>
      </c>
      <c r="D448" s="165"/>
      <c r="E448" s="165"/>
      <c r="F448" s="165" t="s">
        <v>2939</v>
      </c>
      <c r="G448" s="165" t="s">
        <v>2940</v>
      </c>
    </row>
    <row r="449" customFormat="false" ht="15" hidden="false" customHeight="true" outlineLevel="0" collapsed="false">
      <c r="A449" s="206" t="s">
        <v>2626</v>
      </c>
      <c r="B449" s="176" t="s">
        <v>2941</v>
      </c>
      <c r="C449" s="169" t="s">
        <v>3237</v>
      </c>
      <c r="D449" s="169"/>
      <c r="E449" s="169"/>
      <c r="F449" s="176" t="s">
        <v>2995</v>
      </c>
      <c r="G449" s="178" t="n">
        <f aca="false">F452</f>
        <v>11.93</v>
      </c>
    </row>
    <row r="450" customFormat="false" ht="15" hidden="false" customHeight="true" outlineLevel="0" collapsed="false">
      <c r="A450" s="185" t="s">
        <v>2943</v>
      </c>
      <c r="B450" s="185" t="s">
        <v>2944</v>
      </c>
      <c r="C450" s="185" t="s">
        <v>2945</v>
      </c>
      <c r="D450" s="185" t="s">
        <v>2946</v>
      </c>
      <c r="E450" s="172" t="s">
        <v>2947</v>
      </c>
      <c r="F450" s="185" t="s">
        <v>2948</v>
      </c>
      <c r="G450" s="185"/>
    </row>
    <row r="451" customFormat="false" ht="15" hidden="false" customHeight="false" outlineLevel="0" collapsed="false">
      <c r="A451" s="185"/>
      <c r="B451" s="185"/>
      <c r="C451" s="185"/>
      <c r="D451" s="185"/>
      <c r="E451" s="172"/>
      <c r="F451" s="173" t="s">
        <v>1374</v>
      </c>
      <c r="G451" s="174" t="s">
        <v>2949</v>
      </c>
    </row>
    <row r="452" customFormat="false" ht="15" hidden="false" customHeight="false" outlineLevel="0" collapsed="false">
      <c r="A452" s="175" t="s">
        <v>3050</v>
      </c>
      <c r="B452" s="176" t="s">
        <v>3051</v>
      </c>
      <c r="C452" s="170" t="s">
        <v>3052</v>
      </c>
      <c r="D452" s="201" t="n">
        <v>15.51</v>
      </c>
      <c r="E452" s="178" t="n">
        <f aca="false">AVERAGE(D452:D454)</f>
        <v>11.93</v>
      </c>
      <c r="F452" s="178" t="n">
        <f aca="false">E452</f>
        <v>11.93</v>
      </c>
      <c r="G452" s="178" t="s">
        <v>2953</v>
      </c>
      <c r="H452" s="179" t="n">
        <f aca="false">F452</f>
        <v>11.93</v>
      </c>
      <c r="I452" s="179" t="str">
        <f aca="false">G452</f>
        <v>UTILIZOU-SE SINAPI</v>
      </c>
    </row>
    <row r="453" customFormat="false" ht="15" hidden="false" customHeight="false" outlineLevel="0" collapsed="false">
      <c r="A453" s="175" t="s">
        <v>3238</v>
      </c>
      <c r="B453" s="176" t="s">
        <v>3239</v>
      </c>
      <c r="C453" s="170" t="s">
        <v>3240</v>
      </c>
      <c r="D453" s="201" t="n">
        <v>11.65</v>
      </c>
      <c r="E453" s="178"/>
      <c r="F453" s="178"/>
      <c r="G453" s="178"/>
    </row>
    <row r="454" customFormat="false" ht="15" hidden="false" customHeight="false" outlineLevel="0" collapsed="false">
      <c r="A454" s="175" t="s">
        <v>3241</v>
      </c>
      <c r="B454" s="176" t="s">
        <v>3242</v>
      </c>
      <c r="C454" s="170" t="s">
        <v>3243</v>
      </c>
      <c r="D454" s="201" t="n">
        <v>8.63</v>
      </c>
      <c r="E454" s="178"/>
      <c r="F454" s="178"/>
      <c r="G454" s="178"/>
    </row>
    <row r="456" customFormat="false" ht="15" hidden="false" customHeight="false" outlineLevel="0" collapsed="false">
      <c r="A456" s="165" t="s">
        <v>28</v>
      </c>
      <c r="B456" s="165" t="s">
        <v>1410</v>
      </c>
      <c r="C456" s="165" t="s">
        <v>2938</v>
      </c>
      <c r="D456" s="165"/>
      <c r="E456" s="165"/>
      <c r="F456" s="165" t="s">
        <v>2939</v>
      </c>
      <c r="G456" s="165" t="s">
        <v>2940</v>
      </c>
    </row>
    <row r="457" customFormat="false" ht="15" hidden="false" customHeight="true" outlineLevel="0" collapsed="false">
      <c r="A457" s="206" t="s">
        <v>2435</v>
      </c>
      <c r="B457" s="176" t="s">
        <v>2941</v>
      </c>
      <c r="C457" s="169" t="s">
        <v>2436</v>
      </c>
      <c r="D457" s="169"/>
      <c r="E457" s="169"/>
      <c r="F457" s="176" t="s">
        <v>2995</v>
      </c>
      <c r="G457" s="178" t="n">
        <f aca="false">F460</f>
        <v>7.48366666666667</v>
      </c>
    </row>
    <row r="458" customFormat="false" ht="15" hidden="false" customHeight="true" outlineLevel="0" collapsed="false">
      <c r="A458" s="185" t="s">
        <v>2943</v>
      </c>
      <c r="B458" s="185" t="s">
        <v>2944</v>
      </c>
      <c r="C458" s="185" t="s">
        <v>2945</v>
      </c>
      <c r="D458" s="185" t="s">
        <v>2946</v>
      </c>
      <c r="E458" s="172" t="s">
        <v>2947</v>
      </c>
      <c r="F458" s="185" t="s">
        <v>2948</v>
      </c>
      <c r="G458" s="185"/>
    </row>
    <row r="459" customFormat="false" ht="15" hidden="false" customHeight="false" outlineLevel="0" collapsed="false">
      <c r="A459" s="185"/>
      <c r="B459" s="185"/>
      <c r="C459" s="185"/>
      <c r="D459" s="185"/>
      <c r="E459" s="172"/>
      <c r="F459" s="173" t="s">
        <v>1374</v>
      </c>
      <c r="G459" s="174" t="s">
        <v>2949</v>
      </c>
    </row>
    <row r="460" customFormat="false" ht="15" hidden="false" customHeight="false" outlineLevel="0" collapsed="false">
      <c r="A460" s="175" t="s">
        <v>3244</v>
      </c>
      <c r="B460" s="176" t="s">
        <v>3245</v>
      </c>
      <c r="C460" s="170" t="s">
        <v>3246</v>
      </c>
      <c r="D460" s="201" t="n">
        <v>6.65</v>
      </c>
      <c r="E460" s="178" t="n">
        <f aca="false">AVERAGE(D460:D462)</f>
        <v>7.48366666666667</v>
      </c>
      <c r="F460" s="178" t="n">
        <f aca="false">E460</f>
        <v>7.48366666666667</v>
      </c>
      <c r="G460" s="178" t="s">
        <v>2953</v>
      </c>
      <c r="H460" s="179" t="n">
        <f aca="false">F460</f>
        <v>7.48366666666667</v>
      </c>
      <c r="I460" s="179" t="str">
        <f aca="false">G460</f>
        <v>UTILIZOU-SE SINAPI</v>
      </c>
    </row>
    <row r="461" customFormat="false" ht="15" hidden="false" customHeight="false" outlineLevel="0" collapsed="false">
      <c r="A461" s="175" t="s">
        <v>3247</v>
      </c>
      <c r="B461" s="176" t="s">
        <v>3248</v>
      </c>
      <c r="C461" s="170" t="s">
        <v>3249</v>
      </c>
      <c r="D461" s="201" t="n">
        <f aca="false">43.51/10</f>
        <v>4.351</v>
      </c>
      <c r="E461" s="178"/>
      <c r="F461" s="178"/>
      <c r="G461" s="178"/>
    </row>
    <row r="462" customFormat="false" ht="15" hidden="false" customHeight="false" outlineLevel="0" collapsed="false">
      <c r="A462" s="175" t="s">
        <v>3050</v>
      </c>
      <c r="B462" s="176" t="s">
        <v>3051</v>
      </c>
      <c r="C462" s="170" t="s">
        <v>3052</v>
      </c>
      <c r="D462" s="201" t="n">
        <v>11.45</v>
      </c>
      <c r="E462" s="178"/>
      <c r="F462" s="178"/>
      <c r="G462" s="178"/>
    </row>
    <row r="464" customFormat="false" ht="15" hidden="false" customHeight="false" outlineLevel="0" collapsed="false">
      <c r="A464" s="165" t="s">
        <v>28</v>
      </c>
      <c r="B464" s="165" t="s">
        <v>1410</v>
      </c>
      <c r="C464" s="165" t="s">
        <v>2938</v>
      </c>
      <c r="D464" s="165"/>
      <c r="E464" s="165"/>
      <c r="F464" s="165" t="s">
        <v>2939</v>
      </c>
      <c r="G464" s="165" t="s">
        <v>2940</v>
      </c>
    </row>
    <row r="465" customFormat="false" ht="15" hidden="false" customHeight="true" outlineLevel="0" collapsed="false">
      <c r="A465" s="199" t="s">
        <v>2861</v>
      </c>
      <c r="B465" s="176" t="s">
        <v>2941</v>
      </c>
      <c r="C465" s="169" t="s">
        <v>3250</v>
      </c>
      <c r="D465" s="169"/>
      <c r="E465" s="169"/>
      <c r="F465" s="176" t="s">
        <v>2995</v>
      </c>
      <c r="G465" s="178" t="n">
        <f aca="false">F468</f>
        <v>806.18</v>
      </c>
    </row>
    <row r="466" customFormat="false" ht="15" hidden="false" customHeight="true" outlineLevel="0" collapsed="false">
      <c r="A466" s="185" t="s">
        <v>2943</v>
      </c>
      <c r="B466" s="185" t="s">
        <v>2944</v>
      </c>
      <c r="C466" s="185" t="s">
        <v>2945</v>
      </c>
      <c r="D466" s="185" t="s">
        <v>2946</v>
      </c>
      <c r="E466" s="172" t="s">
        <v>2947</v>
      </c>
      <c r="F466" s="185" t="s">
        <v>2948</v>
      </c>
      <c r="G466" s="185"/>
    </row>
    <row r="467" customFormat="false" ht="15" hidden="false" customHeight="false" outlineLevel="0" collapsed="false">
      <c r="A467" s="185"/>
      <c r="B467" s="185"/>
      <c r="C467" s="185"/>
      <c r="D467" s="185"/>
      <c r="E467" s="172"/>
      <c r="F467" s="173" t="s">
        <v>1374</v>
      </c>
      <c r="G467" s="174" t="s">
        <v>2949</v>
      </c>
    </row>
    <row r="468" customFormat="false" ht="15" hidden="false" customHeight="false" outlineLevel="0" collapsed="false">
      <c r="A468" s="175" t="s">
        <v>3251</v>
      </c>
      <c r="B468" s="176" t="s">
        <v>3252</v>
      </c>
      <c r="C468" s="170" t="s">
        <v>3253</v>
      </c>
      <c r="D468" s="201" t="n">
        <v>791.73</v>
      </c>
      <c r="E468" s="178" t="n">
        <f aca="false">AVERAGE(D468:D470)</f>
        <v>806.18</v>
      </c>
      <c r="F468" s="178" t="n">
        <f aca="false">E468</f>
        <v>806.18</v>
      </c>
      <c r="G468" s="178" t="s">
        <v>2953</v>
      </c>
      <c r="H468" s="179" t="n">
        <f aca="false">F468</f>
        <v>806.18</v>
      </c>
      <c r="I468" s="179" t="str">
        <f aca="false">G468</f>
        <v>UTILIZOU-SE SINAPI</v>
      </c>
    </row>
    <row r="469" customFormat="false" ht="15" hidden="false" customHeight="false" outlineLevel="0" collapsed="false">
      <c r="A469" s="175" t="s">
        <v>3175</v>
      </c>
      <c r="B469" s="176" t="s">
        <v>3176</v>
      </c>
      <c r="C469" s="170" t="s">
        <v>3177</v>
      </c>
      <c r="D469" s="201" t="n">
        <v>818.91</v>
      </c>
      <c r="E469" s="178"/>
      <c r="F469" s="178"/>
      <c r="G469" s="178"/>
    </row>
    <row r="470" customFormat="false" ht="15" hidden="false" customHeight="false" outlineLevel="0" collapsed="false">
      <c r="A470" s="175" t="s">
        <v>3172</v>
      </c>
      <c r="B470" s="176" t="s">
        <v>3173</v>
      </c>
      <c r="C470" s="170" t="s">
        <v>3174</v>
      </c>
      <c r="D470" s="201" t="n">
        <v>807.9</v>
      </c>
      <c r="E470" s="178"/>
      <c r="F470" s="178"/>
      <c r="G470" s="178"/>
    </row>
    <row r="472" customFormat="false" ht="15" hidden="false" customHeight="false" outlineLevel="0" collapsed="false">
      <c r="A472" s="165" t="s">
        <v>28</v>
      </c>
      <c r="B472" s="165" t="s">
        <v>1410</v>
      </c>
      <c r="C472" s="165" t="s">
        <v>2938</v>
      </c>
      <c r="D472" s="165"/>
      <c r="E472" s="165"/>
      <c r="F472" s="165" t="s">
        <v>2939</v>
      </c>
      <c r="G472" s="165" t="s">
        <v>2940</v>
      </c>
    </row>
    <row r="473" customFormat="false" ht="15" hidden="false" customHeight="true" outlineLevel="0" collapsed="false">
      <c r="A473" s="199" t="s">
        <v>2550</v>
      </c>
      <c r="B473" s="176" t="s">
        <v>2941</v>
      </c>
      <c r="C473" s="169" t="s">
        <v>3254</v>
      </c>
      <c r="D473" s="169"/>
      <c r="E473" s="169"/>
      <c r="F473" s="176" t="s">
        <v>2995</v>
      </c>
      <c r="G473" s="178" t="n">
        <f aca="false">F476</f>
        <v>96.9366666666667</v>
      </c>
    </row>
    <row r="474" customFormat="false" ht="15" hidden="false" customHeight="true" outlineLevel="0" collapsed="false">
      <c r="A474" s="185" t="s">
        <v>2943</v>
      </c>
      <c r="B474" s="185" t="s">
        <v>2944</v>
      </c>
      <c r="C474" s="185" t="s">
        <v>2945</v>
      </c>
      <c r="D474" s="185" t="s">
        <v>2946</v>
      </c>
      <c r="E474" s="172" t="s">
        <v>2947</v>
      </c>
      <c r="F474" s="185" t="s">
        <v>2948</v>
      </c>
      <c r="G474" s="185"/>
    </row>
    <row r="475" customFormat="false" ht="15" hidden="false" customHeight="false" outlineLevel="0" collapsed="false">
      <c r="A475" s="185"/>
      <c r="B475" s="185"/>
      <c r="C475" s="185"/>
      <c r="D475" s="185"/>
      <c r="E475" s="172"/>
      <c r="F475" s="173" t="s">
        <v>1374</v>
      </c>
      <c r="G475" s="174" t="s">
        <v>2949</v>
      </c>
    </row>
    <row r="476" customFormat="false" ht="15" hidden="false" customHeight="false" outlineLevel="0" collapsed="false">
      <c r="A476" s="175" t="s">
        <v>3255</v>
      </c>
      <c r="B476" s="176" t="s">
        <v>3256</v>
      </c>
      <c r="C476" s="170" t="s">
        <v>3257</v>
      </c>
      <c r="D476" s="201" t="n">
        <v>84.99</v>
      </c>
      <c r="E476" s="178" t="n">
        <f aca="false">AVERAGE(D476:D478)</f>
        <v>96.9366666666667</v>
      </c>
      <c r="F476" s="178" t="n">
        <f aca="false">E476</f>
        <v>96.9366666666667</v>
      </c>
      <c r="G476" s="178" t="s">
        <v>2953</v>
      </c>
      <c r="H476" s="179" t="n">
        <f aca="false">F476</f>
        <v>96.9366666666667</v>
      </c>
      <c r="I476" s="179" t="str">
        <f aca="false">G476</f>
        <v>UTILIZOU-SE SINAPI</v>
      </c>
    </row>
    <row r="477" customFormat="false" ht="15" hidden="false" customHeight="false" outlineLevel="0" collapsed="false">
      <c r="A477" s="175" t="s">
        <v>3009</v>
      </c>
      <c r="B477" s="176" t="s">
        <v>3010</v>
      </c>
      <c r="C477" s="176" t="s">
        <v>3011</v>
      </c>
      <c r="D477" s="201" t="n">
        <v>103.46</v>
      </c>
      <c r="E477" s="178"/>
      <c r="F477" s="178"/>
      <c r="G477" s="178"/>
    </row>
    <row r="478" customFormat="false" ht="15" hidden="false" customHeight="false" outlineLevel="0" collapsed="false">
      <c r="A478" s="175" t="s">
        <v>3258</v>
      </c>
      <c r="B478" s="176" t="s">
        <v>3259</v>
      </c>
      <c r="C478" s="170" t="s">
        <v>3260</v>
      </c>
      <c r="D478" s="201" t="n">
        <v>102.36</v>
      </c>
      <c r="E478" s="178"/>
      <c r="F478" s="178"/>
      <c r="G478" s="178"/>
    </row>
    <row r="480" customFormat="false" ht="15" hidden="false" customHeight="false" outlineLevel="0" collapsed="false">
      <c r="A480" s="165" t="s">
        <v>28</v>
      </c>
      <c r="B480" s="165" t="s">
        <v>1410</v>
      </c>
      <c r="C480" s="165" t="s">
        <v>2938</v>
      </c>
      <c r="D480" s="165"/>
      <c r="E480" s="165"/>
      <c r="F480" s="165" t="s">
        <v>2939</v>
      </c>
      <c r="G480" s="165" t="s">
        <v>2940</v>
      </c>
    </row>
    <row r="481" customFormat="false" ht="15" hidden="false" customHeight="true" outlineLevel="0" collapsed="false">
      <c r="A481" s="206" t="s">
        <v>1980</v>
      </c>
      <c r="B481" s="190" t="s">
        <v>2941</v>
      </c>
      <c r="C481" s="191" t="s">
        <v>1981</v>
      </c>
      <c r="D481" s="191"/>
      <c r="E481" s="191"/>
      <c r="F481" s="190" t="s">
        <v>1455</v>
      </c>
      <c r="G481" s="192" t="n">
        <f aca="false">F484</f>
        <v>26.8133333333333</v>
      </c>
    </row>
    <row r="482" customFormat="false" ht="15" hidden="false" customHeight="true" outlineLevel="0" collapsed="false">
      <c r="A482" s="185" t="s">
        <v>2943</v>
      </c>
      <c r="B482" s="185" t="s">
        <v>2944</v>
      </c>
      <c r="C482" s="185" t="s">
        <v>2945</v>
      </c>
      <c r="D482" s="185" t="s">
        <v>2946</v>
      </c>
      <c r="E482" s="172" t="s">
        <v>2947</v>
      </c>
      <c r="F482" s="185" t="s">
        <v>2948</v>
      </c>
      <c r="G482" s="185"/>
    </row>
    <row r="483" customFormat="false" ht="15" hidden="false" customHeight="false" outlineLevel="0" collapsed="false">
      <c r="A483" s="185"/>
      <c r="B483" s="185"/>
      <c r="C483" s="185"/>
      <c r="D483" s="185"/>
      <c r="E483" s="172"/>
      <c r="F483" s="173" t="s">
        <v>1374</v>
      </c>
      <c r="G483" s="174" t="s">
        <v>2949</v>
      </c>
    </row>
    <row r="484" customFormat="false" ht="15" hidden="false" customHeight="false" outlineLevel="0" collapsed="false">
      <c r="A484" s="175" t="s">
        <v>3001</v>
      </c>
      <c r="B484" s="176" t="s">
        <v>3002</v>
      </c>
      <c r="C484" s="176" t="s">
        <v>3003</v>
      </c>
      <c r="D484" s="201" t="n">
        <f aca="false">114.9/5</f>
        <v>22.98</v>
      </c>
      <c r="E484" s="178" t="n">
        <f aca="false">AVERAGE(D484:D486)</f>
        <v>26.8133333333333</v>
      </c>
      <c r="F484" s="178" t="n">
        <f aca="false">E484</f>
        <v>26.8133333333333</v>
      </c>
      <c r="G484" s="178" t="s">
        <v>2953</v>
      </c>
      <c r="H484" s="179" t="n">
        <f aca="false">F484</f>
        <v>26.8133333333333</v>
      </c>
      <c r="I484" s="179" t="str">
        <f aca="false">G484</f>
        <v>UTILIZOU-SE SINAPI</v>
      </c>
    </row>
    <row r="485" customFormat="false" ht="15" hidden="false" customHeight="false" outlineLevel="0" collapsed="false">
      <c r="A485" s="175" t="s">
        <v>3261</v>
      </c>
      <c r="B485" s="176" t="s">
        <v>3262</v>
      </c>
      <c r="C485" s="176" t="s">
        <v>3263</v>
      </c>
      <c r="D485" s="201" t="n">
        <f aca="false">143.64/5</f>
        <v>28.728</v>
      </c>
      <c r="E485" s="178"/>
      <c r="F485" s="178"/>
      <c r="G485" s="178"/>
    </row>
    <row r="486" customFormat="false" ht="15" hidden="false" customHeight="false" outlineLevel="0" collapsed="false">
      <c r="A486" s="175" t="s">
        <v>3264</v>
      </c>
      <c r="B486" s="176" t="s">
        <v>3265</v>
      </c>
      <c r="C486" s="170" t="s">
        <v>3266</v>
      </c>
      <c r="D486" s="201" t="n">
        <f aca="false">143.66/5</f>
        <v>28.732</v>
      </c>
      <c r="E486" s="178"/>
      <c r="F486" s="178"/>
      <c r="G486" s="178"/>
    </row>
    <row r="488" customFormat="false" ht="15" hidden="false" customHeight="false" outlineLevel="0" collapsed="false">
      <c r="A488" s="165" t="s">
        <v>28</v>
      </c>
      <c r="B488" s="165" t="s">
        <v>1410</v>
      </c>
      <c r="C488" s="165" t="s">
        <v>2938</v>
      </c>
      <c r="D488" s="165"/>
      <c r="E488" s="165"/>
      <c r="F488" s="165" t="s">
        <v>2939</v>
      </c>
      <c r="G488" s="165" t="s">
        <v>2940</v>
      </c>
    </row>
    <row r="489" customFormat="false" ht="15" hidden="false" customHeight="true" outlineLevel="0" collapsed="false">
      <c r="A489" s="199" t="s">
        <v>2706</v>
      </c>
      <c r="B489" s="176" t="s">
        <v>2941</v>
      </c>
      <c r="C489" s="169" t="s">
        <v>3267</v>
      </c>
      <c r="D489" s="169"/>
      <c r="E489" s="169"/>
      <c r="F489" s="176" t="s">
        <v>2995</v>
      </c>
      <c r="G489" s="178" t="n">
        <f aca="false">F492</f>
        <v>96.95</v>
      </c>
    </row>
    <row r="490" customFormat="false" ht="15" hidden="false" customHeight="true" outlineLevel="0" collapsed="false">
      <c r="A490" s="185" t="s">
        <v>2943</v>
      </c>
      <c r="B490" s="185" t="s">
        <v>2944</v>
      </c>
      <c r="C490" s="185" t="s">
        <v>2945</v>
      </c>
      <c r="D490" s="185" t="s">
        <v>2946</v>
      </c>
      <c r="E490" s="172" t="s">
        <v>2947</v>
      </c>
      <c r="F490" s="185" t="s">
        <v>2948</v>
      </c>
      <c r="G490" s="185"/>
    </row>
    <row r="491" customFormat="false" ht="15" hidden="false" customHeight="false" outlineLevel="0" collapsed="false">
      <c r="A491" s="185"/>
      <c r="B491" s="185"/>
      <c r="C491" s="185"/>
      <c r="D491" s="185"/>
      <c r="E491" s="172"/>
      <c r="F491" s="173" t="s">
        <v>1374</v>
      </c>
      <c r="G491" s="174" t="s">
        <v>2949</v>
      </c>
    </row>
    <row r="492" customFormat="false" ht="15" hidden="false" customHeight="false" outlineLevel="0" collapsed="false">
      <c r="A492" s="175" t="s">
        <v>3268</v>
      </c>
      <c r="B492" s="176" t="s">
        <v>3269</v>
      </c>
      <c r="C492" s="170" t="s">
        <v>3270</v>
      </c>
      <c r="D492" s="201" t="n">
        <v>112</v>
      </c>
      <c r="E492" s="178" t="n">
        <f aca="false">AVERAGE(D492:D494)</f>
        <v>96.95</v>
      </c>
      <c r="F492" s="178" t="n">
        <f aca="false">E492</f>
        <v>96.95</v>
      </c>
      <c r="G492" s="178" t="s">
        <v>2953</v>
      </c>
      <c r="H492" s="179" t="n">
        <f aca="false">F492</f>
        <v>96.95</v>
      </c>
      <c r="I492" s="179" t="str">
        <f aca="false">G492</f>
        <v>UTILIZOU-SE SINAPI</v>
      </c>
    </row>
    <row r="493" customFormat="false" ht="15" hidden="false" customHeight="false" outlineLevel="0" collapsed="false">
      <c r="A493" s="175" t="s">
        <v>3271</v>
      </c>
      <c r="B493" s="176" t="s">
        <v>3272</v>
      </c>
      <c r="C493" s="170" t="s">
        <v>3273</v>
      </c>
      <c r="D493" s="201" t="n">
        <v>127.05</v>
      </c>
      <c r="E493" s="178"/>
      <c r="F493" s="178"/>
      <c r="G493" s="178"/>
    </row>
    <row r="494" customFormat="false" ht="15" hidden="false" customHeight="false" outlineLevel="0" collapsed="false">
      <c r="A494" s="175" t="s">
        <v>3274</v>
      </c>
      <c r="B494" s="176" t="s">
        <v>3275</v>
      </c>
      <c r="C494" s="170" t="s">
        <v>3276</v>
      </c>
      <c r="D494" s="201" t="n">
        <v>51.8</v>
      </c>
      <c r="E494" s="178"/>
      <c r="F494" s="178"/>
      <c r="G494" s="178"/>
    </row>
    <row r="496" customFormat="false" ht="15" hidden="false" customHeight="false" outlineLevel="0" collapsed="false">
      <c r="A496" s="165" t="s">
        <v>28</v>
      </c>
      <c r="B496" s="165" t="s">
        <v>1410</v>
      </c>
      <c r="C496" s="165" t="s">
        <v>2938</v>
      </c>
      <c r="D496" s="165"/>
      <c r="E496" s="165"/>
      <c r="F496" s="165" t="s">
        <v>2939</v>
      </c>
      <c r="G496" s="165" t="s">
        <v>2940</v>
      </c>
    </row>
    <row r="497" s="208" customFormat="true" ht="15" hidden="false" customHeight="true" outlineLevel="0" collapsed="false">
      <c r="A497" s="199" t="s">
        <v>2714</v>
      </c>
      <c r="B497" s="176" t="s">
        <v>2941</v>
      </c>
      <c r="C497" s="169" t="s">
        <v>2715</v>
      </c>
      <c r="D497" s="169"/>
      <c r="E497" s="169"/>
      <c r="F497" s="176" t="s">
        <v>2995</v>
      </c>
      <c r="G497" s="178" t="n">
        <f aca="false">F500</f>
        <v>146.043333333333</v>
      </c>
      <c r="H497" s="207"/>
      <c r="I497" s="207"/>
    </row>
    <row r="498" customFormat="false" ht="15" hidden="false" customHeight="true" outlineLevel="0" collapsed="false">
      <c r="A498" s="185" t="s">
        <v>2943</v>
      </c>
      <c r="B498" s="185" t="s">
        <v>2944</v>
      </c>
      <c r="C498" s="185" t="s">
        <v>2945</v>
      </c>
      <c r="D498" s="185" t="s">
        <v>2946</v>
      </c>
      <c r="E498" s="172" t="s">
        <v>2947</v>
      </c>
      <c r="F498" s="185" t="s">
        <v>2948</v>
      </c>
      <c r="G498" s="185"/>
    </row>
    <row r="499" customFormat="false" ht="15" hidden="false" customHeight="false" outlineLevel="0" collapsed="false">
      <c r="A499" s="185"/>
      <c r="B499" s="185"/>
      <c r="C499" s="185"/>
      <c r="D499" s="185"/>
      <c r="E499" s="172"/>
      <c r="F499" s="173" t="s">
        <v>1374</v>
      </c>
      <c r="G499" s="174" t="s">
        <v>2949</v>
      </c>
    </row>
    <row r="500" customFormat="false" ht="15" hidden="false" customHeight="false" outlineLevel="0" collapsed="false">
      <c r="A500" s="175" t="s">
        <v>3050</v>
      </c>
      <c r="B500" s="176" t="s">
        <v>3051</v>
      </c>
      <c r="C500" s="170" t="s">
        <v>3052</v>
      </c>
      <c r="D500" s="201" t="n">
        <v>116</v>
      </c>
      <c r="E500" s="178" t="n">
        <f aca="false">AVERAGE(D500:D502)</f>
        <v>146.043333333333</v>
      </c>
      <c r="F500" s="178" t="n">
        <f aca="false">E500</f>
        <v>146.043333333333</v>
      </c>
      <c r="G500" s="178" t="s">
        <v>2953</v>
      </c>
      <c r="H500" s="179" t="n">
        <f aca="false">F500</f>
        <v>146.043333333333</v>
      </c>
      <c r="I500" s="179" t="str">
        <f aca="false">G500</f>
        <v>UTILIZOU-SE SINAPI</v>
      </c>
    </row>
    <row r="501" customFormat="false" ht="15" hidden="false" customHeight="false" outlineLevel="0" collapsed="false">
      <c r="A501" s="175" t="s">
        <v>3277</v>
      </c>
      <c r="B501" s="176" t="s">
        <v>3278</v>
      </c>
      <c r="C501" s="170" t="s">
        <v>3279</v>
      </c>
      <c r="D501" s="201" t="n">
        <v>180.93</v>
      </c>
      <c r="E501" s="178"/>
      <c r="F501" s="178"/>
      <c r="G501" s="178"/>
    </row>
    <row r="502" customFormat="false" ht="15" hidden="false" customHeight="false" outlineLevel="0" collapsed="false">
      <c r="A502" s="175" t="s">
        <v>3280</v>
      </c>
      <c r="B502" s="176" t="s">
        <v>3281</v>
      </c>
      <c r="C502" s="170" t="s">
        <v>3282</v>
      </c>
      <c r="D502" s="201" t="n">
        <v>141.2</v>
      </c>
      <c r="E502" s="178"/>
      <c r="F502" s="178"/>
      <c r="G502" s="178"/>
    </row>
    <row r="504" customFormat="false" ht="15" hidden="false" customHeight="false" outlineLevel="0" collapsed="false">
      <c r="A504" s="165" t="s">
        <v>28</v>
      </c>
      <c r="B504" s="165" t="s">
        <v>1410</v>
      </c>
      <c r="C504" s="165" t="s">
        <v>2938</v>
      </c>
      <c r="D504" s="165"/>
      <c r="E504" s="165"/>
      <c r="F504" s="165" t="s">
        <v>2939</v>
      </c>
      <c r="G504" s="165" t="s">
        <v>2940</v>
      </c>
    </row>
    <row r="505" customFormat="false" ht="15" hidden="false" customHeight="true" outlineLevel="0" collapsed="false">
      <c r="A505" s="206" t="s">
        <v>2011</v>
      </c>
      <c r="B505" s="176" t="s">
        <v>2941</v>
      </c>
      <c r="C505" s="169" t="s">
        <v>2010</v>
      </c>
      <c r="D505" s="169"/>
      <c r="E505" s="169"/>
      <c r="F505" s="176" t="s">
        <v>2995</v>
      </c>
      <c r="G505" s="178" t="n">
        <f aca="false">F508+G508</f>
        <v>183355.03</v>
      </c>
    </row>
    <row r="506" customFormat="false" ht="15" hidden="false" customHeight="true" outlineLevel="0" collapsed="false">
      <c r="A506" s="185" t="s">
        <v>2943</v>
      </c>
      <c r="B506" s="185" t="s">
        <v>2944</v>
      </c>
      <c r="C506" s="185" t="s">
        <v>2945</v>
      </c>
      <c r="D506" s="185" t="s">
        <v>2946</v>
      </c>
      <c r="E506" s="172" t="s">
        <v>2947</v>
      </c>
      <c r="F506" s="185" t="s">
        <v>2948</v>
      </c>
      <c r="G506" s="185"/>
    </row>
    <row r="507" customFormat="false" ht="15" hidden="false" customHeight="false" outlineLevel="0" collapsed="false">
      <c r="A507" s="185"/>
      <c r="B507" s="185"/>
      <c r="C507" s="185"/>
      <c r="D507" s="185"/>
      <c r="E507" s="172"/>
      <c r="F507" s="173" t="s">
        <v>1374</v>
      </c>
      <c r="G507" s="174" t="s">
        <v>2949</v>
      </c>
    </row>
    <row r="508" customFormat="false" ht="15" hidden="false" customHeight="false" outlineLevel="0" collapsed="false">
      <c r="A508" s="175" t="s">
        <v>3283</v>
      </c>
      <c r="B508" s="176" t="s">
        <v>3284</v>
      </c>
      <c r="C508" s="170" t="s">
        <v>3285</v>
      </c>
      <c r="D508" s="201" t="n">
        <v>160735.09</v>
      </c>
      <c r="E508" s="178" t="n">
        <f aca="false">AVERAGE(D508:D510)</f>
        <v>183355.03</v>
      </c>
      <c r="F508" s="178" t="n">
        <f aca="false">E508*0.7</f>
        <v>128348.521</v>
      </c>
      <c r="G508" s="178" t="n">
        <f aca="false">E508*0.3</f>
        <v>55006.509</v>
      </c>
      <c r="H508" s="179" t="n">
        <f aca="false">F508</f>
        <v>128348.521</v>
      </c>
      <c r="I508" s="179" t="n">
        <f aca="false">G508</f>
        <v>55006.509</v>
      </c>
    </row>
    <row r="509" customFormat="false" ht="15" hidden="false" customHeight="false" outlineLevel="0" collapsed="false">
      <c r="A509" s="175" t="s">
        <v>3286</v>
      </c>
      <c r="B509" s="176" t="s">
        <v>3287</v>
      </c>
      <c r="C509" s="170" t="s">
        <v>3288</v>
      </c>
      <c r="D509" s="201" t="n">
        <v>259400</v>
      </c>
      <c r="E509" s="178"/>
      <c r="F509" s="178"/>
      <c r="G509" s="178"/>
    </row>
    <row r="510" customFormat="false" ht="15" hidden="false" customHeight="false" outlineLevel="0" collapsed="false">
      <c r="A510" s="193" t="s">
        <v>3289</v>
      </c>
      <c r="B510" s="190" t="s">
        <v>3290</v>
      </c>
      <c r="C510" s="194" t="s">
        <v>3291</v>
      </c>
      <c r="D510" s="209" t="n">
        <v>129930</v>
      </c>
      <c r="E510" s="178"/>
      <c r="F510" s="178"/>
      <c r="G510" s="178"/>
    </row>
    <row r="512" customFormat="false" ht="15" hidden="false" customHeight="false" outlineLevel="0" collapsed="false">
      <c r="A512" s="165" t="s">
        <v>28</v>
      </c>
      <c r="B512" s="165" t="s">
        <v>1410</v>
      </c>
      <c r="C512" s="165" t="s">
        <v>2938</v>
      </c>
      <c r="D512" s="165"/>
      <c r="E512" s="165"/>
      <c r="F512" s="165" t="s">
        <v>2939</v>
      </c>
      <c r="G512" s="165" t="s">
        <v>2940</v>
      </c>
    </row>
    <row r="513" customFormat="false" ht="15" hidden="false" customHeight="true" outlineLevel="0" collapsed="false">
      <c r="A513" s="206" t="s">
        <v>2009</v>
      </c>
      <c r="B513" s="176" t="s">
        <v>2941</v>
      </c>
      <c r="C513" s="169" t="s">
        <v>2008</v>
      </c>
      <c r="D513" s="169"/>
      <c r="E513" s="169"/>
      <c r="F513" s="176" t="s">
        <v>2995</v>
      </c>
      <c r="G513" s="178" t="n">
        <f aca="false">F516+G516</f>
        <v>181322.22</v>
      </c>
    </row>
    <row r="514" customFormat="false" ht="15" hidden="false" customHeight="true" outlineLevel="0" collapsed="false">
      <c r="A514" s="185" t="s">
        <v>2943</v>
      </c>
      <c r="B514" s="185" t="s">
        <v>2944</v>
      </c>
      <c r="C514" s="185" t="s">
        <v>2945</v>
      </c>
      <c r="D514" s="185" t="s">
        <v>2946</v>
      </c>
      <c r="E514" s="172" t="s">
        <v>2947</v>
      </c>
      <c r="F514" s="185" t="s">
        <v>2948</v>
      </c>
      <c r="G514" s="185"/>
    </row>
    <row r="515" customFormat="false" ht="15" hidden="false" customHeight="false" outlineLevel="0" collapsed="false">
      <c r="A515" s="185"/>
      <c r="B515" s="185"/>
      <c r="C515" s="185"/>
      <c r="D515" s="185"/>
      <c r="E515" s="172"/>
      <c r="F515" s="173" t="s">
        <v>1374</v>
      </c>
      <c r="G515" s="174" t="s">
        <v>2949</v>
      </c>
    </row>
    <row r="516" customFormat="false" ht="15" hidden="false" customHeight="false" outlineLevel="0" collapsed="false">
      <c r="A516" s="175" t="s">
        <v>3283</v>
      </c>
      <c r="B516" s="176" t="s">
        <v>3284</v>
      </c>
      <c r="C516" s="170" t="s">
        <v>3285</v>
      </c>
      <c r="D516" s="201" t="n">
        <v>157326.66</v>
      </c>
      <c r="E516" s="178" t="n">
        <f aca="false">AVERAGE(D516:D518)</f>
        <v>181322.22</v>
      </c>
      <c r="F516" s="178" t="n">
        <f aca="false">E516*0.7</f>
        <v>126925.554</v>
      </c>
      <c r="G516" s="178" t="n">
        <f aca="false">E516*0.3</f>
        <v>54396.666</v>
      </c>
      <c r="H516" s="179" t="n">
        <f aca="false">F516</f>
        <v>126925.554</v>
      </c>
      <c r="I516" s="179" t="n">
        <f aca="false">G516</f>
        <v>54396.666</v>
      </c>
    </row>
    <row r="517" customFormat="false" ht="15" hidden="false" customHeight="false" outlineLevel="0" collapsed="false">
      <c r="A517" s="175" t="s">
        <v>3286</v>
      </c>
      <c r="B517" s="176" t="s">
        <v>3287</v>
      </c>
      <c r="C517" s="170" t="s">
        <v>3288</v>
      </c>
      <c r="D517" s="201" t="n">
        <v>259400</v>
      </c>
      <c r="E517" s="178"/>
      <c r="F517" s="178"/>
      <c r="G517" s="178"/>
    </row>
    <row r="518" customFormat="false" ht="15" hidden="false" customHeight="false" outlineLevel="0" collapsed="false">
      <c r="A518" s="193" t="s">
        <v>3289</v>
      </c>
      <c r="B518" s="190" t="s">
        <v>3290</v>
      </c>
      <c r="C518" s="194" t="s">
        <v>3291</v>
      </c>
      <c r="D518" s="209" t="n">
        <v>127240</v>
      </c>
      <c r="E518" s="178"/>
      <c r="F518" s="178"/>
      <c r="G518" s="178"/>
    </row>
    <row r="520" customFormat="false" ht="15" hidden="false" customHeight="false" outlineLevel="0" collapsed="false">
      <c r="A520" s="165" t="s">
        <v>28</v>
      </c>
      <c r="B520" s="165" t="s">
        <v>1410</v>
      </c>
      <c r="C520" s="165" t="s">
        <v>2938</v>
      </c>
      <c r="D520" s="165"/>
      <c r="E520" s="165"/>
      <c r="F520" s="165" t="s">
        <v>2939</v>
      </c>
      <c r="G520" s="165" t="s">
        <v>2940</v>
      </c>
    </row>
    <row r="521" customFormat="false" ht="15" hidden="false" customHeight="false" outlineLevel="0" collapsed="false">
      <c r="A521" s="206" t="s">
        <v>1984</v>
      </c>
      <c r="B521" s="176" t="s">
        <v>2941</v>
      </c>
      <c r="C521" s="184" t="s">
        <v>1983</v>
      </c>
      <c r="D521" s="184"/>
      <c r="E521" s="184"/>
      <c r="F521" s="176" t="s">
        <v>2995</v>
      </c>
      <c r="G521" s="178" t="n">
        <f aca="false">F524</f>
        <v>10072.17</v>
      </c>
    </row>
    <row r="522" customFormat="false" ht="15" hidden="false" customHeight="true" outlineLevel="0" collapsed="false">
      <c r="A522" s="185" t="s">
        <v>2943</v>
      </c>
      <c r="B522" s="185" t="s">
        <v>2944</v>
      </c>
      <c r="C522" s="185" t="s">
        <v>2945</v>
      </c>
      <c r="D522" s="185" t="s">
        <v>2946</v>
      </c>
      <c r="E522" s="172" t="s">
        <v>2947</v>
      </c>
      <c r="F522" s="185" t="s">
        <v>2948</v>
      </c>
      <c r="G522" s="185"/>
    </row>
    <row r="523" customFormat="false" ht="15" hidden="false" customHeight="false" outlineLevel="0" collapsed="false">
      <c r="A523" s="185"/>
      <c r="B523" s="185"/>
      <c r="C523" s="185"/>
      <c r="D523" s="185"/>
      <c r="E523" s="172"/>
      <c r="F523" s="173" t="s">
        <v>1374</v>
      </c>
      <c r="G523" s="174" t="s">
        <v>2949</v>
      </c>
    </row>
    <row r="524" customFormat="false" ht="15" hidden="false" customHeight="false" outlineLevel="0" collapsed="false">
      <c r="A524" s="193" t="s">
        <v>3292</v>
      </c>
      <c r="B524" s="190" t="s">
        <v>3293</v>
      </c>
      <c r="C524" s="194" t="s">
        <v>3294</v>
      </c>
      <c r="D524" s="209" t="n">
        <v>16700</v>
      </c>
      <c r="E524" s="178" t="n">
        <f aca="false">AVERAGE(D524:D526)</f>
        <v>10072.17</v>
      </c>
      <c r="F524" s="178" t="n">
        <f aca="false">E524</f>
        <v>10072.17</v>
      </c>
      <c r="G524" s="178" t="s">
        <v>2953</v>
      </c>
      <c r="H524" s="179" t="n">
        <f aca="false">F524</f>
        <v>10072.17</v>
      </c>
      <c r="I524" s="179" t="str">
        <f aca="false">G524</f>
        <v>UTILIZOU-SE SINAPI</v>
      </c>
    </row>
    <row r="525" customFormat="false" ht="15" hidden="false" customHeight="false" outlineLevel="0" collapsed="false">
      <c r="A525" s="193" t="s">
        <v>3295</v>
      </c>
      <c r="B525" s="190" t="s">
        <v>3296</v>
      </c>
      <c r="C525" s="194" t="s">
        <v>3297</v>
      </c>
      <c r="D525" s="209" t="n">
        <v>3456.51</v>
      </c>
      <c r="E525" s="178"/>
      <c r="F525" s="178"/>
      <c r="G525" s="178"/>
    </row>
    <row r="526" customFormat="false" ht="15" hidden="false" customHeight="false" outlineLevel="0" collapsed="false">
      <c r="A526" s="193" t="s">
        <v>3298</v>
      </c>
      <c r="B526" s="190" t="s">
        <v>3299</v>
      </c>
      <c r="C526" s="194" t="s">
        <v>3300</v>
      </c>
      <c r="D526" s="209" t="n">
        <v>10060</v>
      </c>
      <c r="E526" s="178"/>
      <c r="F526" s="178"/>
      <c r="G526" s="178"/>
    </row>
    <row r="528" customFormat="false" ht="15" hidden="false" customHeight="false" outlineLevel="0" collapsed="false">
      <c r="A528" s="165" t="s">
        <v>28</v>
      </c>
      <c r="B528" s="165" t="s">
        <v>1410</v>
      </c>
      <c r="C528" s="165" t="s">
        <v>2938</v>
      </c>
      <c r="D528" s="165"/>
      <c r="E528" s="165"/>
      <c r="F528" s="165" t="s">
        <v>2939</v>
      </c>
      <c r="G528" s="165" t="s">
        <v>2940</v>
      </c>
    </row>
    <row r="529" customFormat="false" ht="15" hidden="false" customHeight="false" outlineLevel="0" collapsed="false">
      <c r="A529" s="206" t="s">
        <v>1982</v>
      </c>
      <c r="B529" s="176" t="s">
        <v>2941</v>
      </c>
      <c r="C529" s="184" t="s">
        <v>1979</v>
      </c>
      <c r="D529" s="184"/>
      <c r="E529" s="184"/>
      <c r="F529" s="176" t="s">
        <v>2995</v>
      </c>
      <c r="G529" s="178" t="n">
        <f aca="false">F532</f>
        <v>5799.16666666667</v>
      </c>
    </row>
    <row r="530" customFormat="false" ht="15" hidden="false" customHeight="true" outlineLevel="0" collapsed="false">
      <c r="A530" s="185" t="s">
        <v>2943</v>
      </c>
      <c r="B530" s="185" t="s">
        <v>2944</v>
      </c>
      <c r="C530" s="185" t="s">
        <v>2945</v>
      </c>
      <c r="D530" s="185" t="s">
        <v>2946</v>
      </c>
      <c r="E530" s="172" t="s">
        <v>2947</v>
      </c>
      <c r="F530" s="185" t="s">
        <v>2948</v>
      </c>
      <c r="G530" s="185"/>
    </row>
    <row r="531" customFormat="false" ht="15" hidden="false" customHeight="false" outlineLevel="0" collapsed="false">
      <c r="A531" s="185"/>
      <c r="B531" s="185"/>
      <c r="C531" s="185"/>
      <c r="D531" s="185"/>
      <c r="E531" s="172"/>
      <c r="F531" s="173" t="s">
        <v>1374</v>
      </c>
      <c r="G531" s="174" t="s">
        <v>2949</v>
      </c>
    </row>
    <row r="532" customFormat="false" ht="15" hidden="false" customHeight="false" outlineLevel="0" collapsed="false">
      <c r="A532" s="193" t="s">
        <v>3292</v>
      </c>
      <c r="B532" s="190" t="s">
        <v>3293</v>
      </c>
      <c r="C532" s="194" t="s">
        <v>3294</v>
      </c>
      <c r="D532" s="209" t="n">
        <v>3630</v>
      </c>
      <c r="E532" s="178" t="n">
        <f aca="false">AVERAGE(D532:D534)</f>
        <v>5799.16666666667</v>
      </c>
      <c r="F532" s="178" t="n">
        <f aca="false">E532</f>
        <v>5799.16666666667</v>
      </c>
      <c r="G532" s="178" t="s">
        <v>2953</v>
      </c>
      <c r="H532" s="179" t="n">
        <f aca="false">F532</f>
        <v>5799.16666666667</v>
      </c>
      <c r="I532" s="179" t="str">
        <f aca="false">G532</f>
        <v>UTILIZOU-SE SINAPI</v>
      </c>
    </row>
    <row r="533" customFormat="false" ht="15" hidden="false" customHeight="false" outlineLevel="0" collapsed="false">
      <c r="A533" s="193" t="s">
        <v>3295</v>
      </c>
      <c r="B533" s="190" t="s">
        <v>3296</v>
      </c>
      <c r="C533" s="194" t="s">
        <v>3297</v>
      </c>
      <c r="D533" s="209" t="n">
        <v>5267.5</v>
      </c>
      <c r="E533" s="178"/>
      <c r="F533" s="178"/>
      <c r="G533" s="178"/>
    </row>
    <row r="534" customFormat="false" ht="15" hidden="false" customHeight="false" outlineLevel="0" collapsed="false">
      <c r="A534" s="193" t="s">
        <v>3298</v>
      </c>
      <c r="B534" s="190" t="s">
        <v>3299</v>
      </c>
      <c r="C534" s="194" t="s">
        <v>3300</v>
      </c>
      <c r="D534" s="209" t="n">
        <v>8500</v>
      </c>
      <c r="E534" s="178"/>
      <c r="F534" s="178"/>
      <c r="G534" s="178"/>
    </row>
    <row r="535" customFormat="false" ht="15.75" hidden="false" customHeight="true" outlineLevel="0" collapsed="false"/>
    <row r="536" customFormat="false" ht="15" hidden="false" customHeight="false" outlineLevel="0" collapsed="false">
      <c r="A536" s="165" t="s">
        <v>28</v>
      </c>
      <c r="B536" s="165" t="s">
        <v>1410</v>
      </c>
      <c r="C536" s="165" t="s">
        <v>2938</v>
      </c>
      <c r="D536" s="165"/>
      <c r="E536" s="165"/>
      <c r="F536" s="165" t="s">
        <v>2939</v>
      </c>
      <c r="G536" s="165" t="s">
        <v>2940</v>
      </c>
    </row>
    <row r="537" customFormat="false" ht="15" hidden="false" customHeight="true" outlineLevel="0" collapsed="false">
      <c r="A537" s="199" t="s">
        <v>2864</v>
      </c>
      <c r="B537" s="176" t="s">
        <v>2941</v>
      </c>
      <c r="C537" s="169" t="s">
        <v>3301</v>
      </c>
      <c r="D537" s="169"/>
      <c r="E537" s="169"/>
      <c r="F537" s="176" t="s">
        <v>2995</v>
      </c>
      <c r="G537" s="178" t="n">
        <f aca="false">F540</f>
        <v>2334.66666666667</v>
      </c>
    </row>
    <row r="538" customFormat="false" ht="15" hidden="false" customHeight="true" outlineLevel="0" collapsed="false">
      <c r="A538" s="185" t="s">
        <v>2943</v>
      </c>
      <c r="B538" s="185" t="s">
        <v>2944</v>
      </c>
      <c r="C538" s="185" t="s">
        <v>2945</v>
      </c>
      <c r="D538" s="185" t="s">
        <v>2946</v>
      </c>
      <c r="E538" s="172" t="s">
        <v>2947</v>
      </c>
      <c r="F538" s="185" t="s">
        <v>2948</v>
      </c>
      <c r="G538" s="185"/>
    </row>
    <row r="539" customFormat="false" ht="15" hidden="false" customHeight="false" outlineLevel="0" collapsed="false">
      <c r="A539" s="185"/>
      <c r="B539" s="185"/>
      <c r="C539" s="185"/>
      <c r="D539" s="185"/>
      <c r="E539" s="172"/>
      <c r="F539" s="173" t="s">
        <v>1374</v>
      </c>
      <c r="G539" s="174" t="s">
        <v>2949</v>
      </c>
    </row>
    <row r="540" customFormat="false" ht="15" hidden="false" customHeight="false" outlineLevel="0" collapsed="false">
      <c r="A540" s="175" t="s">
        <v>3302</v>
      </c>
      <c r="B540" s="176" t="s">
        <v>3303</v>
      </c>
      <c r="C540" s="170" t="s">
        <v>3304</v>
      </c>
      <c r="D540" s="201" t="n">
        <v>2772</v>
      </c>
      <c r="E540" s="178" t="n">
        <f aca="false">AVERAGE(D540:D542)</f>
        <v>2334.66666666667</v>
      </c>
      <c r="F540" s="178" t="n">
        <f aca="false">E540</f>
        <v>2334.66666666667</v>
      </c>
      <c r="G540" s="178" t="s">
        <v>2953</v>
      </c>
      <c r="H540" s="179" t="n">
        <f aca="false">F540</f>
        <v>2334.66666666667</v>
      </c>
      <c r="I540" s="179" t="str">
        <f aca="false">G540</f>
        <v>UTILIZOU-SE SINAPI</v>
      </c>
    </row>
    <row r="541" customFormat="false" ht="15" hidden="false" customHeight="false" outlineLevel="0" collapsed="false">
      <c r="A541" s="175" t="s">
        <v>3178</v>
      </c>
      <c r="B541" s="176" t="s">
        <v>3179</v>
      </c>
      <c r="C541" s="170" t="s">
        <v>3180</v>
      </c>
      <c r="D541" s="201" t="n">
        <v>2260</v>
      </c>
      <c r="E541" s="178"/>
      <c r="F541" s="178"/>
      <c r="G541" s="178"/>
    </row>
    <row r="542" customFormat="false" ht="15" hidden="false" customHeight="false" outlineLevel="0" collapsed="false">
      <c r="A542" s="175" t="s">
        <v>3050</v>
      </c>
      <c r="B542" s="176" t="s">
        <v>3051</v>
      </c>
      <c r="C542" s="170" t="s">
        <v>3052</v>
      </c>
      <c r="D542" s="201" t="n">
        <v>1972</v>
      </c>
      <c r="E542" s="178"/>
      <c r="F542" s="178"/>
      <c r="G542" s="178"/>
    </row>
    <row r="544" customFormat="false" ht="15" hidden="false" customHeight="false" outlineLevel="0" collapsed="false">
      <c r="A544" s="165" t="s">
        <v>28</v>
      </c>
      <c r="B544" s="165" t="s">
        <v>1410</v>
      </c>
      <c r="C544" s="165" t="s">
        <v>2938</v>
      </c>
      <c r="D544" s="165"/>
      <c r="E544" s="165"/>
      <c r="F544" s="165" t="s">
        <v>2939</v>
      </c>
      <c r="G544" s="165" t="s">
        <v>2940</v>
      </c>
    </row>
    <row r="545" customFormat="false" ht="15" hidden="false" customHeight="true" outlineLevel="0" collapsed="false">
      <c r="A545" s="199" t="s">
        <v>2867</v>
      </c>
      <c r="B545" s="176" t="s">
        <v>2941</v>
      </c>
      <c r="C545" s="169" t="s">
        <v>3305</v>
      </c>
      <c r="D545" s="169"/>
      <c r="E545" s="169"/>
      <c r="F545" s="176" t="s">
        <v>2995</v>
      </c>
      <c r="G545" s="178" t="n">
        <f aca="false">F548</f>
        <v>2872.66666666667</v>
      </c>
    </row>
    <row r="546" customFormat="false" ht="15" hidden="false" customHeight="true" outlineLevel="0" collapsed="false">
      <c r="A546" s="185" t="s">
        <v>2943</v>
      </c>
      <c r="B546" s="185" t="s">
        <v>2944</v>
      </c>
      <c r="C546" s="185" t="s">
        <v>2945</v>
      </c>
      <c r="D546" s="185" t="s">
        <v>2946</v>
      </c>
      <c r="E546" s="172" t="s">
        <v>2947</v>
      </c>
      <c r="F546" s="185" t="s">
        <v>2948</v>
      </c>
      <c r="G546" s="185"/>
    </row>
    <row r="547" customFormat="false" ht="15" hidden="false" customHeight="false" outlineLevel="0" collapsed="false">
      <c r="A547" s="185"/>
      <c r="B547" s="185"/>
      <c r="C547" s="185"/>
      <c r="D547" s="185"/>
      <c r="E547" s="172"/>
      <c r="F547" s="173" t="s">
        <v>1374</v>
      </c>
      <c r="G547" s="174" t="s">
        <v>2949</v>
      </c>
    </row>
    <row r="548" customFormat="false" ht="15" hidden="false" customHeight="false" outlineLevel="0" collapsed="false">
      <c r="A548" s="175" t="s">
        <v>3178</v>
      </c>
      <c r="B548" s="176" t="s">
        <v>3179</v>
      </c>
      <c r="C548" s="170" t="s">
        <v>3180</v>
      </c>
      <c r="D548" s="201" t="n">
        <v>3560</v>
      </c>
      <c r="E548" s="178" t="n">
        <f aca="false">AVERAGE(D548:D550)</f>
        <v>2872.66666666667</v>
      </c>
      <c r="F548" s="178" t="n">
        <f aca="false">E548</f>
        <v>2872.66666666667</v>
      </c>
      <c r="G548" s="178" t="s">
        <v>2953</v>
      </c>
      <c r="H548" s="179" t="n">
        <f aca="false">F548</f>
        <v>2872.66666666667</v>
      </c>
      <c r="I548" s="179" t="str">
        <f aca="false">G548</f>
        <v>UTILIZOU-SE SINAPI</v>
      </c>
    </row>
    <row r="549" customFormat="false" ht="15" hidden="false" customHeight="false" outlineLevel="0" collapsed="false">
      <c r="A549" s="175" t="s">
        <v>3302</v>
      </c>
      <c r="B549" s="176" t="s">
        <v>3303</v>
      </c>
      <c r="C549" s="170" t="s">
        <v>3304</v>
      </c>
      <c r="D549" s="201" t="n">
        <v>2852</v>
      </c>
      <c r="E549" s="178"/>
      <c r="F549" s="178"/>
      <c r="G549" s="178"/>
    </row>
    <row r="550" customFormat="false" ht="15" hidden="false" customHeight="false" outlineLevel="0" collapsed="false">
      <c r="A550" s="175" t="s">
        <v>3050</v>
      </c>
      <c r="B550" s="176" t="s">
        <v>3051</v>
      </c>
      <c r="C550" s="170" t="s">
        <v>3052</v>
      </c>
      <c r="D550" s="201" t="n">
        <v>2206</v>
      </c>
      <c r="E550" s="178"/>
      <c r="F550" s="178"/>
      <c r="G550" s="178"/>
    </row>
    <row r="551" s="157" customFormat="true" ht="15" hidden="false" customHeight="false" outlineLevel="0" collapsed="false">
      <c r="B551" s="183"/>
      <c r="C551" s="205"/>
      <c r="D551" s="187"/>
      <c r="E551" s="188"/>
      <c r="F551" s="188"/>
      <c r="G551" s="183"/>
    </row>
    <row r="552" customFormat="false" ht="15" hidden="false" customHeight="false" outlineLevel="0" collapsed="false">
      <c r="A552" s="165" t="s">
        <v>28</v>
      </c>
      <c r="B552" s="165" t="s">
        <v>1410</v>
      </c>
      <c r="C552" s="165" t="s">
        <v>2938</v>
      </c>
      <c r="D552" s="165"/>
      <c r="E552" s="165"/>
      <c r="F552" s="165" t="s">
        <v>2939</v>
      </c>
      <c r="G552" s="165" t="s">
        <v>2940</v>
      </c>
    </row>
    <row r="553" customFormat="false" ht="15" hidden="false" customHeight="true" outlineLevel="0" collapsed="false">
      <c r="A553" s="199" t="s">
        <v>2527</v>
      </c>
      <c r="B553" s="176" t="s">
        <v>2941</v>
      </c>
      <c r="C553" s="169" t="s">
        <v>2528</v>
      </c>
      <c r="D553" s="169"/>
      <c r="E553" s="169"/>
      <c r="F553" s="176" t="s">
        <v>2995</v>
      </c>
      <c r="G553" s="178" t="n">
        <f aca="false">F556</f>
        <v>8723.63</v>
      </c>
    </row>
    <row r="554" customFormat="false" ht="15" hidden="false" customHeight="true" outlineLevel="0" collapsed="false">
      <c r="A554" s="185" t="s">
        <v>2943</v>
      </c>
      <c r="B554" s="185" t="s">
        <v>2944</v>
      </c>
      <c r="C554" s="185" t="s">
        <v>2945</v>
      </c>
      <c r="D554" s="185" t="s">
        <v>2946</v>
      </c>
      <c r="E554" s="172" t="s">
        <v>2947</v>
      </c>
      <c r="F554" s="185" t="s">
        <v>2948</v>
      </c>
      <c r="G554" s="185"/>
    </row>
    <row r="555" customFormat="false" ht="15" hidden="false" customHeight="false" outlineLevel="0" collapsed="false">
      <c r="A555" s="185"/>
      <c r="B555" s="185"/>
      <c r="C555" s="185"/>
      <c r="D555" s="185"/>
      <c r="E555" s="172"/>
      <c r="F555" s="173" t="s">
        <v>1374</v>
      </c>
      <c r="G555" s="174" t="s">
        <v>2949</v>
      </c>
    </row>
    <row r="556" customFormat="false" ht="15" hidden="false" customHeight="false" outlineLevel="0" collapsed="false">
      <c r="A556" s="175" t="s">
        <v>3306</v>
      </c>
      <c r="B556" s="176" t="s">
        <v>3307</v>
      </c>
      <c r="C556" s="197" t="s">
        <v>3308</v>
      </c>
      <c r="D556" s="201" t="n">
        <v>7799.9</v>
      </c>
      <c r="E556" s="178" t="n">
        <f aca="false">AVERAGE(D556:D558)</f>
        <v>8723.63</v>
      </c>
      <c r="F556" s="178" t="n">
        <f aca="false">E556</f>
        <v>8723.63</v>
      </c>
      <c r="G556" s="178" t="s">
        <v>2953</v>
      </c>
      <c r="H556" s="179" t="n">
        <f aca="false">F556</f>
        <v>8723.63</v>
      </c>
      <c r="I556" s="179" t="str">
        <f aca="false">G556</f>
        <v>UTILIZOU-SE SINAPI</v>
      </c>
    </row>
    <row r="557" customFormat="false" ht="15" hidden="false" customHeight="false" outlineLevel="0" collapsed="false">
      <c r="A557" s="175" t="s">
        <v>3309</v>
      </c>
      <c r="B557" s="176" t="s">
        <v>3310</v>
      </c>
      <c r="C557" s="197" t="s">
        <v>3311</v>
      </c>
      <c r="D557" s="201" t="n">
        <v>10701.09</v>
      </c>
      <c r="E557" s="178"/>
      <c r="F557" s="178"/>
      <c r="G557" s="178"/>
    </row>
    <row r="558" customFormat="false" ht="15" hidden="false" customHeight="false" outlineLevel="0" collapsed="false">
      <c r="A558" s="175" t="s">
        <v>3312</v>
      </c>
      <c r="B558" s="176" t="s">
        <v>3313</v>
      </c>
      <c r="C558" s="197" t="s">
        <v>3314</v>
      </c>
      <c r="D558" s="201" t="n">
        <v>7669.9</v>
      </c>
      <c r="E558" s="178"/>
      <c r="F558" s="178"/>
      <c r="G558" s="178"/>
    </row>
    <row r="559" s="157" customFormat="true" ht="15" hidden="false" customHeight="false" outlineLevel="0" collapsed="false">
      <c r="B559" s="183"/>
      <c r="C559" s="205"/>
      <c r="D559" s="187"/>
      <c r="E559" s="188"/>
      <c r="F559" s="188"/>
      <c r="G559" s="183"/>
    </row>
    <row r="560" customFormat="false" ht="15" hidden="false" customHeight="false" outlineLevel="0" collapsed="false">
      <c r="A560" s="165" t="s">
        <v>28</v>
      </c>
      <c r="B560" s="165" t="s">
        <v>1410</v>
      </c>
      <c r="C560" s="165" t="s">
        <v>2938</v>
      </c>
      <c r="D560" s="165"/>
      <c r="E560" s="165"/>
      <c r="F560" s="165" t="s">
        <v>2939</v>
      </c>
      <c r="G560" s="165" t="s">
        <v>2940</v>
      </c>
    </row>
    <row r="561" customFormat="false" ht="15" hidden="false" customHeight="true" outlineLevel="0" collapsed="false">
      <c r="A561" s="199" t="s">
        <v>2855</v>
      </c>
      <c r="B561" s="176" t="s">
        <v>2941</v>
      </c>
      <c r="C561" s="169" t="s">
        <v>3315</v>
      </c>
      <c r="D561" s="169"/>
      <c r="E561" s="169"/>
      <c r="F561" s="176" t="s">
        <v>2995</v>
      </c>
      <c r="G561" s="178" t="n">
        <f aca="false">F564</f>
        <v>14.4066666666667</v>
      </c>
    </row>
    <row r="562" customFormat="false" ht="15" hidden="false" customHeight="true" outlineLevel="0" collapsed="false">
      <c r="A562" s="185" t="s">
        <v>2943</v>
      </c>
      <c r="B562" s="185" t="s">
        <v>2944</v>
      </c>
      <c r="C562" s="185" t="s">
        <v>2945</v>
      </c>
      <c r="D562" s="185" t="s">
        <v>2946</v>
      </c>
      <c r="E562" s="172" t="s">
        <v>2947</v>
      </c>
      <c r="F562" s="185" t="s">
        <v>2948</v>
      </c>
      <c r="G562" s="185"/>
    </row>
    <row r="563" customFormat="false" ht="15" hidden="false" customHeight="false" outlineLevel="0" collapsed="false">
      <c r="A563" s="185"/>
      <c r="B563" s="185"/>
      <c r="C563" s="185"/>
      <c r="D563" s="185"/>
      <c r="E563" s="172"/>
      <c r="F563" s="173" t="s">
        <v>1374</v>
      </c>
      <c r="G563" s="174" t="s">
        <v>2949</v>
      </c>
    </row>
    <row r="564" customFormat="false" ht="15" hidden="false" customHeight="false" outlineLevel="0" collapsed="false">
      <c r="A564" s="175" t="s">
        <v>3316</v>
      </c>
      <c r="B564" s="176" t="s">
        <v>3317</v>
      </c>
      <c r="C564" s="170" t="s">
        <v>3318</v>
      </c>
      <c r="D564" s="201" t="n">
        <v>17.01</v>
      </c>
      <c r="E564" s="178" t="n">
        <f aca="false">AVERAGE(D564:D566)</f>
        <v>14.4066666666667</v>
      </c>
      <c r="F564" s="178" t="n">
        <f aca="false">E564</f>
        <v>14.4066666666667</v>
      </c>
      <c r="G564" s="178" t="s">
        <v>2953</v>
      </c>
      <c r="H564" s="179" t="n">
        <f aca="false">F564</f>
        <v>14.4066666666667</v>
      </c>
      <c r="I564" s="179" t="str">
        <f aca="false">G564</f>
        <v>UTILIZOU-SE SINAPI</v>
      </c>
    </row>
    <row r="565" customFormat="false" ht="15" hidden="false" customHeight="false" outlineLevel="0" collapsed="false">
      <c r="A565" s="175" t="s">
        <v>3319</v>
      </c>
      <c r="B565" s="176" t="s">
        <v>3320</v>
      </c>
      <c r="C565" s="170" t="s">
        <v>3321</v>
      </c>
      <c r="D565" s="201" t="n">
        <v>13.95</v>
      </c>
      <c r="E565" s="178"/>
      <c r="F565" s="178"/>
      <c r="G565" s="178"/>
    </row>
    <row r="566" customFormat="false" ht="15" hidden="false" customHeight="false" outlineLevel="0" collapsed="false">
      <c r="A566" s="175" t="s">
        <v>3322</v>
      </c>
      <c r="B566" s="176" t="s">
        <v>3323</v>
      </c>
      <c r="C566" s="170" t="s">
        <v>3324</v>
      </c>
      <c r="D566" s="201" t="n">
        <v>12.26</v>
      </c>
      <c r="E566" s="178"/>
      <c r="F566" s="178"/>
      <c r="G566" s="178"/>
    </row>
    <row r="568" customFormat="false" ht="15" hidden="false" customHeight="false" outlineLevel="0" collapsed="false">
      <c r="A568" s="165" t="s">
        <v>28</v>
      </c>
      <c r="B568" s="165" t="s">
        <v>1410</v>
      </c>
      <c r="C568" s="165" t="s">
        <v>2938</v>
      </c>
      <c r="D568" s="165"/>
      <c r="E568" s="165"/>
      <c r="F568" s="165" t="s">
        <v>2939</v>
      </c>
      <c r="G568" s="165" t="s">
        <v>2940</v>
      </c>
    </row>
    <row r="569" customFormat="false" ht="15" hidden="false" customHeight="true" outlineLevel="0" collapsed="false">
      <c r="A569" s="199" t="s">
        <v>2858</v>
      </c>
      <c r="B569" s="176" t="s">
        <v>2941</v>
      </c>
      <c r="C569" s="169" t="s">
        <v>3325</v>
      </c>
      <c r="D569" s="169"/>
      <c r="E569" s="169"/>
      <c r="F569" s="176" t="s">
        <v>2995</v>
      </c>
      <c r="G569" s="178" t="n">
        <f aca="false">F572</f>
        <v>22.6266666666667</v>
      </c>
    </row>
    <row r="570" customFormat="false" ht="15" hidden="false" customHeight="true" outlineLevel="0" collapsed="false">
      <c r="A570" s="185" t="s">
        <v>2943</v>
      </c>
      <c r="B570" s="185" t="s">
        <v>2944</v>
      </c>
      <c r="C570" s="185" t="s">
        <v>2945</v>
      </c>
      <c r="D570" s="185" t="s">
        <v>2946</v>
      </c>
      <c r="E570" s="172" t="s">
        <v>2947</v>
      </c>
      <c r="F570" s="185" t="s">
        <v>2948</v>
      </c>
      <c r="G570" s="185"/>
    </row>
    <row r="571" customFormat="false" ht="15" hidden="false" customHeight="false" outlineLevel="0" collapsed="false">
      <c r="A571" s="185"/>
      <c r="B571" s="185"/>
      <c r="C571" s="185"/>
      <c r="D571" s="185"/>
      <c r="E571" s="172"/>
      <c r="F571" s="173" t="s">
        <v>1374</v>
      </c>
      <c r="G571" s="174" t="s">
        <v>2949</v>
      </c>
    </row>
    <row r="572" customFormat="false" ht="15" hidden="false" customHeight="false" outlineLevel="0" collapsed="false">
      <c r="A572" s="175" t="s">
        <v>3319</v>
      </c>
      <c r="B572" s="176" t="s">
        <v>3320</v>
      </c>
      <c r="C572" s="170" t="s">
        <v>3321</v>
      </c>
      <c r="D572" s="201" t="n">
        <v>20.48</v>
      </c>
      <c r="E572" s="178" t="n">
        <f aca="false">AVERAGE(D572:D574)</f>
        <v>22.6266666666667</v>
      </c>
      <c r="F572" s="178" t="n">
        <f aca="false">E572</f>
        <v>22.6266666666667</v>
      </c>
      <c r="G572" s="178" t="s">
        <v>2953</v>
      </c>
      <c r="H572" s="179" t="n">
        <f aca="false">F572</f>
        <v>22.6266666666667</v>
      </c>
      <c r="I572" s="179" t="str">
        <f aca="false">G572</f>
        <v>UTILIZOU-SE SINAPI</v>
      </c>
    </row>
    <row r="573" customFormat="false" ht="15" hidden="false" customHeight="false" outlineLevel="0" collapsed="false">
      <c r="A573" s="175" t="s">
        <v>3326</v>
      </c>
      <c r="B573" s="176" t="s">
        <v>3327</v>
      </c>
      <c r="C573" s="170" t="s">
        <v>3328</v>
      </c>
      <c r="D573" s="201" t="n">
        <v>22.71</v>
      </c>
      <c r="E573" s="178"/>
      <c r="F573" s="178"/>
      <c r="G573" s="178"/>
    </row>
    <row r="574" customFormat="false" ht="15" hidden="false" customHeight="false" outlineLevel="0" collapsed="false">
      <c r="A574" s="175" t="s">
        <v>3201</v>
      </c>
      <c r="B574" s="176" t="s">
        <v>3202</v>
      </c>
      <c r="C574" s="170" t="s">
        <v>3203</v>
      </c>
      <c r="D574" s="201" t="n">
        <v>24.69</v>
      </c>
      <c r="E574" s="178"/>
      <c r="F574" s="178"/>
      <c r="G574" s="178"/>
    </row>
    <row r="576" customFormat="false" ht="15" hidden="false" customHeight="false" outlineLevel="0" collapsed="false">
      <c r="A576" s="165" t="s">
        <v>28</v>
      </c>
      <c r="B576" s="165" t="s">
        <v>1410</v>
      </c>
      <c r="C576" s="165" t="s">
        <v>2938</v>
      </c>
      <c r="D576" s="165"/>
      <c r="E576" s="165"/>
      <c r="F576" s="165" t="s">
        <v>2939</v>
      </c>
      <c r="G576" s="165" t="s">
        <v>2940</v>
      </c>
    </row>
    <row r="577" customFormat="false" ht="15" hidden="false" customHeight="true" outlineLevel="0" collapsed="false">
      <c r="A577" s="206" t="s">
        <v>2470</v>
      </c>
      <c r="B577" s="190" t="s">
        <v>2941</v>
      </c>
      <c r="C577" s="191" t="s">
        <v>2471</v>
      </c>
      <c r="D577" s="191"/>
      <c r="E577" s="191"/>
      <c r="F577" s="190" t="s">
        <v>2995</v>
      </c>
      <c r="G577" s="192" t="n">
        <f aca="false">F580</f>
        <v>66.1266666666667</v>
      </c>
    </row>
    <row r="578" customFormat="false" ht="15" hidden="false" customHeight="true" outlineLevel="0" collapsed="false">
      <c r="A578" s="185" t="s">
        <v>2943</v>
      </c>
      <c r="B578" s="185" t="s">
        <v>2944</v>
      </c>
      <c r="C578" s="185" t="s">
        <v>2945</v>
      </c>
      <c r="D578" s="185" t="s">
        <v>2946</v>
      </c>
      <c r="E578" s="172" t="s">
        <v>2947</v>
      </c>
      <c r="F578" s="185" t="s">
        <v>2948</v>
      </c>
      <c r="G578" s="185"/>
    </row>
    <row r="579" customFormat="false" ht="15" hidden="false" customHeight="false" outlineLevel="0" collapsed="false">
      <c r="A579" s="185"/>
      <c r="B579" s="185"/>
      <c r="C579" s="185"/>
      <c r="D579" s="185"/>
      <c r="E579" s="172"/>
      <c r="F579" s="173" t="s">
        <v>1374</v>
      </c>
      <c r="G579" s="174" t="s">
        <v>2949</v>
      </c>
    </row>
    <row r="580" customFormat="false" ht="15" hidden="false" customHeight="false" outlineLevel="0" collapsed="false">
      <c r="A580" s="175" t="s">
        <v>3185</v>
      </c>
      <c r="B580" s="176" t="s">
        <v>3186</v>
      </c>
      <c r="C580" s="170" t="s">
        <v>3187</v>
      </c>
      <c r="D580" s="201" t="n">
        <v>53.58</v>
      </c>
      <c r="E580" s="178" t="n">
        <f aca="false">AVERAGE(D580:D582)</f>
        <v>66.1266666666667</v>
      </c>
      <c r="F580" s="178" t="n">
        <f aca="false">E580</f>
        <v>66.1266666666667</v>
      </c>
      <c r="G580" s="178" t="s">
        <v>2953</v>
      </c>
      <c r="H580" s="179" t="n">
        <f aca="false">F580</f>
        <v>66.1266666666667</v>
      </c>
      <c r="I580" s="179" t="str">
        <f aca="false">G580</f>
        <v>UTILIZOU-SE SINAPI</v>
      </c>
    </row>
    <row r="581" customFormat="false" ht="15" hidden="false" customHeight="false" outlineLevel="0" collapsed="false">
      <c r="A581" s="175" t="s">
        <v>3001</v>
      </c>
      <c r="B581" s="176" t="s">
        <v>3002</v>
      </c>
      <c r="C581" s="176" t="s">
        <v>3003</v>
      </c>
      <c r="D581" s="201" t="n">
        <v>79.9</v>
      </c>
      <c r="E581" s="178"/>
      <c r="F581" s="178"/>
      <c r="G581" s="178"/>
    </row>
    <row r="582" customFormat="false" ht="15" hidden="false" customHeight="false" outlineLevel="0" collapsed="false">
      <c r="A582" s="175" t="s">
        <v>3329</v>
      </c>
      <c r="B582" s="176" t="s">
        <v>3330</v>
      </c>
      <c r="C582" s="170" t="s">
        <v>3331</v>
      </c>
      <c r="D582" s="201" t="n">
        <v>64.9</v>
      </c>
      <c r="E582" s="178"/>
      <c r="F582" s="178"/>
      <c r="G582" s="178"/>
    </row>
    <row r="584" customFormat="false" ht="15" hidden="false" customHeight="false" outlineLevel="0" collapsed="false">
      <c r="A584" s="165" t="s">
        <v>28</v>
      </c>
      <c r="B584" s="165" t="s">
        <v>1410</v>
      </c>
      <c r="C584" s="165" t="s">
        <v>2938</v>
      </c>
      <c r="D584" s="165"/>
      <c r="E584" s="165"/>
      <c r="F584" s="165" t="s">
        <v>2939</v>
      </c>
      <c r="G584" s="165" t="s">
        <v>2940</v>
      </c>
    </row>
    <row r="585" customFormat="false" ht="15" hidden="false" customHeight="true" outlineLevel="0" collapsed="false">
      <c r="A585" s="199" t="s">
        <v>2708</v>
      </c>
      <c r="B585" s="176" t="s">
        <v>2941</v>
      </c>
      <c r="C585" s="169" t="s">
        <v>3332</v>
      </c>
      <c r="D585" s="169"/>
      <c r="E585" s="169"/>
      <c r="F585" s="176" t="s">
        <v>2995</v>
      </c>
      <c r="G585" s="178" t="n">
        <f aca="false">F588</f>
        <v>344.976666666667</v>
      </c>
    </row>
    <row r="586" customFormat="false" ht="15" hidden="false" customHeight="true" outlineLevel="0" collapsed="false">
      <c r="A586" s="185" t="s">
        <v>2943</v>
      </c>
      <c r="B586" s="185" t="s">
        <v>2944</v>
      </c>
      <c r="C586" s="185" t="s">
        <v>2945</v>
      </c>
      <c r="D586" s="185" t="s">
        <v>2946</v>
      </c>
      <c r="E586" s="172" t="s">
        <v>2947</v>
      </c>
      <c r="F586" s="185" t="s">
        <v>2948</v>
      </c>
      <c r="G586" s="185"/>
    </row>
    <row r="587" customFormat="false" ht="15" hidden="false" customHeight="false" outlineLevel="0" collapsed="false">
      <c r="A587" s="185"/>
      <c r="B587" s="185"/>
      <c r="C587" s="185"/>
      <c r="D587" s="185"/>
      <c r="E587" s="172"/>
      <c r="F587" s="173" t="s">
        <v>1374</v>
      </c>
      <c r="G587" s="174" t="s">
        <v>2949</v>
      </c>
    </row>
    <row r="588" customFormat="false" ht="15" hidden="false" customHeight="false" outlineLevel="0" collapsed="false">
      <c r="A588" s="175" t="s">
        <v>3333</v>
      </c>
      <c r="B588" s="176" t="s">
        <v>3334</v>
      </c>
      <c r="C588" s="170" t="s">
        <v>3335</v>
      </c>
      <c r="D588" s="201" t="n">
        <v>397.54</v>
      </c>
      <c r="E588" s="178" t="n">
        <f aca="false">AVERAGE(D588:D590)</f>
        <v>344.976666666667</v>
      </c>
      <c r="F588" s="178" t="n">
        <f aca="false">E588</f>
        <v>344.976666666667</v>
      </c>
      <c r="G588" s="178" t="s">
        <v>2953</v>
      </c>
      <c r="H588" s="179" t="n">
        <f aca="false">F588</f>
        <v>344.976666666667</v>
      </c>
      <c r="I588" s="179" t="str">
        <f aca="false">G588</f>
        <v>UTILIZOU-SE SINAPI</v>
      </c>
    </row>
    <row r="589" customFormat="false" ht="15" hidden="false" customHeight="false" outlineLevel="0" collapsed="false">
      <c r="A589" s="175" t="s">
        <v>2996</v>
      </c>
      <c r="B589" s="176" t="s">
        <v>2993</v>
      </c>
      <c r="C589" s="176" t="s">
        <v>2997</v>
      </c>
      <c r="D589" s="201" t="n">
        <v>371.78</v>
      </c>
      <c r="E589" s="178"/>
      <c r="F589" s="178"/>
      <c r="G589" s="178"/>
    </row>
    <row r="590" customFormat="false" ht="15" hidden="false" customHeight="false" outlineLevel="0" collapsed="false">
      <c r="A590" s="175" t="s">
        <v>3274</v>
      </c>
      <c r="B590" s="176" t="s">
        <v>3275</v>
      </c>
      <c r="C590" s="170" t="s">
        <v>3276</v>
      </c>
      <c r="D590" s="201" t="n">
        <v>265.61</v>
      </c>
      <c r="E590" s="178"/>
      <c r="F590" s="178"/>
      <c r="G590" s="178"/>
    </row>
    <row r="592" customFormat="false" ht="15" hidden="false" customHeight="false" outlineLevel="0" collapsed="false">
      <c r="A592" s="165" t="s">
        <v>28</v>
      </c>
      <c r="B592" s="165" t="s">
        <v>1410</v>
      </c>
      <c r="C592" s="165" t="s">
        <v>2938</v>
      </c>
      <c r="D592" s="165"/>
      <c r="E592" s="165"/>
      <c r="F592" s="165" t="s">
        <v>2939</v>
      </c>
      <c r="G592" s="165" t="s">
        <v>2940</v>
      </c>
    </row>
    <row r="593" customFormat="false" ht="15" hidden="false" customHeight="true" outlineLevel="0" collapsed="false">
      <c r="A593" s="199" t="s">
        <v>2155</v>
      </c>
      <c r="B593" s="176" t="s">
        <v>2941</v>
      </c>
      <c r="C593" s="169" t="s">
        <v>3336</v>
      </c>
      <c r="D593" s="169"/>
      <c r="E593" s="169"/>
      <c r="F593" s="176" t="s">
        <v>2995</v>
      </c>
      <c r="G593" s="178" t="n">
        <f aca="false">F596</f>
        <v>11.8866666666667</v>
      </c>
    </row>
    <row r="594" customFormat="false" ht="15" hidden="false" customHeight="true" outlineLevel="0" collapsed="false">
      <c r="A594" s="185" t="s">
        <v>2943</v>
      </c>
      <c r="B594" s="185" t="s">
        <v>2944</v>
      </c>
      <c r="C594" s="185" t="s">
        <v>2945</v>
      </c>
      <c r="D594" s="185" t="s">
        <v>2946</v>
      </c>
      <c r="E594" s="172" t="s">
        <v>2947</v>
      </c>
      <c r="F594" s="185" t="s">
        <v>2948</v>
      </c>
      <c r="G594" s="185"/>
    </row>
    <row r="595" customFormat="false" ht="15" hidden="false" customHeight="false" outlineLevel="0" collapsed="false">
      <c r="A595" s="185"/>
      <c r="B595" s="185"/>
      <c r="C595" s="185"/>
      <c r="D595" s="185"/>
      <c r="E595" s="172"/>
      <c r="F595" s="173" t="s">
        <v>1374</v>
      </c>
      <c r="G595" s="174" t="s">
        <v>2949</v>
      </c>
    </row>
    <row r="596" customFormat="false" ht="15" hidden="false" customHeight="false" outlineLevel="0" collapsed="false">
      <c r="A596" s="175" t="s">
        <v>3143</v>
      </c>
      <c r="B596" s="176" t="s">
        <v>3144</v>
      </c>
      <c r="C596" s="170" t="s">
        <v>3145</v>
      </c>
      <c r="D596" s="201" t="n">
        <v>11.29</v>
      </c>
      <c r="E596" s="178" t="n">
        <f aca="false">AVERAGE(D596:D598)</f>
        <v>11.8866666666667</v>
      </c>
      <c r="F596" s="178" t="n">
        <f aca="false">E596</f>
        <v>11.8866666666667</v>
      </c>
      <c r="G596" s="178" t="s">
        <v>2953</v>
      </c>
      <c r="H596" s="179" t="n">
        <f aca="false">F596</f>
        <v>11.8866666666667</v>
      </c>
      <c r="I596" s="179" t="str">
        <f aca="false">G596</f>
        <v>UTILIZOU-SE SINAPI</v>
      </c>
    </row>
    <row r="597" customFormat="false" ht="15" hidden="false" customHeight="false" outlineLevel="0" collapsed="false">
      <c r="A597" s="175" t="s">
        <v>3337</v>
      </c>
      <c r="B597" s="176" t="s">
        <v>3338</v>
      </c>
      <c r="C597" s="170" t="s">
        <v>3339</v>
      </c>
      <c r="D597" s="201" t="n">
        <v>12.4</v>
      </c>
      <c r="E597" s="178"/>
      <c r="F597" s="178"/>
      <c r="G597" s="178"/>
    </row>
    <row r="598" customFormat="false" ht="15" hidden="false" customHeight="false" outlineLevel="0" collapsed="false">
      <c r="A598" s="175" t="s">
        <v>3340</v>
      </c>
      <c r="B598" s="176" t="s">
        <v>3341</v>
      </c>
      <c r="C598" s="170" t="s">
        <v>3342</v>
      </c>
      <c r="D598" s="201" t="n">
        <v>11.97</v>
      </c>
      <c r="E598" s="178"/>
      <c r="F598" s="178"/>
      <c r="G598" s="178"/>
    </row>
    <row r="600" customFormat="false" ht="15" hidden="false" customHeight="false" outlineLevel="0" collapsed="false">
      <c r="A600" s="165" t="s">
        <v>28</v>
      </c>
      <c r="B600" s="165" t="s">
        <v>1410</v>
      </c>
      <c r="C600" s="165" t="s">
        <v>2938</v>
      </c>
      <c r="D600" s="165"/>
      <c r="E600" s="165"/>
      <c r="F600" s="165" t="s">
        <v>2939</v>
      </c>
      <c r="G600" s="165" t="s">
        <v>2940</v>
      </c>
    </row>
    <row r="601" customFormat="false" ht="15" hidden="false" customHeight="true" outlineLevel="0" collapsed="false">
      <c r="A601" s="199" t="s">
        <v>2518</v>
      </c>
      <c r="B601" s="176" t="s">
        <v>2941</v>
      </c>
      <c r="C601" s="169" t="s">
        <v>2519</v>
      </c>
      <c r="D601" s="169"/>
      <c r="E601" s="169"/>
      <c r="F601" s="176" t="s">
        <v>2995</v>
      </c>
      <c r="G601" s="178" t="n">
        <f aca="false">F604</f>
        <v>6.80333333333333</v>
      </c>
    </row>
    <row r="602" customFormat="false" ht="15" hidden="false" customHeight="true" outlineLevel="0" collapsed="false">
      <c r="A602" s="185" t="s">
        <v>2943</v>
      </c>
      <c r="B602" s="185" t="s">
        <v>2944</v>
      </c>
      <c r="C602" s="185" t="s">
        <v>2945</v>
      </c>
      <c r="D602" s="185" t="s">
        <v>2946</v>
      </c>
      <c r="E602" s="172" t="s">
        <v>2947</v>
      </c>
      <c r="F602" s="185" t="s">
        <v>2948</v>
      </c>
      <c r="G602" s="185"/>
    </row>
    <row r="603" customFormat="false" ht="15" hidden="false" customHeight="false" outlineLevel="0" collapsed="false">
      <c r="A603" s="185"/>
      <c r="B603" s="185"/>
      <c r="C603" s="185"/>
      <c r="D603" s="185"/>
      <c r="E603" s="172"/>
      <c r="F603" s="173" t="s">
        <v>1374</v>
      </c>
      <c r="G603" s="174" t="s">
        <v>2949</v>
      </c>
    </row>
    <row r="604" customFormat="false" ht="15" hidden="false" customHeight="false" outlineLevel="0" collapsed="false">
      <c r="A604" s="175" t="s">
        <v>3264</v>
      </c>
      <c r="B604" s="176" t="s">
        <v>3343</v>
      </c>
      <c r="C604" s="197" t="s">
        <v>3344</v>
      </c>
      <c r="D604" s="201" t="n">
        <v>7.76</v>
      </c>
      <c r="E604" s="178" t="n">
        <f aca="false">AVERAGE(D604:D606)</f>
        <v>6.80333333333333</v>
      </c>
      <c r="F604" s="178" t="n">
        <f aca="false">E604</f>
        <v>6.80333333333333</v>
      </c>
      <c r="G604" s="178" t="s">
        <v>2953</v>
      </c>
      <c r="H604" s="179" t="n">
        <f aca="false">F604</f>
        <v>6.80333333333333</v>
      </c>
      <c r="I604" s="179" t="str">
        <f aca="false">G604</f>
        <v>UTILIZOU-SE SINAPI</v>
      </c>
    </row>
    <row r="605" customFormat="false" ht="15" hidden="false" customHeight="false" outlineLevel="0" collapsed="false">
      <c r="A605" s="175" t="s">
        <v>3345</v>
      </c>
      <c r="B605" s="176" t="s">
        <v>3094</v>
      </c>
      <c r="C605" s="197" t="s">
        <v>3346</v>
      </c>
      <c r="D605" s="201" t="n">
        <v>5.65</v>
      </c>
      <c r="E605" s="178"/>
      <c r="F605" s="178"/>
      <c r="G605" s="178"/>
    </row>
    <row r="606" customFormat="false" ht="15" hidden="false" customHeight="false" outlineLevel="0" collapsed="false">
      <c r="A606" s="175" t="s">
        <v>3347</v>
      </c>
      <c r="B606" s="176" t="s">
        <v>3348</v>
      </c>
      <c r="C606" s="197" t="s">
        <v>3349</v>
      </c>
      <c r="D606" s="201" t="n">
        <v>7</v>
      </c>
      <c r="E606" s="178"/>
      <c r="F606" s="178"/>
      <c r="G606" s="178"/>
    </row>
    <row r="608" customFormat="false" ht="15" hidden="false" customHeight="false" outlineLevel="0" collapsed="false">
      <c r="A608" s="165" t="s">
        <v>28</v>
      </c>
      <c r="B608" s="165" t="s">
        <v>1410</v>
      </c>
      <c r="C608" s="165" t="s">
        <v>2938</v>
      </c>
      <c r="D608" s="165"/>
      <c r="E608" s="165"/>
      <c r="F608" s="165" t="s">
        <v>2939</v>
      </c>
      <c r="G608" s="165" t="s">
        <v>2940</v>
      </c>
    </row>
    <row r="609" customFormat="false" ht="15" hidden="false" customHeight="false" outlineLevel="0" collapsed="false">
      <c r="A609" s="199" t="s">
        <v>2503</v>
      </c>
      <c r="B609" s="176" t="s">
        <v>2941</v>
      </c>
      <c r="C609" s="184" t="s">
        <v>2504</v>
      </c>
      <c r="D609" s="184"/>
      <c r="E609" s="184"/>
      <c r="F609" s="176" t="s">
        <v>2995</v>
      </c>
      <c r="G609" s="178" t="n">
        <f aca="false">F612</f>
        <v>66.6566666666667</v>
      </c>
    </row>
    <row r="610" customFormat="false" ht="15" hidden="false" customHeight="true" outlineLevel="0" collapsed="false">
      <c r="A610" s="185" t="s">
        <v>2943</v>
      </c>
      <c r="B610" s="185" t="s">
        <v>2944</v>
      </c>
      <c r="C610" s="185" t="s">
        <v>2945</v>
      </c>
      <c r="D610" s="185" t="s">
        <v>2946</v>
      </c>
      <c r="E610" s="172" t="s">
        <v>2947</v>
      </c>
      <c r="F610" s="185" t="s">
        <v>2948</v>
      </c>
      <c r="G610" s="185"/>
    </row>
    <row r="611" customFormat="false" ht="15" hidden="false" customHeight="false" outlineLevel="0" collapsed="false">
      <c r="A611" s="185"/>
      <c r="B611" s="185"/>
      <c r="C611" s="185"/>
      <c r="D611" s="185"/>
      <c r="E611" s="172"/>
      <c r="F611" s="173" t="s">
        <v>1374</v>
      </c>
      <c r="G611" s="174" t="s">
        <v>2949</v>
      </c>
    </row>
    <row r="612" customFormat="false" ht="15" hidden="false" customHeight="false" outlineLevel="0" collapsed="false">
      <c r="A612" s="175" t="s">
        <v>3350</v>
      </c>
      <c r="B612" s="176" t="s">
        <v>3351</v>
      </c>
      <c r="C612" s="170" t="s">
        <v>3352</v>
      </c>
      <c r="D612" s="201" t="n">
        <v>77.48</v>
      </c>
      <c r="E612" s="178" t="n">
        <f aca="false">AVERAGE(D612:D614)</f>
        <v>66.6566666666667</v>
      </c>
      <c r="F612" s="178" t="n">
        <f aca="false">E612</f>
        <v>66.6566666666667</v>
      </c>
      <c r="G612" s="178" t="s">
        <v>2953</v>
      </c>
      <c r="H612" s="179" t="n">
        <f aca="false">F612</f>
        <v>66.6566666666667</v>
      </c>
      <c r="I612" s="179" t="str">
        <f aca="false">G612</f>
        <v>UTILIZOU-SE SINAPI</v>
      </c>
    </row>
    <row r="613" customFormat="false" ht="15" hidden="false" customHeight="false" outlineLevel="0" collapsed="false">
      <c r="A613" s="175" t="s">
        <v>3353</v>
      </c>
      <c r="B613" s="176" t="s">
        <v>3354</v>
      </c>
      <c r="C613" s="170" t="s">
        <v>3355</v>
      </c>
      <c r="D613" s="201" t="n">
        <v>43.05</v>
      </c>
      <c r="E613" s="178"/>
      <c r="F613" s="178"/>
      <c r="G613" s="178"/>
    </row>
    <row r="614" customFormat="false" ht="15" hidden="false" customHeight="false" outlineLevel="0" collapsed="false">
      <c r="A614" s="175" t="s">
        <v>3356</v>
      </c>
      <c r="B614" s="176" t="s">
        <v>3357</v>
      </c>
      <c r="C614" s="170" t="s">
        <v>3358</v>
      </c>
      <c r="D614" s="201" t="n">
        <v>79.44</v>
      </c>
      <c r="E614" s="178"/>
      <c r="F614" s="178"/>
      <c r="G614" s="178"/>
    </row>
    <row r="616" customFormat="false" ht="15" hidden="false" customHeight="false" outlineLevel="0" collapsed="false">
      <c r="A616" s="165" t="s">
        <v>28</v>
      </c>
      <c r="B616" s="165" t="s">
        <v>1410</v>
      </c>
      <c r="C616" s="165" t="s">
        <v>2938</v>
      </c>
      <c r="D616" s="165"/>
      <c r="E616" s="165"/>
      <c r="F616" s="165" t="s">
        <v>2939</v>
      </c>
      <c r="G616" s="165" t="s">
        <v>2940</v>
      </c>
    </row>
    <row r="617" customFormat="false" ht="15" hidden="false" customHeight="false" outlineLevel="0" collapsed="false">
      <c r="A617" s="199" t="s">
        <v>2506</v>
      </c>
      <c r="B617" s="176" t="s">
        <v>2941</v>
      </c>
      <c r="C617" s="184" t="s">
        <v>2507</v>
      </c>
      <c r="D617" s="184"/>
      <c r="E617" s="184"/>
      <c r="F617" s="176" t="s">
        <v>2995</v>
      </c>
      <c r="G617" s="178" t="n">
        <f aca="false">F620</f>
        <v>177.023333333333</v>
      </c>
    </row>
    <row r="618" customFormat="false" ht="15" hidden="false" customHeight="true" outlineLevel="0" collapsed="false">
      <c r="A618" s="185" t="s">
        <v>2943</v>
      </c>
      <c r="B618" s="185" t="s">
        <v>2944</v>
      </c>
      <c r="C618" s="185" t="s">
        <v>2945</v>
      </c>
      <c r="D618" s="185" t="s">
        <v>2946</v>
      </c>
      <c r="E618" s="172" t="s">
        <v>2947</v>
      </c>
      <c r="F618" s="185" t="s">
        <v>2948</v>
      </c>
      <c r="G618" s="185"/>
    </row>
    <row r="619" customFormat="false" ht="15" hidden="false" customHeight="false" outlineLevel="0" collapsed="false">
      <c r="A619" s="185"/>
      <c r="B619" s="185"/>
      <c r="C619" s="185"/>
      <c r="D619" s="185"/>
      <c r="E619" s="172"/>
      <c r="F619" s="173" t="s">
        <v>1374</v>
      </c>
      <c r="G619" s="174" t="s">
        <v>2949</v>
      </c>
    </row>
    <row r="620" customFormat="false" ht="15" hidden="false" customHeight="false" outlineLevel="0" collapsed="false">
      <c r="A620" s="175" t="s">
        <v>3185</v>
      </c>
      <c r="B620" s="176" t="s">
        <v>3186</v>
      </c>
      <c r="C620" s="170" t="s">
        <v>3187</v>
      </c>
      <c r="D620" s="201" t="n">
        <v>168.18</v>
      </c>
      <c r="E620" s="178" t="n">
        <f aca="false">AVERAGE(D620:D622)</f>
        <v>177.023333333333</v>
      </c>
      <c r="F620" s="178" t="n">
        <f aca="false">E620</f>
        <v>177.023333333333</v>
      </c>
      <c r="G620" s="178" t="s">
        <v>2953</v>
      </c>
      <c r="H620" s="179" t="n">
        <f aca="false">F620</f>
        <v>177.023333333333</v>
      </c>
      <c r="I620" s="179" t="str">
        <f aca="false">G620</f>
        <v>UTILIZOU-SE SINAPI</v>
      </c>
    </row>
    <row r="621" customFormat="false" ht="15" hidden="false" customHeight="false" outlineLevel="0" collapsed="false">
      <c r="A621" s="175" t="s">
        <v>3047</v>
      </c>
      <c r="B621" s="176" t="s">
        <v>3048</v>
      </c>
      <c r="C621" s="170" t="s">
        <v>3049</v>
      </c>
      <c r="D621" s="201" t="n">
        <v>178.59</v>
      </c>
      <c r="E621" s="178"/>
      <c r="F621" s="178"/>
      <c r="G621" s="178"/>
    </row>
    <row r="622" customFormat="false" ht="15" hidden="false" customHeight="false" outlineLevel="0" collapsed="false">
      <c r="A622" s="175" t="s">
        <v>3050</v>
      </c>
      <c r="B622" s="176" t="s">
        <v>3051</v>
      </c>
      <c r="C622" s="170" t="s">
        <v>3052</v>
      </c>
      <c r="D622" s="201" t="n">
        <v>184.3</v>
      </c>
      <c r="E622" s="178"/>
      <c r="F622" s="178"/>
      <c r="G622" s="178"/>
    </row>
    <row r="624" customFormat="false" ht="15" hidden="false" customHeight="false" outlineLevel="0" collapsed="false">
      <c r="A624" s="165" t="s">
        <v>28</v>
      </c>
      <c r="B624" s="165" t="s">
        <v>1410</v>
      </c>
      <c r="C624" s="165" t="s">
        <v>2938</v>
      </c>
      <c r="D624" s="165"/>
      <c r="E624" s="165"/>
      <c r="F624" s="165" t="s">
        <v>2939</v>
      </c>
      <c r="G624" s="165" t="s">
        <v>2940</v>
      </c>
    </row>
    <row r="625" customFormat="false" ht="15" hidden="false" customHeight="false" outlineLevel="0" collapsed="false">
      <c r="A625" s="199" t="s">
        <v>2515</v>
      </c>
      <c r="B625" s="176" t="s">
        <v>2941</v>
      </c>
      <c r="C625" s="184" t="s">
        <v>2516</v>
      </c>
      <c r="D625" s="184"/>
      <c r="E625" s="184"/>
      <c r="F625" s="176" t="s">
        <v>2995</v>
      </c>
      <c r="G625" s="178" t="n">
        <f aca="false">F628</f>
        <v>132.403333333333</v>
      </c>
    </row>
    <row r="626" customFormat="false" ht="15" hidden="false" customHeight="true" outlineLevel="0" collapsed="false">
      <c r="A626" s="185" t="s">
        <v>2943</v>
      </c>
      <c r="B626" s="185" t="s">
        <v>2944</v>
      </c>
      <c r="C626" s="185" t="s">
        <v>2945</v>
      </c>
      <c r="D626" s="185" t="s">
        <v>2946</v>
      </c>
      <c r="E626" s="172" t="s">
        <v>2947</v>
      </c>
      <c r="F626" s="185" t="s">
        <v>2948</v>
      </c>
      <c r="G626" s="185"/>
    </row>
    <row r="627" customFormat="false" ht="15" hidden="false" customHeight="false" outlineLevel="0" collapsed="false">
      <c r="A627" s="185"/>
      <c r="B627" s="185"/>
      <c r="C627" s="185"/>
      <c r="D627" s="185"/>
      <c r="E627" s="172"/>
      <c r="F627" s="173" t="s">
        <v>1374</v>
      </c>
      <c r="G627" s="174" t="s">
        <v>2949</v>
      </c>
    </row>
    <row r="628" customFormat="false" ht="15" hidden="false" customHeight="false" outlineLevel="0" collapsed="false">
      <c r="A628" s="175" t="s">
        <v>3185</v>
      </c>
      <c r="B628" s="176" t="s">
        <v>3186</v>
      </c>
      <c r="C628" s="170" t="s">
        <v>3187</v>
      </c>
      <c r="D628" s="201" t="n">
        <v>143.41</v>
      </c>
      <c r="E628" s="178" t="n">
        <f aca="false">AVERAGE(D628:D630)</f>
        <v>132.403333333333</v>
      </c>
      <c r="F628" s="178" t="n">
        <f aca="false">E628</f>
        <v>132.403333333333</v>
      </c>
      <c r="G628" s="178" t="s">
        <v>2953</v>
      </c>
      <c r="H628" s="179" t="n">
        <f aca="false">F628</f>
        <v>132.403333333333</v>
      </c>
      <c r="I628" s="179" t="str">
        <f aca="false">G628</f>
        <v>UTILIZOU-SE SINAPI</v>
      </c>
    </row>
    <row r="629" customFormat="false" ht="15" hidden="false" customHeight="false" outlineLevel="0" collapsed="false">
      <c r="A629" s="175" t="s">
        <v>3359</v>
      </c>
      <c r="B629" s="176" t="s">
        <v>3360</v>
      </c>
      <c r="C629" s="170" t="s">
        <v>3361</v>
      </c>
      <c r="D629" s="201" t="n">
        <v>105</v>
      </c>
      <c r="E629" s="178"/>
      <c r="F629" s="178"/>
      <c r="G629" s="178"/>
    </row>
    <row r="630" customFormat="false" ht="15" hidden="false" customHeight="false" outlineLevel="0" collapsed="false">
      <c r="A630" s="175" t="s">
        <v>3356</v>
      </c>
      <c r="B630" s="176" t="s">
        <v>3357</v>
      </c>
      <c r="C630" s="170" t="s">
        <v>3358</v>
      </c>
      <c r="D630" s="201" t="n">
        <v>148.8</v>
      </c>
      <c r="E630" s="178"/>
      <c r="F630" s="178"/>
      <c r="G630" s="178"/>
    </row>
    <row r="632" customFormat="false" ht="15" hidden="false" customHeight="false" outlineLevel="0" collapsed="false">
      <c r="A632" s="165" t="s">
        <v>28</v>
      </c>
      <c r="B632" s="165" t="s">
        <v>1410</v>
      </c>
      <c r="C632" s="165" t="s">
        <v>2938</v>
      </c>
      <c r="D632" s="165"/>
      <c r="E632" s="165"/>
      <c r="F632" s="165" t="s">
        <v>2939</v>
      </c>
      <c r="G632" s="165" t="s">
        <v>2940</v>
      </c>
    </row>
    <row r="633" customFormat="false" ht="15" hidden="false" customHeight="false" outlineLevel="0" collapsed="false">
      <c r="A633" s="199" t="s">
        <v>2509</v>
      </c>
      <c r="B633" s="176" t="s">
        <v>2941</v>
      </c>
      <c r="C633" s="184" t="s">
        <v>2510</v>
      </c>
      <c r="D633" s="184"/>
      <c r="E633" s="184"/>
      <c r="F633" s="176" t="s">
        <v>2995</v>
      </c>
      <c r="G633" s="178" t="n">
        <f aca="false">F636</f>
        <v>18.9433333333333</v>
      </c>
    </row>
    <row r="634" customFormat="false" ht="15" hidden="false" customHeight="true" outlineLevel="0" collapsed="false">
      <c r="A634" s="185" t="s">
        <v>2943</v>
      </c>
      <c r="B634" s="185" t="s">
        <v>2944</v>
      </c>
      <c r="C634" s="185" t="s">
        <v>2945</v>
      </c>
      <c r="D634" s="185" t="s">
        <v>2946</v>
      </c>
      <c r="E634" s="172" t="s">
        <v>2947</v>
      </c>
      <c r="F634" s="185" t="s">
        <v>2948</v>
      </c>
      <c r="G634" s="185"/>
    </row>
    <row r="635" customFormat="false" ht="15" hidden="false" customHeight="false" outlineLevel="0" collapsed="false">
      <c r="A635" s="185"/>
      <c r="B635" s="185"/>
      <c r="C635" s="185"/>
      <c r="D635" s="185"/>
      <c r="E635" s="172"/>
      <c r="F635" s="173" t="s">
        <v>1374</v>
      </c>
      <c r="G635" s="174" t="s">
        <v>2949</v>
      </c>
    </row>
    <row r="636" customFormat="false" ht="15" hidden="false" customHeight="false" outlineLevel="0" collapsed="false">
      <c r="A636" s="175" t="s">
        <v>3362</v>
      </c>
      <c r="B636" s="176" t="s">
        <v>3363</v>
      </c>
      <c r="C636" s="170" t="s">
        <v>3364</v>
      </c>
      <c r="D636" s="201" t="n">
        <v>20</v>
      </c>
      <c r="E636" s="178" t="n">
        <f aca="false">AVERAGE(D636:D638)</f>
        <v>18.9433333333333</v>
      </c>
      <c r="F636" s="178" t="n">
        <f aca="false">E636</f>
        <v>18.9433333333333</v>
      </c>
      <c r="G636" s="178" t="s">
        <v>2953</v>
      </c>
      <c r="H636" s="179" t="n">
        <f aca="false">F636</f>
        <v>18.9433333333333</v>
      </c>
      <c r="I636" s="179" t="str">
        <f aca="false">G636</f>
        <v>UTILIZOU-SE SINAPI</v>
      </c>
    </row>
    <row r="637" customFormat="false" ht="15" hidden="false" customHeight="false" outlineLevel="0" collapsed="false">
      <c r="A637" s="175" t="s">
        <v>3365</v>
      </c>
      <c r="B637" s="176" t="s">
        <v>3366</v>
      </c>
      <c r="C637" s="170" t="s">
        <v>3367</v>
      </c>
      <c r="D637" s="201" t="n">
        <v>20.93</v>
      </c>
      <c r="E637" s="178"/>
      <c r="F637" s="178"/>
      <c r="G637" s="178"/>
    </row>
    <row r="638" customFormat="false" ht="15" hidden="false" customHeight="false" outlineLevel="0" collapsed="false">
      <c r="A638" s="175" t="s">
        <v>3050</v>
      </c>
      <c r="B638" s="176" t="s">
        <v>3051</v>
      </c>
      <c r="C638" s="170" t="s">
        <v>3052</v>
      </c>
      <c r="D638" s="201" t="n">
        <v>15.9</v>
      </c>
      <c r="E638" s="178"/>
      <c r="F638" s="178"/>
      <c r="G638" s="178"/>
    </row>
    <row r="640" customFormat="false" ht="15" hidden="false" customHeight="false" outlineLevel="0" collapsed="false">
      <c r="A640" s="165" t="s">
        <v>28</v>
      </c>
      <c r="B640" s="165" t="s">
        <v>1410</v>
      </c>
      <c r="C640" s="165" t="s">
        <v>2938</v>
      </c>
      <c r="D640" s="165"/>
      <c r="E640" s="165"/>
      <c r="F640" s="165" t="s">
        <v>2939</v>
      </c>
      <c r="G640" s="165" t="s">
        <v>2940</v>
      </c>
    </row>
    <row r="641" customFormat="false" ht="15" hidden="false" customHeight="false" outlineLevel="0" collapsed="false">
      <c r="A641" s="210" t="s">
        <v>2590</v>
      </c>
      <c r="B641" s="190" t="s">
        <v>2941</v>
      </c>
      <c r="C641" s="195" t="s">
        <v>2591</v>
      </c>
      <c r="D641" s="195"/>
      <c r="E641" s="195"/>
      <c r="F641" s="190" t="s">
        <v>2995</v>
      </c>
      <c r="G641" s="192" t="n">
        <f aca="false">F644</f>
        <v>3209.28333333333</v>
      </c>
    </row>
    <row r="642" customFormat="false" ht="15" hidden="false" customHeight="true" outlineLevel="0" collapsed="false">
      <c r="A642" s="185" t="s">
        <v>2943</v>
      </c>
      <c r="B642" s="185" t="s">
        <v>2944</v>
      </c>
      <c r="C642" s="185" t="s">
        <v>2945</v>
      </c>
      <c r="D642" s="185" t="s">
        <v>2946</v>
      </c>
      <c r="E642" s="172" t="s">
        <v>2947</v>
      </c>
      <c r="F642" s="185" t="s">
        <v>2948</v>
      </c>
      <c r="G642" s="185"/>
    </row>
    <row r="643" customFormat="false" ht="15" hidden="false" customHeight="false" outlineLevel="0" collapsed="false">
      <c r="A643" s="185"/>
      <c r="B643" s="185"/>
      <c r="C643" s="185"/>
      <c r="D643" s="185"/>
      <c r="E643" s="172"/>
      <c r="F643" s="173" t="s">
        <v>1374</v>
      </c>
      <c r="G643" s="174" t="s">
        <v>2949</v>
      </c>
    </row>
    <row r="644" customFormat="false" ht="15" hidden="false" customHeight="false" outlineLevel="0" collapsed="false">
      <c r="A644" s="175" t="s">
        <v>3368</v>
      </c>
      <c r="B644" s="176" t="s">
        <v>3369</v>
      </c>
      <c r="C644" s="197" t="s">
        <v>3370</v>
      </c>
      <c r="D644" s="201" t="n">
        <v>3281.04</v>
      </c>
      <c r="E644" s="178" t="n">
        <f aca="false">AVERAGE(D644:D646)</f>
        <v>3209.28333333333</v>
      </c>
      <c r="F644" s="178" t="n">
        <f aca="false">E644</f>
        <v>3209.28333333333</v>
      </c>
      <c r="G644" s="178" t="s">
        <v>2953</v>
      </c>
      <c r="H644" s="179" t="n">
        <f aca="false">F644</f>
        <v>3209.28333333333</v>
      </c>
      <c r="I644" s="179" t="str">
        <f aca="false">G644</f>
        <v>UTILIZOU-SE SINAPI</v>
      </c>
    </row>
    <row r="645" customFormat="false" ht="15" hidden="false" customHeight="false" outlineLevel="0" collapsed="false">
      <c r="A645" s="175" t="s">
        <v>3371</v>
      </c>
      <c r="B645" s="176" t="s">
        <v>3372</v>
      </c>
      <c r="C645" s="197" t="s">
        <v>3373</v>
      </c>
      <c r="D645" s="201" t="n">
        <v>3079.9</v>
      </c>
      <c r="E645" s="178"/>
      <c r="F645" s="178"/>
      <c r="G645" s="178"/>
    </row>
    <row r="646" customFormat="false" ht="15" hidden="false" customHeight="false" outlineLevel="0" collapsed="false">
      <c r="A646" s="175" t="s">
        <v>3374</v>
      </c>
      <c r="B646" s="176" t="s">
        <v>3375</v>
      </c>
      <c r="C646" s="197" t="s">
        <v>3376</v>
      </c>
      <c r="D646" s="201" t="n">
        <v>3266.91</v>
      </c>
      <c r="E646" s="178"/>
      <c r="F646" s="178"/>
      <c r="G646" s="178"/>
    </row>
    <row r="648" customFormat="false" ht="15" hidden="false" customHeight="false" outlineLevel="0" collapsed="false">
      <c r="A648" s="165" t="s">
        <v>28</v>
      </c>
      <c r="B648" s="165" t="s">
        <v>1410</v>
      </c>
      <c r="C648" s="165" t="s">
        <v>2938</v>
      </c>
      <c r="D648" s="165"/>
      <c r="E648" s="165"/>
      <c r="F648" s="165" t="s">
        <v>2939</v>
      </c>
      <c r="G648" s="165" t="s">
        <v>2940</v>
      </c>
    </row>
    <row r="649" customFormat="false" ht="15" hidden="false" customHeight="false" outlineLevel="0" collapsed="false">
      <c r="A649" s="206" t="s">
        <v>1608</v>
      </c>
      <c r="B649" s="190" t="s">
        <v>3377</v>
      </c>
      <c r="C649" s="195" t="s">
        <v>3378</v>
      </c>
      <c r="D649" s="195"/>
      <c r="E649" s="195"/>
      <c r="F649" s="190" t="s">
        <v>2995</v>
      </c>
      <c r="G649" s="192" t="n">
        <f aca="false">F652</f>
        <v>6154.72</v>
      </c>
    </row>
    <row r="650" customFormat="false" ht="15" hidden="false" customHeight="true" outlineLevel="0" collapsed="false">
      <c r="A650" s="185" t="s">
        <v>2943</v>
      </c>
      <c r="B650" s="185" t="s">
        <v>2944</v>
      </c>
      <c r="C650" s="185" t="s">
        <v>2945</v>
      </c>
      <c r="D650" s="185" t="s">
        <v>2946</v>
      </c>
      <c r="E650" s="172" t="s">
        <v>2947</v>
      </c>
      <c r="F650" s="185" t="s">
        <v>2948</v>
      </c>
      <c r="G650" s="185"/>
    </row>
    <row r="651" customFormat="false" ht="15" hidden="false" customHeight="false" outlineLevel="0" collapsed="false">
      <c r="A651" s="185"/>
      <c r="B651" s="185"/>
      <c r="C651" s="185"/>
      <c r="D651" s="185"/>
      <c r="E651" s="172"/>
      <c r="F651" s="173" t="s">
        <v>1374</v>
      </c>
      <c r="G651" s="174" t="s">
        <v>2949</v>
      </c>
    </row>
    <row r="652" customFormat="false" ht="15" hidden="false" customHeight="false" outlineLevel="0" collapsed="false">
      <c r="A652" s="175"/>
      <c r="B652" s="176"/>
      <c r="C652" s="170" t="s">
        <v>3379</v>
      </c>
      <c r="D652" s="201" t="n">
        <v>6154.72</v>
      </c>
      <c r="E652" s="178" t="n">
        <f aca="false">AVERAGE(D652:D654)</f>
        <v>6154.72</v>
      </c>
      <c r="F652" s="178" t="n">
        <f aca="false">E652</f>
        <v>6154.72</v>
      </c>
      <c r="G652" s="178" t="s">
        <v>2953</v>
      </c>
      <c r="H652" s="179" t="n">
        <f aca="false">F652</f>
        <v>6154.72</v>
      </c>
      <c r="I652" s="179" t="str">
        <f aca="false">G652</f>
        <v>UTILIZOU-SE SINAPI</v>
      </c>
    </row>
    <row r="653" customFormat="false" ht="15" hidden="false" customHeight="false" outlineLevel="0" collapsed="false">
      <c r="A653" s="175"/>
      <c r="B653" s="176"/>
      <c r="C653" s="170"/>
      <c r="D653" s="201"/>
      <c r="E653" s="178"/>
      <c r="F653" s="178"/>
      <c r="G653" s="178"/>
    </row>
    <row r="654" customFormat="false" ht="15" hidden="false" customHeight="false" outlineLevel="0" collapsed="false">
      <c r="A654" s="175"/>
      <c r="B654" s="176"/>
      <c r="C654" s="170"/>
      <c r="D654" s="201"/>
      <c r="E654" s="178"/>
      <c r="F654" s="178"/>
      <c r="G654" s="178"/>
    </row>
    <row r="656" customFormat="false" ht="15" hidden="false" customHeight="false" outlineLevel="0" collapsed="false">
      <c r="A656" s="165" t="s">
        <v>28</v>
      </c>
      <c r="B656" s="165" t="s">
        <v>1410</v>
      </c>
      <c r="C656" s="165" t="s">
        <v>2938</v>
      </c>
      <c r="D656" s="165"/>
      <c r="E656" s="165"/>
      <c r="F656" s="165" t="s">
        <v>2939</v>
      </c>
      <c r="G656" s="165" t="s">
        <v>2940</v>
      </c>
    </row>
    <row r="657" s="57" customFormat="true" ht="15" hidden="false" customHeight="true" outlineLevel="0" collapsed="false">
      <c r="A657" s="199" t="s">
        <v>2906</v>
      </c>
      <c r="B657" s="176" t="s">
        <v>2941</v>
      </c>
      <c r="C657" s="169" t="s">
        <v>2907</v>
      </c>
      <c r="D657" s="169"/>
      <c r="E657" s="169"/>
      <c r="F657" s="176" t="s">
        <v>2995</v>
      </c>
      <c r="G657" s="178" t="n">
        <f aca="false">F660</f>
        <v>12.1266666666667</v>
      </c>
      <c r="H657" s="196"/>
      <c r="I657" s="196"/>
    </row>
    <row r="658" customFormat="false" ht="15" hidden="false" customHeight="true" outlineLevel="0" collapsed="false">
      <c r="A658" s="185" t="s">
        <v>2943</v>
      </c>
      <c r="B658" s="185" t="s">
        <v>2944</v>
      </c>
      <c r="C658" s="185" t="s">
        <v>2945</v>
      </c>
      <c r="D658" s="185" t="s">
        <v>2946</v>
      </c>
      <c r="E658" s="172" t="s">
        <v>2947</v>
      </c>
      <c r="F658" s="185" t="s">
        <v>2948</v>
      </c>
      <c r="G658" s="185"/>
    </row>
    <row r="659" customFormat="false" ht="15" hidden="false" customHeight="false" outlineLevel="0" collapsed="false">
      <c r="A659" s="185"/>
      <c r="B659" s="185"/>
      <c r="C659" s="185"/>
      <c r="D659" s="185"/>
      <c r="E659" s="172"/>
      <c r="F659" s="173" t="s">
        <v>1374</v>
      </c>
      <c r="G659" s="174" t="s">
        <v>2949</v>
      </c>
    </row>
    <row r="660" customFormat="false" ht="15" hidden="false" customHeight="false" outlineLevel="0" collapsed="false">
      <c r="A660" s="175" t="s">
        <v>3380</v>
      </c>
      <c r="B660" s="176" t="s">
        <v>3381</v>
      </c>
      <c r="C660" s="170" t="s">
        <v>3382</v>
      </c>
      <c r="D660" s="201" t="n">
        <v>13.9</v>
      </c>
      <c r="E660" s="178" t="n">
        <f aca="false">AVERAGE(D660:D662)</f>
        <v>12.1266666666667</v>
      </c>
      <c r="F660" s="178" t="n">
        <f aca="false">E660</f>
        <v>12.1266666666667</v>
      </c>
      <c r="G660" s="178" t="s">
        <v>2953</v>
      </c>
      <c r="H660" s="179" t="n">
        <f aca="false">F660</f>
        <v>12.1266666666667</v>
      </c>
      <c r="I660" s="179" t="str">
        <f aca="false">G660</f>
        <v>UTILIZOU-SE SINAPI</v>
      </c>
    </row>
    <row r="661" customFormat="false" ht="15" hidden="false" customHeight="false" outlineLevel="0" collapsed="false">
      <c r="A661" s="175" t="s">
        <v>3383</v>
      </c>
      <c r="B661" s="176" t="s">
        <v>3384</v>
      </c>
      <c r="C661" s="170" t="s">
        <v>3385</v>
      </c>
      <c r="D661" s="201" t="n">
        <v>7.48</v>
      </c>
      <c r="E661" s="178"/>
      <c r="F661" s="178"/>
      <c r="G661" s="178"/>
    </row>
    <row r="662" customFormat="false" ht="15" hidden="false" customHeight="false" outlineLevel="0" collapsed="false">
      <c r="A662" s="175" t="s">
        <v>3386</v>
      </c>
      <c r="B662" s="176" t="s">
        <v>3387</v>
      </c>
      <c r="C662" s="170" t="s">
        <v>3388</v>
      </c>
      <c r="D662" s="201" t="n">
        <v>15</v>
      </c>
      <c r="E662" s="178"/>
      <c r="F662" s="178"/>
      <c r="G662" s="178"/>
    </row>
    <row r="664" customFormat="false" ht="15" hidden="false" customHeight="false" outlineLevel="0" collapsed="false">
      <c r="A664" s="165" t="s">
        <v>28</v>
      </c>
      <c r="B664" s="165" t="s">
        <v>1410</v>
      </c>
      <c r="C664" s="165" t="s">
        <v>2938</v>
      </c>
      <c r="D664" s="165"/>
      <c r="E664" s="165"/>
      <c r="F664" s="165" t="s">
        <v>2939</v>
      </c>
      <c r="G664" s="165" t="s">
        <v>2940</v>
      </c>
    </row>
    <row r="665" customFormat="false" ht="15" hidden="false" customHeight="true" outlineLevel="0" collapsed="false">
      <c r="A665" s="199" t="s">
        <v>2894</v>
      </c>
      <c r="B665" s="176" t="s">
        <v>2941</v>
      </c>
      <c r="C665" s="169" t="s">
        <v>2895</v>
      </c>
      <c r="D665" s="169"/>
      <c r="E665" s="169"/>
      <c r="F665" s="176" t="s">
        <v>2995</v>
      </c>
      <c r="G665" s="178" t="n">
        <f aca="false">F668</f>
        <v>166.6</v>
      </c>
    </row>
    <row r="666" customFormat="false" ht="15" hidden="false" customHeight="true" outlineLevel="0" collapsed="false">
      <c r="A666" s="185" t="s">
        <v>2943</v>
      </c>
      <c r="B666" s="185" t="s">
        <v>2944</v>
      </c>
      <c r="C666" s="185" t="s">
        <v>2945</v>
      </c>
      <c r="D666" s="185" t="s">
        <v>2946</v>
      </c>
      <c r="E666" s="172" t="s">
        <v>2947</v>
      </c>
      <c r="F666" s="185" t="s">
        <v>2948</v>
      </c>
      <c r="G666" s="185"/>
    </row>
    <row r="667" customFormat="false" ht="15" hidden="false" customHeight="false" outlineLevel="0" collapsed="false">
      <c r="A667" s="185"/>
      <c r="B667" s="185"/>
      <c r="C667" s="185"/>
      <c r="D667" s="185"/>
      <c r="E667" s="172"/>
      <c r="F667" s="173" t="s">
        <v>1374</v>
      </c>
      <c r="G667" s="174" t="s">
        <v>2949</v>
      </c>
    </row>
    <row r="668" customFormat="false" ht="15" hidden="false" customHeight="false" outlineLevel="0" collapsed="false">
      <c r="A668" s="175" t="s">
        <v>3389</v>
      </c>
      <c r="B668" s="176" t="s">
        <v>3390</v>
      </c>
      <c r="C668" s="170" t="s">
        <v>3391</v>
      </c>
      <c r="D668" s="201" t="n">
        <v>204</v>
      </c>
      <c r="E668" s="178" t="n">
        <f aca="false">AVERAGE(D668:D670)</f>
        <v>166.6</v>
      </c>
      <c r="F668" s="178" t="n">
        <f aca="false">E668</f>
        <v>166.6</v>
      </c>
      <c r="G668" s="178" t="s">
        <v>2953</v>
      </c>
      <c r="H668" s="179" t="n">
        <f aca="false">F668</f>
        <v>166.6</v>
      </c>
      <c r="I668" s="179" t="str">
        <f aca="false">G668</f>
        <v>UTILIZOU-SE SINAPI</v>
      </c>
    </row>
    <row r="669" customFormat="false" ht="15" hidden="false" customHeight="false" outlineLevel="0" collapsed="false">
      <c r="A669" s="175" t="s">
        <v>3392</v>
      </c>
      <c r="B669" s="176" t="s">
        <v>3393</v>
      </c>
      <c r="C669" s="170" t="s">
        <v>3394</v>
      </c>
      <c r="D669" s="201" t="n">
        <v>115.9</v>
      </c>
      <c r="E669" s="178"/>
      <c r="F669" s="178"/>
      <c r="G669" s="178"/>
    </row>
    <row r="670" customFormat="false" ht="15" hidden="false" customHeight="false" outlineLevel="0" collapsed="false">
      <c r="A670" s="175" t="s">
        <v>3395</v>
      </c>
      <c r="B670" s="176" t="s">
        <v>3396</v>
      </c>
      <c r="C670" s="170" t="s">
        <v>3397</v>
      </c>
      <c r="D670" s="201" t="n">
        <v>179.9</v>
      </c>
      <c r="E670" s="178"/>
      <c r="F670" s="178"/>
      <c r="G670" s="178"/>
    </row>
    <row r="672" customFormat="false" ht="15" hidden="false" customHeight="false" outlineLevel="0" collapsed="false">
      <c r="A672" s="165" t="s">
        <v>28</v>
      </c>
      <c r="B672" s="165" t="s">
        <v>1410</v>
      </c>
      <c r="C672" s="165" t="s">
        <v>2938</v>
      </c>
      <c r="D672" s="165"/>
      <c r="E672" s="165"/>
      <c r="F672" s="165" t="s">
        <v>2939</v>
      </c>
      <c r="G672" s="165" t="s">
        <v>2940</v>
      </c>
    </row>
    <row r="673" customFormat="false" ht="15" hidden="false" customHeight="true" outlineLevel="0" collapsed="false">
      <c r="A673" s="199" t="s">
        <v>2903</v>
      </c>
      <c r="B673" s="176" t="s">
        <v>2941</v>
      </c>
      <c r="C673" s="169" t="s">
        <v>2904</v>
      </c>
      <c r="D673" s="169"/>
      <c r="E673" s="169"/>
      <c r="F673" s="176" t="s">
        <v>2995</v>
      </c>
      <c r="G673" s="178" t="n">
        <f aca="false">F676</f>
        <v>20.8</v>
      </c>
    </row>
    <row r="674" customFormat="false" ht="15" hidden="false" customHeight="true" outlineLevel="0" collapsed="false">
      <c r="A674" s="185" t="s">
        <v>2943</v>
      </c>
      <c r="B674" s="185" t="s">
        <v>2944</v>
      </c>
      <c r="C674" s="185" t="s">
        <v>2945</v>
      </c>
      <c r="D674" s="185" t="s">
        <v>2946</v>
      </c>
      <c r="E674" s="172" t="s">
        <v>2947</v>
      </c>
      <c r="F674" s="185" t="s">
        <v>2948</v>
      </c>
      <c r="G674" s="185"/>
    </row>
    <row r="675" customFormat="false" ht="15" hidden="false" customHeight="false" outlineLevel="0" collapsed="false">
      <c r="A675" s="185"/>
      <c r="B675" s="185"/>
      <c r="C675" s="185"/>
      <c r="D675" s="185"/>
      <c r="E675" s="172"/>
      <c r="F675" s="173" t="s">
        <v>1374</v>
      </c>
      <c r="G675" s="174" t="s">
        <v>2949</v>
      </c>
    </row>
    <row r="676" customFormat="false" ht="15" hidden="false" customHeight="false" outlineLevel="0" collapsed="false">
      <c r="A676" s="175" t="s">
        <v>3380</v>
      </c>
      <c r="B676" s="176" t="s">
        <v>3381</v>
      </c>
      <c r="C676" s="170" t="s">
        <v>3382</v>
      </c>
      <c r="D676" s="201" t="n">
        <v>17.6</v>
      </c>
      <c r="E676" s="178" t="n">
        <f aca="false">AVERAGE(D676:D678)</f>
        <v>20.8</v>
      </c>
      <c r="F676" s="178" t="n">
        <f aca="false">E676</f>
        <v>20.8</v>
      </c>
      <c r="G676" s="178" t="s">
        <v>2953</v>
      </c>
      <c r="H676" s="179" t="n">
        <f aca="false">F676</f>
        <v>20.8</v>
      </c>
      <c r="I676" s="179" t="str">
        <f aca="false">G676</f>
        <v>UTILIZOU-SE SINAPI</v>
      </c>
    </row>
    <row r="677" customFormat="false" ht="15" hidden="false" customHeight="false" outlineLevel="0" collapsed="false">
      <c r="A677" s="175" t="s">
        <v>3398</v>
      </c>
      <c r="B677" s="176" t="s">
        <v>3399</v>
      </c>
      <c r="C677" s="170" t="s">
        <v>3400</v>
      </c>
      <c r="D677" s="201" t="n">
        <v>19.9</v>
      </c>
      <c r="E677" s="178"/>
      <c r="F677" s="178"/>
      <c r="G677" s="178"/>
    </row>
    <row r="678" customFormat="false" ht="15" hidden="false" customHeight="false" outlineLevel="0" collapsed="false">
      <c r="A678" s="175" t="s">
        <v>3395</v>
      </c>
      <c r="B678" s="176" t="s">
        <v>3396</v>
      </c>
      <c r="C678" s="170" t="s">
        <v>3397</v>
      </c>
      <c r="D678" s="201" t="n">
        <v>24.9</v>
      </c>
      <c r="E678" s="178"/>
      <c r="F678" s="178"/>
      <c r="G678" s="178"/>
    </row>
    <row r="680" customFormat="false" ht="15" hidden="false" customHeight="false" outlineLevel="0" collapsed="false">
      <c r="A680" s="165" t="s">
        <v>28</v>
      </c>
      <c r="B680" s="165" t="s">
        <v>1410</v>
      </c>
      <c r="C680" s="165" t="s">
        <v>2938</v>
      </c>
      <c r="D680" s="165"/>
      <c r="E680" s="165"/>
      <c r="F680" s="165" t="s">
        <v>2939</v>
      </c>
      <c r="G680" s="165" t="s">
        <v>2940</v>
      </c>
    </row>
    <row r="681" customFormat="false" ht="15" hidden="false" customHeight="true" outlineLevel="0" collapsed="false">
      <c r="A681" s="199" t="s">
        <v>2897</v>
      </c>
      <c r="B681" s="176" t="s">
        <v>2941</v>
      </c>
      <c r="C681" s="169" t="s">
        <v>2898</v>
      </c>
      <c r="D681" s="169"/>
      <c r="E681" s="169"/>
      <c r="F681" s="176" t="s">
        <v>2995</v>
      </c>
      <c r="G681" s="178" t="n">
        <f aca="false">F684</f>
        <v>61.9633333333333</v>
      </c>
    </row>
    <row r="682" customFormat="false" ht="15" hidden="false" customHeight="true" outlineLevel="0" collapsed="false">
      <c r="A682" s="185" t="s">
        <v>2943</v>
      </c>
      <c r="B682" s="185" t="s">
        <v>2944</v>
      </c>
      <c r="C682" s="185" t="s">
        <v>2945</v>
      </c>
      <c r="D682" s="185" t="s">
        <v>2946</v>
      </c>
      <c r="E682" s="172" t="s">
        <v>2947</v>
      </c>
      <c r="F682" s="185" t="s">
        <v>2948</v>
      </c>
      <c r="G682" s="185"/>
    </row>
    <row r="683" customFormat="false" ht="15" hidden="false" customHeight="false" outlineLevel="0" collapsed="false">
      <c r="A683" s="185"/>
      <c r="B683" s="185"/>
      <c r="C683" s="185"/>
      <c r="D683" s="185"/>
      <c r="E683" s="172"/>
      <c r="F683" s="173" t="s">
        <v>1374</v>
      </c>
      <c r="G683" s="174" t="s">
        <v>2949</v>
      </c>
    </row>
    <row r="684" customFormat="false" ht="15" hidden="false" customHeight="false" outlineLevel="0" collapsed="false">
      <c r="A684" s="175" t="s">
        <v>3401</v>
      </c>
      <c r="B684" s="176" t="s">
        <v>3402</v>
      </c>
      <c r="C684" s="170" t="s">
        <v>3403</v>
      </c>
      <c r="D684" s="201" t="n">
        <v>59.9</v>
      </c>
      <c r="E684" s="178" t="n">
        <f aca="false">AVERAGE(D684:D686)</f>
        <v>61.9633333333333</v>
      </c>
      <c r="F684" s="178" t="n">
        <f aca="false">E684</f>
        <v>61.9633333333333</v>
      </c>
      <c r="G684" s="178" t="s">
        <v>2953</v>
      </c>
      <c r="H684" s="179" t="n">
        <f aca="false">F684</f>
        <v>61.9633333333333</v>
      </c>
      <c r="I684" s="179" t="str">
        <f aca="false">G684</f>
        <v>UTILIZOU-SE SINAPI</v>
      </c>
    </row>
    <row r="685" customFormat="false" ht="15" hidden="false" customHeight="false" outlineLevel="0" collapsed="false">
      <c r="A685" s="175" t="s">
        <v>3404</v>
      </c>
      <c r="B685" s="176" t="s">
        <v>3405</v>
      </c>
      <c r="C685" s="170" t="s">
        <v>3406</v>
      </c>
      <c r="D685" s="201" t="n">
        <v>45.99</v>
      </c>
      <c r="E685" s="178"/>
      <c r="F685" s="178"/>
      <c r="G685" s="178"/>
    </row>
    <row r="686" customFormat="false" ht="15" hidden="false" customHeight="false" outlineLevel="0" collapsed="false">
      <c r="A686" s="175" t="s">
        <v>3407</v>
      </c>
      <c r="B686" s="176" t="s">
        <v>3408</v>
      </c>
      <c r="C686" s="170" t="s">
        <v>3409</v>
      </c>
      <c r="D686" s="201" t="n">
        <v>80</v>
      </c>
      <c r="E686" s="178"/>
      <c r="F686" s="178"/>
      <c r="G686" s="178"/>
    </row>
    <row r="688" customFormat="false" ht="15" hidden="false" customHeight="false" outlineLevel="0" collapsed="false">
      <c r="A688" s="165" t="s">
        <v>28</v>
      </c>
      <c r="B688" s="165" t="s">
        <v>1410</v>
      </c>
      <c r="C688" s="165" t="s">
        <v>2938</v>
      </c>
      <c r="D688" s="165"/>
      <c r="E688" s="165"/>
      <c r="F688" s="165" t="s">
        <v>2939</v>
      </c>
      <c r="G688" s="165" t="s">
        <v>2940</v>
      </c>
    </row>
    <row r="689" customFormat="false" ht="15" hidden="false" customHeight="true" outlineLevel="0" collapsed="false">
      <c r="A689" s="199" t="s">
        <v>2900</v>
      </c>
      <c r="B689" s="176" t="s">
        <v>2941</v>
      </c>
      <c r="C689" s="169" t="s">
        <v>2901</v>
      </c>
      <c r="D689" s="169"/>
      <c r="E689" s="169"/>
      <c r="F689" s="176" t="s">
        <v>2995</v>
      </c>
      <c r="G689" s="178" t="n">
        <f aca="false">F692</f>
        <v>31.8666666666667</v>
      </c>
    </row>
    <row r="690" customFormat="false" ht="15" hidden="false" customHeight="true" outlineLevel="0" collapsed="false">
      <c r="A690" s="185" t="s">
        <v>2943</v>
      </c>
      <c r="B690" s="185" t="s">
        <v>2944</v>
      </c>
      <c r="C690" s="185" t="s">
        <v>2945</v>
      </c>
      <c r="D690" s="185" t="s">
        <v>2946</v>
      </c>
      <c r="E690" s="172" t="s">
        <v>2947</v>
      </c>
      <c r="F690" s="185" t="s">
        <v>2948</v>
      </c>
      <c r="G690" s="185"/>
    </row>
    <row r="691" customFormat="false" ht="15" hidden="false" customHeight="false" outlineLevel="0" collapsed="false">
      <c r="A691" s="185"/>
      <c r="B691" s="185"/>
      <c r="C691" s="185"/>
      <c r="D691" s="185"/>
      <c r="E691" s="172"/>
      <c r="F691" s="173" t="s">
        <v>1374</v>
      </c>
      <c r="G691" s="174" t="s">
        <v>2949</v>
      </c>
    </row>
    <row r="692" customFormat="false" ht="15" hidden="false" customHeight="false" outlineLevel="0" collapsed="false">
      <c r="A692" s="175" t="s">
        <v>3401</v>
      </c>
      <c r="B692" s="176" t="s">
        <v>3402</v>
      </c>
      <c r="C692" s="170" t="s">
        <v>3403</v>
      </c>
      <c r="D692" s="201" t="n">
        <v>39.9</v>
      </c>
      <c r="E692" s="178" t="n">
        <f aca="false">AVERAGE(D692:D694)</f>
        <v>31.8666666666667</v>
      </c>
      <c r="F692" s="178" t="n">
        <f aca="false">E692</f>
        <v>31.8666666666667</v>
      </c>
      <c r="G692" s="178" t="s">
        <v>2953</v>
      </c>
      <c r="H692" s="179" t="n">
        <f aca="false">F692</f>
        <v>31.8666666666667</v>
      </c>
      <c r="I692" s="179" t="str">
        <f aca="false">G692</f>
        <v>UTILIZOU-SE SINAPI</v>
      </c>
    </row>
    <row r="693" customFormat="false" ht="15" hidden="false" customHeight="false" outlineLevel="0" collapsed="false">
      <c r="A693" s="175" t="s">
        <v>3398</v>
      </c>
      <c r="B693" s="176" t="s">
        <v>3399</v>
      </c>
      <c r="C693" s="170" t="s">
        <v>3400</v>
      </c>
      <c r="D693" s="201" t="n">
        <v>25.9</v>
      </c>
      <c r="E693" s="178"/>
      <c r="F693" s="178"/>
      <c r="G693" s="178"/>
    </row>
    <row r="694" customFormat="false" ht="15" hidden="false" customHeight="false" outlineLevel="0" collapsed="false">
      <c r="A694" s="175" t="s">
        <v>3050</v>
      </c>
      <c r="B694" s="176" t="s">
        <v>3051</v>
      </c>
      <c r="C694" s="170" t="s">
        <v>3052</v>
      </c>
      <c r="D694" s="201" t="n">
        <v>29.8</v>
      </c>
      <c r="E694" s="178"/>
      <c r="F694" s="178"/>
      <c r="G694" s="178"/>
    </row>
    <row r="696" customFormat="false" ht="15" hidden="false" customHeight="false" outlineLevel="0" collapsed="false">
      <c r="A696" s="165" t="s">
        <v>28</v>
      </c>
      <c r="B696" s="165" t="s">
        <v>1410</v>
      </c>
      <c r="C696" s="165" t="s">
        <v>2938</v>
      </c>
      <c r="D696" s="165"/>
      <c r="E696" s="165"/>
      <c r="F696" s="165" t="s">
        <v>2939</v>
      </c>
      <c r="G696" s="165" t="s">
        <v>2940</v>
      </c>
    </row>
    <row r="697" customFormat="false" ht="15" hidden="false" customHeight="true" outlineLevel="0" collapsed="false">
      <c r="A697" s="199" t="s">
        <v>2890</v>
      </c>
      <c r="B697" s="176" t="s">
        <v>2941</v>
      </c>
      <c r="C697" s="169" t="s">
        <v>3410</v>
      </c>
      <c r="D697" s="169"/>
      <c r="E697" s="169"/>
      <c r="F697" s="176" t="s">
        <v>2995</v>
      </c>
      <c r="G697" s="178" t="n">
        <f aca="false">F700</f>
        <v>343.3</v>
      </c>
    </row>
    <row r="698" customFormat="false" ht="15" hidden="false" customHeight="true" outlineLevel="0" collapsed="false">
      <c r="A698" s="185" t="s">
        <v>2943</v>
      </c>
      <c r="B698" s="185" t="s">
        <v>2944</v>
      </c>
      <c r="C698" s="185" t="s">
        <v>2945</v>
      </c>
      <c r="D698" s="185" t="s">
        <v>2946</v>
      </c>
      <c r="E698" s="172" t="s">
        <v>2947</v>
      </c>
      <c r="F698" s="185" t="s">
        <v>2948</v>
      </c>
      <c r="G698" s="185"/>
    </row>
    <row r="699" customFormat="false" ht="15" hidden="false" customHeight="false" outlineLevel="0" collapsed="false">
      <c r="A699" s="185"/>
      <c r="B699" s="185"/>
      <c r="C699" s="185"/>
      <c r="D699" s="185"/>
      <c r="E699" s="172"/>
      <c r="F699" s="173" t="s">
        <v>1374</v>
      </c>
      <c r="G699" s="174" t="s">
        <v>2949</v>
      </c>
    </row>
    <row r="700" customFormat="false" ht="15" hidden="false" customHeight="false" outlineLevel="0" collapsed="false">
      <c r="A700" s="175" t="s">
        <v>3411</v>
      </c>
      <c r="B700" s="176" t="s">
        <v>3412</v>
      </c>
      <c r="C700" s="170" t="s">
        <v>3413</v>
      </c>
      <c r="D700" s="201" t="n">
        <v>290</v>
      </c>
      <c r="E700" s="178" t="n">
        <f aca="false">AVERAGE(D700:D702)</f>
        <v>343.3</v>
      </c>
      <c r="F700" s="178" t="n">
        <f aca="false">E700</f>
        <v>343.3</v>
      </c>
      <c r="G700" s="178" t="s">
        <v>2953</v>
      </c>
      <c r="H700" s="179" t="n">
        <f aca="false">F700</f>
        <v>343.3</v>
      </c>
      <c r="I700" s="179" t="str">
        <f aca="false">G700</f>
        <v>UTILIZOU-SE SINAPI</v>
      </c>
    </row>
    <row r="701" customFormat="false" ht="15" hidden="false" customHeight="false" outlineLevel="0" collapsed="false">
      <c r="A701" s="175" t="s">
        <v>3395</v>
      </c>
      <c r="B701" s="176" t="s">
        <v>3396</v>
      </c>
      <c r="C701" s="170" t="s">
        <v>3397</v>
      </c>
      <c r="D701" s="201" t="n">
        <v>289.9</v>
      </c>
      <c r="E701" s="178"/>
      <c r="F701" s="178"/>
      <c r="G701" s="178"/>
    </row>
    <row r="702" customFormat="false" ht="15" hidden="false" customHeight="false" outlineLevel="0" collapsed="false">
      <c r="A702" s="175" t="s">
        <v>3389</v>
      </c>
      <c r="B702" s="176" t="s">
        <v>3390</v>
      </c>
      <c r="C702" s="170" t="s">
        <v>3391</v>
      </c>
      <c r="D702" s="201" t="n">
        <v>450</v>
      </c>
      <c r="E702" s="178"/>
      <c r="F702" s="178"/>
      <c r="G702" s="178"/>
    </row>
    <row r="703" s="157" customFormat="true" ht="15" hidden="false" customHeight="false" outlineLevel="0" collapsed="false">
      <c r="B703" s="183"/>
      <c r="C703" s="205"/>
      <c r="D703" s="187"/>
      <c r="E703" s="188"/>
      <c r="F703" s="188"/>
      <c r="G703" s="183"/>
    </row>
    <row r="704" customFormat="false" ht="15" hidden="false" customHeight="false" outlineLevel="0" collapsed="false">
      <c r="A704" s="165" t="s">
        <v>28</v>
      </c>
      <c r="B704" s="165" t="s">
        <v>1410</v>
      </c>
      <c r="C704" s="165" t="s">
        <v>2938</v>
      </c>
      <c r="D704" s="165"/>
      <c r="E704" s="165"/>
      <c r="F704" s="165" t="s">
        <v>2939</v>
      </c>
      <c r="G704" s="165" t="s">
        <v>2940</v>
      </c>
    </row>
    <row r="705" customFormat="false" ht="15" hidden="false" customHeight="true" outlineLevel="0" collapsed="false">
      <c r="A705" s="206" t="s">
        <v>2524</v>
      </c>
      <c r="B705" s="176" t="s">
        <v>2941</v>
      </c>
      <c r="C705" s="169" t="s">
        <v>2525</v>
      </c>
      <c r="D705" s="169"/>
      <c r="E705" s="169"/>
      <c r="F705" s="176" t="s">
        <v>2995</v>
      </c>
      <c r="G705" s="178" t="n">
        <f aca="false">F708</f>
        <v>46489.9166666667</v>
      </c>
    </row>
    <row r="706" customFormat="false" ht="15" hidden="false" customHeight="true" outlineLevel="0" collapsed="false">
      <c r="A706" s="185" t="s">
        <v>2943</v>
      </c>
      <c r="B706" s="185" t="s">
        <v>2944</v>
      </c>
      <c r="C706" s="185" t="s">
        <v>2945</v>
      </c>
      <c r="D706" s="185" t="s">
        <v>2946</v>
      </c>
      <c r="E706" s="172" t="s">
        <v>2947</v>
      </c>
      <c r="F706" s="185" t="s">
        <v>2948</v>
      </c>
      <c r="G706" s="185"/>
    </row>
    <row r="707" customFormat="false" ht="15" hidden="false" customHeight="false" outlineLevel="0" collapsed="false">
      <c r="A707" s="185"/>
      <c r="B707" s="185"/>
      <c r="C707" s="185"/>
      <c r="D707" s="185"/>
      <c r="E707" s="172"/>
      <c r="F707" s="173" t="s">
        <v>1374</v>
      </c>
      <c r="G707" s="174" t="s">
        <v>2949</v>
      </c>
    </row>
    <row r="708" customFormat="false" ht="15" hidden="false" customHeight="false" outlineLevel="0" collapsed="false">
      <c r="A708" s="175" t="s">
        <v>3414</v>
      </c>
      <c r="B708" s="176" t="s">
        <v>3415</v>
      </c>
      <c r="C708" s="211" t="s">
        <v>3416</v>
      </c>
      <c r="D708" s="201" t="n">
        <v>42660.6</v>
      </c>
      <c r="E708" s="178" t="n">
        <f aca="false">AVERAGE(D708:D710)</f>
        <v>46489.9166666667</v>
      </c>
      <c r="F708" s="178" t="n">
        <f aca="false">E708</f>
        <v>46489.9166666667</v>
      </c>
      <c r="G708" s="178" t="s">
        <v>2953</v>
      </c>
      <c r="H708" s="179" t="n">
        <f aca="false">F708</f>
        <v>46489.9166666667</v>
      </c>
      <c r="I708" s="179" t="str">
        <f aca="false">G708</f>
        <v>UTILIZOU-SE SINAPI</v>
      </c>
    </row>
    <row r="709" customFormat="false" ht="15" hidden="false" customHeight="false" outlineLevel="0" collapsed="false">
      <c r="A709" s="175" t="s">
        <v>3417</v>
      </c>
      <c r="B709" s="176" t="s">
        <v>3418</v>
      </c>
      <c r="C709" s="211" t="s">
        <v>3419</v>
      </c>
      <c r="D709" s="201" t="n">
        <v>47999.9</v>
      </c>
      <c r="E709" s="178"/>
      <c r="F709" s="178"/>
      <c r="G709" s="178"/>
    </row>
    <row r="710" customFormat="false" ht="15" hidden="false" customHeight="false" outlineLevel="0" collapsed="false">
      <c r="A710" s="175" t="s">
        <v>3420</v>
      </c>
      <c r="B710" s="176" t="s">
        <v>3421</v>
      </c>
      <c r="C710" s="212" t="s">
        <v>3422</v>
      </c>
      <c r="D710" s="201" t="n">
        <v>48809.25</v>
      </c>
      <c r="E710" s="178"/>
      <c r="F710" s="178"/>
      <c r="G710" s="178"/>
    </row>
    <row r="711" s="157" customFormat="true" ht="15" hidden="false" customHeight="false" outlineLevel="0" collapsed="false">
      <c r="B711" s="183"/>
      <c r="C711" s="205"/>
      <c r="D711" s="187"/>
      <c r="E711" s="188"/>
      <c r="F711" s="188"/>
      <c r="G711" s="183"/>
    </row>
    <row r="712" customFormat="false" ht="15" hidden="false" customHeight="false" outlineLevel="0" collapsed="false">
      <c r="A712" s="165" t="s">
        <v>28</v>
      </c>
      <c r="B712" s="165" t="s">
        <v>1410</v>
      </c>
      <c r="C712" s="165" t="s">
        <v>2938</v>
      </c>
      <c r="D712" s="165"/>
      <c r="E712" s="165"/>
      <c r="F712" s="165" t="s">
        <v>2939</v>
      </c>
      <c r="G712" s="165" t="s">
        <v>2940</v>
      </c>
    </row>
    <row r="713" customFormat="false" ht="15" hidden="false" customHeight="true" outlineLevel="0" collapsed="false">
      <c r="A713" s="199" t="s">
        <v>2552</v>
      </c>
      <c r="B713" s="176" t="s">
        <v>2941</v>
      </c>
      <c r="C713" s="169" t="s">
        <v>3423</v>
      </c>
      <c r="D713" s="169"/>
      <c r="E713" s="169"/>
      <c r="F713" s="176" t="s">
        <v>2995</v>
      </c>
      <c r="G713" s="178" t="n">
        <f aca="false">F716</f>
        <v>1428.06666666667</v>
      </c>
    </row>
    <row r="714" customFormat="false" ht="15" hidden="false" customHeight="true" outlineLevel="0" collapsed="false">
      <c r="A714" s="185" t="s">
        <v>2943</v>
      </c>
      <c r="B714" s="185" t="s">
        <v>2944</v>
      </c>
      <c r="C714" s="185" t="s">
        <v>2945</v>
      </c>
      <c r="D714" s="185" t="s">
        <v>2946</v>
      </c>
      <c r="E714" s="172" t="s">
        <v>2947</v>
      </c>
      <c r="F714" s="185" t="s">
        <v>2948</v>
      </c>
      <c r="G714" s="185"/>
    </row>
    <row r="715" customFormat="false" ht="15" hidden="false" customHeight="false" outlineLevel="0" collapsed="false">
      <c r="A715" s="185"/>
      <c r="B715" s="185"/>
      <c r="C715" s="185"/>
      <c r="D715" s="185"/>
      <c r="E715" s="172"/>
      <c r="F715" s="173" t="s">
        <v>1374</v>
      </c>
      <c r="G715" s="174" t="s">
        <v>2949</v>
      </c>
    </row>
    <row r="716" customFormat="false" ht="15" hidden="false" customHeight="false" outlineLevel="0" collapsed="false">
      <c r="A716" s="175" t="s">
        <v>2996</v>
      </c>
      <c r="B716" s="176" t="s">
        <v>2993</v>
      </c>
      <c r="C716" s="176" t="s">
        <v>2997</v>
      </c>
      <c r="D716" s="201" t="n">
        <v>1572.22</v>
      </c>
      <c r="E716" s="178" t="n">
        <f aca="false">AVERAGE(D716:D718)</f>
        <v>1428.06666666667</v>
      </c>
      <c r="F716" s="178" t="n">
        <f aca="false">E716</f>
        <v>1428.06666666667</v>
      </c>
      <c r="G716" s="178" t="s">
        <v>2953</v>
      </c>
      <c r="H716" s="179" t="n">
        <f aca="false">F716</f>
        <v>1428.06666666667</v>
      </c>
      <c r="I716" s="179" t="str">
        <f aca="false">G716</f>
        <v>UTILIZOU-SE SINAPI</v>
      </c>
    </row>
    <row r="717" customFormat="false" ht="15" hidden="false" customHeight="false" outlineLevel="0" collapsed="false">
      <c r="A717" s="175" t="s">
        <v>3108</v>
      </c>
      <c r="B717" s="176" t="s">
        <v>3109</v>
      </c>
      <c r="C717" s="170" t="s">
        <v>3110</v>
      </c>
      <c r="D717" s="201" t="n">
        <v>1365.67</v>
      </c>
      <c r="E717" s="178"/>
      <c r="F717" s="178"/>
      <c r="G717" s="178"/>
    </row>
    <row r="718" customFormat="false" ht="15" hidden="false" customHeight="false" outlineLevel="0" collapsed="false">
      <c r="A718" s="175" t="s">
        <v>3424</v>
      </c>
      <c r="B718" s="176" t="s">
        <v>3425</v>
      </c>
      <c r="C718" s="170" t="s">
        <v>3426</v>
      </c>
      <c r="D718" s="201" t="n">
        <v>1346.31</v>
      </c>
      <c r="E718" s="178"/>
      <c r="F718" s="178"/>
      <c r="G718" s="178"/>
    </row>
    <row r="720" customFormat="false" ht="15" hidden="false" customHeight="false" outlineLevel="0" collapsed="false">
      <c r="A720" s="165" t="s">
        <v>28</v>
      </c>
      <c r="B720" s="165" t="s">
        <v>1410</v>
      </c>
      <c r="C720" s="165" t="s">
        <v>2938</v>
      </c>
      <c r="D720" s="165"/>
      <c r="E720" s="165"/>
      <c r="F720" s="165" t="s">
        <v>2939</v>
      </c>
      <c r="G720" s="165" t="s">
        <v>2940</v>
      </c>
    </row>
    <row r="721" customFormat="false" ht="15" hidden="false" customHeight="true" outlineLevel="0" collapsed="false">
      <c r="A721" s="199" t="s">
        <v>1790</v>
      </c>
      <c r="B721" s="176" t="s">
        <v>2941</v>
      </c>
      <c r="C721" s="169" t="s">
        <v>3427</v>
      </c>
      <c r="D721" s="169"/>
      <c r="E721" s="169"/>
      <c r="F721" s="176" t="s">
        <v>1477</v>
      </c>
      <c r="G721" s="178" t="n">
        <f aca="false">F724</f>
        <v>29.5458897243108</v>
      </c>
    </row>
    <row r="722" customFormat="false" ht="15" hidden="false" customHeight="true" outlineLevel="0" collapsed="false">
      <c r="A722" s="185" t="s">
        <v>2943</v>
      </c>
      <c r="B722" s="185" t="s">
        <v>2944</v>
      </c>
      <c r="C722" s="185" t="s">
        <v>2945</v>
      </c>
      <c r="D722" s="185" t="s">
        <v>2946</v>
      </c>
      <c r="E722" s="172" t="s">
        <v>2947</v>
      </c>
      <c r="F722" s="185" t="s">
        <v>2948</v>
      </c>
      <c r="G722" s="185"/>
    </row>
    <row r="723" customFormat="false" ht="15" hidden="false" customHeight="false" outlineLevel="0" collapsed="false">
      <c r="A723" s="185"/>
      <c r="B723" s="185"/>
      <c r="C723" s="185"/>
      <c r="D723" s="185"/>
      <c r="E723" s="172"/>
      <c r="F723" s="173" t="s">
        <v>1374</v>
      </c>
      <c r="G723" s="174" t="s">
        <v>2949</v>
      </c>
    </row>
    <row r="724" customFormat="false" ht="15" hidden="false" customHeight="false" outlineLevel="0" collapsed="false">
      <c r="A724" s="175" t="s">
        <v>3428</v>
      </c>
      <c r="B724" s="176" t="s">
        <v>3429</v>
      </c>
      <c r="C724" s="170" t="s">
        <v>3430</v>
      </c>
      <c r="D724" s="201" t="n">
        <f aca="false">(504/22.8)</f>
        <v>22.1052631578947</v>
      </c>
      <c r="E724" s="178" t="n">
        <f aca="false">AVERAGE(D724:D726)</f>
        <v>29.5458897243108</v>
      </c>
      <c r="F724" s="178" t="n">
        <f aca="false">E724</f>
        <v>29.5458897243108</v>
      </c>
      <c r="G724" s="178" t="s">
        <v>2953</v>
      </c>
      <c r="H724" s="179" t="n">
        <f aca="false">F724</f>
        <v>29.5458897243108</v>
      </c>
      <c r="I724" s="179" t="str">
        <f aca="false">G724</f>
        <v>UTILIZOU-SE SINAPI</v>
      </c>
    </row>
    <row r="725" customFormat="false" ht="15" hidden="false" customHeight="false" outlineLevel="0" collapsed="false">
      <c r="A725" s="175" t="s">
        <v>3431</v>
      </c>
      <c r="B725" s="176" t="s">
        <v>3432</v>
      </c>
      <c r="C725" s="170" t="s">
        <v>3433</v>
      </c>
      <c r="D725" s="201" t="n">
        <f aca="false">(504/22.8)</f>
        <v>22.1052631578947</v>
      </c>
      <c r="E725" s="178"/>
      <c r="F725" s="178"/>
      <c r="G725" s="178"/>
    </row>
    <row r="726" customFormat="false" ht="15" hidden="false" customHeight="false" outlineLevel="0" collapsed="false">
      <c r="A726" s="175" t="s">
        <v>3434</v>
      </c>
      <c r="B726" s="176" t="s">
        <v>3435</v>
      </c>
      <c r="C726" s="170" t="s">
        <v>3436</v>
      </c>
      <c r="D726" s="201" t="n">
        <f aca="false">(621.98/14)</f>
        <v>44.4271428571429</v>
      </c>
      <c r="E726" s="178"/>
      <c r="F726" s="178"/>
      <c r="G726" s="178"/>
    </row>
    <row r="728" customFormat="false" ht="15" hidden="false" customHeight="false" outlineLevel="0" collapsed="false">
      <c r="A728" s="165" t="s">
        <v>28</v>
      </c>
      <c r="B728" s="165" t="s">
        <v>1410</v>
      </c>
      <c r="C728" s="165" t="s">
        <v>2938</v>
      </c>
      <c r="D728" s="165"/>
      <c r="E728" s="165"/>
      <c r="F728" s="165" t="s">
        <v>2939</v>
      </c>
      <c r="G728" s="165" t="s">
        <v>2940</v>
      </c>
    </row>
    <row r="729" customFormat="false" ht="15" hidden="false" customHeight="true" outlineLevel="0" collapsed="false">
      <c r="A729" s="206" t="s">
        <v>2930</v>
      </c>
      <c r="B729" s="190" t="s">
        <v>2941</v>
      </c>
      <c r="C729" s="191" t="s">
        <v>2931</v>
      </c>
      <c r="D729" s="191"/>
      <c r="E729" s="191"/>
      <c r="F729" s="190" t="s">
        <v>2995</v>
      </c>
      <c r="G729" s="192" t="n">
        <f aca="false">F732</f>
        <v>2008.92</v>
      </c>
    </row>
    <row r="730" customFormat="false" ht="15" hidden="false" customHeight="true" outlineLevel="0" collapsed="false">
      <c r="A730" s="185" t="s">
        <v>2943</v>
      </c>
      <c r="B730" s="185" t="s">
        <v>2944</v>
      </c>
      <c r="C730" s="185" t="s">
        <v>2945</v>
      </c>
      <c r="D730" s="185" t="s">
        <v>2946</v>
      </c>
      <c r="E730" s="172" t="s">
        <v>2947</v>
      </c>
      <c r="F730" s="185" t="s">
        <v>2948</v>
      </c>
      <c r="G730" s="185"/>
    </row>
    <row r="731" customFormat="false" ht="15" hidden="false" customHeight="false" outlineLevel="0" collapsed="false">
      <c r="A731" s="185"/>
      <c r="B731" s="185"/>
      <c r="C731" s="185"/>
      <c r="D731" s="185"/>
      <c r="E731" s="172"/>
      <c r="F731" s="173" t="s">
        <v>1374</v>
      </c>
      <c r="G731" s="174" t="s">
        <v>2949</v>
      </c>
    </row>
    <row r="732" customFormat="false" ht="15" hidden="false" customHeight="false" outlineLevel="0" collapsed="false">
      <c r="A732" s="175"/>
      <c r="B732" s="176"/>
      <c r="C732" s="170" t="s">
        <v>3437</v>
      </c>
      <c r="D732" s="201" t="n">
        <v>2008.92</v>
      </c>
      <c r="E732" s="178" t="n">
        <f aca="false">AVERAGE(D732:D734)</f>
        <v>2008.92</v>
      </c>
      <c r="F732" s="178" t="n">
        <f aca="false">E732</f>
        <v>2008.92</v>
      </c>
      <c r="G732" s="178" t="s">
        <v>2953</v>
      </c>
      <c r="H732" s="179" t="n">
        <f aca="false">F732</f>
        <v>2008.92</v>
      </c>
      <c r="I732" s="179" t="str">
        <f aca="false">G732</f>
        <v>UTILIZOU-SE SINAPI</v>
      </c>
    </row>
    <row r="733" customFormat="false" ht="15" hidden="false" customHeight="false" outlineLevel="0" collapsed="false">
      <c r="A733" s="175"/>
      <c r="B733" s="176"/>
      <c r="C733" s="170"/>
      <c r="D733" s="201"/>
      <c r="E733" s="178"/>
      <c r="F733" s="178"/>
      <c r="G733" s="178"/>
    </row>
    <row r="734" customFormat="false" ht="15" hidden="false" customHeight="false" outlineLevel="0" collapsed="false">
      <c r="A734" s="175"/>
      <c r="B734" s="176"/>
      <c r="C734" s="170"/>
      <c r="D734" s="201"/>
      <c r="E734" s="178"/>
      <c r="F734" s="178"/>
      <c r="G734" s="178"/>
    </row>
    <row r="736" customFormat="false" ht="15" hidden="false" customHeight="false" outlineLevel="0" collapsed="false">
      <c r="A736" s="165" t="s">
        <v>28</v>
      </c>
      <c r="B736" s="165" t="s">
        <v>1410</v>
      </c>
      <c r="C736" s="165" t="s">
        <v>2938</v>
      </c>
      <c r="D736" s="165"/>
      <c r="E736" s="165"/>
      <c r="F736" s="165" t="s">
        <v>2939</v>
      </c>
      <c r="G736" s="165" t="s">
        <v>2940</v>
      </c>
    </row>
    <row r="737" customFormat="false" ht="15" hidden="false" customHeight="true" outlineLevel="0" collapsed="false">
      <c r="A737" s="199" t="s">
        <v>1927</v>
      </c>
      <c r="B737" s="176" t="s">
        <v>2941</v>
      </c>
      <c r="C737" s="169" t="s">
        <v>3438</v>
      </c>
      <c r="D737" s="169"/>
      <c r="E737" s="169"/>
      <c r="F737" s="176" t="s">
        <v>2995</v>
      </c>
      <c r="G737" s="178" t="n">
        <f aca="false">F740</f>
        <v>95.63</v>
      </c>
    </row>
    <row r="738" customFormat="false" ht="15" hidden="false" customHeight="true" outlineLevel="0" collapsed="false">
      <c r="A738" s="185" t="s">
        <v>2943</v>
      </c>
      <c r="B738" s="185" t="s">
        <v>2944</v>
      </c>
      <c r="C738" s="185" t="s">
        <v>2945</v>
      </c>
      <c r="D738" s="185" t="s">
        <v>2946</v>
      </c>
      <c r="E738" s="172" t="s">
        <v>2947</v>
      </c>
      <c r="F738" s="185" t="s">
        <v>2948</v>
      </c>
      <c r="G738" s="185"/>
    </row>
    <row r="739" customFormat="false" ht="15" hidden="false" customHeight="false" outlineLevel="0" collapsed="false">
      <c r="A739" s="185"/>
      <c r="B739" s="185"/>
      <c r="C739" s="185"/>
      <c r="D739" s="185"/>
      <c r="E739" s="172"/>
      <c r="F739" s="173" t="s">
        <v>1374</v>
      </c>
      <c r="G739" s="174" t="s">
        <v>2949</v>
      </c>
    </row>
    <row r="740" customFormat="false" ht="15" hidden="false" customHeight="false" outlineLevel="0" collapsed="false">
      <c r="A740" s="175" t="s">
        <v>3439</v>
      </c>
      <c r="B740" s="176" t="s">
        <v>3440</v>
      </c>
      <c r="C740" s="170" t="s">
        <v>3441</v>
      </c>
      <c r="D740" s="201" t="n">
        <v>94.99</v>
      </c>
      <c r="E740" s="178" t="n">
        <f aca="false">AVERAGE(D740:D742)</f>
        <v>95.63</v>
      </c>
      <c r="F740" s="178" t="n">
        <f aca="false">E740</f>
        <v>95.63</v>
      </c>
      <c r="G740" s="178" t="s">
        <v>2953</v>
      </c>
      <c r="H740" s="179" t="n">
        <f aca="false">F740</f>
        <v>95.63</v>
      </c>
      <c r="I740" s="179" t="str">
        <f aca="false">G740</f>
        <v>UTILIZOU-SE SINAPI</v>
      </c>
    </row>
    <row r="741" customFormat="false" ht="15" hidden="false" customHeight="false" outlineLevel="0" collapsed="false">
      <c r="A741" s="175" t="s">
        <v>3442</v>
      </c>
      <c r="B741" s="176" t="s">
        <v>3443</v>
      </c>
      <c r="C741" s="170" t="s">
        <v>3444</v>
      </c>
      <c r="D741" s="201" t="n">
        <v>81</v>
      </c>
      <c r="E741" s="178"/>
      <c r="F741" s="178"/>
      <c r="G741" s="178"/>
    </row>
    <row r="742" customFormat="false" ht="15" hidden="false" customHeight="false" outlineLevel="0" collapsed="false">
      <c r="A742" s="175" t="s">
        <v>3445</v>
      </c>
      <c r="B742" s="176" t="s">
        <v>3446</v>
      </c>
      <c r="C742" s="170" t="s">
        <v>3447</v>
      </c>
      <c r="D742" s="201" t="n">
        <v>110.9</v>
      </c>
      <c r="E742" s="178"/>
      <c r="F742" s="178"/>
      <c r="G742" s="178"/>
    </row>
    <row r="744" customFormat="false" ht="15" hidden="false" customHeight="false" outlineLevel="0" collapsed="false">
      <c r="A744" s="165" t="s">
        <v>28</v>
      </c>
      <c r="B744" s="165" t="s">
        <v>1410</v>
      </c>
      <c r="C744" s="165" t="s">
        <v>2938</v>
      </c>
      <c r="D744" s="165"/>
      <c r="E744" s="165"/>
      <c r="F744" s="165" t="s">
        <v>2939</v>
      </c>
      <c r="G744" s="165" t="s">
        <v>2940</v>
      </c>
    </row>
    <row r="745" customFormat="false" ht="15" hidden="false" customHeight="true" outlineLevel="0" collapsed="false">
      <c r="A745" s="199" t="s">
        <v>1988</v>
      </c>
      <c r="B745" s="176" t="s">
        <v>2941</v>
      </c>
      <c r="C745" s="169" t="s">
        <v>3448</v>
      </c>
      <c r="D745" s="169"/>
      <c r="E745" s="169"/>
      <c r="F745" s="176" t="s">
        <v>2995</v>
      </c>
      <c r="G745" s="178" t="n">
        <f aca="false">F748</f>
        <v>50.8766666666667</v>
      </c>
    </row>
    <row r="746" customFormat="false" ht="15" hidden="false" customHeight="true" outlineLevel="0" collapsed="false">
      <c r="A746" s="185" t="s">
        <v>2943</v>
      </c>
      <c r="B746" s="185" t="s">
        <v>2944</v>
      </c>
      <c r="C746" s="185" t="s">
        <v>2945</v>
      </c>
      <c r="D746" s="185" t="s">
        <v>2946</v>
      </c>
      <c r="E746" s="172" t="s">
        <v>2947</v>
      </c>
      <c r="F746" s="185" t="s">
        <v>2948</v>
      </c>
      <c r="G746" s="185"/>
    </row>
    <row r="747" customFormat="false" ht="15" hidden="false" customHeight="false" outlineLevel="0" collapsed="false">
      <c r="A747" s="185"/>
      <c r="B747" s="185"/>
      <c r="C747" s="185"/>
      <c r="D747" s="185"/>
      <c r="E747" s="172"/>
      <c r="F747" s="173" t="s">
        <v>1374</v>
      </c>
      <c r="G747" s="174" t="s">
        <v>2949</v>
      </c>
    </row>
    <row r="748" customFormat="false" ht="15" hidden="false" customHeight="false" outlineLevel="0" collapsed="false">
      <c r="A748" s="175" t="s">
        <v>3029</v>
      </c>
      <c r="B748" s="176" t="s">
        <v>3030</v>
      </c>
      <c r="C748" s="176" t="s">
        <v>3031</v>
      </c>
      <c r="D748" s="201" t="n">
        <v>48</v>
      </c>
      <c r="E748" s="178" t="n">
        <f aca="false">AVERAGE(D748:D750)</f>
        <v>50.8766666666667</v>
      </c>
      <c r="F748" s="178" t="n">
        <f aca="false">E748</f>
        <v>50.8766666666667</v>
      </c>
      <c r="G748" s="178" t="s">
        <v>2953</v>
      </c>
      <c r="H748" s="179" t="n">
        <f aca="false">F748</f>
        <v>50.8766666666667</v>
      </c>
      <c r="I748" s="179" t="str">
        <f aca="false">G748</f>
        <v>UTILIZOU-SE SINAPI</v>
      </c>
    </row>
    <row r="749" customFormat="false" ht="15" hidden="false" customHeight="false" outlineLevel="0" collapsed="false">
      <c r="A749" s="175" t="s">
        <v>2996</v>
      </c>
      <c r="B749" s="176" t="s">
        <v>2993</v>
      </c>
      <c r="C749" s="176" t="s">
        <v>2997</v>
      </c>
      <c r="D749" s="201" t="n">
        <v>52</v>
      </c>
      <c r="E749" s="178"/>
      <c r="F749" s="178"/>
      <c r="G749" s="178"/>
    </row>
    <row r="750" customFormat="false" ht="15" hidden="false" customHeight="false" outlineLevel="0" collapsed="false">
      <c r="A750" s="175" t="s">
        <v>3449</v>
      </c>
      <c r="B750" s="176" t="s">
        <v>3450</v>
      </c>
      <c r="C750" s="170" t="s">
        <v>3451</v>
      </c>
      <c r="D750" s="201" t="n">
        <v>52.63</v>
      </c>
      <c r="E750" s="178"/>
      <c r="F750" s="178"/>
      <c r="G750" s="178"/>
    </row>
    <row r="752" customFormat="false" ht="15" hidden="false" customHeight="false" outlineLevel="0" collapsed="false">
      <c r="A752" s="165" t="s">
        <v>28</v>
      </c>
      <c r="B752" s="165" t="s">
        <v>1410</v>
      </c>
      <c r="C752" s="165" t="s">
        <v>2938</v>
      </c>
      <c r="D752" s="165"/>
      <c r="E752" s="165"/>
      <c r="F752" s="165" t="s">
        <v>2939</v>
      </c>
      <c r="G752" s="165" t="s">
        <v>2940</v>
      </c>
    </row>
    <row r="753" customFormat="false" ht="15" hidden="false" customHeight="true" outlineLevel="0" collapsed="false">
      <c r="A753" s="199" t="s">
        <v>1991</v>
      </c>
      <c r="B753" s="176" t="s">
        <v>2941</v>
      </c>
      <c r="C753" s="169" t="s">
        <v>3452</v>
      </c>
      <c r="D753" s="169"/>
      <c r="E753" s="169"/>
      <c r="F753" s="176" t="s">
        <v>2995</v>
      </c>
      <c r="G753" s="178" t="n">
        <f aca="false">F756</f>
        <v>8.16666666666667</v>
      </c>
    </row>
    <row r="754" customFormat="false" ht="15" hidden="false" customHeight="true" outlineLevel="0" collapsed="false">
      <c r="A754" s="185" t="s">
        <v>2943</v>
      </c>
      <c r="B754" s="185" t="s">
        <v>2944</v>
      </c>
      <c r="C754" s="185" t="s">
        <v>2945</v>
      </c>
      <c r="D754" s="185" t="s">
        <v>2946</v>
      </c>
      <c r="E754" s="172" t="s">
        <v>2947</v>
      </c>
      <c r="F754" s="185" t="s">
        <v>2948</v>
      </c>
      <c r="G754" s="185"/>
    </row>
    <row r="755" customFormat="false" ht="15" hidden="false" customHeight="false" outlineLevel="0" collapsed="false">
      <c r="A755" s="185"/>
      <c r="B755" s="185"/>
      <c r="C755" s="185"/>
      <c r="D755" s="185"/>
      <c r="E755" s="172"/>
      <c r="F755" s="173" t="s">
        <v>1374</v>
      </c>
      <c r="G755" s="174" t="s">
        <v>2949</v>
      </c>
    </row>
    <row r="756" customFormat="false" ht="15" hidden="false" customHeight="false" outlineLevel="0" collapsed="false">
      <c r="A756" s="175" t="s">
        <v>2996</v>
      </c>
      <c r="B756" s="176" t="s">
        <v>2993</v>
      </c>
      <c r="C756" s="176" t="s">
        <v>2997</v>
      </c>
      <c r="D756" s="201" t="n">
        <v>7</v>
      </c>
      <c r="E756" s="178" t="n">
        <f aca="false">AVERAGE(D756:D758)</f>
        <v>8.16666666666667</v>
      </c>
      <c r="F756" s="178" t="n">
        <f aca="false">E756</f>
        <v>8.16666666666667</v>
      </c>
      <c r="G756" s="178" t="s">
        <v>2953</v>
      </c>
      <c r="H756" s="179" t="n">
        <f aca="false">F756</f>
        <v>8.16666666666667</v>
      </c>
      <c r="I756" s="179" t="str">
        <f aca="false">G756</f>
        <v>UTILIZOU-SE SINAPI</v>
      </c>
    </row>
    <row r="757" customFormat="false" ht="15" hidden="false" customHeight="false" outlineLevel="0" collapsed="false">
      <c r="A757" s="175" t="s">
        <v>3125</v>
      </c>
      <c r="B757" s="176" t="s">
        <v>3126</v>
      </c>
      <c r="C757" s="170" t="s">
        <v>3127</v>
      </c>
      <c r="D757" s="201" t="n">
        <v>9.31</v>
      </c>
      <c r="E757" s="178"/>
      <c r="F757" s="178"/>
      <c r="G757" s="178"/>
    </row>
    <row r="758" customFormat="false" ht="15" hidden="false" customHeight="false" outlineLevel="0" collapsed="false">
      <c r="A758" s="175" t="s">
        <v>3453</v>
      </c>
      <c r="B758" s="176" t="s">
        <v>3454</v>
      </c>
      <c r="C758" s="170" t="s">
        <v>3455</v>
      </c>
      <c r="D758" s="201" t="n">
        <v>8.19</v>
      </c>
      <c r="E758" s="178"/>
      <c r="F758" s="178"/>
      <c r="G758" s="178"/>
    </row>
    <row r="760" customFormat="false" ht="15" hidden="false" customHeight="false" outlineLevel="0" collapsed="false">
      <c r="A760" s="165" t="s">
        <v>28</v>
      </c>
      <c r="B760" s="165" t="s">
        <v>1410</v>
      </c>
      <c r="C760" s="165" t="s">
        <v>2938</v>
      </c>
      <c r="D760" s="165"/>
      <c r="E760" s="165"/>
      <c r="F760" s="165" t="s">
        <v>2939</v>
      </c>
      <c r="G760" s="165" t="s">
        <v>2940</v>
      </c>
    </row>
    <row r="761" customFormat="false" ht="15" hidden="false" customHeight="true" outlineLevel="0" collapsed="false">
      <c r="A761" s="199" t="s">
        <v>1994</v>
      </c>
      <c r="B761" s="176" t="s">
        <v>2941</v>
      </c>
      <c r="C761" s="169" t="s">
        <v>3456</v>
      </c>
      <c r="D761" s="169"/>
      <c r="E761" s="169"/>
      <c r="F761" s="176" t="s">
        <v>2995</v>
      </c>
      <c r="G761" s="178" t="n">
        <f aca="false">F764</f>
        <v>18.6</v>
      </c>
    </row>
    <row r="762" customFormat="false" ht="15" hidden="false" customHeight="true" outlineLevel="0" collapsed="false">
      <c r="A762" s="185" t="s">
        <v>2943</v>
      </c>
      <c r="B762" s="185" t="s">
        <v>2944</v>
      </c>
      <c r="C762" s="185" t="s">
        <v>2945</v>
      </c>
      <c r="D762" s="185" t="s">
        <v>2946</v>
      </c>
      <c r="E762" s="172" t="s">
        <v>2947</v>
      </c>
      <c r="F762" s="185" t="s">
        <v>2948</v>
      </c>
      <c r="G762" s="185"/>
    </row>
    <row r="763" customFormat="false" ht="15" hidden="false" customHeight="false" outlineLevel="0" collapsed="false">
      <c r="A763" s="185"/>
      <c r="B763" s="185"/>
      <c r="C763" s="185"/>
      <c r="D763" s="185"/>
      <c r="E763" s="172"/>
      <c r="F763" s="173" t="s">
        <v>1374</v>
      </c>
      <c r="G763" s="174" t="s">
        <v>2949</v>
      </c>
    </row>
    <row r="764" customFormat="false" ht="15" hidden="false" customHeight="false" outlineLevel="0" collapsed="false">
      <c r="A764" s="175" t="s">
        <v>3457</v>
      </c>
      <c r="B764" s="176" t="s">
        <v>3458</v>
      </c>
      <c r="C764" s="170" t="s">
        <v>3459</v>
      </c>
      <c r="D764" s="201" t="n">
        <v>16.8</v>
      </c>
      <c r="E764" s="178" t="n">
        <f aca="false">AVERAGE(D764:D766)</f>
        <v>18.6</v>
      </c>
      <c r="F764" s="178" t="n">
        <f aca="false">E764</f>
        <v>18.6</v>
      </c>
      <c r="G764" s="178" t="s">
        <v>2953</v>
      </c>
      <c r="H764" s="179" t="n">
        <f aca="false">F764</f>
        <v>18.6</v>
      </c>
      <c r="I764" s="179" t="str">
        <f aca="false">G764</f>
        <v>UTILIZOU-SE SINAPI</v>
      </c>
    </row>
    <row r="765" customFormat="false" ht="15" hidden="false" customHeight="false" outlineLevel="0" collapsed="false">
      <c r="A765" s="175" t="s">
        <v>3029</v>
      </c>
      <c r="B765" s="176" t="s">
        <v>3030</v>
      </c>
      <c r="C765" s="176" t="s">
        <v>3031</v>
      </c>
      <c r="D765" s="201" t="n">
        <v>30</v>
      </c>
      <c r="E765" s="178"/>
      <c r="F765" s="178"/>
      <c r="G765" s="178"/>
    </row>
    <row r="766" customFormat="false" ht="15" hidden="false" customHeight="false" outlineLevel="0" collapsed="false">
      <c r="A766" s="175" t="s">
        <v>3460</v>
      </c>
      <c r="B766" s="176" t="s">
        <v>3461</v>
      </c>
      <c r="C766" s="170" t="s">
        <v>3462</v>
      </c>
      <c r="D766" s="201" t="n">
        <v>9</v>
      </c>
      <c r="E766" s="178"/>
      <c r="F766" s="178"/>
      <c r="G766" s="178"/>
    </row>
    <row r="767" s="157" customFormat="true" ht="15" hidden="false" customHeight="false" outlineLevel="0" collapsed="false">
      <c r="B767" s="183"/>
      <c r="C767" s="205"/>
      <c r="D767" s="187"/>
      <c r="E767" s="188"/>
      <c r="F767" s="188"/>
      <c r="G767" s="183"/>
    </row>
    <row r="768" customFormat="false" ht="15" hidden="false" customHeight="false" outlineLevel="0" collapsed="false">
      <c r="A768" s="165" t="s">
        <v>28</v>
      </c>
      <c r="B768" s="165" t="s">
        <v>1410</v>
      </c>
      <c r="C768" s="165" t="s">
        <v>2938</v>
      </c>
      <c r="D768" s="165"/>
      <c r="E768" s="165"/>
      <c r="F768" s="165" t="s">
        <v>2939</v>
      </c>
      <c r="G768" s="165" t="s">
        <v>2940</v>
      </c>
    </row>
    <row r="769" customFormat="false" ht="15" hidden="false" customHeight="true" outlineLevel="0" collapsed="false">
      <c r="A769" s="206" t="s">
        <v>2587</v>
      </c>
      <c r="B769" s="190" t="s">
        <v>2941</v>
      </c>
      <c r="C769" s="191" t="s">
        <v>2588</v>
      </c>
      <c r="D769" s="191"/>
      <c r="E769" s="191"/>
      <c r="F769" s="190" t="s">
        <v>2995</v>
      </c>
      <c r="G769" s="192" t="n">
        <f aca="false">F772</f>
        <v>26.3366666666667</v>
      </c>
    </row>
    <row r="770" customFormat="false" ht="15" hidden="false" customHeight="true" outlineLevel="0" collapsed="false">
      <c r="A770" s="185" t="s">
        <v>2943</v>
      </c>
      <c r="B770" s="185" t="s">
        <v>2944</v>
      </c>
      <c r="C770" s="185" t="s">
        <v>2945</v>
      </c>
      <c r="D770" s="185" t="s">
        <v>2946</v>
      </c>
      <c r="E770" s="172" t="s">
        <v>2947</v>
      </c>
      <c r="F770" s="185" t="s">
        <v>2948</v>
      </c>
      <c r="G770" s="185"/>
    </row>
    <row r="771" customFormat="false" ht="15" hidden="false" customHeight="false" outlineLevel="0" collapsed="false">
      <c r="A771" s="185"/>
      <c r="B771" s="185"/>
      <c r="C771" s="185"/>
      <c r="D771" s="185"/>
      <c r="E771" s="172"/>
      <c r="F771" s="173" t="s">
        <v>1374</v>
      </c>
      <c r="G771" s="174" t="s">
        <v>2949</v>
      </c>
    </row>
    <row r="772" customFormat="false" ht="15" hidden="false" customHeight="false" outlineLevel="0" collapsed="false">
      <c r="A772" s="175" t="s">
        <v>2996</v>
      </c>
      <c r="B772" s="176" t="s">
        <v>2993</v>
      </c>
      <c r="C772" s="197" t="s">
        <v>3463</v>
      </c>
      <c r="D772" s="201" t="n">
        <v>31.13</v>
      </c>
      <c r="E772" s="178" t="n">
        <f aca="false">AVERAGE(D772:D774)</f>
        <v>26.3366666666667</v>
      </c>
      <c r="F772" s="178" t="n">
        <f aca="false">E772</f>
        <v>26.3366666666667</v>
      </c>
      <c r="G772" s="178" t="s">
        <v>2953</v>
      </c>
      <c r="H772" s="179" t="n">
        <f aca="false">F772</f>
        <v>26.3366666666667</v>
      </c>
      <c r="I772" s="179" t="str">
        <f aca="false">G772</f>
        <v>UTILIZOU-SE SINAPI</v>
      </c>
    </row>
    <row r="773" customFormat="false" ht="15" hidden="false" customHeight="false" outlineLevel="0" collapsed="false">
      <c r="A773" s="175" t="s">
        <v>3464</v>
      </c>
      <c r="B773" s="176" t="s">
        <v>3465</v>
      </c>
      <c r="C773" s="197" t="s">
        <v>3466</v>
      </c>
      <c r="D773" s="201" t="n">
        <v>21.98</v>
      </c>
      <c r="E773" s="178"/>
      <c r="F773" s="178"/>
      <c r="G773" s="178"/>
    </row>
    <row r="774" customFormat="false" ht="15" hidden="false" customHeight="false" outlineLevel="0" collapsed="false">
      <c r="A774" s="175" t="s">
        <v>3467</v>
      </c>
      <c r="B774" s="176" t="s">
        <v>3468</v>
      </c>
      <c r="C774" s="197" t="s">
        <v>3469</v>
      </c>
      <c r="D774" s="201" t="n">
        <f aca="false">259/10</f>
        <v>25.9</v>
      </c>
      <c r="E774" s="178"/>
      <c r="F774" s="178"/>
      <c r="G774" s="178"/>
    </row>
    <row r="776" customFormat="false" ht="15" hidden="false" customHeight="false" outlineLevel="0" collapsed="false">
      <c r="A776" s="165" t="s">
        <v>28</v>
      </c>
      <c r="B776" s="165" t="s">
        <v>1410</v>
      </c>
      <c r="C776" s="165" t="s">
        <v>2938</v>
      </c>
      <c r="D776" s="165"/>
      <c r="E776" s="165"/>
      <c r="F776" s="165" t="s">
        <v>2939</v>
      </c>
      <c r="G776" s="165" t="s">
        <v>2940</v>
      </c>
    </row>
    <row r="777" s="57" customFormat="true" ht="15" hidden="false" customHeight="false" outlineLevel="0" collapsed="false">
      <c r="A777" s="206" t="s">
        <v>2537</v>
      </c>
      <c r="B777" s="190" t="s">
        <v>2941</v>
      </c>
      <c r="C777" s="195" t="s">
        <v>2538</v>
      </c>
      <c r="D777" s="195"/>
      <c r="E777" s="195"/>
      <c r="F777" s="190" t="s">
        <v>2995</v>
      </c>
      <c r="G777" s="192" t="n">
        <f aca="false">F780</f>
        <v>13.78</v>
      </c>
      <c r="H777" s="196"/>
      <c r="I777" s="196"/>
    </row>
    <row r="778" customFormat="false" ht="15" hidden="false" customHeight="true" outlineLevel="0" collapsed="false">
      <c r="A778" s="185" t="s">
        <v>2943</v>
      </c>
      <c r="B778" s="185" t="s">
        <v>2944</v>
      </c>
      <c r="C778" s="185" t="s">
        <v>2945</v>
      </c>
      <c r="D778" s="185" t="s">
        <v>2946</v>
      </c>
      <c r="E778" s="172" t="s">
        <v>2947</v>
      </c>
      <c r="F778" s="185" t="s">
        <v>2948</v>
      </c>
      <c r="G778" s="185"/>
    </row>
    <row r="779" customFormat="false" ht="15" hidden="false" customHeight="false" outlineLevel="0" collapsed="false">
      <c r="A779" s="185"/>
      <c r="B779" s="185"/>
      <c r="C779" s="185"/>
      <c r="D779" s="185"/>
      <c r="E779" s="172"/>
      <c r="F779" s="173" t="s">
        <v>1374</v>
      </c>
      <c r="G779" s="174" t="s">
        <v>2949</v>
      </c>
    </row>
    <row r="780" customFormat="false" ht="30" hidden="false" customHeight="false" outlineLevel="0" collapsed="false">
      <c r="A780" s="175" t="s">
        <v>3368</v>
      </c>
      <c r="B780" s="176" t="s">
        <v>3369</v>
      </c>
      <c r="C780" s="212" t="s">
        <v>3470</v>
      </c>
      <c r="D780" s="201" t="n">
        <v>9.99</v>
      </c>
      <c r="E780" s="178" t="n">
        <f aca="false">AVERAGE(D780:D782)</f>
        <v>13.78</v>
      </c>
      <c r="F780" s="178" t="n">
        <f aca="false">E780</f>
        <v>13.78</v>
      </c>
      <c r="G780" s="178" t="s">
        <v>2953</v>
      </c>
      <c r="H780" s="179" t="n">
        <f aca="false">F780</f>
        <v>13.78</v>
      </c>
      <c r="I780" s="179" t="str">
        <f aca="false">G780</f>
        <v>UTILIZOU-SE SINAPI</v>
      </c>
    </row>
    <row r="781" customFormat="false" ht="15" hidden="false" customHeight="false" outlineLevel="0" collapsed="false">
      <c r="A781" s="175" t="s">
        <v>2990</v>
      </c>
      <c r="B781" s="176" t="s">
        <v>3259</v>
      </c>
      <c r="C781" s="170" t="s">
        <v>3260</v>
      </c>
      <c r="D781" s="201" t="n">
        <v>15.99</v>
      </c>
      <c r="E781" s="178"/>
      <c r="F781" s="178"/>
      <c r="G781" s="178"/>
    </row>
    <row r="782" customFormat="false" ht="15" hidden="false" customHeight="false" outlineLevel="0" collapsed="false">
      <c r="A782" s="175" t="s">
        <v>3050</v>
      </c>
      <c r="B782" s="176" t="s">
        <v>3051</v>
      </c>
      <c r="C782" s="170" t="s">
        <v>3052</v>
      </c>
      <c r="D782" s="201" t="n">
        <v>15.36</v>
      </c>
      <c r="E782" s="178"/>
      <c r="F782" s="178"/>
      <c r="G782" s="178"/>
    </row>
    <row r="784" customFormat="false" ht="15" hidden="false" customHeight="false" outlineLevel="0" collapsed="false">
      <c r="A784" s="165" t="s">
        <v>28</v>
      </c>
      <c r="B784" s="165" t="s">
        <v>1410</v>
      </c>
      <c r="C784" s="165" t="s">
        <v>2938</v>
      </c>
      <c r="D784" s="165"/>
      <c r="E784" s="165"/>
      <c r="F784" s="165" t="s">
        <v>2939</v>
      </c>
      <c r="G784" s="165" t="s">
        <v>2940</v>
      </c>
    </row>
    <row r="785" customFormat="false" ht="15" hidden="false" customHeight="false" outlineLevel="0" collapsed="false">
      <c r="A785" s="199" t="s">
        <v>1865</v>
      </c>
      <c r="B785" s="176" t="s">
        <v>2941</v>
      </c>
      <c r="C785" s="184" t="s">
        <v>1866</v>
      </c>
      <c r="D785" s="184"/>
      <c r="E785" s="184"/>
      <c r="F785" s="176" t="s">
        <v>2995</v>
      </c>
      <c r="G785" s="178" t="n">
        <f aca="false">F788</f>
        <v>2108.63666666667</v>
      </c>
    </row>
    <row r="786" customFormat="false" ht="15" hidden="false" customHeight="true" outlineLevel="0" collapsed="false">
      <c r="A786" s="185" t="s">
        <v>2943</v>
      </c>
      <c r="B786" s="185" t="s">
        <v>2944</v>
      </c>
      <c r="C786" s="185" t="s">
        <v>2945</v>
      </c>
      <c r="D786" s="185" t="s">
        <v>2946</v>
      </c>
      <c r="E786" s="172" t="s">
        <v>2947</v>
      </c>
      <c r="F786" s="185" t="s">
        <v>2948</v>
      </c>
      <c r="G786" s="185"/>
    </row>
    <row r="787" customFormat="false" ht="15" hidden="false" customHeight="false" outlineLevel="0" collapsed="false">
      <c r="A787" s="185"/>
      <c r="B787" s="185"/>
      <c r="C787" s="185"/>
      <c r="D787" s="185"/>
      <c r="E787" s="172"/>
      <c r="F787" s="173" t="s">
        <v>1374</v>
      </c>
      <c r="G787" s="174" t="s">
        <v>2949</v>
      </c>
    </row>
    <row r="788" customFormat="false" ht="15" hidden="false" customHeight="false" outlineLevel="0" collapsed="false">
      <c r="A788" s="175" t="s">
        <v>3471</v>
      </c>
      <c r="B788" s="176" t="s">
        <v>3472</v>
      </c>
      <c r="C788" s="170" t="s">
        <v>3473</v>
      </c>
      <c r="D788" s="201" t="n">
        <v>2190</v>
      </c>
      <c r="E788" s="178" t="n">
        <f aca="false">AVERAGE(D788:D790)</f>
        <v>2108.63666666667</v>
      </c>
      <c r="F788" s="178" t="n">
        <f aca="false">E788</f>
        <v>2108.63666666667</v>
      </c>
      <c r="G788" s="178" t="s">
        <v>2953</v>
      </c>
      <c r="H788" s="179" t="n">
        <f aca="false">F788</f>
        <v>2108.63666666667</v>
      </c>
      <c r="I788" s="179" t="str">
        <f aca="false">G788</f>
        <v>UTILIZOU-SE SINAPI</v>
      </c>
    </row>
    <row r="789" customFormat="false" ht="15" hidden="false" customHeight="false" outlineLevel="0" collapsed="false">
      <c r="A789" s="175" t="s">
        <v>3474</v>
      </c>
      <c r="B789" s="176" t="s">
        <v>3475</v>
      </c>
      <c r="C789" s="170" t="s">
        <v>3476</v>
      </c>
      <c r="D789" s="201" t="n">
        <v>2535.91</v>
      </c>
      <c r="E789" s="178"/>
      <c r="F789" s="178"/>
      <c r="G789" s="178"/>
    </row>
    <row r="790" customFormat="false" ht="15" hidden="false" customHeight="false" outlineLevel="0" collapsed="false">
      <c r="A790" s="175" t="s">
        <v>3477</v>
      </c>
      <c r="B790" s="176" t="s">
        <v>3478</v>
      </c>
      <c r="C790" s="170" t="s">
        <v>3479</v>
      </c>
      <c r="D790" s="201" t="n">
        <v>1600</v>
      </c>
      <c r="E790" s="178"/>
      <c r="F790" s="178"/>
      <c r="G790" s="178"/>
    </row>
    <row r="792" customFormat="false" ht="15" hidden="false" customHeight="false" outlineLevel="0" collapsed="false">
      <c r="A792" s="165" t="s">
        <v>28</v>
      </c>
      <c r="B792" s="165" t="s">
        <v>1410</v>
      </c>
      <c r="C792" s="165" t="s">
        <v>2938</v>
      </c>
      <c r="D792" s="165"/>
      <c r="E792" s="165"/>
      <c r="F792" s="165" t="s">
        <v>2939</v>
      </c>
      <c r="G792" s="165" t="s">
        <v>2940</v>
      </c>
    </row>
    <row r="793" customFormat="false" ht="15" hidden="false" customHeight="false" outlineLevel="0" collapsed="false">
      <c r="A793" s="199" t="s">
        <v>1875</v>
      </c>
      <c r="B793" s="176" t="s">
        <v>2941</v>
      </c>
      <c r="C793" s="184" t="s">
        <v>1874</v>
      </c>
      <c r="D793" s="184"/>
      <c r="E793" s="184"/>
      <c r="F793" s="176" t="s">
        <v>2995</v>
      </c>
      <c r="G793" s="178" t="n">
        <f aca="false">F796</f>
        <v>10497.6666666667</v>
      </c>
    </row>
    <row r="794" customFormat="false" ht="15" hidden="false" customHeight="true" outlineLevel="0" collapsed="false">
      <c r="A794" s="185" t="s">
        <v>2943</v>
      </c>
      <c r="B794" s="185" t="s">
        <v>2944</v>
      </c>
      <c r="C794" s="185" t="s">
        <v>2945</v>
      </c>
      <c r="D794" s="185" t="s">
        <v>2946</v>
      </c>
      <c r="E794" s="172" t="s">
        <v>2947</v>
      </c>
      <c r="F794" s="185" t="s">
        <v>2948</v>
      </c>
      <c r="G794" s="185"/>
    </row>
    <row r="795" customFormat="false" ht="15" hidden="false" customHeight="false" outlineLevel="0" collapsed="false">
      <c r="A795" s="185"/>
      <c r="B795" s="185"/>
      <c r="C795" s="185"/>
      <c r="D795" s="185"/>
      <c r="E795" s="172"/>
      <c r="F795" s="173" t="s">
        <v>1374</v>
      </c>
      <c r="G795" s="174" t="s">
        <v>2949</v>
      </c>
    </row>
    <row r="796" customFormat="false" ht="15" hidden="false" customHeight="false" outlineLevel="0" collapsed="false">
      <c r="A796" s="175" t="s">
        <v>3480</v>
      </c>
      <c r="B796" s="176" t="s">
        <v>3481</v>
      </c>
      <c r="C796" s="170" t="s">
        <v>3482</v>
      </c>
      <c r="D796" s="201" t="n">
        <v>16103</v>
      </c>
      <c r="E796" s="178" t="n">
        <f aca="false">AVERAGE(D796:D798)</f>
        <v>10497.6666666667</v>
      </c>
      <c r="F796" s="178" t="n">
        <f aca="false">E796</f>
        <v>10497.6666666667</v>
      </c>
      <c r="G796" s="178" t="s">
        <v>2953</v>
      </c>
      <c r="H796" s="179" t="n">
        <f aca="false">F796</f>
        <v>10497.6666666667</v>
      </c>
      <c r="I796" s="179" t="str">
        <f aca="false">G796</f>
        <v>UTILIZOU-SE SINAPI</v>
      </c>
    </row>
    <row r="797" customFormat="false" ht="15" hidden="false" customHeight="false" outlineLevel="0" collapsed="false">
      <c r="A797" s="175" t="s">
        <v>3483</v>
      </c>
      <c r="B797" s="176" t="s">
        <v>3484</v>
      </c>
      <c r="C797" s="170" t="s">
        <v>3485</v>
      </c>
      <c r="D797" s="201" t="n">
        <v>11890</v>
      </c>
      <c r="E797" s="178"/>
      <c r="F797" s="178"/>
      <c r="G797" s="178"/>
    </row>
    <row r="798" customFormat="false" ht="15" hidden="false" customHeight="false" outlineLevel="0" collapsed="false">
      <c r="A798" s="175" t="s">
        <v>3486</v>
      </c>
      <c r="B798" s="176" t="s">
        <v>3487</v>
      </c>
      <c r="C798" s="170" t="s">
        <v>3488</v>
      </c>
      <c r="D798" s="201" t="n">
        <v>3500</v>
      </c>
      <c r="E798" s="178"/>
      <c r="F798" s="178"/>
      <c r="G798" s="178"/>
    </row>
    <row r="800" customFormat="false" ht="15" hidden="false" customHeight="false" outlineLevel="0" collapsed="false">
      <c r="A800" s="165" t="s">
        <v>28</v>
      </c>
      <c r="B800" s="165" t="s">
        <v>1410</v>
      </c>
      <c r="C800" s="165" t="s">
        <v>2938</v>
      </c>
      <c r="D800" s="165"/>
      <c r="E800" s="165"/>
      <c r="F800" s="165" t="s">
        <v>2939</v>
      </c>
      <c r="G800" s="165" t="s">
        <v>2940</v>
      </c>
    </row>
    <row r="801" customFormat="false" ht="15" hidden="false" customHeight="false" outlineLevel="0" collapsed="false">
      <c r="A801" s="199" t="s">
        <v>1877</v>
      </c>
      <c r="B801" s="176" t="s">
        <v>2941</v>
      </c>
      <c r="C801" s="184" t="s">
        <v>1876</v>
      </c>
      <c r="D801" s="184"/>
      <c r="E801" s="184"/>
      <c r="F801" s="176" t="s">
        <v>2995</v>
      </c>
      <c r="G801" s="178" t="n">
        <f aca="false">F804</f>
        <v>9196.66666666667</v>
      </c>
    </row>
    <row r="802" customFormat="false" ht="15" hidden="false" customHeight="true" outlineLevel="0" collapsed="false">
      <c r="A802" s="185" t="s">
        <v>2943</v>
      </c>
      <c r="B802" s="185" t="s">
        <v>2944</v>
      </c>
      <c r="C802" s="185" t="s">
        <v>2945</v>
      </c>
      <c r="D802" s="185" t="s">
        <v>2946</v>
      </c>
      <c r="E802" s="172" t="s">
        <v>2947</v>
      </c>
      <c r="F802" s="185" t="s">
        <v>2948</v>
      </c>
      <c r="G802" s="185"/>
    </row>
    <row r="803" customFormat="false" ht="15" hidden="false" customHeight="false" outlineLevel="0" collapsed="false">
      <c r="A803" s="185"/>
      <c r="B803" s="185"/>
      <c r="C803" s="185"/>
      <c r="D803" s="185"/>
      <c r="E803" s="172"/>
      <c r="F803" s="173" t="s">
        <v>1374</v>
      </c>
      <c r="G803" s="174" t="s">
        <v>2949</v>
      </c>
    </row>
    <row r="804" customFormat="false" ht="15" hidden="false" customHeight="false" outlineLevel="0" collapsed="false">
      <c r="A804" s="175" t="s">
        <v>3480</v>
      </c>
      <c r="B804" s="176" t="s">
        <v>3481</v>
      </c>
      <c r="C804" s="170" t="s">
        <v>3482</v>
      </c>
      <c r="D804" s="201" t="n">
        <v>10240</v>
      </c>
      <c r="E804" s="178" t="n">
        <f aca="false">AVERAGE(D804:D806)</f>
        <v>9196.66666666667</v>
      </c>
      <c r="F804" s="178" t="n">
        <f aca="false">E804</f>
        <v>9196.66666666667</v>
      </c>
      <c r="G804" s="178" t="s">
        <v>2953</v>
      </c>
      <c r="H804" s="179" t="n">
        <f aca="false">F804</f>
        <v>9196.66666666667</v>
      </c>
      <c r="I804" s="179" t="str">
        <f aca="false">G804</f>
        <v>UTILIZOU-SE SINAPI</v>
      </c>
    </row>
    <row r="805" customFormat="false" ht="15" hidden="false" customHeight="false" outlineLevel="0" collapsed="false">
      <c r="A805" s="175" t="s">
        <v>3483</v>
      </c>
      <c r="B805" s="176" t="s">
        <v>3484</v>
      </c>
      <c r="C805" s="170" t="s">
        <v>3485</v>
      </c>
      <c r="D805" s="201" t="n">
        <v>6790</v>
      </c>
      <c r="E805" s="178"/>
      <c r="F805" s="178"/>
      <c r="G805" s="178"/>
    </row>
    <row r="806" customFormat="false" ht="15" hidden="false" customHeight="false" outlineLevel="0" collapsed="false">
      <c r="A806" s="175" t="s">
        <v>3489</v>
      </c>
      <c r="B806" s="176" t="s">
        <v>3490</v>
      </c>
      <c r="C806" s="170" t="s">
        <v>3491</v>
      </c>
      <c r="D806" s="201" t="n">
        <v>10560</v>
      </c>
      <c r="E806" s="178"/>
      <c r="F806" s="178"/>
      <c r="G806" s="178"/>
    </row>
    <row r="808" customFormat="false" ht="15" hidden="false" customHeight="false" outlineLevel="0" collapsed="false">
      <c r="A808" s="165" t="s">
        <v>28</v>
      </c>
      <c r="B808" s="165" t="s">
        <v>1410</v>
      </c>
      <c r="C808" s="165" t="s">
        <v>2938</v>
      </c>
      <c r="D808" s="165"/>
      <c r="E808" s="165"/>
      <c r="F808" s="165" t="s">
        <v>2939</v>
      </c>
      <c r="G808" s="165" t="s">
        <v>2940</v>
      </c>
    </row>
    <row r="809" customFormat="false" ht="15" hidden="false" customHeight="false" outlineLevel="0" collapsed="false">
      <c r="A809" s="199" t="s">
        <v>1873</v>
      </c>
      <c r="B809" s="176" t="s">
        <v>2941</v>
      </c>
      <c r="C809" s="184" t="s">
        <v>1872</v>
      </c>
      <c r="D809" s="184"/>
      <c r="E809" s="184"/>
      <c r="F809" s="176" t="s">
        <v>2995</v>
      </c>
      <c r="G809" s="178" t="n">
        <f aca="false">F812</f>
        <v>9480</v>
      </c>
    </row>
    <row r="810" customFormat="false" ht="15" hidden="false" customHeight="true" outlineLevel="0" collapsed="false">
      <c r="A810" s="185" t="s">
        <v>2943</v>
      </c>
      <c r="B810" s="185" t="s">
        <v>2944</v>
      </c>
      <c r="C810" s="185" t="s">
        <v>2945</v>
      </c>
      <c r="D810" s="185" t="s">
        <v>2946</v>
      </c>
      <c r="E810" s="172" t="s">
        <v>2947</v>
      </c>
      <c r="F810" s="185" t="s">
        <v>2948</v>
      </c>
      <c r="G810" s="185"/>
    </row>
    <row r="811" customFormat="false" ht="15" hidden="false" customHeight="false" outlineLevel="0" collapsed="false">
      <c r="A811" s="185"/>
      <c r="B811" s="185"/>
      <c r="C811" s="185"/>
      <c r="D811" s="185"/>
      <c r="E811" s="172"/>
      <c r="F811" s="173" t="s">
        <v>1374</v>
      </c>
      <c r="G811" s="174" t="s">
        <v>2949</v>
      </c>
    </row>
    <row r="812" customFormat="false" ht="15" hidden="false" customHeight="false" outlineLevel="0" collapsed="false">
      <c r="A812" s="175" t="s">
        <v>3480</v>
      </c>
      <c r="B812" s="176" t="s">
        <v>3481</v>
      </c>
      <c r="C812" s="170" t="s">
        <v>3482</v>
      </c>
      <c r="D812" s="201" t="n">
        <v>11110</v>
      </c>
      <c r="E812" s="178" t="n">
        <f aca="false">AVERAGE(D812:D814)</f>
        <v>9480</v>
      </c>
      <c r="F812" s="178" t="n">
        <f aca="false">E812</f>
        <v>9480</v>
      </c>
      <c r="G812" s="178" t="s">
        <v>2953</v>
      </c>
      <c r="H812" s="179" t="n">
        <f aca="false">F812</f>
        <v>9480</v>
      </c>
      <c r="I812" s="179" t="str">
        <f aca="false">G812</f>
        <v>UTILIZOU-SE SINAPI</v>
      </c>
    </row>
    <row r="813" customFormat="false" ht="15" hidden="false" customHeight="false" outlineLevel="0" collapsed="false">
      <c r="A813" s="175" t="s">
        <v>3483</v>
      </c>
      <c r="B813" s="176" t="s">
        <v>3484</v>
      </c>
      <c r="C813" s="170" t="s">
        <v>3485</v>
      </c>
      <c r="D813" s="201" t="n">
        <v>6390</v>
      </c>
      <c r="E813" s="178"/>
      <c r="F813" s="178"/>
      <c r="G813" s="178"/>
    </row>
    <row r="814" customFormat="false" ht="15" hidden="false" customHeight="false" outlineLevel="0" collapsed="false">
      <c r="A814" s="175" t="s">
        <v>3489</v>
      </c>
      <c r="B814" s="176" t="s">
        <v>3490</v>
      </c>
      <c r="C814" s="170" t="s">
        <v>3491</v>
      </c>
      <c r="D814" s="201" t="n">
        <v>10940</v>
      </c>
      <c r="E814" s="178"/>
      <c r="F814" s="178"/>
      <c r="G814" s="178"/>
    </row>
    <row r="816" customFormat="false" ht="15" hidden="false" customHeight="false" outlineLevel="0" collapsed="false">
      <c r="A816" s="165" t="s">
        <v>28</v>
      </c>
      <c r="B816" s="165" t="s">
        <v>1410</v>
      </c>
      <c r="C816" s="165" t="s">
        <v>2938</v>
      </c>
      <c r="D816" s="165"/>
      <c r="E816" s="165"/>
      <c r="F816" s="165" t="s">
        <v>2939</v>
      </c>
      <c r="G816" s="165" t="s">
        <v>2940</v>
      </c>
    </row>
    <row r="817" customFormat="false" ht="15" hidden="false" customHeight="true" outlineLevel="0" collapsed="false">
      <c r="A817" s="199" t="s">
        <v>2353</v>
      </c>
      <c r="B817" s="176" t="s">
        <v>2941</v>
      </c>
      <c r="C817" s="169" t="s">
        <v>3492</v>
      </c>
      <c r="D817" s="169"/>
      <c r="E817" s="169"/>
      <c r="F817" s="176" t="s">
        <v>2995</v>
      </c>
      <c r="G817" s="178" t="n">
        <f aca="false">F820</f>
        <v>848.966666666667</v>
      </c>
    </row>
    <row r="818" customFormat="false" ht="15" hidden="false" customHeight="true" outlineLevel="0" collapsed="false">
      <c r="A818" s="185" t="s">
        <v>2943</v>
      </c>
      <c r="B818" s="185" t="s">
        <v>2944</v>
      </c>
      <c r="C818" s="185" t="s">
        <v>2945</v>
      </c>
      <c r="D818" s="185" t="s">
        <v>2946</v>
      </c>
      <c r="E818" s="172" t="s">
        <v>2947</v>
      </c>
      <c r="F818" s="185" t="s">
        <v>2948</v>
      </c>
      <c r="G818" s="185"/>
    </row>
    <row r="819" customFormat="false" ht="15" hidden="false" customHeight="false" outlineLevel="0" collapsed="false">
      <c r="A819" s="185"/>
      <c r="B819" s="185"/>
      <c r="C819" s="185"/>
      <c r="D819" s="185"/>
      <c r="E819" s="172"/>
      <c r="F819" s="173" t="s">
        <v>1374</v>
      </c>
      <c r="G819" s="174" t="s">
        <v>2949</v>
      </c>
    </row>
    <row r="820" customFormat="false" ht="15" hidden="false" customHeight="false" outlineLevel="0" collapsed="false">
      <c r="A820" s="175" t="s">
        <v>3039</v>
      </c>
      <c r="B820" s="176" t="s">
        <v>3040</v>
      </c>
      <c r="C820" s="170" t="s">
        <v>3041</v>
      </c>
      <c r="D820" s="201" t="n">
        <v>759</v>
      </c>
      <c r="E820" s="178" t="n">
        <f aca="false">AVERAGE(D820:D822)</f>
        <v>848.966666666667</v>
      </c>
      <c r="F820" s="178" t="n">
        <f aca="false">E820</f>
        <v>848.966666666667</v>
      </c>
      <c r="G820" s="178" t="s">
        <v>2953</v>
      </c>
      <c r="H820" s="179" t="n">
        <f aca="false">F820</f>
        <v>848.966666666667</v>
      </c>
      <c r="I820" s="179" t="str">
        <f aca="false">G820</f>
        <v>UTILIZOU-SE SINAPI</v>
      </c>
    </row>
    <row r="821" customFormat="false" ht="15" hidden="false" customHeight="false" outlineLevel="0" collapsed="false">
      <c r="A821" s="175" t="s">
        <v>3493</v>
      </c>
      <c r="B821" s="176" t="s">
        <v>3494</v>
      </c>
      <c r="C821" s="170" t="s">
        <v>3495</v>
      </c>
      <c r="D821" s="201" t="n">
        <v>898</v>
      </c>
      <c r="E821" s="178"/>
      <c r="F821" s="178"/>
      <c r="G821" s="178"/>
    </row>
    <row r="822" customFormat="false" ht="15" hidden="false" customHeight="false" outlineLevel="0" collapsed="false">
      <c r="A822" s="175" t="s">
        <v>3496</v>
      </c>
      <c r="B822" s="176" t="s">
        <v>3497</v>
      </c>
      <c r="C822" s="170" t="s">
        <v>3498</v>
      </c>
      <c r="D822" s="201" t="n">
        <v>889.9</v>
      </c>
      <c r="E822" s="178"/>
      <c r="F822" s="178"/>
      <c r="G822" s="178"/>
    </row>
    <row r="824" customFormat="false" ht="15" hidden="false" customHeight="false" outlineLevel="0" collapsed="false">
      <c r="A824" s="165" t="s">
        <v>28</v>
      </c>
      <c r="B824" s="165" t="s">
        <v>1410</v>
      </c>
      <c r="C824" s="165" t="s">
        <v>2938</v>
      </c>
      <c r="D824" s="165"/>
      <c r="E824" s="165"/>
      <c r="F824" s="165" t="s">
        <v>2939</v>
      </c>
      <c r="G824" s="165" t="s">
        <v>2940</v>
      </c>
    </row>
    <row r="825" customFormat="false" ht="15" hidden="false" customHeight="true" outlineLevel="0" collapsed="false">
      <c r="A825" s="199" t="s">
        <v>2729</v>
      </c>
      <c r="B825" s="176" t="s">
        <v>2941</v>
      </c>
      <c r="C825" s="169" t="s">
        <v>2730</v>
      </c>
      <c r="D825" s="169"/>
      <c r="E825" s="169"/>
      <c r="F825" s="176" t="s">
        <v>2995</v>
      </c>
      <c r="G825" s="178" t="n">
        <f aca="false">F828</f>
        <v>1543.35333333333</v>
      </c>
    </row>
    <row r="826" customFormat="false" ht="15" hidden="false" customHeight="true" outlineLevel="0" collapsed="false">
      <c r="A826" s="185" t="s">
        <v>2943</v>
      </c>
      <c r="B826" s="185" t="s">
        <v>2944</v>
      </c>
      <c r="C826" s="185" t="s">
        <v>2945</v>
      </c>
      <c r="D826" s="185" t="s">
        <v>2946</v>
      </c>
      <c r="E826" s="172" t="s">
        <v>2947</v>
      </c>
      <c r="F826" s="185" t="s">
        <v>2948</v>
      </c>
      <c r="G826" s="185"/>
    </row>
    <row r="827" customFormat="false" ht="15" hidden="false" customHeight="false" outlineLevel="0" collapsed="false">
      <c r="A827" s="185"/>
      <c r="B827" s="185"/>
      <c r="C827" s="185"/>
      <c r="D827" s="185"/>
      <c r="E827" s="172"/>
      <c r="F827" s="173" t="s">
        <v>1374</v>
      </c>
      <c r="G827" s="174" t="s">
        <v>2949</v>
      </c>
    </row>
    <row r="828" customFormat="false" ht="15" hidden="false" customHeight="false" outlineLevel="0" collapsed="false">
      <c r="A828" s="175" t="s">
        <v>3499</v>
      </c>
      <c r="B828" s="176" t="s">
        <v>3500</v>
      </c>
      <c r="C828" s="170" t="s">
        <v>3501</v>
      </c>
      <c r="D828" s="201" t="n">
        <v>1322.99</v>
      </c>
      <c r="E828" s="178" t="n">
        <f aca="false">AVERAGE(D828:D830)</f>
        <v>1543.35333333333</v>
      </c>
      <c r="F828" s="178" t="n">
        <f aca="false">E828</f>
        <v>1543.35333333333</v>
      </c>
      <c r="G828" s="178" t="s">
        <v>2953</v>
      </c>
      <c r="H828" s="179" t="n">
        <f aca="false">F828</f>
        <v>1543.35333333333</v>
      </c>
      <c r="I828" s="179" t="str">
        <f aca="false">G828</f>
        <v>UTILIZOU-SE SINAPI</v>
      </c>
    </row>
    <row r="829" customFormat="false" ht="15" hidden="false" customHeight="false" outlineLevel="0" collapsed="false">
      <c r="A829" s="175" t="s">
        <v>2950</v>
      </c>
      <c r="B829" s="176" t="s">
        <v>2951</v>
      </c>
      <c r="C829" s="176" t="s">
        <v>2952</v>
      </c>
      <c r="D829" s="201" t="n">
        <v>2127.07</v>
      </c>
      <c r="E829" s="178"/>
      <c r="F829" s="178"/>
      <c r="G829" s="178"/>
    </row>
    <row r="830" customFormat="false" ht="15" hidden="false" customHeight="false" outlineLevel="0" collapsed="false">
      <c r="A830" s="175" t="s">
        <v>3502</v>
      </c>
      <c r="B830" s="176" t="s">
        <v>3503</v>
      </c>
      <c r="C830" s="170" t="s">
        <v>3504</v>
      </c>
      <c r="D830" s="201" t="n">
        <v>1180</v>
      </c>
      <c r="E830" s="178"/>
      <c r="F830" s="178"/>
      <c r="G830" s="178"/>
    </row>
    <row r="832" customFormat="false" ht="15" hidden="false" customHeight="false" outlineLevel="0" collapsed="false">
      <c r="A832" s="165" t="s">
        <v>28</v>
      </c>
      <c r="B832" s="165" t="s">
        <v>1410</v>
      </c>
      <c r="C832" s="165" t="s">
        <v>2938</v>
      </c>
      <c r="D832" s="165"/>
      <c r="E832" s="165"/>
      <c r="F832" s="165" t="s">
        <v>2939</v>
      </c>
      <c r="G832" s="165" t="s">
        <v>2940</v>
      </c>
    </row>
    <row r="833" customFormat="false" ht="15" hidden="false" customHeight="true" outlineLevel="0" collapsed="false">
      <c r="A833" s="199" t="s">
        <v>2496</v>
      </c>
      <c r="B833" s="176" t="s">
        <v>2941</v>
      </c>
      <c r="C833" s="169" t="s">
        <v>3505</v>
      </c>
      <c r="D833" s="169"/>
      <c r="E833" s="169"/>
      <c r="F833" s="176" t="s">
        <v>2995</v>
      </c>
      <c r="G833" s="178" t="n">
        <f aca="false">F836</f>
        <v>1426.16</v>
      </c>
    </row>
    <row r="834" customFormat="false" ht="15" hidden="false" customHeight="true" outlineLevel="0" collapsed="false">
      <c r="A834" s="185" t="s">
        <v>2943</v>
      </c>
      <c r="B834" s="185" t="s">
        <v>2944</v>
      </c>
      <c r="C834" s="185" t="s">
        <v>2945</v>
      </c>
      <c r="D834" s="185" t="s">
        <v>2946</v>
      </c>
      <c r="E834" s="172" t="s">
        <v>2947</v>
      </c>
      <c r="F834" s="185" t="s">
        <v>2948</v>
      </c>
      <c r="G834" s="185"/>
    </row>
    <row r="835" customFormat="false" ht="15" hidden="false" customHeight="false" outlineLevel="0" collapsed="false">
      <c r="A835" s="185"/>
      <c r="B835" s="185"/>
      <c r="C835" s="185"/>
      <c r="D835" s="185"/>
      <c r="E835" s="172"/>
      <c r="F835" s="173" t="s">
        <v>1374</v>
      </c>
      <c r="G835" s="174" t="s">
        <v>2949</v>
      </c>
    </row>
    <row r="836" customFormat="false" ht="15" hidden="false" customHeight="false" outlineLevel="0" collapsed="false">
      <c r="A836" s="175" t="s">
        <v>3506</v>
      </c>
      <c r="B836" s="176" t="s">
        <v>3507</v>
      </c>
      <c r="C836" s="170" t="s">
        <v>3508</v>
      </c>
      <c r="D836" s="201" t="n">
        <v>1607</v>
      </c>
      <c r="E836" s="178" t="n">
        <f aca="false">AVERAGE(D836:D838)</f>
        <v>1426.16</v>
      </c>
      <c r="F836" s="178" t="n">
        <f aca="false">E836</f>
        <v>1426.16</v>
      </c>
      <c r="G836" s="178" t="s">
        <v>2953</v>
      </c>
      <c r="H836" s="179" t="n">
        <f aca="false">F836</f>
        <v>1426.16</v>
      </c>
      <c r="I836" s="179" t="str">
        <f aca="false">G836</f>
        <v>UTILIZOU-SE SINAPI</v>
      </c>
    </row>
    <row r="837" customFormat="false" ht="15" hidden="false" customHeight="false" outlineLevel="0" collapsed="false">
      <c r="A837" s="175" t="s">
        <v>3022</v>
      </c>
      <c r="B837" s="176" t="s">
        <v>3023</v>
      </c>
      <c r="C837" s="176" t="s">
        <v>3024</v>
      </c>
      <c r="D837" s="201" t="n">
        <v>1153.49</v>
      </c>
      <c r="E837" s="178"/>
      <c r="F837" s="178"/>
      <c r="G837" s="178"/>
    </row>
    <row r="838" customFormat="false" ht="15" hidden="false" customHeight="false" outlineLevel="0" collapsed="false">
      <c r="A838" s="175" t="s">
        <v>3050</v>
      </c>
      <c r="B838" s="176" t="s">
        <v>3051</v>
      </c>
      <c r="C838" s="170" t="s">
        <v>3052</v>
      </c>
      <c r="D838" s="201" t="n">
        <v>1517.99</v>
      </c>
      <c r="E838" s="178"/>
      <c r="F838" s="178"/>
      <c r="G838" s="178"/>
    </row>
    <row r="840" customFormat="false" ht="15" hidden="false" customHeight="false" outlineLevel="0" collapsed="false">
      <c r="A840" s="165" t="s">
        <v>28</v>
      </c>
      <c r="B840" s="165" t="s">
        <v>1410</v>
      </c>
      <c r="C840" s="165" t="s">
        <v>2938</v>
      </c>
      <c r="D840" s="165"/>
      <c r="E840" s="165"/>
      <c r="F840" s="165" t="s">
        <v>2939</v>
      </c>
      <c r="G840" s="165" t="s">
        <v>2940</v>
      </c>
    </row>
    <row r="841" customFormat="false" ht="15" hidden="false" customHeight="true" outlineLevel="0" collapsed="false">
      <c r="A841" s="199" t="s">
        <v>2499</v>
      </c>
      <c r="B841" s="176" t="s">
        <v>2941</v>
      </c>
      <c r="C841" s="169" t="s">
        <v>2500</v>
      </c>
      <c r="D841" s="169"/>
      <c r="E841" s="169"/>
      <c r="F841" s="176" t="s">
        <v>2995</v>
      </c>
      <c r="G841" s="178" t="n">
        <f aca="false">F844</f>
        <v>2660.38</v>
      </c>
    </row>
    <row r="842" customFormat="false" ht="15" hidden="false" customHeight="true" outlineLevel="0" collapsed="false">
      <c r="A842" s="185" t="s">
        <v>2943</v>
      </c>
      <c r="B842" s="185" t="s">
        <v>2944</v>
      </c>
      <c r="C842" s="185" t="s">
        <v>2945</v>
      </c>
      <c r="D842" s="185" t="s">
        <v>2946</v>
      </c>
      <c r="E842" s="172" t="s">
        <v>2947</v>
      </c>
      <c r="F842" s="185" t="s">
        <v>2948</v>
      </c>
      <c r="G842" s="185"/>
    </row>
    <row r="843" customFormat="false" ht="15" hidden="false" customHeight="false" outlineLevel="0" collapsed="false">
      <c r="A843" s="185"/>
      <c r="B843" s="185"/>
      <c r="C843" s="185"/>
      <c r="D843" s="185"/>
      <c r="E843" s="172"/>
      <c r="F843" s="173" t="s">
        <v>1374</v>
      </c>
      <c r="G843" s="174" t="s">
        <v>2949</v>
      </c>
    </row>
    <row r="844" customFormat="false" ht="15" hidden="false" customHeight="false" outlineLevel="0" collapsed="false">
      <c r="A844" s="175" t="s">
        <v>3509</v>
      </c>
      <c r="B844" s="176"/>
      <c r="C844" s="197" t="s">
        <v>3510</v>
      </c>
      <c r="D844" s="201" t="n">
        <v>1659</v>
      </c>
      <c r="E844" s="178" t="n">
        <f aca="false">AVERAGE(D844:D846)</f>
        <v>2660.38</v>
      </c>
      <c r="F844" s="178" t="n">
        <f aca="false">E844</f>
        <v>2660.38</v>
      </c>
      <c r="G844" s="178" t="s">
        <v>2953</v>
      </c>
      <c r="H844" s="179" t="n">
        <f aca="false">F844</f>
        <v>2660.38</v>
      </c>
      <c r="I844" s="179" t="str">
        <f aca="false">G844</f>
        <v>UTILIZOU-SE SINAPI</v>
      </c>
    </row>
    <row r="845" customFormat="false" ht="15" hidden="false" customHeight="false" outlineLevel="0" collapsed="false">
      <c r="A845" s="175" t="s">
        <v>3511</v>
      </c>
      <c r="B845" s="176" t="s">
        <v>3512</v>
      </c>
      <c r="C845" s="197" t="s">
        <v>3513</v>
      </c>
      <c r="D845" s="201" t="n">
        <v>3650.11</v>
      </c>
      <c r="E845" s="178"/>
      <c r="F845" s="178"/>
      <c r="G845" s="178"/>
    </row>
    <row r="846" customFormat="false" ht="15" hidden="false" customHeight="false" outlineLevel="0" collapsed="false">
      <c r="A846" s="175" t="s">
        <v>3514</v>
      </c>
      <c r="B846" s="176" t="s">
        <v>3245</v>
      </c>
      <c r="C846" s="212" t="s">
        <v>3515</v>
      </c>
      <c r="D846" s="201" t="n">
        <f aca="false">908.27+1763.76</f>
        <v>2672.03</v>
      </c>
      <c r="E846" s="178"/>
      <c r="F846" s="178"/>
      <c r="G846" s="178"/>
    </row>
    <row r="847" s="157" customFormat="true" ht="15" hidden="false" customHeight="false" outlineLevel="0" collapsed="false">
      <c r="B847" s="183"/>
      <c r="C847" s="205"/>
      <c r="D847" s="187"/>
      <c r="E847" s="188"/>
      <c r="F847" s="188"/>
      <c r="G847" s="183"/>
    </row>
    <row r="848" customFormat="false" ht="15" hidden="false" customHeight="false" outlineLevel="0" collapsed="false">
      <c r="A848" s="165" t="s">
        <v>28</v>
      </c>
      <c r="B848" s="165" t="s">
        <v>1410</v>
      </c>
      <c r="C848" s="165" t="s">
        <v>2938</v>
      </c>
      <c r="D848" s="165"/>
      <c r="E848" s="165"/>
      <c r="F848" s="165" t="s">
        <v>2939</v>
      </c>
      <c r="G848" s="165" t="s">
        <v>2940</v>
      </c>
    </row>
    <row r="849" customFormat="false" ht="15" hidden="false" customHeight="false" outlineLevel="0" collapsed="false">
      <c r="A849" s="206" t="s">
        <v>2554</v>
      </c>
      <c r="B849" s="190" t="s">
        <v>2941</v>
      </c>
      <c r="C849" s="195" t="s">
        <v>2555</v>
      </c>
      <c r="D849" s="195"/>
      <c r="E849" s="195"/>
      <c r="F849" s="190" t="s">
        <v>2995</v>
      </c>
      <c r="G849" s="192" t="n">
        <f aca="false">F852</f>
        <v>2892.90333333333</v>
      </c>
    </row>
    <row r="850" customFormat="false" ht="15" hidden="false" customHeight="true" outlineLevel="0" collapsed="false">
      <c r="A850" s="185" t="s">
        <v>2943</v>
      </c>
      <c r="B850" s="185" t="s">
        <v>2944</v>
      </c>
      <c r="C850" s="185" t="s">
        <v>2945</v>
      </c>
      <c r="D850" s="185" t="s">
        <v>2946</v>
      </c>
      <c r="E850" s="172" t="s">
        <v>2947</v>
      </c>
      <c r="F850" s="185" t="s">
        <v>2948</v>
      </c>
      <c r="G850" s="185"/>
    </row>
    <row r="851" customFormat="false" ht="15" hidden="false" customHeight="false" outlineLevel="0" collapsed="false">
      <c r="A851" s="185"/>
      <c r="B851" s="185"/>
      <c r="C851" s="185"/>
      <c r="D851" s="185"/>
      <c r="E851" s="172"/>
      <c r="F851" s="173" t="s">
        <v>1374</v>
      </c>
      <c r="G851" s="174" t="s">
        <v>2949</v>
      </c>
    </row>
    <row r="852" customFormat="false" ht="15" hidden="false" customHeight="false" outlineLevel="0" collapsed="false">
      <c r="A852" s="204" t="s">
        <v>3093</v>
      </c>
      <c r="B852" s="176" t="s">
        <v>3094</v>
      </c>
      <c r="C852" s="170" t="s">
        <v>3095</v>
      </c>
      <c r="D852" s="201" t="n">
        <v>3698.99</v>
      </c>
      <c r="E852" s="178" t="n">
        <f aca="false">AVERAGE(D852:D854)</f>
        <v>2892.90333333333</v>
      </c>
      <c r="F852" s="178" t="n">
        <f aca="false">E852</f>
        <v>2892.90333333333</v>
      </c>
      <c r="G852" s="178" t="s">
        <v>2953</v>
      </c>
      <c r="H852" s="179" t="n">
        <f aca="false">F852</f>
        <v>2892.90333333333</v>
      </c>
      <c r="I852" s="179" t="str">
        <f aca="false">G852</f>
        <v>UTILIZOU-SE SINAPI</v>
      </c>
    </row>
    <row r="853" customFormat="false" ht="15" hidden="false" customHeight="false" outlineLevel="0" collapsed="false">
      <c r="A853" s="193" t="s">
        <v>3516</v>
      </c>
      <c r="B853" s="190" t="s">
        <v>3517</v>
      </c>
      <c r="C853" s="194" t="s">
        <v>3518</v>
      </c>
      <c r="D853" s="201" t="n">
        <v>2902.72</v>
      </c>
      <c r="E853" s="178"/>
      <c r="F853" s="178"/>
      <c r="G853" s="178"/>
    </row>
    <row r="854" customFormat="false" ht="15" hidden="false" customHeight="false" outlineLevel="0" collapsed="false">
      <c r="A854" s="175" t="s">
        <v>3050</v>
      </c>
      <c r="B854" s="176" t="s">
        <v>3051</v>
      </c>
      <c r="C854" s="170" t="s">
        <v>3052</v>
      </c>
      <c r="D854" s="201" t="n">
        <v>2077</v>
      </c>
      <c r="E854" s="178"/>
      <c r="F854" s="178"/>
      <c r="G854" s="178"/>
    </row>
    <row r="856" customFormat="false" ht="15" hidden="false" customHeight="false" outlineLevel="0" collapsed="false">
      <c r="A856" s="165" t="s">
        <v>28</v>
      </c>
      <c r="B856" s="165" t="s">
        <v>1410</v>
      </c>
      <c r="C856" s="165" t="s">
        <v>2938</v>
      </c>
      <c r="D856" s="165"/>
      <c r="E856" s="165"/>
      <c r="F856" s="165" t="s">
        <v>2939</v>
      </c>
      <c r="G856" s="165" t="s">
        <v>2940</v>
      </c>
    </row>
    <row r="857" customFormat="false" ht="15" hidden="false" customHeight="true" outlineLevel="0" collapsed="false">
      <c r="A857" s="199" t="s">
        <v>1922</v>
      </c>
      <c r="B857" s="176" t="s">
        <v>2941</v>
      </c>
      <c r="C857" s="169" t="s">
        <v>1923</v>
      </c>
      <c r="D857" s="169"/>
      <c r="E857" s="169"/>
      <c r="F857" s="176" t="s">
        <v>2995</v>
      </c>
      <c r="G857" s="178" t="n">
        <f aca="false">F860</f>
        <v>9.6</v>
      </c>
    </row>
    <row r="858" customFormat="false" ht="15" hidden="false" customHeight="true" outlineLevel="0" collapsed="false">
      <c r="A858" s="185" t="s">
        <v>2943</v>
      </c>
      <c r="B858" s="185" t="s">
        <v>2944</v>
      </c>
      <c r="C858" s="185" t="s">
        <v>2945</v>
      </c>
      <c r="D858" s="185" t="s">
        <v>2946</v>
      </c>
      <c r="E858" s="172" t="s">
        <v>2947</v>
      </c>
      <c r="F858" s="185" t="s">
        <v>2948</v>
      </c>
      <c r="G858" s="185"/>
    </row>
    <row r="859" customFormat="false" ht="15" hidden="false" customHeight="false" outlineLevel="0" collapsed="false">
      <c r="A859" s="185"/>
      <c r="B859" s="185"/>
      <c r="C859" s="185"/>
      <c r="D859" s="185"/>
      <c r="E859" s="172"/>
      <c r="F859" s="173" t="s">
        <v>1374</v>
      </c>
      <c r="G859" s="174" t="s">
        <v>2949</v>
      </c>
    </row>
    <row r="860" customFormat="false" ht="15" hidden="false" customHeight="false" outlineLevel="0" collapsed="false">
      <c r="A860" s="175" t="s">
        <v>2996</v>
      </c>
      <c r="B860" s="176" t="s">
        <v>2993</v>
      </c>
      <c r="C860" s="176" t="s">
        <v>2997</v>
      </c>
      <c r="D860" s="201" t="n">
        <f aca="false">192/20</f>
        <v>9.6</v>
      </c>
      <c r="E860" s="178" t="n">
        <f aca="false">AVERAGE(D860:D862)</f>
        <v>9.6</v>
      </c>
      <c r="F860" s="178" t="n">
        <f aca="false">E860</f>
        <v>9.6</v>
      </c>
      <c r="G860" s="178" t="s">
        <v>2953</v>
      </c>
      <c r="H860" s="179" t="n">
        <f aca="false">F860</f>
        <v>9.6</v>
      </c>
      <c r="I860" s="179" t="str">
        <f aca="false">G860</f>
        <v>UTILIZOU-SE SINAPI</v>
      </c>
    </row>
    <row r="861" customFormat="false" ht="15" hidden="false" customHeight="false" outlineLevel="0" collapsed="false">
      <c r="A861" s="175" t="s">
        <v>3029</v>
      </c>
      <c r="B861" s="176" t="s">
        <v>3030</v>
      </c>
      <c r="C861" s="176" t="s">
        <v>3031</v>
      </c>
      <c r="D861" s="201" t="n">
        <f aca="false">192/20</f>
        <v>9.6</v>
      </c>
      <c r="E861" s="178"/>
      <c r="F861" s="178"/>
      <c r="G861" s="178"/>
    </row>
    <row r="862" customFormat="false" ht="15" hidden="false" customHeight="false" outlineLevel="0" collapsed="false">
      <c r="A862" s="175" t="s">
        <v>3050</v>
      </c>
      <c r="B862" s="176" t="s">
        <v>3051</v>
      </c>
      <c r="C862" s="170" t="s">
        <v>3052</v>
      </c>
      <c r="D862" s="201" t="n">
        <f aca="false">192/20</f>
        <v>9.6</v>
      </c>
      <c r="E862" s="178"/>
      <c r="F862" s="178"/>
      <c r="G862" s="178"/>
    </row>
    <row r="864" customFormat="false" ht="15" hidden="false" customHeight="false" outlineLevel="0" collapsed="false">
      <c r="A864" s="165" t="s">
        <v>28</v>
      </c>
      <c r="B864" s="165" t="s">
        <v>1410</v>
      </c>
      <c r="C864" s="165" t="s">
        <v>2938</v>
      </c>
      <c r="D864" s="165"/>
      <c r="E864" s="165"/>
      <c r="F864" s="165" t="s">
        <v>2939</v>
      </c>
      <c r="G864" s="165" t="s">
        <v>2940</v>
      </c>
    </row>
    <row r="865" customFormat="false" ht="15" hidden="false" customHeight="true" outlineLevel="0" collapsed="false">
      <c r="A865" s="199" t="s">
        <v>2738</v>
      </c>
      <c r="B865" s="176" t="s">
        <v>2941</v>
      </c>
      <c r="C865" s="169" t="s">
        <v>3519</v>
      </c>
      <c r="D865" s="169"/>
      <c r="E865" s="169"/>
      <c r="F865" s="176" t="s">
        <v>2995</v>
      </c>
      <c r="G865" s="178" t="n">
        <f aca="false">F868</f>
        <v>128.78</v>
      </c>
    </row>
    <row r="866" customFormat="false" ht="15" hidden="false" customHeight="true" outlineLevel="0" collapsed="false">
      <c r="A866" s="185" t="s">
        <v>2943</v>
      </c>
      <c r="B866" s="185" t="s">
        <v>2944</v>
      </c>
      <c r="C866" s="185" t="s">
        <v>2945</v>
      </c>
      <c r="D866" s="185" t="s">
        <v>2946</v>
      </c>
      <c r="E866" s="172" t="s">
        <v>2947</v>
      </c>
      <c r="F866" s="185" t="s">
        <v>2948</v>
      </c>
      <c r="G866" s="185"/>
    </row>
    <row r="867" customFormat="false" ht="15" hidden="false" customHeight="false" outlineLevel="0" collapsed="false">
      <c r="A867" s="185"/>
      <c r="B867" s="185"/>
      <c r="C867" s="185"/>
      <c r="D867" s="185"/>
      <c r="E867" s="172"/>
      <c r="F867" s="173" t="s">
        <v>1374</v>
      </c>
      <c r="G867" s="174" t="s">
        <v>2949</v>
      </c>
    </row>
    <row r="868" customFormat="false" ht="15" hidden="false" customHeight="false" outlineLevel="0" collapsed="false">
      <c r="A868" s="175" t="s">
        <v>3009</v>
      </c>
      <c r="B868" s="176" t="s">
        <v>3010</v>
      </c>
      <c r="C868" s="176" t="s">
        <v>3011</v>
      </c>
      <c r="D868" s="201" t="n">
        <v>130.06</v>
      </c>
      <c r="E868" s="178" t="n">
        <f aca="false">AVERAGE(D868:D870)</f>
        <v>128.78</v>
      </c>
      <c r="F868" s="178" t="n">
        <f aca="false">E868</f>
        <v>128.78</v>
      </c>
      <c r="G868" s="178" t="s">
        <v>2953</v>
      </c>
      <c r="H868" s="179" t="n">
        <f aca="false">F868</f>
        <v>128.78</v>
      </c>
      <c r="I868" s="179" t="str">
        <f aca="false">G868</f>
        <v>UTILIZOU-SE SINAPI</v>
      </c>
    </row>
    <row r="869" customFormat="false" ht="15" hidden="false" customHeight="false" outlineLevel="0" collapsed="false">
      <c r="A869" s="175" t="s">
        <v>2964</v>
      </c>
      <c r="B869" s="176" t="s">
        <v>2965</v>
      </c>
      <c r="C869" s="176" t="s">
        <v>2966</v>
      </c>
      <c r="D869" s="201" t="n">
        <v>123.61</v>
      </c>
      <c r="E869" s="178"/>
      <c r="F869" s="178"/>
      <c r="G869" s="178"/>
    </row>
    <row r="870" customFormat="false" ht="15" hidden="false" customHeight="false" outlineLevel="0" collapsed="false">
      <c r="A870" s="175" t="s">
        <v>3520</v>
      </c>
      <c r="B870" s="176" t="s">
        <v>3521</v>
      </c>
      <c r="C870" s="170" t="s">
        <v>3522</v>
      </c>
      <c r="D870" s="201" t="n">
        <v>132.67</v>
      </c>
      <c r="E870" s="178"/>
      <c r="F870" s="178"/>
      <c r="G870" s="178"/>
    </row>
    <row r="872" customFormat="false" ht="15" hidden="false" customHeight="false" outlineLevel="0" collapsed="false">
      <c r="A872" s="165" t="s">
        <v>28</v>
      </c>
      <c r="B872" s="165" t="s">
        <v>1410</v>
      </c>
      <c r="C872" s="165" t="s">
        <v>2938</v>
      </c>
      <c r="D872" s="165"/>
      <c r="E872" s="165"/>
      <c r="F872" s="165" t="s">
        <v>2939</v>
      </c>
      <c r="G872" s="165" t="s">
        <v>2940</v>
      </c>
    </row>
    <row r="873" customFormat="false" ht="15" hidden="false" customHeight="true" outlineLevel="0" collapsed="false">
      <c r="A873" s="199" t="s">
        <v>2541</v>
      </c>
      <c r="B873" s="176" t="s">
        <v>2941</v>
      </c>
      <c r="C873" s="169" t="s">
        <v>3523</v>
      </c>
      <c r="D873" s="169"/>
      <c r="E873" s="169"/>
      <c r="F873" s="176" t="s">
        <v>2995</v>
      </c>
      <c r="G873" s="178" t="n">
        <f aca="false">F876</f>
        <v>2087.97</v>
      </c>
    </row>
    <row r="874" customFormat="false" ht="15" hidden="false" customHeight="true" outlineLevel="0" collapsed="false">
      <c r="A874" s="185" t="s">
        <v>2943</v>
      </c>
      <c r="B874" s="185" t="s">
        <v>2944</v>
      </c>
      <c r="C874" s="185" t="s">
        <v>2945</v>
      </c>
      <c r="D874" s="185" t="s">
        <v>2946</v>
      </c>
      <c r="E874" s="172" t="s">
        <v>2947</v>
      </c>
      <c r="F874" s="185" t="s">
        <v>2948</v>
      </c>
      <c r="G874" s="185"/>
    </row>
    <row r="875" customFormat="false" ht="15" hidden="false" customHeight="false" outlineLevel="0" collapsed="false">
      <c r="A875" s="185"/>
      <c r="B875" s="185"/>
      <c r="C875" s="185"/>
      <c r="D875" s="185"/>
      <c r="E875" s="172"/>
      <c r="F875" s="173" t="s">
        <v>1374</v>
      </c>
      <c r="G875" s="174" t="s">
        <v>2949</v>
      </c>
    </row>
    <row r="876" customFormat="false" ht="15" hidden="false" customHeight="false" outlineLevel="0" collapsed="false">
      <c r="A876" s="175" t="s">
        <v>3424</v>
      </c>
      <c r="B876" s="176" t="s">
        <v>3425</v>
      </c>
      <c r="C876" s="170" t="s">
        <v>3426</v>
      </c>
      <c r="D876" s="201" t="n">
        <v>2204.91</v>
      </c>
      <c r="E876" s="178" t="n">
        <f aca="false">AVERAGE(D876:D878)</f>
        <v>2087.97</v>
      </c>
      <c r="F876" s="178" t="n">
        <f aca="false">E876</f>
        <v>2087.97</v>
      </c>
      <c r="G876" s="178" t="s">
        <v>2953</v>
      </c>
      <c r="H876" s="179" t="n">
        <f aca="false">F876</f>
        <v>2087.97</v>
      </c>
      <c r="I876" s="179" t="str">
        <f aca="false">G876</f>
        <v>UTILIZOU-SE SINAPI</v>
      </c>
    </row>
    <row r="877" customFormat="false" ht="15" hidden="false" customHeight="false" outlineLevel="0" collapsed="false">
      <c r="A877" s="175" t="s">
        <v>3188</v>
      </c>
      <c r="B877" s="176" t="s">
        <v>3189</v>
      </c>
      <c r="C877" s="170" t="s">
        <v>3190</v>
      </c>
      <c r="D877" s="201" t="n">
        <v>2099</v>
      </c>
      <c r="E877" s="178"/>
      <c r="F877" s="178"/>
      <c r="G877" s="178"/>
    </row>
    <row r="878" customFormat="false" ht="15" hidden="false" customHeight="false" outlineLevel="0" collapsed="false">
      <c r="A878" s="175" t="s">
        <v>3258</v>
      </c>
      <c r="B878" s="176" t="s">
        <v>3259</v>
      </c>
      <c r="C878" s="170" t="s">
        <v>3260</v>
      </c>
      <c r="D878" s="201" t="n">
        <v>1960</v>
      </c>
      <c r="E878" s="178"/>
      <c r="F878" s="178"/>
      <c r="G878" s="178"/>
    </row>
    <row r="879" s="157" customFormat="true" ht="15" hidden="false" customHeight="false" outlineLevel="0" collapsed="false">
      <c r="B879" s="183"/>
      <c r="C879" s="205"/>
      <c r="D879" s="187"/>
      <c r="E879" s="188"/>
      <c r="F879" s="188"/>
      <c r="G879" s="183"/>
    </row>
    <row r="880" customFormat="false" ht="15" hidden="false" customHeight="false" outlineLevel="0" collapsed="false">
      <c r="A880" s="165" t="s">
        <v>28</v>
      </c>
      <c r="B880" s="165" t="s">
        <v>1410</v>
      </c>
      <c r="C880" s="165" t="s">
        <v>2938</v>
      </c>
      <c r="D880" s="165"/>
      <c r="E880" s="165"/>
      <c r="F880" s="165" t="s">
        <v>2939</v>
      </c>
      <c r="G880" s="165" t="s">
        <v>2940</v>
      </c>
    </row>
    <row r="881" customFormat="false" ht="15" hidden="false" customHeight="true" outlineLevel="0" collapsed="false">
      <c r="A881" s="206" t="s">
        <v>2402</v>
      </c>
      <c r="B881" s="176" t="s">
        <v>2941</v>
      </c>
      <c r="C881" s="169" t="s">
        <v>3524</v>
      </c>
      <c r="D881" s="169"/>
      <c r="E881" s="169"/>
      <c r="F881" s="176" t="s">
        <v>2995</v>
      </c>
      <c r="G881" s="178" t="n">
        <f aca="false">F884</f>
        <v>2.39</v>
      </c>
    </row>
    <row r="882" customFormat="false" ht="15" hidden="false" customHeight="true" outlineLevel="0" collapsed="false">
      <c r="A882" s="185" t="s">
        <v>2943</v>
      </c>
      <c r="B882" s="185" t="s">
        <v>2944</v>
      </c>
      <c r="C882" s="185" t="s">
        <v>2945</v>
      </c>
      <c r="D882" s="185" t="s">
        <v>2946</v>
      </c>
      <c r="E882" s="172" t="s">
        <v>2947</v>
      </c>
      <c r="F882" s="185" t="s">
        <v>2948</v>
      </c>
      <c r="G882" s="185"/>
    </row>
    <row r="883" customFormat="false" ht="15" hidden="false" customHeight="false" outlineLevel="0" collapsed="false">
      <c r="A883" s="185"/>
      <c r="B883" s="185"/>
      <c r="C883" s="185"/>
      <c r="D883" s="185"/>
      <c r="E883" s="172"/>
      <c r="F883" s="173" t="s">
        <v>1374</v>
      </c>
      <c r="G883" s="174" t="s">
        <v>2949</v>
      </c>
    </row>
    <row r="884" customFormat="false" ht="15" hidden="false" customHeight="false" outlineLevel="0" collapsed="false">
      <c r="A884" s="175" t="s">
        <v>3525</v>
      </c>
      <c r="B884" s="176" t="s">
        <v>3091</v>
      </c>
      <c r="C884" s="176" t="s">
        <v>3092</v>
      </c>
      <c r="D884" s="201" t="n">
        <v>1.7</v>
      </c>
      <c r="E884" s="178" t="n">
        <f aca="false">AVERAGE(D884:D886)</f>
        <v>2.39</v>
      </c>
      <c r="F884" s="178" t="n">
        <f aca="false">E884</f>
        <v>2.39</v>
      </c>
      <c r="G884" s="178" t="s">
        <v>2953</v>
      </c>
      <c r="H884" s="179" t="n">
        <f aca="false">F884</f>
        <v>2.39</v>
      </c>
      <c r="I884" s="179" t="str">
        <f aca="false">G884</f>
        <v>UTILIZOU-SE SINAPI</v>
      </c>
    </row>
    <row r="885" customFormat="false" ht="15" hidden="false" customHeight="false" outlineLevel="0" collapsed="false">
      <c r="A885" s="175" t="s">
        <v>3526</v>
      </c>
      <c r="B885" s="176" t="s">
        <v>3527</v>
      </c>
      <c r="C885" s="170" t="s">
        <v>3528</v>
      </c>
      <c r="D885" s="201" t="n">
        <v>2.42</v>
      </c>
      <c r="E885" s="178"/>
      <c r="F885" s="178"/>
      <c r="G885" s="178"/>
    </row>
    <row r="886" customFormat="false" ht="15" hidden="false" customHeight="false" outlineLevel="0" collapsed="false">
      <c r="A886" s="175" t="s">
        <v>3087</v>
      </c>
      <c r="B886" s="176" t="s">
        <v>3088</v>
      </c>
      <c r="C886" s="170" t="s">
        <v>3089</v>
      </c>
      <c r="D886" s="201" t="n">
        <v>3.05</v>
      </c>
      <c r="E886" s="178"/>
      <c r="F886" s="178"/>
      <c r="G886" s="178"/>
    </row>
    <row r="887" s="157" customFormat="true" ht="15" hidden="false" customHeight="false" outlineLevel="0" collapsed="false">
      <c r="B887" s="183"/>
      <c r="C887" s="205"/>
      <c r="D887" s="187"/>
      <c r="E887" s="188"/>
      <c r="F887" s="188"/>
      <c r="G887" s="183"/>
    </row>
    <row r="888" customFormat="false" ht="15" hidden="false" customHeight="false" outlineLevel="0" collapsed="false">
      <c r="A888" s="165" t="s">
        <v>28</v>
      </c>
      <c r="B888" s="165" t="s">
        <v>1410</v>
      </c>
      <c r="C888" s="165" t="s">
        <v>2938</v>
      </c>
      <c r="D888" s="165"/>
      <c r="E888" s="165"/>
      <c r="F888" s="165" t="s">
        <v>2939</v>
      </c>
      <c r="G888" s="165" t="s">
        <v>2940</v>
      </c>
    </row>
    <row r="889" customFormat="false" ht="15" hidden="false" customHeight="false" outlineLevel="0" collapsed="false">
      <c r="A889" s="206" t="s">
        <v>2407</v>
      </c>
      <c r="B889" s="176" t="s">
        <v>2941</v>
      </c>
      <c r="C889" s="184" t="s">
        <v>3529</v>
      </c>
      <c r="D889" s="184"/>
      <c r="E889" s="184"/>
      <c r="F889" s="176" t="s">
        <v>2995</v>
      </c>
      <c r="G889" s="178" t="n">
        <f aca="false">F892</f>
        <v>0.933333333333333</v>
      </c>
    </row>
    <row r="890" customFormat="false" ht="15" hidden="false" customHeight="true" outlineLevel="0" collapsed="false">
      <c r="A890" s="185" t="s">
        <v>2943</v>
      </c>
      <c r="B890" s="185" t="s">
        <v>2944</v>
      </c>
      <c r="C890" s="185" t="s">
        <v>2945</v>
      </c>
      <c r="D890" s="185" t="s">
        <v>2946</v>
      </c>
      <c r="E890" s="172" t="s">
        <v>2947</v>
      </c>
      <c r="F890" s="185" t="s">
        <v>2948</v>
      </c>
      <c r="G890" s="185"/>
    </row>
    <row r="891" customFormat="false" ht="15" hidden="false" customHeight="false" outlineLevel="0" collapsed="false">
      <c r="A891" s="185"/>
      <c r="B891" s="185"/>
      <c r="C891" s="185"/>
      <c r="D891" s="185"/>
      <c r="E891" s="172"/>
      <c r="F891" s="173" t="s">
        <v>1374</v>
      </c>
      <c r="G891" s="174" t="s">
        <v>2949</v>
      </c>
    </row>
    <row r="892" customFormat="false" ht="15" hidden="false" customHeight="false" outlineLevel="0" collapsed="false">
      <c r="A892" s="175" t="s">
        <v>3022</v>
      </c>
      <c r="B892" s="176" t="s">
        <v>3023</v>
      </c>
      <c r="C892" s="176" t="s">
        <v>3024</v>
      </c>
      <c r="D892" s="201" t="n">
        <v>0.86</v>
      </c>
      <c r="E892" s="178" t="n">
        <f aca="false">AVERAGE(D892:D894)</f>
        <v>0.933333333333333</v>
      </c>
      <c r="F892" s="178" t="n">
        <f aca="false">E892</f>
        <v>0.933333333333333</v>
      </c>
      <c r="G892" s="178" t="s">
        <v>2953</v>
      </c>
      <c r="H892" s="179" t="n">
        <f aca="false">F892</f>
        <v>0.933333333333333</v>
      </c>
      <c r="I892" s="179" t="str">
        <f aca="false">G892</f>
        <v>UTILIZOU-SE SINAPI</v>
      </c>
    </row>
    <row r="893" customFormat="false" ht="15" hidden="false" customHeight="false" outlineLevel="0" collapsed="false">
      <c r="A893" s="175" t="s">
        <v>3525</v>
      </c>
      <c r="B893" s="176" t="s">
        <v>3091</v>
      </c>
      <c r="C893" s="176" t="s">
        <v>3092</v>
      </c>
      <c r="D893" s="201" t="n">
        <v>1</v>
      </c>
      <c r="E893" s="178"/>
      <c r="F893" s="178"/>
      <c r="G893" s="178"/>
    </row>
    <row r="894" customFormat="false" ht="15" hidden="false" customHeight="false" outlineLevel="0" collapsed="false">
      <c r="A894" s="175" t="s">
        <v>3097</v>
      </c>
      <c r="B894" s="176" t="s">
        <v>3098</v>
      </c>
      <c r="C894" s="170" t="s">
        <v>3099</v>
      </c>
      <c r="D894" s="201" t="n">
        <v>0.94</v>
      </c>
      <c r="E894" s="178"/>
      <c r="F894" s="178"/>
      <c r="G894" s="178"/>
    </row>
    <row r="896" customFormat="false" ht="15" hidden="false" customHeight="false" outlineLevel="0" collapsed="false">
      <c r="A896" s="165" t="s">
        <v>28</v>
      </c>
      <c r="B896" s="165" t="s">
        <v>1410</v>
      </c>
      <c r="C896" s="165" t="s">
        <v>2938</v>
      </c>
      <c r="D896" s="165"/>
      <c r="E896" s="165"/>
      <c r="F896" s="165" t="s">
        <v>2939</v>
      </c>
      <c r="G896" s="165" t="s">
        <v>2940</v>
      </c>
    </row>
    <row r="897" customFormat="false" ht="15" hidden="false" customHeight="false" outlineLevel="0" collapsed="false">
      <c r="A897" s="206" t="s">
        <v>2426</v>
      </c>
      <c r="B897" s="190" t="s">
        <v>2941</v>
      </c>
      <c r="C897" s="195" t="s">
        <v>2427</v>
      </c>
      <c r="D897" s="195"/>
      <c r="E897" s="195"/>
      <c r="F897" s="190" t="s">
        <v>2995</v>
      </c>
      <c r="G897" s="192" t="n">
        <f aca="false">F900</f>
        <v>3.61666666666667</v>
      </c>
    </row>
    <row r="898" customFormat="false" ht="15" hidden="false" customHeight="true" outlineLevel="0" collapsed="false">
      <c r="A898" s="185" t="s">
        <v>2943</v>
      </c>
      <c r="B898" s="185" t="s">
        <v>2944</v>
      </c>
      <c r="C898" s="185" t="s">
        <v>2945</v>
      </c>
      <c r="D898" s="185" t="s">
        <v>2946</v>
      </c>
      <c r="E898" s="172" t="s">
        <v>2947</v>
      </c>
      <c r="F898" s="185" t="s">
        <v>2948</v>
      </c>
      <c r="G898" s="185"/>
    </row>
    <row r="899" customFormat="false" ht="15" hidden="false" customHeight="false" outlineLevel="0" collapsed="false">
      <c r="A899" s="185"/>
      <c r="B899" s="185"/>
      <c r="C899" s="185"/>
      <c r="D899" s="185"/>
      <c r="E899" s="172"/>
      <c r="F899" s="173" t="s">
        <v>1374</v>
      </c>
      <c r="G899" s="174" t="s">
        <v>2949</v>
      </c>
    </row>
    <row r="900" customFormat="false" ht="15" hidden="false" customHeight="false" outlineLevel="0" collapsed="false">
      <c r="A900" s="175" t="s">
        <v>3525</v>
      </c>
      <c r="B900" s="176" t="s">
        <v>3091</v>
      </c>
      <c r="C900" s="176" t="s">
        <v>3092</v>
      </c>
      <c r="D900" s="201" t="n">
        <v>2.7</v>
      </c>
      <c r="E900" s="178" t="n">
        <f aca="false">AVERAGE(D900:D902)</f>
        <v>3.61666666666667</v>
      </c>
      <c r="F900" s="178" t="n">
        <f aca="false">E900</f>
        <v>3.61666666666667</v>
      </c>
      <c r="G900" s="178" t="s">
        <v>2953</v>
      </c>
      <c r="H900" s="179" t="n">
        <f aca="false">F900</f>
        <v>3.61666666666667</v>
      </c>
      <c r="I900" s="179" t="str">
        <f aca="false">G900</f>
        <v>UTILIZOU-SE SINAPI</v>
      </c>
    </row>
    <row r="901" customFormat="false" ht="15" hidden="false" customHeight="false" outlineLevel="0" collapsed="false">
      <c r="A901" s="175" t="s">
        <v>3530</v>
      </c>
      <c r="B901" s="176" t="s">
        <v>3531</v>
      </c>
      <c r="C901" s="170" t="s">
        <v>3532</v>
      </c>
      <c r="D901" s="201" t="n">
        <v>5.35</v>
      </c>
      <c r="E901" s="178"/>
      <c r="F901" s="178"/>
      <c r="G901" s="178"/>
    </row>
    <row r="902" customFormat="false" ht="15" hidden="false" customHeight="false" outlineLevel="0" collapsed="false">
      <c r="A902" s="175" t="s">
        <v>3533</v>
      </c>
      <c r="B902" s="176" t="s">
        <v>3534</v>
      </c>
      <c r="C902" s="170" t="s">
        <v>3535</v>
      </c>
      <c r="D902" s="201" t="n">
        <v>2.8</v>
      </c>
      <c r="E902" s="178"/>
      <c r="F902" s="178"/>
      <c r="G902" s="178"/>
    </row>
    <row r="904" customFormat="false" ht="15" hidden="false" customHeight="false" outlineLevel="0" collapsed="false">
      <c r="A904" s="165" t="s">
        <v>28</v>
      </c>
      <c r="B904" s="165" t="s">
        <v>1410</v>
      </c>
      <c r="C904" s="165" t="s">
        <v>2938</v>
      </c>
      <c r="D904" s="165"/>
      <c r="E904" s="165"/>
      <c r="F904" s="165" t="s">
        <v>2939</v>
      </c>
      <c r="G904" s="165" t="s">
        <v>2940</v>
      </c>
    </row>
    <row r="905" customFormat="false" ht="15" hidden="false" customHeight="false" outlineLevel="0" collapsed="false">
      <c r="A905" s="206" t="s">
        <v>2445</v>
      </c>
      <c r="B905" s="190" t="s">
        <v>2941</v>
      </c>
      <c r="C905" s="195" t="s">
        <v>2446</v>
      </c>
      <c r="D905" s="195"/>
      <c r="E905" s="195"/>
      <c r="F905" s="190" t="s">
        <v>2995</v>
      </c>
      <c r="G905" s="192" t="n">
        <f aca="false">F908</f>
        <v>7.05111111111111</v>
      </c>
    </row>
    <row r="906" customFormat="false" ht="15" hidden="false" customHeight="true" outlineLevel="0" collapsed="false">
      <c r="A906" s="185" t="s">
        <v>2943</v>
      </c>
      <c r="B906" s="185" t="s">
        <v>2944</v>
      </c>
      <c r="C906" s="185" t="s">
        <v>2945</v>
      </c>
      <c r="D906" s="185" t="s">
        <v>2946</v>
      </c>
      <c r="E906" s="172" t="s">
        <v>2947</v>
      </c>
      <c r="F906" s="185" t="s">
        <v>2948</v>
      </c>
      <c r="G906" s="185"/>
    </row>
    <row r="907" customFormat="false" ht="15" hidden="false" customHeight="false" outlineLevel="0" collapsed="false">
      <c r="A907" s="185"/>
      <c r="B907" s="185"/>
      <c r="C907" s="185"/>
      <c r="D907" s="185"/>
      <c r="E907" s="172"/>
      <c r="F907" s="173" t="s">
        <v>1374</v>
      </c>
      <c r="G907" s="174" t="s">
        <v>2949</v>
      </c>
    </row>
    <row r="908" customFormat="false" ht="15" hidden="false" customHeight="false" outlineLevel="0" collapsed="false">
      <c r="A908" s="175" t="s">
        <v>3536</v>
      </c>
      <c r="B908" s="176" t="s">
        <v>3023</v>
      </c>
      <c r="C908" s="197" t="s">
        <v>3537</v>
      </c>
      <c r="D908" s="201" t="n">
        <f aca="false">20.44/3</f>
        <v>6.81333333333333</v>
      </c>
      <c r="E908" s="178" t="n">
        <f aca="false">AVERAGE(D908:D910)</f>
        <v>7.05111111111111</v>
      </c>
      <c r="F908" s="178" t="n">
        <f aca="false">E908</f>
        <v>7.05111111111111</v>
      </c>
      <c r="G908" s="178" t="s">
        <v>2953</v>
      </c>
      <c r="H908" s="179" t="n">
        <f aca="false">F908</f>
        <v>7.05111111111111</v>
      </c>
      <c r="I908" s="179" t="str">
        <f aca="false">G908</f>
        <v>UTILIZOU-SE SINAPI</v>
      </c>
    </row>
    <row r="909" customFormat="false" ht="15" hidden="false" customHeight="false" outlineLevel="0" collapsed="false">
      <c r="A909" s="175" t="s">
        <v>2992</v>
      </c>
      <c r="B909" s="176" t="s">
        <v>3214</v>
      </c>
      <c r="C909" s="197" t="s">
        <v>3538</v>
      </c>
      <c r="D909" s="201" t="n">
        <f aca="false">35.74/3</f>
        <v>11.9133333333333</v>
      </c>
      <c r="E909" s="178"/>
      <c r="F909" s="178"/>
      <c r="G909" s="178"/>
    </row>
    <row r="910" customFormat="false" ht="15" hidden="false" customHeight="false" outlineLevel="0" collapsed="false">
      <c r="A910" s="175" t="s">
        <v>3539</v>
      </c>
      <c r="B910" s="176" t="s">
        <v>3225</v>
      </c>
      <c r="C910" s="197" t="s">
        <v>3540</v>
      </c>
      <c r="D910" s="201" t="n">
        <f aca="false">7.28/3</f>
        <v>2.42666666666667</v>
      </c>
      <c r="E910" s="178"/>
      <c r="F910" s="178"/>
      <c r="G910" s="178"/>
    </row>
    <row r="912" customFormat="false" ht="15" hidden="false" customHeight="false" outlineLevel="0" collapsed="false">
      <c r="A912" s="165" t="s">
        <v>28</v>
      </c>
      <c r="B912" s="165" t="s">
        <v>1410</v>
      </c>
      <c r="C912" s="165" t="s">
        <v>2938</v>
      </c>
      <c r="D912" s="165"/>
      <c r="E912" s="165"/>
      <c r="F912" s="165" t="s">
        <v>2939</v>
      </c>
      <c r="G912" s="165" t="s">
        <v>2940</v>
      </c>
    </row>
    <row r="913" customFormat="false" ht="15" hidden="false" customHeight="false" outlineLevel="0" collapsed="false">
      <c r="A913" s="206" t="s">
        <v>2439</v>
      </c>
      <c r="B913" s="190" t="s">
        <v>2941</v>
      </c>
      <c r="C913" s="195" t="s">
        <v>2440</v>
      </c>
      <c r="D913" s="195"/>
      <c r="E913" s="195"/>
      <c r="F913" s="190" t="s">
        <v>2995</v>
      </c>
      <c r="G913" s="192" t="n">
        <f aca="false">F916</f>
        <v>11.0522222222222</v>
      </c>
    </row>
    <row r="914" customFormat="false" ht="15" hidden="false" customHeight="true" outlineLevel="0" collapsed="false">
      <c r="A914" s="185" t="s">
        <v>2943</v>
      </c>
      <c r="B914" s="185" t="s">
        <v>2944</v>
      </c>
      <c r="C914" s="185" t="s">
        <v>2945</v>
      </c>
      <c r="D914" s="185" t="s">
        <v>2946</v>
      </c>
      <c r="E914" s="172" t="s">
        <v>2947</v>
      </c>
      <c r="F914" s="185" t="s">
        <v>2948</v>
      </c>
      <c r="G914" s="185"/>
    </row>
    <row r="915" customFormat="false" ht="15" hidden="false" customHeight="false" outlineLevel="0" collapsed="false">
      <c r="A915" s="185"/>
      <c r="B915" s="185"/>
      <c r="C915" s="185"/>
      <c r="D915" s="185"/>
      <c r="E915" s="172"/>
      <c r="F915" s="173" t="s">
        <v>1374</v>
      </c>
      <c r="G915" s="174" t="s">
        <v>2949</v>
      </c>
    </row>
    <row r="916" customFormat="false" ht="15" hidden="false" customHeight="false" outlineLevel="0" collapsed="false">
      <c r="A916" s="175" t="s">
        <v>3147</v>
      </c>
      <c r="B916" s="176" t="s">
        <v>3541</v>
      </c>
      <c r="C916" s="197" t="s">
        <v>3542</v>
      </c>
      <c r="D916" s="201" t="n">
        <f aca="false">33.5/3</f>
        <v>11.1666666666667</v>
      </c>
      <c r="E916" s="178" t="n">
        <f aca="false">AVERAGE(D916:D918)</f>
        <v>11.0522222222222</v>
      </c>
      <c r="F916" s="178" t="n">
        <f aca="false">E916</f>
        <v>11.0522222222222</v>
      </c>
      <c r="G916" s="178" t="s">
        <v>2953</v>
      </c>
      <c r="H916" s="179" t="n">
        <f aca="false">F916</f>
        <v>11.0522222222222</v>
      </c>
      <c r="I916" s="179" t="str">
        <f aca="false">G916</f>
        <v>UTILIZOU-SE SINAPI</v>
      </c>
    </row>
    <row r="917" customFormat="false" ht="15" hidden="false" customHeight="false" outlineLevel="0" collapsed="false">
      <c r="A917" s="175" t="s">
        <v>3543</v>
      </c>
      <c r="B917" s="176" t="s">
        <v>3454</v>
      </c>
      <c r="C917" s="197" t="s">
        <v>3544</v>
      </c>
      <c r="D917" s="201" t="n">
        <f aca="false">30.47/3</f>
        <v>10.1566666666667</v>
      </c>
      <c r="E917" s="178"/>
      <c r="F917" s="178"/>
      <c r="G917" s="178"/>
    </row>
    <row r="918" customFormat="false" ht="15" hidden="false" customHeight="false" outlineLevel="0" collapsed="false">
      <c r="A918" s="175" t="s">
        <v>3545</v>
      </c>
      <c r="B918" s="176" t="s">
        <v>3546</v>
      </c>
      <c r="C918" s="197" t="s">
        <v>3547</v>
      </c>
      <c r="D918" s="201" t="n">
        <f aca="false">35.5/3</f>
        <v>11.8333333333333</v>
      </c>
      <c r="E918" s="178"/>
      <c r="F918" s="178"/>
      <c r="G918" s="178"/>
    </row>
    <row r="920" customFormat="false" ht="15" hidden="false" customHeight="false" outlineLevel="0" collapsed="false">
      <c r="A920" s="165" t="s">
        <v>28</v>
      </c>
      <c r="B920" s="165" t="s">
        <v>1410</v>
      </c>
      <c r="C920" s="165" t="s">
        <v>2938</v>
      </c>
      <c r="D920" s="165"/>
      <c r="E920" s="165"/>
      <c r="F920" s="165" t="s">
        <v>2939</v>
      </c>
      <c r="G920" s="165" t="s">
        <v>2940</v>
      </c>
    </row>
    <row r="921" customFormat="false" ht="15" hidden="false" customHeight="false" outlineLevel="0" collapsed="false">
      <c r="A921" s="206" t="s">
        <v>2450</v>
      </c>
      <c r="B921" s="190" t="s">
        <v>2941</v>
      </c>
      <c r="C921" s="195" t="s">
        <v>2451</v>
      </c>
      <c r="D921" s="195"/>
      <c r="E921" s="195"/>
      <c r="F921" s="190" t="s">
        <v>2995</v>
      </c>
      <c r="G921" s="192" t="n">
        <f aca="false">F924</f>
        <v>5.29</v>
      </c>
    </row>
    <row r="922" customFormat="false" ht="15" hidden="false" customHeight="true" outlineLevel="0" collapsed="false">
      <c r="A922" s="185" t="s">
        <v>2943</v>
      </c>
      <c r="B922" s="185" t="s">
        <v>2944</v>
      </c>
      <c r="C922" s="185" t="s">
        <v>2945</v>
      </c>
      <c r="D922" s="185" t="s">
        <v>2946</v>
      </c>
      <c r="E922" s="172" t="s">
        <v>2947</v>
      </c>
      <c r="F922" s="185" t="s">
        <v>2948</v>
      </c>
      <c r="G922" s="185"/>
    </row>
    <row r="923" customFormat="false" ht="15" hidden="false" customHeight="false" outlineLevel="0" collapsed="false">
      <c r="A923" s="185"/>
      <c r="B923" s="185"/>
      <c r="C923" s="185"/>
      <c r="D923" s="185"/>
      <c r="E923" s="172"/>
      <c r="F923" s="173" t="s">
        <v>1374</v>
      </c>
      <c r="G923" s="174" t="s">
        <v>2949</v>
      </c>
    </row>
    <row r="924" customFormat="false" ht="15" hidden="false" customHeight="false" outlineLevel="0" collapsed="false">
      <c r="A924" s="175" t="s">
        <v>3536</v>
      </c>
      <c r="B924" s="176" t="s">
        <v>3023</v>
      </c>
      <c r="C924" s="197" t="s">
        <v>3548</v>
      </c>
      <c r="D924" s="201" t="n">
        <f aca="false">11.7/3</f>
        <v>3.9</v>
      </c>
      <c r="E924" s="178" t="n">
        <f aca="false">AVERAGE(D924:D926)</f>
        <v>5.29</v>
      </c>
      <c r="F924" s="178" t="n">
        <f aca="false">E924</f>
        <v>5.29</v>
      </c>
      <c r="G924" s="178" t="s">
        <v>2953</v>
      </c>
      <c r="H924" s="179" t="n">
        <f aca="false">F924</f>
        <v>5.29</v>
      </c>
      <c r="I924" s="179" t="str">
        <f aca="false">G924</f>
        <v>UTILIZOU-SE SINAPI</v>
      </c>
    </row>
    <row r="925" customFormat="false" ht="15" hidden="false" customHeight="false" outlineLevel="0" collapsed="false">
      <c r="A925" s="175" t="s">
        <v>3549</v>
      </c>
      <c r="B925" s="176" t="s">
        <v>3550</v>
      </c>
      <c r="C925" s="197" t="s">
        <v>3551</v>
      </c>
      <c r="D925" s="201" t="n">
        <f aca="false">22.51/3</f>
        <v>7.50333333333333</v>
      </c>
      <c r="E925" s="178"/>
      <c r="F925" s="178"/>
      <c r="G925" s="178"/>
    </row>
    <row r="926" customFormat="false" ht="15" hidden="false" customHeight="false" outlineLevel="0" collapsed="false">
      <c r="A926" s="175" t="s">
        <v>3552</v>
      </c>
      <c r="B926" s="176" t="s">
        <v>3186</v>
      </c>
      <c r="C926" s="197" t="s">
        <v>3553</v>
      </c>
      <c r="D926" s="201" t="n">
        <f aca="false">13.4/3</f>
        <v>4.46666666666667</v>
      </c>
      <c r="E926" s="178"/>
      <c r="F926" s="178"/>
      <c r="G926" s="178"/>
    </row>
    <row r="928" customFormat="false" ht="15" hidden="false" customHeight="false" outlineLevel="0" collapsed="false">
      <c r="A928" s="165" t="s">
        <v>28</v>
      </c>
      <c r="B928" s="165" t="s">
        <v>1410</v>
      </c>
      <c r="C928" s="165" t="s">
        <v>2938</v>
      </c>
      <c r="D928" s="165"/>
      <c r="E928" s="165"/>
      <c r="F928" s="165" t="s">
        <v>2939</v>
      </c>
      <c r="G928" s="165" t="s">
        <v>2940</v>
      </c>
    </row>
    <row r="929" customFormat="false" ht="15" hidden="false" customHeight="false" outlineLevel="0" collapsed="false">
      <c r="A929" s="206" t="s">
        <v>2419</v>
      </c>
      <c r="B929" s="176" t="s">
        <v>2941</v>
      </c>
      <c r="C929" s="184" t="s">
        <v>3554</v>
      </c>
      <c r="D929" s="184"/>
      <c r="E929" s="184"/>
      <c r="F929" s="176" t="s">
        <v>2995</v>
      </c>
      <c r="G929" s="178" t="n">
        <f aca="false">F932</f>
        <v>28.1833333333333</v>
      </c>
    </row>
    <row r="930" customFormat="false" ht="15" hidden="false" customHeight="true" outlineLevel="0" collapsed="false">
      <c r="A930" s="185" t="s">
        <v>2943</v>
      </c>
      <c r="B930" s="185" t="s">
        <v>2944</v>
      </c>
      <c r="C930" s="185" t="s">
        <v>2945</v>
      </c>
      <c r="D930" s="185" t="s">
        <v>2946</v>
      </c>
      <c r="E930" s="172" t="s">
        <v>2947</v>
      </c>
      <c r="F930" s="185" t="s">
        <v>2948</v>
      </c>
      <c r="G930" s="185"/>
    </row>
    <row r="931" customFormat="false" ht="15" hidden="false" customHeight="false" outlineLevel="0" collapsed="false">
      <c r="A931" s="185"/>
      <c r="B931" s="185"/>
      <c r="C931" s="185"/>
      <c r="D931" s="185"/>
      <c r="E931" s="172"/>
      <c r="F931" s="173" t="s">
        <v>1374</v>
      </c>
      <c r="G931" s="174" t="s">
        <v>2949</v>
      </c>
    </row>
    <row r="932" customFormat="false" ht="15" hidden="false" customHeight="false" outlineLevel="0" collapsed="false">
      <c r="A932" s="175" t="s">
        <v>3022</v>
      </c>
      <c r="B932" s="176" t="s">
        <v>3023</v>
      </c>
      <c r="C932" s="176" t="s">
        <v>3024</v>
      </c>
      <c r="D932" s="201" t="n">
        <v>15.3</v>
      </c>
      <c r="E932" s="178" t="n">
        <f aca="false">AVERAGE(D932:D934)</f>
        <v>28.1833333333333</v>
      </c>
      <c r="F932" s="178" t="n">
        <f aca="false">E932</f>
        <v>28.1833333333333</v>
      </c>
      <c r="G932" s="178" t="s">
        <v>2953</v>
      </c>
      <c r="H932" s="179" t="n">
        <f aca="false">F932</f>
        <v>28.1833333333333</v>
      </c>
      <c r="I932" s="179" t="str">
        <f aca="false">G932</f>
        <v>UTILIZOU-SE SINAPI</v>
      </c>
    </row>
    <row r="933" customFormat="false" ht="15" hidden="false" customHeight="false" outlineLevel="0" collapsed="false">
      <c r="A933" s="175" t="s">
        <v>3555</v>
      </c>
      <c r="B933" s="176" t="s">
        <v>3556</v>
      </c>
      <c r="C933" s="176" t="s">
        <v>3557</v>
      </c>
      <c r="D933" s="201" t="n">
        <v>42.85</v>
      </c>
      <c r="E933" s="178"/>
      <c r="F933" s="178"/>
      <c r="G933" s="178"/>
    </row>
    <row r="934" customFormat="false" ht="15" hidden="false" customHeight="false" outlineLevel="0" collapsed="false">
      <c r="A934" s="175" t="s">
        <v>3525</v>
      </c>
      <c r="B934" s="176" t="s">
        <v>3091</v>
      </c>
      <c r="C934" s="176" t="s">
        <v>3092</v>
      </c>
      <c r="D934" s="201" t="n">
        <v>26.4</v>
      </c>
      <c r="E934" s="178"/>
      <c r="F934" s="178"/>
      <c r="G934" s="178"/>
    </row>
    <row r="936" customFormat="false" ht="15" hidden="false" customHeight="false" outlineLevel="0" collapsed="false">
      <c r="A936" s="165" t="s">
        <v>28</v>
      </c>
      <c r="B936" s="165" t="s">
        <v>1410</v>
      </c>
      <c r="C936" s="165" t="s">
        <v>2938</v>
      </c>
      <c r="D936" s="165"/>
      <c r="E936" s="165"/>
      <c r="F936" s="165" t="s">
        <v>2939</v>
      </c>
      <c r="G936" s="165" t="s">
        <v>2940</v>
      </c>
    </row>
    <row r="937" customFormat="false" ht="15" hidden="false" customHeight="true" outlineLevel="0" collapsed="false">
      <c r="A937" s="206" t="s">
        <v>2428</v>
      </c>
      <c r="B937" s="176" t="s">
        <v>2941</v>
      </c>
      <c r="C937" s="169" t="s">
        <v>3558</v>
      </c>
      <c r="D937" s="169"/>
      <c r="E937" s="169"/>
      <c r="F937" s="176" t="s">
        <v>2995</v>
      </c>
      <c r="G937" s="178" t="n">
        <f aca="false">F940</f>
        <v>38.4866666666667</v>
      </c>
    </row>
    <row r="938" customFormat="false" ht="15" hidden="false" customHeight="true" outlineLevel="0" collapsed="false">
      <c r="A938" s="185" t="s">
        <v>2943</v>
      </c>
      <c r="B938" s="185" t="s">
        <v>2944</v>
      </c>
      <c r="C938" s="185" t="s">
        <v>2945</v>
      </c>
      <c r="D938" s="185" t="s">
        <v>2946</v>
      </c>
      <c r="E938" s="172" t="s">
        <v>2947</v>
      </c>
      <c r="F938" s="185" t="s">
        <v>2948</v>
      </c>
      <c r="G938" s="185"/>
    </row>
    <row r="939" customFormat="false" ht="15" hidden="false" customHeight="false" outlineLevel="0" collapsed="false">
      <c r="A939" s="185"/>
      <c r="B939" s="185"/>
      <c r="C939" s="185"/>
      <c r="D939" s="185"/>
      <c r="E939" s="172"/>
      <c r="F939" s="173" t="s">
        <v>1374</v>
      </c>
      <c r="G939" s="174" t="s">
        <v>2949</v>
      </c>
    </row>
    <row r="940" customFormat="false" ht="15" hidden="false" customHeight="false" outlineLevel="0" collapsed="false">
      <c r="A940" s="175" t="s">
        <v>3185</v>
      </c>
      <c r="B940" s="176" t="s">
        <v>3186</v>
      </c>
      <c r="C940" s="170" t="s">
        <v>3187</v>
      </c>
      <c r="D940" s="201" t="n">
        <v>23.9</v>
      </c>
      <c r="E940" s="178" t="n">
        <f aca="false">AVERAGE(D940:D942)</f>
        <v>38.4866666666667</v>
      </c>
      <c r="F940" s="178" t="n">
        <f aca="false">E940</f>
        <v>38.4866666666667</v>
      </c>
      <c r="G940" s="178" t="s">
        <v>2953</v>
      </c>
      <c r="H940" s="179" t="n">
        <f aca="false">F940</f>
        <v>38.4866666666667</v>
      </c>
      <c r="I940" s="179" t="str">
        <f aca="false">G940</f>
        <v>UTILIZOU-SE SINAPI</v>
      </c>
    </row>
    <row r="941" customFormat="false" ht="15" hidden="false" customHeight="false" outlineLevel="0" collapsed="false">
      <c r="A941" s="175" t="s">
        <v>3559</v>
      </c>
      <c r="B941" s="176" t="s">
        <v>3560</v>
      </c>
      <c r="C941" s="170" t="s">
        <v>3561</v>
      </c>
      <c r="D941" s="201" t="n">
        <v>38.56</v>
      </c>
      <c r="E941" s="178"/>
      <c r="F941" s="178"/>
      <c r="G941" s="178"/>
    </row>
    <row r="942" customFormat="false" ht="15" hidden="false" customHeight="false" outlineLevel="0" collapsed="false">
      <c r="A942" s="175" t="s">
        <v>3050</v>
      </c>
      <c r="B942" s="176" t="s">
        <v>3051</v>
      </c>
      <c r="C942" s="170" t="s">
        <v>3052</v>
      </c>
      <c r="D942" s="201" t="n">
        <v>53</v>
      </c>
      <c r="E942" s="178"/>
      <c r="F942" s="178"/>
      <c r="G942" s="178"/>
    </row>
    <row r="944" customFormat="false" ht="15" hidden="false" customHeight="false" outlineLevel="0" collapsed="false">
      <c r="A944" s="165" t="s">
        <v>28</v>
      </c>
      <c r="B944" s="165" t="s">
        <v>1410</v>
      </c>
      <c r="C944" s="165" t="s">
        <v>2938</v>
      </c>
      <c r="D944" s="165"/>
      <c r="E944" s="165"/>
      <c r="F944" s="165" t="s">
        <v>2939</v>
      </c>
      <c r="G944" s="165" t="s">
        <v>2940</v>
      </c>
    </row>
    <row r="945" customFormat="false" ht="15" hidden="false" customHeight="true" outlineLevel="0" collapsed="false">
      <c r="A945" s="206" t="s">
        <v>2422</v>
      </c>
      <c r="B945" s="190" t="s">
        <v>2941</v>
      </c>
      <c r="C945" s="191" t="s">
        <v>2423</v>
      </c>
      <c r="D945" s="191"/>
      <c r="E945" s="191"/>
      <c r="F945" s="190" t="s">
        <v>2995</v>
      </c>
      <c r="G945" s="192" t="n">
        <f aca="false">F948</f>
        <v>16.3633333333333</v>
      </c>
    </row>
    <row r="946" customFormat="false" ht="15" hidden="false" customHeight="true" outlineLevel="0" collapsed="false">
      <c r="A946" s="185" t="s">
        <v>2943</v>
      </c>
      <c r="B946" s="185" t="s">
        <v>2944</v>
      </c>
      <c r="C946" s="185" t="s">
        <v>2945</v>
      </c>
      <c r="D946" s="185" t="s">
        <v>2946</v>
      </c>
      <c r="E946" s="172" t="s">
        <v>2947</v>
      </c>
      <c r="F946" s="185" t="s">
        <v>2948</v>
      </c>
      <c r="G946" s="185"/>
    </row>
    <row r="947" customFormat="false" ht="15" hidden="false" customHeight="false" outlineLevel="0" collapsed="false">
      <c r="A947" s="185"/>
      <c r="B947" s="185"/>
      <c r="C947" s="185"/>
      <c r="D947" s="185"/>
      <c r="E947" s="172"/>
      <c r="F947" s="173" t="s">
        <v>1374</v>
      </c>
      <c r="G947" s="174" t="s">
        <v>2949</v>
      </c>
    </row>
    <row r="948" customFormat="false" ht="15" hidden="false" customHeight="false" outlineLevel="0" collapsed="false">
      <c r="A948" s="175" t="s">
        <v>3525</v>
      </c>
      <c r="B948" s="176" t="s">
        <v>3091</v>
      </c>
      <c r="C948" s="176" t="s">
        <v>3092</v>
      </c>
      <c r="D948" s="201" t="n">
        <v>18.8</v>
      </c>
      <c r="E948" s="178" t="n">
        <f aca="false">AVERAGE(D948:D950)</f>
        <v>16.3633333333333</v>
      </c>
      <c r="F948" s="178" t="n">
        <f aca="false">E948</f>
        <v>16.3633333333333</v>
      </c>
      <c r="G948" s="178" t="s">
        <v>2953</v>
      </c>
      <c r="H948" s="179" t="n">
        <f aca="false">F948</f>
        <v>16.3633333333333</v>
      </c>
      <c r="I948" s="179" t="str">
        <f aca="false">G948</f>
        <v>UTILIZOU-SE SINAPI</v>
      </c>
    </row>
    <row r="949" customFormat="false" ht="15" hidden="false" customHeight="false" outlineLevel="0" collapsed="false">
      <c r="A949" s="175" t="s">
        <v>3136</v>
      </c>
      <c r="B949" s="176" t="s">
        <v>3137</v>
      </c>
      <c r="C949" s="170" t="s">
        <v>3138</v>
      </c>
      <c r="D949" s="201" t="n">
        <v>18.07</v>
      </c>
      <c r="E949" s="178"/>
      <c r="F949" s="178"/>
      <c r="G949" s="178"/>
    </row>
    <row r="950" customFormat="false" ht="15" hidden="false" customHeight="false" outlineLevel="0" collapsed="false">
      <c r="A950" s="175" t="s">
        <v>3022</v>
      </c>
      <c r="B950" s="176" t="s">
        <v>3023</v>
      </c>
      <c r="C950" s="176" t="s">
        <v>3024</v>
      </c>
      <c r="D950" s="201" t="n">
        <v>12.22</v>
      </c>
      <c r="E950" s="178"/>
      <c r="F950" s="178"/>
      <c r="G950" s="178"/>
    </row>
    <row r="952" customFormat="false" ht="15" hidden="false" customHeight="false" outlineLevel="0" collapsed="false">
      <c r="A952" s="165" t="s">
        <v>28</v>
      </c>
      <c r="B952" s="165" t="s">
        <v>1410</v>
      </c>
      <c r="C952" s="165" t="s">
        <v>2938</v>
      </c>
      <c r="D952" s="165"/>
      <c r="E952" s="165"/>
      <c r="F952" s="165" t="s">
        <v>2939</v>
      </c>
      <c r="G952" s="165" t="s">
        <v>2940</v>
      </c>
    </row>
    <row r="953" customFormat="false" ht="15" hidden="false" customHeight="true" outlineLevel="0" collapsed="false">
      <c r="A953" s="199" t="s">
        <v>2191</v>
      </c>
      <c r="B953" s="176" t="s">
        <v>2941</v>
      </c>
      <c r="C953" s="169" t="s">
        <v>3562</v>
      </c>
      <c r="D953" s="169"/>
      <c r="E953" s="169"/>
      <c r="F953" s="176" t="s">
        <v>2995</v>
      </c>
      <c r="G953" s="178" t="n">
        <f aca="false">F956</f>
        <v>16.7166666666667</v>
      </c>
    </row>
    <row r="954" customFormat="false" ht="15" hidden="false" customHeight="true" outlineLevel="0" collapsed="false">
      <c r="A954" s="185" t="s">
        <v>2943</v>
      </c>
      <c r="B954" s="185" t="s">
        <v>2944</v>
      </c>
      <c r="C954" s="185" t="s">
        <v>2945</v>
      </c>
      <c r="D954" s="185" t="s">
        <v>2946</v>
      </c>
      <c r="E954" s="172" t="s">
        <v>2947</v>
      </c>
      <c r="F954" s="185" t="s">
        <v>2948</v>
      </c>
      <c r="G954" s="185"/>
    </row>
    <row r="955" customFormat="false" ht="15" hidden="false" customHeight="false" outlineLevel="0" collapsed="false">
      <c r="A955" s="185"/>
      <c r="B955" s="185"/>
      <c r="C955" s="185"/>
      <c r="D955" s="185"/>
      <c r="E955" s="172"/>
      <c r="F955" s="173" t="s">
        <v>1374</v>
      </c>
      <c r="G955" s="174" t="s">
        <v>2949</v>
      </c>
    </row>
    <row r="956" customFormat="false" ht="15" hidden="false" customHeight="false" outlineLevel="0" collapsed="false">
      <c r="A956" s="175" t="s">
        <v>3337</v>
      </c>
      <c r="B956" s="176" t="s">
        <v>3338</v>
      </c>
      <c r="C956" s="170" t="s">
        <v>3339</v>
      </c>
      <c r="D956" s="201" t="n">
        <v>11.9</v>
      </c>
      <c r="E956" s="178" t="n">
        <f aca="false">AVERAGE(D956:D958)</f>
        <v>16.7166666666667</v>
      </c>
      <c r="F956" s="178" t="n">
        <f aca="false">E956</f>
        <v>16.7166666666667</v>
      </c>
      <c r="G956" s="178" t="s">
        <v>2953</v>
      </c>
      <c r="H956" s="179" t="n">
        <f aca="false">F956</f>
        <v>16.7166666666667</v>
      </c>
      <c r="I956" s="179" t="str">
        <f aca="false">G956</f>
        <v>UTILIZOU-SE SINAPI</v>
      </c>
    </row>
    <row r="957" customFormat="false" ht="15" hidden="false" customHeight="false" outlineLevel="0" collapsed="false">
      <c r="A957" s="175" t="s">
        <v>3143</v>
      </c>
      <c r="B957" s="176" t="s">
        <v>3144</v>
      </c>
      <c r="C957" s="170" t="s">
        <v>3145</v>
      </c>
      <c r="D957" s="201" t="n">
        <v>15.99</v>
      </c>
      <c r="E957" s="178"/>
      <c r="F957" s="178"/>
      <c r="G957" s="178"/>
    </row>
    <row r="958" customFormat="false" ht="15" hidden="false" customHeight="false" outlineLevel="0" collapsed="false">
      <c r="A958" s="175" t="s">
        <v>3563</v>
      </c>
      <c r="B958" s="176" t="s">
        <v>3564</v>
      </c>
      <c r="C958" s="170" t="s">
        <v>3565</v>
      </c>
      <c r="D958" s="201" t="n">
        <v>22.26</v>
      </c>
      <c r="E958" s="178"/>
      <c r="F958" s="178"/>
      <c r="G958" s="178"/>
    </row>
    <row r="960" customFormat="false" ht="15" hidden="false" customHeight="false" outlineLevel="0" collapsed="false">
      <c r="A960" s="165" t="s">
        <v>28</v>
      </c>
      <c r="B960" s="165" t="s">
        <v>1410</v>
      </c>
      <c r="C960" s="165" t="s">
        <v>2938</v>
      </c>
      <c r="D960" s="165"/>
      <c r="E960" s="165"/>
      <c r="F960" s="165" t="s">
        <v>2939</v>
      </c>
      <c r="G960" s="165" t="s">
        <v>2940</v>
      </c>
    </row>
    <row r="961" customFormat="false" ht="15" hidden="false" customHeight="true" outlineLevel="0" collapsed="false">
      <c r="A961" s="199" t="s">
        <v>1977</v>
      </c>
      <c r="B961" s="176" t="s">
        <v>2941</v>
      </c>
      <c r="C961" s="169" t="s">
        <v>1978</v>
      </c>
      <c r="D961" s="169"/>
      <c r="E961" s="169"/>
      <c r="F961" s="176" t="s">
        <v>1513</v>
      </c>
      <c r="G961" s="178" t="n">
        <f aca="false">F964</f>
        <v>6.15840579710145</v>
      </c>
    </row>
    <row r="962" customFormat="false" ht="15" hidden="false" customHeight="true" outlineLevel="0" collapsed="false">
      <c r="A962" s="185" t="s">
        <v>2943</v>
      </c>
      <c r="B962" s="185" t="s">
        <v>2944</v>
      </c>
      <c r="C962" s="185" t="s">
        <v>2945</v>
      </c>
      <c r="D962" s="185" t="s">
        <v>2946</v>
      </c>
      <c r="E962" s="172" t="s">
        <v>2947</v>
      </c>
      <c r="F962" s="185" t="s">
        <v>2948</v>
      </c>
      <c r="G962" s="185"/>
    </row>
    <row r="963" customFormat="false" ht="15" hidden="false" customHeight="false" outlineLevel="0" collapsed="false">
      <c r="A963" s="185"/>
      <c r="B963" s="185"/>
      <c r="C963" s="185"/>
      <c r="D963" s="185"/>
      <c r="E963" s="172"/>
      <c r="F963" s="173" t="s">
        <v>1374</v>
      </c>
      <c r="G963" s="174" t="s">
        <v>2949</v>
      </c>
    </row>
    <row r="964" customFormat="false" ht="15" hidden="false" customHeight="false" outlineLevel="0" collapsed="false">
      <c r="A964" s="175" t="s">
        <v>3566</v>
      </c>
      <c r="B964" s="176" t="s">
        <v>3567</v>
      </c>
      <c r="C964" s="197" t="s">
        <v>3568</v>
      </c>
      <c r="D964" s="201" t="n">
        <f aca="false">135/23</f>
        <v>5.8695652173913</v>
      </c>
      <c r="E964" s="178" t="n">
        <f aca="false">AVERAGE(D964:D966)</f>
        <v>6.15840579710145</v>
      </c>
      <c r="F964" s="178" t="n">
        <f aca="false">E964</f>
        <v>6.15840579710145</v>
      </c>
      <c r="G964" s="178" t="s">
        <v>2953</v>
      </c>
      <c r="H964" s="179" t="n">
        <f aca="false">F964</f>
        <v>6.15840579710145</v>
      </c>
      <c r="I964" s="179" t="str">
        <f aca="false">G964</f>
        <v>UTILIZOU-SE SINAPI</v>
      </c>
    </row>
    <row r="965" customFormat="false" ht="15" hidden="false" customHeight="false" outlineLevel="0" collapsed="false">
      <c r="A965" s="175" t="s">
        <v>2992</v>
      </c>
      <c r="B965" s="176" t="s">
        <v>3214</v>
      </c>
      <c r="C965" s="197" t="s">
        <v>3569</v>
      </c>
      <c r="D965" s="201" t="n">
        <f aca="false">159.4/23</f>
        <v>6.9304347826087</v>
      </c>
      <c r="E965" s="178"/>
      <c r="F965" s="178"/>
      <c r="G965" s="178"/>
    </row>
    <row r="966" customFormat="false" ht="15" hidden="false" customHeight="false" outlineLevel="0" collapsed="false">
      <c r="A966" s="175" t="s">
        <v>3570</v>
      </c>
      <c r="B966" s="176" t="s">
        <v>3571</v>
      </c>
      <c r="C966" s="197" t="s">
        <v>3572</v>
      </c>
      <c r="D966" s="201" t="n">
        <f aca="false">130.53/23</f>
        <v>5.67521739130435</v>
      </c>
      <c r="E966" s="178"/>
      <c r="F966" s="178"/>
      <c r="G966" s="178"/>
    </row>
    <row r="968" customFormat="false" ht="15" hidden="false" customHeight="false" outlineLevel="0" collapsed="false">
      <c r="A968" s="165" t="s">
        <v>28</v>
      </c>
      <c r="B968" s="165" t="s">
        <v>1410</v>
      </c>
      <c r="C968" s="165" t="s">
        <v>2938</v>
      </c>
      <c r="D968" s="165"/>
      <c r="E968" s="165"/>
      <c r="F968" s="165" t="s">
        <v>2939</v>
      </c>
      <c r="G968" s="165" t="s">
        <v>2940</v>
      </c>
    </row>
    <row r="969" customFormat="false" ht="15" hidden="false" customHeight="true" outlineLevel="0" collapsed="false">
      <c r="A969" s="199" t="s">
        <v>1974</v>
      </c>
      <c r="B969" s="176" t="s">
        <v>2941</v>
      </c>
      <c r="C969" s="169" t="s">
        <v>1975</v>
      </c>
      <c r="D969" s="169"/>
      <c r="E969" s="169"/>
      <c r="F969" s="176" t="s">
        <v>1452</v>
      </c>
      <c r="G969" s="178" t="n">
        <f aca="false">F972</f>
        <v>34.8364814814815</v>
      </c>
    </row>
    <row r="970" customFormat="false" ht="15" hidden="false" customHeight="true" outlineLevel="0" collapsed="false">
      <c r="A970" s="185" t="s">
        <v>2943</v>
      </c>
      <c r="B970" s="185" t="s">
        <v>2944</v>
      </c>
      <c r="C970" s="185" t="s">
        <v>2945</v>
      </c>
      <c r="D970" s="185" t="s">
        <v>2946</v>
      </c>
      <c r="E970" s="172" t="s">
        <v>2947</v>
      </c>
      <c r="F970" s="185" t="s">
        <v>2948</v>
      </c>
      <c r="G970" s="185"/>
    </row>
    <row r="971" customFormat="false" ht="15" hidden="false" customHeight="false" outlineLevel="0" collapsed="false">
      <c r="A971" s="185"/>
      <c r="B971" s="185"/>
      <c r="C971" s="185"/>
      <c r="D971" s="185"/>
      <c r="E971" s="172"/>
      <c r="F971" s="173" t="s">
        <v>1374</v>
      </c>
      <c r="G971" s="174" t="s">
        <v>2949</v>
      </c>
    </row>
    <row r="972" customFormat="false" ht="15" hidden="false" customHeight="false" outlineLevel="0" collapsed="false">
      <c r="A972" s="175" t="s">
        <v>3347</v>
      </c>
      <c r="B972" s="176" t="s">
        <v>3348</v>
      </c>
      <c r="C972" s="197" t="s">
        <v>3573</v>
      </c>
      <c r="D972" s="201" t="n">
        <f aca="false">680.1/18</f>
        <v>37.7833333333333</v>
      </c>
      <c r="E972" s="178" t="n">
        <f aca="false">AVERAGE(D972:D974)</f>
        <v>34.8364814814815</v>
      </c>
      <c r="F972" s="178" t="n">
        <f aca="false">E972</f>
        <v>34.8364814814815</v>
      </c>
      <c r="G972" s="178" t="s">
        <v>2953</v>
      </c>
      <c r="H972" s="179" t="n">
        <f aca="false">F972</f>
        <v>34.8364814814815</v>
      </c>
      <c r="I972" s="179" t="str">
        <f aca="false">G972</f>
        <v>UTILIZOU-SE SINAPI</v>
      </c>
    </row>
    <row r="973" customFormat="false" ht="15" hidden="false" customHeight="false" outlineLevel="0" collapsed="false">
      <c r="A973" s="175" t="s">
        <v>3574</v>
      </c>
      <c r="B973" s="176" t="s">
        <v>3575</v>
      </c>
      <c r="C973" s="197" t="s">
        <v>3576</v>
      </c>
      <c r="D973" s="201" t="n">
        <f aca="false">601.17/18</f>
        <v>33.3983333333333</v>
      </c>
      <c r="E973" s="178"/>
      <c r="F973" s="178"/>
      <c r="G973" s="178"/>
    </row>
    <row r="974" customFormat="false" ht="15" hidden="false" customHeight="false" outlineLevel="0" collapsed="false">
      <c r="A974" s="175" t="s">
        <v>3577</v>
      </c>
      <c r="B974" s="176" t="s">
        <v>3578</v>
      </c>
      <c r="C974" s="197" t="s">
        <v>3579</v>
      </c>
      <c r="D974" s="201" t="n">
        <f aca="false">599.9/18</f>
        <v>33.3277777777778</v>
      </c>
      <c r="E974" s="178"/>
      <c r="F974" s="178"/>
      <c r="G974" s="178"/>
    </row>
    <row r="976" customFormat="false" ht="15" hidden="false" customHeight="false" outlineLevel="0" collapsed="false">
      <c r="A976" s="165" t="s">
        <v>28</v>
      </c>
      <c r="B976" s="165" t="s">
        <v>1410</v>
      </c>
      <c r="C976" s="165" t="s">
        <v>2938</v>
      </c>
      <c r="D976" s="165"/>
      <c r="E976" s="165"/>
      <c r="F976" s="165" t="s">
        <v>2939</v>
      </c>
      <c r="G976" s="165" t="s">
        <v>2940</v>
      </c>
    </row>
    <row r="977" customFormat="false" ht="15" hidden="false" customHeight="true" outlineLevel="0" collapsed="false">
      <c r="A977" s="199" t="s">
        <v>2564</v>
      </c>
      <c r="B977" s="176" t="s">
        <v>2941</v>
      </c>
      <c r="C977" s="169" t="s">
        <v>2565</v>
      </c>
      <c r="D977" s="169"/>
      <c r="E977" s="169"/>
      <c r="F977" s="176" t="s">
        <v>3580</v>
      </c>
      <c r="G977" s="178" t="n">
        <f aca="false">F980</f>
        <v>29.1366666666667</v>
      </c>
    </row>
    <row r="978" customFormat="false" ht="15" hidden="false" customHeight="true" outlineLevel="0" collapsed="false">
      <c r="A978" s="185" t="s">
        <v>2943</v>
      </c>
      <c r="B978" s="185" t="s">
        <v>2944</v>
      </c>
      <c r="C978" s="185" t="s">
        <v>2945</v>
      </c>
      <c r="D978" s="185" t="s">
        <v>2946</v>
      </c>
      <c r="E978" s="172" t="s">
        <v>2947</v>
      </c>
      <c r="F978" s="185" t="s">
        <v>2948</v>
      </c>
      <c r="G978" s="185"/>
    </row>
    <row r="979" customFormat="false" ht="15" hidden="false" customHeight="false" outlineLevel="0" collapsed="false">
      <c r="A979" s="185"/>
      <c r="B979" s="185"/>
      <c r="C979" s="185"/>
      <c r="D979" s="185"/>
      <c r="E979" s="172"/>
      <c r="F979" s="173" t="s">
        <v>1374</v>
      </c>
      <c r="G979" s="174" t="s">
        <v>2949</v>
      </c>
    </row>
    <row r="980" customFormat="false" ht="15" hidden="false" customHeight="false" outlineLevel="0" collapsed="false">
      <c r="A980" s="175" t="s">
        <v>3581</v>
      </c>
      <c r="B980" s="176" t="s">
        <v>3582</v>
      </c>
      <c r="C980" s="197" t="s">
        <v>3583</v>
      </c>
      <c r="D980" s="201" t="n">
        <v>24.4</v>
      </c>
      <c r="E980" s="178" t="n">
        <f aca="false">AVERAGE(D980:D982)</f>
        <v>29.1366666666667</v>
      </c>
      <c r="F980" s="178" t="n">
        <f aca="false">E980</f>
        <v>29.1366666666667</v>
      </c>
      <c r="G980" s="178" t="s">
        <v>2953</v>
      </c>
      <c r="H980" s="179" t="n">
        <f aca="false">F980</f>
        <v>29.1366666666667</v>
      </c>
      <c r="I980" s="179" t="str">
        <f aca="false">G980</f>
        <v>UTILIZOU-SE SINAPI</v>
      </c>
    </row>
    <row r="981" customFormat="false" ht="15" hidden="false" customHeight="false" outlineLevel="0" collapsed="false">
      <c r="A981" s="175" t="s">
        <v>3584</v>
      </c>
      <c r="B981" s="176" t="s">
        <v>3129</v>
      </c>
      <c r="C981" s="197" t="s">
        <v>3585</v>
      </c>
      <c r="D981" s="201" t="n">
        <v>32.11</v>
      </c>
      <c r="E981" s="178"/>
      <c r="F981" s="178"/>
      <c r="G981" s="178"/>
    </row>
    <row r="982" customFormat="false" ht="15" hidden="false" customHeight="false" outlineLevel="0" collapsed="false">
      <c r="A982" s="175" t="s">
        <v>3586</v>
      </c>
      <c r="B982" s="176" t="s">
        <v>3587</v>
      </c>
      <c r="C982" s="197" t="s">
        <v>3588</v>
      </c>
      <c r="D982" s="201" t="n">
        <v>30.9</v>
      </c>
      <c r="E982" s="178"/>
      <c r="F982" s="178"/>
      <c r="G982" s="178"/>
    </row>
    <row r="984" customFormat="false" ht="15" hidden="false" customHeight="false" outlineLevel="0" collapsed="false">
      <c r="A984" s="165" t="s">
        <v>28</v>
      </c>
      <c r="B984" s="165" t="s">
        <v>1410</v>
      </c>
      <c r="C984" s="165" t="s">
        <v>2938</v>
      </c>
      <c r="D984" s="165"/>
      <c r="E984" s="165"/>
      <c r="F984" s="165" t="s">
        <v>2939</v>
      </c>
      <c r="G984" s="165" t="s">
        <v>2940</v>
      </c>
    </row>
    <row r="985" customFormat="false" ht="15" hidden="false" customHeight="true" outlineLevel="0" collapsed="false">
      <c r="A985" s="213" t="s">
        <v>2467</v>
      </c>
      <c r="B985" s="176" t="s">
        <v>2941</v>
      </c>
      <c r="C985" s="169" t="s">
        <v>3589</v>
      </c>
      <c r="D985" s="169"/>
      <c r="E985" s="169"/>
      <c r="F985" s="176" t="s">
        <v>2995</v>
      </c>
      <c r="G985" s="178" t="n">
        <f aca="false">F988</f>
        <v>55.6533333333333</v>
      </c>
    </row>
    <row r="986" customFormat="false" ht="15" hidden="false" customHeight="true" outlineLevel="0" collapsed="false">
      <c r="A986" s="185" t="s">
        <v>2943</v>
      </c>
      <c r="B986" s="185" t="s">
        <v>2944</v>
      </c>
      <c r="C986" s="185" t="s">
        <v>2945</v>
      </c>
      <c r="D986" s="185" t="s">
        <v>2946</v>
      </c>
      <c r="E986" s="172" t="s">
        <v>2947</v>
      </c>
      <c r="F986" s="185" t="s">
        <v>2948</v>
      </c>
      <c r="G986" s="185"/>
    </row>
    <row r="987" customFormat="false" ht="15" hidden="false" customHeight="false" outlineLevel="0" collapsed="false">
      <c r="A987" s="185"/>
      <c r="B987" s="185"/>
      <c r="C987" s="185"/>
      <c r="D987" s="185"/>
      <c r="E987" s="172"/>
      <c r="F987" s="173" t="s">
        <v>1374</v>
      </c>
      <c r="G987" s="174" t="s">
        <v>2949</v>
      </c>
    </row>
    <row r="988" customFormat="false" ht="15" hidden="false" customHeight="false" outlineLevel="0" collapsed="false">
      <c r="A988" s="175" t="s">
        <v>3001</v>
      </c>
      <c r="B988" s="176" t="s">
        <v>3002</v>
      </c>
      <c r="C988" s="176" t="s">
        <v>3003</v>
      </c>
      <c r="D988" s="201" t="n">
        <v>57.9</v>
      </c>
      <c r="E988" s="178" t="n">
        <f aca="false">AVERAGE(D988:D990)</f>
        <v>55.6533333333333</v>
      </c>
      <c r="F988" s="178" t="n">
        <f aca="false">E988</f>
        <v>55.6533333333333</v>
      </c>
      <c r="G988" s="178" t="s">
        <v>2953</v>
      </c>
      <c r="H988" s="179" t="n">
        <f aca="false">F988</f>
        <v>55.6533333333333</v>
      </c>
      <c r="I988" s="179" t="str">
        <f aca="false">G988</f>
        <v>UTILIZOU-SE SINAPI</v>
      </c>
    </row>
    <row r="989" customFormat="false" ht="15" hidden="false" customHeight="false" outlineLevel="0" collapsed="false">
      <c r="A989" s="175" t="s">
        <v>2996</v>
      </c>
      <c r="B989" s="176" t="s">
        <v>2993</v>
      </c>
      <c r="C989" s="176" t="s">
        <v>2997</v>
      </c>
      <c r="D989" s="201" t="n">
        <v>66.24</v>
      </c>
      <c r="E989" s="178"/>
      <c r="F989" s="178"/>
      <c r="G989" s="178"/>
    </row>
    <row r="990" customFormat="false" ht="15" hidden="false" customHeight="false" outlineLevel="0" collapsed="false">
      <c r="A990" s="175" t="s">
        <v>3590</v>
      </c>
      <c r="B990" s="176" t="s">
        <v>3591</v>
      </c>
      <c r="C990" s="170" t="s">
        <v>3592</v>
      </c>
      <c r="D990" s="201" t="n">
        <v>42.82</v>
      </c>
      <c r="E990" s="178"/>
      <c r="F990" s="178"/>
      <c r="G990" s="178"/>
    </row>
    <row r="992" customFormat="false" ht="15" hidden="false" customHeight="false" outlineLevel="0" collapsed="false">
      <c r="A992" s="165" t="s">
        <v>28</v>
      </c>
      <c r="B992" s="165" t="s">
        <v>1410</v>
      </c>
      <c r="C992" s="165" t="s">
        <v>2938</v>
      </c>
      <c r="D992" s="165"/>
      <c r="E992" s="165"/>
      <c r="F992" s="165" t="s">
        <v>2939</v>
      </c>
      <c r="G992" s="165" t="s">
        <v>2940</v>
      </c>
    </row>
    <row r="993" customFormat="false" ht="15" hidden="false" customHeight="true" outlineLevel="0" collapsed="false">
      <c r="A993" s="199" t="s">
        <v>2057</v>
      </c>
      <c r="B993" s="176" t="s">
        <v>2941</v>
      </c>
      <c r="C993" s="169" t="s">
        <v>3593</v>
      </c>
      <c r="D993" s="169"/>
      <c r="E993" s="169"/>
      <c r="F993" s="176" t="s">
        <v>2995</v>
      </c>
      <c r="G993" s="178" t="n">
        <f aca="false">F996</f>
        <v>174.333333333333</v>
      </c>
    </row>
    <row r="994" customFormat="false" ht="15" hidden="false" customHeight="true" outlineLevel="0" collapsed="false">
      <c r="A994" s="185" t="s">
        <v>2943</v>
      </c>
      <c r="B994" s="185" t="s">
        <v>2944</v>
      </c>
      <c r="C994" s="185" t="s">
        <v>2945</v>
      </c>
      <c r="D994" s="185" t="s">
        <v>2946</v>
      </c>
      <c r="E994" s="172" t="s">
        <v>2947</v>
      </c>
      <c r="F994" s="185" t="s">
        <v>2948</v>
      </c>
      <c r="G994" s="185"/>
    </row>
    <row r="995" customFormat="false" ht="15" hidden="false" customHeight="false" outlineLevel="0" collapsed="false">
      <c r="A995" s="185"/>
      <c r="B995" s="185"/>
      <c r="C995" s="185"/>
      <c r="D995" s="185"/>
      <c r="E995" s="172"/>
      <c r="F995" s="173" t="s">
        <v>1374</v>
      </c>
      <c r="G995" s="174" t="s">
        <v>2949</v>
      </c>
    </row>
    <row r="996" customFormat="false" ht="15" hidden="false" customHeight="false" outlineLevel="0" collapsed="false">
      <c r="A996" s="175" t="s">
        <v>3594</v>
      </c>
      <c r="B996" s="176" t="s">
        <v>3595</v>
      </c>
      <c r="C996" s="170" t="s">
        <v>3596</v>
      </c>
      <c r="D996" s="201" t="n">
        <v>167.31</v>
      </c>
      <c r="E996" s="178" t="n">
        <f aca="false">AVERAGE(D996:D998)</f>
        <v>174.333333333333</v>
      </c>
      <c r="F996" s="178" t="n">
        <f aca="false">E996</f>
        <v>174.333333333333</v>
      </c>
      <c r="G996" s="178" t="s">
        <v>2953</v>
      </c>
      <c r="H996" s="179" t="n">
        <f aca="false">F996</f>
        <v>174.333333333333</v>
      </c>
      <c r="I996" s="179" t="str">
        <f aca="false">G996</f>
        <v>UTILIZOU-SE SINAPI</v>
      </c>
    </row>
    <row r="997" customFormat="false" ht="15" hidden="false" customHeight="false" outlineLevel="0" collapsed="false">
      <c r="A997" s="175" t="s">
        <v>3001</v>
      </c>
      <c r="B997" s="176" t="s">
        <v>3002</v>
      </c>
      <c r="C997" s="176" t="s">
        <v>3003</v>
      </c>
      <c r="D997" s="201" t="n">
        <v>173.79</v>
      </c>
      <c r="E997" s="178"/>
      <c r="F997" s="178"/>
      <c r="G997" s="178"/>
    </row>
    <row r="998" customFormat="false" ht="15" hidden="false" customHeight="false" outlineLevel="0" collapsed="false">
      <c r="A998" s="175" t="s">
        <v>3597</v>
      </c>
      <c r="B998" s="176" t="s">
        <v>3598</v>
      </c>
      <c r="C998" s="170" t="s">
        <v>3599</v>
      </c>
      <c r="D998" s="201" t="n">
        <v>181.9</v>
      </c>
      <c r="E998" s="178"/>
      <c r="F998" s="178"/>
      <c r="G998" s="178"/>
    </row>
    <row r="1000" customFormat="false" ht="15" hidden="false" customHeight="false" outlineLevel="0" collapsed="false">
      <c r="A1000" s="165" t="s">
        <v>28</v>
      </c>
      <c r="B1000" s="165" t="s">
        <v>1410</v>
      </c>
      <c r="C1000" s="165" t="s">
        <v>2938</v>
      </c>
      <c r="D1000" s="165"/>
      <c r="E1000" s="165"/>
      <c r="F1000" s="165" t="s">
        <v>2939</v>
      </c>
      <c r="G1000" s="165" t="s">
        <v>2940</v>
      </c>
    </row>
    <row r="1001" customFormat="false" ht="15" hidden="false" customHeight="true" outlineLevel="0" collapsed="false">
      <c r="A1001" s="199" t="s">
        <v>2281</v>
      </c>
      <c r="B1001" s="176" t="s">
        <v>2941</v>
      </c>
      <c r="C1001" s="169" t="s">
        <v>2282</v>
      </c>
      <c r="D1001" s="169"/>
      <c r="E1001" s="169"/>
      <c r="F1001" s="176" t="s">
        <v>2995</v>
      </c>
      <c r="G1001" s="178" t="n">
        <f aca="false">F1004</f>
        <v>421.876666666667</v>
      </c>
    </row>
    <row r="1002" customFormat="false" ht="15" hidden="false" customHeight="true" outlineLevel="0" collapsed="false">
      <c r="A1002" s="185" t="s">
        <v>2943</v>
      </c>
      <c r="B1002" s="185" t="s">
        <v>2944</v>
      </c>
      <c r="C1002" s="185" t="s">
        <v>2945</v>
      </c>
      <c r="D1002" s="185" t="s">
        <v>2946</v>
      </c>
      <c r="E1002" s="172" t="s">
        <v>2947</v>
      </c>
      <c r="F1002" s="185" t="s">
        <v>2948</v>
      </c>
      <c r="G1002" s="185"/>
    </row>
    <row r="1003" customFormat="false" ht="15" hidden="false" customHeight="false" outlineLevel="0" collapsed="false">
      <c r="A1003" s="185"/>
      <c r="B1003" s="185"/>
      <c r="C1003" s="185"/>
      <c r="D1003" s="185"/>
      <c r="E1003" s="172"/>
      <c r="F1003" s="173" t="s">
        <v>1374</v>
      </c>
      <c r="G1003" s="174" t="s">
        <v>2949</v>
      </c>
    </row>
    <row r="1004" customFormat="false" ht="15" hidden="false" customHeight="false" outlineLevel="0" collapsed="false">
      <c r="A1004" s="175" t="s">
        <v>3277</v>
      </c>
      <c r="B1004" s="176" t="s">
        <v>3278</v>
      </c>
      <c r="C1004" s="170" t="s">
        <v>3279</v>
      </c>
      <c r="D1004" s="201" t="n">
        <v>359.14</v>
      </c>
      <c r="E1004" s="178" t="n">
        <f aca="false">AVERAGE(D1004:D1006)</f>
        <v>421.876666666667</v>
      </c>
      <c r="F1004" s="178" t="n">
        <f aca="false">E1004</f>
        <v>421.876666666667</v>
      </c>
      <c r="G1004" s="178" t="s">
        <v>2953</v>
      </c>
      <c r="H1004" s="179" t="n">
        <f aca="false">F1004</f>
        <v>421.876666666667</v>
      </c>
      <c r="I1004" s="179" t="str">
        <f aca="false">G1004</f>
        <v>UTILIZOU-SE SINAPI</v>
      </c>
    </row>
    <row r="1005" customFormat="false" ht="15" hidden="false" customHeight="false" outlineLevel="0" collapsed="false">
      <c r="A1005" s="175" t="s">
        <v>2998</v>
      </c>
      <c r="B1005" s="176" t="s">
        <v>2999</v>
      </c>
      <c r="C1005" s="176" t="s">
        <v>3000</v>
      </c>
      <c r="D1005" s="201" t="n">
        <v>417.66</v>
      </c>
      <c r="E1005" s="178"/>
      <c r="F1005" s="178"/>
      <c r="G1005" s="178"/>
    </row>
    <row r="1006" customFormat="false" ht="15" hidden="false" customHeight="false" outlineLevel="0" collapsed="false">
      <c r="A1006" s="175" t="s">
        <v>3600</v>
      </c>
      <c r="B1006" s="176" t="s">
        <v>3601</v>
      </c>
      <c r="C1006" s="170" t="s">
        <v>3602</v>
      </c>
      <c r="D1006" s="201" t="n">
        <v>488.83</v>
      </c>
      <c r="E1006" s="178"/>
      <c r="F1006" s="178"/>
      <c r="G1006" s="178"/>
    </row>
    <row r="1008" customFormat="false" ht="15" hidden="false" customHeight="false" outlineLevel="0" collapsed="false">
      <c r="A1008" s="165" t="s">
        <v>28</v>
      </c>
      <c r="B1008" s="165" t="s">
        <v>1410</v>
      </c>
      <c r="C1008" s="165" t="s">
        <v>2938</v>
      </c>
      <c r="D1008" s="165"/>
      <c r="E1008" s="165"/>
      <c r="F1008" s="165" t="s">
        <v>2939</v>
      </c>
      <c r="G1008" s="165" t="s">
        <v>2940</v>
      </c>
    </row>
    <row r="1009" customFormat="false" ht="15" hidden="false" customHeight="true" outlineLevel="0" collapsed="false">
      <c r="A1009" s="199" t="s">
        <v>2717</v>
      </c>
      <c r="B1009" s="176" t="s">
        <v>2941</v>
      </c>
      <c r="C1009" s="169" t="s">
        <v>3603</v>
      </c>
      <c r="D1009" s="169"/>
      <c r="E1009" s="169"/>
      <c r="F1009" s="176" t="s">
        <v>2995</v>
      </c>
      <c r="G1009" s="178" t="n">
        <f aca="false">F1012</f>
        <v>1888.41666666667</v>
      </c>
    </row>
    <row r="1010" customFormat="false" ht="15" hidden="false" customHeight="true" outlineLevel="0" collapsed="false">
      <c r="A1010" s="185" t="s">
        <v>2943</v>
      </c>
      <c r="B1010" s="185" t="s">
        <v>2944</v>
      </c>
      <c r="C1010" s="185" t="s">
        <v>2945</v>
      </c>
      <c r="D1010" s="185" t="s">
        <v>2946</v>
      </c>
      <c r="E1010" s="172" t="s">
        <v>2947</v>
      </c>
      <c r="F1010" s="185" t="s">
        <v>2948</v>
      </c>
      <c r="G1010" s="185"/>
    </row>
    <row r="1011" customFormat="false" ht="15" hidden="false" customHeight="false" outlineLevel="0" collapsed="false">
      <c r="A1011" s="185"/>
      <c r="B1011" s="185"/>
      <c r="C1011" s="185"/>
      <c r="D1011" s="185"/>
      <c r="E1011" s="172"/>
      <c r="F1011" s="173" t="s">
        <v>1374</v>
      </c>
      <c r="G1011" s="174" t="s">
        <v>2949</v>
      </c>
    </row>
    <row r="1012" customFormat="false" ht="15" hidden="false" customHeight="false" outlineLevel="0" collapsed="false">
      <c r="A1012" s="175" t="s">
        <v>2998</v>
      </c>
      <c r="B1012" s="176" t="s">
        <v>2999</v>
      </c>
      <c r="C1012" s="176" t="s">
        <v>3000</v>
      </c>
      <c r="D1012" s="201" t="n">
        <v>1731.59</v>
      </c>
      <c r="E1012" s="178" t="n">
        <f aca="false">AVERAGE(D1012:D1014)</f>
        <v>1888.41666666667</v>
      </c>
      <c r="F1012" s="178" t="n">
        <f aca="false">E1012</f>
        <v>1888.41666666667</v>
      </c>
      <c r="G1012" s="178" t="s">
        <v>2953</v>
      </c>
      <c r="H1012" s="179" t="n">
        <f aca="false">F1012</f>
        <v>1888.41666666667</v>
      </c>
      <c r="I1012" s="179" t="str">
        <f aca="false">G1012</f>
        <v>UTILIZOU-SE SINAPI</v>
      </c>
    </row>
    <row r="1013" customFormat="false" ht="15" hidden="false" customHeight="false" outlineLevel="0" collapsed="false">
      <c r="A1013" s="175" t="s">
        <v>3604</v>
      </c>
      <c r="B1013" s="176" t="s">
        <v>3605</v>
      </c>
      <c r="C1013" s="170" t="s">
        <v>3606</v>
      </c>
      <c r="D1013" s="201" t="n">
        <v>1829.61</v>
      </c>
      <c r="E1013" s="178"/>
      <c r="F1013" s="178"/>
      <c r="G1013" s="178"/>
    </row>
    <row r="1014" customFormat="false" ht="15" hidden="false" customHeight="false" outlineLevel="0" collapsed="false">
      <c r="A1014" s="175" t="s">
        <v>3001</v>
      </c>
      <c r="B1014" s="176" t="s">
        <v>3002</v>
      </c>
      <c r="C1014" s="176" t="s">
        <v>3003</v>
      </c>
      <c r="D1014" s="201" t="n">
        <v>2104.05</v>
      </c>
      <c r="E1014" s="178"/>
      <c r="F1014" s="178"/>
      <c r="G1014" s="178"/>
    </row>
  </sheetData>
  <autoFilter ref="A7:G15"/>
  <mergeCells count="1391">
    <mergeCell ref="A1:C3"/>
    <mergeCell ref="D1:G1"/>
    <mergeCell ref="D2:F3"/>
    <mergeCell ref="A4:G5"/>
    <mergeCell ref="C7:E7"/>
    <mergeCell ref="C8:E8"/>
    <mergeCell ref="C9:E9"/>
    <mergeCell ref="A10:A11"/>
    <mergeCell ref="B10:B11"/>
    <mergeCell ref="C10:C11"/>
    <mergeCell ref="D10:D11"/>
    <mergeCell ref="E10:E11"/>
    <mergeCell ref="F10:G10"/>
    <mergeCell ref="E12:E14"/>
    <mergeCell ref="F12:F14"/>
    <mergeCell ref="G12:G14"/>
    <mergeCell ref="C16:E16"/>
    <mergeCell ref="C17:E17"/>
    <mergeCell ref="A18:A19"/>
    <mergeCell ref="B18:B19"/>
    <mergeCell ref="C18:C19"/>
    <mergeCell ref="D18:D19"/>
    <mergeCell ref="E18:E19"/>
    <mergeCell ref="F18:G18"/>
    <mergeCell ref="E20:E22"/>
    <mergeCell ref="F20:F22"/>
    <mergeCell ref="G20:G22"/>
    <mergeCell ref="C24:E24"/>
    <mergeCell ref="C25:E25"/>
    <mergeCell ref="A26:A27"/>
    <mergeCell ref="B26:B27"/>
    <mergeCell ref="C26:C27"/>
    <mergeCell ref="D26:D27"/>
    <mergeCell ref="E26:E27"/>
    <mergeCell ref="F26:G26"/>
    <mergeCell ref="E28:E30"/>
    <mergeCell ref="F28:F30"/>
    <mergeCell ref="G28:G30"/>
    <mergeCell ref="C32:E32"/>
    <mergeCell ref="C33:E33"/>
    <mergeCell ref="A34:A35"/>
    <mergeCell ref="B34:B35"/>
    <mergeCell ref="C34:C35"/>
    <mergeCell ref="D34:D35"/>
    <mergeCell ref="E34:E35"/>
    <mergeCell ref="F34:G34"/>
    <mergeCell ref="E36:E38"/>
    <mergeCell ref="F36:F38"/>
    <mergeCell ref="G36:G38"/>
    <mergeCell ref="C40:E40"/>
    <mergeCell ref="C41:E41"/>
    <mergeCell ref="A42:A43"/>
    <mergeCell ref="B42:B43"/>
    <mergeCell ref="C42:C43"/>
    <mergeCell ref="D42:D43"/>
    <mergeCell ref="E42:E43"/>
    <mergeCell ref="F42:G42"/>
    <mergeCell ref="E44:E46"/>
    <mergeCell ref="F44:F46"/>
    <mergeCell ref="G44:G46"/>
    <mergeCell ref="C48:E48"/>
    <mergeCell ref="C49:E49"/>
    <mergeCell ref="A50:A51"/>
    <mergeCell ref="B50:B51"/>
    <mergeCell ref="C50:C51"/>
    <mergeCell ref="D50:D51"/>
    <mergeCell ref="E50:E51"/>
    <mergeCell ref="F50:G50"/>
    <mergeCell ref="E52:E54"/>
    <mergeCell ref="F52:F54"/>
    <mergeCell ref="G52:G54"/>
    <mergeCell ref="C56:E56"/>
    <mergeCell ref="C57:E57"/>
    <mergeCell ref="A58:A59"/>
    <mergeCell ref="B58:B59"/>
    <mergeCell ref="C58:C59"/>
    <mergeCell ref="D58:D59"/>
    <mergeCell ref="E58:E59"/>
    <mergeCell ref="F58:G58"/>
    <mergeCell ref="E60:E62"/>
    <mergeCell ref="F60:F62"/>
    <mergeCell ref="G60:G62"/>
    <mergeCell ref="C64:E64"/>
    <mergeCell ref="C65:E65"/>
    <mergeCell ref="A66:A67"/>
    <mergeCell ref="B66:B67"/>
    <mergeCell ref="C66:C67"/>
    <mergeCell ref="D66:D67"/>
    <mergeCell ref="E66:E67"/>
    <mergeCell ref="F66:G66"/>
    <mergeCell ref="E68:E70"/>
    <mergeCell ref="F68:F70"/>
    <mergeCell ref="G68:G70"/>
    <mergeCell ref="C72:E72"/>
    <mergeCell ref="C73:E73"/>
    <mergeCell ref="A74:A75"/>
    <mergeCell ref="B74:B75"/>
    <mergeCell ref="C74:C75"/>
    <mergeCell ref="D74:D75"/>
    <mergeCell ref="E74:E75"/>
    <mergeCell ref="F74:G74"/>
    <mergeCell ref="E76:E78"/>
    <mergeCell ref="F76:F78"/>
    <mergeCell ref="G76:G78"/>
    <mergeCell ref="C80:E80"/>
    <mergeCell ref="C81:E81"/>
    <mergeCell ref="A82:A83"/>
    <mergeCell ref="B82:B83"/>
    <mergeCell ref="C82:C83"/>
    <mergeCell ref="D82:D83"/>
    <mergeCell ref="E82:E83"/>
    <mergeCell ref="F82:G82"/>
    <mergeCell ref="E84:E86"/>
    <mergeCell ref="F84:F86"/>
    <mergeCell ref="G84:G86"/>
    <mergeCell ref="C88:E88"/>
    <mergeCell ref="C89:E89"/>
    <mergeCell ref="A90:A91"/>
    <mergeCell ref="B90:B91"/>
    <mergeCell ref="C90:C91"/>
    <mergeCell ref="D90:D91"/>
    <mergeCell ref="E90:E91"/>
    <mergeCell ref="F90:G90"/>
    <mergeCell ref="E92:E94"/>
    <mergeCell ref="F92:F94"/>
    <mergeCell ref="G92:G94"/>
    <mergeCell ref="C96:E96"/>
    <mergeCell ref="C97:E97"/>
    <mergeCell ref="A98:A99"/>
    <mergeCell ref="B98:B99"/>
    <mergeCell ref="C98:C99"/>
    <mergeCell ref="D98:D99"/>
    <mergeCell ref="E98:E99"/>
    <mergeCell ref="F98:G98"/>
    <mergeCell ref="E100:E102"/>
    <mergeCell ref="F100:F102"/>
    <mergeCell ref="G100:G102"/>
    <mergeCell ref="C104:E104"/>
    <mergeCell ref="C105:E105"/>
    <mergeCell ref="A106:A107"/>
    <mergeCell ref="B106:B107"/>
    <mergeCell ref="C106:C107"/>
    <mergeCell ref="D106:D107"/>
    <mergeCell ref="E106:E107"/>
    <mergeCell ref="F106:G106"/>
    <mergeCell ref="E108:E110"/>
    <mergeCell ref="F108:F110"/>
    <mergeCell ref="G108:G110"/>
    <mergeCell ref="C112:E112"/>
    <mergeCell ref="C113:E113"/>
    <mergeCell ref="A114:A115"/>
    <mergeCell ref="B114:B115"/>
    <mergeCell ref="C114:C115"/>
    <mergeCell ref="D114:D115"/>
    <mergeCell ref="E114:E115"/>
    <mergeCell ref="F114:G114"/>
    <mergeCell ref="E116:E118"/>
    <mergeCell ref="F116:F118"/>
    <mergeCell ref="G116:G118"/>
    <mergeCell ref="C120:E120"/>
    <mergeCell ref="C121:E121"/>
    <mergeCell ref="A122:A123"/>
    <mergeCell ref="B122:B123"/>
    <mergeCell ref="C122:C123"/>
    <mergeCell ref="D122:D123"/>
    <mergeCell ref="E122:E123"/>
    <mergeCell ref="F122:G122"/>
    <mergeCell ref="E124:E126"/>
    <mergeCell ref="F124:F126"/>
    <mergeCell ref="G124:G126"/>
    <mergeCell ref="C128:E128"/>
    <mergeCell ref="C129:E129"/>
    <mergeCell ref="A130:A131"/>
    <mergeCell ref="B130:B131"/>
    <mergeCell ref="C130:C131"/>
    <mergeCell ref="D130:D131"/>
    <mergeCell ref="E130:E131"/>
    <mergeCell ref="F130:G130"/>
    <mergeCell ref="E132:E134"/>
    <mergeCell ref="F132:F134"/>
    <mergeCell ref="G132:G134"/>
    <mergeCell ref="C136:E136"/>
    <mergeCell ref="C137:E137"/>
    <mergeCell ref="A138:A139"/>
    <mergeCell ref="B138:B139"/>
    <mergeCell ref="C138:C139"/>
    <mergeCell ref="D138:D139"/>
    <mergeCell ref="E138:E139"/>
    <mergeCell ref="F138:G138"/>
    <mergeCell ref="E140:E142"/>
    <mergeCell ref="F140:F142"/>
    <mergeCell ref="G140:G142"/>
    <mergeCell ref="C144:E144"/>
    <mergeCell ref="C145:E145"/>
    <mergeCell ref="A146:A147"/>
    <mergeCell ref="B146:B147"/>
    <mergeCell ref="C146:C147"/>
    <mergeCell ref="D146:D147"/>
    <mergeCell ref="E146:E147"/>
    <mergeCell ref="F146:G146"/>
    <mergeCell ref="E148:E150"/>
    <mergeCell ref="F148:F150"/>
    <mergeCell ref="G148:G150"/>
    <mergeCell ref="C152:E152"/>
    <mergeCell ref="C153:E153"/>
    <mergeCell ref="A154:A155"/>
    <mergeCell ref="B154:B155"/>
    <mergeCell ref="C154:C155"/>
    <mergeCell ref="D154:D155"/>
    <mergeCell ref="E154:E155"/>
    <mergeCell ref="F154:G154"/>
    <mergeCell ref="E156:E158"/>
    <mergeCell ref="F156:F158"/>
    <mergeCell ref="G156:G158"/>
    <mergeCell ref="C160:E160"/>
    <mergeCell ref="C161:E161"/>
    <mergeCell ref="A162:A163"/>
    <mergeCell ref="B162:B163"/>
    <mergeCell ref="C162:C163"/>
    <mergeCell ref="D162:D163"/>
    <mergeCell ref="E162:E163"/>
    <mergeCell ref="F162:G162"/>
    <mergeCell ref="E164:E166"/>
    <mergeCell ref="F164:F166"/>
    <mergeCell ref="G164:G166"/>
    <mergeCell ref="C168:E168"/>
    <mergeCell ref="C169:E169"/>
    <mergeCell ref="A170:A171"/>
    <mergeCell ref="B170:B171"/>
    <mergeCell ref="C170:C171"/>
    <mergeCell ref="D170:D171"/>
    <mergeCell ref="E170:E171"/>
    <mergeCell ref="F170:G170"/>
    <mergeCell ref="E172:E174"/>
    <mergeCell ref="F172:F174"/>
    <mergeCell ref="G172:G174"/>
    <mergeCell ref="C176:E176"/>
    <mergeCell ref="C177:E177"/>
    <mergeCell ref="A178:A179"/>
    <mergeCell ref="B178:B179"/>
    <mergeCell ref="C178:C179"/>
    <mergeCell ref="D178:D179"/>
    <mergeCell ref="E178:E179"/>
    <mergeCell ref="F178:G178"/>
    <mergeCell ref="E180:E182"/>
    <mergeCell ref="F180:F182"/>
    <mergeCell ref="G180:G182"/>
    <mergeCell ref="C184:E184"/>
    <mergeCell ref="C185:E185"/>
    <mergeCell ref="A186:A187"/>
    <mergeCell ref="B186:B187"/>
    <mergeCell ref="C186:C187"/>
    <mergeCell ref="D186:D187"/>
    <mergeCell ref="E186:E187"/>
    <mergeCell ref="F186:G186"/>
    <mergeCell ref="E188:E190"/>
    <mergeCell ref="F188:F190"/>
    <mergeCell ref="G188:G190"/>
    <mergeCell ref="C192:E192"/>
    <mergeCell ref="C193:E193"/>
    <mergeCell ref="A194:A195"/>
    <mergeCell ref="B194:B195"/>
    <mergeCell ref="C194:C195"/>
    <mergeCell ref="D194:D195"/>
    <mergeCell ref="E194:E195"/>
    <mergeCell ref="F194:G194"/>
    <mergeCell ref="E196:E198"/>
    <mergeCell ref="F196:F198"/>
    <mergeCell ref="G196:G198"/>
    <mergeCell ref="C200:E200"/>
    <mergeCell ref="C201:E201"/>
    <mergeCell ref="A202:A203"/>
    <mergeCell ref="B202:B203"/>
    <mergeCell ref="C202:C203"/>
    <mergeCell ref="D202:D203"/>
    <mergeCell ref="E202:E203"/>
    <mergeCell ref="F202:G202"/>
    <mergeCell ref="E204:E206"/>
    <mergeCell ref="F204:F206"/>
    <mergeCell ref="G204:G206"/>
    <mergeCell ref="C208:E208"/>
    <mergeCell ref="C209:E209"/>
    <mergeCell ref="A210:A211"/>
    <mergeCell ref="B210:B211"/>
    <mergeCell ref="C210:C211"/>
    <mergeCell ref="D210:D211"/>
    <mergeCell ref="E210:E211"/>
    <mergeCell ref="F210:G210"/>
    <mergeCell ref="E212:E214"/>
    <mergeCell ref="F212:F214"/>
    <mergeCell ref="G212:G214"/>
    <mergeCell ref="C216:E216"/>
    <mergeCell ref="C217:E217"/>
    <mergeCell ref="A218:A219"/>
    <mergeCell ref="B218:B219"/>
    <mergeCell ref="C218:C219"/>
    <mergeCell ref="D218:D219"/>
    <mergeCell ref="E218:E219"/>
    <mergeCell ref="F218:G218"/>
    <mergeCell ref="E220:E222"/>
    <mergeCell ref="F220:F222"/>
    <mergeCell ref="G220:G222"/>
    <mergeCell ref="C224:E224"/>
    <mergeCell ref="C225:E225"/>
    <mergeCell ref="A226:A227"/>
    <mergeCell ref="B226:B227"/>
    <mergeCell ref="C226:C227"/>
    <mergeCell ref="D226:D227"/>
    <mergeCell ref="E226:E227"/>
    <mergeCell ref="F226:G226"/>
    <mergeCell ref="E228:E230"/>
    <mergeCell ref="F228:F230"/>
    <mergeCell ref="G228:G230"/>
    <mergeCell ref="C232:E232"/>
    <mergeCell ref="C233:E233"/>
    <mergeCell ref="A234:A235"/>
    <mergeCell ref="B234:B235"/>
    <mergeCell ref="C234:C235"/>
    <mergeCell ref="D234:D235"/>
    <mergeCell ref="E234:E235"/>
    <mergeCell ref="F234:G234"/>
    <mergeCell ref="E236:E238"/>
    <mergeCell ref="F236:F238"/>
    <mergeCell ref="G236:G238"/>
    <mergeCell ref="C240:E240"/>
    <mergeCell ref="C241:E241"/>
    <mergeCell ref="A242:A243"/>
    <mergeCell ref="B242:B243"/>
    <mergeCell ref="C242:C243"/>
    <mergeCell ref="D242:D243"/>
    <mergeCell ref="E242:E243"/>
    <mergeCell ref="F242:G242"/>
    <mergeCell ref="E244:E246"/>
    <mergeCell ref="F244:F246"/>
    <mergeCell ref="G244:G246"/>
    <mergeCell ref="C248:E248"/>
    <mergeCell ref="C249:E249"/>
    <mergeCell ref="A250:A251"/>
    <mergeCell ref="B250:B251"/>
    <mergeCell ref="C250:C251"/>
    <mergeCell ref="D250:D251"/>
    <mergeCell ref="E250:E251"/>
    <mergeCell ref="F250:G250"/>
    <mergeCell ref="E252:E254"/>
    <mergeCell ref="F252:F254"/>
    <mergeCell ref="G252:G254"/>
    <mergeCell ref="C256:E256"/>
    <mergeCell ref="C257:E257"/>
    <mergeCell ref="A258:A259"/>
    <mergeCell ref="B258:B259"/>
    <mergeCell ref="C258:C259"/>
    <mergeCell ref="D258:D259"/>
    <mergeCell ref="E258:E259"/>
    <mergeCell ref="F258:G258"/>
    <mergeCell ref="E260:E262"/>
    <mergeCell ref="F260:F262"/>
    <mergeCell ref="G260:G262"/>
    <mergeCell ref="C264:E264"/>
    <mergeCell ref="C265:E265"/>
    <mergeCell ref="A266:A267"/>
    <mergeCell ref="B266:B267"/>
    <mergeCell ref="C266:C267"/>
    <mergeCell ref="D266:D267"/>
    <mergeCell ref="E266:E267"/>
    <mergeCell ref="F266:G266"/>
    <mergeCell ref="E268:E270"/>
    <mergeCell ref="F268:F270"/>
    <mergeCell ref="G268:G270"/>
    <mergeCell ref="C272:E272"/>
    <mergeCell ref="C273:E273"/>
    <mergeCell ref="A274:A275"/>
    <mergeCell ref="B274:B275"/>
    <mergeCell ref="C274:C275"/>
    <mergeCell ref="D274:D275"/>
    <mergeCell ref="E274:E275"/>
    <mergeCell ref="F274:G274"/>
    <mergeCell ref="E276:E278"/>
    <mergeCell ref="F276:F278"/>
    <mergeCell ref="G276:G278"/>
    <mergeCell ref="C280:E280"/>
    <mergeCell ref="C281:E281"/>
    <mergeCell ref="A282:A283"/>
    <mergeCell ref="B282:B283"/>
    <mergeCell ref="C282:C283"/>
    <mergeCell ref="D282:D283"/>
    <mergeCell ref="E282:E283"/>
    <mergeCell ref="F282:G282"/>
    <mergeCell ref="E284:E286"/>
    <mergeCell ref="F284:F286"/>
    <mergeCell ref="G284:G286"/>
    <mergeCell ref="C288:E288"/>
    <mergeCell ref="C289:E289"/>
    <mergeCell ref="A290:A291"/>
    <mergeCell ref="B290:B291"/>
    <mergeCell ref="C290:C291"/>
    <mergeCell ref="D290:D291"/>
    <mergeCell ref="E290:E291"/>
    <mergeCell ref="F290:G290"/>
    <mergeCell ref="E292:E294"/>
    <mergeCell ref="F292:F294"/>
    <mergeCell ref="G292:G294"/>
    <mergeCell ref="C296:E296"/>
    <mergeCell ref="C297:E297"/>
    <mergeCell ref="A298:A299"/>
    <mergeCell ref="B298:B299"/>
    <mergeCell ref="C298:C299"/>
    <mergeCell ref="D298:D299"/>
    <mergeCell ref="E298:E299"/>
    <mergeCell ref="F298:G298"/>
    <mergeCell ref="E300:E302"/>
    <mergeCell ref="F300:F302"/>
    <mergeCell ref="G300:G302"/>
    <mergeCell ref="C304:E304"/>
    <mergeCell ref="C305:E305"/>
    <mergeCell ref="A306:A307"/>
    <mergeCell ref="B306:B307"/>
    <mergeCell ref="C306:C307"/>
    <mergeCell ref="D306:D307"/>
    <mergeCell ref="E306:E307"/>
    <mergeCell ref="F306:G306"/>
    <mergeCell ref="E308:E310"/>
    <mergeCell ref="F308:F310"/>
    <mergeCell ref="G308:G310"/>
    <mergeCell ref="C312:E312"/>
    <mergeCell ref="C313:E313"/>
    <mergeCell ref="A314:A315"/>
    <mergeCell ref="B314:B315"/>
    <mergeCell ref="C314:C315"/>
    <mergeCell ref="D314:D315"/>
    <mergeCell ref="E314:E315"/>
    <mergeCell ref="F314:G314"/>
    <mergeCell ref="E316:E318"/>
    <mergeCell ref="F316:F318"/>
    <mergeCell ref="G316:G318"/>
    <mergeCell ref="C320:E320"/>
    <mergeCell ref="C321:E321"/>
    <mergeCell ref="A322:A323"/>
    <mergeCell ref="B322:B323"/>
    <mergeCell ref="C322:C323"/>
    <mergeCell ref="D322:D323"/>
    <mergeCell ref="E322:E323"/>
    <mergeCell ref="F322:G322"/>
    <mergeCell ref="E324:E326"/>
    <mergeCell ref="F324:F326"/>
    <mergeCell ref="G324:G326"/>
    <mergeCell ref="C328:E328"/>
    <mergeCell ref="C329:E329"/>
    <mergeCell ref="A330:A331"/>
    <mergeCell ref="B330:B331"/>
    <mergeCell ref="C330:C331"/>
    <mergeCell ref="D330:D331"/>
    <mergeCell ref="E330:E331"/>
    <mergeCell ref="F330:G330"/>
    <mergeCell ref="E332:E334"/>
    <mergeCell ref="F332:F334"/>
    <mergeCell ref="G332:G334"/>
    <mergeCell ref="C336:E336"/>
    <mergeCell ref="C337:E337"/>
    <mergeCell ref="A338:A339"/>
    <mergeCell ref="B338:B339"/>
    <mergeCell ref="C338:C339"/>
    <mergeCell ref="D338:D339"/>
    <mergeCell ref="E338:E339"/>
    <mergeCell ref="F338:G338"/>
    <mergeCell ref="E340:E342"/>
    <mergeCell ref="F340:F342"/>
    <mergeCell ref="G340:G342"/>
    <mergeCell ref="C344:E344"/>
    <mergeCell ref="C345:E345"/>
    <mergeCell ref="A346:A347"/>
    <mergeCell ref="B346:B347"/>
    <mergeCell ref="C346:C347"/>
    <mergeCell ref="D346:D347"/>
    <mergeCell ref="E346:E347"/>
    <mergeCell ref="F346:G346"/>
    <mergeCell ref="E348:E350"/>
    <mergeCell ref="F348:F350"/>
    <mergeCell ref="G348:G350"/>
    <mergeCell ref="C352:E352"/>
    <mergeCell ref="C353:E353"/>
    <mergeCell ref="A354:A355"/>
    <mergeCell ref="B354:B355"/>
    <mergeCell ref="C354:C355"/>
    <mergeCell ref="D354:D355"/>
    <mergeCell ref="E354:E355"/>
    <mergeCell ref="F354:G354"/>
    <mergeCell ref="E356:E358"/>
    <mergeCell ref="F356:F358"/>
    <mergeCell ref="G356:G358"/>
    <mergeCell ref="C360:E360"/>
    <mergeCell ref="C361:E361"/>
    <mergeCell ref="A362:A363"/>
    <mergeCell ref="B362:B363"/>
    <mergeCell ref="C362:C363"/>
    <mergeCell ref="D362:D363"/>
    <mergeCell ref="E362:E363"/>
    <mergeCell ref="F362:G362"/>
    <mergeCell ref="E364:E366"/>
    <mergeCell ref="F364:F366"/>
    <mergeCell ref="G364:G366"/>
    <mergeCell ref="C368:E368"/>
    <mergeCell ref="C369:E369"/>
    <mergeCell ref="A370:A371"/>
    <mergeCell ref="B370:B371"/>
    <mergeCell ref="C370:C371"/>
    <mergeCell ref="D370:D371"/>
    <mergeCell ref="E370:E371"/>
    <mergeCell ref="F370:G370"/>
    <mergeCell ref="E372:E374"/>
    <mergeCell ref="F372:F374"/>
    <mergeCell ref="G372:G374"/>
    <mergeCell ref="C376:E376"/>
    <mergeCell ref="C377:E377"/>
    <mergeCell ref="A378:A379"/>
    <mergeCell ref="B378:B379"/>
    <mergeCell ref="C378:C379"/>
    <mergeCell ref="D378:D379"/>
    <mergeCell ref="E378:E379"/>
    <mergeCell ref="F378:G378"/>
    <mergeCell ref="E380:E382"/>
    <mergeCell ref="F380:F382"/>
    <mergeCell ref="G380:G382"/>
    <mergeCell ref="C384:E384"/>
    <mergeCell ref="C385:E385"/>
    <mergeCell ref="A386:A387"/>
    <mergeCell ref="B386:B387"/>
    <mergeCell ref="C386:C387"/>
    <mergeCell ref="D386:D387"/>
    <mergeCell ref="E386:E387"/>
    <mergeCell ref="F386:G386"/>
    <mergeCell ref="E388:E390"/>
    <mergeCell ref="F388:F390"/>
    <mergeCell ref="G388:G390"/>
    <mergeCell ref="C392:E392"/>
    <mergeCell ref="C393:E393"/>
    <mergeCell ref="A394:A395"/>
    <mergeCell ref="B394:B395"/>
    <mergeCell ref="C394:C395"/>
    <mergeCell ref="D394:D395"/>
    <mergeCell ref="E394:E395"/>
    <mergeCell ref="F394:G394"/>
    <mergeCell ref="E396:E398"/>
    <mergeCell ref="F396:F398"/>
    <mergeCell ref="G396:G398"/>
    <mergeCell ref="C400:E400"/>
    <mergeCell ref="C401:E401"/>
    <mergeCell ref="A402:A403"/>
    <mergeCell ref="B402:B403"/>
    <mergeCell ref="C402:C403"/>
    <mergeCell ref="D402:D403"/>
    <mergeCell ref="E402:E403"/>
    <mergeCell ref="F402:G402"/>
    <mergeCell ref="E404:E406"/>
    <mergeCell ref="F404:F406"/>
    <mergeCell ref="G404:G406"/>
    <mergeCell ref="C408:E408"/>
    <mergeCell ref="C409:E409"/>
    <mergeCell ref="A410:A411"/>
    <mergeCell ref="B410:B411"/>
    <mergeCell ref="C410:C411"/>
    <mergeCell ref="D410:D411"/>
    <mergeCell ref="E410:E411"/>
    <mergeCell ref="F410:G410"/>
    <mergeCell ref="E412:E414"/>
    <mergeCell ref="F412:F414"/>
    <mergeCell ref="G412:G414"/>
    <mergeCell ref="C416:E416"/>
    <mergeCell ref="C417:E417"/>
    <mergeCell ref="A418:A419"/>
    <mergeCell ref="B418:B419"/>
    <mergeCell ref="C418:C419"/>
    <mergeCell ref="D418:D419"/>
    <mergeCell ref="E418:E419"/>
    <mergeCell ref="F418:G418"/>
    <mergeCell ref="E420:E422"/>
    <mergeCell ref="F420:F422"/>
    <mergeCell ref="G420:G422"/>
    <mergeCell ref="C424:E424"/>
    <mergeCell ref="C425:E425"/>
    <mergeCell ref="A426:A427"/>
    <mergeCell ref="B426:B427"/>
    <mergeCell ref="C426:C427"/>
    <mergeCell ref="D426:D427"/>
    <mergeCell ref="E426:E427"/>
    <mergeCell ref="F426:G426"/>
    <mergeCell ref="E428:E430"/>
    <mergeCell ref="F428:F430"/>
    <mergeCell ref="G428:G430"/>
    <mergeCell ref="C432:E432"/>
    <mergeCell ref="C433:E433"/>
    <mergeCell ref="A434:A435"/>
    <mergeCell ref="B434:B435"/>
    <mergeCell ref="C434:C435"/>
    <mergeCell ref="D434:D435"/>
    <mergeCell ref="E434:E435"/>
    <mergeCell ref="F434:G434"/>
    <mergeCell ref="E436:E438"/>
    <mergeCell ref="F436:F438"/>
    <mergeCell ref="G436:G438"/>
    <mergeCell ref="C440:E440"/>
    <mergeCell ref="C441:E441"/>
    <mergeCell ref="A442:A443"/>
    <mergeCell ref="B442:B443"/>
    <mergeCell ref="C442:C443"/>
    <mergeCell ref="D442:D443"/>
    <mergeCell ref="E442:E443"/>
    <mergeCell ref="F442:G442"/>
    <mergeCell ref="E444:E446"/>
    <mergeCell ref="F444:F446"/>
    <mergeCell ref="G444:G446"/>
    <mergeCell ref="C448:E448"/>
    <mergeCell ref="C449:E449"/>
    <mergeCell ref="A450:A451"/>
    <mergeCell ref="B450:B451"/>
    <mergeCell ref="C450:C451"/>
    <mergeCell ref="D450:D451"/>
    <mergeCell ref="E450:E451"/>
    <mergeCell ref="F450:G450"/>
    <mergeCell ref="E452:E454"/>
    <mergeCell ref="F452:F454"/>
    <mergeCell ref="G452:G454"/>
    <mergeCell ref="C456:E456"/>
    <mergeCell ref="C457:E457"/>
    <mergeCell ref="A458:A459"/>
    <mergeCell ref="B458:B459"/>
    <mergeCell ref="C458:C459"/>
    <mergeCell ref="D458:D459"/>
    <mergeCell ref="E458:E459"/>
    <mergeCell ref="F458:G458"/>
    <mergeCell ref="E460:E462"/>
    <mergeCell ref="F460:F462"/>
    <mergeCell ref="G460:G462"/>
    <mergeCell ref="C464:E464"/>
    <mergeCell ref="C465:E465"/>
    <mergeCell ref="A466:A467"/>
    <mergeCell ref="B466:B467"/>
    <mergeCell ref="C466:C467"/>
    <mergeCell ref="D466:D467"/>
    <mergeCell ref="E466:E467"/>
    <mergeCell ref="F466:G466"/>
    <mergeCell ref="E468:E470"/>
    <mergeCell ref="F468:F470"/>
    <mergeCell ref="G468:G470"/>
    <mergeCell ref="C472:E472"/>
    <mergeCell ref="C473:E473"/>
    <mergeCell ref="A474:A475"/>
    <mergeCell ref="B474:B475"/>
    <mergeCell ref="C474:C475"/>
    <mergeCell ref="D474:D475"/>
    <mergeCell ref="E474:E475"/>
    <mergeCell ref="F474:G474"/>
    <mergeCell ref="E476:E478"/>
    <mergeCell ref="F476:F478"/>
    <mergeCell ref="G476:G478"/>
    <mergeCell ref="C480:E480"/>
    <mergeCell ref="C481:E481"/>
    <mergeCell ref="A482:A483"/>
    <mergeCell ref="B482:B483"/>
    <mergeCell ref="C482:C483"/>
    <mergeCell ref="D482:D483"/>
    <mergeCell ref="E482:E483"/>
    <mergeCell ref="F482:G482"/>
    <mergeCell ref="E484:E486"/>
    <mergeCell ref="F484:F486"/>
    <mergeCell ref="G484:G486"/>
    <mergeCell ref="C488:E488"/>
    <mergeCell ref="C489:E489"/>
    <mergeCell ref="A490:A491"/>
    <mergeCell ref="B490:B491"/>
    <mergeCell ref="C490:C491"/>
    <mergeCell ref="D490:D491"/>
    <mergeCell ref="E490:E491"/>
    <mergeCell ref="F490:G490"/>
    <mergeCell ref="E492:E494"/>
    <mergeCell ref="F492:F494"/>
    <mergeCell ref="G492:G494"/>
    <mergeCell ref="C496:E496"/>
    <mergeCell ref="C497:E497"/>
    <mergeCell ref="A498:A499"/>
    <mergeCell ref="B498:B499"/>
    <mergeCell ref="C498:C499"/>
    <mergeCell ref="D498:D499"/>
    <mergeCell ref="E498:E499"/>
    <mergeCell ref="F498:G498"/>
    <mergeCell ref="E500:E502"/>
    <mergeCell ref="F500:F502"/>
    <mergeCell ref="G500:G502"/>
    <mergeCell ref="C504:E504"/>
    <mergeCell ref="C505:E505"/>
    <mergeCell ref="A506:A507"/>
    <mergeCell ref="B506:B507"/>
    <mergeCell ref="C506:C507"/>
    <mergeCell ref="D506:D507"/>
    <mergeCell ref="E506:E507"/>
    <mergeCell ref="F506:G506"/>
    <mergeCell ref="E508:E510"/>
    <mergeCell ref="F508:F510"/>
    <mergeCell ref="G508:G510"/>
    <mergeCell ref="C512:E512"/>
    <mergeCell ref="C513:E513"/>
    <mergeCell ref="A514:A515"/>
    <mergeCell ref="B514:B515"/>
    <mergeCell ref="C514:C515"/>
    <mergeCell ref="D514:D515"/>
    <mergeCell ref="E514:E515"/>
    <mergeCell ref="F514:G514"/>
    <mergeCell ref="E516:E518"/>
    <mergeCell ref="F516:F518"/>
    <mergeCell ref="G516:G518"/>
    <mergeCell ref="C520:E520"/>
    <mergeCell ref="C521:E521"/>
    <mergeCell ref="A522:A523"/>
    <mergeCell ref="B522:B523"/>
    <mergeCell ref="C522:C523"/>
    <mergeCell ref="D522:D523"/>
    <mergeCell ref="E522:E523"/>
    <mergeCell ref="F522:G522"/>
    <mergeCell ref="E524:E526"/>
    <mergeCell ref="F524:F526"/>
    <mergeCell ref="G524:G526"/>
    <mergeCell ref="C528:E528"/>
    <mergeCell ref="C529:E529"/>
    <mergeCell ref="A530:A531"/>
    <mergeCell ref="B530:B531"/>
    <mergeCell ref="C530:C531"/>
    <mergeCell ref="D530:D531"/>
    <mergeCell ref="E530:E531"/>
    <mergeCell ref="F530:G530"/>
    <mergeCell ref="E532:E534"/>
    <mergeCell ref="F532:F534"/>
    <mergeCell ref="G532:G534"/>
    <mergeCell ref="C536:E536"/>
    <mergeCell ref="C537:E537"/>
    <mergeCell ref="A538:A539"/>
    <mergeCell ref="B538:B539"/>
    <mergeCell ref="C538:C539"/>
    <mergeCell ref="D538:D539"/>
    <mergeCell ref="E538:E539"/>
    <mergeCell ref="F538:G538"/>
    <mergeCell ref="E540:E542"/>
    <mergeCell ref="F540:F542"/>
    <mergeCell ref="G540:G542"/>
    <mergeCell ref="C544:E544"/>
    <mergeCell ref="C545:E545"/>
    <mergeCell ref="A546:A547"/>
    <mergeCell ref="B546:B547"/>
    <mergeCell ref="C546:C547"/>
    <mergeCell ref="D546:D547"/>
    <mergeCell ref="E546:E547"/>
    <mergeCell ref="F546:G546"/>
    <mergeCell ref="E548:E550"/>
    <mergeCell ref="F548:F550"/>
    <mergeCell ref="G548:G550"/>
    <mergeCell ref="C552:E552"/>
    <mergeCell ref="C553:E553"/>
    <mergeCell ref="A554:A555"/>
    <mergeCell ref="B554:B555"/>
    <mergeCell ref="C554:C555"/>
    <mergeCell ref="D554:D555"/>
    <mergeCell ref="E554:E555"/>
    <mergeCell ref="F554:G554"/>
    <mergeCell ref="E556:E558"/>
    <mergeCell ref="F556:F558"/>
    <mergeCell ref="G556:G558"/>
    <mergeCell ref="C560:E560"/>
    <mergeCell ref="C561:E561"/>
    <mergeCell ref="A562:A563"/>
    <mergeCell ref="B562:B563"/>
    <mergeCell ref="C562:C563"/>
    <mergeCell ref="D562:D563"/>
    <mergeCell ref="E562:E563"/>
    <mergeCell ref="F562:G562"/>
    <mergeCell ref="E564:E566"/>
    <mergeCell ref="F564:F566"/>
    <mergeCell ref="G564:G566"/>
    <mergeCell ref="C568:E568"/>
    <mergeCell ref="C569:E569"/>
    <mergeCell ref="A570:A571"/>
    <mergeCell ref="B570:B571"/>
    <mergeCell ref="C570:C571"/>
    <mergeCell ref="D570:D571"/>
    <mergeCell ref="E570:E571"/>
    <mergeCell ref="F570:G570"/>
    <mergeCell ref="E572:E574"/>
    <mergeCell ref="F572:F574"/>
    <mergeCell ref="G572:G574"/>
    <mergeCell ref="C576:E576"/>
    <mergeCell ref="C577:E577"/>
    <mergeCell ref="A578:A579"/>
    <mergeCell ref="B578:B579"/>
    <mergeCell ref="C578:C579"/>
    <mergeCell ref="D578:D579"/>
    <mergeCell ref="E578:E579"/>
    <mergeCell ref="F578:G578"/>
    <mergeCell ref="E580:E582"/>
    <mergeCell ref="F580:F582"/>
    <mergeCell ref="G580:G582"/>
    <mergeCell ref="C584:E584"/>
    <mergeCell ref="C585:E585"/>
    <mergeCell ref="A586:A587"/>
    <mergeCell ref="B586:B587"/>
    <mergeCell ref="C586:C587"/>
    <mergeCell ref="D586:D587"/>
    <mergeCell ref="E586:E587"/>
    <mergeCell ref="F586:G586"/>
    <mergeCell ref="E588:E590"/>
    <mergeCell ref="F588:F590"/>
    <mergeCell ref="G588:G590"/>
    <mergeCell ref="C592:E592"/>
    <mergeCell ref="C593:E593"/>
    <mergeCell ref="A594:A595"/>
    <mergeCell ref="B594:B595"/>
    <mergeCell ref="C594:C595"/>
    <mergeCell ref="D594:D595"/>
    <mergeCell ref="E594:E595"/>
    <mergeCell ref="F594:G594"/>
    <mergeCell ref="E596:E598"/>
    <mergeCell ref="F596:F598"/>
    <mergeCell ref="G596:G598"/>
    <mergeCell ref="C600:E600"/>
    <mergeCell ref="C601:E601"/>
    <mergeCell ref="A602:A603"/>
    <mergeCell ref="B602:B603"/>
    <mergeCell ref="C602:C603"/>
    <mergeCell ref="D602:D603"/>
    <mergeCell ref="E602:E603"/>
    <mergeCell ref="F602:G602"/>
    <mergeCell ref="E604:E606"/>
    <mergeCell ref="F604:F606"/>
    <mergeCell ref="G604:G606"/>
    <mergeCell ref="C608:E608"/>
    <mergeCell ref="C609:E609"/>
    <mergeCell ref="A610:A611"/>
    <mergeCell ref="B610:B611"/>
    <mergeCell ref="C610:C611"/>
    <mergeCell ref="D610:D611"/>
    <mergeCell ref="E610:E611"/>
    <mergeCell ref="F610:G610"/>
    <mergeCell ref="E612:E614"/>
    <mergeCell ref="F612:F614"/>
    <mergeCell ref="G612:G614"/>
    <mergeCell ref="C616:E616"/>
    <mergeCell ref="C617:E617"/>
    <mergeCell ref="A618:A619"/>
    <mergeCell ref="B618:B619"/>
    <mergeCell ref="C618:C619"/>
    <mergeCell ref="D618:D619"/>
    <mergeCell ref="E618:E619"/>
    <mergeCell ref="F618:G618"/>
    <mergeCell ref="E620:E622"/>
    <mergeCell ref="F620:F622"/>
    <mergeCell ref="G620:G622"/>
    <mergeCell ref="C624:E624"/>
    <mergeCell ref="C625:E625"/>
    <mergeCell ref="A626:A627"/>
    <mergeCell ref="B626:B627"/>
    <mergeCell ref="C626:C627"/>
    <mergeCell ref="D626:D627"/>
    <mergeCell ref="E626:E627"/>
    <mergeCell ref="F626:G626"/>
    <mergeCell ref="E628:E630"/>
    <mergeCell ref="F628:F630"/>
    <mergeCell ref="G628:G630"/>
    <mergeCell ref="C632:E632"/>
    <mergeCell ref="C633:E633"/>
    <mergeCell ref="A634:A635"/>
    <mergeCell ref="B634:B635"/>
    <mergeCell ref="C634:C635"/>
    <mergeCell ref="D634:D635"/>
    <mergeCell ref="E634:E635"/>
    <mergeCell ref="F634:G634"/>
    <mergeCell ref="E636:E638"/>
    <mergeCell ref="F636:F638"/>
    <mergeCell ref="G636:G638"/>
    <mergeCell ref="C640:E640"/>
    <mergeCell ref="C641:E641"/>
    <mergeCell ref="A642:A643"/>
    <mergeCell ref="B642:B643"/>
    <mergeCell ref="C642:C643"/>
    <mergeCell ref="D642:D643"/>
    <mergeCell ref="E642:E643"/>
    <mergeCell ref="F642:G642"/>
    <mergeCell ref="E644:E646"/>
    <mergeCell ref="F644:F646"/>
    <mergeCell ref="G644:G646"/>
    <mergeCell ref="C648:E648"/>
    <mergeCell ref="C649:E649"/>
    <mergeCell ref="A650:A651"/>
    <mergeCell ref="B650:B651"/>
    <mergeCell ref="C650:C651"/>
    <mergeCell ref="D650:D651"/>
    <mergeCell ref="E650:E651"/>
    <mergeCell ref="F650:G650"/>
    <mergeCell ref="E652:E654"/>
    <mergeCell ref="F652:F654"/>
    <mergeCell ref="G652:G654"/>
    <mergeCell ref="C656:E656"/>
    <mergeCell ref="C657:E657"/>
    <mergeCell ref="A658:A659"/>
    <mergeCell ref="B658:B659"/>
    <mergeCell ref="C658:C659"/>
    <mergeCell ref="D658:D659"/>
    <mergeCell ref="E658:E659"/>
    <mergeCell ref="F658:G658"/>
    <mergeCell ref="E660:E662"/>
    <mergeCell ref="F660:F662"/>
    <mergeCell ref="G660:G662"/>
    <mergeCell ref="C664:E664"/>
    <mergeCell ref="C665:E665"/>
    <mergeCell ref="A666:A667"/>
    <mergeCell ref="B666:B667"/>
    <mergeCell ref="C666:C667"/>
    <mergeCell ref="D666:D667"/>
    <mergeCell ref="E666:E667"/>
    <mergeCell ref="F666:G666"/>
    <mergeCell ref="E668:E670"/>
    <mergeCell ref="F668:F670"/>
    <mergeCell ref="G668:G670"/>
    <mergeCell ref="C672:E672"/>
    <mergeCell ref="C673:E673"/>
    <mergeCell ref="A674:A675"/>
    <mergeCell ref="B674:B675"/>
    <mergeCell ref="C674:C675"/>
    <mergeCell ref="D674:D675"/>
    <mergeCell ref="E674:E675"/>
    <mergeCell ref="F674:G674"/>
    <mergeCell ref="E676:E678"/>
    <mergeCell ref="F676:F678"/>
    <mergeCell ref="G676:G678"/>
    <mergeCell ref="C680:E680"/>
    <mergeCell ref="C681:E681"/>
    <mergeCell ref="A682:A683"/>
    <mergeCell ref="B682:B683"/>
    <mergeCell ref="C682:C683"/>
    <mergeCell ref="D682:D683"/>
    <mergeCell ref="E682:E683"/>
    <mergeCell ref="F682:G682"/>
    <mergeCell ref="E684:E686"/>
    <mergeCell ref="F684:F686"/>
    <mergeCell ref="G684:G686"/>
    <mergeCell ref="C688:E688"/>
    <mergeCell ref="C689:E689"/>
    <mergeCell ref="A690:A691"/>
    <mergeCell ref="B690:B691"/>
    <mergeCell ref="C690:C691"/>
    <mergeCell ref="D690:D691"/>
    <mergeCell ref="E690:E691"/>
    <mergeCell ref="F690:G690"/>
    <mergeCell ref="E692:E694"/>
    <mergeCell ref="F692:F694"/>
    <mergeCell ref="G692:G694"/>
    <mergeCell ref="C696:E696"/>
    <mergeCell ref="C697:E697"/>
    <mergeCell ref="A698:A699"/>
    <mergeCell ref="B698:B699"/>
    <mergeCell ref="C698:C699"/>
    <mergeCell ref="D698:D699"/>
    <mergeCell ref="E698:E699"/>
    <mergeCell ref="F698:G698"/>
    <mergeCell ref="E700:E702"/>
    <mergeCell ref="F700:F702"/>
    <mergeCell ref="G700:G702"/>
    <mergeCell ref="C704:E704"/>
    <mergeCell ref="C705:E705"/>
    <mergeCell ref="A706:A707"/>
    <mergeCell ref="B706:B707"/>
    <mergeCell ref="C706:C707"/>
    <mergeCell ref="D706:D707"/>
    <mergeCell ref="E706:E707"/>
    <mergeCell ref="F706:G706"/>
    <mergeCell ref="E708:E710"/>
    <mergeCell ref="F708:F710"/>
    <mergeCell ref="G708:G710"/>
    <mergeCell ref="C712:E712"/>
    <mergeCell ref="C713:E713"/>
    <mergeCell ref="A714:A715"/>
    <mergeCell ref="B714:B715"/>
    <mergeCell ref="C714:C715"/>
    <mergeCell ref="D714:D715"/>
    <mergeCell ref="E714:E715"/>
    <mergeCell ref="F714:G714"/>
    <mergeCell ref="E716:E718"/>
    <mergeCell ref="F716:F718"/>
    <mergeCell ref="G716:G718"/>
    <mergeCell ref="C720:E720"/>
    <mergeCell ref="C721:E721"/>
    <mergeCell ref="A722:A723"/>
    <mergeCell ref="B722:B723"/>
    <mergeCell ref="C722:C723"/>
    <mergeCell ref="D722:D723"/>
    <mergeCell ref="E722:E723"/>
    <mergeCell ref="F722:G722"/>
    <mergeCell ref="E724:E726"/>
    <mergeCell ref="F724:F726"/>
    <mergeCell ref="G724:G726"/>
    <mergeCell ref="C728:E728"/>
    <mergeCell ref="C729:E729"/>
    <mergeCell ref="A730:A731"/>
    <mergeCell ref="B730:B731"/>
    <mergeCell ref="C730:C731"/>
    <mergeCell ref="D730:D731"/>
    <mergeCell ref="E730:E731"/>
    <mergeCell ref="F730:G730"/>
    <mergeCell ref="E732:E734"/>
    <mergeCell ref="F732:F734"/>
    <mergeCell ref="G732:G734"/>
    <mergeCell ref="C736:E736"/>
    <mergeCell ref="C737:E737"/>
    <mergeCell ref="A738:A739"/>
    <mergeCell ref="B738:B739"/>
    <mergeCell ref="C738:C739"/>
    <mergeCell ref="D738:D739"/>
    <mergeCell ref="E738:E739"/>
    <mergeCell ref="F738:G738"/>
    <mergeCell ref="E740:E742"/>
    <mergeCell ref="F740:F742"/>
    <mergeCell ref="G740:G742"/>
    <mergeCell ref="C744:E744"/>
    <mergeCell ref="C745:E745"/>
    <mergeCell ref="A746:A747"/>
    <mergeCell ref="B746:B747"/>
    <mergeCell ref="C746:C747"/>
    <mergeCell ref="D746:D747"/>
    <mergeCell ref="E746:E747"/>
    <mergeCell ref="F746:G746"/>
    <mergeCell ref="E748:E750"/>
    <mergeCell ref="F748:F750"/>
    <mergeCell ref="G748:G750"/>
    <mergeCell ref="C752:E752"/>
    <mergeCell ref="C753:E753"/>
    <mergeCell ref="A754:A755"/>
    <mergeCell ref="B754:B755"/>
    <mergeCell ref="C754:C755"/>
    <mergeCell ref="D754:D755"/>
    <mergeCell ref="E754:E755"/>
    <mergeCell ref="F754:G754"/>
    <mergeCell ref="E756:E758"/>
    <mergeCell ref="F756:F758"/>
    <mergeCell ref="G756:G758"/>
    <mergeCell ref="C760:E760"/>
    <mergeCell ref="C761:E761"/>
    <mergeCell ref="A762:A763"/>
    <mergeCell ref="B762:B763"/>
    <mergeCell ref="C762:C763"/>
    <mergeCell ref="D762:D763"/>
    <mergeCell ref="E762:E763"/>
    <mergeCell ref="F762:G762"/>
    <mergeCell ref="E764:E766"/>
    <mergeCell ref="F764:F766"/>
    <mergeCell ref="G764:G766"/>
    <mergeCell ref="C768:E768"/>
    <mergeCell ref="C769:E769"/>
    <mergeCell ref="A770:A771"/>
    <mergeCell ref="B770:B771"/>
    <mergeCell ref="C770:C771"/>
    <mergeCell ref="D770:D771"/>
    <mergeCell ref="E770:E771"/>
    <mergeCell ref="F770:G770"/>
    <mergeCell ref="E772:E774"/>
    <mergeCell ref="F772:F774"/>
    <mergeCell ref="G772:G774"/>
    <mergeCell ref="C776:E776"/>
    <mergeCell ref="C777:E777"/>
    <mergeCell ref="A778:A779"/>
    <mergeCell ref="B778:B779"/>
    <mergeCell ref="C778:C779"/>
    <mergeCell ref="D778:D779"/>
    <mergeCell ref="E778:E779"/>
    <mergeCell ref="F778:G778"/>
    <mergeCell ref="E780:E782"/>
    <mergeCell ref="F780:F782"/>
    <mergeCell ref="G780:G782"/>
    <mergeCell ref="C784:E784"/>
    <mergeCell ref="C785:E785"/>
    <mergeCell ref="A786:A787"/>
    <mergeCell ref="B786:B787"/>
    <mergeCell ref="C786:C787"/>
    <mergeCell ref="D786:D787"/>
    <mergeCell ref="E786:E787"/>
    <mergeCell ref="F786:G786"/>
    <mergeCell ref="E788:E790"/>
    <mergeCell ref="F788:F790"/>
    <mergeCell ref="G788:G790"/>
    <mergeCell ref="C792:E792"/>
    <mergeCell ref="C793:E793"/>
    <mergeCell ref="A794:A795"/>
    <mergeCell ref="B794:B795"/>
    <mergeCell ref="C794:C795"/>
    <mergeCell ref="D794:D795"/>
    <mergeCell ref="E794:E795"/>
    <mergeCell ref="F794:G794"/>
    <mergeCell ref="E796:E798"/>
    <mergeCell ref="F796:F798"/>
    <mergeCell ref="G796:G798"/>
    <mergeCell ref="C800:E800"/>
    <mergeCell ref="C801:E801"/>
    <mergeCell ref="A802:A803"/>
    <mergeCell ref="B802:B803"/>
    <mergeCell ref="C802:C803"/>
    <mergeCell ref="D802:D803"/>
    <mergeCell ref="E802:E803"/>
    <mergeCell ref="F802:G802"/>
    <mergeCell ref="E804:E806"/>
    <mergeCell ref="F804:F806"/>
    <mergeCell ref="G804:G806"/>
    <mergeCell ref="C808:E808"/>
    <mergeCell ref="C809:E809"/>
    <mergeCell ref="A810:A811"/>
    <mergeCell ref="B810:B811"/>
    <mergeCell ref="C810:C811"/>
    <mergeCell ref="D810:D811"/>
    <mergeCell ref="E810:E811"/>
    <mergeCell ref="F810:G810"/>
    <mergeCell ref="E812:E814"/>
    <mergeCell ref="F812:F814"/>
    <mergeCell ref="G812:G814"/>
    <mergeCell ref="C816:E816"/>
    <mergeCell ref="C817:E817"/>
    <mergeCell ref="A818:A819"/>
    <mergeCell ref="B818:B819"/>
    <mergeCell ref="C818:C819"/>
    <mergeCell ref="D818:D819"/>
    <mergeCell ref="E818:E819"/>
    <mergeCell ref="F818:G818"/>
    <mergeCell ref="E820:E822"/>
    <mergeCell ref="F820:F822"/>
    <mergeCell ref="G820:G822"/>
    <mergeCell ref="C824:E824"/>
    <mergeCell ref="C825:E825"/>
    <mergeCell ref="A826:A827"/>
    <mergeCell ref="B826:B827"/>
    <mergeCell ref="C826:C827"/>
    <mergeCell ref="D826:D827"/>
    <mergeCell ref="E826:E827"/>
    <mergeCell ref="F826:G826"/>
    <mergeCell ref="E828:E830"/>
    <mergeCell ref="F828:F830"/>
    <mergeCell ref="G828:G830"/>
    <mergeCell ref="C832:E832"/>
    <mergeCell ref="C833:E833"/>
    <mergeCell ref="A834:A835"/>
    <mergeCell ref="B834:B835"/>
    <mergeCell ref="C834:C835"/>
    <mergeCell ref="D834:D835"/>
    <mergeCell ref="E834:E835"/>
    <mergeCell ref="F834:G834"/>
    <mergeCell ref="E836:E838"/>
    <mergeCell ref="F836:F838"/>
    <mergeCell ref="G836:G838"/>
    <mergeCell ref="C840:E840"/>
    <mergeCell ref="C841:E841"/>
    <mergeCell ref="A842:A843"/>
    <mergeCell ref="B842:B843"/>
    <mergeCell ref="C842:C843"/>
    <mergeCell ref="D842:D843"/>
    <mergeCell ref="E842:E843"/>
    <mergeCell ref="F842:G842"/>
    <mergeCell ref="E844:E846"/>
    <mergeCell ref="F844:F846"/>
    <mergeCell ref="G844:G846"/>
    <mergeCell ref="C848:E848"/>
    <mergeCell ref="C849:E849"/>
    <mergeCell ref="A850:A851"/>
    <mergeCell ref="B850:B851"/>
    <mergeCell ref="C850:C851"/>
    <mergeCell ref="D850:D851"/>
    <mergeCell ref="E850:E851"/>
    <mergeCell ref="F850:G850"/>
    <mergeCell ref="E852:E854"/>
    <mergeCell ref="F852:F854"/>
    <mergeCell ref="G852:G854"/>
    <mergeCell ref="C856:E856"/>
    <mergeCell ref="C857:E857"/>
    <mergeCell ref="A858:A859"/>
    <mergeCell ref="B858:B859"/>
    <mergeCell ref="C858:C859"/>
    <mergeCell ref="D858:D859"/>
    <mergeCell ref="E858:E859"/>
    <mergeCell ref="F858:G858"/>
    <mergeCell ref="E860:E862"/>
    <mergeCell ref="F860:F862"/>
    <mergeCell ref="G860:G862"/>
    <mergeCell ref="C864:E864"/>
    <mergeCell ref="C865:E865"/>
    <mergeCell ref="A866:A867"/>
    <mergeCell ref="B866:B867"/>
    <mergeCell ref="C866:C867"/>
    <mergeCell ref="D866:D867"/>
    <mergeCell ref="E866:E867"/>
    <mergeCell ref="F866:G866"/>
    <mergeCell ref="E868:E870"/>
    <mergeCell ref="F868:F870"/>
    <mergeCell ref="G868:G870"/>
    <mergeCell ref="C872:E872"/>
    <mergeCell ref="C873:E873"/>
    <mergeCell ref="A874:A875"/>
    <mergeCell ref="B874:B875"/>
    <mergeCell ref="C874:C875"/>
    <mergeCell ref="D874:D875"/>
    <mergeCell ref="E874:E875"/>
    <mergeCell ref="F874:G874"/>
    <mergeCell ref="E876:E878"/>
    <mergeCell ref="F876:F878"/>
    <mergeCell ref="G876:G878"/>
    <mergeCell ref="C880:E880"/>
    <mergeCell ref="C881:E881"/>
    <mergeCell ref="A882:A883"/>
    <mergeCell ref="B882:B883"/>
    <mergeCell ref="C882:C883"/>
    <mergeCell ref="D882:D883"/>
    <mergeCell ref="E882:E883"/>
    <mergeCell ref="F882:G882"/>
    <mergeCell ref="E884:E886"/>
    <mergeCell ref="F884:F886"/>
    <mergeCell ref="G884:G886"/>
    <mergeCell ref="C888:E888"/>
    <mergeCell ref="C889:E889"/>
    <mergeCell ref="A890:A891"/>
    <mergeCell ref="B890:B891"/>
    <mergeCell ref="C890:C891"/>
    <mergeCell ref="D890:D891"/>
    <mergeCell ref="E890:E891"/>
    <mergeCell ref="F890:G890"/>
    <mergeCell ref="E892:E894"/>
    <mergeCell ref="F892:F894"/>
    <mergeCell ref="G892:G894"/>
    <mergeCell ref="C896:E896"/>
    <mergeCell ref="C897:E897"/>
    <mergeCell ref="A898:A899"/>
    <mergeCell ref="B898:B899"/>
    <mergeCell ref="C898:C899"/>
    <mergeCell ref="D898:D899"/>
    <mergeCell ref="E898:E899"/>
    <mergeCell ref="F898:G898"/>
    <mergeCell ref="E900:E902"/>
    <mergeCell ref="F900:F902"/>
    <mergeCell ref="G900:G902"/>
    <mergeCell ref="C904:E904"/>
    <mergeCell ref="C905:E905"/>
    <mergeCell ref="A906:A907"/>
    <mergeCell ref="B906:B907"/>
    <mergeCell ref="C906:C907"/>
    <mergeCell ref="D906:D907"/>
    <mergeCell ref="E906:E907"/>
    <mergeCell ref="F906:G906"/>
    <mergeCell ref="E908:E910"/>
    <mergeCell ref="F908:F910"/>
    <mergeCell ref="G908:G910"/>
    <mergeCell ref="C912:E912"/>
    <mergeCell ref="C913:E913"/>
    <mergeCell ref="A914:A915"/>
    <mergeCell ref="B914:B915"/>
    <mergeCell ref="C914:C915"/>
    <mergeCell ref="D914:D915"/>
    <mergeCell ref="E914:E915"/>
    <mergeCell ref="F914:G914"/>
    <mergeCell ref="E916:E918"/>
    <mergeCell ref="F916:F918"/>
    <mergeCell ref="G916:G918"/>
    <mergeCell ref="C920:E920"/>
    <mergeCell ref="C921:E921"/>
    <mergeCell ref="A922:A923"/>
    <mergeCell ref="B922:B923"/>
    <mergeCell ref="C922:C923"/>
    <mergeCell ref="D922:D923"/>
    <mergeCell ref="E922:E923"/>
    <mergeCell ref="F922:G922"/>
    <mergeCell ref="E924:E926"/>
    <mergeCell ref="F924:F926"/>
    <mergeCell ref="G924:G926"/>
    <mergeCell ref="C928:E928"/>
    <mergeCell ref="C929:E929"/>
    <mergeCell ref="A930:A931"/>
    <mergeCell ref="B930:B931"/>
    <mergeCell ref="C930:C931"/>
    <mergeCell ref="D930:D931"/>
    <mergeCell ref="E930:E931"/>
    <mergeCell ref="F930:G930"/>
    <mergeCell ref="E932:E934"/>
    <mergeCell ref="F932:F934"/>
    <mergeCell ref="G932:G934"/>
    <mergeCell ref="C936:E936"/>
    <mergeCell ref="C937:E937"/>
    <mergeCell ref="A938:A939"/>
    <mergeCell ref="B938:B939"/>
    <mergeCell ref="C938:C939"/>
    <mergeCell ref="D938:D939"/>
    <mergeCell ref="E938:E939"/>
    <mergeCell ref="F938:G938"/>
    <mergeCell ref="E940:E942"/>
    <mergeCell ref="F940:F942"/>
    <mergeCell ref="G940:G942"/>
    <mergeCell ref="C944:E944"/>
    <mergeCell ref="C945:E945"/>
    <mergeCell ref="A946:A947"/>
    <mergeCell ref="B946:B947"/>
    <mergeCell ref="C946:C947"/>
    <mergeCell ref="D946:D947"/>
    <mergeCell ref="E946:E947"/>
    <mergeCell ref="F946:G946"/>
    <mergeCell ref="E948:E950"/>
    <mergeCell ref="F948:F950"/>
    <mergeCell ref="G948:G950"/>
    <mergeCell ref="C952:E952"/>
    <mergeCell ref="C953:E953"/>
    <mergeCell ref="A954:A955"/>
    <mergeCell ref="B954:B955"/>
    <mergeCell ref="C954:C955"/>
    <mergeCell ref="D954:D955"/>
    <mergeCell ref="E954:E955"/>
    <mergeCell ref="F954:G954"/>
    <mergeCell ref="E956:E958"/>
    <mergeCell ref="F956:F958"/>
    <mergeCell ref="G956:G958"/>
    <mergeCell ref="C960:E960"/>
    <mergeCell ref="C961:E961"/>
    <mergeCell ref="A962:A963"/>
    <mergeCell ref="B962:B963"/>
    <mergeCell ref="C962:C963"/>
    <mergeCell ref="D962:D963"/>
    <mergeCell ref="E962:E963"/>
    <mergeCell ref="F962:G962"/>
    <mergeCell ref="E964:E966"/>
    <mergeCell ref="F964:F966"/>
    <mergeCell ref="G964:G966"/>
    <mergeCell ref="C968:E968"/>
    <mergeCell ref="C969:E969"/>
    <mergeCell ref="A970:A971"/>
    <mergeCell ref="B970:B971"/>
    <mergeCell ref="C970:C971"/>
    <mergeCell ref="D970:D971"/>
    <mergeCell ref="E970:E971"/>
    <mergeCell ref="F970:G970"/>
    <mergeCell ref="E972:E974"/>
    <mergeCell ref="F972:F974"/>
    <mergeCell ref="G972:G974"/>
    <mergeCell ref="C976:E976"/>
    <mergeCell ref="C977:E977"/>
    <mergeCell ref="A978:A979"/>
    <mergeCell ref="B978:B979"/>
    <mergeCell ref="C978:C979"/>
    <mergeCell ref="D978:D979"/>
    <mergeCell ref="E978:E979"/>
    <mergeCell ref="F978:G978"/>
    <mergeCell ref="E980:E982"/>
    <mergeCell ref="F980:F982"/>
    <mergeCell ref="G980:G982"/>
    <mergeCell ref="C984:E984"/>
    <mergeCell ref="C985:E985"/>
    <mergeCell ref="A986:A987"/>
    <mergeCell ref="B986:B987"/>
    <mergeCell ref="C986:C987"/>
    <mergeCell ref="D986:D987"/>
    <mergeCell ref="E986:E987"/>
    <mergeCell ref="F986:G986"/>
    <mergeCell ref="E988:E990"/>
    <mergeCell ref="F988:F990"/>
    <mergeCell ref="G988:G990"/>
    <mergeCell ref="C992:E992"/>
    <mergeCell ref="C993:E993"/>
    <mergeCell ref="A994:A995"/>
    <mergeCell ref="B994:B995"/>
    <mergeCell ref="C994:C995"/>
    <mergeCell ref="D994:D995"/>
    <mergeCell ref="E994:E995"/>
    <mergeCell ref="F994:G994"/>
    <mergeCell ref="E996:E998"/>
    <mergeCell ref="F996:F998"/>
    <mergeCell ref="G996:G998"/>
    <mergeCell ref="C1000:E1000"/>
    <mergeCell ref="C1001:E1001"/>
    <mergeCell ref="A1002:A1003"/>
    <mergeCell ref="B1002:B1003"/>
    <mergeCell ref="C1002:C1003"/>
    <mergeCell ref="D1002:D1003"/>
    <mergeCell ref="E1002:E1003"/>
    <mergeCell ref="F1002:G1002"/>
    <mergeCell ref="E1004:E1006"/>
    <mergeCell ref="F1004:F1006"/>
    <mergeCell ref="G1004:G1006"/>
    <mergeCell ref="C1008:E1008"/>
    <mergeCell ref="C1009:E1009"/>
    <mergeCell ref="A1010:A1011"/>
    <mergeCell ref="B1010:B1011"/>
    <mergeCell ref="C1010:C1011"/>
    <mergeCell ref="D1010:D1011"/>
    <mergeCell ref="E1010:E1011"/>
    <mergeCell ref="F1010:G1010"/>
    <mergeCell ref="E1012:E1014"/>
    <mergeCell ref="F1012:F1014"/>
    <mergeCell ref="G1012:G1014"/>
  </mergeCells>
  <hyperlinks>
    <hyperlink ref="C20" r:id="rId1" display="cotacao@totaldados.com"/>
    <hyperlink ref="C116" r:id="rId2" display="Arandela teto Alto-falante JBL 6CO2R branco"/>
    <hyperlink ref="C117" r:id="rId3" display="Arandela 6&quot; Coaxial, Jbl, 6CO2R : Amazon.com.br: Casa"/>
    <hyperlink ref="C118" r:id="rId4" display="Arandela para som ambiente JBL 6CO2R - Luminária de Parede / Arandela - Magazine Luiza"/>
    <hyperlink ref="B132" r:id="rId5" display="(11) 97355-0409"/>
    <hyperlink ref="B133" r:id="rId6" display="(43) 3024-5144"/>
    <hyperlink ref="B134" r:id="rId7" display="(11) 3225-9933"/>
    <hyperlink ref="C149" r:id="rId8" display="madeiramadeira@vcrpbrasil.com"/>
    <hyperlink ref="B156" r:id="rId9" display="(11) 2039-5990"/>
    <hyperlink ref="B180" r:id="rId10" display="(43) 3024-5144"/>
    <hyperlink ref="C188" r:id="rId11" display="BOMBA DE INCÊNDIO MONOESTÁGIO THEBE THSI-18(R) 7,5 CV 163MM TRIFÁSICA 220V/380V/440V"/>
    <hyperlink ref="C189" r:id="rId12" display="Bomba de Incêndio Thebe Thsi-18(r) 7,5 Cv Trifásica 220v/380v/440v 168mm – Ce Distribuidora de Bombas"/>
    <hyperlink ref="C190" r:id="rId13" display="Bomba de Incêndio Thebe Thsi-18(r) 7,5 Cv 163mm Trifásica  220v/380v/440v"/>
    <hyperlink ref="C204" r:id="rId14" display="Cabo de microfone Santo Angelo X30 - 100 metros - RCK Audio"/>
    <hyperlink ref="C205" r:id="rId15" display="Promoçao 100 Metros Cabo Microfone/dmx 2x0,30mm Balanceado"/>
    <hyperlink ref="C206" r:id="rId16" display="Rolo De Cabo Para Microfone Santo Angelo X30 100m"/>
    <hyperlink ref="B246" r:id="rId17" display="(43) 3024-5144"/>
    <hyperlink ref="B340" r:id="rId18" display="(43) 3024-5144"/>
    <hyperlink ref="B349" r:id="rId19" display="(43) 3024-5144"/>
    <hyperlink ref="C404" r:id="rId20" display="Elemento Tátil Alerta Inox Adesivado | MadeiraMadeira"/>
    <hyperlink ref="C405" r:id="rId21" display="Elemento Tátil Alerta Inox Adesivado | Leroy Merlin"/>
    <hyperlink ref="C406" r:id="rId22" display="Elemento tátil alerta inox adesivado - LAGGE ACESSIBILIDADE - Acessórios e Conservação de Sapatos - Magazine Luiza"/>
    <hyperlink ref="C412" r:id="rId23" display="Elemento Tátil Direcional Inox Adesivado | MadeiraMadeira"/>
    <hyperlink ref="C413" r:id="rId24" display="Elemento Tátil Direcional Inox Adesivado | Leroy Merlin"/>
    <hyperlink ref="C414" r:id="rId25" display="Elemento tátil alerta e direcional inox adesivado - LAGGE ACESSIBILIDADE - Acessórios e Conservação de Sapatos - Magazine Luiza"/>
    <hyperlink ref="C444" r:id="rId26" display="Tubo De Drenagem Bravo Corrugado Preto 2.1/2'' X 50M - RCD - Tubos e Conexões Hidráulica - Magazine Luiza"/>
    <hyperlink ref="C445" r:id="rId27" display="Tubo Pead Corrugado 21/2&quot;X50M Kanadren Preto Drenagem Kanaflex | Teky"/>
    <hyperlink ref="C446" r:id="rId28" display="Conduite Flexível 2.1/2&quot; 25m Preto Ibirá em oferta! - Super Pro Atacado"/>
    <hyperlink ref="B477" r:id="rId29" display="(43) 3024-5144"/>
    <hyperlink ref="C556" r:id="rId30" display="Gerador à Diesel 7,5 KVA Silencioso Trifásico Partida Elétrica TDG8500SLE3XP 251-075 TOYAMA"/>
    <hyperlink ref="C557" r:id="rId31" display="Gerador Diesel Toyama 7,5 KVA TDG8500SLE3XP | Lova Máquinas | Lova Comércio De Máquinas E Equipamentos"/>
    <hyperlink ref="C558" r:id="rId32" display="Gerador de Energia Cabinado a 380V (Trifásico) - TOYAMA-251-075"/>
    <hyperlink ref="C604" r:id="rId33" display="Lâmpada LED Bulbo E27 6500K 15W Bivolt - Germany Blumenau Iluminação 3157016 | Inspire Home"/>
    <hyperlink ref="C605" r:id="rId34" display="Lâmpada LED A70 E27 6500K Luz Branca Fria Bivolt 15W 20390 Ourolux - Dimensional"/>
    <hyperlink ref="C606" r:id="rId35" display="Lâmpada Led Bulbo E27 Ledvance 6500K | LF Máquinas e Ferramentas - LF Máquinas e Ferramentas"/>
    <hyperlink ref="C644" r:id="rId36" display="Mesa de Som 12 Canais Xenyx X1222USB BEHRINGER - Mundomax"/>
    <hyperlink ref="C645" r:id="rId37" display="Mesa de áudio Behringer XENYX X1222 com USB 12 canais Analógica - serenata"/>
    <hyperlink ref="C646" r:id="rId38" display="Mixer Mesa de Som Xenyx X1222USB - Behringer - AudioDriver Instrumentos Musicais e Acessórios"/>
    <hyperlink ref="C708" r:id="rId39" display="contato@energiaextra.com.br"/>
    <hyperlink ref="C709" r:id="rId40" display="contato@ifontech.com.br"/>
    <hyperlink ref="C710" r:id="rId41" display="sac@processtec.com.br"/>
    <hyperlink ref="C748" r:id="rId42" display="madeiramadeira@vcrpbrasil.com"/>
    <hyperlink ref="C765" r:id="rId43" display="madeiramadeira@vcrpbrasil.com"/>
    <hyperlink ref="C772" r:id="rId44" display="Plug Xlr Canon Par Macho E Fêmea Berto Corpo Metálico - Bertô - Plugs e Adaptadores - Magazine Luiza"/>
    <hyperlink ref="C773" r:id="rId45" display="Plug conector xlr canon de linha par, macho + femea em Promoção na Americanas"/>
    <hyperlink ref="C774" r:id="rId46" display="10 Plug Conector Linha Xlr Macho Fêmea Santo Angelo P/ Cabo"/>
    <hyperlink ref="C780" r:id="rId47" display="https://www.mundomax.com.br/plug-3-pinos-90o-10a-pld10-3-preto-margirius?gad_source=4&amp;gclid=EAIaIQobChMI3eeF--SxigMVg1dIAB2k1hTpEAQYByABEgK64_D_BwE"/>
    <hyperlink ref="C844" r:id="rId48" display="Quadro De Distribuição 70 Disjuntores Emb Kit Trifásico 250a | Frete grátis"/>
    <hyperlink ref="C845" r:id="rId49" display="QUADRO DE DISTRIBUIÇÃO DE EMBUTIR - TRIFÁSICO 250A / 72 POLOS - BSE Painéis - Loja Online"/>
    <hyperlink ref="C846" r:id="rId50" display="https://www.marmota.com.br/"/>
    <hyperlink ref="C861" r:id="rId51" display="madeiramadeira@vcrpbrasil.com"/>
    <hyperlink ref="B868" r:id="rId52" display="(43) 3024-5144"/>
    <hyperlink ref="C908" r:id="rId53" display="Tampa de Encaixe para Eletrocalha 100mm 3 metros em chapa de aço galvanizado na Eletro FM"/>
    <hyperlink ref="C909" r:id="rId54" display="Tampa Eletrocalha 100x3000 INBRAELL - Eletrocalha - Magazine Luiza"/>
    <hyperlink ref="C910" r:id="rId55" display="Tampa para Eletrocalha 100mm - 3 Metros"/>
    <hyperlink ref="C916" r:id="rId56" display="Tampa para Eletrocalha 150mm Zincada Chapa26 3 metros - JEA"/>
    <hyperlink ref="C917" r:id="rId57" display="Tampa Encaixe Para Eletrocalha Galvanizada Eletrolítica 150X3000MM Jea | Plenobras"/>
    <hyperlink ref="C918" r:id="rId58" display="Tampa Para Eletrocalha 150x3000 - Perfil Lider - Referência: 140150103000HPZ - Loja Agrometal"/>
    <hyperlink ref="C924" r:id="rId59" display="Tampa de Encaixe para Eletrocalha 50mm 3 metros em chapa de aço galvanizado na Eletro FM"/>
    <hyperlink ref="C925" r:id="rId60" display="Tampa De Encaixe Para Eletrocalha 50MM CH. 26 PZ REF. 10101686 - Eletropoll - Eletronor"/>
    <hyperlink ref="C926" r:id="rId61" display="Tampa De Encaixe Para Eletrocalha 5X300Cm #26 Pré Zincado CKE509 Kennedy | ANDRA"/>
    <hyperlink ref="C964" r:id="rId62" display="TEXTURA LEINERTEX ACRILICA LONDRES 23KG"/>
    <hyperlink ref="C965" r:id="rId63" display="Textura londres 23kg leinertex 8823401 - Textura para Parede / Madeira / Aço - Magazine Luiza"/>
    <hyperlink ref="C966" r:id="rId64" display="Textura Londres 23kg - Leinertex"/>
    <hyperlink ref="C972" r:id="rId65" display="Tinta Acrílica Acetinada Decora Seda Coral Branco Gelo - LF Máquinas e Ferramentas"/>
    <hyperlink ref="C973" r:id="rId66" display="Tinta Acrílica Decora Seda Acetinado Branco 18L Coral | Big Cores Tintas"/>
    <hyperlink ref="C974" r:id="rId67" display="Tinta Acrílica Acetinada Decora Seda Coral Branco Gelo | G-Haus - G-Haus"/>
    <hyperlink ref="C980" r:id="rId68" display="Na Unicaserv tem Módulo Tomada de Rede RJ45 Cat6 8 fios Linha Slim Ilumi Branco (Ref.: 81641) Ilumi ! E ainda com melhor preço do mercado. Pague no Pix e garanta desconto adicional de +5%. Aqui você encontra esse e muito mais Produtos e Materiais para você Profissional ou Empresa. Acesse e Compre na Unicaserv, a Distribuidora completa."/>
    <hyperlink ref="C981" r:id="rId69" location="derivacao=8" display="Tomada RJ45 CAT6 de 1 módulo branco Simon 20"/>
    <hyperlink ref="C982" r:id="rId70" display="Módulo Tomada RJ45 Cat6 Soprano Iris Branco - Balaroti"/>
  </hyperlinks>
  <printOptions headings="false" gridLines="false" gridLinesSet="true" horizontalCentered="false" verticalCentered="false"/>
  <pageMargins left="0.39375" right="0.39375" top="0.315277777777778" bottom="0.39375"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71"/>
</worksheet>
</file>

<file path=xl/worksheets/sheet6.xml><?xml version="1.0" encoding="utf-8"?>
<worksheet xmlns="http://schemas.openxmlformats.org/spreadsheetml/2006/main" xmlns:r="http://schemas.openxmlformats.org/officeDocument/2006/relationships">
  <sheetPr filterMode="false">
    <tabColor rgb="FF558ED5"/>
    <pageSetUpPr fitToPage="true"/>
  </sheetPr>
  <dimension ref="B1:N44"/>
  <sheetViews>
    <sheetView showFormulas="false" showGridLines="true" showRowColHeaders="true" showZeros="true" rightToLeft="false" tabSelected="false" showOutlineSymbols="true" defaultGridColor="true" view="pageBreakPreview" topLeftCell="A8" colorId="64" zoomScale="100" zoomScaleNormal="90" zoomScalePageLayoutView="100" workbookViewId="0">
      <selection pane="topLeft" activeCell="E17" activeCellId="0" sqref="E17"/>
    </sheetView>
  </sheetViews>
  <sheetFormatPr defaultRowHeight="15" zeroHeight="false" outlineLevelRow="0" outlineLevelCol="0"/>
  <cols>
    <col collapsed="false" customWidth="true" hidden="false" outlineLevel="0" max="1" min="1" style="90" width="3.57"/>
    <col collapsed="false" customWidth="true" hidden="false" outlineLevel="0" max="2" min="2" style="90" width="52.58"/>
    <col collapsed="false" customWidth="true" hidden="false" outlineLevel="0" max="4" min="3" style="90" width="28.57"/>
    <col collapsed="false" customWidth="true" hidden="false" outlineLevel="0" max="5" min="5" style="90" width="24"/>
    <col collapsed="false" customWidth="true" hidden="false" outlineLevel="0" max="6" min="6" style="90" width="3.57"/>
    <col collapsed="false" customWidth="true" hidden="false" outlineLevel="0" max="7" min="7" style="214" width="12.29"/>
    <col collapsed="false" customWidth="true" hidden="false" outlineLevel="0" max="11" min="8" style="90" width="12.57"/>
    <col collapsed="false" customWidth="true" hidden="false" outlineLevel="0" max="1025" min="12" style="90" width="9.14"/>
  </cols>
  <sheetData>
    <row r="1" customFormat="false" ht="18" hidden="false" customHeight="false" outlineLevel="0" collapsed="false">
      <c r="B1" s="215" t="s">
        <v>3607</v>
      </c>
      <c r="C1" s="215"/>
      <c r="D1" s="215"/>
      <c r="E1" s="215"/>
    </row>
    <row r="2" customFormat="false" ht="18" hidden="false" customHeight="false" outlineLevel="0" collapsed="false">
      <c r="B2" s="215" t="s">
        <v>0</v>
      </c>
      <c r="C2" s="215"/>
      <c r="D2" s="215"/>
      <c r="E2" s="215"/>
    </row>
    <row r="3" customFormat="false" ht="18" hidden="false" customHeight="false" outlineLevel="0" collapsed="false">
      <c r="B3" s="215" t="s">
        <v>1</v>
      </c>
      <c r="C3" s="215"/>
      <c r="D3" s="215"/>
      <c r="E3" s="215"/>
    </row>
    <row r="4" customFormat="false" ht="18" hidden="false" customHeight="false" outlineLevel="0" collapsed="false">
      <c r="B4" s="215" t="s">
        <v>2</v>
      </c>
      <c r="C4" s="215"/>
      <c r="D4" s="215"/>
      <c r="E4" s="215"/>
    </row>
    <row r="5" customFormat="false" ht="18" hidden="false" customHeight="false" outlineLevel="0" collapsed="false">
      <c r="B5" s="215"/>
      <c r="C5" s="215"/>
      <c r="D5" s="215"/>
      <c r="E5" s="215"/>
    </row>
    <row r="6" customFormat="false" ht="18" hidden="false" customHeight="false" outlineLevel="0" collapsed="false">
      <c r="B6" s="215"/>
      <c r="C6" s="215" t="s">
        <v>3608</v>
      </c>
      <c r="D6" s="215"/>
      <c r="E6" s="215"/>
    </row>
    <row r="7" customFormat="false" ht="18" hidden="false" customHeight="false" outlineLevel="0" collapsed="false">
      <c r="B7" s="215"/>
      <c r="C7" s="215"/>
      <c r="D7" s="215"/>
      <c r="E7" s="215"/>
    </row>
    <row r="8" customFormat="false" ht="34.5" hidden="false" customHeight="true" outlineLevel="0" collapsed="false">
      <c r="B8" s="216" t="s">
        <v>3609</v>
      </c>
      <c r="C8" s="216"/>
      <c r="D8" s="216"/>
      <c r="E8" s="216"/>
    </row>
    <row r="9" customFormat="false" ht="15" hidden="false" customHeight="false" outlineLevel="0" collapsed="false">
      <c r="B9" s="100"/>
      <c r="H9" s="217"/>
      <c r="I9" s="217"/>
      <c r="J9" s="218"/>
      <c r="K9" s="218"/>
    </row>
    <row r="10" customFormat="false" ht="15" hidden="false" customHeight="false" outlineLevel="0" collapsed="false">
      <c r="B10" s="219" t="n">
        <v>0.05</v>
      </c>
      <c r="C10" s="125" t="s">
        <v>3610</v>
      </c>
      <c r="E10" s="100"/>
      <c r="H10" s="217"/>
      <c r="I10" s="217" t="s">
        <v>3611</v>
      </c>
      <c r="J10" s="217"/>
      <c r="K10" s="217"/>
    </row>
    <row r="11" customFormat="false" ht="15" hidden="false" customHeight="false" outlineLevel="0" collapsed="false">
      <c r="B11" s="100"/>
      <c r="H11" s="217"/>
      <c r="I11" s="217"/>
      <c r="J11" s="218"/>
      <c r="K11" s="218"/>
    </row>
    <row r="12" customFormat="false" ht="60" hidden="false" customHeight="false" outlineLevel="0" collapsed="false">
      <c r="B12" s="220" t="s">
        <v>29</v>
      </c>
      <c r="C12" s="221" t="s">
        <v>3612</v>
      </c>
      <c r="D12" s="221" t="s">
        <v>1375</v>
      </c>
      <c r="E12" s="221" t="s">
        <v>3613</v>
      </c>
      <c r="H12" s="217"/>
      <c r="I12" s="217" t="s">
        <v>3614</v>
      </c>
      <c r="J12" s="217" t="s">
        <v>3615</v>
      </c>
      <c r="K12" s="217" t="s">
        <v>3616</v>
      </c>
      <c r="L12" s="100"/>
    </row>
    <row r="13" customFormat="false" ht="15" hidden="false" customHeight="false" outlineLevel="0" collapsed="false">
      <c r="B13" s="222" t="s">
        <v>3617</v>
      </c>
      <c r="C13" s="223" t="n">
        <v>0.03</v>
      </c>
      <c r="D13" s="223" t="n">
        <f aca="false">C13</f>
        <v>0.03</v>
      </c>
      <c r="E13" s="223" t="n">
        <v>0.015</v>
      </c>
      <c r="H13" s="217" t="s">
        <v>3618</v>
      </c>
      <c r="I13" s="223" t="n">
        <v>0.03</v>
      </c>
      <c r="J13" s="223" t="n">
        <v>0.04</v>
      </c>
      <c r="K13" s="223" t="n">
        <v>0.055</v>
      </c>
      <c r="M13" s="90" t="s">
        <v>3619</v>
      </c>
      <c r="N13" s="224" t="n">
        <f aca="false">0.97/100</f>
        <v>0.0097</v>
      </c>
    </row>
    <row r="14" customFormat="false" ht="15" hidden="false" customHeight="false" outlineLevel="0" collapsed="false">
      <c r="B14" s="222" t="s">
        <v>3620</v>
      </c>
      <c r="C14" s="223" t="n">
        <v>0.004</v>
      </c>
      <c r="D14" s="223" t="n">
        <f aca="false">C14</f>
        <v>0.004</v>
      </c>
      <c r="E14" s="223" t="n">
        <v>0.0015</v>
      </c>
      <c r="H14" s="217"/>
      <c r="I14" s="223"/>
      <c r="J14" s="223"/>
      <c r="K14" s="223"/>
    </row>
    <row r="15" customFormat="false" ht="15" hidden="false" customHeight="false" outlineLevel="0" collapsed="false">
      <c r="B15" s="222" t="s">
        <v>3621</v>
      </c>
      <c r="C15" s="223" t="n">
        <v>0.004</v>
      </c>
      <c r="D15" s="223" t="n">
        <f aca="false">C15</f>
        <v>0.004</v>
      </c>
      <c r="E15" s="223" t="n">
        <v>0.0015</v>
      </c>
      <c r="H15" s="217" t="s">
        <v>3622</v>
      </c>
      <c r="I15" s="223" t="n">
        <v>0.008</v>
      </c>
      <c r="J15" s="223" t="n">
        <v>0.008</v>
      </c>
      <c r="K15" s="223" t="n">
        <v>0.01</v>
      </c>
    </row>
    <row r="16" customFormat="false" ht="15" hidden="false" customHeight="false" outlineLevel="0" collapsed="false">
      <c r="B16" s="222" t="s">
        <v>3623</v>
      </c>
      <c r="C16" s="223" t="n">
        <v>0.0097</v>
      </c>
      <c r="D16" s="223" t="n">
        <f aca="false">C16</f>
        <v>0.0097</v>
      </c>
      <c r="E16" s="223" t="n">
        <v>0.0056</v>
      </c>
      <c r="H16" s="217" t="s">
        <v>3624</v>
      </c>
      <c r="I16" s="223" t="n">
        <v>0.0097</v>
      </c>
      <c r="J16" s="223" t="n">
        <v>0.0127</v>
      </c>
      <c r="K16" s="223" t="n">
        <v>0.0127</v>
      </c>
    </row>
    <row r="17" customFormat="false" ht="15" hidden="false" customHeight="false" outlineLevel="0" collapsed="false">
      <c r="B17" s="225" t="s">
        <v>3625</v>
      </c>
      <c r="C17" s="226" t="n">
        <f aca="false">SUM(C13:C16)</f>
        <v>0.0477</v>
      </c>
      <c r="D17" s="226" t="n">
        <f aca="false">SUM(D13:D16)</f>
        <v>0.0477</v>
      </c>
      <c r="E17" s="226" t="n">
        <f aca="false">SUM(E13:E16)</f>
        <v>0.0236</v>
      </c>
      <c r="H17" s="217"/>
      <c r="I17" s="223"/>
      <c r="J17" s="223"/>
      <c r="K17" s="223"/>
    </row>
    <row r="18" customFormat="false" ht="15" hidden="false" customHeight="false" outlineLevel="0" collapsed="false">
      <c r="B18" s="222" t="s">
        <v>3626</v>
      </c>
      <c r="C18" s="223" t="n">
        <v>0.0059</v>
      </c>
      <c r="D18" s="223" t="n">
        <f aca="false">C18</f>
        <v>0.0059</v>
      </c>
      <c r="E18" s="223" t="n">
        <v>0.0085</v>
      </c>
      <c r="H18" s="217"/>
      <c r="I18" s="223"/>
      <c r="J18" s="223"/>
      <c r="K18" s="223"/>
    </row>
    <row r="19" customFormat="false" ht="15" hidden="false" customHeight="false" outlineLevel="0" collapsed="false">
      <c r="B19" s="225" t="s">
        <v>3627</v>
      </c>
      <c r="C19" s="227" t="n">
        <f aca="false">C18</f>
        <v>0.0059</v>
      </c>
      <c r="D19" s="227" t="n">
        <f aca="false">D18</f>
        <v>0.0059</v>
      </c>
      <c r="E19" s="227" t="n">
        <f aca="false">E18</f>
        <v>0.0085</v>
      </c>
      <c r="H19" s="217" t="s">
        <v>3628</v>
      </c>
      <c r="I19" s="223" t="n">
        <v>0.0059</v>
      </c>
      <c r="J19" s="223" t="n">
        <v>0.0123</v>
      </c>
      <c r="K19" s="223" t="n">
        <v>0.0139</v>
      </c>
    </row>
    <row r="20" customFormat="false" ht="15" hidden="false" customHeight="false" outlineLevel="0" collapsed="false">
      <c r="B20" s="222" t="s">
        <v>3629</v>
      </c>
      <c r="C20" s="223" t="n">
        <v>0.0616</v>
      </c>
      <c r="D20" s="223" t="n">
        <v>0.0616</v>
      </c>
      <c r="E20" s="223" t="n">
        <v>0.035</v>
      </c>
      <c r="H20" s="217"/>
      <c r="I20" s="223"/>
      <c r="J20" s="223"/>
      <c r="K20" s="223"/>
    </row>
    <row r="21" customFormat="false" ht="15" hidden="false" customHeight="false" outlineLevel="0" collapsed="false">
      <c r="B21" s="225" t="s">
        <v>3630</v>
      </c>
      <c r="C21" s="228" t="n">
        <f aca="false">C20</f>
        <v>0.0616</v>
      </c>
      <c r="D21" s="228" t="n">
        <f aca="false">D20</f>
        <v>0.0616</v>
      </c>
      <c r="E21" s="228" t="n">
        <f aca="false">E20</f>
        <v>0.035</v>
      </c>
      <c r="H21" s="217" t="s">
        <v>1452</v>
      </c>
      <c r="I21" s="223" t="n">
        <v>0.0616</v>
      </c>
      <c r="J21" s="223" t="n">
        <v>0.074</v>
      </c>
      <c r="K21" s="223" t="n">
        <v>0.0896</v>
      </c>
      <c r="L21" s="229"/>
    </row>
    <row r="22" customFormat="false" ht="15" hidden="false" customHeight="false" outlineLevel="0" collapsed="false">
      <c r="B22" s="230" t="s">
        <v>3631</v>
      </c>
      <c r="C22" s="231" t="n">
        <f aca="false">(1+C17)*(1+C19)*(1+C21)</f>
        <v>1.118800526088</v>
      </c>
      <c r="D22" s="231" t="n">
        <f aca="false">(1+D17)*(1+D19)*(1+D21)</f>
        <v>1.118800526088</v>
      </c>
      <c r="E22" s="231" t="n">
        <f aca="false">(1+E17)*(1+E19)*(1+E21)</f>
        <v>1.068431121</v>
      </c>
      <c r="H22" s="217"/>
      <c r="I22" s="223"/>
      <c r="J22" s="223"/>
      <c r="K22" s="223"/>
    </row>
    <row r="23" customFormat="false" ht="15" hidden="false" customHeight="false" outlineLevel="0" collapsed="false">
      <c r="B23" s="222" t="s">
        <v>3632</v>
      </c>
      <c r="C23" s="223" t="n">
        <v>0.0065</v>
      </c>
      <c r="D23" s="223" t="n">
        <f aca="false">C23</f>
        <v>0.0065</v>
      </c>
      <c r="E23" s="223" t="n">
        <f aca="false">D23</f>
        <v>0.0065</v>
      </c>
      <c r="H23" s="217"/>
      <c r="I23" s="223"/>
      <c r="J23" s="223"/>
      <c r="K23" s="223"/>
    </row>
    <row r="24" customFormat="false" ht="15" hidden="false" customHeight="false" outlineLevel="0" collapsed="false">
      <c r="B24" s="222" t="s">
        <v>3633</v>
      </c>
      <c r="C24" s="223" t="n">
        <v>0.03</v>
      </c>
      <c r="D24" s="223" t="n">
        <f aca="false">C24</f>
        <v>0.03</v>
      </c>
      <c r="E24" s="223" t="n">
        <f aca="false">D24</f>
        <v>0.03</v>
      </c>
      <c r="H24" s="217"/>
      <c r="I24" s="223"/>
      <c r="J24" s="223"/>
      <c r="K24" s="223"/>
    </row>
    <row r="25" customFormat="false" ht="15" hidden="false" customHeight="false" outlineLevel="0" collapsed="false">
      <c r="B25" s="222" t="s">
        <v>3634</v>
      </c>
      <c r="C25" s="223" t="n">
        <v>0</v>
      </c>
      <c r="D25" s="223" t="n">
        <v>0.05</v>
      </c>
      <c r="E25" s="223" t="n">
        <v>0</v>
      </c>
      <c r="H25" s="217"/>
      <c r="I25" s="223" t="n">
        <v>0.02</v>
      </c>
      <c r="J25" s="223"/>
      <c r="K25" s="223" t="n">
        <v>0.05</v>
      </c>
      <c r="L25" s="90" t="s">
        <v>3635</v>
      </c>
    </row>
    <row r="26" customFormat="false" ht="15" hidden="false" customHeight="false" outlineLevel="0" collapsed="false">
      <c r="B26" s="222" t="s">
        <v>3636</v>
      </c>
      <c r="C26" s="223" t="n">
        <v>0.036</v>
      </c>
      <c r="D26" s="223" t="n">
        <v>0.036</v>
      </c>
      <c r="E26" s="223" t="n">
        <v>0.036</v>
      </c>
      <c r="H26" s="217"/>
      <c r="I26" s="223"/>
      <c r="J26" s="223"/>
      <c r="K26" s="223"/>
    </row>
    <row r="27" customFormat="false" ht="15" hidden="false" customHeight="false" outlineLevel="0" collapsed="false">
      <c r="B27" s="230" t="s">
        <v>3637</v>
      </c>
      <c r="C27" s="232" t="n">
        <f aca="false">1-SUM(C23:C26)</f>
        <v>0.9275</v>
      </c>
      <c r="D27" s="232" t="n">
        <f aca="false">1-SUM(D23:D26)</f>
        <v>0.8775</v>
      </c>
      <c r="E27" s="232" t="n">
        <f aca="false">1-SUM(E23:E26)</f>
        <v>0.9275</v>
      </c>
      <c r="H27" s="217"/>
      <c r="I27" s="223"/>
      <c r="J27" s="223"/>
      <c r="K27" s="223"/>
    </row>
    <row r="28" customFormat="false" ht="18" hidden="false" customHeight="false" outlineLevel="0" collapsed="false">
      <c r="C28" s="233" t="n">
        <f aca="false">TRUNC(C22/C27-1,4)</f>
        <v>0.2062</v>
      </c>
      <c r="D28" s="233" t="n">
        <f aca="false">TRUNC(D22/D27-1,4)</f>
        <v>0.2749</v>
      </c>
      <c r="E28" s="233" t="n">
        <f aca="false">E22/E27-1</f>
        <v>0.151947300269542</v>
      </c>
      <c r="H28" s="217" t="s">
        <v>1377</v>
      </c>
      <c r="I28" s="234" t="n">
        <v>0.2034</v>
      </c>
      <c r="J28" s="234" t="n">
        <v>0.2212</v>
      </c>
      <c r="K28" s="234" t="n">
        <v>0.25</v>
      </c>
    </row>
    <row r="29" customFormat="false" ht="18" hidden="false" customHeight="false" outlineLevel="0" collapsed="false">
      <c r="C29" s="233"/>
      <c r="D29" s="233"/>
      <c r="E29" s="233"/>
      <c r="H29" s="100"/>
      <c r="I29" s="229"/>
      <c r="J29" s="229"/>
      <c r="K29" s="229"/>
    </row>
    <row r="30" customFormat="false" ht="15" hidden="false" customHeight="false" outlineLevel="0" collapsed="false">
      <c r="B30" s="90" t="s">
        <v>3638</v>
      </c>
      <c r="I30" s="229" t="s">
        <v>3639</v>
      </c>
      <c r="J30" s="229"/>
      <c r="K30" s="229"/>
    </row>
    <row r="31" customFormat="false" ht="15" hidden="false" customHeight="false" outlineLevel="0" collapsed="false">
      <c r="I31" s="229"/>
      <c r="J31" s="229"/>
      <c r="K31" s="229"/>
    </row>
    <row r="44" customFormat="false" ht="41.25" hidden="false" customHeight="true" outlineLevel="0" collapsed="false">
      <c r="B44" s="235" t="s">
        <v>3640</v>
      </c>
      <c r="C44" s="235"/>
      <c r="D44" s="235"/>
      <c r="E44" s="235"/>
    </row>
  </sheetData>
  <mergeCells count="7">
    <mergeCell ref="B1:E1"/>
    <mergeCell ref="B2:E2"/>
    <mergeCell ref="B3:E3"/>
    <mergeCell ref="B4:E4"/>
    <mergeCell ref="B8:E8"/>
    <mergeCell ref="I10:K10"/>
    <mergeCell ref="B44:E44"/>
  </mergeCells>
  <printOptions headings="false" gridLines="false" gridLinesSet="true" horizontalCentered="true" verticalCentered="false"/>
  <pageMargins left="0.984027777777778" right="0.7875" top="0.984027777777778"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558ED5"/>
    <pageSetUpPr fitToPage="true"/>
  </sheetPr>
  <dimension ref="A1:G60"/>
  <sheetViews>
    <sheetView showFormulas="false" showGridLines="true" showRowColHeaders="true" showZeros="true" rightToLeft="false" tabSelected="false" showOutlineSymbols="true" defaultGridColor="true" view="pageBreakPreview" topLeftCell="A10" colorId="64" zoomScale="80" zoomScaleNormal="85" zoomScalePageLayoutView="80" workbookViewId="0">
      <selection pane="topLeft" activeCell="E17" activeCellId="0" sqref="E17"/>
    </sheetView>
  </sheetViews>
  <sheetFormatPr defaultRowHeight="15" zeroHeight="false" outlineLevelRow="0" outlineLevelCol="0"/>
  <cols>
    <col collapsed="false" customWidth="true" hidden="false" outlineLevel="0" max="3" min="1" style="0" width="18.14"/>
    <col collapsed="false" customWidth="true" hidden="false" outlineLevel="0" max="6" min="4" style="0" width="14.86"/>
    <col collapsed="false" customWidth="true" hidden="false" outlineLevel="0" max="7" min="7" style="0" width="24.15"/>
    <col collapsed="false" customWidth="true" hidden="false" outlineLevel="0" max="1025" min="8" style="0" width="8.71"/>
  </cols>
  <sheetData>
    <row r="1" customFormat="false" ht="15" hidden="false" customHeight="true" outlineLevel="0" collapsed="false">
      <c r="A1" s="236" t="s">
        <v>1379</v>
      </c>
      <c r="B1" s="236"/>
      <c r="C1" s="236"/>
      <c r="D1" s="236" t="s">
        <v>21</v>
      </c>
      <c r="E1" s="236"/>
      <c r="F1" s="236"/>
      <c r="G1" s="236"/>
    </row>
    <row r="2" customFormat="false" ht="15" hidden="false" customHeight="false" outlineLevel="0" collapsed="false">
      <c r="A2" s="236"/>
      <c r="B2" s="236"/>
      <c r="C2" s="236"/>
      <c r="D2" s="237" t="str">
        <f aca="false">01_SINTETICO!D2</f>
        <v>OBRA: FORUM TRABALHISTA DA 18 REGIAO</v>
      </c>
      <c r="E2" s="237"/>
      <c r="F2" s="237"/>
      <c r="G2" s="238" t="n">
        <f aca="false">01_SINTETICO!J2</f>
        <v>45750</v>
      </c>
    </row>
    <row r="3" customFormat="false" ht="15" hidden="false" customHeight="false" outlineLevel="0" collapsed="false">
      <c r="A3" s="236"/>
      <c r="B3" s="236"/>
      <c r="C3" s="236"/>
      <c r="D3" s="237"/>
      <c r="E3" s="237"/>
      <c r="F3" s="237"/>
      <c r="G3" s="239" t="str">
        <f aca="false">'CAPA-DADOS'!E16</f>
        <v>SINAPI-FEV/2025</v>
      </c>
    </row>
    <row r="4" customFormat="false" ht="15" hidden="false" customHeight="false" outlineLevel="0" collapsed="false">
      <c r="A4" s="240"/>
      <c r="B4" s="241"/>
      <c r="C4" s="241"/>
      <c r="D4" s="241"/>
      <c r="E4" s="241"/>
      <c r="F4" s="241"/>
      <c r="G4" s="242"/>
    </row>
    <row r="47" customFormat="false" ht="15" hidden="false" customHeight="false" outlineLevel="0" collapsed="false">
      <c r="A47" s="243"/>
    </row>
    <row r="54" customFormat="false" ht="15" hidden="false" customHeight="false" outlineLevel="0" collapsed="false">
      <c r="A54" s="243"/>
      <c r="G54" s="244"/>
    </row>
    <row r="55" customFormat="false" ht="15" hidden="false" customHeight="false" outlineLevel="0" collapsed="false">
      <c r="A55" s="243"/>
      <c r="G55" s="244"/>
    </row>
    <row r="56" customFormat="false" ht="15" hidden="false" customHeight="false" outlineLevel="0" collapsed="false">
      <c r="A56" s="243"/>
      <c r="G56" s="244"/>
    </row>
    <row r="57" customFormat="false" ht="15" hidden="false" customHeight="false" outlineLevel="0" collapsed="false">
      <c r="A57" s="243"/>
      <c r="G57" s="244"/>
    </row>
    <row r="58" customFormat="false" ht="15" hidden="false" customHeight="false" outlineLevel="0" collapsed="false">
      <c r="A58" s="243"/>
      <c r="G58" s="244"/>
    </row>
    <row r="59" customFormat="false" ht="15" hidden="false" customHeight="false" outlineLevel="0" collapsed="false">
      <c r="A59" s="243" t="s">
        <v>3641</v>
      </c>
      <c r="G59" s="244"/>
    </row>
    <row r="60" customFormat="false" ht="15" hidden="false" customHeight="false" outlineLevel="0" collapsed="false">
      <c r="A60" s="245"/>
      <c r="B60" s="246"/>
      <c r="C60" s="246"/>
      <c r="D60" s="246"/>
      <c r="E60" s="246"/>
      <c r="F60" s="246"/>
      <c r="G60" s="247"/>
    </row>
  </sheetData>
  <mergeCells count="3">
    <mergeCell ref="A1:C3"/>
    <mergeCell ref="D1:G1"/>
    <mergeCell ref="D2:F3"/>
  </mergeCells>
  <printOptions headings="false" gridLines="false" gridLinesSet="true" horizontalCentered="false" verticalCentered="false"/>
  <pageMargins left="0.25" right="0.25" top="0.75" bottom="0.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558ED5"/>
    <pageSetUpPr fitToPage="true"/>
  </sheetPr>
  <dimension ref="A1:P749"/>
  <sheetViews>
    <sheetView showFormulas="false" showGridLines="true" showRowColHeaders="true" showZeros="true" rightToLeft="false" tabSelected="false" showOutlineSymbols="true" defaultGridColor="true" view="pageBreakPreview" topLeftCell="A1" colorId="64" zoomScale="85" zoomScaleNormal="70" zoomScalePageLayoutView="85" workbookViewId="0">
      <selection pane="topLeft" activeCell="E17" activeCellId="0" sqref="E17"/>
    </sheetView>
  </sheetViews>
  <sheetFormatPr defaultRowHeight="15" zeroHeight="false" outlineLevelRow="0" outlineLevelCol="0"/>
  <cols>
    <col collapsed="false" customWidth="true" hidden="false" outlineLevel="0" max="1" min="1" style="0" width="6.15"/>
    <col collapsed="false" customWidth="true" hidden="false" outlineLevel="0" max="2" min="2" style="18" width="10.71"/>
    <col collapsed="false" customWidth="true" hidden="false" outlineLevel="0" max="3" min="3" style="19" width="17.86"/>
    <col collapsed="false" customWidth="true" hidden="false" outlineLevel="0" max="4" min="4" style="18" width="74.15"/>
    <col collapsed="false" customWidth="true" hidden="false" outlineLevel="0" max="6" min="5" style="248" width="10.58"/>
    <col collapsed="false" customWidth="true" hidden="false" outlineLevel="0" max="7" min="7" style="248" width="12.29"/>
    <col collapsed="false" customWidth="true" hidden="false" outlineLevel="0" max="8" min="8" style="249" width="14.15"/>
    <col collapsed="false" customWidth="true" hidden="false" outlineLevel="0" max="9" min="9" style="0" width="14.28"/>
    <col collapsed="false" customWidth="true" hidden="false" outlineLevel="0" max="10" min="10" style="0" width="14.43"/>
    <col collapsed="false" customWidth="true" hidden="false" outlineLevel="0" max="12" min="11" style="250" width="13.43"/>
    <col collapsed="false" customWidth="true" hidden="false" outlineLevel="0" max="13" min="13" style="0" width="13.43"/>
    <col collapsed="false" customWidth="true" hidden="false" outlineLevel="0" max="14" min="14" style="0" width="7.15"/>
    <col collapsed="false" customWidth="true" hidden="true" outlineLevel="0" max="15" min="15" style="0" width="11.29"/>
    <col collapsed="false" customWidth="true" hidden="true" outlineLevel="0" max="16" min="16" style="0" width="25.57"/>
    <col collapsed="false" customWidth="true" hidden="false" outlineLevel="0" max="1025" min="17" style="0" width="9.14"/>
  </cols>
  <sheetData>
    <row r="1" s="26" customFormat="true" ht="22.5" hidden="false" customHeight="true" outlineLevel="0" collapsed="false">
      <c r="B1" s="251"/>
      <c r="C1" s="252" t="s">
        <v>25</v>
      </c>
      <c r="D1" s="252"/>
      <c r="E1" s="24" t="s">
        <v>3642</v>
      </c>
      <c r="F1" s="24"/>
      <c r="G1" s="24"/>
      <c r="H1" s="24"/>
      <c r="I1" s="24"/>
      <c r="J1" s="24"/>
      <c r="K1" s="24"/>
      <c r="L1" s="24"/>
      <c r="M1" s="26" t="s">
        <v>3643</v>
      </c>
      <c r="N1" s="253" t="n">
        <f aca="false">01_SINTETICO!BDI_MAT</f>
        <v>0.2062</v>
      </c>
    </row>
    <row r="2" s="26" customFormat="true" ht="22.5" hidden="false" customHeight="true" outlineLevel="0" collapsed="false">
      <c r="B2" s="251"/>
      <c r="C2" s="252"/>
      <c r="D2" s="252"/>
      <c r="E2" s="254" t="str">
        <f aca="false">01_SINTETICO!D2</f>
        <v>OBRA: FORUM TRABALHISTA DA 18 REGIAO</v>
      </c>
      <c r="F2" s="254"/>
      <c r="G2" s="254"/>
      <c r="H2" s="254"/>
      <c r="I2" s="254"/>
      <c r="J2" s="254"/>
      <c r="K2" s="28" t="n">
        <f aca="false">'CAPA-DADOS'!E13</f>
        <v>45750</v>
      </c>
      <c r="L2" s="28"/>
      <c r="M2" s="26" t="s">
        <v>3644</v>
      </c>
      <c r="N2" s="253" t="n">
        <f aca="false">01_SINTETICO!BDI_MDO</f>
        <v>0.2749</v>
      </c>
    </row>
    <row r="3" s="26" customFormat="true" ht="22.5" hidden="false" customHeight="true" outlineLevel="0" collapsed="false">
      <c r="B3" s="251"/>
      <c r="C3" s="252"/>
      <c r="D3" s="252"/>
      <c r="E3" s="254"/>
      <c r="F3" s="254"/>
      <c r="G3" s="254"/>
      <c r="H3" s="254"/>
      <c r="I3" s="254"/>
      <c r="J3" s="254"/>
      <c r="K3" s="28" t="str">
        <f aca="false">'CAPA-DADOS'!E16</f>
        <v>SINAPI-FEV/2025</v>
      </c>
      <c r="L3" s="28"/>
      <c r="M3" s="26" t="s">
        <v>3645</v>
      </c>
      <c r="N3" s="253" t="n">
        <f aca="false">01_SINTETICO!BDI_DIF</f>
        <v>0.151947300269542</v>
      </c>
      <c r="O3" s="255" t="n">
        <f aca="false">SUM(J564:J1048576)</f>
        <v>7209.0510909203</v>
      </c>
      <c r="P3" s="256" t="n">
        <f aca="false">01_SINTETICO!I960</f>
        <v>9208121.12777133</v>
      </c>
    </row>
    <row r="4" s="35" customFormat="true" ht="15" hidden="false" customHeight="true" outlineLevel="0" collapsed="false">
      <c r="B4" s="31" t="s">
        <v>27</v>
      </c>
      <c r="C4" s="32" t="s">
        <v>28</v>
      </c>
      <c r="D4" s="32" t="s">
        <v>29</v>
      </c>
      <c r="E4" s="31" t="s">
        <v>30</v>
      </c>
      <c r="F4" s="31" t="s">
        <v>31</v>
      </c>
      <c r="G4" s="257" t="s">
        <v>32</v>
      </c>
      <c r="H4" s="258" t="s">
        <v>1378</v>
      </c>
      <c r="I4" s="258"/>
      <c r="J4" s="258"/>
      <c r="K4" s="259" t="s">
        <v>3646</v>
      </c>
      <c r="L4" s="259"/>
    </row>
    <row r="5" s="35" customFormat="true" ht="15" hidden="false" customHeight="false" outlineLevel="0" collapsed="false">
      <c r="B5" s="31"/>
      <c r="C5" s="32"/>
      <c r="D5" s="32"/>
      <c r="E5" s="31"/>
      <c r="F5" s="31"/>
      <c r="G5" s="257"/>
      <c r="H5" s="260" t="s">
        <v>37</v>
      </c>
      <c r="I5" s="31" t="s">
        <v>38</v>
      </c>
      <c r="J5" s="31" t="s">
        <v>3647</v>
      </c>
      <c r="K5" s="261" t="s">
        <v>1402</v>
      </c>
      <c r="L5" s="261" t="s">
        <v>3648</v>
      </c>
    </row>
    <row r="6" s="35" customFormat="true" ht="15" hidden="false" customHeight="false" outlineLevel="0" collapsed="false">
      <c r="B6" s="262" t="n">
        <v>0</v>
      </c>
      <c r="C6" s="263" t="n">
        <v>1</v>
      </c>
      <c r="D6" s="262" t="n">
        <v>2</v>
      </c>
      <c r="E6" s="263" t="n">
        <v>3</v>
      </c>
      <c r="F6" s="262" t="n">
        <v>4</v>
      </c>
      <c r="G6" s="263" t="n">
        <v>5</v>
      </c>
      <c r="H6" s="262" t="n">
        <v>6</v>
      </c>
      <c r="I6" s="263" t="n">
        <v>7</v>
      </c>
      <c r="J6" s="262" t="n">
        <v>8</v>
      </c>
      <c r="K6" s="263" t="n">
        <v>9</v>
      </c>
      <c r="L6" s="262" t="n">
        <v>10</v>
      </c>
    </row>
    <row r="7" customFormat="false" ht="25.5" hidden="false" customHeight="false" outlineLevel="0" collapsed="false">
      <c r="A7" s="264" t="n">
        <f aca="false">K7</f>
        <v>0.0432332522145113</v>
      </c>
      <c r="B7" s="265" t="str">
        <f aca="false">VLOOKUP($C7,01_SINTETICO!$B:$N,13,0)</f>
        <v>3.2.1.1.3</v>
      </c>
      <c r="C7" s="266" t="s">
        <v>120</v>
      </c>
      <c r="D7" s="266" t="str">
        <f aca="false">VLOOKUP($C7,01_SINTETICO!$B:$M,2,0)</f>
        <v>ESTACA HÉLICE CONTÍNUA, DIÂMETRO DE 30 CM, INCLUSO CONCRETO FCK=35MPA, ARMADURA LONGITUDIONAL Ø16 MM E TRANSVERSAL Ø6,3 MM.</v>
      </c>
      <c r="E7" s="266" t="str">
        <f aca="false">VLOOKUP($B7,01_SINTETICO!$A:$M,4,0)</f>
        <v>SER.CG</v>
      </c>
      <c r="F7" s="267" t="str">
        <f aca="false">VLOOKUP($B7,01_SINTETICO!$A:$M,5,0)</f>
        <v>M</v>
      </c>
      <c r="G7" s="267" t="n">
        <f aca="true">SUMIFS(INDIRECT("'01_SINTETICO'!F7:F995"),INDIRECT("'01_SINTETICO'!B7:B995"),$C7)</f>
        <v>2171</v>
      </c>
      <c r="H7" s="268" t="n">
        <f aca="false">VLOOKUP($C7,01_SINTETICO!$B:$M,6,0)*$G7*(1+BDI_MAT)</f>
        <v>361767.913878727</v>
      </c>
      <c r="I7" s="268" t="n">
        <f aca="false">VLOOKUP($C7,01_SINTETICO!$B:$M,7,0)*$G7*(1+BDI_MDO)</f>
        <v>28516.4962608027</v>
      </c>
      <c r="J7" s="269" t="n">
        <f aca="false">SUM(H7:I7)</f>
        <v>390284.41013953</v>
      </c>
      <c r="K7" s="270" t="n">
        <f aca="false">J7/SUM($J$7:$J$749)</f>
        <v>0.0432332522145113</v>
      </c>
      <c r="L7" s="271" t="n">
        <f aca="false">K7</f>
        <v>0.0432332522145113</v>
      </c>
    </row>
    <row r="8" customFormat="false" ht="38.25" hidden="false" customHeight="false" outlineLevel="0" collapsed="false">
      <c r="A8" s="264" t="n">
        <f aca="false">K8</f>
        <v>0.0413292525707429</v>
      </c>
      <c r="B8" s="265" t="str">
        <f aca="false">VLOOKUP($C8,01_SINTETICO!$B:$N,13,0)</f>
        <v>4.1.1.1</v>
      </c>
      <c r="C8" s="272" t="n">
        <v>103328</v>
      </c>
      <c r="D8" s="266" t="str">
        <f aca="false">VLOOKUP($C8,01_SINTETICO!$B:$M,2,0)</f>
        <v>ALVENARIA DE VEDAÇÃO DE BLOCOS CERÂMICOS FURADOS NA HORIZONTAL DE 9X19X19 CM (ESPESSURA 9 CM) E ARGAMASSA DE ASSENTAMENTO COM PREPARO EM BETONEIRA. AF_12/2021</v>
      </c>
      <c r="E8" s="272" t="str">
        <f aca="false">VLOOKUP($B8,01_SINTETICO!$A:$M,4,0)</f>
        <v>SER.CG</v>
      </c>
      <c r="F8" s="273" t="str">
        <f aca="false">VLOOKUP($B8,01_SINTETICO!$A:$M,5,0)</f>
        <v>M2</v>
      </c>
      <c r="G8" s="267" t="n">
        <f aca="true">SUMIFS(INDIRECT("'01_SINTETICO'!F7:F995"),INDIRECT("'01_SINTETICO'!B7:B995"),$C8)</f>
        <v>3073.69</v>
      </c>
      <c r="H8" s="268" t="n">
        <f aca="false">VLOOKUP($C8,01_SINTETICO!$B:$M,6,0)*$G8*(1+BDI_MAT)</f>
        <v>199185.788521162</v>
      </c>
      <c r="I8" s="268" t="n">
        <f aca="false">VLOOKUP($C8,01_SINTETICO!$B:$M,7,0)*$G8*(1+BDI_MDO)</f>
        <v>173910.431051835</v>
      </c>
      <c r="J8" s="269" t="n">
        <f aca="false">SUM(H8:I8)</f>
        <v>373096.219572997</v>
      </c>
      <c r="K8" s="270" t="n">
        <f aca="false">J8/SUM($J$7:$J$749)</f>
        <v>0.0413292525707429</v>
      </c>
      <c r="L8" s="271" t="n">
        <f aca="false">K8+L7</f>
        <v>0.0845625047852542</v>
      </c>
    </row>
    <row r="9" customFormat="false" ht="38.25" hidden="false" customHeight="false" outlineLevel="0" collapsed="false">
      <c r="A9" s="264" t="n">
        <f aca="false">K9</f>
        <v>0.0356868688979718</v>
      </c>
      <c r="B9" s="265" t="str">
        <f aca="false">VLOOKUP($C9,01_SINTETICO!$B:$N,13,0)</f>
        <v>3.2.2.2.10</v>
      </c>
      <c r="C9" s="272" t="n">
        <v>92452</v>
      </c>
      <c r="D9" s="266" t="str">
        <f aca="false">VLOOKUP($C9,01_SINTETICO!$B:$M,2,0)</f>
        <v>MONTAGEM E DESMONTAGEM DE FÔRMA DE VIGA, ESCORAMENTO METÁLICO, PÉ-DIREITO SIMPLES, EM CHAPA DE MADEIRA RESINADA, 2 UTILIZAÇÕES. AF_09/2020</v>
      </c>
      <c r="E9" s="272" t="str">
        <f aca="false">VLOOKUP($B9,01_SINTETICO!$A:$M,4,0)</f>
        <v>SER.CG</v>
      </c>
      <c r="F9" s="273" t="str">
        <f aca="false">VLOOKUP($B9,01_SINTETICO!$A:$M,5,0)</f>
        <v>M2</v>
      </c>
      <c r="G9" s="267" t="n">
        <f aca="true">SUMIFS(INDIRECT("'01_SINTETICO'!F7:F995"),INDIRECT("'01_SINTETICO'!B7:B995"),$C9)</f>
        <v>1389.44</v>
      </c>
      <c r="H9" s="268" t="n">
        <f aca="false">VLOOKUP($C9,01_SINTETICO!$B:$M,6,0)*$G9*(1+BDI_MAT)</f>
        <v>226668.747634081</v>
      </c>
      <c r="I9" s="268" t="n">
        <f aca="false">VLOOKUP($C9,01_SINTETICO!$B:$M,7,0)*$G9*(1+BDI_MDO)</f>
        <v>95491.3459083778</v>
      </c>
      <c r="J9" s="269" t="n">
        <f aca="false">SUM(H9:I9)</f>
        <v>322160.093542459</v>
      </c>
      <c r="K9" s="270" t="n">
        <f aca="false">J9/SUM($J$7:$J$749)</f>
        <v>0.0356868688979718</v>
      </c>
      <c r="L9" s="271" t="n">
        <f aca="false">K9+L8</f>
        <v>0.120249373683226</v>
      </c>
    </row>
    <row r="10" customFormat="false" ht="38.25" hidden="false" customHeight="false" outlineLevel="0" collapsed="false">
      <c r="A10" s="264" t="n">
        <f aca="false">K10</f>
        <v>0.0316109801996284</v>
      </c>
      <c r="B10" s="265" t="str">
        <f aca="false">VLOOKUP($C10,01_SINTETICO!$B:$N,13,0)</f>
        <v>3.2.2.3.1.4</v>
      </c>
      <c r="C10" s="272" t="s">
        <v>196</v>
      </c>
      <c r="D10" s="266" t="str">
        <f aca="false">VLOOKUP($C10,01_SINTETICO!$B:$M,2,0)</f>
        <v>LAJE PRÉ-MOLDADA UNIDIRECIONAL, BIAPOIADA, PARA PISO, ENCHIMENTO EM EPS, VIGOTA CONVENCIONAL, ALTURA TOTAL DA LAJE (ENCHIMENTO+CAPA) = (20+5).</v>
      </c>
      <c r="E10" s="272" t="str">
        <f aca="false">VLOOKUP($B10,01_SINTETICO!$A:$M,4,0)</f>
        <v>SER.CG</v>
      </c>
      <c r="F10" s="273" t="str">
        <f aca="false">VLOOKUP($B10,01_SINTETICO!$A:$M,5,0)</f>
        <v>M2</v>
      </c>
      <c r="G10" s="267" t="n">
        <f aca="true">SUMIFS(INDIRECT("'01_SINTETICO'!F7:F995"),INDIRECT("'01_SINTETICO'!B7:B995"),$C10)</f>
        <v>723.34</v>
      </c>
      <c r="H10" s="268" t="n">
        <f aca="false">VLOOKUP($C10,01_SINTETICO!$B:$M,6,0)*$G10*(1+BDI_MAT)</f>
        <v>247078.253797214</v>
      </c>
      <c r="I10" s="268" t="n">
        <f aca="false">VLOOKUP($C10,01_SINTETICO!$B:$M,7,0)*$G10*(1+BDI_MDO)</f>
        <v>38287.1103426441</v>
      </c>
      <c r="J10" s="269" t="n">
        <f aca="false">SUM(H10:I10)</f>
        <v>285365.364139858</v>
      </c>
      <c r="K10" s="270" t="n">
        <f aca="false">J10/SUM($J$7:$J$749)</f>
        <v>0.0316109801996284</v>
      </c>
      <c r="L10" s="271" t="n">
        <f aca="false">K10+L9</f>
        <v>0.151860353882854</v>
      </c>
    </row>
    <row r="11" customFormat="false" ht="54.75" hidden="false" customHeight="true" outlineLevel="0" collapsed="false">
      <c r="A11" s="264" t="n">
        <f aca="false">K11</f>
        <v>0.0315525848213945</v>
      </c>
      <c r="B11" s="265" t="str">
        <f aca="false">VLOOKUP($C11,01_SINTETICO!$B:$N,13,0)</f>
        <v>3.2.2.3.1.2</v>
      </c>
      <c r="C11" s="266" t="s">
        <v>192</v>
      </c>
      <c r="D11" s="266" t="str">
        <f aca="false">VLOOKUP($C11,01_SINTETICO!$B:$M,2,0)</f>
        <v>LAJE PRÉ-MOLDADA UNIDIRECIONAL, BIAPOIADA, PARA PISO, ENCHIMENTO EM EPS, VIGOTA CONVENCIONAL, ALTURA TOTAL DA LAJE (ENCHIMENTO+CAPA) = (12+5).</v>
      </c>
      <c r="E11" s="266" t="str">
        <f aca="false">VLOOKUP($B11,01_SINTETICO!$A:$M,4,0)</f>
        <v>SER.CG</v>
      </c>
      <c r="F11" s="267" t="str">
        <f aca="false">VLOOKUP($B11,01_SINTETICO!$A:$M,5,0)</f>
        <v>M2</v>
      </c>
      <c r="G11" s="267" t="n">
        <f aca="true">SUMIFS(INDIRECT("'01_SINTETICO'!F7:F995"),INDIRECT("'01_SINTETICO'!B7:B995"),$C11)</f>
        <v>935.53</v>
      </c>
      <c r="H11" s="268" t="n">
        <f aca="false">VLOOKUP($C11,01_SINTETICO!$B:$M,6,0)*$G11*(1+BDI_MAT)</f>
        <v>250509.318263841</v>
      </c>
      <c r="I11" s="268" t="n">
        <f aca="false">VLOOKUP($C11,01_SINTETICO!$B:$M,7,0)*$G11*(1+BDI_MDO)</f>
        <v>34328.8866968788</v>
      </c>
      <c r="J11" s="269" t="n">
        <f aca="false">SUM(H11:I11)</f>
        <v>284838.20496072</v>
      </c>
      <c r="K11" s="270" t="n">
        <f aca="false">J11/SUM($J$7:$J$749)</f>
        <v>0.0315525848213945</v>
      </c>
      <c r="L11" s="271" t="n">
        <f aca="false">K11+L10</f>
        <v>0.183412938704249</v>
      </c>
    </row>
    <row r="12" customFormat="false" ht="38.25" hidden="false" customHeight="false" outlineLevel="0" collapsed="false">
      <c r="A12" s="264" t="n">
        <f aca="false">K12</f>
        <v>0.0259964443043853</v>
      </c>
      <c r="B12" s="265" t="str">
        <f aca="false">VLOOKUP($C12,01_SINTETICO!$B:$N,13,0)</f>
        <v>8.2.1.3</v>
      </c>
      <c r="C12" s="272" t="n">
        <v>87548</v>
      </c>
      <c r="D12" s="266" t="str">
        <f aca="false">VLOOKUP($C12,01_SINTETICO!$B:$M,2,0)</f>
        <v>MASSA ÚNICA, EM ARGAMASSA TRAÇO 1:2:8, PREPARO MANUAL, APLICADA MANUALMENTE EM PAREDES INTERNAS DE AMBIENTES COM ÁREA ENTRE 5M² E 10M², E = 10MM, COM TALISCAS. AF_03/2024</v>
      </c>
      <c r="E12" s="272" t="str">
        <f aca="false">VLOOKUP($B12,01_SINTETICO!$A:$M,4,0)</f>
        <v>SER.CG</v>
      </c>
      <c r="F12" s="273" t="str">
        <f aca="false">VLOOKUP($B12,01_SINTETICO!$A:$M,5,0)</f>
        <v>M2</v>
      </c>
      <c r="G12" s="267" t="n">
        <f aca="true">SUMIFS(INDIRECT("'01_SINTETICO'!F7:F995"),INDIRECT("'01_SINTETICO'!B7:B995"),$C12)</f>
        <v>6645.77</v>
      </c>
      <c r="H12" s="268" t="n">
        <f aca="false">VLOOKUP($C12,01_SINTETICO!$B:$M,6,0)*$G12*(1+BDI_MAT)</f>
        <v>123042.074612084</v>
      </c>
      <c r="I12" s="268" t="n">
        <f aca="false">VLOOKUP($C12,01_SINTETICO!$B:$M,7,0)*$G12*(1+BDI_MDO)</f>
        <v>111638.556877782</v>
      </c>
      <c r="J12" s="269" t="n">
        <f aca="false">SUM(H12:I12)</f>
        <v>234680.631489866</v>
      </c>
      <c r="K12" s="270" t="n">
        <f aca="false">J12/SUM($J$7:$J$749)</f>
        <v>0.0259964443043853</v>
      </c>
      <c r="L12" s="271" t="n">
        <f aca="false">K12+L11</f>
        <v>0.209409383008634</v>
      </c>
    </row>
    <row r="13" customFormat="false" ht="38.25" hidden="false" customHeight="false" outlineLevel="0" collapsed="false">
      <c r="A13" s="264" t="n">
        <f aca="false">K13</f>
        <v>0.0249176360723578</v>
      </c>
      <c r="B13" s="265" t="str">
        <f aca="false">VLOOKUP($C13,01_SINTETICO!$B:$N,13,0)</f>
        <v>*9.2</v>
      </c>
      <c r="C13" s="266" t="s">
        <v>611</v>
      </c>
      <c r="D13" s="266" t="str">
        <f aca="false">VLOOKUP($C13,01_SINTETICO!$B:$M,2,0)</f>
        <v>FORNECIMENTO E INSTALAÇÃO DE ELEVADOR PARA 2 PARADAS, TAMANHO DA CABINE DE 1,10 X 1,40 M, COM LADO OPOSTO A PORTA DO TIPO PANORÂMICO, ENTRADA E SAÍDA ÚNICAS.</v>
      </c>
      <c r="E13" s="266" t="str">
        <f aca="false">VLOOKUP($B13,01_SINTETICO!$A:$M,4,0)</f>
        <v>SER.CG</v>
      </c>
      <c r="F13" s="267" t="str">
        <f aca="false">VLOOKUP($B13,01_SINTETICO!$A:$M,5,0)</f>
        <v>UN</v>
      </c>
      <c r="G13" s="267" t="n">
        <f aca="true">SUMIFS(INDIRECT("'01_SINTETICO'!F7:F995"),INDIRECT("'01_SINTETICO'!B7:B995"),$C13)</f>
        <v>1</v>
      </c>
      <c r="H13" s="268" t="n">
        <f aca="false">VLOOKUP($C13,01_SINTETICO!$B:$M,6,0)*$G13*(1+BDI_MAT)</f>
        <v>154813.9860302</v>
      </c>
      <c r="I13" s="268" t="n">
        <f aca="false">VLOOKUP($C13,01_SINTETICO!$B:$M,7,0)*$G13*(1+BDI_MDO)</f>
        <v>70127.7983241</v>
      </c>
      <c r="J13" s="269" t="n">
        <f aca="false">SUM(H13:I13)</f>
        <v>224941.7843543</v>
      </c>
      <c r="K13" s="270" t="n">
        <f aca="false">J13/SUM($J$7:$J$749)</f>
        <v>0.0249176360723578</v>
      </c>
      <c r="L13" s="271" t="n">
        <f aca="false">K13+L12</f>
        <v>0.234327019080992</v>
      </c>
    </row>
    <row r="14" customFormat="false" ht="25.5" hidden="false" customHeight="false" outlineLevel="0" collapsed="false">
      <c r="A14" s="264" t="n">
        <f aca="false">K14</f>
        <v>0.0246413806580163</v>
      </c>
      <c r="B14" s="265" t="str">
        <f aca="false">VLOOKUP($C14,01_SINTETICO!$B:$N,13,0)</f>
        <v>*9.1</v>
      </c>
      <c r="C14" s="266" t="s">
        <v>609</v>
      </c>
      <c r="D14" s="266" t="str">
        <f aca="false">VLOOKUP($C14,01_SINTETICO!$B:$M,2,0)</f>
        <v>FORNECIMENTO E INSTALAÇÃO DE ELEVADOR PARA 2 PARADAS, TAMANHO DA CABINE DE 1,10 X 1,40 M, ENTRADA E SAÍDA ÚNICAS.</v>
      </c>
      <c r="E14" s="266" t="str">
        <f aca="false">VLOOKUP($B14,01_SINTETICO!$A:$M,4,0)</f>
        <v>SER.CG</v>
      </c>
      <c r="F14" s="267" t="str">
        <f aca="false">VLOOKUP($B14,01_SINTETICO!$A:$M,5,0)</f>
        <v>UN</v>
      </c>
      <c r="G14" s="267" t="n">
        <f aca="true">SUMIFS(INDIRECT("'01_SINTETICO'!F7:F995"),INDIRECT("'01_SINTETICO'!B7:B995"),$C14)</f>
        <v>1</v>
      </c>
      <c r="H14" s="268" t="n">
        <f aca="false">VLOOKUP($C14,01_SINTETICO!$B:$M,6,0)*$G14*(1+BDI_MAT)</f>
        <v>153097.6032348</v>
      </c>
      <c r="I14" s="268" t="n">
        <f aca="false">VLOOKUP($C14,01_SINTETICO!$B:$M,7,0)*$G14*(1+BDI_MDO)</f>
        <v>69350.3094834</v>
      </c>
      <c r="J14" s="269" t="n">
        <f aca="false">SUM(H14:I14)</f>
        <v>222447.9127182</v>
      </c>
      <c r="K14" s="270" t="n">
        <f aca="false">J14/SUM($J$7:$J$749)</f>
        <v>0.0246413806580163</v>
      </c>
      <c r="L14" s="271" t="n">
        <f aca="false">K14+L13</f>
        <v>0.258968399739008</v>
      </c>
    </row>
    <row r="15" customFormat="false" ht="15" hidden="false" customHeight="false" outlineLevel="0" collapsed="false">
      <c r="A15" s="264" t="n">
        <f aca="false">K15</f>
        <v>0.022600464890089</v>
      </c>
      <c r="B15" s="265" t="str">
        <f aca="false">VLOOKUP($C15,01_SINTETICO!$B:$N,13,0)</f>
        <v>1.03</v>
      </c>
      <c r="C15" s="266" t="n">
        <v>93565</v>
      </c>
      <c r="D15" s="266" t="str">
        <f aca="false">VLOOKUP($C15,01_SINTETICO!$B:$M,2,0)</f>
        <v>ENGENHEIRO CIVIL DE OBRA JUNIOR COM ENCARGOS COMPLEMENTARES</v>
      </c>
      <c r="E15" s="266" t="str">
        <f aca="false">VLOOKUP($B15,01_SINTETICO!$A:$M,4,0)</f>
        <v>SER.CG</v>
      </c>
      <c r="F15" s="267" t="str">
        <f aca="false">VLOOKUP($B15,01_SINTETICO!$A:$M,5,0)</f>
        <v>MES</v>
      </c>
      <c r="G15" s="267" t="n">
        <f aca="true">SUMIFS(INDIRECT("'01_SINTETICO'!F7:F995"),INDIRECT("'01_SINTETICO'!B7:B995"),$C15)</f>
        <v>8</v>
      </c>
      <c r="H15" s="268" t="n">
        <f aca="false">VLOOKUP($C15,01_SINTETICO!$B:$M,6,0)*$G15*(1+BDI_DIF)</f>
        <v>4002.51001162454</v>
      </c>
      <c r="I15" s="268" t="n">
        <f aca="false">VLOOKUP($C15,01_SINTETICO!$B:$M,7,0)*$G15*(1+BDI_MDO)</f>
        <v>200021.213781861</v>
      </c>
      <c r="J15" s="269" t="n">
        <f aca="false">SUM(H15:I15)</f>
        <v>204023.723793486</v>
      </c>
      <c r="K15" s="270" t="n">
        <f aca="false">J15/SUM($J$7:$J$749)</f>
        <v>0.022600464890089</v>
      </c>
      <c r="L15" s="271" t="n">
        <f aca="false">K15+L14</f>
        <v>0.281568864629097</v>
      </c>
    </row>
    <row r="16" customFormat="false" ht="38.25" hidden="false" customHeight="false" outlineLevel="0" collapsed="false">
      <c r="A16" s="264" t="n">
        <f aca="false">K16</f>
        <v>0.0211411697406375</v>
      </c>
      <c r="B16" s="265" t="str">
        <f aca="false">VLOOKUP($C16,01_SINTETICO!$B:$N,13,0)</f>
        <v>3.2.1.3.1</v>
      </c>
      <c r="C16" s="266" t="n">
        <v>92415</v>
      </c>
      <c r="D16" s="266" t="str">
        <f aca="false">VLOOKUP($C16,01_SINTETICO!$B:$M,2,0)</f>
        <v>MONTAGEM E DESMONTAGEM DE FÔRMA DE PILARES RETANGULARES E ESTRUTURAS SIMILARES, PÉ-DIREITO SIMPLES, EM CHAPA DE MADEIRA COMPENSADA RESINADA, 2 UTILIZAÇÕES. AF_09/2020</v>
      </c>
      <c r="E16" s="266" t="str">
        <f aca="false">VLOOKUP($B16,01_SINTETICO!$A:$M,4,0)</f>
        <v>SER.CG</v>
      </c>
      <c r="F16" s="267" t="str">
        <f aca="false">VLOOKUP($B16,01_SINTETICO!$A:$M,5,0)</f>
        <v>M2</v>
      </c>
      <c r="G16" s="267" t="n">
        <f aca="true">SUMIFS(INDIRECT("'01_SINTETICO'!F7:F995"),INDIRECT("'01_SINTETICO'!B7:B995"),$C16)</f>
        <v>1053.69</v>
      </c>
      <c r="H16" s="268" t="n">
        <f aca="false">VLOOKUP($C16,01_SINTETICO!$B:$M,6,0)*$G16*(1+BDI_DIF)</f>
        <v>133525.897306821</v>
      </c>
      <c r="I16" s="268" t="n">
        <f aca="false">VLOOKUP($C16,01_SINTETICO!$B:$M,7,0)*$G16*(1+BDI_MDO)</f>
        <v>57324.1669202444</v>
      </c>
      <c r="J16" s="269" t="n">
        <f aca="false">SUM(H16:I16)</f>
        <v>190850.064227065</v>
      </c>
      <c r="K16" s="270" t="n">
        <f aca="false">J16/SUM($J$7:$J$749)</f>
        <v>0.0211411697406375</v>
      </c>
      <c r="L16" s="271" t="n">
        <f aca="false">K16+L15</f>
        <v>0.302710034369735</v>
      </c>
    </row>
    <row r="17" customFormat="false" ht="25.5" hidden="false" customHeight="false" outlineLevel="0" collapsed="false">
      <c r="A17" s="264" t="n">
        <f aca="false">K17</f>
        <v>0.0207009084282846</v>
      </c>
      <c r="B17" s="265" t="str">
        <f aca="false">VLOOKUP($C17,01_SINTETICO!$B:$N,13,0)</f>
        <v>*16.1.1.6</v>
      </c>
      <c r="C17" s="274" t="s">
        <v>1238</v>
      </c>
      <c r="D17" s="266" t="str">
        <f aca="false">VLOOKUP($C17,01_SINTETICO!$B:$M,2,0)</f>
        <v>AR CONDICIONADO SPLIT ON/OFF, CASSETE (TETO), 4 VIAS 41000 BTU/H - FORNECIMENTO E INSTALAÇÃO.</v>
      </c>
      <c r="E17" s="266" t="str">
        <f aca="false">VLOOKUP($B17,01_SINTETICO!$A:$M,4,0)</f>
        <v>SER.CG</v>
      </c>
      <c r="F17" s="267" t="str">
        <f aca="false">VLOOKUP($B17,01_SINTETICO!$A:$M,5,0)</f>
        <v>UN</v>
      </c>
      <c r="G17" s="267" t="n">
        <f aca="true">SUMIFS(INDIRECT("'01_SINTETICO'!F7:F995"),INDIRECT("'01_SINTETICO'!B7:B995"),$C17)</f>
        <v>8</v>
      </c>
      <c r="H17" s="268" t="n">
        <f aca="false">VLOOKUP($C17,01_SINTETICO!$B:$M,6,0)*$G17*(1+BDI_DIF)</f>
        <v>184738.198823472</v>
      </c>
      <c r="I17" s="268" t="n">
        <f aca="false">VLOOKUP($C17,01_SINTETICO!$B:$M,7,0)*$G17*(1+BDI_MDO)</f>
        <v>2137.44484077398</v>
      </c>
      <c r="J17" s="269" t="n">
        <f aca="false">SUM(H17:I17)</f>
        <v>186875.643664246</v>
      </c>
      <c r="K17" s="270" t="n">
        <f aca="false">J17/SUM($J$7:$J$749)</f>
        <v>0.0207009084282846</v>
      </c>
      <c r="L17" s="271" t="n">
        <f aca="false">K17+L16</f>
        <v>0.323410942798019</v>
      </c>
    </row>
    <row r="18" customFormat="false" ht="38.25" hidden="false" customHeight="false" outlineLevel="0" collapsed="false">
      <c r="A18" s="264" t="n">
        <f aca="false">K18</f>
        <v>0.0194245147744522</v>
      </c>
      <c r="B18" s="265" t="str">
        <f aca="false">VLOOKUP($C18,01_SINTETICO!$B:$N,13,0)</f>
        <v>8.1.1.3.2</v>
      </c>
      <c r="C18" s="266" t="n">
        <v>87263</v>
      </c>
      <c r="D18" s="266" t="str">
        <f aca="false">VLOOKUP($C18,01_SINTETICO!$B:$M,2,0)</f>
        <v>REVESTIMENTO CERÂMICO PARA PISO COM PLACAS TIPO PORCELANATO DE DIMENSÕES 60X60 CM APLICADA EM AMBIENTES DE ÁREA MAIOR QUE 10 M². AF_02/2023_PE</v>
      </c>
      <c r="E18" s="266" t="str">
        <f aca="false">VLOOKUP($B18,01_SINTETICO!$A:$M,4,0)</f>
        <v>SER.CG</v>
      </c>
      <c r="F18" s="267" t="str">
        <f aca="false">VLOOKUP($B18,01_SINTETICO!$A:$M,5,0)</f>
        <v>M2</v>
      </c>
      <c r="G18" s="267" t="n">
        <f aca="true">SUMIFS(INDIRECT("'01_SINTETICO'!F7:F995"),INDIRECT("'01_SINTETICO'!B7:B995"),$C18)</f>
        <v>1343.35</v>
      </c>
      <c r="H18" s="268" t="n">
        <f aca="false">VLOOKUP($C18,01_SINTETICO!$B:$M,6,0)*$G18*(1+BDI_DIF)</f>
        <v>152762.600765818</v>
      </c>
      <c r="I18" s="268" t="n">
        <f aca="false">VLOOKUP($C18,01_SINTETICO!$B:$M,7,0)*$G18*(1+BDI_MDO)</f>
        <v>22590.5106165606</v>
      </c>
      <c r="J18" s="269" t="n">
        <f aca="false">SUM(H18:I18)</f>
        <v>175353.111382379</v>
      </c>
      <c r="K18" s="270" t="n">
        <f aca="false">J18/SUM($J$7:$J$749)</f>
        <v>0.0194245147744522</v>
      </c>
      <c r="L18" s="271" t="n">
        <f aca="false">K18+L17</f>
        <v>0.342835457572472</v>
      </c>
    </row>
    <row r="19" customFormat="false" ht="38.25" hidden="false" customHeight="false" outlineLevel="0" collapsed="false">
      <c r="A19" s="264" t="n">
        <f aca="false">K19</f>
        <v>0.0187232555418927</v>
      </c>
      <c r="B19" s="265" t="str">
        <f aca="false">VLOOKUP($C19,01_SINTETICO!$B:$N,13,0)</f>
        <v>3.2.2.2.9</v>
      </c>
      <c r="C19" s="266" t="s">
        <v>183</v>
      </c>
      <c r="D19" s="266" t="str">
        <f aca="false">VLOOKUP($C19,01_SINTETICO!$B:$M,2,0)</f>
        <v>CONCRETAGEM DE VIGAS E LAJES, FCK=35 MPA, PARA LAJES MACIÇAS OU NERVURADAS COM USO DE BOMBA - LANÇAMENTO, ADENSAMENTO E ACABAMENTO.</v>
      </c>
      <c r="E19" s="266" t="str">
        <f aca="false">VLOOKUP($B19,01_SINTETICO!$A:$M,4,0)</f>
        <v>SER.CG</v>
      </c>
      <c r="F19" s="267" t="str">
        <f aca="false">VLOOKUP($B19,01_SINTETICO!$A:$M,5,0)</f>
        <v>M3</v>
      </c>
      <c r="G19" s="267" t="n">
        <f aca="true">SUMIFS(INDIRECT("'01_SINTETICO'!F7:F995"),INDIRECT("'01_SINTETICO'!B7:B995"),$C19)</f>
        <v>182.59</v>
      </c>
      <c r="H19" s="268" t="n">
        <f aca="false">VLOOKUP($C19,01_SINTETICO!$B:$M,6,0)*$G19*(1+BDI_DIF)</f>
        <v>162265.165852625</v>
      </c>
      <c r="I19" s="268" t="n">
        <f aca="false">VLOOKUP($C19,01_SINTETICO!$B:$M,7,0)*$G19*(1+BDI_MDO)</f>
        <v>6757.38902717026</v>
      </c>
      <c r="J19" s="269" t="n">
        <f aca="false">SUM(H19:I19)</f>
        <v>169022.554879795</v>
      </c>
      <c r="K19" s="270" t="n">
        <f aca="false">J19/SUM($J$7:$J$749)</f>
        <v>0.0187232555418927</v>
      </c>
      <c r="L19" s="271" t="n">
        <f aca="false">K19+L18</f>
        <v>0.361558713114364</v>
      </c>
    </row>
    <row r="20" customFormat="false" ht="25.5" hidden="false" customHeight="false" outlineLevel="0" collapsed="false">
      <c r="A20" s="264" t="n">
        <f aca="false">K20</f>
        <v>0.0182096148000977</v>
      </c>
      <c r="B20" s="265" t="str">
        <f aca="false">VLOOKUP($C20,01_SINTETICO!$B:$N,13,0)</f>
        <v>6.2.1</v>
      </c>
      <c r="C20" s="266" t="n">
        <v>94216</v>
      </c>
      <c r="D20" s="266" t="str">
        <f aca="false">VLOOKUP($C20,01_SINTETICO!$B:$M,2,0)</f>
        <v>TELHAMENTO COM TELHA METÁLICA TERMOACÚSTICA E = 30 MM, COM ATÉ 2 ÁGUAS, INCLUSO IÇAMENTO. AF_07/2019</v>
      </c>
      <c r="E20" s="266" t="str">
        <f aca="false">VLOOKUP($B20,01_SINTETICO!$A:$M,4,0)</f>
        <v>SER.CG</v>
      </c>
      <c r="F20" s="267" t="str">
        <f aca="false">VLOOKUP($B20,01_SINTETICO!$A:$M,5,0)</f>
        <v>M2</v>
      </c>
      <c r="G20" s="267" t="n">
        <f aca="true">SUMIFS(INDIRECT("'01_SINTETICO'!F7:F995"),INDIRECT("'01_SINTETICO'!B7:B995"),$C20)</f>
        <v>1024.89</v>
      </c>
      <c r="H20" s="268" t="n">
        <f aca="false">VLOOKUP($C20,01_SINTETICO!$B:$M,6,0)*$G20*(1+BDI_DIF)</f>
        <v>161805.333089017</v>
      </c>
      <c r="I20" s="268" t="n">
        <f aca="false">VLOOKUP($C20,01_SINTETICO!$B:$M,7,0)*$G20*(1+BDI_MDO)</f>
        <v>2580.37483463387</v>
      </c>
      <c r="J20" s="269" t="n">
        <f aca="false">SUM(H20:I20)</f>
        <v>164385.707923651</v>
      </c>
      <c r="K20" s="270" t="n">
        <f aca="false">J20/SUM($J$7:$J$749)</f>
        <v>0.0182096148000977</v>
      </c>
      <c r="L20" s="271" t="n">
        <f aca="false">K20+L19</f>
        <v>0.379768327914462</v>
      </c>
    </row>
    <row r="21" customFormat="false" ht="15" hidden="false" customHeight="false" outlineLevel="0" collapsed="false">
      <c r="A21" s="264" t="n">
        <f aca="false">K21</f>
        <v>0.0169234626003167</v>
      </c>
      <c r="B21" s="265" t="str">
        <f aca="false">VLOOKUP($C21,01_SINTETICO!$B:$N,13,0)</f>
        <v>1.04</v>
      </c>
      <c r="C21" s="272" t="n">
        <v>94295</v>
      </c>
      <c r="D21" s="266" t="str">
        <f aca="false">VLOOKUP($C21,01_SINTETICO!$B:$M,2,0)</f>
        <v>MESTRE DE OBRAS COM ENCARGOS COMPLEMENTARES</v>
      </c>
      <c r="E21" s="272" t="str">
        <f aca="false">VLOOKUP($B21,01_SINTETICO!$A:$M,4,0)</f>
        <v>SER.CG</v>
      </c>
      <c r="F21" s="273" t="str">
        <f aca="false">VLOOKUP($B21,01_SINTETICO!$A:$M,5,0)</f>
        <v>MES</v>
      </c>
      <c r="G21" s="267" t="n">
        <f aca="true">SUMIFS(INDIRECT("'01_SINTETICO'!F7:F995"),INDIRECT("'01_SINTETICO'!B7:B995"),$C21)</f>
        <v>16</v>
      </c>
      <c r="H21" s="268" t="n">
        <f aca="false">VLOOKUP($C21,01_SINTETICO!$B:$M,6,0)*$G21*(1+BDI_DIF)</f>
        <v>10015.8592305996</v>
      </c>
      <c r="I21" s="268" t="n">
        <f aca="false">VLOOKUP($C21,01_SINTETICO!$B:$M,7,0)*$G21*(1+BDI_MDO)</f>
        <v>142759.221989546</v>
      </c>
      <c r="J21" s="269" t="n">
        <f aca="false">SUM(H21:I21)</f>
        <v>152775.081220146</v>
      </c>
      <c r="K21" s="270" t="n">
        <f aca="false">J21/SUM($J$7:$J$749)</f>
        <v>0.0169234626003167</v>
      </c>
      <c r="L21" s="271" t="n">
        <f aca="false">K21+L20</f>
        <v>0.396691790514779</v>
      </c>
    </row>
    <row r="22" customFormat="false" ht="63.75" hidden="false" customHeight="false" outlineLevel="0" collapsed="false">
      <c r="A22" s="264" t="n">
        <f aca="false">K22</f>
        <v>0.016734308517947</v>
      </c>
      <c r="B22" s="265" t="str">
        <f aca="false">VLOOKUP($C22,01_SINTETICO!$B:$N,13,0)</f>
        <v>6.1.1</v>
      </c>
      <c r="C22" s="272" t="s">
        <v>486</v>
      </c>
      <c r="D22" s="266" t="str">
        <f aca="false">VLOOKUP($C22,01_SINTETICO!$B:$M,2,0)</f>
        <v>FABRICAÇÃO E INSTALAÇÃO DE ESTRUTURA METÁLICA COMPOSTA DE PONTALETES E TERÇAS PARA TELHADOS COM ATÉ 2 ÁGUAS E COM TELHA ONDULADA DE FIBROCIMENTO, ALUMÍNIO OU PLÁSTICA EM EDIFÍCIO RESIDENCIAL DE MÚLTIPLOS PAVIMENTOS, INCLUSO TRANSPORTE VERTICAL.</v>
      </c>
      <c r="E22" s="272" t="str">
        <f aca="false">VLOOKUP($B22,01_SINTETICO!$A:$M,4,0)</f>
        <v>SER.CG</v>
      </c>
      <c r="F22" s="273" t="str">
        <f aca="false">VLOOKUP($B22,01_SINTETICO!$A:$M,5,0)</f>
        <v>M2</v>
      </c>
      <c r="G22" s="267" t="n">
        <f aca="true">SUMIFS(INDIRECT("'01_SINTETICO'!F7:F995"),INDIRECT("'01_SINTETICO'!B7:B995"),$C22)</f>
        <v>1024.89</v>
      </c>
      <c r="H22" s="268" t="n">
        <f aca="false">VLOOKUP($C22,01_SINTETICO!$B:$M,6,0)*$G22*(1+BDI_DIF)</f>
        <v>145234.604887339</v>
      </c>
      <c r="I22" s="268" t="n">
        <f aca="false">VLOOKUP($C22,01_SINTETICO!$B:$M,7,0)*$G22*(1+BDI_MDO)</f>
        <v>5832.90436720872</v>
      </c>
      <c r="J22" s="269" t="n">
        <f aca="false">SUM(H22:I22)</f>
        <v>151067.509254548</v>
      </c>
      <c r="K22" s="270" t="n">
        <f aca="false">J22/SUM($J$7:$J$749)</f>
        <v>0.016734308517947</v>
      </c>
      <c r="L22" s="271" t="n">
        <f aca="false">K22+L21</f>
        <v>0.413426099032726</v>
      </c>
    </row>
    <row r="23" customFormat="false" ht="25.5" hidden="false" customHeight="false" outlineLevel="0" collapsed="false">
      <c r="A23" s="264" t="n">
        <f aca="false">K23</f>
        <v>0.0154809845242127</v>
      </c>
      <c r="B23" s="265" t="str">
        <f aca="false">VLOOKUP($C23,01_SINTETICO!$B:$N,13,0)</f>
        <v>5.1.1.2</v>
      </c>
      <c r="C23" s="266" t="n">
        <v>101965</v>
      </c>
      <c r="D23" s="266" t="str">
        <f aca="false">VLOOKUP($C23,01_SINTETICO!$B:$M,2,0)</f>
        <v>PEITORIL LINEAR EM GRANITO OU MÁRMORE, L = 15CM, ASSENTADO COM ARGAMASSA 1:6 COM ADITIVO. AF_11/2020</v>
      </c>
      <c r="E23" s="266" t="str">
        <f aca="false">VLOOKUP($B23,01_SINTETICO!$A:$M,4,0)</f>
        <v>SER.CG</v>
      </c>
      <c r="F23" s="267" t="str">
        <f aca="false">VLOOKUP($B23,01_SINTETICO!$A:$M,5,0)</f>
        <v>M</v>
      </c>
      <c r="G23" s="267" t="n">
        <f aca="true">SUMIFS(INDIRECT("'01_SINTETICO'!F7:F995"),INDIRECT("'01_SINTETICO'!B7:B995"),$C23)</f>
        <v>767.33</v>
      </c>
      <c r="H23" s="268" t="n">
        <f aca="false">VLOOKUP($C23,01_SINTETICO!$B:$M,6,0)*$G23*(1+BDI_DIF)</f>
        <v>128334.779101697</v>
      </c>
      <c r="I23" s="268" t="n">
        <f aca="false">VLOOKUP($C23,01_SINTETICO!$B:$M,7,0)*$G23*(1+BDI_MDO)</f>
        <v>11418.4572135557</v>
      </c>
      <c r="J23" s="269" t="n">
        <f aca="false">SUM(H23:I23)</f>
        <v>139753.236315253</v>
      </c>
      <c r="K23" s="270" t="n">
        <f aca="false">J23/SUM($J$7:$J$749)</f>
        <v>0.0154809845242127</v>
      </c>
      <c r="L23" s="271" t="n">
        <f aca="false">K23+L22</f>
        <v>0.428907083556938</v>
      </c>
    </row>
    <row r="24" customFormat="false" ht="25.5" hidden="false" customHeight="false" outlineLevel="0" collapsed="false">
      <c r="A24" s="264" t="n">
        <f aca="false">K24</f>
        <v>0.0124374001743637</v>
      </c>
      <c r="B24" s="265" t="str">
        <f aca="false">VLOOKUP($C24,01_SINTETICO!$B:$N,13,0)</f>
        <v>12.1.2.1</v>
      </c>
      <c r="C24" s="266" t="n">
        <v>91926</v>
      </c>
      <c r="D24" s="266" t="str">
        <f aca="false">VLOOKUP($C24,01_SINTETICO!$B:$M,2,0)</f>
        <v>CABO DE COBRE FLEXÍVEL ISOLADO, 2,5 MM², ANTI-CHAMA 450/750 V, PARA CIRCUITOS TERMINAIS - FORNECIMENTO E INSTALAÇÃO. AF_03/2023</v>
      </c>
      <c r="E24" s="266" t="str">
        <f aca="false">VLOOKUP($B24,01_SINTETICO!$A:$M,4,0)</f>
        <v>SER.CG</v>
      </c>
      <c r="F24" s="267" t="str">
        <f aca="false">VLOOKUP($B24,01_SINTETICO!$A:$M,5,0)</f>
        <v>M</v>
      </c>
      <c r="G24" s="267" t="n">
        <f aca="true">SUMIFS(INDIRECT("'01_SINTETICO'!F7:F995"),INDIRECT("'01_SINTETICO'!B7:B995"),$C24)</f>
        <v>21800</v>
      </c>
      <c r="H24" s="268" t="n">
        <f aca="false">VLOOKUP($C24,01_SINTETICO!$B:$M,6,0)*$G24*(1+BDI_DIF)</f>
        <v>84285.8740540472</v>
      </c>
      <c r="I24" s="268" t="n">
        <f aca="false">VLOOKUP($C24,01_SINTETICO!$B:$M,7,0)*$G24*(1+BDI_MDO)</f>
        <v>27991.670245327</v>
      </c>
      <c r="J24" s="269" t="n">
        <f aca="false">SUM(H24:I24)</f>
        <v>112277.544299374</v>
      </c>
      <c r="K24" s="270" t="n">
        <f aca="false">J24/SUM($J$7:$J$749)</f>
        <v>0.0124374001743637</v>
      </c>
      <c r="L24" s="271" t="n">
        <f aca="false">K24+L23</f>
        <v>0.441344483731302</v>
      </c>
    </row>
    <row r="25" customFormat="false" ht="25.5" hidden="false" customHeight="false" outlineLevel="0" collapsed="false">
      <c r="A25" s="264" t="n">
        <f aca="false">K25</f>
        <v>0.0123987629112595</v>
      </c>
      <c r="B25" s="265" t="str">
        <f aca="false">VLOOKUP($C25,01_SINTETICO!$B:$N,13,0)</f>
        <v>4.3.1</v>
      </c>
      <c r="C25" s="266" t="s">
        <v>371</v>
      </c>
      <c r="D25" s="266" t="str">
        <f aca="false">VLOOKUP($C25,01_SINTETICO!$B:$M,2,0)</f>
        <v>PAINEL EM PERFIS DE ALUMÍNIO, COM VIDRO LÂMINADO 8MM - FORNECIMENTO E INSTALAÇÃO.</v>
      </c>
      <c r="E25" s="266" t="str">
        <f aca="false">VLOOKUP($B25,01_SINTETICO!$A:$M,4,0)</f>
        <v>SER.CG</v>
      </c>
      <c r="F25" s="267" t="str">
        <f aca="false">VLOOKUP($B25,01_SINTETICO!$A:$M,5,0)</f>
        <v>M2</v>
      </c>
      <c r="G25" s="267" t="n">
        <f aca="true">SUMIFS(INDIRECT("'01_SINTETICO'!F7:F995"),INDIRECT("'01_SINTETICO'!B7:B995"),$C25)</f>
        <v>103.81</v>
      </c>
      <c r="H25" s="268" t="n">
        <f aca="false">VLOOKUP($C25,01_SINTETICO!$B:$M,6,0)*$G25*(1+BDI_DIF)</f>
        <v>92231.6399010393</v>
      </c>
      <c r="I25" s="268" t="n">
        <f aca="false">VLOOKUP($C25,01_SINTETICO!$B:$M,7,0)*$G25*(1+BDI_MDO)</f>
        <v>19697.109878663</v>
      </c>
      <c r="J25" s="269" t="n">
        <f aca="false">SUM(H25:I25)</f>
        <v>111928.749779702</v>
      </c>
      <c r="K25" s="270" t="n">
        <f aca="false">J25/SUM($J$7:$J$749)</f>
        <v>0.0123987629112595</v>
      </c>
      <c r="L25" s="271" t="n">
        <f aca="false">K25+L24</f>
        <v>0.453743246642562</v>
      </c>
    </row>
    <row r="26" customFormat="false" ht="38.25" hidden="false" customHeight="false" outlineLevel="0" collapsed="false">
      <c r="A26" s="264" t="n">
        <f aca="false">K26</f>
        <v>0.0123348149116913</v>
      </c>
      <c r="B26" s="265" t="str">
        <f aca="false">VLOOKUP($C26,01_SINTETICO!$B:$N,13,0)</f>
        <v>5.2.2.1.6</v>
      </c>
      <c r="C26" s="266" t="s">
        <v>431</v>
      </c>
      <c r="D26" s="266" t="str">
        <f aca="false">VLOOKUP($C26,01_SINTETICO!$B:$M,2,0)</f>
        <v>JANELA DE ALUMÍNIO, 4 FOLHAS, SENDO 2 FOLHAS CENTRAIS FIXAS + 2 FOLHAS LATERAIS COM BASE FIXA E PARTE SUPERIOR BASCULANTE, COM VIDRO, BATENTE E FERRAGENS. FORNECIMENTO E INSTALAÇÃO.</v>
      </c>
      <c r="E26" s="266" t="str">
        <f aca="false">VLOOKUP($B26,01_SINTETICO!$A:$M,4,0)</f>
        <v>SER.CG</v>
      </c>
      <c r="F26" s="267" t="str">
        <f aca="false">VLOOKUP($B26,01_SINTETICO!$A:$M,5,0)</f>
        <v>M2</v>
      </c>
      <c r="G26" s="267" t="n">
        <f aca="true">SUMIFS(INDIRECT("'01_SINTETICO'!F7:F995"),INDIRECT("'01_SINTETICO'!B7:B995"),$C26)</f>
        <v>144.25</v>
      </c>
      <c r="H26" s="268" t="n">
        <f aca="false">VLOOKUP($C26,01_SINTETICO!$B:$M,6,0)*$G26*(1+BDI_DIF)</f>
        <v>108617.352193356</v>
      </c>
      <c r="I26" s="268" t="n">
        <f aca="false">VLOOKUP($C26,01_SINTETICO!$B:$M,7,0)*$G26*(1+BDI_MDO)</f>
        <v>2734.1126028517</v>
      </c>
      <c r="J26" s="269" t="n">
        <f aca="false">SUM(H26:I26)</f>
        <v>111351.464796208</v>
      </c>
      <c r="K26" s="270" t="n">
        <f aca="false">J26/SUM($J$7:$J$749)</f>
        <v>0.0123348149116913</v>
      </c>
      <c r="L26" s="271" t="n">
        <f aca="false">K26+L25</f>
        <v>0.466078061554253</v>
      </c>
    </row>
    <row r="27" customFormat="false" ht="25.5" hidden="false" customHeight="false" outlineLevel="0" collapsed="false">
      <c r="A27" s="264" t="n">
        <f aca="false">K27</f>
        <v>0.0118235756759104</v>
      </c>
      <c r="B27" s="265" t="str">
        <f aca="false">VLOOKUP($C27,01_SINTETICO!$B:$N,13,0)</f>
        <v>1.02</v>
      </c>
      <c r="C27" s="266" t="n">
        <v>100321</v>
      </c>
      <c r="D27" s="266" t="str">
        <f aca="false">VLOOKUP($C27,01_SINTETICO!$B:$M,2,0)</f>
        <v>TÉCNICO EM SEGURANÇA DO TRABALHO COM ENCARGOS COMPLEMENTARES</v>
      </c>
      <c r="E27" s="266" t="str">
        <f aca="false">VLOOKUP($B27,01_SINTETICO!$A:$M,4,0)</f>
        <v>SER.CG</v>
      </c>
      <c r="F27" s="267" t="str">
        <f aca="false">VLOOKUP($B27,01_SINTETICO!$A:$M,5,0)</f>
        <v>MES</v>
      </c>
      <c r="G27" s="267" t="n">
        <f aca="true">SUMIFS(INDIRECT("'01_SINTETICO'!F7:F995"),INDIRECT("'01_SINTETICO'!B7:B995"),$C27)</f>
        <v>16</v>
      </c>
      <c r="H27" s="268" t="n">
        <f aca="false">VLOOKUP($C27,01_SINTETICO!$B:$M,6,0)*$G27*(1+BDI_DIF)</f>
        <v>8306.0008138635</v>
      </c>
      <c r="I27" s="268" t="n">
        <f aca="false">VLOOKUP($C27,01_SINTETICO!$B:$M,7,0)*$G27*(1+BDI_MDO)</f>
        <v>98430.2964120925</v>
      </c>
      <c r="J27" s="269" t="n">
        <f aca="false">SUM(H27:I27)</f>
        <v>106736.297225956</v>
      </c>
      <c r="K27" s="270" t="n">
        <f aca="false">J27/SUM($J$7:$J$749)</f>
        <v>0.0118235756759104</v>
      </c>
      <c r="L27" s="271" t="n">
        <f aca="false">K27+L26</f>
        <v>0.477901637230163</v>
      </c>
    </row>
    <row r="28" customFormat="false" ht="25.5" hidden="false" customHeight="false" outlineLevel="0" collapsed="false">
      <c r="A28" s="264" t="n">
        <f aca="false">K28</f>
        <v>0.0105532018641175</v>
      </c>
      <c r="B28" s="265" t="str">
        <f aca="false">VLOOKUP($C28,01_SINTETICO!$B:$N,13,0)</f>
        <v>1.05</v>
      </c>
      <c r="C28" s="266" t="s">
        <v>64</v>
      </c>
      <c r="D28" s="266" t="str">
        <f aca="false">VLOOKUP($C28,01_SINTETICO!$B:$M,2,0)</f>
        <v>VIGIA NOTURNO COM ENCARGOS COMPLEMENTARES</v>
      </c>
      <c r="E28" s="266" t="str">
        <f aca="false">VLOOKUP($B28,01_SINTETICO!$A:$M,4,0)</f>
        <v>SER.CG</v>
      </c>
      <c r="F28" s="267" t="str">
        <f aca="false">VLOOKUP($B28,01_SINTETICO!$A:$M,5,0)</f>
        <v>MÊS</v>
      </c>
      <c r="G28" s="267" t="n">
        <f aca="true">SUMIFS(INDIRECT("'01_SINTETICO'!F7:F995"),INDIRECT("'01_SINTETICO'!B7:B995"),$C28)</f>
        <v>16</v>
      </c>
      <c r="H28" s="268" t="n">
        <f aca="false">VLOOKUP($C28,01_SINTETICO!$B:$M,6,0)*$G28*(1+BDI_DIF)</f>
        <v>25798.2744905645</v>
      </c>
      <c r="I28" s="268" t="n">
        <f aca="false">VLOOKUP($C28,01_SINTETICO!$B:$M,7,0)*$G28*(1+BDI_MDO)</f>
        <v>69469.8340520087</v>
      </c>
      <c r="J28" s="269" t="n">
        <f aca="false">SUM(H28:I28)</f>
        <v>95268.1085425732</v>
      </c>
      <c r="K28" s="270" t="n">
        <f aca="false">J28/SUM($J$7:$J$749)</f>
        <v>0.0105532018641175</v>
      </c>
      <c r="L28" s="271" t="n">
        <f aca="false">K28+L27</f>
        <v>0.488454839094281</v>
      </c>
    </row>
    <row r="29" customFormat="false" ht="25.5" hidden="false" customHeight="false" outlineLevel="0" collapsed="false">
      <c r="A29" s="264" t="n">
        <f aca="false">K29</f>
        <v>0.0102727262256997</v>
      </c>
      <c r="B29" s="265" t="str">
        <f aca="false">VLOOKUP($C29,01_SINTETICO!$B:$N,13,0)</f>
        <v>3.2.1.3.4</v>
      </c>
      <c r="C29" s="266" t="n">
        <v>92762</v>
      </c>
      <c r="D29" s="266" t="str">
        <f aca="false">VLOOKUP($C29,01_SINTETICO!$B:$M,2,0)</f>
        <v>ARMAÇÃO DE PILAR OU VIGA DE ESTRUTURA CONVENCIONAL DE CONCRETO ARMADO UTILIZANDO AÇO CA-50 DE 10,0 MM - MONTAGEM. AF_06/2022</v>
      </c>
      <c r="E29" s="266" t="str">
        <f aca="false">VLOOKUP($B29,01_SINTETICO!$A:$M,4,0)</f>
        <v>SER.CG</v>
      </c>
      <c r="F29" s="267" t="str">
        <f aca="false">VLOOKUP($B29,01_SINTETICO!$A:$M,5,0)</f>
        <v>KG</v>
      </c>
      <c r="G29" s="267" t="n">
        <f aca="true">SUMIFS(INDIRECT("'01_SINTETICO'!F7:F995"),INDIRECT("'01_SINTETICO'!B7:B995"),$C29)</f>
        <v>7341.45</v>
      </c>
      <c r="H29" s="268" t="n">
        <f aca="false">VLOOKUP($C29,01_SINTETICO!$B:$M,6,0)*$G29*(1+BDI_DIF)</f>
        <v>82568.0240387411</v>
      </c>
      <c r="I29" s="268" t="n">
        <f aca="false">VLOOKUP($C29,01_SINTETICO!$B:$M,7,0)*$G29*(1+BDI_MDO)</f>
        <v>10168.1151633051</v>
      </c>
      <c r="J29" s="269" t="n">
        <f aca="false">SUM(H29:I29)</f>
        <v>92736.1392020462</v>
      </c>
      <c r="K29" s="270" t="n">
        <f aca="false">J29/SUM($J$7:$J$749)</f>
        <v>0.0102727262256997</v>
      </c>
      <c r="L29" s="271" t="n">
        <f aca="false">K29+L28</f>
        <v>0.498727565319981</v>
      </c>
    </row>
    <row r="30" customFormat="false" ht="25.5" hidden="false" customHeight="false" outlineLevel="0" collapsed="false">
      <c r="A30" s="264" t="n">
        <f aca="false">K30</f>
        <v>0.00930221686176038</v>
      </c>
      <c r="B30" s="265" t="str">
        <f aca="false">VLOOKUP($C30,01_SINTETICO!$B:$N,13,0)</f>
        <v>3.2.1.2.8</v>
      </c>
      <c r="C30" s="272" t="s">
        <v>131</v>
      </c>
      <c r="D30" s="266" t="str">
        <f aca="false">VLOOKUP($C30,01_SINTETICO!$B:$M,2,0)</f>
        <v>CONCRETAGEM DE BLOCO DE COROAMENTO OU VIGA BALDRAME, FCK 35 MPA, COM USO DE BOMBA - LANÇAMENTO, ADENSAMENTO E ACABAMENTO.</v>
      </c>
      <c r="E30" s="272" t="str">
        <f aca="false">VLOOKUP($B30,01_SINTETICO!$A:$M,4,0)</f>
        <v>SER.CG</v>
      </c>
      <c r="F30" s="273" t="str">
        <f aca="false">VLOOKUP($B30,01_SINTETICO!$A:$M,5,0)</f>
        <v>M3</v>
      </c>
      <c r="G30" s="267" t="n">
        <f aca="true">SUMIFS(INDIRECT("'01_SINTETICO'!F7:F995"),INDIRECT("'01_SINTETICO'!B7:B995"),$C30)</f>
        <v>84.12</v>
      </c>
      <c r="H30" s="268" t="n">
        <f aca="false">VLOOKUP($C30,01_SINTETICO!$B:$M,6,0)*$G30*(1+BDI_DIF)</f>
        <v>82524.7734187202</v>
      </c>
      <c r="I30" s="268" t="n">
        <f aca="false">VLOOKUP($C30,01_SINTETICO!$B:$M,7,0)*$G30*(1+BDI_MDO)</f>
        <v>1450.17722502431</v>
      </c>
      <c r="J30" s="269" t="n">
        <f aca="false">SUM(H30:I30)</f>
        <v>83974.9506437445</v>
      </c>
      <c r="K30" s="270" t="n">
        <f aca="false">J30/SUM($J$7:$J$749)</f>
        <v>0.00930221686176038</v>
      </c>
      <c r="L30" s="271" t="n">
        <f aca="false">K30+L29</f>
        <v>0.508029782181741</v>
      </c>
    </row>
    <row r="31" customFormat="false" ht="25.5" hidden="false" customHeight="false" outlineLevel="0" collapsed="false">
      <c r="A31" s="264" t="n">
        <f aca="false">K31</f>
        <v>0.00919603529391509</v>
      </c>
      <c r="B31" s="265" t="str">
        <f aca="false">VLOOKUP($C31,01_SINTETICO!$B:$N,13,0)</f>
        <v>8.2.3.2.1</v>
      </c>
      <c r="C31" s="272" t="s">
        <v>573</v>
      </c>
      <c r="D31" s="266" t="str">
        <f aca="false">VLOOKUP($C31,01_SINTETICO!$B:$M,2,0)</f>
        <v>TEXTURA ACRÍLICA, APLICAÇÃO MANUAL EM PAREDE, UMA DEMÃO.</v>
      </c>
      <c r="E31" s="272" t="str">
        <f aca="false">VLOOKUP($B31,01_SINTETICO!$A:$M,4,0)</f>
        <v>SER.CG</v>
      </c>
      <c r="F31" s="273" t="str">
        <f aca="false">VLOOKUP($B31,01_SINTETICO!$A:$M,5,0)</f>
        <v>M2</v>
      </c>
      <c r="G31" s="267" t="n">
        <f aca="true">SUMIFS(INDIRECT("'01_SINTETICO'!F7:F995"),INDIRECT("'01_SINTETICO'!B7:B995"),$C31)</f>
        <v>4201.03</v>
      </c>
      <c r="H31" s="268" t="n">
        <f aca="false">VLOOKUP($C31,01_SINTETICO!$B:$M,6,0)*$G31*(1+BDI_DIF)</f>
        <v>62441.0242233598</v>
      </c>
      <c r="I31" s="268" t="n">
        <f aca="false">VLOOKUP($C31,01_SINTETICO!$B:$M,7,0)*$G31*(1+BDI_MDO)</f>
        <v>20575.3815862239</v>
      </c>
      <c r="J31" s="269" t="n">
        <f aca="false">SUM(H31:I31)</f>
        <v>83016.4058095837</v>
      </c>
      <c r="K31" s="270" t="n">
        <f aca="false">J31/SUM($J$7:$J$749)</f>
        <v>0.00919603529391509</v>
      </c>
      <c r="L31" s="271" t="n">
        <f aca="false">K31+L30</f>
        <v>0.517225817475656</v>
      </c>
    </row>
    <row r="32" customFormat="false" ht="25.5" hidden="false" customHeight="false" outlineLevel="0" collapsed="false">
      <c r="A32" s="264" t="n">
        <f aca="false">K32</f>
        <v>0.00883866763474413</v>
      </c>
      <c r="B32" s="265" t="str">
        <f aca="false">VLOOKUP($C32,01_SINTETICO!$B:$N,13,0)</f>
        <v>4.7.1</v>
      </c>
      <c r="C32" s="272" t="n">
        <v>99841</v>
      </c>
      <c r="D32" s="266" t="str">
        <f aca="false">VLOOKUP($C32,01_SINTETICO!$B:$M,2,0)</f>
        <v>GUARDA-CORPO PANORÂMICO COM PERFIS DE ALUMÍNIO E VIDRO LAMINADO 8 MM, FIXADO COM CHUMBADOR MECÂNICO. AF_04/2019_PS</v>
      </c>
      <c r="E32" s="272" t="str">
        <f aca="false">VLOOKUP($B32,01_SINTETICO!$A:$M,4,0)</f>
        <v>SER.CG</v>
      </c>
      <c r="F32" s="273" t="str">
        <f aca="false">VLOOKUP($B32,01_SINTETICO!$A:$M,5,0)</f>
        <v>M</v>
      </c>
      <c r="G32" s="267" t="n">
        <f aca="true">SUMIFS(INDIRECT("'01_SINTETICO'!F7:F995"),INDIRECT("'01_SINTETICO'!B7:B995"),$C32)</f>
        <v>69.73</v>
      </c>
      <c r="H32" s="268" t="n">
        <f aca="false">VLOOKUP($C32,01_SINTETICO!$B:$M,6,0)*$G32*(1+BDI_DIF)</f>
        <v>70409.7456821455</v>
      </c>
      <c r="I32" s="268" t="n">
        <f aca="false">VLOOKUP($C32,01_SINTETICO!$B:$M,7,0)*$G32*(1+BDI_MDO)</f>
        <v>9380.55478217181</v>
      </c>
      <c r="J32" s="269" t="n">
        <f aca="false">SUM(H32:I32)</f>
        <v>79790.3004643174</v>
      </c>
      <c r="K32" s="270" t="n">
        <f aca="false">J32/SUM($J$7:$J$749)</f>
        <v>0.00883866763474413</v>
      </c>
      <c r="L32" s="271" t="n">
        <f aca="false">K32+L31</f>
        <v>0.5260644851104</v>
      </c>
    </row>
    <row r="33" customFormat="false" ht="25.5" hidden="false" customHeight="false" outlineLevel="0" collapsed="false">
      <c r="A33" s="264" t="n">
        <f aca="false">K33</f>
        <v>0.00869686253457318</v>
      </c>
      <c r="B33" s="265" t="str">
        <f aca="false">VLOOKUP($C33,01_SINTETICO!$B:$N,13,0)</f>
        <v>12.5.2</v>
      </c>
      <c r="C33" s="272" t="s">
        <v>989</v>
      </c>
      <c r="D33" s="266" t="str">
        <f aca="false">VLOOKUP($C33,01_SINTETICO!$B:$M,2,0)</f>
        <v>LUMINÁRIA TIPO CALHA, DE EMBUTIR, COM 4 LÂMPADAS TUBULARES LED DE 9 W, 6500 K - FORNECIMENTO E INSTALAÇÃO.</v>
      </c>
      <c r="E33" s="272" t="str">
        <f aca="false">VLOOKUP($B33,01_SINTETICO!$A:$M,4,0)</f>
        <v>SER.CG</v>
      </c>
      <c r="F33" s="273" t="str">
        <f aca="false">VLOOKUP($B33,01_SINTETICO!$A:$M,5,0)</f>
        <v>UN</v>
      </c>
      <c r="G33" s="267" t="n">
        <f aca="true">SUMIFS(INDIRECT("'01_SINTETICO'!F7:F995"),INDIRECT("'01_SINTETICO'!B7:B995"),$C33)</f>
        <v>329</v>
      </c>
      <c r="H33" s="268" t="n">
        <f aca="false">VLOOKUP($C33,01_SINTETICO!$B:$M,6,0)*$G33*(1+BDI_DIF)</f>
        <v>77728.9947792233</v>
      </c>
      <c r="I33" s="268" t="n">
        <f aca="false">VLOOKUP($C33,01_SINTETICO!$B:$M,7,0)*$G33*(1+BDI_MDO)</f>
        <v>781.172522768125</v>
      </c>
      <c r="J33" s="269" t="n">
        <f aca="false">SUM(H33:I33)</f>
        <v>78510.1673019914</v>
      </c>
      <c r="K33" s="270" t="n">
        <f aca="false">J33/SUM($J$7:$J$749)</f>
        <v>0.00869686253457318</v>
      </c>
      <c r="L33" s="271" t="n">
        <f aca="false">K33+L32</f>
        <v>0.534761347644973</v>
      </c>
    </row>
    <row r="34" customFormat="false" ht="38.25" hidden="false" customHeight="false" outlineLevel="0" collapsed="false">
      <c r="A34" s="264" t="n">
        <f aca="false">K34</f>
        <v>0.00860175083964195</v>
      </c>
      <c r="B34" s="265" t="str">
        <f aca="false">VLOOKUP($C34,01_SINTETICO!$B:$N,13,0)</f>
        <v>*16.1.1.14</v>
      </c>
      <c r="C34" s="266" t="s">
        <v>1254</v>
      </c>
      <c r="D34" s="266" t="str">
        <f aca="false">VLOOKUP($C34,01_SINTETICO!$B:$M,2,0)</f>
        <v>AR CONDICIONADO MULTI-SPLIT ON/OFF, EVAPORADORAS CASSETE 1V 12000 + CASSETE 4V 20000 BTUS/H, CONDENSADORA 24000 BTUS/H - FORNECIMENTO E INSTALAÇÃO.</v>
      </c>
      <c r="E34" s="266" t="str">
        <f aca="false">VLOOKUP($B34,01_SINTETICO!$A:$M,4,0)</f>
        <v>SER.CG</v>
      </c>
      <c r="F34" s="267" t="str">
        <f aca="false">VLOOKUP($B34,01_SINTETICO!$A:$M,5,0)</f>
        <v>UN</v>
      </c>
      <c r="G34" s="267" t="n">
        <f aca="true">SUMIFS(INDIRECT("'01_SINTETICO'!F7:F995"),INDIRECT("'01_SINTETICO'!B7:B995"),$C34)</f>
        <v>3</v>
      </c>
      <c r="H34" s="268" t="n">
        <f aca="false">VLOOKUP($C34,01_SINTETICO!$B:$M,6,0)*$G34*(1+BDI_DIF)</f>
        <v>76603.7235895087</v>
      </c>
      <c r="I34" s="268" t="n">
        <f aca="false">VLOOKUP($C34,01_SINTETICO!$B:$M,7,0)*$G34*(1+BDI_MDO)</f>
        <v>1047.83118966289</v>
      </c>
      <c r="J34" s="269" t="n">
        <f aca="false">SUM(H34:I34)</f>
        <v>77651.5547791716</v>
      </c>
      <c r="K34" s="270" t="n">
        <f aca="false">J34/SUM($J$7:$J$749)</f>
        <v>0.00860175083964195</v>
      </c>
      <c r="L34" s="271" t="n">
        <f aca="false">K34+L33</f>
        <v>0.543363098484615</v>
      </c>
    </row>
    <row r="35" customFormat="false" ht="25.5" hidden="false" customHeight="false" outlineLevel="0" collapsed="false">
      <c r="A35" s="264" t="n">
        <f aca="false">K35</f>
        <v>0.00817131872295398</v>
      </c>
      <c r="B35" s="265" t="str">
        <f aca="false">VLOOKUP($C35,01_SINTETICO!$B:$N,13,0)</f>
        <v>8.3.3.1</v>
      </c>
      <c r="C35" s="266" t="n">
        <v>96113</v>
      </c>
      <c r="D35" s="266" t="str">
        <f aca="false">VLOOKUP($C35,01_SINTETICO!$B:$M,2,0)</f>
        <v>FORRO EM PLACAS DE GESSO, PARA AMBIENTES COMERCIAIS. AF_08/2023_PS</v>
      </c>
      <c r="E35" s="266" t="str">
        <f aca="false">VLOOKUP($B35,01_SINTETICO!$A:$M,4,0)</f>
        <v>SER.CG</v>
      </c>
      <c r="F35" s="267" t="str">
        <f aca="false">VLOOKUP($B35,01_SINTETICO!$A:$M,5,0)</f>
        <v>M2</v>
      </c>
      <c r="G35" s="267" t="n">
        <f aca="true">SUMIFS(INDIRECT("'01_SINTETICO'!F7:F995"),INDIRECT("'01_SINTETICO'!B7:B995"),$C35)</f>
        <v>1399.92</v>
      </c>
      <c r="H35" s="268" t="n">
        <f aca="false">VLOOKUP($C35,01_SINTETICO!$B:$M,6,0)*$G35*(1+BDI_DIF)</f>
        <v>37087.5872115547</v>
      </c>
      <c r="I35" s="268" t="n">
        <f aca="false">VLOOKUP($C35,01_SINTETICO!$B:$M,7,0)*$G35*(1+BDI_MDO)</f>
        <v>36678.2792105821</v>
      </c>
      <c r="J35" s="269" t="n">
        <f aca="false">SUM(H35:I35)</f>
        <v>73765.8664221369</v>
      </c>
      <c r="K35" s="270" t="n">
        <f aca="false">J35/SUM($J$7:$J$749)</f>
        <v>0.00817131872295398</v>
      </c>
      <c r="L35" s="271" t="n">
        <f aca="false">K35+L34</f>
        <v>0.551534417207569</v>
      </c>
    </row>
    <row r="36" customFormat="false" ht="38.25" hidden="false" customHeight="false" outlineLevel="0" collapsed="false">
      <c r="A36" s="264" t="n">
        <f aca="false">K36</f>
        <v>0.00815297861187864</v>
      </c>
      <c r="B36" s="265" t="str">
        <f aca="false">VLOOKUP($C36,01_SINTETICO!$B:$N,13,0)</f>
        <v>3.2.2.3.1.3</v>
      </c>
      <c r="C36" s="266" t="s">
        <v>194</v>
      </c>
      <c r="D36" s="266" t="str">
        <f aca="false">VLOOKUP($C36,01_SINTETICO!$B:$M,2,0)</f>
        <v>LAJE PRÉ-MOLDADA UNIDIRECIONAL, BIAPOIADA, PARA PISO, ENCHIMENTO EM EPS, VIGOTA CONVENCIONAL, ALTURA TOTAL DA LAJE (ENCHIMENTO+CAPA) = (16+5).</v>
      </c>
      <c r="E36" s="266" t="str">
        <f aca="false">VLOOKUP($B36,01_SINTETICO!$A:$M,4,0)</f>
        <v>SER.CG</v>
      </c>
      <c r="F36" s="267" t="str">
        <f aca="false">VLOOKUP($B36,01_SINTETICO!$A:$M,5,0)</f>
        <v>M2</v>
      </c>
      <c r="G36" s="267" t="n">
        <f aca="true">SUMIFS(INDIRECT("'01_SINTETICO'!F7:F995"),INDIRECT("'01_SINTETICO'!B7:B995"),$C36)</f>
        <v>219.31</v>
      </c>
      <c r="H36" s="268" t="n">
        <f aca="false">VLOOKUP($C36,01_SINTETICO!$B:$M,6,0)*$G36*(1+BDI_DIF)</f>
        <v>63772.4088842638</v>
      </c>
      <c r="I36" s="268" t="n">
        <f aca="false">VLOOKUP($C36,01_SINTETICO!$B:$M,7,0)*$G36*(1+BDI_MDO)</f>
        <v>9827.89378621688</v>
      </c>
      <c r="J36" s="269" t="n">
        <f aca="false">SUM(H36:I36)</f>
        <v>73600.3026704807</v>
      </c>
      <c r="K36" s="270" t="n">
        <f aca="false">J36/SUM($J$7:$J$749)</f>
        <v>0.00815297861187864</v>
      </c>
      <c r="L36" s="271" t="n">
        <f aca="false">K36+L35</f>
        <v>0.559687395819448</v>
      </c>
    </row>
    <row r="37" customFormat="false" ht="51" hidden="false" customHeight="false" outlineLevel="0" collapsed="false">
      <c r="A37" s="264" t="n">
        <f aca="false">K37</f>
        <v>0.00809501245414618</v>
      </c>
      <c r="B37" s="265" t="str">
        <f aca="false">VLOOKUP($C37,01_SINTETICO!$B:$N,13,0)</f>
        <v>8.1.1.1.1</v>
      </c>
      <c r="C37" s="272" t="n">
        <v>87630</v>
      </c>
      <c r="D37" s="266" t="str">
        <f aca="false">VLOOKUP($C37,01_SINTETICO!$B:$M,2,0)</f>
        <v>CONTRAPISO EM ARGAMASSA TRAÇO 1:4 (CIMENTO E AREIA), PREPARO MECÂNICO COM BETONEIRA 400 L, APLICADO EM ÁREAS SECAS SOBRE LAJE, ADERIDO, ACABAMENTO NÃO REFORÇADO, ESPESSURA 3CM. AF_07/2021</v>
      </c>
      <c r="E37" s="272" t="str">
        <f aca="false">VLOOKUP($B37,01_SINTETICO!$A:$M,4,0)</f>
        <v>SER.CG</v>
      </c>
      <c r="F37" s="273" t="str">
        <f aca="false">VLOOKUP($B37,01_SINTETICO!$A:$M,5,0)</f>
        <v>M2</v>
      </c>
      <c r="G37" s="267" t="n">
        <f aca="true">SUMIFS(INDIRECT("'01_SINTETICO'!F7:F995"),INDIRECT("'01_SINTETICO'!B7:B995"),$C37)</f>
        <v>1573.82</v>
      </c>
      <c r="H37" s="268" t="n">
        <f aca="false">VLOOKUP($C37,01_SINTETICO!$B:$M,6,0)*$G37*(1+BDI_DIF)</f>
        <v>54642.8275554183</v>
      </c>
      <c r="I37" s="268" t="n">
        <f aca="false">VLOOKUP($C37,01_SINTETICO!$B:$M,7,0)*$G37*(1+BDI_MDO)</f>
        <v>18434.19068653</v>
      </c>
      <c r="J37" s="269" t="n">
        <f aca="false">SUM(H37:I37)</f>
        <v>73077.0182419482</v>
      </c>
      <c r="K37" s="270" t="n">
        <f aca="false">J37/SUM($J$7:$J$749)</f>
        <v>0.00809501245414618</v>
      </c>
      <c r="L37" s="271" t="n">
        <f aca="false">K37+L36</f>
        <v>0.567782408273594</v>
      </c>
    </row>
    <row r="38" customFormat="false" ht="51" hidden="false" customHeight="false" outlineLevel="0" collapsed="false">
      <c r="A38" s="264" t="n">
        <f aca="false">K38</f>
        <v>0.00795238454611411</v>
      </c>
      <c r="B38" s="265" t="str">
        <f aca="false">VLOOKUP($C38,01_SINTETICO!$B:$N,13,0)</f>
        <v>5.3.1.1.2</v>
      </c>
      <c r="C38" s="266" t="n">
        <v>90844</v>
      </c>
      <c r="D38" s="266" t="str">
        <f aca="false">VLOOKUP($C38,01_SINTETICO!$B:$M,2,0)</f>
        <v>KIT DE PORTA DE MADEIRA PARA PINTURA, SEMI-OCA (LEVE OU MÉDIA), PADRÃO MÉDIO, 90X210CM, ESPESSURA DE 3,5CM, ITENS INCLUSOS: DOBRADIÇAS, MONTAGEM E INSTALAÇÃO DO BATENTE, FECHADURA COM EXECUÇÃO DO FURO - FORNECIMENTO E INSTALAÇÃO. AF_12/2019</v>
      </c>
      <c r="E38" s="266" t="str">
        <f aca="false">VLOOKUP($B38,01_SINTETICO!$A:$M,4,0)</f>
        <v>SER.CG</v>
      </c>
      <c r="F38" s="267" t="str">
        <f aca="false">VLOOKUP($B38,01_SINTETICO!$A:$M,5,0)</f>
        <v>UN</v>
      </c>
      <c r="G38" s="267" t="n">
        <f aca="true">SUMIFS(INDIRECT("'01_SINTETICO'!F7:F995"),INDIRECT("'01_SINTETICO'!B7:B995"),$C38)</f>
        <v>54</v>
      </c>
      <c r="H38" s="268" t="n">
        <f aca="false">VLOOKUP($C38,01_SINTETICO!$B:$M,6,0)*$G38*(1+BDI_DIF)</f>
        <v>57169.263012108</v>
      </c>
      <c r="I38" s="268" t="n">
        <f aca="false">VLOOKUP($C38,01_SINTETICO!$B:$M,7,0)*$G38*(1+BDI_MDO)</f>
        <v>14620.1942413786</v>
      </c>
      <c r="J38" s="269" t="n">
        <f aca="false">SUM(H38:I38)</f>
        <v>71789.4572534866</v>
      </c>
      <c r="K38" s="270" t="n">
        <f aca="false">J38/SUM($J$7:$J$749)</f>
        <v>0.00795238454611411</v>
      </c>
      <c r="L38" s="271" t="n">
        <f aca="false">K38+L37</f>
        <v>0.575734792819708</v>
      </c>
    </row>
    <row r="39" customFormat="false" ht="25.5" hidden="false" customHeight="false" outlineLevel="0" collapsed="false">
      <c r="A39" s="264" t="n">
        <f aca="false">K39</f>
        <v>0.00763200644365235</v>
      </c>
      <c r="B39" s="265" t="str">
        <f aca="false">VLOOKUP($C39,01_SINTETICO!$B:$N,13,0)</f>
        <v>3.2.1.4.2</v>
      </c>
      <c r="C39" s="266" t="n">
        <v>96533</v>
      </c>
      <c r="D39" s="266" t="str">
        <f aca="false">VLOOKUP($C39,01_SINTETICO!$B:$M,2,0)</f>
        <v>FABRICAÇÃO, MONTAGEM E DESMONTAGEM DE FÔRMA PARA VIGA BALDRAME, EM MADEIRA SERRADA, E=25 MM, 2 UTILIZAÇÕES. AF_01/2024</v>
      </c>
      <c r="E39" s="266" t="str">
        <f aca="false">VLOOKUP($B39,01_SINTETICO!$A:$M,4,0)</f>
        <v>SER.CG</v>
      </c>
      <c r="F39" s="267" t="str">
        <f aca="false">VLOOKUP($B39,01_SINTETICO!$A:$M,5,0)</f>
        <v>M2</v>
      </c>
      <c r="G39" s="267" t="n">
        <f aca="true">SUMIFS(INDIRECT("'01_SINTETICO'!F7:F995"),INDIRECT("'01_SINTETICO'!B7:B995"),$C39)</f>
        <v>612.09</v>
      </c>
      <c r="H39" s="268" t="n">
        <f aca="false">VLOOKUP($C39,01_SINTETICO!$B:$M,6,0)*$G39*(1+BDI_DIF)</f>
        <v>43318.2874337299</v>
      </c>
      <c r="I39" s="268" t="n">
        <f aca="false">VLOOKUP($C39,01_SINTETICO!$B:$M,7,0)*$G39*(1+BDI_MDO)</f>
        <v>25578.9844685251</v>
      </c>
      <c r="J39" s="269" t="n">
        <f aca="false">SUM(H39:I39)</f>
        <v>68897.271902255</v>
      </c>
      <c r="K39" s="270" t="n">
        <f aca="false">J39/SUM($J$7:$J$749)</f>
        <v>0.00763200644365235</v>
      </c>
      <c r="L39" s="271" t="n">
        <f aca="false">K39+L38</f>
        <v>0.583366799263361</v>
      </c>
    </row>
    <row r="40" customFormat="false" ht="38.25" hidden="false" customHeight="false" outlineLevel="0" collapsed="false">
      <c r="A40" s="264" t="n">
        <f aca="false">K40</f>
        <v>0.00738594157615338</v>
      </c>
      <c r="B40" s="265" t="str">
        <f aca="false">VLOOKUP($C40,01_SINTETICO!$B:$N,13,0)</f>
        <v>8.2.1.1</v>
      </c>
      <c r="C40" s="266" t="n">
        <v>87905</v>
      </c>
      <c r="D40" s="266" t="str">
        <f aca="false">VLOOKUP($C40,01_SINTETICO!$B:$M,2,0)</f>
        <v>CHAPISCO APLICADO EM ALVENARIA (COM PRESENÇA DE VÃOS) E ESTRUTURAS DE CONCRETO DE FACHADA, COM COLHER DE PEDREIRO. ARGAMASSA TRAÇO 1:3 COM PREPARO EM BETONEIRA 400L. AF_10/2022</v>
      </c>
      <c r="E40" s="266" t="str">
        <f aca="false">VLOOKUP($B40,01_SINTETICO!$A:$M,4,0)</f>
        <v>SER.CG</v>
      </c>
      <c r="F40" s="267" t="str">
        <f aca="false">VLOOKUP($B40,01_SINTETICO!$A:$M,5,0)</f>
        <v>M2</v>
      </c>
      <c r="G40" s="267" t="n">
        <f aca="true">SUMIFS(INDIRECT("'01_SINTETICO'!F7:F995"),INDIRECT("'01_SINTETICO'!B7:B995"),$C40)</f>
        <v>6817.49</v>
      </c>
      <c r="H40" s="268" t="n">
        <f aca="false">VLOOKUP($C40,01_SINTETICO!$B:$M,6,0)*$G40*(1+BDI_DIF)</f>
        <v>27463.2956715555</v>
      </c>
      <c r="I40" s="268" t="n">
        <f aca="false">VLOOKUP($C40,01_SINTETICO!$B:$M,7,0)*$G40*(1+BDI_MDO)</f>
        <v>39212.6471206109</v>
      </c>
      <c r="J40" s="269" t="n">
        <f aca="false">SUM(H40:I40)</f>
        <v>66675.9427921664</v>
      </c>
      <c r="K40" s="270" t="n">
        <f aca="false">J40/SUM($J$7:$J$749)</f>
        <v>0.00738594157615338</v>
      </c>
      <c r="L40" s="271" t="n">
        <f aca="false">K40+L39</f>
        <v>0.590752740839514</v>
      </c>
    </row>
    <row r="41" customFormat="false" ht="38.25" hidden="false" customHeight="false" outlineLevel="0" collapsed="false">
      <c r="A41" s="264" t="n">
        <f aca="false">K41</f>
        <v>0.00737690863036285</v>
      </c>
      <c r="B41" s="265" t="str">
        <f aca="false">VLOOKUP($C41,01_SINTETICO!$B:$N,13,0)</f>
        <v>8.2.2.1</v>
      </c>
      <c r="C41" s="272" t="s">
        <v>561</v>
      </c>
      <c r="D41" s="266" t="str">
        <f aca="false">VLOOKUP($C41,01_SINTETICO!$B:$M,2,0)</f>
        <v>REVESTIMENTO CERÂMICO PARA PAREDES INTERNAS COM PLACAS DE AZULEJO ACETINADO, BORDA BOLD, DE DIMENSÕES 60X30 CM APLICADAS NA ALTURA INTEIRA DAS PAREDES.</v>
      </c>
      <c r="E41" s="272" t="str">
        <f aca="false">VLOOKUP($B41,01_SINTETICO!$A:$M,4,0)</f>
        <v>SER.CG</v>
      </c>
      <c r="F41" s="273" t="str">
        <f aca="false">VLOOKUP($B41,01_SINTETICO!$A:$M,5,0)</f>
        <v>M2</v>
      </c>
      <c r="G41" s="267" t="n">
        <f aca="true">SUMIFS(INDIRECT("'01_SINTETICO'!F7:F995"),INDIRECT("'01_SINTETICO'!B7:B995"),$C41)</f>
        <v>618.26</v>
      </c>
      <c r="H41" s="268" t="n">
        <f aca="false">VLOOKUP($C41,01_SINTETICO!$B:$M,6,0)*$G41*(1+BDI_DIF)</f>
        <v>50880.1973685808</v>
      </c>
      <c r="I41" s="268" t="n">
        <f aca="false">VLOOKUP($C41,01_SINTETICO!$B:$M,7,0)*$G41*(1+BDI_MDO)</f>
        <v>15714.2012940302</v>
      </c>
      <c r="J41" s="269" t="n">
        <f aca="false">SUM(H41:I41)</f>
        <v>66594.398662611</v>
      </c>
      <c r="K41" s="270" t="n">
        <f aca="false">J41/SUM($J$7:$J$749)</f>
        <v>0.00737690863036285</v>
      </c>
      <c r="L41" s="271" t="n">
        <f aca="false">K41+L40</f>
        <v>0.598129649469877</v>
      </c>
    </row>
    <row r="42" customFormat="false" ht="38.25" hidden="false" customHeight="false" outlineLevel="0" collapsed="false">
      <c r="A42" s="264" t="n">
        <f aca="false">K42</f>
        <v>0.0072472025420373</v>
      </c>
      <c r="B42" s="265" t="str">
        <f aca="false">VLOOKUP($C42,01_SINTETICO!$B:$N,13,0)</f>
        <v>*16.1.1.15</v>
      </c>
      <c r="C42" s="266" t="s">
        <v>1256</v>
      </c>
      <c r="D42" s="266" t="str">
        <f aca="false">VLOOKUP($C42,01_SINTETICO!$B:$M,2,0)</f>
        <v>AR CONDICIONADO MULTI-SPLIT ON/OFF, EVAPORADORAS CASSETE 4V 20000 + 12000 + 12000 BTUS/H, CONDENSADORA 28000 BTUS/H - FORNECIMENTO E INSTALAÇÃO.</v>
      </c>
      <c r="E42" s="266" t="str">
        <f aca="false">VLOOKUP($B42,01_SINTETICO!$A:$M,4,0)</f>
        <v>SER.CG</v>
      </c>
      <c r="F42" s="267" t="str">
        <f aca="false">VLOOKUP($B42,01_SINTETICO!$A:$M,5,0)</f>
        <v>UN</v>
      </c>
      <c r="G42" s="267" t="n">
        <f aca="true">SUMIFS(INDIRECT("'01_SINTETICO'!F7:F995"),INDIRECT("'01_SINTETICO'!B7:B995"),$C42)</f>
        <v>2</v>
      </c>
      <c r="H42" s="268" t="n">
        <f aca="false">VLOOKUP($C42,01_SINTETICO!$B:$M,6,0)*$G42*(1+BDI_DIF)</f>
        <v>64375.6570838229</v>
      </c>
      <c r="I42" s="268" t="n">
        <f aca="false">VLOOKUP($C42,01_SINTETICO!$B:$M,7,0)*$G42*(1+BDI_MDO)</f>
        <v>1047.83118966289</v>
      </c>
      <c r="J42" s="269" t="n">
        <f aca="false">SUM(H42:I42)</f>
        <v>65423.4882734857</v>
      </c>
      <c r="K42" s="270" t="n">
        <f aca="false">J42/SUM($J$7:$J$749)</f>
        <v>0.0072472025420373</v>
      </c>
      <c r="L42" s="271" t="n">
        <f aca="false">K42+L41</f>
        <v>0.605376852011914</v>
      </c>
    </row>
    <row r="43" customFormat="false" ht="25.5" hidden="false" customHeight="false" outlineLevel="0" collapsed="false">
      <c r="A43" s="264" t="n">
        <f aca="false">K43</f>
        <v>0.00705198418592762</v>
      </c>
      <c r="B43" s="265" t="str">
        <f aca="false">VLOOKUP($C43,01_SINTETICO!$B:$N,13,0)</f>
        <v>3.2.2.3.1.5</v>
      </c>
      <c r="C43" s="266" t="s">
        <v>198</v>
      </c>
      <c r="D43" s="266" t="str">
        <f aca="false">VLOOKUP($C43,01_SINTETICO!$B:$M,2,0)</f>
        <v>CURA ÚMIDA POR ASPERSÃO DE ÁGUA DURANTE 7 DIAS.</v>
      </c>
      <c r="E43" s="266" t="str">
        <f aca="false">VLOOKUP($B43,01_SINTETICO!$A:$M,4,0)</f>
        <v>SER.CG</v>
      </c>
      <c r="F43" s="267" t="str">
        <f aca="false">VLOOKUP($B43,01_SINTETICO!$A:$M,5,0)</f>
        <v>M2</v>
      </c>
      <c r="G43" s="267" t="n">
        <f aca="true">SUMIFS(INDIRECT("'01_SINTETICO'!F7:F995"),INDIRECT("'01_SINTETICO'!B7:B995"),$C43)</f>
        <v>3271.89</v>
      </c>
      <c r="H43" s="268" t="n">
        <f aca="false">VLOOKUP($C43,01_SINTETICO!$B:$M,6,0)*$G43*(1+BDI_DIF)</f>
        <v>29943.5612715047</v>
      </c>
      <c r="I43" s="268" t="n">
        <f aca="false">VLOOKUP($C43,01_SINTETICO!$B:$M,7,0)*$G43*(1+BDI_MDO)</f>
        <v>33717.6103346011</v>
      </c>
      <c r="J43" s="269" t="n">
        <f aca="false">SUM(H43:I43)</f>
        <v>63661.1716061058</v>
      </c>
      <c r="K43" s="270" t="n">
        <f aca="false">J43/SUM($J$7:$J$749)</f>
        <v>0.00705198418592762</v>
      </c>
      <c r="L43" s="271" t="n">
        <f aca="false">K43+L42</f>
        <v>0.612428836197842</v>
      </c>
    </row>
    <row r="44" customFormat="false" ht="38.25" hidden="false" customHeight="false" outlineLevel="0" collapsed="false">
      <c r="A44" s="264" t="n">
        <f aca="false">K44</f>
        <v>0.00670771372382854</v>
      </c>
      <c r="B44" s="265" t="str">
        <f aca="false">VLOOKUP($C44,01_SINTETICO!$B:$N,13,0)</f>
        <v>12.2.2.1</v>
      </c>
      <c r="C44" s="266" t="n">
        <v>91835</v>
      </c>
      <c r="D44" s="266" t="str">
        <f aca="false">VLOOKUP($C44,01_SINTETICO!$B:$M,2,0)</f>
        <v>ELETRODUTO FLEXÍVEL CORRUGADO REFORÇADO, PVC, DN 25 MM (3/4"), PARA CIRCUITOS TERMINAIS, INSTALADO EM FORRO - FORNECIMENTO E INSTALAÇÃO. AF_03/2023</v>
      </c>
      <c r="E44" s="266" t="str">
        <f aca="false">VLOOKUP($B44,01_SINTETICO!$A:$M,4,0)</f>
        <v>SER.CG</v>
      </c>
      <c r="F44" s="267" t="str">
        <f aca="false">VLOOKUP($B44,01_SINTETICO!$A:$M,5,0)</f>
        <v>M</v>
      </c>
      <c r="G44" s="267" t="n">
        <f aca="true">SUMIFS(INDIRECT("'01_SINTETICO'!F7:F995"),INDIRECT("'01_SINTETICO'!B7:B995"),$C44)</f>
        <v>3350</v>
      </c>
      <c r="H44" s="268" t="n">
        <f aca="false">VLOOKUP($C44,01_SINTETICO!$B:$M,6,0)*$G44*(1+BDI_DIF)</f>
        <v>25704.0445102341</v>
      </c>
      <c r="I44" s="268" t="n">
        <f aca="false">VLOOKUP($C44,01_SINTETICO!$B:$M,7,0)*$G44*(1+BDI_MDO)</f>
        <v>34849.2555537974</v>
      </c>
      <c r="J44" s="269" t="n">
        <f aca="false">SUM(H44:I44)</f>
        <v>60553.3000640314</v>
      </c>
      <c r="K44" s="270" t="n">
        <f aca="false">J44/SUM($J$7:$J$749)</f>
        <v>0.00670771372382854</v>
      </c>
      <c r="L44" s="271" t="n">
        <f aca="false">K44+L43</f>
        <v>0.61913654992167</v>
      </c>
    </row>
    <row r="45" customFormat="false" ht="25.5" hidden="false" customHeight="false" outlineLevel="0" collapsed="false">
      <c r="A45" s="264" t="n">
        <f aca="false">K45</f>
        <v>0.00637833255277155</v>
      </c>
      <c r="B45" s="265" t="str">
        <f aca="false">VLOOKUP($C45,01_SINTETICO!$B:$N,13,0)</f>
        <v>3.2.1.3.3</v>
      </c>
      <c r="C45" s="266" t="n">
        <v>92759</v>
      </c>
      <c r="D45" s="266" t="str">
        <f aca="false">VLOOKUP($C45,01_SINTETICO!$B:$M,2,0)</f>
        <v>ARMAÇÃO DE PILAR OU VIGA DE ESTRUTURA CONVENCIONAL DE CONCRETO ARMADO UTILIZANDO AÇO CA-60 DE 5,0 MM - MONTAGEM. AF_06/2022</v>
      </c>
      <c r="E45" s="266" t="str">
        <f aca="false">VLOOKUP($B45,01_SINTETICO!$A:$M,4,0)</f>
        <v>SER.CG</v>
      </c>
      <c r="F45" s="267" t="str">
        <f aca="false">VLOOKUP($B45,01_SINTETICO!$A:$M,5,0)</f>
        <v>KG</v>
      </c>
      <c r="G45" s="267" t="n">
        <f aca="true">SUMIFS(INDIRECT("'01_SINTETICO'!F7:F995"),INDIRECT("'01_SINTETICO'!B7:B995"),$C45)</f>
        <v>3493.55</v>
      </c>
      <c r="H45" s="268" t="n">
        <f aca="false">VLOOKUP($C45,01_SINTETICO!$B:$M,6,0)*$G45*(1+BDI_DIF)</f>
        <v>40935.7272621546</v>
      </c>
      <c r="I45" s="268" t="n">
        <f aca="false">VLOOKUP($C45,01_SINTETICO!$B:$M,7,0)*$G45*(1+BDI_MDO)</f>
        <v>16644.1130348621</v>
      </c>
      <c r="J45" s="269" t="n">
        <f aca="false">SUM(H45:I45)</f>
        <v>57579.8402970168</v>
      </c>
      <c r="K45" s="270" t="n">
        <f aca="false">J45/SUM($J$7:$J$749)</f>
        <v>0.00637833255277155</v>
      </c>
      <c r="L45" s="271" t="n">
        <f aca="false">K45+L44</f>
        <v>0.625514882474442</v>
      </c>
    </row>
    <row r="46" customFormat="false" ht="38.25" hidden="false" customHeight="false" outlineLevel="0" collapsed="false">
      <c r="A46" s="264" t="n">
        <f aca="false">K46</f>
        <v>0.00637177256566394</v>
      </c>
      <c r="B46" s="265" t="str">
        <f aca="false">VLOOKUP($C46,01_SINTETICO!$B:$N,13,0)</f>
        <v>5.7.1</v>
      </c>
      <c r="C46" s="266" t="n">
        <v>101161</v>
      </c>
      <c r="D46" s="266" t="str">
        <f aca="false">VLOOKUP($C46,01_SINTETICO!$B:$M,2,0)</f>
        <v>ALVENARIA DE VEDAÇÃO COM ELEMENTO VAZADO DE CONCRETO (COBOGÓ) DE 7X50X50CM E ARGAMASSA DE ASSENTAMENTO COM PREPARO EM BETONEIRA. AF_05/2020</v>
      </c>
      <c r="E46" s="266" t="str">
        <f aca="false">VLOOKUP($B46,01_SINTETICO!$A:$M,4,0)</f>
        <v>SER.CG</v>
      </c>
      <c r="F46" s="267" t="str">
        <f aca="false">VLOOKUP($B46,01_SINTETICO!$A:$M,5,0)</f>
        <v>M2</v>
      </c>
      <c r="G46" s="267" t="n">
        <f aca="true">SUMIFS(INDIRECT("'01_SINTETICO'!F7:F995"),INDIRECT("'01_SINTETICO'!B7:B995"),$C46)</f>
        <v>208.8</v>
      </c>
      <c r="H46" s="268" t="n">
        <f aca="false">VLOOKUP($C46,01_SINTETICO!$B:$M,6,0)*$G46*(1+BDI_DIF)</f>
        <v>42501.9189921001</v>
      </c>
      <c r="I46" s="268" t="n">
        <f aca="false">VLOOKUP($C46,01_SINTETICO!$B:$M,7,0)*$G46*(1+BDI_MDO)</f>
        <v>15018.7015939842</v>
      </c>
      <c r="J46" s="269" t="n">
        <f aca="false">SUM(H46:I46)</f>
        <v>57520.6205860842</v>
      </c>
      <c r="K46" s="270" t="n">
        <f aca="false">J46/SUM($J$7:$J$749)</f>
        <v>0.00637177256566394</v>
      </c>
      <c r="L46" s="271" t="n">
        <f aca="false">K46+L45</f>
        <v>0.631886655040106</v>
      </c>
    </row>
    <row r="47" customFormat="false" ht="25.5" hidden="false" customHeight="false" outlineLevel="0" collapsed="false">
      <c r="A47" s="264" t="n">
        <f aca="false">K47</f>
        <v>0.00627234677965895</v>
      </c>
      <c r="B47" s="265" t="str">
        <f aca="false">VLOOKUP($C47,01_SINTETICO!$B:$N,13,0)</f>
        <v>13.8.1</v>
      </c>
      <c r="C47" s="272" t="s">
        <v>1065</v>
      </c>
      <c r="D47" s="266" t="str">
        <f aca="false">VLOOKUP($C47,01_SINTETICO!$B:$M,2,0)</f>
        <v>CÂMERA IP VIP 3430 B RESOLUÇÃO 4MP INFRAVERMELHP 30M POE - FORNECIMENTO E INSTALAÇÃO.</v>
      </c>
      <c r="E47" s="272" t="str">
        <f aca="false">VLOOKUP($B47,01_SINTETICO!$A:$M,4,0)</f>
        <v>SER.CG</v>
      </c>
      <c r="F47" s="273" t="str">
        <f aca="false">VLOOKUP($B47,01_SINTETICO!$A:$M,5,0)</f>
        <v>UN</v>
      </c>
      <c r="G47" s="267" t="n">
        <f aca="true">SUMIFS(INDIRECT("'01_SINTETICO'!F7:F995"),INDIRECT("'01_SINTETICO'!B7:B995"),$C47)</f>
        <v>65</v>
      </c>
      <c r="H47" s="268" t="n">
        <f aca="false">VLOOKUP($C47,01_SINTETICO!$B:$M,6,0)*$G47*(1+BDI_DIF)</f>
        <v>51354.3600519217</v>
      </c>
      <c r="I47" s="268" t="n">
        <f aca="false">VLOOKUP($C47,01_SINTETICO!$B:$M,7,0)*$G47*(1+BDI_MDO)</f>
        <v>5268.70293079095</v>
      </c>
      <c r="J47" s="269" t="n">
        <f aca="false">SUM(H47:I47)</f>
        <v>56623.0629827127</v>
      </c>
      <c r="K47" s="270" t="n">
        <f aca="false">J47/SUM($J$7:$J$749)</f>
        <v>0.00627234677965895</v>
      </c>
      <c r="L47" s="271" t="n">
        <f aca="false">K47+L46</f>
        <v>0.638159001819765</v>
      </c>
    </row>
    <row r="48" customFormat="false" ht="25.5" hidden="false" customHeight="false" outlineLevel="0" collapsed="false">
      <c r="A48" s="264" t="n">
        <f aca="false">K48</f>
        <v>0.00623943766373822</v>
      </c>
      <c r="B48" s="265" t="str">
        <f aca="false">VLOOKUP($C48,01_SINTETICO!$B:$N,13,0)</f>
        <v>8.3.1.3</v>
      </c>
      <c r="C48" s="272" t="s">
        <v>599</v>
      </c>
      <c r="D48" s="266" t="str">
        <f aca="false">VLOOKUP($C48,01_SINTETICO!$B:$M,2,0)</f>
        <v>EMASSAMENTO COM MASSA ACRÍLICA, APLICAÇÃO EM TETO, DUAS DEMÃOS, LIXAMENTO MANUAL.</v>
      </c>
      <c r="E48" s="272" t="str">
        <f aca="false">VLOOKUP($B48,01_SINTETICO!$A:$M,4,0)</f>
        <v>SER.CG</v>
      </c>
      <c r="F48" s="273" t="str">
        <f aca="false">VLOOKUP($B48,01_SINTETICO!$A:$M,5,0)</f>
        <v>M2</v>
      </c>
      <c r="G48" s="267" t="n">
        <f aca="true">SUMIFS(INDIRECT("'01_SINTETICO'!F7:F995"),INDIRECT("'01_SINTETICO'!B7:B995"),$C48)</f>
        <v>1399.92</v>
      </c>
      <c r="H48" s="268" t="n">
        <f aca="false">VLOOKUP($C48,01_SINTETICO!$B:$M,6,0)*$G48*(1+BDI_DIF)</f>
        <v>23320.3334607655</v>
      </c>
      <c r="I48" s="268" t="n">
        <f aca="false">VLOOKUP($C48,01_SINTETICO!$B:$M,7,0)*$G48*(1+BDI_MDO)</f>
        <v>33005.6453509112</v>
      </c>
      <c r="J48" s="269" t="n">
        <f aca="false">SUM(H48:I48)</f>
        <v>56325.9788116767</v>
      </c>
      <c r="K48" s="270" t="n">
        <f aca="false">J48/SUM($J$7:$J$749)</f>
        <v>0.00623943766373822</v>
      </c>
      <c r="L48" s="271" t="n">
        <f aca="false">K48+L47</f>
        <v>0.644398439483503</v>
      </c>
    </row>
    <row r="49" customFormat="false" ht="25.5" hidden="false" customHeight="false" outlineLevel="0" collapsed="false">
      <c r="A49" s="264" t="n">
        <f aca="false">K49</f>
        <v>0.00594889170665</v>
      </c>
      <c r="B49" s="265" t="str">
        <f aca="false">VLOOKUP($C49,01_SINTETICO!$B:$N,13,0)</f>
        <v>12.6.1</v>
      </c>
      <c r="C49" s="272" t="s">
        <v>1002</v>
      </c>
      <c r="D49" s="266" t="str">
        <f aca="false">VLOOKUP($C49,01_SINTETICO!$B:$M,2,0)</f>
        <v>NOBREAK 20 KVA - FORNECIMENTO E INSTALAÇÃO.</v>
      </c>
      <c r="E49" s="272" t="str">
        <f aca="false">VLOOKUP($B49,01_SINTETICO!$A:$M,4,0)</f>
        <v>SER.CG</v>
      </c>
      <c r="F49" s="273" t="str">
        <f aca="false">VLOOKUP($B49,01_SINTETICO!$A:$M,5,0)</f>
        <v>UN</v>
      </c>
      <c r="G49" s="267" t="n">
        <f aca="true">SUMIFS(INDIRECT("'01_SINTETICO'!F7:F995"),INDIRECT("'01_SINTETICO'!B7:B995"),$C49)</f>
        <v>1</v>
      </c>
      <c r="H49" s="268" t="n">
        <f aca="false">VLOOKUP($C49,01_SINTETICO!$B:$M,6,0)*$G49*(1+BDI_DIF)</f>
        <v>53592.4090337517</v>
      </c>
      <c r="I49" s="268" t="n">
        <f aca="false">VLOOKUP($C49,01_SINTETICO!$B:$M,7,0)*$G49*(1+BDI_MDO)</f>
        <v>110.6915147316</v>
      </c>
      <c r="J49" s="269" t="n">
        <f aca="false">SUM(H49:I49)</f>
        <v>53703.1005484833</v>
      </c>
      <c r="K49" s="270" t="n">
        <f aca="false">J49/SUM($J$7:$J$749)</f>
        <v>0.00594889170665</v>
      </c>
      <c r="L49" s="271" t="n">
        <f aca="false">K49+L48</f>
        <v>0.650347331190153</v>
      </c>
    </row>
    <row r="50" customFormat="false" ht="25.5" hidden="false" customHeight="false" outlineLevel="0" collapsed="false">
      <c r="A50" s="264" t="n">
        <f aca="false">K50</f>
        <v>0.0057338038605168</v>
      </c>
      <c r="B50" s="265" t="str">
        <f aca="false">VLOOKUP($C50,01_SINTETICO!$B:$N,13,0)</f>
        <v>8.2.1.4</v>
      </c>
      <c r="C50" s="266" t="s">
        <v>558</v>
      </c>
      <c r="D50" s="266" t="str">
        <f aca="false">VLOOKUP($C50,01_SINTETICO!$B:$M,2,0)</f>
        <v>EMASSAMENTO COM MASSA ACRÍLICA, APLICAÇÃO EM PAREDE, DUAS DEMÃOS, LIXAMENTO MANUAL.</v>
      </c>
      <c r="E50" s="266" t="str">
        <f aca="false">VLOOKUP($B50,01_SINTETICO!$A:$M,4,0)</f>
        <v>SER.CG</v>
      </c>
      <c r="F50" s="267" t="str">
        <f aca="false">VLOOKUP($B50,01_SINTETICO!$A:$M,5,0)</f>
        <v>M2</v>
      </c>
      <c r="G50" s="267" t="n">
        <f aca="true">SUMIFS(INDIRECT("'01_SINTETICO'!F7:F995"),INDIRECT("'01_SINTETICO'!B7:B995"),$C50)</f>
        <v>2317.4</v>
      </c>
      <c r="H50" s="268" t="n">
        <f aca="false">VLOOKUP($C50,01_SINTETICO!$B:$M,6,0)*$G50*(1+BDI_DIF)</f>
        <v>25177.0318186272</v>
      </c>
      <c r="I50" s="268" t="n">
        <f aca="false">VLOOKUP($C50,01_SINTETICO!$B:$M,7,0)*$G50*(1+BDI_MDO)</f>
        <v>26584.3819758788</v>
      </c>
      <c r="J50" s="269" t="n">
        <f aca="false">SUM(H50:I50)</f>
        <v>51761.413794506</v>
      </c>
      <c r="K50" s="270" t="n">
        <f aca="false">J50/SUM($J$7:$J$749)</f>
        <v>0.0057338038605168</v>
      </c>
      <c r="L50" s="271" t="n">
        <f aca="false">K50+L49</f>
        <v>0.65608113505067</v>
      </c>
    </row>
    <row r="51" customFormat="false" ht="25.5" hidden="false" customHeight="false" outlineLevel="0" collapsed="false">
      <c r="A51" s="264" t="n">
        <f aca="false">K51</f>
        <v>0.00572264669321815</v>
      </c>
      <c r="B51" s="265" t="str">
        <f aca="false">VLOOKUP($C51,01_SINTETICO!$B:$N,13,0)</f>
        <v>3.2.2.5.1.6</v>
      </c>
      <c r="C51" s="272" t="s">
        <v>231</v>
      </c>
      <c r="D51" s="266" t="str">
        <f aca="false">VLOOKUP($C51,01_SINTETICO!$B:$M,2,0)</f>
        <v>CONCRETAGEM DE RADIER, PISO DE CONCRETO OU LAJE SOBRE SOLO, FCK 25 MPA - LANÇAMENTO, ADENSAMENTO E ACABAMENTO.</v>
      </c>
      <c r="E51" s="272" t="str">
        <f aca="false">VLOOKUP($B51,01_SINTETICO!$A:$M,4,0)</f>
        <v>SER.CG</v>
      </c>
      <c r="F51" s="273" t="str">
        <f aca="false">VLOOKUP($B51,01_SINTETICO!$A:$M,5,0)</f>
        <v>M3</v>
      </c>
      <c r="G51" s="267" t="n">
        <f aca="true">SUMIFS(INDIRECT("'01_SINTETICO'!F7:F995"),INDIRECT("'01_SINTETICO'!B7:B995"),$C51)</f>
        <v>66.03</v>
      </c>
      <c r="H51" s="268" t="n">
        <f aca="false">VLOOKUP($C51,01_SINTETICO!$B:$M,6,0)*$G51*(1+BDI_DIF)</f>
        <v>50488.7260768533</v>
      </c>
      <c r="I51" s="268" t="n">
        <f aca="false">VLOOKUP($C51,01_SINTETICO!$B:$M,7,0)*$G51*(1+BDI_MDO)</f>
        <v>1171.96736387555</v>
      </c>
      <c r="J51" s="269" t="n">
        <f aca="false">SUM(H51:I51)</f>
        <v>51660.6934407289</v>
      </c>
      <c r="K51" s="270" t="n">
        <f aca="false">J51/SUM($J$7:$J$749)</f>
        <v>0.00572264669321815</v>
      </c>
      <c r="L51" s="271" t="n">
        <f aca="false">K51+L50</f>
        <v>0.661803781743888</v>
      </c>
    </row>
    <row r="52" customFormat="false" ht="25.5" hidden="false" customHeight="false" outlineLevel="0" collapsed="false">
      <c r="A52" s="264" t="n">
        <f aca="false">K52</f>
        <v>0.00512883447609169</v>
      </c>
      <c r="B52" s="265" t="str">
        <f aca="false">VLOOKUP($C52,01_SINTETICO!$B:$N,13,0)</f>
        <v>5.3.1.3.1</v>
      </c>
      <c r="C52" s="272" t="n">
        <v>91341</v>
      </c>
      <c r="D52" s="266" t="str">
        <f aca="false">VLOOKUP($C52,01_SINTETICO!$B:$M,2,0)</f>
        <v>PORTA EM ALUMÍNIO DE ABRIR TIPO VENEZIANA COM GUARNIÇÃO, FIXAÇÃO COM PARAFUSOS - FORNECIMENTO E INSTALAÇÃO. AF_12/2019</v>
      </c>
      <c r="E52" s="272" t="str">
        <f aca="false">VLOOKUP($B52,01_SINTETICO!$A:$M,4,0)</f>
        <v>SER.CG</v>
      </c>
      <c r="F52" s="273" t="str">
        <f aca="false">VLOOKUP($B52,01_SINTETICO!$A:$M,5,0)</f>
        <v>M2</v>
      </c>
      <c r="G52" s="267" t="n">
        <f aca="true">SUMIFS(INDIRECT("'01_SINTETICO'!F7:F995"),INDIRECT("'01_SINTETICO'!B7:B995"),$C52)</f>
        <v>58.26</v>
      </c>
      <c r="H52" s="268" t="n">
        <f aca="false">VLOOKUP($C52,01_SINTETICO!$B:$M,6,0)*$G52*(1+BDI_DIF)</f>
        <v>45525.7024116242</v>
      </c>
      <c r="I52" s="268" t="n">
        <f aca="false">VLOOKUP($C52,01_SINTETICO!$B:$M,7,0)*$G52*(1+BDI_MDO)</f>
        <v>774.403078308335</v>
      </c>
      <c r="J52" s="269" t="n">
        <f aca="false">SUM(H52:I52)</f>
        <v>46300.1054899325</v>
      </c>
      <c r="K52" s="270" t="n">
        <f aca="false">J52/SUM($J$7:$J$749)</f>
        <v>0.00512883447609169</v>
      </c>
      <c r="L52" s="271" t="n">
        <f aca="false">K52+L51</f>
        <v>0.66693261621998</v>
      </c>
    </row>
    <row r="53" customFormat="false" ht="51" hidden="false" customHeight="false" outlineLevel="0" collapsed="false">
      <c r="A53" s="264" t="n">
        <f aca="false">K53</f>
        <v>0.00494785033203054</v>
      </c>
      <c r="B53" s="265" t="str">
        <f aca="false">VLOOKUP($C53,01_SINTETICO!$B:$N,13,0)</f>
        <v>5.2.1.1.2</v>
      </c>
      <c r="C53" s="272" t="s">
        <v>416</v>
      </c>
      <c r="D53" s="266" t="str">
        <f aca="false">VLOOKUP($C53,01_SINTETICO!$B:$M,2,0)</f>
        <v>JANELA DE ALUMÍNIO DE CORRER COM 3 FOLHAS PARA VIDROS, COM VIDROS, BATENTE, ACABAMENTO COM ACETATO OU BRILHANTE E FERRAGENS. EXCLUSIVE ALIZAR E CONTRAMARCO. FORNECIMENTO E INSTALAÇÃO.</v>
      </c>
      <c r="E53" s="272" t="str">
        <f aca="false">VLOOKUP($B53,01_SINTETICO!$A:$M,4,0)</f>
        <v>SER.CG</v>
      </c>
      <c r="F53" s="273" t="str">
        <f aca="false">VLOOKUP($B53,01_SINTETICO!$A:$M,5,0)</f>
        <v>M2</v>
      </c>
      <c r="G53" s="267" t="n">
        <f aca="true">SUMIFS(INDIRECT("'01_SINTETICO'!F7:F995"),INDIRECT("'01_SINTETICO'!B7:B995"),$C53)</f>
        <v>87.24</v>
      </c>
      <c r="H53" s="268" t="n">
        <f aca="false">VLOOKUP($C53,01_SINTETICO!$B:$M,6,0)*$G53*(1+BDI_DIF)</f>
        <v>41755.5447288346</v>
      </c>
      <c r="I53" s="268" t="n">
        <f aca="false">VLOOKUP($C53,01_SINTETICO!$B:$M,7,0)*$G53*(1+BDI_MDO)</f>
        <v>2910.74220035115</v>
      </c>
      <c r="J53" s="269" t="n">
        <f aca="false">SUM(H53:I53)</f>
        <v>44666.2869291858</v>
      </c>
      <c r="K53" s="270" t="n">
        <f aca="false">J53/SUM($J$7:$J$749)</f>
        <v>0.00494785033203054</v>
      </c>
      <c r="L53" s="271" t="n">
        <f aca="false">K53+L52</f>
        <v>0.67188046655201</v>
      </c>
    </row>
    <row r="54" customFormat="false" ht="25.5" hidden="false" customHeight="false" outlineLevel="0" collapsed="false">
      <c r="A54" s="264" t="n">
        <f aca="false">K54</f>
        <v>0.00482753113913859</v>
      </c>
      <c r="B54" s="265" t="str">
        <f aca="false">VLOOKUP($C54,01_SINTETICO!$B:$N,13,0)</f>
        <v>7.1</v>
      </c>
      <c r="C54" s="272" t="n">
        <v>98546</v>
      </c>
      <c r="D54" s="266" t="str">
        <f aca="false">VLOOKUP($C54,01_SINTETICO!$B:$M,2,0)</f>
        <v>IMPERMEABILIZAÇÃO DE SUPERFÍCIE COM MANTA ASFÁLTICA, UMA CAMADA, INCLUSIVE APLICAÇÃO DE PRIMER ASFÁLTICO, E=4MM. AF_09/2023</v>
      </c>
      <c r="E54" s="272" t="str">
        <f aca="false">VLOOKUP($B54,01_SINTETICO!$A:$M,4,0)</f>
        <v>SER.CG</v>
      </c>
      <c r="F54" s="273" t="str">
        <f aca="false">VLOOKUP($B54,01_SINTETICO!$A:$M,5,0)</f>
        <v>M2</v>
      </c>
      <c r="G54" s="267" t="n">
        <f aca="true">SUMIFS(INDIRECT("'01_SINTETICO'!F7:F995"),INDIRECT("'01_SINTETICO'!B7:B995"),$C54)</f>
        <v>346.42</v>
      </c>
      <c r="H54" s="268" t="n">
        <f aca="false">VLOOKUP($C54,01_SINTETICO!$B:$M,6,0)*$G54*(1+BDI_DIF)</f>
        <v>33799.028856693</v>
      </c>
      <c r="I54" s="268" t="n">
        <f aca="false">VLOOKUP($C54,01_SINTETICO!$B:$M,7,0)*$G54*(1+BDI_MDO)</f>
        <v>9781.08706242622</v>
      </c>
      <c r="J54" s="269" t="n">
        <f aca="false">SUM(H54:I54)</f>
        <v>43580.1159191192</v>
      </c>
      <c r="K54" s="270" t="n">
        <f aca="false">J54/SUM($J$7:$J$749)</f>
        <v>0.00482753113913859</v>
      </c>
      <c r="L54" s="271" t="n">
        <f aca="false">K54+L53</f>
        <v>0.676707997691149</v>
      </c>
    </row>
    <row r="55" customFormat="false" ht="25.5" hidden="false" customHeight="false" outlineLevel="0" collapsed="false">
      <c r="A55" s="264" t="n">
        <f aca="false">K55</f>
        <v>0.00451697687337643</v>
      </c>
      <c r="B55" s="265" t="str">
        <f aca="false">VLOOKUP($C55,01_SINTETICO!$B:$N,13,0)</f>
        <v>3.2.2.3.2.5</v>
      </c>
      <c r="C55" s="272" t="n">
        <v>92771</v>
      </c>
      <c r="D55" s="266" t="str">
        <f aca="false">VLOOKUP($C55,01_SINTETICO!$B:$M,2,0)</f>
        <v>ARMAÇÃO DE LAJE DE ESTRUTURA CONVENCIONAL DE CONCRETO ARMADO UTILIZANDO AÇO CA-50 DE 10,0 MM - MONTAGEM. AF_06/2022</v>
      </c>
      <c r="E55" s="272" t="str">
        <f aca="false">VLOOKUP($B55,01_SINTETICO!$A:$M,4,0)</f>
        <v>SER.CG</v>
      </c>
      <c r="F55" s="273" t="str">
        <f aca="false">VLOOKUP($B55,01_SINTETICO!$A:$M,5,0)</f>
        <v>KG</v>
      </c>
      <c r="G55" s="267" t="n">
        <f aca="true">SUMIFS(INDIRECT("'01_SINTETICO'!F7:F995"),INDIRECT("'01_SINTETICO'!B7:B995"),$C55)</f>
        <v>3380.45</v>
      </c>
      <c r="H55" s="268" t="n">
        <f aca="false">VLOOKUP($C55,01_SINTETICO!$B:$M,6,0)*$G55*(1+BDI_DIF)</f>
        <v>37394.1451750788</v>
      </c>
      <c r="I55" s="268" t="n">
        <f aca="false">VLOOKUP($C55,01_SINTETICO!$B:$M,7,0)*$G55*(1+BDI_MDO)</f>
        <v>3382.46922100165</v>
      </c>
      <c r="J55" s="269" t="n">
        <f aca="false">SUM(H55:I55)</f>
        <v>40776.6143960805</v>
      </c>
      <c r="K55" s="270" t="n">
        <f aca="false">J55/SUM($J$7:$J$749)</f>
        <v>0.00451697687337643</v>
      </c>
      <c r="L55" s="271" t="n">
        <f aca="false">K55+L54</f>
        <v>0.681224974564525</v>
      </c>
    </row>
    <row r="56" customFormat="false" ht="51" hidden="false" customHeight="false" outlineLevel="0" collapsed="false">
      <c r="A56" s="264" t="n">
        <f aca="false">K56</f>
        <v>0.00442782677159321</v>
      </c>
      <c r="B56" s="265" t="str">
        <f aca="false">VLOOKUP($C56,01_SINTETICO!$B:$N,13,0)</f>
        <v>4.4.1.1</v>
      </c>
      <c r="C56" s="272" t="s">
        <v>378</v>
      </c>
      <c r="D56" s="266" t="str">
        <f aca="false">VLOOKUP($C56,01_SINTETICO!$B:$M,2,0)</f>
        <v>PAREDE COM SISTEMA EM CHAPAS DE GESSO PARA DRYWALL, USO INTERNO, COM DUAS FACES SIMPLES E ESTRUTURA METÁLICA COM GUIAS SIMPLES, NUCLEO INTERNO EM FIBRA DE VIDRO PARA ISOLAMENTO ACÚSTICO, COM VÃOS.</v>
      </c>
      <c r="E56" s="272" t="str">
        <f aca="false">VLOOKUP($B56,01_SINTETICO!$A:$M,4,0)</f>
        <v>SER.CG</v>
      </c>
      <c r="F56" s="273" t="str">
        <f aca="false">VLOOKUP($B56,01_SINTETICO!$A:$M,5,0)</f>
        <v>M2</v>
      </c>
      <c r="G56" s="267" t="n">
        <f aca="true">SUMIFS(INDIRECT("'01_SINTETICO'!F7:F995"),INDIRECT("'01_SINTETICO'!B7:B995"),$C56)</f>
        <v>358.31</v>
      </c>
      <c r="H56" s="268" t="n">
        <f aca="false">VLOOKUP($C56,01_SINTETICO!$B:$M,6,0)*$G56*(1+BDI_DIF)</f>
        <v>34809.9517774208</v>
      </c>
      <c r="I56" s="268" t="n">
        <f aca="false">VLOOKUP($C56,01_SINTETICO!$B:$M,7,0)*$G56*(1+BDI_MDO)</f>
        <v>5161.86785754141</v>
      </c>
      <c r="J56" s="269" t="n">
        <f aca="false">SUM(H56:I56)</f>
        <v>39971.8196349623</v>
      </c>
      <c r="K56" s="270" t="n">
        <f aca="false">J56/SUM($J$7:$J$749)</f>
        <v>0.00442782677159321</v>
      </c>
      <c r="L56" s="271" t="n">
        <f aca="false">K56+L55</f>
        <v>0.685652801336118</v>
      </c>
    </row>
    <row r="57" customFormat="false" ht="25.5" hidden="false" customHeight="false" outlineLevel="0" collapsed="false">
      <c r="A57" s="264" t="n">
        <f aca="false">K57</f>
        <v>0.00437779874750176</v>
      </c>
      <c r="B57" s="265" t="str">
        <f aca="false">VLOOKUP($C57,01_SINTETICO!$B:$N,13,0)</f>
        <v>8.1.2.2</v>
      </c>
      <c r="C57" s="266" t="s">
        <v>543</v>
      </c>
      <c r="D57" s="266" t="str">
        <f aca="false">VLOOKUP($C57,01_SINTETICO!$B:$M,2,0)</f>
        <v>EXECUÇÃO DE PASSEIO EM PISO INTERTRAVADO, COM BLOCO RETANGULAR COR NATURAL DE 20 X 10 CM, ESPESSURA 8 CM.</v>
      </c>
      <c r="E57" s="266" t="str">
        <f aca="false">VLOOKUP($B57,01_SINTETICO!$A:$M,4,0)</f>
        <v>SER.CG</v>
      </c>
      <c r="F57" s="267" t="str">
        <f aca="false">VLOOKUP($B57,01_SINTETICO!$A:$M,5,0)</f>
        <v>M2</v>
      </c>
      <c r="G57" s="267" t="n">
        <f aca="true">SUMIFS(INDIRECT("'01_SINTETICO'!F7:F995"),INDIRECT("'01_SINTETICO'!B7:B995"),$C57)</f>
        <v>308.31</v>
      </c>
      <c r="H57" s="268" t="n">
        <f aca="false">VLOOKUP($C57,01_SINTETICO!$B:$M,6,0)*$G57*(1+BDI_DIF)</f>
        <v>34872.0817377275</v>
      </c>
      <c r="I57" s="268" t="n">
        <f aca="false">VLOOKUP($C57,01_SINTETICO!$B:$M,7,0)*$G57*(1+BDI_MDO)</f>
        <v>4648.11427715405</v>
      </c>
      <c r="J57" s="269" t="n">
        <f aca="false">SUM(H57:I57)</f>
        <v>39520.1960148816</v>
      </c>
      <c r="K57" s="270" t="n">
        <f aca="false">J57/SUM($J$7:$J$749)</f>
        <v>0.00437779874750176</v>
      </c>
      <c r="L57" s="271" t="n">
        <f aca="false">K57+L56</f>
        <v>0.69003060008362</v>
      </c>
    </row>
    <row r="58" customFormat="false" ht="38.25" hidden="false" customHeight="false" outlineLevel="0" collapsed="false">
      <c r="A58" s="264" t="n">
        <f aca="false">K58</f>
        <v>0.00435209808036275</v>
      </c>
      <c r="B58" s="265" t="str">
        <f aca="false">VLOOKUP($C58,01_SINTETICO!$B:$N,13,0)</f>
        <v>*16.1.1.9</v>
      </c>
      <c r="C58" s="266" t="s">
        <v>1244</v>
      </c>
      <c r="D58" s="266" t="str">
        <f aca="false">VLOOKUP($C58,01_SINTETICO!$B:$M,2,0)</f>
        <v>AR CONDICIONADO MULTI-SPLIT ON/OFF, EVAPORADORAS CASSETE 4V 12000 + 12000 BTU/H, CONDENSADORA 18000 BTUS/H - FORNECIMENTO E INSTALAÇÃO.</v>
      </c>
      <c r="E58" s="266" t="str">
        <f aca="false">VLOOKUP($B58,01_SINTETICO!$A:$M,4,0)</f>
        <v>SER.CG</v>
      </c>
      <c r="F58" s="267" t="str">
        <f aca="false">VLOOKUP($B58,01_SINTETICO!$A:$M,5,0)</f>
        <v>UN</v>
      </c>
      <c r="G58" s="267" t="n">
        <f aca="true">SUMIFS(INDIRECT("'01_SINTETICO'!F7:F995"),INDIRECT("'01_SINTETICO'!B7:B995"),$C58)</f>
        <v>2</v>
      </c>
      <c r="H58" s="268" t="n">
        <f aca="false">VLOOKUP($C58,01_SINTETICO!$B:$M,6,0)*$G58*(1+BDI_DIF)</f>
        <v>38589.6313594891</v>
      </c>
      <c r="I58" s="268" t="n">
        <f aca="false">VLOOKUP($C58,01_SINTETICO!$B:$M,7,0)*$G58*(1+BDI_MDO)</f>
        <v>698.554126441924</v>
      </c>
      <c r="J58" s="269" t="n">
        <f aca="false">SUM(H58:I58)</f>
        <v>39288.185485931</v>
      </c>
      <c r="K58" s="270" t="n">
        <f aca="false">J58/SUM($J$7:$J$749)</f>
        <v>0.00435209808036275</v>
      </c>
      <c r="L58" s="271" t="n">
        <f aca="false">K58+L57</f>
        <v>0.694382698163983</v>
      </c>
    </row>
    <row r="59" customFormat="false" ht="38.25" hidden="false" customHeight="false" outlineLevel="0" collapsed="false">
      <c r="A59" s="264" t="n">
        <f aca="false">K59</f>
        <v>0.00425640458096087</v>
      </c>
      <c r="B59" s="265" t="str">
        <f aca="false">VLOOKUP($C59,01_SINTETICO!$B:$N,13,0)</f>
        <v>3.2.2.3.1.1</v>
      </c>
      <c r="C59" s="266" t="s">
        <v>190</v>
      </c>
      <c r="D59" s="266" t="str">
        <f aca="false">VLOOKUP($C59,01_SINTETICO!$B:$M,2,0)</f>
        <v>LAJE PRÉ-MOLDADA UNIDIRECIONAL, BIAPOIADA, PARA PISO, ENCHIMENTO EM EPS, VIGOTA CONVENCIONAL, ALTURA TOTAL DA LAJE (ENCHIMENTO+CAPA) = (8+5).</v>
      </c>
      <c r="E59" s="266" t="str">
        <f aca="false">VLOOKUP($B59,01_SINTETICO!$A:$M,4,0)</f>
        <v>SER.CG</v>
      </c>
      <c r="F59" s="267" t="str">
        <f aca="false">VLOOKUP($B59,01_SINTETICO!$A:$M,5,0)</f>
        <v>M2</v>
      </c>
      <c r="G59" s="267" t="n">
        <f aca="true">SUMIFS(INDIRECT("'01_SINTETICO'!F7:F995"),INDIRECT("'01_SINTETICO'!B7:B995"),$C59)</f>
        <v>187.21</v>
      </c>
      <c r="H59" s="268" t="n">
        <f aca="false">VLOOKUP($C59,01_SINTETICO!$B:$M,6,0)*$G59*(1+BDI_DIF)</f>
        <v>33681.2064339153</v>
      </c>
      <c r="I59" s="268" t="n">
        <f aca="false">VLOOKUP($C59,01_SINTETICO!$B:$M,7,0)*$G59*(1+BDI_MDO)</f>
        <v>4743.1143401282</v>
      </c>
      <c r="J59" s="269" t="n">
        <f aca="false">SUM(H59:I59)</f>
        <v>38424.3207740435</v>
      </c>
      <c r="K59" s="270" t="n">
        <f aca="false">J59/SUM($J$7:$J$749)</f>
        <v>0.00425640458096087</v>
      </c>
      <c r="L59" s="271" t="n">
        <f aca="false">K59+L58</f>
        <v>0.698639102744944</v>
      </c>
    </row>
    <row r="60" customFormat="false" ht="25.5" hidden="false" customHeight="false" outlineLevel="0" collapsed="false">
      <c r="A60" s="264" t="n">
        <f aca="false">K60</f>
        <v>0.00413925772798805</v>
      </c>
      <c r="B60" s="265" t="str">
        <f aca="false">VLOOKUP($C60,01_SINTETICO!$B:$N,13,0)</f>
        <v>*16.1.1.5</v>
      </c>
      <c r="C60" s="272" t="s">
        <v>1236</v>
      </c>
      <c r="D60" s="266" t="str">
        <f aca="false">VLOOKUP($C60,01_SINTETICO!$B:$M,2,0)</f>
        <v>AR CONDICIONADO SPLIT ON/OFF, CASSETE (TETO), 4 VIAS 30000 BTU/H - FORNECIMENTO E INSTALAÇÃO.</v>
      </c>
      <c r="E60" s="272" t="str">
        <f aca="false">VLOOKUP($B60,01_SINTETICO!$A:$M,4,0)</f>
        <v>SER.CG</v>
      </c>
      <c r="F60" s="273" t="str">
        <f aca="false">VLOOKUP($B60,01_SINTETICO!$A:$M,5,0)</f>
        <v>UN</v>
      </c>
      <c r="G60" s="267" t="n">
        <f aca="true">SUMIFS(INDIRECT("'01_SINTETICO'!F7:F995"),INDIRECT("'01_SINTETICO'!B7:B995"),$C60)</f>
        <v>2</v>
      </c>
      <c r="H60" s="268" t="n">
        <f aca="false">VLOOKUP($C60,01_SINTETICO!$B:$M,6,0)*$G60*(1+BDI_DIF)</f>
        <v>37115.6005056384</v>
      </c>
      <c r="I60" s="268" t="n">
        <f aca="false">VLOOKUP($C60,01_SINTETICO!$B:$M,7,0)*$G60*(1+BDI_MDO)</f>
        <v>251.187280015759</v>
      </c>
      <c r="J60" s="269" t="n">
        <f aca="false">SUM(H60:I60)</f>
        <v>37366.7877856542</v>
      </c>
      <c r="K60" s="270" t="n">
        <f aca="false">J60/SUM($J$7:$J$749)</f>
        <v>0.00413925772798805</v>
      </c>
      <c r="L60" s="271" t="n">
        <f aca="false">K60+L59</f>
        <v>0.702778360472932</v>
      </c>
    </row>
    <row r="61" customFormat="false" ht="25.5" hidden="false" customHeight="false" outlineLevel="0" collapsed="false">
      <c r="A61" s="264" t="n">
        <f aca="false">K61</f>
        <v>0.00413015658553667</v>
      </c>
      <c r="B61" s="265" t="str">
        <f aca="false">VLOOKUP($C61,01_SINTETICO!$B:$N,13,0)</f>
        <v>*16.1.1.7</v>
      </c>
      <c r="C61" s="272" t="s">
        <v>1240</v>
      </c>
      <c r="D61" s="266" t="str">
        <f aca="false">VLOOKUP($C61,01_SINTETICO!$B:$M,2,0)</f>
        <v>AR CONDICIONADO SPLIT INVERTER, PISO TETO, 45000 BTU/H, CICLO QUENTE/FRIO - FORNECIMENTO E INSTALAÇÃO.</v>
      </c>
      <c r="E61" s="272" t="str">
        <f aca="false">VLOOKUP($B61,01_SINTETICO!$A:$M,4,0)</f>
        <v>SER.CG</v>
      </c>
      <c r="F61" s="273" t="str">
        <f aca="false">VLOOKUP($B61,01_SINTETICO!$A:$M,5,0)</f>
        <v>UN</v>
      </c>
      <c r="G61" s="267" t="n">
        <f aca="true">SUMIFS(INDIRECT("'01_SINTETICO'!F7:F995"),INDIRECT("'01_SINTETICO'!B7:B995"),$C61)</f>
        <v>2</v>
      </c>
      <c r="H61" s="268" t="n">
        <f aca="false">VLOOKUP($C61,01_SINTETICO!$B:$M,6,0)*$G61*(1+BDI_MAT)</f>
        <v>36788.4567540869</v>
      </c>
      <c r="I61" s="268" t="n">
        <f aca="false">VLOOKUP($C61,01_SINTETICO!$B:$M,7,0)*$G61*(1+BDI_MDO)</f>
        <v>496.171262609565</v>
      </c>
      <c r="J61" s="269" t="n">
        <f aca="false">SUM(H61:I61)</f>
        <v>37284.6280166965</v>
      </c>
      <c r="K61" s="270" t="n">
        <f aca="false">J61/SUM($J$7:$J$749)</f>
        <v>0.00413015658553667</v>
      </c>
      <c r="L61" s="271" t="n">
        <f aca="false">K61+L60</f>
        <v>0.706908517058468</v>
      </c>
    </row>
    <row r="62" customFormat="false" ht="25.5" hidden="false" customHeight="false" outlineLevel="0" collapsed="false">
      <c r="A62" s="264" t="n">
        <f aca="false">K62</f>
        <v>0.00397322346715278</v>
      </c>
      <c r="B62" s="265" t="str">
        <f aca="false">VLOOKUP($C62,01_SINTETICO!$B:$N,13,0)</f>
        <v>4.2.1.1.1</v>
      </c>
      <c r="C62" s="272" t="n">
        <v>102235</v>
      </c>
      <c r="D62" s="266" t="str">
        <f aca="false">VLOOKUP($C62,01_SINTETICO!$B:$M,2,0)</f>
        <v>DIVISÓRIA FIXA EM VIDRO TEMPERADO 10 MM, SEM ABERTURA. AF_01/2021_PS</v>
      </c>
      <c r="E62" s="272" t="str">
        <f aca="false">VLOOKUP($B62,01_SINTETICO!$A:$M,4,0)</f>
        <v>SER.CG</v>
      </c>
      <c r="F62" s="273" t="str">
        <f aca="false">VLOOKUP($B62,01_SINTETICO!$A:$M,5,0)</f>
        <v>M2</v>
      </c>
      <c r="G62" s="267" t="n">
        <f aca="true">SUMIFS(INDIRECT("'01_SINTETICO'!F7:F995"),INDIRECT("'01_SINTETICO'!B7:B995"),$C62)</f>
        <v>86.3</v>
      </c>
      <c r="H62" s="268" t="n">
        <f aca="false">VLOOKUP($C62,01_SINTETICO!$B:$M,6,0)*$G62*(1+BDI_DIF)</f>
        <v>31200.9434876235</v>
      </c>
      <c r="I62" s="268" t="n">
        <f aca="false">VLOOKUP($C62,01_SINTETICO!$B:$M,7,0)*$G62*(1+BDI_MDO)</f>
        <v>4666.9845029932</v>
      </c>
      <c r="J62" s="269" t="n">
        <f aca="false">SUM(H62:I62)</f>
        <v>35867.9279906167</v>
      </c>
      <c r="K62" s="270" t="n">
        <f aca="false">J62/SUM($J$7:$J$749)</f>
        <v>0.00397322346715278</v>
      </c>
      <c r="L62" s="271" t="n">
        <f aca="false">K62+L61</f>
        <v>0.710881740525621</v>
      </c>
    </row>
    <row r="63" customFormat="false" ht="38.25" hidden="false" customHeight="false" outlineLevel="0" collapsed="false">
      <c r="A63" s="264" t="n">
        <f aca="false">K63</f>
        <v>0.00387311058588645</v>
      </c>
      <c r="B63" s="265" t="str">
        <f aca="false">VLOOKUP($C63,01_SINTETICO!$B:$N,13,0)</f>
        <v>3.2.2.3.2.1</v>
      </c>
      <c r="C63" s="266" t="n">
        <v>92510</v>
      </c>
      <c r="D63" s="266" t="str">
        <f aca="false">VLOOKUP($C63,01_SINTETICO!$B:$M,2,0)</f>
        <v>MONTAGEM E DESMONTAGEM DE FÔRMA DE LAJE MACIÇA, PÉ-DIREITO SIMPLES, EM CHAPA DE MADEIRA COMPENSADA RESINADA, 2 UTILIZAÇÕES. AF_09/2020</v>
      </c>
      <c r="E63" s="266" t="str">
        <f aca="false">VLOOKUP($B63,01_SINTETICO!$A:$M,4,0)</f>
        <v>SER.CG</v>
      </c>
      <c r="F63" s="267" t="str">
        <f aca="false">VLOOKUP($B63,01_SINTETICO!$A:$M,5,0)</f>
        <v>M2</v>
      </c>
      <c r="G63" s="267" t="n">
        <f aca="true">SUMIFS(INDIRECT("'01_SINTETICO'!F7:F995"),INDIRECT("'01_SINTETICO'!B7:B995"),$C63)</f>
        <v>408.79</v>
      </c>
      <c r="H63" s="268" t="n">
        <f aca="false">VLOOKUP($C63,01_SINTETICO!$B:$M,6,0)*$G63*(1+BDI_DIF)</f>
        <v>26587.1130486366</v>
      </c>
      <c r="I63" s="268" t="n">
        <f aca="false">VLOOKUP($C63,01_SINTETICO!$B:$M,7,0)*$G63*(1+BDI_MDO)</f>
        <v>8377.05464611957</v>
      </c>
      <c r="J63" s="269" t="n">
        <f aca="false">SUM(H63:I63)</f>
        <v>34964.1676947562</v>
      </c>
      <c r="K63" s="270" t="n">
        <f aca="false">J63/SUM($J$7:$J$749)</f>
        <v>0.00387311058588645</v>
      </c>
      <c r="L63" s="271" t="n">
        <f aca="false">K63+L62</f>
        <v>0.714754851111508</v>
      </c>
    </row>
    <row r="64" customFormat="false" ht="25.5" hidden="false" customHeight="false" outlineLevel="0" collapsed="false">
      <c r="A64" s="264" t="n">
        <f aca="false">K64</f>
        <v>0.00371391786221878</v>
      </c>
      <c r="B64" s="265" t="str">
        <f aca="false">VLOOKUP($C64,01_SINTETICO!$B:$N,13,0)</f>
        <v>14.3.4</v>
      </c>
      <c r="C64" s="272" t="s">
        <v>1110</v>
      </c>
      <c r="D64" s="266" t="str">
        <f aca="false">VLOOKUP($C64,01_SINTETICO!$B:$M,2,0)</f>
        <v>BARRA REDONDA DE AÇO, Ø10 MM, BARRAS DE 3M, COM CONECTORES TIPO CLIP.</v>
      </c>
      <c r="E64" s="272" t="str">
        <f aca="false">VLOOKUP($B64,01_SINTETICO!$A:$M,4,0)</f>
        <v>SER.CG</v>
      </c>
      <c r="F64" s="273" t="str">
        <f aca="false">VLOOKUP($B64,01_SINTETICO!$A:$M,5,0)</f>
        <v>UN</v>
      </c>
      <c r="G64" s="267" t="n">
        <f aca="true">SUMIFS(INDIRECT("'01_SINTETICO'!F7:F995"),INDIRECT("'01_SINTETICO'!B7:B995"),$C64)</f>
        <v>426.9</v>
      </c>
      <c r="H64" s="268" t="n">
        <f aca="false">VLOOKUP($C64,01_SINTETICO!$B:$M,6,0)*$G64*(1+BDI_DIF)</f>
        <v>27802.1121654494</v>
      </c>
      <c r="I64" s="268" t="n">
        <f aca="false">VLOOKUP($C64,01_SINTETICO!$B:$M,7,0)*$G64*(1+BDI_MDO)</f>
        <v>5724.95711378928</v>
      </c>
      <c r="J64" s="269" t="n">
        <f aca="false">SUM(H64:I64)</f>
        <v>33527.0692792387</v>
      </c>
      <c r="K64" s="270" t="n">
        <f aca="false">J64/SUM($J$7:$J$749)</f>
        <v>0.00371391786221878</v>
      </c>
      <c r="L64" s="271" t="n">
        <f aca="false">K64+L63</f>
        <v>0.718468768973726</v>
      </c>
    </row>
    <row r="65" customFormat="false" ht="25.5" hidden="false" customHeight="false" outlineLevel="0" collapsed="false">
      <c r="A65" s="264" t="n">
        <f aca="false">K65</f>
        <v>0.00355135137390552</v>
      </c>
      <c r="B65" s="265" t="str">
        <f aca="false">VLOOKUP($C65,01_SINTETICO!$B:$N,13,0)</f>
        <v>3.2.2.5.1.4</v>
      </c>
      <c r="C65" s="266" t="n">
        <v>97090</v>
      </c>
      <c r="D65" s="266" t="str">
        <f aca="false">VLOOKUP($C65,01_SINTETICO!$B:$M,2,0)</f>
        <v>ARMAÇÃO PARA EXECUÇÃO DE RADIER, PISO DE CONCRETO OU LAJE SOBRE SOLO, COM USO DE TELA Q-138. AF_09/2021</v>
      </c>
      <c r="E65" s="266" t="str">
        <f aca="false">VLOOKUP($B65,01_SINTETICO!$A:$M,4,0)</f>
        <v>SER.CG</v>
      </c>
      <c r="F65" s="267" t="str">
        <f aca="false">VLOOKUP($B65,01_SINTETICO!$A:$M,5,0)</f>
        <v>KG</v>
      </c>
      <c r="G65" s="267" t="n">
        <f aca="true">SUMIFS(INDIRECT("'01_SINTETICO'!F7:F995"),INDIRECT("'01_SINTETICO'!B7:B995"),$C65)</f>
        <v>2065.96</v>
      </c>
      <c r="H65" s="268" t="n">
        <f aca="false">VLOOKUP($C65,01_SINTETICO!$B:$M,6,0)*$G65*(1+BDI_DIF)</f>
        <v>30000.8728151467</v>
      </c>
      <c r="I65" s="268" t="n">
        <f aca="false">VLOOKUP($C65,01_SINTETICO!$B:$M,7,0)*$G65*(1+BDI_MDO)</f>
        <v>2058.64168276334</v>
      </c>
      <c r="J65" s="269" t="n">
        <f aca="false">SUM(H65:I65)</f>
        <v>32059.5144979101</v>
      </c>
      <c r="K65" s="270" t="n">
        <f aca="false">J65/SUM($J$7:$J$749)</f>
        <v>0.00355135137390552</v>
      </c>
      <c r="L65" s="271" t="n">
        <f aca="false">K65+L64</f>
        <v>0.722020120347632</v>
      </c>
    </row>
    <row r="66" customFormat="false" ht="38.25" hidden="false" customHeight="false" outlineLevel="0" collapsed="false">
      <c r="A66" s="264" t="n">
        <f aca="false">K66</f>
        <v>0.0035094361087606</v>
      </c>
      <c r="B66" s="265" t="str">
        <f aca="false">VLOOKUP($C66,01_SINTETICO!$B:$N,13,0)</f>
        <v>8.1.2.1</v>
      </c>
      <c r="C66" s="266" t="n">
        <v>94994</v>
      </c>
      <c r="D66" s="266" t="str">
        <f aca="false">VLOOKUP($C66,01_SINTETICO!$B:$M,2,0)</f>
        <v>EXECUÇÃO DE PASSEIO (CALÇADA) OU PISO DE CONCRETO COM CONCRETO MOLDADO IN LOCO, FEITO EM OBRA, ACABAMENTO CONVENCIONAL, ESPESSURA 8 CM, ARMADO. AF_08/2022</v>
      </c>
      <c r="E66" s="266" t="str">
        <f aca="false">VLOOKUP($B66,01_SINTETICO!$A:$M,4,0)</f>
        <v>SER.CG</v>
      </c>
      <c r="F66" s="267" t="str">
        <f aca="false">VLOOKUP($B66,01_SINTETICO!$A:$M,5,0)</f>
        <v>M2</v>
      </c>
      <c r="G66" s="267" t="n">
        <f aca="true">SUMIFS(INDIRECT("'01_SINTETICO'!F7:F995"),INDIRECT("'01_SINTETICO'!B7:B995"),$C66)</f>
        <v>291.7</v>
      </c>
      <c r="H66" s="268" t="n">
        <f aca="false">VLOOKUP($C66,01_SINTETICO!$B:$M,6,0)*$G66*(1+BDI_DIF)</f>
        <v>25750.2419469406</v>
      </c>
      <c r="I66" s="268" t="n">
        <f aca="false">VLOOKUP($C66,01_SINTETICO!$B:$M,7,0)*$G66*(1+BDI_MDO)</f>
        <v>5930.88615404149</v>
      </c>
      <c r="J66" s="269" t="n">
        <f aca="false">SUM(H66:I66)</f>
        <v>31681.1281009821</v>
      </c>
      <c r="K66" s="270" t="n">
        <f aca="false">J66/SUM($J$7:$J$749)</f>
        <v>0.0035094361087606</v>
      </c>
      <c r="L66" s="271" t="n">
        <f aca="false">K66+L65</f>
        <v>0.725529556456393</v>
      </c>
    </row>
    <row r="67" customFormat="false" ht="25.5" hidden="false" customHeight="false" outlineLevel="0" collapsed="false">
      <c r="A67" s="264" t="n">
        <f aca="false">K67</f>
        <v>0.00348237696439661</v>
      </c>
      <c r="B67" s="265" t="str">
        <f aca="false">VLOOKUP($C67,01_SINTETICO!$B:$N,13,0)</f>
        <v>14.2.2</v>
      </c>
      <c r="C67" s="266" t="s">
        <v>1094</v>
      </c>
      <c r="D67" s="266" t="str">
        <f aca="false">VLOOKUP($C67,01_SINTETICO!$B:$M,2,0)</f>
        <v>FITA DE ALUMÍNIO 70 MM² PARA SPDA - FORNECIMENTO E INSTALAÇÃO.</v>
      </c>
      <c r="E67" s="266" t="str">
        <f aca="false">VLOOKUP($B67,01_SINTETICO!$A:$M,4,0)</f>
        <v>SER.CG</v>
      </c>
      <c r="F67" s="267" t="str">
        <f aca="false">VLOOKUP($B67,01_SINTETICO!$A:$M,5,0)</f>
        <v>M</v>
      </c>
      <c r="G67" s="267" t="n">
        <f aca="true">SUMIFS(INDIRECT("'01_SINTETICO'!F7:F995"),INDIRECT("'01_SINTETICO'!B7:B995"),$C67)</f>
        <v>331.14</v>
      </c>
      <c r="H67" s="268" t="n">
        <f aca="false">VLOOKUP($C67,01_SINTETICO!$B:$M,6,0)*$G67*(1+BDI_DIF)</f>
        <v>23708.6428318722</v>
      </c>
      <c r="I67" s="268" t="n">
        <f aca="false">VLOOKUP($C67,01_SINTETICO!$B:$M,7,0)*$G67*(1+BDI_MDO)</f>
        <v>7728.21120560473</v>
      </c>
      <c r="J67" s="269" t="n">
        <f aca="false">SUM(H67:I67)</f>
        <v>31436.854037477</v>
      </c>
      <c r="K67" s="270" t="n">
        <f aca="false">J67/SUM($J$7:$J$749)</f>
        <v>0.00348237696439661</v>
      </c>
      <c r="L67" s="271" t="n">
        <f aca="false">K67+L66</f>
        <v>0.729011933420789</v>
      </c>
    </row>
    <row r="68" customFormat="false" ht="25.5" hidden="false" customHeight="false" outlineLevel="0" collapsed="false">
      <c r="A68" s="264" t="n">
        <f aca="false">K68</f>
        <v>0.00336992380692808</v>
      </c>
      <c r="B68" s="265" t="str">
        <f aca="false">VLOOKUP($C68,01_SINTETICO!$B:$N,13,0)</f>
        <v>2.1.1.3</v>
      </c>
      <c r="C68" s="272" t="n">
        <v>97629</v>
      </c>
      <c r="D68" s="266" t="str">
        <f aca="false">VLOOKUP($C68,01_SINTETICO!$B:$M,2,0)</f>
        <v>DEMOLIÇÃO DE LAJES, EM CONCRETO ARMADO, DE FORMA MECANIZADA COM MARTELETE, SEM REAPROVEITAMENTO. AF_09/2023</v>
      </c>
      <c r="E68" s="272" t="str">
        <f aca="false">VLOOKUP($B68,01_SINTETICO!$A:$M,4,0)</f>
        <v>SER.CG</v>
      </c>
      <c r="F68" s="273" t="str">
        <f aca="false">VLOOKUP($B68,01_SINTETICO!$A:$M,5,0)</f>
        <v>M3</v>
      </c>
      <c r="G68" s="267" t="n">
        <f aca="true">SUMIFS(INDIRECT("'01_SINTETICO'!F7:F995"),INDIRECT("'01_SINTETICO'!B7:B995"),$C68)</f>
        <v>316.22</v>
      </c>
      <c r="H68" s="268" t="n">
        <f aca="false">VLOOKUP($C68,01_SINTETICO!$B:$M,6,0)*$G68*(1+BDI_DIF)</f>
        <v>10050.9286084102</v>
      </c>
      <c r="I68" s="268" t="n">
        <f aca="false">VLOOKUP($C68,01_SINTETICO!$B:$M,7,0)*$G68*(1+BDI_MDO)</f>
        <v>20370.7643670867</v>
      </c>
      <c r="J68" s="269" t="n">
        <f aca="false">SUM(H68:I68)</f>
        <v>30421.6929754969</v>
      </c>
      <c r="K68" s="270" t="n">
        <f aca="false">J68/SUM($J$7:$J$749)</f>
        <v>0.00336992380692808</v>
      </c>
      <c r="L68" s="271" t="n">
        <f aca="false">K68+L67</f>
        <v>0.732381857227717</v>
      </c>
    </row>
    <row r="69" customFormat="false" ht="38.25" hidden="false" customHeight="false" outlineLevel="0" collapsed="false">
      <c r="A69" s="264" t="n">
        <f aca="false">K69</f>
        <v>0.00329691814798329</v>
      </c>
      <c r="B69" s="265" t="str">
        <f aca="false">VLOOKUP($C69,01_SINTETICO!$B:$N,13,0)</f>
        <v>*16.1.1.13</v>
      </c>
      <c r="C69" s="266" t="s">
        <v>1252</v>
      </c>
      <c r="D69" s="266" t="str">
        <f aca="false">VLOOKUP($C69,01_SINTETICO!$B:$M,2,0)</f>
        <v>AR CONDICIONADO MULTI-SPLIT ON/OFF, EVAPORADORAS CASSETE 1V 18000 + CASSETE 4V 18000 BTUS/H, CONDENSADORA 24000 BTUS/H - FORNECIMENTO E INSTALAÇÃO.</v>
      </c>
      <c r="E69" s="266" t="str">
        <f aca="false">VLOOKUP($B69,01_SINTETICO!$A:$M,4,0)</f>
        <v>SER.CG</v>
      </c>
      <c r="F69" s="267" t="str">
        <f aca="false">VLOOKUP($B69,01_SINTETICO!$A:$M,5,0)</f>
        <v>UN</v>
      </c>
      <c r="G69" s="267" t="n">
        <f aca="true">SUMIFS(INDIRECT("'01_SINTETICO'!F7:F995"),INDIRECT("'01_SINTETICO'!B7:B995"),$C69)</f>
        <v>1</v>
      </c>
      <c r="H69" s="268" t="n">
        <f aca="false">VLOOKUP($C69,01_SINTETICO!$B:$M,6,0)*$G69*(1+BDI_DIF)</f>
        <v>29552.7622078488</v>
      </c>
      <c r="I69" s="268" t="n">
        <f aca="false">VLOOKUP($C69,01_SINTETICO!$B:$M,7,0)*$G69*(1+BDI_MDO)</f>
        <v>209.878554857361</v>
      </c>
      <c r="J69" s="269" t="n">
        <f aca="false">SUM(H69:I69)</f>
        <v>29762.6407627062</v>
      </c>
      <c r="K69" s="270" t="n">
        <f aca="false">J69/SUM($J$7:$J$749)</f>
        <v>0.00329691814798329</v>
      </c>
      <c r="L69" s="271" t="n">
        <f aca="false">K69+L68</f>
        <v>0.7356787753757</v>
      </c>
    </row>
    <row r="70" customFormat="false" ht="25.5" hidden="false" customHeight="false" outlineLevel="0" collapsed="false">
      <c r="A70" s="264" t="n">
        <f aca="false">K70</f>
        <v>0.00327545163001226</v>
      </c>
      <c r="B70" s="265" t="str">
        <f aca="false">VLOOKUP($C70,01_SINTETICO!$B:$N,13,0)</f>
        <v>11.2.1.1</v>
      </c>
      <c r="C70" s="266" t="s">
        <v>690</v>
      </c>
      <c r="D70" s="266" t="str">
        <f aca="false">VLOOKUP($C70,01_SINTETICO!$B:$M,2,0)</f>
        <v>CAIXA DE PASSAGEM CIRCULAR, EM CONCRETO, DIÂMETRO INTERNO Ø60 CM.</v>
      </c>
      <c r="E70" s="266" t="str">
        <f aca="false">VLOOKUP($B70,01_SINTETICO!$A:$M,4,0)</f>
        <v>SER.CG</v>
      </c>
      <c r="F70" s="267" t="str">
        <f aca="false">VLOOKUP($B70,01_SINTETICO!$A:$M,5,0)</f>
        <v>UN</v>
      </c>
      <c r="G70" s="267" t="n">
        <f aca="true">SUMIFS(INDIRECT("'01_SINTETICO'!F7:F995"),INDIRECT("'01_SINTETICO'!B7:B995"),$C70)</f>
        <v>26</v>
      </c>
      <c r="H70" s="268" t="n">
        <f aca="false">VLOOKUP($C70,01_SINTETICO!$B:$M,6,0)*$G70*(1+BDI_DIF)</f>
        <v>25905.6058438957</v>
      </c>
      <c r="I70" s="268" t="n">
        <f aca="false">VLOOKUP($C70,01_SINTETICO!$B:$M,7,0)*$G70*(1+BDI_MDO)</f>
        <v>3663.24780183611</v>
      </c>
      <c r="J70" s="269" t="n">
        <f aca="false">SUM(H70:I70)</f>
        <v>29568.8536457318</v>
      </c>
      <c r="K70" s="270" t="n">
        <f aca="false">J70/SUM($J$7:$J$749)</f>
        <v>0.00327545163001226</v>
      </c>
      <c r="L70" s="271" t="n">
        <f aca="false">K70+L69</f>
        <v>0.738954227005713</v>
      </c>
    </row>
    <row r="71" customFormat="false" ht="25.5" hidden="false" customHeight="false" outlineLevel="0" collapsed="false">
      <c r="A71" s="264" t="n">
        <f aca="false">K71</f>
        <v>0.00320988757322382</v>
      </c>
      <c r="B71" s="265" t="str">
        <f aca="false">VLOOKUP($C71,01_SINTETICO!$B:$N,13,0)</f>
        <v>3.2.1.3.5</v>
      </c>
      <c r="C71" s="272" t="n">
        <v>92763</v>
      </c>
      <c r="D71" s="266" t="str">
        <f aca="false">VLOOKUP($C71,01_SINTETICO!$B:$M,2,0)</f>
        <v>ARMAÇÃO DE PILAR OU VIGA DE ESTRUTURA CONVENCIONAL DE CONCRETO ARMADO UTILIZANDO AÇO CA-50 DE 12,5 MM - MONTAGEM. AF_06/2022</v>
      </c>
      <c r="E71" s="272" t="str">
        <f aca="false">VLOOKUP($B71,01_SINTETICO!$A:$M,4,0)</f>
        <v>SER.CG</v>
      </c>
      <c r="F71" s="273" t="str">
        <f aca="false">VLOOKUP($B71,01_SINTETICO!$A:$M,5,0)</f>
        <v>KG</v>
      </c>
      <c r="G71" s="267" t="n">
        <f aca="true">SUMIFS(INDIRECT("'01_SINTETICO'!F7:F995"),INDIRECT("'01_SINTETICO'!B7:B995"),$C71)</f>
        <v>2737</v>
      </c>
      <c r="H71" s="268" t="n">
        <f aca="false">VLOOKUP($C71,01_SINTETICO!$B:$M,6,0)*$G71*(1+BDI_DIF)</f>
        <v>26566.1806292176</v>
      </c>
      <c r="I71" s="268" t="n">
        <f aca="false">VLOOKUP($C71,01_SINTETICO!$B:$M,7,0)*$G71*(1+BDI_MDO)</f>
        <v>2410.79921754428</v>
      </c>
      <c r="J71" s="269" t="n">
        <f aca="false">SUM(H71:I71)</f>
        <v>28976.9798467619</v>
      </c>
      <c r="K71" s="270" t="n">
        <f aca="false">J71/SUM($J$7:$J$749)</f>
        <v>0.00320988757322382</v>
      </c>
      <c r="L71" s="271" t="n">
        <f aca="false">K71+L70</f>
        <v>0.742164114578937</v>
      </c>
    </row>
    <row r="72" customFormat="false" ht="25.5" hidden="false" customHeight="false" outlineLevel="0" collapsed="false">
      <c r="A72" s="264" t="n">
        <f aca="false">K72</f>
        <v>0.00316627295887043</v>
      </c>
      <c r="B72" s="265" t="str">
        <f aca="false">VLOOKUP($C72,01_SINTETICO!$B:$N,13,0)</f>
        <v>13.9.1</v>
      </c>
      <c r="C72" s="272" t="s">
        <v>1069</v>
      </c>
      <c r="D72" s="266" t="str">
        <f aca="false">VLOOKUP($C72,01_SINTETICO!$B:$M,2,0)</f>
        <v>CABO BALANCEADO PARA MICROFONE COM CONECTOR XLR MACHO E FEMEA - COMPRIMENTO DE 50M.</v>
      </c>
      <c r="E72" s="272" t="str">
        <f aca="false">VLOOKUP($B72,01_SINTETICO!$A:$M,4,0)</f>
        <v>SER.CG</v>
      </c>
      <c r="F72" s="273" t="str">
        <f aca="false">VLOOKUP($B72,01_SINTETICO!$A:$M,5,0)</f>
        <v>UN</v>
      </c>
      <c r="G72" s="267" t="n">
        <f aca="true">SUMIFS(INDIRECT("'01_SINTETICO'!F7:F995"),INDIRECT("'01_SINTETICO'!B7:B995"),$C72)</f>
        <v>15</v>
      </c>
      <c r="H72" s="268" t="n">
        <f aca="false">VLOOKUP($C72,01_SINTETICO!$B:$M,6,0)*$G72*(1+BDI_DIF)</f>
        <v>24266.2836486738</v>
      </c>
      <c r="I72" s="268" t="n">
        <f aca="false">VLOOKUP($C72,01_SINTETICO!$B:$M,7,0)*$G72*(1+BDI_MDO)</f>
        <v>4316.9690745324</v>
      </c>
      <c r="J72" s="269" t="n">
        <f aca="false">SUM(H72:I72)</f>
        <v>28583.2527232062</v>
      </c>
      <c r="K72" s="270" t="n">
        <f aca="false">J72/SUM($J$7:$J$749)</f>
        <v>0.00316627295887043</v>
      </c>
      <c r="L72" s="271" t="n">
        <f aca="false">K72+L71</f>
        <v>0.745330387537807</v>
      </c>
    </row>
    <row r="73" customFormat="false" ht="25.5" hidden="false" customHeight="false" outlineLevel="0" collapsed="false">
      <c r="A73" s="264" t="n">
        <f aca="false">K73</f>
        <v>0.0031582370276965</v>
      </c>
      <c r="B73" s="265" t="str">
        <f aca="false">VLOOKUP($C73,01_SINTETICO!$B:$N,13,0)</f>
        <v>8.2.3.1.2</v>
      </c>
      <c r="C73" s="272" t="s">
        <v>569</v>
      </c>
      <c r="D73" s="266" t="str">
        <f aca="false">VLOOKUP($C73,01_SINTETICO!$B:$M,2,0)</f>
        <v>PINTURA LÁTEX ACRÍLICA ACABAMENTO ACETINADO, APLICAÇÃO MANUAL EM PAREDES, DUAS DEMÃOS.</v>
      </c>
      <c r="E73" s="272" t="str">
        <f aca="false">VLOOKUP($B73,01_SINTETICO!$A:$M,4,0)</f>
        <v>SER.CG</v>
      </c>
      <c r="F73" s="273" t="str">
        <f aca="false">VLOOKUP($B73,01_SINTETICO!$A:$M,5,0)</f>
        <v>M2</v>
      </c>
      <c r="G73" s="267" t="n">
        <f aca="true">SUMIFS(INDIRECT("'01_SINTETICO'!F7:F995"),INDIRECT("'01_SINTETICO'!B7:B995"),$C73)</f>
        <v>2317.4</v>
      </c>
      <c r="H73" s="268" t="n">
        <f aca="false">VLOOKUP($C73,01_SINTETICO!$B:$M,6,0)*$G73*(1+BDI_DIF)</f>
        <v>26385.2311349277</v>
      </c>
      <c r="I73" s="268" t="n">
        <f aca="false">VLOOKUP($C73,01_SINTETICO!$B:$M,7,0)*$G73*(1+BDI_MDO)</f>
        <v>2125.47792113602</v>
      </c>
      <c r="J73" s="269" t="n">
        <f aca="false">SUM(H73:I73)</f>
        <v>28510.7090560637</v>
      </c>
      <c r="K73" s="270" t="n">
        <f aca="false">J73/SUM($J$7:$J$749)</f>
        <v>0.0031582370276965</v>
      </c>
      <c r="L73" s="271" t="n">
        <f aca="false">K73+L72</f>
        <v>0.748488624565503</v>
      </c>
    </row>
    <row r="74" customFormat="false" ht="38.25" hidden="false" customHeight="false" outlineLevel="0" collapsed="false">
      <c r="A74" s="264" t="n">
        <f aca="false">K74</f>
        <v>0.00301547649833721</v>
      </c>
      <c r="B74" s="265" t="str">
        <f aca="false">VLOOKUP($C74,01_SINTETICO!$B:$N,13,0)</f>
        <v>12.1.1.7</v>
      </c>
      <c r="C74" s="266" t="n">
        <v>92992</v>
      </c>
      <c r="D74" s="266" t="str">
        <f aca="false">VLOOKUP($C74,01_SINTETICO!$B:$M,2,0)</f>
        <v>CABO DE COBRE FLEXÍVEL ISOLADO, 95 MM², ANTI-CHAMA 0,6/1,0 KV, PARA REDE ENTERRADA DE DISTRIBUIÇÃO DE ENERGIA ELÉTRICA - FORNECIMENTO E INSTALAÇÃO. AF_12/2021</v>
      </c>
      <c r="E74" s="266" t="str">
        <f aca="false">VLOOKUP($B74,01_SINTETICO!$A:$M,4,0)</f>
        <v>SER.CG</v>
      </c>
      <c r="F74" s="267" t="str">
        <f aca="false">VLOOKUP($B74,01_SINTETICO!$A:$M,5,0)</f>
        <v>M</v>
      </c>
      <c r="G74" s="267" t="n">
        <f aca="true">SUMIFS(INDIRECT("'01_SINTETICO'!F7:F995"),INDIRECT("'01_SINTETICO'!B7:B995"),$C74)</f>
        <v>225</v>
      </c>
      <c r="H74" s="268" t="n">
        <f aca="false">VLOOKUP($C74,01_SINTETICO!$B:$M,6,0)*$G74*(1+BDI_DIF)</f>
        <v>25998.5882193346</v>
      </c>
      <c r="I74" s="268" t="n">
        <f aca="false">VLOOKUP($C74,01_SINTETICO!$B:$M,7,0)*$G74*(1+BDI_MDO)</f>
        <v>1223.36262081364</v>
      </c>
      <c r="J74" s="269" t="n">
        <f aca="false">SUM(H74:I74)</f>
        <v>27221.9508401482</v>
      </c>
      <c r="K74" s="270" t="n">
        <f aca="false">J74/SUM($J$7:$J$749)</f>
        <v>0.00301547649833721</v>
      </c>
      <c r="L74" s="271" t="n">
        <f aca="false">K74+L73</f>
        <v>0.751504101063841</v>
      </c>
    </row>
    <row r="75" customFormat="false" ht="38.25" hidden="false" customHeight="false" outlineLevel="0" collapsed="false">
      <c r="A75" s="264" t="n">
        <f aca="false">K75</f>
        <v>0.00297594069416824</v>
      </c>
      <c r="B75" s="265" t="str">
        <f aca="false">VLOOKUP($C75,01_SINTETICO!$B:$N,13,0)</f>
        <v>4.2.2.1.1</v>
      </c>
      <c r="C75" s="266" t="n">
        <v>102253</v>
      </c>
      <c r="D75" s="266" t="str">
        <f aca="false">VLOOKUP($C75,01_SINTETICO!$B:$M,2,0)</f>
        <v>DIVISORIA SANITÁRIA, TIPO CABINE, EM GRANITO CINZA POLIDO, ESP = 3CM, ASSENTADO COM ARGAMASSA COLANTE AC III-E, EXCLUSIVE FERRAGENS. AF_01/2021</v>
      </c>
      <c r="E75" s="266" t="str">
        <f aca="false">VLOOKUP($B75,01_SINTETICO!$A:$M,4,0)</f>
        <v>SER.CG</v>
      </c>
      <c r="F75" s="267" t="str">
        <f aca="false">VLOOKUP($B75,01_SINTETICO!$A:$M,5,0)</f>
        <v>M2</v>
      </c>
      <c r="G75" s="267" t="n">
        <f aca="true">SUMIFS(INDIRECT("'01_SINTETICO'!F7:F995"),INDIRECT("'01_SINTETICO'!B7:B995"),$C75)</f>
        <v>28.1</v>
      </c>
      <c r="H75" s="268" t="n">
        <f aca="false">VLOOKUP($C75,01_SINTETICO!$B:$M,6,0)*$G75*(1+BDI_MAT)</f>
        <v>24759.9043383906</v>
      </c>
      <c r="I75" s="268" t="n">
        <f aca="false">VLOOKUP($C75,01_SINTETICO!$B:$M,7,0)*$G75*(1+BDI_MDO)</f>
        <v>2105.14048106508</v>
      </c>
      <c r="J75" s="269" t="n">
        <f aca="false">SUM(H75:I75)</f>
        <v>26865.0448194557</v>
      </c>
      <c r="K75" s="270" t="n">
        <f aca="false">J75/SUM($J$7:$J$749)</f>
        <v>0.00297594069416824</v>
      </c>
      <c r="L75" s="271" t="n">
        <f aca="false">K75+L74</f>
        <v>0.754480041758009</v>
      </c>
    </row>
    <row r="76" customFormat="false" ht="25.5" hidden="false" customHeight="false" outlineLevel="0" collapsed="false">
      <c r="A76" s="264" t="n">
        <f aca="false">K76</f>
        <v>0.00296740127961762</v>
      </c>
      <c r="B76" s="265" t="str">
        <f aca="false">VLOOKUP($C76,01_SINTETICO!$B:$N,13,0)</f>
        <v>3.2.3.6.5</v>
      </c>
      <c r="C76" s="266" t="n">
        <v>98555</v>
      </c>
      <c r="D76" s="266" t="str">
        <f aca="false">VLOOKUP($C76,01_SINTETICO!$B:$M,2,0)</f>
        <v>IMPERMEABILIZAÇÃO DE SUPERFÍCIE COM ARGAMASSA POLIMÉRICA / MEMBRANA ACRÍLICA, 3 DEMÃOS. AF_09/2023</v>
      </c>
      <c r="E76" s="266" t="str">
        <f aca="false">VLOOKUP($B76,01_SINTETICO!$A:$M,4,0)</f>
        <v>SER.CG</v>
      </c>
      <c r="F76" s="267" t="str">
        <f aca="false">VLOOKUP($B76,01_SINTETICO!$A:$M,5,0)</f>
        <v>M2</v>
      </c>
      <c r="G76" s="267" t="n">
        <f aca="true">SUMIFS(INDIRECT("'01_SINTETICO'!F7:F995"),INDIRECT("'01_SINTETICO'!B7:B995"),$C76)</f>
        <v>722.48</v>
      </c>
      <c r="H76" s="268" t="n">
        <f aca="false">VLOOKUP($C76,01_SINTETICO!$B:$M,6,0)*$G76*(1+BDI_DIF)</f>
        <v>13575.1061782738</v>
      </c>
      <c r="I76" s="268" t="n">
        <f aca="false">VLOOKUP($C76,01_SINTETICO!$B:$M,7,0)*$G76*(1+BDI_MDO)</f>
        <v>13212.8498218099</v>
      </c>
      <c r="J76" s="269" t="n">
        <f aca="false">SUM(H76:I76)</f>
        <v>26787.9560000837</v>
      </c>
      <c r="K76" s="270" t="n">
        <f aca="false">J76/SUM($J$7:$J$749)</f>
        <v>0.00296740127961762</v>
      </c>
      <c r="L76" s="271" t="n">
        <f aca="false">K76+L75</f>
        <v>0.757447443037627</v>
      </c>
    </row>
    <row r="77" customFormat="false" ht="51" hidden="false" customHeight="false" outlineLevel="0" collapsed="false">
      <c r="A77" s="264" t="n">
        <f aca="false">K77</f>
        <v>0.00294276078532983</v>
      </c>
      <c r="B77" s="265" t="str">
        <f aca="false">VLOOKUP($C77,01_SINTETICO!$B:$N,13,0)</f>
        <v>5.3.1.1.1</v>
      </c>
      <c r="C77" s="266" t="n">
        <v>90843</v>
      </c>
      <c r="D77" s="266" t="str">
        <f aca="false">VLOOKUP($C77,01_SINTETICO!$B:$M,2,0)</f>
        <v>KIT DE PORTA DE MADEIRA PARA PINTURA, SEMI-OCA (LEVE OU MÉDIA), PADRÃO MÉDIO, 80X210CM, ESPESSURA DE 3,5CM, ITENS INCLUSOS: DOBRADIÇAS, MONTAGEM E INSTALAÇÃO DO BATENTE, FECHADURA COM EXECUÇÃO DO FURO - FORNECIMENTO E INSTALAÇÃO. AF_12/2019</v>
      </c>
      <c r="E77" s="266" t="str">
        <f aca="false">VLOOKUP($B77,01_SINTETICO!$A:$M,4,0)</f>
        <v>SER.CG</v>
      </c>
      <c r="F77" s="267" t="str">
        <f aca="false">VLOOKUP($B77,01_SINTETICO!$A:$M,5,0)</f>
        <v>UN</v>
      </c>
      <c r="G77" s="267" t="n">
        <f aca="true">SUMIFS(INDIRECT("'01_SINTETICO'!F7:F995"),INDIRECT("'01_SINTETICO'!B7:B995"),$C77)</f>
        <v>23</v>
      </c>
      <c r="H77" s="268" t="n">
        <f aca="false">VLOOKUP($C77,01_SINTETICO!$B:$M,6,0)*$G77*(1+BDI_DIF)</f>
        <v>20449.1155663595</v>
      </c>
      <c r="I77" s="268" t="n">
        <f aca="false">VLOOKUP($C77,01_SINTETICO!$B:$M,7,0)*$G77*(1+BDI_MDO)</f>
        <v>6116.4005226358</v>
      </c>
      <c r="J77" s="269" t="n">
        <f aca="false">SUM(H77:I77)</f>
        <v>26565.5160889953</v>
      </c>
      <c r="K77" s="270" t="n">
        <f aca="false">J77/SUM($J$7:$J$749)</f>
        <v>0.00294276078532983</v>
      </c>
      <c r="L77" s="271" t="n">
        <f aca="false">K77+L76</f>
        <v>0.760390203822956</v>
      </c>
    </row>
    <row r="78" customFormat="false" ht="25.5" hidden="false" customHeight="false" outlineLevel="0" collapsed="false">
      <c r="A78" s="264" t="n">
        <f aca="false">K78</f>
        <v>0.0028952943527076</v>
      </c>
      <c r="B78" s="265" t="str">
        <f aca="false">VLOOKUP($C78,01_SINTETICO!$B:$N,13,0)</f>
        <v>3.2.2.3.2.4</v>
      </c>
      <c r="C78" s="272" t="n">
        <v>92770</v>
      </c>
      <c r="D78" s="266" t="str">
        <f aca="false">VLOOKUP($C78,01_SINTETICO!$B:$M,2,0)</f>
        <v>ARMAÇÃO DE LAJE DE ESTRUTURA CONVENCIONAL DE CONCRETO ARMADO UTILIZANDO AÇO CA-50 DE 8,0 MM - MONTAGEM. AF_06/2022</v>
      </c>
      <c r="E78" s="272" t="str">
        <f aca="false">VLOOKUP($B78,01_SINTETICO!$A:$M,4,0)</f>
        <v>SER.CG</v>
      </c>
      <c r="F78" s="273" t="str">
        <f aca="false">VLOOKUP($B78,01_SINTETICO!$A:$M,5,0)</f>
        <v>KG</v>
      </c>
      <c r="G78" s="267" t="n">
        <f aca="true">SUMIFS(INDIRECT("'01_SINTETICO'!F7:F995"),INDIRECT("'01_SINTETICO'!B7:B995"),$C78)</f>
        <v>1922.1</v>
      </c>
      <c r="H78" s="268" t="n">
        <f aca="false">VLOOKUP($C78,01_SINTETICO!$B:$M,6,0)*$G78*(1+BDI_DIF)</f>
        <v>23002.8134166449</v>
      </c>
      <c r="I78" s="268" t="n">
        <f aca="false">VLOOKUP($C78,01_SINTETICO!$B:$M,7,0)*$G78*(1+BDI_MDO)</f>
        <v>3134.20359563339</v>
      </c>
      <c r="J78" s="269" t="n">
        <f aca="false">SUM(H78:I78)</f>
        <v>26137.0170122783</v>
      </c>
      <c r="K78" s="270" t="n">
        <f aca="false">J78/SUM($J$7:$J$749)</f>
        <v>0.0028952943527076</v>
      </c>
      <c r="L78" s="271" t="n">
        <f aca="false">K78+L77</f>
        <v>0.763285498175664</v>
      </c>
    </row>
    <row r="79" customFormat="false" ht="25.5" hidden="false" customHeight="false" outlineLevel="0" collapsed="false">
      <c r="A79" s="264" t="n">
        <f aca="false">K79</f>
        <v>0.00284559833213216</v>
      </c>
      <c r="B79" s="265" t="str">
        <f aca="false">VLOOKUP($C79,01_SINTETICO!$B:$N,13,0)</f>
        <v>3.2.1.2.2</v>
      </c>
      <c r="C79" s="272" t="n">
        <v>96531</v>
      </c>
      <c r="D79" s="266" t="str">
        <f aca="false">VLOOKUP($C79,01_SINTETICO!$B:$M,2,0)</f>
        <v>FABRICAÇÃO, MONTAGEM E DESMONTAGEM DE FÔRMA PARA BLOCO DE COROAMENTO, EM MADEIRA SERRADA, E=25 MM, 2 UTILIZAÇÕES. AF_01/2024</v>
      </c>
      <c r="E79" s="272" t="str">
        <f aca="false">VLOOKUP($B79,01_SINTETICO!$A:$M,4,0)</f>
        <v>SER.CG</v>
      </c>
      <c r="F79" s="273" t="str">
        <f aca="false">VLOOKUP($B79,01_SINTETICO!$A:$M,5,0)</f>
        <v>M2</v>
      </c>
      <c r="G79" s="267" t="n">
        <f aca="true">SUMIFS(INDIRECT("'01_SINTETICO'!F7:F995"),INDIRECT("'01_SINTETICO'!B7:B995"),$C79)</f>
        <v>192.63</v>
      </c>
      <c r="H79" s="268" t="n">
        <f aca="false">VLOOKUP($C79,01_SINTETICO!$B:$M,6,0)*$G79*(1+BDI_DIF)</f>
        <v>16516.5658770133</v>
      </c>
      <c r="I79" s="268" t="n">
        <f aca="false">VLOOKUP($C79,01_SINTETICO!$B:$M,7,0)*$G79*(1+BDI_MDO)</f>
        <v>9171.82464794143</v>
      </c>
      <c r="J79" s="269" t="n">
        <f aca="false">SUM(H79:I79)</f>
        <v>25688.3905249547</v>
      </c>
      <c r="K79" s="270" t="n">
        <f aca="false">J79/SUM($J$7:$J$749)</f>
        <v>0.00284559833213216</v>
      </c>
      <c r="L79" s="271" t="n">
        <f aca="false">K79+L78</f>
        <v>0.766131096507796</v>
      </c>
    </row>
    <row r="80" customFormat="false" ht="25.5" hidden="false" customHeight="false" outlineLevel="0" collapsed="false">
      <c r="A80" s="264" t="n">
        <f aca="false">K80</f>
        <v>0.00282986494186007</v>
      </c>
      <c r="B80" s="265" t="str">
        <f aca="false">VLOOKUP($C80,01_SINTETICO!$B:$N,13,0)</f>
        <v>3.2.1.5.5</v>
      </c>
      <c r="C80" s="266" t="s">
        <v>161</v>
      </c>
      <c r="D80" s="266" t="str">
        <f aca="false">VLOOKUP($C80,01_SINTETICO!$B:$M,2,0)</f>
        <v>CONCRETAGEM DE CORTINA DE CONTENÇÃO, ATRAVÉS DE BOMBA, FCK=35 MPA - LANÇAMENTO, ADENSAMENTO E ACABAMENTO.</v>
      </c>
      <c r="E80" s="266" t="str">
        <f aca="false">VLOOKUP($B80,01_SINTETICO!$A:$M,4,0)</f>
        <v>SER.CG</v>
      </c>
      <c r="F80" s="267" t="str">
        <f aca="false">VLOOKUP($B80,01_SINTETICO!$A:$M,5,0)</f>
        <v>M3</v>
      </c>
      <c r="G80" s="267" t="n">
        <f aca="true">SUMIFS(INDIRECT("'01_SINTETICO'!F7:F995"),INDIRECT("'01_SINTETICO'!B7:B995"),$C80)</f>
        <v>28</v>
      </c>
      <c r="H80" s="268" t="n">
        <f aca="false">VLOOKUP($C80,01_SINTETICO!$B:$M,6,0)*$G80*(1+BDI_DIF)</f>
        <v>24747.0480324117</v>
      </c>
      <c r="I80" s="268" t="n">
        <f aca="false">VLOOKUP($C80,01_SINTETICO!$B:$M,7,0)*$G80*(1+BDI_MDO)</f>
        <v>799.310685373644</v>
      </c>
      <c r="J80" s="269" t="n">
        <f aca="false">SUM(H80:I80)</f>
        <v>25546.3587177854</v>
      </c>
      <c r="K80" s="270" t="n">
        <f aca="false">J80/SUM($J$7:$J$749)</f>
        <v>0.00282986494186007</v>
      </c>
      <c r="L80" s="271" t="n">
        <f aca="false">K80+L79</f>
        <v>0.768960961449656</v>
      </c>
    </row>
    <row r="81" customFormat="false" ht="25.5" hidden="false" customHeight="false" outlineLevel="0" collapsed="false">
      <c r="A81" s="264" t="n">
        <f aca="false">K81</f>
        <v>0.00280543413500543</v>
      </c>
      <c r="B81" s="265" t="str">
        <f aca="false">VLOOKUP($C81,01_SINTETICO!$B:$N,13,0)</f>
        <v>3.2.1.4.8</v>
      </c>
      <c r="C81" s="266" t="n">
        <v>104919</v>
      </c>
      <c r="D81" s="266" t="str">
        <f aca="false">VLOOKUP($C81,01_SINTETICO!$B:$M,2,0)</f>
        <v>ARMAÇÃO DE SAPATA ISOLADA, VIGA BALDRAME E SAPATA CORRIDA UTILIZANDO AÇO CA-50 DE 10 MM - MONTAGEM. AF_01/2024</v>
      </c>
      <c r="E81" s="266" t="str">
        <f aca="false">VLOOKUP($B81,01_SINTETICO!$A:$M,4,0)</f>
        <v>SER.CG</v>
      </c>
      <c r="F81" s="267" t="str">
        <f aca="false">VLOOKUP($B81,01_SINTETICO!$A:$M,5,0)</f>
        <v>KG</v>
      </c>
      <c r="G81" s="267" t="n">
        <f aca="true">SUMIFS(INDIRECT("'01_SINTETICO'!F7:F995"),INDIRECT("'01_SINTETICO'!B7:B995"),$C81)</f>
        <v>1725.14</v>
      </c>
      <c r="H81" s="268" t="n">
        <f aca="false">VLOOKUP($C81,01_SINTETICO!$B:$M,6,0)*$G81*(1+BDI_DIF)</f>
        <v>20330.3759956054</v>
      </c>
      <c r="I81" s="268" t="n">
        <f aca="false">VLOOKUP($C81,01_SINTETICO!$B:$M,7,0)*$G81*(1+BDI_MDO)</f>
        <v>4995.43574608878</v>
      </c>
      <c r="J81" s="269" t="n">
        <f aca="false">SUM(H81:I81)</f>
        <v>25325.8117416942</v>
      </c>
      <c r="K81" s="270" t="n">
        <f aca="false">J81/SUM($J$7:$J$749)</f>
        <v>0.00280543413500543</v>
      </c>
      <c r="L81" s="271" t="n">
        <f aca="false">K81+L80</f>
        <v>0.771766395584662</v>
      </c>
    </row>
    <row r="82" customFormat="false" ht="51" hidden="false" customHeight="false" outlineLevel="0" collapsed="false">
      <c r="A82" s="264" t="n">
        <f aca="false">K82</f>
        <v>0.00265910119482367</v>
      </c>
      <c r="B82" s="265" t="str">
        <f aca="false">VLOOKUP($C82,01_SINTETICO!$B:$N,13,0)</f>
        <v>3.1.2</v>
      </c>
      <c r="C82" s="266" t="s">
        <v>109</v>
      </c>
      <c r="D82" s="266" t="str">
        <f aca="false">VLOOKUP($C82,01_SINTETICO!$B:$M,2,0)</f>
        <v>GRADIL METÁLICO H=2,03M COM FIO DE AÇO GALVANIZADO ø4.3MMM, COM PINTURA ELETROSTÁTICA, ABERTURA DA MALHA: 200MM(A) X 50MM(L), COM POSTES METÁLICOSA CADA 2,50M. INCLUSO FIXADORES METÁLICOS (6UN POR POSTE) E TAMPA DE PVC PARA POSTE.</v>
      </c>
      <c r="E82" s="266" t="str">
        <f aca="false">VLOOKUP($B82,01_SINTETICO!$A:$M,4,0)</f>
        <v>SER.CG</v>
      </c>
      <c r="F82" s="267" t="str">
        <f aca="false">VLOOKUP($B82,01_SINTETICO!$A:$M,5,0)</f>
        <v>M2</v>
      </c>
      <c r="G82" s="267" t="n">
        <f aca="true">SUMIFS(INDIRECT("'01_SINTETICO'!F7:F995"),INDIRECT("'01_SINTETICO'!B7:B995"),$C82)</f>
        <v>102.88</v>
      </c>
      <c r="H82" s="268" t="n">
        <f aca="false">VLOOKUP($C82,01_SINTETICO!$B:$M,6,0)*$G82*(1+BDI_DIF)</f>
        <v>22280.6980735387</v>
      </c>
      <c r="I82" s="268" t="n">
        <f aca="false">VLOOKUP($C82,01_SINTETICO!$B:$M,7,0)*$G82*(1+BDI_MDO)</f>
        <v>1724.10582540866</v>
      </c>
      <c r="J82" s="269" t="n">
        <f aca="false">SUM(H82:I82)</f>
        <v>24004.8038989474</v>
      </c>
      <c r="K82" s="270" t="n">
        <f aca="false">J82/SUM($J$7:$J$749)</f>
        <v>0.00265910119482367</v>
      </c>
      <c r="L82" s="271" t="n">
        <f aca="false">K82+L81</f>
        <v>0.774425496779486</v>
      </c>
    </row>
    <row r="83" customFormat="false" ht="38.25" hidden="false" customHeight="false" outlineLevel="0" collapsed="false">
      <c r="A83" s="264" t="n">
        <f aca="false">K83</f>
        <v>0.00265040438219144</v>
      </c>
      <c r="B83" s="265" t="str">
        <f aca="false">VLOOKUP($C83,01_SINTETICO!$B:$N,13,0)</f>
        <v>*16.1.1.12</v>
      </c>
      <c r="C83" s="266" t="s">
        <v>1250</v>
      </c>
      <c r="D83" s="266" t="str">
        <f aca="false">VLOOKUP($C83,01_SINTETICO!$B:$M,2,0)</f>
        <v>AR CONDICIONADO MULTI-SPLIT ON/OFF, EVAPORADORAS CASSETE 1V 12000 + CASSETE 4V 18000 BTUS/H, CONDENSADORA 18000 BTUS/H - FORNECIMENTO E INSTALAÇÃO.</v>
      </c>
      <c r="E83" s="266" t="str">
        <f aca="false">VLOOKUP($B83,01_SINTETICO!$A:$M,4,0)</f>
        <v>SER.CG</v>
      </c>
      <c r="F83" s="267" t="str">
        <f aca="false">VLOOKUP($B83,01_SINTETICO!$A:$M,5,0)</f>
        <v>UN</v>
      </c>
      <c r="G83" s="267" t="n">
        <f aca="true">SUMIFS(INDIRECT("'01_SINTETICO'!F7:F995"),INDIRECT("'01_SINTETICO'!B7:B995"),$C83)</f>
        <v>1</v>
      </c>
      <c r="H83" s="268" t="n">
        <f aca="false">VLOOKUP($C83,01_SINTETICO!$B:$M,6,0)*$G83*(1+BDI_DIF)</f>
        <v>23577.0171189135</v>
      </c>
      <c r="I83" s="268" t="n">
        <f aca="false">VLOOKUP($C83,01_SINTETICO!$B:$M,7,0)*$G83*(1+BDI_MDO)</f>
        <v>349.277063220962</v>
      </c>
      <c r="J83" s="269" t="n">
        <f aca="false">SUM(H83:I83)</f>
        <v>23926.2941821345</v>
      </c>
      <c r="K83" s="270" t="n">
        <f aca="false">J83/SUM($J$7:$J$749)</f>
        <v>0.00265040438219144</v>
      </c>
      <c r="L83" s="271" t="n">
        <f aca="false">K83+L82</f>
        <v>0.777075901161677</v>
      </c>
    </row>
    <row r="84" customFormat="false" ht="25.5" hidden="false" customHeight="false" outlineLevel="0" collapsed="false">
      <c r="A84" s="264" t="n">
        <f aca="false">K84</f>
        <v>0.00262526298985191</v>
      </c>
      <c r="B84" s="265" t="str">
        <f aca="false">VLOOKUP($C84,01_SINTETICO!$B:$N,13,0)</f>
        <v>3.2.1.3.6</v>
      </c>
      <c r="C84" s="266" t="n">
        <v>92764</v>
      </c>
      <c r="D84" s="266" t="str">
        <f aca="false">VLOOKUP($C84,01_SINTETICO!$B:$M,2,0)</f>
        <v>ARMAÇÃO DE PILAR OU VIGA DE ESTRUTURA CONVENCIONAL DE CONCRETO ARMADO UTILIZANDO AÇO CA-50 DE 16,0 MM - MONTAGEM. AF_06/2022</v>
      </c>
      <c r="E84" s="266" t="str">
        <f aca="false">VLOOKUP($B84,01_SINTETICO!$A:$M,4,0)</f>
        <v>SER.CG</v>
      </c>
      <c r="F84" s="267" t="str">
        <f aca="false">VLOOKUP($B84,01_SINTETICO!$A:$M,5,0)</f>
        <v>KG</v>
      </c>
      <c r="G84" s="267" t="n">
        <f aca="true">SUMIFS(INDIRECT("'01_SINTETICO'!F7:F995"),INDIRECT("'01_SINTETICO'!B7:B995"),$C84)</f>
        <v>2334.36</v>
      </c>
      <c r="H84" s="268" t="n">
        <f aca="false">VLOOKUP($C84,01_SINTETICO!$B:$M,6,0)*$G84*(1+BDI_DIF)</f>
        <v>22238.5264068788</v>
      </c>
      <c r="I84" s="268" t="n">
        <f aca="false">VLOOKUP($C84,01_SINTETICO!$B:$M,7,0)*$G84*(1+BDI_MDO)</f>
        <v>1460.80605073315</v>
      </c>
      <c r="J84" s="269" t="n">
        <f aca="false">SUM(H84:I84)</f>
        <v>23699.332457612</v>
      </c>
      <c r="K84" s="270" t="n">
        <f aca="false">J84/SUM($J$7:$J$749)</f>
        <v>0.00262526298985191</v>
      </c>
      <c r="L84" s="271" t="n">
        <f aca="false">K84+L83</f>
        <v>0.779701164151529</v>
      </c>
    </row>
    <row r="85" customFormat="false" ht="51" hidden="false" customHeight="false" outlineLevel="0" collapsed="false">
      <c r="A85" s="264" t="n">
        <f aca="false">K85</f>
        <v>0.00262171292276021</v>
      </c>
      <c r="B85" s="265" t="str">
        <f aca="false">VLOOKUP($C85,01_SINTETICO!$B:$N,13,0)</f>
        <v>5.2.1.1.3</v>
      </c>
      <c r="C85" s="266" t="s">
        <v>418</v>
      </c>
      <c r="D85" s="266" t="str">
        <f aca="false">VLOOKUP($C85,01_SINTETICO!$B:$M,2,0)</f>
        <v>JANELA DE ALUMÍNIO INTERCALANDO 2 FOLHA FIXAS E FOLHAS COM BASE FIXA + PARTE SUPERIOR BASCULANTE, TOTAL DE 10 FOLHAS, MEDIDAS DE 11,50 X 2,60 M, COM VIDRO, BATENTE E FERRAGENS. FORNECIMENTO E INSTALAÇÃO.</v>
      </c>
      <c r="E85" s="266" t="str">
        <f aca="false">VLOOKUP($B85,01_SINTETICO!$A:$M,4,0)</f>
        <v>SER.CG</v>
      </c>
      <c r="F85" s="267" t="str">
        <f aca="false">VLOOKUP($B85,01_SINTETICO!$A:$M,5,0)</f>
        <v>UN</v>
      </c>
      <c r="G85" s="267" t="n">
        <f aca="true">SUMIFS(INDIRECT("'01_SINTETICO'!F7:F995"),INDIRECT("'01_SINTETICO'!B7:B995"),$C85)</f>
        <v>1</v>
      </c>
      <c r="H85" s="268" t="n">
        <f aca="false">VLOOKUP($C85,01_SINTETICO!$B:$M,6,0)*$G85*(1+BDI_DIF)</f>
        <v>22919.0796555795</v>
      </c>
      <c r="I85" s="268" t="n">
        <f aca="false">VLOOKUP($C85,01_SINTETICO!$B:$M,7,0)*$G85*(1+BDI_MDO)</f>
        <v>748.204881280085</v>
      </c>
      <c r="J85" s="269" t="n">
        <f aca="false">SUM(H85:I85)</f>
        <v>23667.2845368596</v>
      </c>
      <c r="K85" s="270" t="n">
        <f aca="false">J85/SUM($J$7:$J$749)</f>
        <v>0.00262171292276021</v>
      </c>
      <c r="L85" s="271" t="n">
        <f aca="false">K85+L84</f>
        <v>0.782322877074289</v>
      </c>
    </row>
    <row r="86" customFormat="false" ht="38.25" hidden="false" customHeight="false" outlineLevel="0" collapsed="false">
      <c r="A86" s="264" t="n">
        <f aca="false">K86</f>
        <v>0.00257693873654734</v>
      </c>
      <c r="B86" s="265" t="str">
        <f aca="false">VLOOKUP($C86,01_SINTETICO!$B:$N,13,0)</f>
        <v>5.2.2.1.5</v>
      </c>
      <c r="C86" s="266" t="s">
        <v>429</v>
      </c>
      <c r="D86" s="266" t="str">
        <f aca="false">VLOOKUP($C86,01_SINTETICO!$B:$M,2,0)</f>
        <v>JANELA DE ALUMÍNIO, 3 FOLHAS, SENDO 1 FOLHA CENTRAL FIXA + 2 FOLHAS LATERAIS COM BASE FIXA E PARTE SUPERIOR BASCULANTE, COM VIDRO, BATENTE E FERRAGENS. FORNECIMENTO E INSTALAÇÃO.</v>
      </c>
      <c r="E86" s="266" t="str">
        <f aca="false">VLOOKUP($B86,01_SINTETICO!$A:$M,4,0)</f>
        <v>SER.CG</v>
      </c>
      <c r="F86" s="267" t="str">
        <f aca="false">VLOOKUP($B86,01_SINTETICO!$A:$M,5,0)</f>
        <v>M2</v>
      </c>
      <c r="G86" s="267" t="n">
        <f aca="true">SUMIFS(INDIRECT("'01_SINTETICO'!F7:F995"),INDIRECT("'01_SINTETICO'!B7:B995"),$C86)</f>
        <v>30.8</v>
      </c>
      <c r="H86" s="268" t="n">
        <f aca="false">VLOOKUP($C86,01_SINTETICO!$B:$M,6,0)*$G86*(1+BDI_DIF)</f>
        <v>22398.9073100133</v>
      </c>
      <c r="I86" s="268" t="n">
        <f aca="false">VLOOKUP($C86,01_SINTETICO!$B:$M,7,0)*$G86*(1+BDI_MDO)</f>
        <v>864.182169558733</v>
      </c>
      <c r="J86" s="269" t="n">
        <f aca="false">SUM(H86:I86)</f>
        <v>23263.0894795721</v>
      </c>
      <c r="K86" s="270" t="n">
        <f aca="false">J86/SUM($J$7:$J$749)</f>
        <v>0.00257693873654734</v>
      </c>
      <c r="L86" s="271" t="n">
        <f aca="false">K86+L85</f>
        <v>0.784899815810836</v>
      </c>
    </row>
    <row r="87" customFormat="false" ht="38.25" hidden="false" customHeight="false" outlineLevel="0" collapsed="false">
      <c r="A87" s="264" t="n">
        <f aca="false">K87</f>
        <v>0.00247157357499723</v>
      </c>
      <c r="B87" s="265" t="str">
        <f aca="false">VLOOKUP($C87,01_SINTETICO!$B:$N,13,0)</f>
        <v>8.2.1.2</v>
      </c>
      <c r="C87" s="266" t="n">
        <v>87550</v>
      </c>
      <c r="D87" s="266" t="str">
        <f aca="false">VLOOKUP($C87,01_SINTETICO!$B:$M,2,0)</f>
        <v>EMBOÇO, EM ARGAMASSA TRAÇO 1:2:8, PREPARO MANUAL, APLICADO MANUALMENTE EM PAREDES INTERNAS DE AMBIENTES COM ÁREA ENTRE 5M² E 10M², E = 10MM, COM TALISCAS. AF_03/2024</v>
      </c>
      <c r="E87" s="266" t="str">
        <f aca="false">VLOOKUP($B87,01_SINTETICO!$A:$M,4,0)</f>
        <v>SER.CG</v>
      </c>
      <c r="F87" s="267" t="str">
        <f aca="false">VLOOKUP($B87,01_SINTETICO!$A:$M,5,0)</f>
        <v>M2</v>
      </c>
      <c r="G87" s="267" t="n">
        <f aca="true">SUMIFS(INDIRECT("'01_SINTETICO'!F7:F995"),INDIRECT("'01_SINTETICO'!B7:B995"),$C87)</f>
        <v>636.67</v>
      </c>
      <c r="H87" s="268" t="n">
        <f aca="false">VLOOKUP($C87,01_SINTETICO!$B:$M,6,0)*$G87*(1+BDI_MAT)</f>
        <v>12326.607231835</v>
      </c>
      <c r="I87" s="268" t="n">
        <f aca="false">VLOOKUP($C87,01_SINTETICO!$B:$M,7,0)*$G87*(1+BDI_MDO)</f>
        <v>9985.30745013453</v>
      </c>
      <c r="J87" s="269" t="n">
        <f aca="false">SUM(H87:I87)</f>
        <v>22311.9146819695</v>
      </c>
      <c r="K87" s="270" t="n">
        <f aca="false">J87/SUM($J$7:$J$749)</f>
        <v>0.00247157357499723</v>
      </c>
      <c r="L87" s="271" t="n">
        <f aca="false">K87+L86</f>
        <v>0.787371389385834</v>
      </c>
    </row>
    <row r="88" customFormat="false" ht="38.25" hidden="false" customHeight="false" outlineLevel="0" collapsed="false">
      <c r="A88" s="264" t="n">
        <f aca="false">K88</f>
        <v>0.00245595145766057</v>
      </c>
      <c r="B88" s="265" t="str">
        <f aca="false">VLOOKUP($C88,01_SINTETICO!$B:$N,13,0)</f>
        <v>16.2.3.3</v>
      </c>
      <c r="C88" s="266" t="s">
        <v>1321</v>
      </c>
      <c r="D88" s="266" t="str">
        <f aca="false">VLOOKUP($C88,01_SINTETICO!$B:$M,2,0)</f>
        <v>INSTALAÇÃO DE DUTO PARA SISTEMA DE RENOVAÇÃO DE AR, EM CHAPA GALVANIZADA BITOLA 22, SEM ISOLAMENTO - FORNECIMENTO E INSTALAÇÃO.</v>
      </c>
      <c r="E88" s="266" t="str">
        <f aca="false">VLOOKUP($B88,01_SINTETICO!$A:$M,4,0)</f>
        <v>SER.CG</v>
      </c>
      <c r="F88" s="267" t="str">
        <f aca="false">VLOOKUP($B88,01_SINTETICO!$A:$M,5,0)</f>
        <v>M2</v>
      </c>
      <c r="G88" s="267" t="n">
        <f aca="true">SUMIFS(INDIRECT("'01_SINTETICO'!F7:F995"),INDIRECT("'01_SINTETICO'!B7:B995"),$C88)</f>
        <v>124.36</v>
      </c>
      <c r="H88" s="268" t="n">
        <f aca="false">VLOOKUP($C88,01_SINTETICO!$B:$M,6,0)*$G88*(1+BDI_DIF)</f>
        <v>17076.6884169435</v>
      </c>
      <c r="I88" s="268" t="n">
        <f aca="false">VLOOKUP($C88,01_SINTETICO!$B:$M,7,0)*$G88*(1+BDI_MDO)</f>
        <v>5094.19896456714</v>
      </c>
      <c r="J88" s="269" t="n">
        <f aca="false">SUM(H88:I88)</f>
        <v>22170.8873815106</v>
      </c>
      <c r="K88" s="270" t="n">
        <f aca="false">J88/SUM($J$7:$J$749)</f>
        <v>0.00245595145766057</v>
      </c>
      <c r="L88" s="271" t="n">
        <f aca="false">K88+L87</f>
        <v>0.789827340843494</v>
      </c>
    </row>
    <row r="89" customFormat="false" ht="38.25" hidden="false" customHeight="false" outlineLevel="0" collapsed="false">
      <c r="A89" s="264" t="n">
        <f aca="false">K89</f>
        <v>0.00243973581313356</v>
      </c>
      <c r="B89" s="265" t="str">
        <f aca="false">VLOOKUP($C89,01_SINTETICO!$B:$N,13,0)</f>
        <v>*16.1.1.10</v>
      </c>
      <c r="C89" s="266" t="s">
        <v>1246</v>
      </c>
      <c r="D89" s="266" t="str">
        <f aca="false">VLOOKUP($C89,01_SINTETICO!$B:$M,2,0)</f>
        <v>AR CONDICIONADO MULTI-SPLIT ON/OFF, EVAPORADORAS CASSETE 1V 12000 + CASSETE 4V 12000 BTUS/H, CONDENSADORA 18000 BTUS/H - FORNECIMENTO E INSTALAÇÃO.</v>
      </c>
      <c r="E89" s="266" t="str">
        <f aca="false">VLOOKUP($B89,01_SINTETICO!$A:$M,4,0)</f>
        <v>SER.CG</v>
      </c>
      <c r="F89" s="267" t="str">
        <f aca="false">VLOOKUP($B89,01_SINTETICO!$A:$M,5,0)</f>
        <v>UN</v>
      </c>
      <c r="G89" s="267" t="n">
        <f aca="true">SUMIFS(INDIRECT("'01_SINTETICO'!F7:F995"),INDIRECT("'01_SINTETICO'!B7:B995"),$C89)</f>
        <v>1</v>
      </c>
      <c r="H89" s="268" t="n">
        <f aca="false">VLOOKUP($C89,01_SINTETICO!$B:$M,6,0)*$G89*(1+BDI_MAT)</f>
        <v>21675.2250029344</v>
      </c>
      <c r="I89" s="268" t="n">
        <f aca="false">VLOOKUP($C89,01_SINTETICO!$B:$M,7,0)*$G89*(1+BDI_MDO)</f>
        <v>349.277063220962</v>
      </c>
      <c r="J89" s="269" t="n">
        <f aca="false">SUM(H89:I89)</f>
        <v>22024.5020661554</v>
      </c>
      <c r="K89" s="270" t="n">
        <f aca="false">J89/SUM($J$7:$J$749)</f>
        <v>0.00243973581313356</v>
      </c>
      <c r="L89" s="271" t="n">
        <f aca="false">K89+L88</f>
        <v>0.792267076656628</v>
      </c>
    </row>
    <row r="90" customFormat="false" ht="51" hidden="false" customHeight="false" outlineLevel="0" collapsed="false">
      <c r="A90" s="264" t="n">
        <f aca="false">K90</f>
        <v>0.00242782372110945</v>
      </c>
      <c r="B90" s="265" t="str">
        <f aca="false">VLOOKUP($C90,01_SINTETICO!$B:$N,13,0)</f>
        <v>7.4</v>
      </c>
      <c r="C90" s="272" t="n">
        <v>87765</v>
      </c>
      <c r="D90" s="266" t="str">
        <f aca="false">VLOOKUP($C90,01_SINTETICO!$B:$M,2,0)</f>
        <v>CONTRAPISO EM ARGAMASSA TRAÇO 1:4 (CIMENTO E AREIA), PREPARO MECÂNICO COM BETONEIRA 400 L, APLICADO EM ÁREAS MOLHADAS SOBRE IMPERMEABILIZAÇÃO, ACABAMENTO NÃO REFORÇADO, ESPESSURA 4CM. AF_07/2021</v>
      </c>
      <c r="E90" s="272" t="str">
        <f aca="false">VLOOKUP($B90,01_SINTETICO!$A:$M,4,0)</f>
        <v>SER.CG</v>
      </c>
      <c r="F90" s="273" t="str">
        <f aca="false">VLOOKUP($B90,01_SINTETICO!$A:$M,5,0)</f>
        <v>M2</v>
      </c>
      <c r="G90" s="267" t="n">
        <f aca="true">SUMIFS(INDIRECT("'01_SINTETICO'!F7:F995"),INDIRECT("'01_SINTETICO'!B7:B995"),$C90)</f>
        <v>346.42</v>
      </c>
      <c r="H90" s="268" t="n">
        <f aca="false">VLOOKUP($C90,01_SINTETICO!$B:$M,6,0)*$G90*(1+BDI_DIF)</f>
        <v>14940.5985731795</v>
      </c>
      <c r="I90" s="268" t="n">
        <f aca="false">VLOOKUP($C90,01_SINTETICO!$B:$M,7,0)*$G90*(1+BDI_MDO)</f>
        <v>6976.36812214397</v>
      </c>
      <c r="J90" s="269" t="n">
        <f aca="false">SUM(H90:I90)</f>
        <v>21916.9666953234</v>
      </c>
      <c r="K90" s="270" t="n">
        <f aca="false">J90/SUM($J$7:$J$749)</f>
        <v>0.00242782372110945</v>
      </c>
      <c r="L90" s="271" t="n">
        <f aca="false">K90+L89</f>
        <v>0.794694900377737</v>
      </c>
    </row>
    <row r="91" customFormat="false" ht="25.5" hidden="false" customHeight="false" outlineLevel="0" collapsed="false">
      <c r="A91" s="264" t="n">
        <f aca="false">K91</f>
        <v>0.00234328630831054</v>
      </c>
      <c r="B91" s="265" t="str">
        <f aca="false">VLOOKUP($C91,01_SINTETICO!$B:$N,13,0)</f>
        <v>13.1.2.2</v>
      </c>
      <c r="C91" s="266" t="n">
        <v>98304</v>
      </c>
      <c r="D91" s="266" t="str">
        <f aca="false">VLOOKUP($C91,01_SINTETICO!$B:$M,2,0)</f>
        <v>PATCH PANEL 48 PORTAS, CATEGORIA 6 - FORNECIMENTO E INSTALAÇÃO. AF_11/2019</v>
      </c>
      <c r="E91" s="266" t="str">
        <f aca="false">VLOOKUP($B91,01_SINTETICO!$A:$M,4,0)</f>
        <v>SER.CG</v>
      </c>
      <c r="F91" s="267" t="str">
        <f aca="false">VLOOKUP($B91,01_SINTETICO!$A:$M,5,0)</f>
        <v>UN</v>
      </c>
      <c r="G91" s="267" t="n">
        <f aca="true">SUMIFS(INDIRECT("'01_SINTETICO'!F7:F995"),INDIRECT("'01_SINTETICO'!B7:B995"),$C91)</f>
        <v>5</v>
      </c>
      <c r="H91" s="268" t="n">
        <f aca="false">VLOOKUP($C91,01_SINTETICO!$B:$M,6,0)*$G91*(1+BDI_DIF)</f>
        <v>18425.5766794344</v>
      </c>
      <c r="I91" s="268" t="n">
        <f aca="false">VLOOKUP($C91,01_SINTETICO!$B:$M,7,0)*$G91*(1+BDI_MDO)</f>
        <v>2728.23590189269</v>
      </c>
      <c r="J91" s="269" t="n">
        <f aca="false">SUM(H91:I91)</f>
        <v>21153.8125813271</v>
      </c>
      <c r="K91" s="270" t="n">
        <f aca="false">J91/SUM($J$7:$J$749)</f>
        <v>0.00234328630831054</v>
      </c>
      <c r="L91" s="271" t="n">
        <f aca="false">K91+L90</f>
        <v>0.797038186686048</v>
      </c>
    </row>
    <row r="92" customFormat="false" ht="38.25" hidden="false" customHeight="false" outlineLevel="0" collapsed="false">
      <c r="A92" s="264" t="n">
        <f aca="false">K92</f>
        <v>0.00234210243019665</v>
      </c>
      <c r="B92" s="265" t="str">
        <f aca="false">VLOOKUP($C92,01_SINTETICO!$B:$N,13,0)</f>
        <v>12.2.3.9</v>
      </c>
      <c r="C92" s="266" t="s">
        <v>934</v>
      </c>
      <c r="D92" s="266" t="str">
        <f aca="false">VLOOKUP($C92,01_SINTETICO!$B:$M,2,0)</f>
        <v>ELETROCALHA LISA OU PERFURADA EM AÇO GALVANIZADO, LARGURA 150MM E ALTURA 50MM, INCLUSIVE EMENDA, TAMPA E FIXAÇÃO - FORNECIMENTO E INSTALAÇÃO.</v>
      </c>
      <c r="E92" s="266" t="str">
        <f aca="false">VLOOKUP($B92,01_SINTETICO!$A:$M,4,0)</f>
        <v>SER.CG</v>
      </c>
      <c r="F92" s="267" t="str">
        <f aca="false">VLOOKUP($B92,01_SINTETICO!$A:$M,5,0)</f>
        <v>M</v>
      </c>
      <c r="G92" s="267" t="n">
        <f aca="true">SUMIFS(INDIRECT("'01_SINTETICO'!F7:F995"),INDIRECT("'01_SINTETICO'!B7:B995"),$C92)</f>
        <v>208.45</v>
      </c>
      <c r="H92" s="268" t="n">
        <f aca="false">VLOOKUP($C92,01_SINTETICO!$B:$M,6,0)*$G92*(1+BDI_DIF)</f>
        <v>19729.9781252327</v>
      </c>
      <c r="I92" s="268" t="n">
        <f aca="false">VLOOKUP($C92,01_SINTETICO!$B:$M,7,0)*$G92*(1+BDI_MDO)</f>
        <v>1413.14709977284</v>
      </c>
      <c r="J92" s="269" t="n">
        <f aca="false">SUM(H92:I92)</f>
        <v>21143.1252250055</v>
      </c>
      <c r="K92" s="270" t="n">
        <f aca="false">J92/SUM($J$7:$J$749)</f>
        <v>0.00234210243019665</v>
      </c>
      <c r="L92" s="271" t="n">
        <f aca="false">K92+L91</f>
        <v>0.799380289116244</v>
      </c>
    </row>
    <row r="93" customFormat="false" ht="38.25" hidden="false" customHeight="false" outlineLevel="0" collapsed="false">
      <c r="A93" s="264" t="n">
        <f aca="false">K93</f>
        <v>0.00222872662530592</v>
      </c>
      <c r="B93" s="265" t="str">
        <f aca="false">VLOOKUP($C93,01_SINTETICO!$B:$N,13,0)</f>
        <v>*16.2.2.3</v>
      </c>
      <c r="C93" s="266" t="s">
        <v>1313</v>
      </c>
      <c r="D93" s="266" t="str">
        <f aca="false">VLOOKUP($C93,01_SINTETICO!$B:$M,2,0)</f>
        <v>GABINETE DE VENTILAÇÃO PARA SISTEMA DE RENOVAÇÃO DE AR, VAZÃO MÁXIMA 430 M3/H, MODELO FH150 - G4/F8. REF. SICFLUX, OU SIMILAR - FORNECIMENTO E INSTALAÇÃO.</v>
      </c>
      <c r="E93" s="266" t="str">
        <f aca="false">VLOOKUP($B93,01_SINTETICO!$A:$M,4,0)</f>
        <v>SER.CG</v>
      </c>
      <c r="F93" s="267" t="str">
        <f aca="false">VLOOKUP($B93,01_SINTETICO!$A:$M,5,0)</f>
        <v>UN</v>
      </c>
      <c r="G93" s="267" t="n">
        <f aca="true">SUMIFS(INDIRECT("'01_SINTETICO'!F7:F995"),INDIRECT("'01_SINTETICO'!B7:B995"),$C93)</f>
        <v>6</v>
      </c>
      <c r="H93" s="268" t="n">
        <f aca="false">VLOOKUP($C93,01_SINTETICO!$B:$M,6,0)*$G93*(1+BDI_DIF)</f>
        <v>19959.1918591742</v>
      </c>
      <c r="I93" s="268" t="n">
        <f aca="false">VLOOKUP($C93,01_SINTETICO!$B:$M,7,0)*$G93*(1+BDI_MDO)</f>
        <v>160.44318479376</v>
      </c>
      <c r="J93" s="269" t="n">
        <f aca="false">SUM(H93:I93)</f>
        <v>20119.635043968</v>
      </c>
      <c r="K93" s="270" t="n">
        <f aca="false">J93/SUM($J$7:$J$749)</f>
        <v>0.00222872662530592</v>
      </c>
      <c r="L93" s="271" t="n">
        <f aca="false">K93+L92</f>
        <v>0.80160901574155</v>
      </c>
    </row>
    <row r="94" customFormat="false" ht="25.5" hidden="false" customHeight="false" outlineLevel="0" collapsed="false">
      <c r="A94" s="264" t="n">
        <f aca="false">K94</f>
        <v>0.00221029156129238</v>
      </c>
      <c r="B94" s="265" t="str">
        <f aca="false">VLOOKUP($C94,01_SINTETICO!$B:$N,13,0)</f>
        <v>3.2.2.4.1</v>
      </c>
      <c r="C94" s="266" t="n">
        <v>101995</v>
      </c>
      <c r="D94" s="266" t="str">
        <f aca="false">VLOOKUP($C94,01_SINTETICO!$B:$M,2,0)</f>
        <v>FABRICAÇÃO DE FÔRMA PARA ESCADAS, COM 1 LANCE E LAJE PLANA, EM CHAPA DE MADEIRA COMPENSADA RESINADA, E= 17 MM. AF_11/2020</v>
      </c>
      <c r="E94" s="266" t="str">
        <f aca="false">VLOOKUP($B94,01_SINTETICO!$A:$M,4,0)</f>
        <v>SER.CG</v>
      </c>
      <c r="F94" s="267" t="str">
        <f aca="false">VLOOKUP($B94,01_SINTETICO!$A:$M,5,0)</f>
        <v>M2</v>
      </c>
      <c r="G94" s="267" t="n">
        <f aca="true">SUMIFS(INDIRECT("'01_SINTETICO'!F7:F995"),INDIRECT("'01_SINTETICO'!B7:B995"),$C94)</f>
        <v>151.38</v>
      </c>
      <c r="H94" s="268" t="n">
        <f aca="false">VLOOKUP($C94,01_SINTETICO!$B:$M,6,0)*$G94*(1+BDI_DIF)</f>
        <v>15565.6799099781</v>
      </c>
      <c r="I94" s="268" t="n">
        <f aca="false">VLOOKUP($C94,01_SINTETICO!$B:$M,7,0)*$G94*(1+BDI_MDO)</f>
        <v>4387.53420297338</v>
      </c>
      <c r="J94" s="269" t="n">
        <f aca="false">SUM(H94:I94)</f>
        <v>19953.2141129515</v>
      </c>
      <c r="K94" s="270" t="n">
        <f aca="false">J94/SUM($J$7:$J$749)</f>
        <v>0.00221029156129238</v>
      </c>
      <c r="L94" s="271" t="n">
        <f aca="false">K94+L93</f>
        <v>0.803819307302843</v>
      </c>
    </row>
    <row r="95" customFormat="false" ht="25.5" hidden="false" customHeight="false" outlineLevel="0" collapsed="false">
      <c r="A95" s="264" t="n">
        <f aca="false">K95</f>
        <v>0.00219501368486629</v>
      </c>
      <c r="B95" s="265" t="str">
        <f aca="false">VLOOKUP($C95,01_SINTETICO!$B:$N,13,0)</f>
        <v>3.2.2.4.7</v>
      </c>
      <c r="C95" s="266" t="s">
        <v>219</v>
      </c>
      <c r="D95" s="266" t="str">
        <f aca="false">VLOOKUP($C95,01_SINTETICO!$B:$M,2,0)</f>
        <v>CONCRETAGEM DE ESCADAS, FCK=35 MPA, COM USO DE BOMBA - LANÇAMENTO, ADENSAMENTO E ACABAMENTO.</v>
      </c>
      <c r="E95" s="266" t="str">
        <f aca="false">VLOOKUP($B95,01_SINTETICO!$A:$M,4,0)</f>
        <v>SER.CG</v>
      </c>
      <c r="F95" s="267" t="str">
        <f aca="false">VLOOKUP($B95,01_SINTETICO!$A:$M,5,0)</f>
        <v>M3</v>
      </c>
      <c r="G95" s="267" t="n">
        <f aca="true">SUMIFS(INDIRECT("'01_SINTETICO'!F7:F995"),INDIRECT("'01_SINTETICO'!B7:B995"),$C95)</f>
        <v>19.65</v>
      </c>
      <c r="H95" s="268" t="n">
        <f aca="false">VLOOKUP($C95,01_SINTETICO!$B:$M,6,0)*$G95*(1+BDI_DIF)</f>
        <v>17863.177987416</v>
      </c>
      <c r="I95" s="268" t="n">
        <f aca="false">VLOOKUP($C95,01_SINTETICO!$B:$M,7,0)*$G95*(1+BDI_MDO)</f>
        <v>1952.11642984486</v>
      </c>
      <c r="J95" s="269" t="n">
        <f aca="false">SUM(H95:I95)</f>
        <v>19815.2944172608</v>
      </c>
      <c r="K95" s="270" t="n">
        <f aca="false">J95/SUM($J$7:$J$749)</f>
        <v>0.00219501368486629</v>
      </c>
      <c r="L95" s="271" t="n">
        <f aca="false">K95+L94</f>
        <v>0.806014320987709</v>
      </c>
    </row>
    <row r="96" customFormat="false" ht="38.25" hidden="false" customHeight="false" outlineLevel="0" collapsed="false">
      <c r="A96" s="264" t="n">
        <f aca="false">K96</f>
        <v>0.00211174937265585</v>
      </c>
      <c r="B96" s="265" t="str">
        <f aca="false">VLOOKUP($C96,01_SINTETICO!$B:$N,13,0)</f>
        <v>*16.1.1.11</v>
      </c>
      <c r="C96" s="266" t="s">
        <v>1248</v>
      </c>
      <c r="D96" s="266" t="str">
        <f aca="false">VLOOKUP($C96,01_SINTETICO!$B:$M,2,0)</f>
        <v>AR CONDICIONADO MULTI-SPLIT ON/OFF, EVAPORADORAS CASSETE 4V 18000 + HIWALL 9000 BTUS/H, CONDENSADORA 18000 BTUS/H - FORNECIMENTO E INSTALAÇÃO.</v>
      </c>
      <c r="E96" s="266" t="str">
        <f aca="false">VLOOKUP($B96,01_SINTETICO!$A:$M,4,0)</f>
        <v>SER.CG</v>
      </c>
      <c r="F96" s="267" t="str">
        <f aca="false">VLOOKUP($B96,01_SINTETICO!$A:$M,5,0)</f>
        <v>UN</v>
      </c>
      <c r="G96" s="267" t="n">
        <f aca="true">SUMIFS(INDIRECT("'01_SINTETICO'!F7:F995"),INDIRECT("'01_SINTETICO'!B7:B995"),$C96)</f>
        <v>1</v>
      </c>
      <c r="H96" s="268" t="n">
        <f aca="false">VLOOKUP($C96,01_SINTETICO!$B:$M,6,0)*$G96*(1+BDI_DIF)</f>
        <v>18786.377782326</v>
      </c>
      <c r="I96" s="268" t="n">
        <f aca="false">VLOOKUP($C96,01_SINTETICO!$B:$M,7,0)*$G96*(1+BDI_MDO)</f>
        <v>277.255325360297</v>
      </c>
      <c r="J96" s="269" t="n">
        <f aca="false">SUM(H96:I96)</f>
        <v>19063.6331076863</v>
      </c>
      <c r="K96" s="270" t="n">
        <f aca="false">J96/SUM($J$7:$J$749)</f>
        <v>0.00211174937265585</v>
      </c>
      <c r="L96" s="271" t="n">
        <f aca="false">K96+L95</f>
        <v>0.808126070360365</v>
      </c>
    </row>
    <row r="97" customFormat="false" ht="25.5" hidden="false" customHeight="false" outlineLevel="0" collapsed="false">
      <c r="A97" s="264" t="n">
        <f aca="false">K97</f>
        <v>0.00208514083077788</v>
      </c>
      <c r="B97" s="265" t="str">
        <f aca="false">VLOOKUP($C97,01_SINTETICO!$B:$N,13,0)</f>
        <v>2.3.4</v>
      </c>
      <c r="C97" s="266" t="s">
        <v>99</v>
      </c>
      <c r="D97" s="266" t="str">
        <f aca="false">VLOOKUP($C97,01_SINTETICO!$B:$M,2,0)</f>
        <v>BARRACÃO FECHADO PARA ALMOXARIFADO, ÁREA DE 38,72 M2.</v>
      </c>
      <c r="E97" s="266" t="str">
        <f aca="false">VLOOKUP($B97,01_SINTETICO!$A:$M,4,0)</f>
        <v>SER.CG</v>
      </c>
      <c r="F97" s="267" t="str">
        <f aca="false">VLOOKUP($B97,01_SINTETICO!$A:$M,5,0)</f>
        <v>UN</v>
      </c>
      <c r="G97" s="267" t="n">
        <f aca="true">SUMIFS(INDIRECT("'01_SINTETICO'!F7:F995"),INDIRECT("'01_SINTETICO'!B7:B995"),$C97)</f>
        <v>1</v>
      </c>
      <c r="H97" s="268" t="n">
        <f aca="false">VLOOKUP($C97,01_SINTETICO!$B:$M,6,0)*$G97*(1+BDI_DIF)</f>
        <v>16385.321817853</v>
      </c>
      <c r="I97" s="268" t="n">
        <f aca="false">VLOOKUP($C97,01_SINTETICO!$B:$M,7,0)*$G97*(1+BDI_MDO)</f>
        <v>2438.10500093353</v>
      </c>
      <c r="J97" s="269" t="n">
        <f aca="false">SUM(H97:I97)</f>
        <v>18823.4268187866</v>
      </c>
      <c r="K97" s="270" t="n">
        <f aca="false">J97/SUM($J$7:$J$749)</f>
        <v>0.00208514083077788</v>
      </c>
      <c r="L97" s="271" t="n">
        <f aca="false">K97+L96</f>
        <v>0.810211211191143</v>
      </c>
    </row>
    <row r="98" customFormat="false" ht="25.5" hidden="false" customHeight="false" outlineLevel="0" collapsed="false">
      <c r="A98" s="264" t="n">
        <f aca="false">K98</f>
        <v>0.00203400068071848</v>
      </c>
      <c r="B98" s="265" t="str">
        <f aca="false">VLOOKUP($C98,01_SINTETICO!$B:$N,13,0)</f>
        <v>17.2.5</v>
      </c>
      <c r="C98" s="272" t="s">
        <v>1340</v>
      </c>
      <c r="D98" s="266" t="str">
        <f aca="false">VLOOKUP($C98,01_SINTETICO!$B:$M,2,0)</f>
        <v>PLANTIO DE FORRAÇÃO DE BROMÉLIA FIREBALL.</v>
      </c>
      <c r="E98" s="272" t="str">
        <f aca="false">VLOOKUP($B98,01_SINTETICO!$A:$M,4,0)</f>
        <v>SER.CG</v>
      </c>
      <c r="F98" s="273" t="str">
        <f aca="false">VLOOKUP($B98,01_SINTETICO!$A:$M,5,0)</f>
        <v>M2</v>
      </c>
      <c r="G98" s="267" t="n">
        <f aca="true">SUMIFS(INDIRECT("'01_SINTETICO'!F7:F995"),INDIRECT("'01_SINTETICO'!B7:B995"),$C98)</f>
        <v>25.26</v>
      </c>
      <c r="H98" s="268" t="n">
        <f aca="false">VLOOKUP($C98,01_SINTETICO!$B:$M,6,0)*$G98*(1+BDI_DIF)</f>
        <v>18215.595347031</v>
      </c>
      <c r="I98" s="268" t="n">
        <f aca="false">VLOOKUP($C98,01_SINTETICO!$B:$M,7,0)*$G98*(1+BDI_MDO)</f>
        <v>146.168231586892</v>
      </c>
      <c r="J98" s="269" t="n">
        <f aca="false">SUM(H98:I98)</f>
        <v>18361.7635786179</v>
      </c>
      <c r="K98" s="270" t="n">
        <f aca="false">J98/SUM($J$7:$J$749)</f>
        <v>0.00203400068071848</v>
      </c>
      <c r="L98" s="271" t="n">
        <f aca="false">K98+L97</f>
        <v>0.812245211871861</v>
      </c>
    </row>
    <row r="99" customFormat="false" ht="25.5" hidden="false" customHeight="false" outlineLevel="0" collapsed="false">
      <c r="A99" s="264" t="n">
        <f aca="false">K99</f>
        <v>0.00203173489836574</v>
      </c>
      <c r="B99" s="265" t="str">
        <f aca="false">VLOOKUP($C99,01_SINTETICO!$B:$N,13,0)</f>
        <v>6.3.3</v>
      </c>
      <c r="C99" s="266" t="n">
        <v>100327</v>
      </c>
      <c r="D99" s="266" t="str">
        <f aca="false">VLOOKUP($C99,01_SINTETICO!$B:$M,2,0)</f>
        <v>RUFO EXTERNO/INTERNO EM CHAPA DE AÇO GALVANIZADO NÚMERO 26, CORTE DE 33 CM, INCLUSO IÇAMENTO. AF_07/2019</v>
      </c>
      <c r="E99" s="266" t="str">
        <f aca="false">VLOOKUP($B99,01_SINTETICO!$A:$M,4,0)</f>
        <v>SER.CG</v>
      </c>
      <c r="F99" s="267" t="str">
        <f aca="false">VLOOKUP($B99,01_SINTETICO!$A:$M,5,0)</f>
        <v>M</v>
      </c>
      <c r="G99" s="267" t="n">
        <f aca="true">SUMIFS(INDIRECT("'01_SINTETICO'!F7:F995"),INDIRECT("'01_SINTETICO'!B7:B995"),$C99)</f>
        <v>313.2</v>
      </c>
      <c r="H99" s="268" t="n">
        <f aca="false">VLOOKUP($C99,01_SINTETICO!$B:$M,6,0)*$G99*(1+BDI_DIF)</f>
        <v>15770.6536182296</v>
      </c>
      <c r="I99" s="268" t="n">
        <f aca="false">VLOOKUP($C99,01_SINTETICO!$B:$M,7,0)*$G99*(1+BDI_MDO)</f>
        <v>2570.65580799982</v>
      </c>
      <c r="J99" s="269" t="n">
        <f aca="false">SUM(H99:I99)</f>
        <v>18341.3094262295</v>
      </c>
      <c r="K99" s="270" t="n">
        <f aca="false">J99/SUM($J$7:$J$749)</f>
        <v>0.00203173489836574</v>
      </c>
      <c r="L99" s="271" t="n">
        <f aca="false">K99+L98</f>
        <v>0.814276946770227</v>
      </c>
    </row>
    <row r="100" customFormat="false" ht="25.5" hidden="false" customHeight="false" outlineLevel="0" collapsed="false">
      <c r="A100" s="264" t="n">
        <f aca="false">K100</f>
        <v>0.00202029944642156</v>
      </c>
      <c r="B100" s="265" t="str">
        <f aca="false">VLOOKUP($C100,01_SINTETICO!$B:$N,13,0)</f>
        <v>2.3.3</v>
      </c>
      <c r="C100" s="266" t="s">
        <v>97</v>
      </c>
      <c r="D100" s="266" t="str">
        <f aca="false">VLOOKUP($C100,01_SINTETICO!$B:$M,2,0)</f>
        <v>LOCACAO DE CONTAINER 2,30 X 4,30 M, ALT. 2,50 M, PARA SANITARIO, COM 3 BACIAS, 4 CHUVEIROS, 1 LAVATORIO E 1 MICTORIO</v>
      </c>
      <c r="E100" s="266" t="str">
        <f aca="false">VLOOKUP($B100,01_SINTETICO!$A:$M,4,0)</f>
        <v>SER.CG</v>
      </c>
      <c r="F100" s="267" t="str">
        <f aca="false">VLOOKUP($B100,01_SINTETICO!$A:$M,5,0)</f>
        <v>MÊS</v>
      </c>
      <c r="G100" s="267" t="n">
        <f aca="true">SUMIFS(INDIRECT("'01_SINTETICO'!F7:F995"),INDIRECT("'01_SINTETICO'!B7:B995"),$C100)</f>
        <v>16</v>
      </c>
      <c r="H100" s="268" t="n">
        <f aca="false">VLOOKUP($C100,01_SINTETICO!$B:$M,6,0)*$G100*(1+BDI_DIF)</f>
        <v>17877.8073991552</v>
      </c>
      <c r="I100" s="268" t="n">
        <f aca="false">VLOOKUP($C100,01_SINTETICO!$B:$M,7,0)*$G100*(1+BDI_MDO)</f>
        <v>360.2694829536</v>
      </c>
      <c r="J100" s="269" t="n">
        <f aca="false">SUM(H100:I100)</f>
        <v>18238.0768821088</v>
      </c>
      <c r="K100" s="270" t="n">
        <f aca="false">J100/SUM($J$7:$J$749)</f>
        <v>0.00202029944642156</v>
      </c>
      <c r="L100" s="271" t="n">
        <f aca="false">K100+L99</f>
        <v>0.816297246216648</v>
      </c>
    </row>
    <row r="101" customFormat="false" ht="25.5" hidden="false" customHeight="false" outlineLevel="0" collapsed="false">
      <c r="A101" s="264" t="n">
        <f aca="false">K101</f>
        <v>0.00201888849754256</v>
      </c>
      <c r="B101" s="265" t="str">
        <f aca="false">VLOOKUP($C101,01_SINTETICO!$B:$N,13,0)</f>
        <v>2.3.6</v>
      </c>
      <c r="C101" s="266" t="n">
        <v>99059</v>
      </c>
      <c r="D101" s="266" t="str">
        <f aca="false">VLOOKUP($C101,01_SINTETICO!$B:$M,2,0)</f>
        <v>LOCAÇÃO CONVENCIONAL DE OBRA, UTILIZANDO GABARITO DE TÁBUAS CORRIDAS PONTALETADAS A CADA 2,00M - 2 UTILIZAÇÕES. AF_03/2024</v>
      </c>
      <c r="E101" s="266" t="str">
        <f aca="false">VLOOKUP($B101,01_SINTETICO!$A:$M,4,0)</f>
        <v>SER.CG</v>
      </c>
      <c r="F101" s="267" t="str">
        <f aca="false">VLOOKUP($B101,01_SINTETICO!$A:$M,5,0)</f>
        <v>M</v>
      </c>
      <c r="G101" s="267" t="n">
        <f aca="true">SUMIFS(INDIRECT("'01_SINTETICO'!F7:F995"),INDIRECT("'01_SINTETICO'!B7:B995"),$C101)</f>
        <v>250</v>
      </c>
      <c r="H101" s="268" t="n">
        <f aca="false">VLOOKUP($C101,01_SINTETICO!$B:$M,6,0)*$G101*(1+BDI_DIF)</f>
        <v>10123.0890984769</v>
      </c>
      <c r="I101" s="268" t="n">
        <f aca="false">VLOOKUP($C101,01_SINTETICO!$B:$M,7,0)*$G101*(1+BDI_MDO)</f>
        <v>8102.25056580144</v>
      </c>
      <c r="J101" s="269" t="n">
        <f aca="false">SUM(H101:I101)</f>
        <v>18225.3396642783</v>
      </c>
      <c r="K101" s="270" t="n">
        <f aca="false">J101/SUM($J$7:$J$749)</f>
        <v>0.00201888849754256</v>
      </c>
      <c r="L101" s="271" t="n">
        <f aca="false">K101+L100</f>
        <v>0.818316134714191</v>
      </c>
    </row>
    <row r="102" customFormat="false" ht="25.5" hidden="false" customHeight="false" outlineLevel="0" collapsed="false">
      <c r="A102" s="264" t="n">
        <f aca="false">K102</f>
        <v>0.00199333401137443</v>
      </c>
      <c r="B102" s="265" t="str">
        <f aca="false">VLOOKUP($C102,01_SINTETICO!$B:$N,13,0)</f>
        <v>17.2.8</v>
      </c>
      <c r="C102" s="266" t="n">
        <v>103946</v>
      </c>
      <c r="D102" s="266" t="str">
        <f aca="false">VLOOKUP($C102,01_SINTETICO!$B:$M,2,0)</f>
        <v>PLANTIO DE GRAMA ESMERALDA OU SÃO CARLOS OU CURITIBANA, EM PLACAS. AF_07/2024</v>
      </c>
      <c r="E102" s="266" t="str">
        <f aca="false">VLOOKUP($B102,01_SINTETICO!$A:$M,4,0)</f>
        <v>SER.CG</v>
      </c>
      <c r="F102" s="267" t="str">
        <f aca="false">VLOOKUP($B102,01_SINTETICO!$A:$M,5,0)</f>
        <v>M2</v>
      </c>
      <c r="G102" s="267" t="n">
        <f aca="true">SUMIFS(INDIRECT("'01_SINTETICO'!F7:F995"),INDIRECT("'01_SINTETICO'!B7:B995"),$C102)</f>
        <v>805.36</v>
      </c>
      <c r="H102" s="268" t="n">
        <f aca="false">VLOOKUP($C102,01_SINTETICO!$B:$M,6,0)*$G102*(1+BDI_DIF)</f>
        <v>15580.1364100111</v>
      </c>
      <c r="I102" s="268" t="n">
        <f aca="false">VLOOKUP($C102,01_SINTETICO!$B:$M,7,0)*$G102*(1+BDI_MDO)</f>
        <v>2414.51236126977</v>
      </c>
      <c r="J102" s="269" t="n">
        <f aca="false">SUM(H102:I102)</f>
        <v>17994.6487712809</v>
      </c>
      <c r="K102" s="270" t="n">
        <f aca="false">J102/SUM($J$7:$J$749)</f>
        <v>0.00199333401137443</v>
      </c>
      <c r="L102" s="271" t="n">
        <f aca="false">K102+L101</f>
        <v>0.820309468725566</v>
      </c>
    </row>
    <row r="103" customFormat="false" ht="25.5" hidden="false" customHeight="false" outlineLevel="0" collapsed="false">
      <c r="A103" s="264" t="n">
        <f aca="false">K103</f>
        <v>0.00198295820625155</v>
      </c>
      <c r="B103" s="265" t="str">
        <f aca="false">VLOOKUP($C103,01_SINTETICO!$B:$N,13,0)</f>
        <v>4.5.1.1</v>
      </c>
      <c r="C103" s="266" t="n">
        <v>105024</v>
      </c>
      <c r="D103" s="266" t="str">
        <f aca="false">VLOOKUP($C103,01_SINTETICO!$B:$M,2,0)</f>
        <v>VERGA MOLDADA IN LOCO EM CONCRETO, ESPESSURA DE *10* CM. AF_03/2024</v>
      </c>
      <c r="E103" s="266" t="str">
        <f aca="false">VLOOKUP($B103,01_SINTETICO!$A:$M,4,0)</f>
        <v>SER.CG</v>
      </c>
      <c r="F103" s="267" t="str">
        <f aca="false">VLOOKUP($B103,01_SINTETICO!$A:$M,5,0)</f>
        <v>M</v>
      </c>
      <c r="G103" s="267" t="n">
        <f aca="true">SUMIFS(INDIRECT("'01_SINTETICO'!F7:F995"),INDIRECT("'01_SINTETICO'!B7:B995"),$C103)</f>
        <v>335.06</v>
      </c>
      <c r="H103" s="268" t="n">
        <f aca="false">VLOOKUP($C103,01_SINTETICO!$B:$M,6,0)*$G103*(1+BDI_DIF)</f>
        <v>11962.4446949313</v>
      </c>
      <c r="I103" s="268" t="n">
        <f aca="false">VLOOKUP($C103,01_SINTETICO!$B:$M,7,0)*$G103*(1+BDI_MDO)</f>
        <v>5938.53740140191</v>
      </c>
      <c r="J103" s="269" t="n">
        <f aca="false">SUM(H103:I103)</f>
        <v>17900.9820963332</v>
      </c>
      <c r="K103" s="270" t="n">
        <f aca="false">J103/SUM($J$7:$J$749)</f>
        <v>0.00198295820625155</v>
      </c>
      <c r="L103" s="271" t="n">
        <f aca="false">K103+L102</f>
        <v>0.822292426931817</v>
      </c>
    </row>
    <row r="104" customFormat="false" ht="51" hidden="false" customHeight="false" outlineLevel="0" collapsed="false">
      <c r="A104" s="264" t="n">
        <f aca="false">K104</f>
        <v>0.00195986680319053</v>
      </c>
      <c r="B104" s="265" t="str">
        <f aca="false">VLOOKUP($C104,01_SINTETICO!$B:$N,13,0)</f>
        <v>2.2.3</v>
      </c>
      <c r="C104" s="272" t="n">
        <v>101209</v>
      </c>
      <c r="D104" s="266" t="str">
        <f aca="false">VLOOKUP($C104,01_SINTETICO!$B:$M,2,0)</f>
        <v>ESCAVAÇÃO VERTICAL PARA EDIFICAÇÃO, COM CARGA, DESCARGA E TRANSPORTE DE SOLO DE 1ª CATEGORIA, COM ESCAVADEIRA HIDRÁULICA (CAÇAMBA: 1,2 M³ / 155 HP), FROTA DE 3 CAMINHÕES BASCULANTES DE 18 M³, DMT ATÉ 1 KM E VELOCIDADE MÉDIA 14 KM/H. AF_05/2020</v>
      </c>
      <c r="E104" s="272" t="str">
        <f aca="false">VLOOKUP($B104,01_SINTETICO!$A:$M,4,0)</f>
        <v>SER.CG</v>
      </c>
      <c r="F104" s="273" t="str">
        <f aca="false">VLOOKUP($B104,01_SINTETICO!$A:$M,5,0)</f>
        <v>M3</v>
      </c>
      <c r="G104" s="267" t="n">
        <f aca="true">SUMIFS(INDIRECT("'01_SINTETICO'!F7:F995"),INDIRECT("'01_SINTETICO'!B7:B995"),$C104)</f>
        <v>1478.34</v>
      </c>
      <c r="H104" s="268" t="n">
        <f aca="false">VLOOKUP($C104,01_SINTETICO!$B:$M,6,0)*$G104*(1+BDI_DIF)</f>
        <v>15734.9192541678</v>
      </c>
      <c r="I104" s="268" t="n">
        <f aca="false">VLOOKUP($C104,01_SINTETICO!$B:$M,7,0)*$G104*(1+BDI_MDO)</f>
        <v>1957.60721689244</v>
      </c>
      <c r="J104" s="269" t="n">
        <f aca="false">SUM(H104:I104)</f>
        <v>17692.5264710602</v>
      </c>
      <c r="K104" s="270" t="n">
        <f aca="false">J104/SUM($J$7:$J$749)</f>
        <v>0.00195986680319053</v>
      </c>
      <c r="L104" s="271" t="n">
        <f aca="false">K104+L103</f>
        <v>0.824252293735008</v>
      </c>
    </row>
    <row r="105" customFormat="false" ht="38.25" hidden="false" customHeight="false" outlineLevel="0" collapsed="false">
      <c r="A105" s="264" t="n">
        <f aca="false">K105</f>
        <v>0.00194451388837497</v>
      </c>
      <c r="B105" s="265" t="str">
        <f aca="false">VLOOKUP($C105,01_SINTETICO!$B:$N,13,0)</f>
        <v>5.2.2.1.4</v>
      </c>
      <c r="C105" s="266" t="s">
        <v>427</v>
      </c>
      <c r="D105" s="266" t="str">
        <f aca="false">VLOOKUP($C105,01_SINTETICO!$B:$M,2,0)</f>
        <v>JANELA DE ALUMÍNIO, 2 FOLHAS, SENDO 1 FOLHA FIXA + 1 FOLHA LATERAL COM BASE FIXA E PARTE SUPERIOR BASCULANTE, COM VIDRO, BATENTE E FERRAGENS. FORNECIMENTO E INSTALAÇÃO.</v>
      </c>
      <c r="E105" s="266" t="str">
        <f aca="false">VLOOKUP($B105,01_SINTETICO!$A:$M,4,0)</f>
        <v>SER.CG</v>
      </c>
      <c r="F105" s="267" t="str">
        <f aca="false">VLOOKUP($B105,01_SINTETICO!$A:$M,5,0)</f>
        <v>M2</v>
      </c>
      <c r="G105" s="267" t="n">
        <f aca="true">SUMIFS(INDIRECT("'01_SINTETICO'!F7:F995"),INDIRECT("'01_SINTETICO'!B7:B995"),$C105)</f>
        <v>22.56</v>
      </c>
      <c r="H105" s="268" t="n">
        <f aca="false">VLOOKUP($C105,01_SINTETICO!$B:$M,6,0)*$G105*(1+BDI_DIF)</f>
        <v>16920.9439915203</v>
      </c>
      <c r="I105" s="268" t="n">
        <f aca="false">VLOOKUP($C105,01_SINTETICO!$B:$M,7,0)*$G105*(1+BDI_MDO)</f>
        <v>632.985381339124</v>
      </c>
      <c r="J105" s="269" t="n">
        <f aca="false">SUM(H105:I105)</f>
        <v>17553.9293728594</v>
      </c>
      <c r="K105" s="270" t="n">
        <f aca="false">J105/SUM($J$7:$J$749)</f>
        <v>0.00194451388837497</v>
      </c>
      <c r="L105" s="271" t="n">
        <f aca="false">K105+L104</f>
        <v>0.826196807623383</v>
      </c>
    </row>
    <row r="106" customFormat="false" ht="25.5" hidden="false" customHeight="false" outlineLevel="0" collapsed="false">
      <c r="A106" s="264" t="n">
        <f aca="false">K106</f>
        <v>0.00194008278673936</v>
      </c>
      <c r="B106" s="265" t="str">
        <f aca="false">VLOOKUP($C106,01_SINTETICO!$B:$N,13,0)</f>
        <v>4.7.2</v>
      </c>
      <c r="C106" s="266" t="s">
        <v>398</v>
      </c>
      <c r="D106" s="266" t="str">
        <f aca="false">VLOOKUP($C106,01_SINTETICO!$B:$M,2,0)</f>
        <v>CORRIMÃO DUPLO, DIÂMETRO EXTERNO = 1 1/2", EM AÇO GALVANIZADO.</v>
      </c>
      <c r="E106" s="266" t="str">
        <f aca="false">VLOOKUP($B106,01_SINTETICO!$A:$M,4,0)</f>
        <v>SER.CG</v>
      </c>
      <c r="F106" s="267" t="str">
        <f aca="false">VLOOKUP($B106,01_SINTETICO!$A:$M,5,0)</f>
        <v>M</v>
      </c>
      <c r="G106" s="267" t="n">
        <f aca="true">SUMIFS(INDIRECT("'01_SINTETICO'!F7:F995"),INDIRECT("'01_SINTETICO'!B7:B995"),$C106)</f>
        <v>80.34</v>
      </c>
      <c r="H106" s="268" t="n">
        <f aca="false">VLOOKUP($C106,01_SINTETICO!$B:$M,6,0)*$G106*(1+BDI_DIF)</f>
        <v>11608.2949939008</v>
      </c>
      <c r="I106" s="268" t="n">
        <f aca="false">VLOOKUP($C106,01_SINTETICO!$B:$M,7,0)*$G106*(1+BDI_MDO)</f>
        <v>5905.63299577464</v>
      </c>
      <c r="J106" s="269" t="n">
        <f aca="false">SUM(H106:I106)</f>
        <v>17513.9279896754</v>
      </c>
      <c r="K106" s="270" t="n">
        <f aca="false">J106/SUM($J$7:$J$749)</f>
        <v>0.00194008278673936</v>
      </c>
      <c r="L106" s="271" t="n">
        <f aca="false">K106+L105</f>
        <v>0.828136890410122</v>
      </c>
    </row>
    <row r="107" customFormat="false" ht="25.5" hidden="false" customHeight="false" outlineLevel="0" collapsed="false">
      <c r="A107" s="264" t="n">
        <f aca="false">K107</f>
        <v>0.00193807087454675</v>
      </c>
      <c r="B107" s="265" t="str">
        <f aca="false">VLOOKUP($C107,01_SINTETICO!$B:$N,13,0)</f>
        <v>8.3.2.2</v>
      </c>
      <c r="C107" s="272" t="s">
        <v>603</v>
      </c>
      <c r="D107" s="266" t="str">
        <f aca="false">VLOOKUP($C107,01_SINTETICO!$B:$M,2,0)</f>
        <v>PINTURA LÁTEX ACRÍLICA ACABAMENTO ACETINADO, APLICAÇÃO MANUAL EM TETO, DUAS DEMÃOS.</v>
      </c>
      <c r="E107" s="272" t="str">
        <f aca="false">VLOOKUP($B107,01_SINTETICO!$A:$M,4,0)</f>
        <v>SER.CG</v>
      </c>
      <c r="F107" s="273" t="str">
        <f aca="false">VLOOKUP($B107,01_SINTETICO!$A:$M,5,0)</f>
        <v>M2</v>
      </c>
      <c r="G107" s="267" t="n">
        <f aca="true">SUMIFS(INDIRECT("'01_SINTETICO'!F7:F995"),INDIRECT("'01_SINTETICO'!B7:B995"),$C107)</f>
        <v>1698.86</v>
      </c>
      <c r="H107" s="268" t="n">
        <f aca="false">VLOOKUP($C107,01_SINTETICO!$B:$M,6,0)*$G107*(1+BDI_DIF)</f>
        <v>5239.53511612628</v>
      </c>
      <c r="I107" s="268" t="n">
        <f aca="false">VLOOKUP($C107,01_SINTETICO!$B:$M,7,0)*$G107*(1+BDI_MDO)</f>
        <v>12256.2305118687</v>
      </c>
      <c r="J107" s="269" t="n">
        <f aca="false">SUM(H107:I107)</f>
        <v>17495.7656279949</v>
      </c>
      <c r="K107" s="270" t="n">
        <f aca="false">J107/SUM($J$7:$J$749)</f>
        <v>0.00193807087454675</v>
      </c>
      <c r="L107" s="271" t="n">
        <f aca="false">K107+L106</f>
        <v>0.830074961284669</v>
      </c>
    </row>
    <row r="108" customFormat="false" ht="25.5" hidden="false" customHeight="false" outlineLevel="0" collapsed="false">
      <c r="A108" s="264" t="n">
        <f aca="false">K108</f>
        <v>0.00193261169190177</v>
      </c>
      <c r="B108" s="265" t="str">
        <f aca="false">VLOOKUP($C108,01_SINTETICO!$B:$N,13,0)</f>
        <v>11.4.4.15</v>
      </c>
      <c r="C108" s="272" t="n">
        <v>89580</v>
      </c>
      <c r="D108" s="266" t="str">
        <f aca="false">VLOOKUP($C108,01_SINTETICO!$B:$M,2,0)</f>
        <v>TUBO PVC, SÉRIE R, ÁGUA PLUVIAL, DN 150 MM, FORNECIDO E INSTALADO EM CONDUTORES VERTICAIS DE ÁGUAS PLUVIAIS. AF_06/2022</v>
      </c>
      <c r="E108" s="272" t="str">
        <f aca="false">VLOOKUP($B108,01_SINTETICO!$A:$M,4,0)</f>
        <v>SER.CG</v>
      </c>
      <c r="F108" s="273" t="str">
        <f aca="false">VLOOKUP($B108,01_SINTETICO!$A:$M,5,0)</f>
        <v>M</v>
      </c>
      <c r="G108" s="267" t="n">
        <f aca="true">SUMIFS(INDIRECT("'01_SINTETICO'!F7:F995"),INDIRECT("'01_SINTETICO'!B7:B995"),$C108)</f>
        <v>210.8</v>
      </c>
      <c r="H108" s="268" t="n">
        <f aca="false">VLOOKUP($C108,01_SINTETICO!$B:$M,6,0)*$G108*(1+BDI_DIF)</f>
        <v>16247.5057340453</v>
      </c>
      <c r="I108" s="268" t="n">
        <f aca="false">VLOOKUP($C108,01_SINTETICO!$B:$M,7,0)*$G108*(1+BDI_MDO)</f>
        <v>1198.97759920418</v>
      </c>
      <c r="J108" s="269" t="n">
        <f aca="false">SUM(H108:I108)</f>
        <v>17446.4833332495</v>
      </c>
      <c r="K108" s="270" t="n">
        <f aca="false">J108/SUM($J$7:$J$749)</f>
        <v>0.00193261169190177</v>
      </c>
      <c r="L108" s="271" t="n">
        <f aca="false">K108+L107</f>
        <v>0.832007572976571</v>
      </c>
    </row>
    <row r="109" customFormat="false" ht="38.25" hidden="false" customHeight="false" outlineLevel="0" collapsed="false">
      <c r="A109" s="264" t="n">
        <f aca="false">K109</f>
        <v>0.00188690337470588</v>
      </c>
      <c r="B109" s="265" t="str">
        <f aca="false">VLOOKUP($C109,01_SINTETICO!$B:$N,13,0)</f>
        <v>18.4.1</v>
      </c>
      <c r="C109" s="266" t="s">
        <v>1370</v>
      </c>
      <c r="D109" s="266" t="str">
        <f aca="false">VLOOKUP($C109,01_SINTETICO!$B:$M,2,0)</f>
        <v>DESENVOLVIMENTO DE COMO CONSTRUÍDO ("AS BUILT") EM BIM, MANUAL DE USO E OPERAÇÃO E OBTENÇÃO DE HABITE-SE - INCLUI MATERIAL E MÃO DE OBRA</v>
      </c>
      <c r="E109" s="266" t="str">
        <f aca="false">VLOOKUP($B109,01_SINTETICO!$A:$M,4,0)</f>
        <v>SER.CG</v>
      </c>
      <c r="F109" s="267" t="str">
        <f aca="false">VLOOKUP($B109,01_SINTETICO!$A:$M,5,0)</f>
        <v>M2</v>
      </c>
      <c r="G109" s="267" t="n">
        <f aca="true">SUMIFS(INDIRECT("'01_SINTETICO'!F7:F995"),INDIRECT("'01_SINTETICO'!B7:B995"),$C109)</f>
        <v>2163.16</v>
      </c>
      <c r="H109" s="268" t="n">
        <f aca="false">VLOOKUP($C109,01_SINTETICO!$B:$M,6,0)*$G109*(1+BDI_DIF)</f>
        <v>341.382946120995</v>
      </c>
      <c r="I109" s="268" t="n">
        <f aca="false">VLOOKUP($C109,01_SINTETICO!$B:$M,7,0)*$G109*(1+BDI_MDO)</f>
        <v>16692.4725439407</v>
      </c>
      <c r="J109" s="269" t="n">
        <f aca="false">SUM(H109:I109)</f>
        <v>17033.8554900617</v>
      </c>
      <c r="K109" s="270" t="n">
        <f aca="false">J109/SUM($J$7:$J$749)</f>
        <v>0.00188690337470588</v>
      </c>
      <c r="L109" s="271" t="n">
        <f aca="false">K109+L108</f>
        <v>0.833894476351276</v>
      </c>
    </row>
    <row r="110" customFormat="false" ht="25.5" hidden="false" customHeight="false" outlineLevel="0" collapsed="false">
      <c r="A110" s="264" t="n">
        <f aca="false">K110</f>
        <v>0.00185134952889461</v>
      </c>
      <c r="B110" s="265" t="str">
        <f aca="false">VLOOKUP($C110,01_SINTETICO!$B:$N,13,0)</f>
        <v>*16.1.1.3</v>
      </c>
      <c r="C110" s="272" t="n">
        <v>103252</v>
      </c>
      <c r="D110" s="266" t="str">
        <f aca="false">VLOOKUP($C110,01_SINTETICO!$B:$M,2,0)</f>
        <v>AR CONDICIONADO SPLIT ON/OFF, HI-WALL (PAREDE), 18000 BTUS/H, CICLO QUENTE/FRIO - FORNECIMENTO E INSTALAÇÃO. AF_11/2021_PE</v>
      </c>
      <c r="E110" s="272" t="str">
        <f aca="false">VLOOKUP($B110,01_SINTETICO!$A:$M,4,0)</f>
        <v>SER.CG</v>
      </c>
      <c r="F110" s="273" t="str">
        <f aca="false">VLOOKUP($B110,01_SINTETICO!$A:$M,5,0)</f>
        <v>UN</v>
      </c>
      <c r="G110" s="267" t="n">
        <f aca="true">SUMIFS(INDIRECT("'01_SINTETICO'!F7:F995"),INDIRECT("'01_SINTETICO'!B7:B995"),$C110)</f>
        <v>4</v>
      </c>
      <c r="H110" s="268" t="n">
        <f aca="false">VLOOKUP($C110,01_SINTETICO!$B:$M,6,0)*$G110*(1+BDI_DIF)</f>
        <v>16269.076638872</v>
      </c>
      <c r="I110" s="268" t="n">
        <f aca="false">VLOOKUP($C110,01_SINTETICO!$B:$M,7,0)*$G110*(1+BDI_MDO)</f>
        <v>443.819611949579</v>
      </c>
      <c r="J110" s="269" t="n">
        <f aca="false">SUM(H110:I110)</f>
        <v>16712.8962508216</v>
      </c>
      <c r="K110" s="270" t="n">
        <f aca="false">J110/SUM($J$7:$J$749)</f>
        <v>0.00185134952889461</v>
      </c>
      <c r="L110" s="271" t="n">
        <f aca="false">K110+L109</f>
        <v>0.835745825880171</v>
      </c>
    </row>
    <row r="111" customFormat="false" ht="25.5" hidden="false" customHeight="false" outlineLevel="0" collapsed="false">
      <c r="A111" s="264" t="n">
        <f aca="false">K111</f>
        <v>0.00183507598126356</v>
      </c>
      <c r="B111" s="265" t="str">
        <f aca="false">VLOOKUP($C111,01_SINTETICO!$B:$N,13,0)</f>
        <v>*16.1.1.4</v>
      </c>
      <c r="C111" s="272" t="n">
        <v>103255</v>
      </c>
      <c r="D111" s="266" t="str">
        <f aca="false">VLOOKUP($C111,01_SINTETICO!$B:$M,2,0)</f>
        <v>AR CONDICIONADO SPLIT ON/OFF, HI-WALL (PAREDE), 24000 BTUS/H, CICLO QUENTE/FRIO - FORNECIMENTO E INSTALAÇÃO. AF_11/2021_PE</v>
      </c>
      <c r="E111" s="272" t="str">
        <f aca="false">VLOOKUP($B111,01_SINTETICO!$A:$M,4,0)</f>
        <v>SER.CG</v>
      </c>
      <c r="F111" s="273" t="str">
        <f aca="false">VLOOKUP($B111,01_SINTETICO!$A:$M,5,0)</f>
        <v>UN</v>
      </c>
      <c r="G111" s="267" t="n">
        <f aca="true">SUMIFS(INDIRECT("'01_SINTETICO'!F7:F995"),INDIRECT("'01_SINTETICO'!B7:B995"),$C111)</f>
        <v>3</v>
      </c>
      <c r="H111" s="268" t="n">
        <f aca="false">VLOOKUP($C111,01_SINTETICO!$B:$M,6,0)*$G111*(1+BDI_DIF)</f>
        <v>16218.5450133323</v>
      </c>
      <c r="I111" s="268" t="n">
        <f aca="false">VLOOKUP($C111,01_SINTETICO!$B:$M,7,0)*$G111*(1+BDI_MDO)</f>
        <v>347.443206917127</v>
      </c>
      <c r="J111" s="269" t="n">
        <f aca="false">SUM(H111:I111)</f>
        <v>16565.9882202494</v>
      </c>
      <c r="K111" s="270" t="n">
        <f aca="false">J111/SUM($J$7:$J$749)</f>
        <v>0.00183507598126356</v>
      </c>
      <c r="L111" s="271" t="n">
        <f aca="false">K111+L110</f>
        <v>0.837580901861435</v>
      </c>
    </row>
    <row r="112" customFormat="false" ht="51" hidden="false" customHeight="false" outlineLevel="0" collapsed="false">
      <c r="A112" s="264" t="n">
        <f aca="false">K112</f>
        <v>0.00182163941342427</v>
      </c>
      <c r="B112" s="265" t="str">
        <f aca="false">VLOOKUP($C112,01_SINTETICO!$B:$N,13,0)</f>
        <v>8.2.4.1.1</v>
      </c>
      <c r="C112" s="272" t="s">
        <v>579</v>
      </c>
      <c r="D112" s="266" t="str">
        <f aca="false">VLOOKUP($C112,01_SINTETICO!$B:$M,2,0)</f>
        <v>FORNECIMENTO E INSTALAÇÃO DE LETREIRO EM AÇO INOXIDÁVEL, ACM OU ACRÍLICO, COM LETRAS DE FONTE BEBASNEUE-REGULAR, ESCRITA "Justiça do trabalho" TAMANHO 45CM, E FONTE ALLER_STD_RG, ESCRITA "Fórum Trabalhista de Rio Verde" TAMANHO 22CM.</v>
      </c>
      <c r="E112" s="272" t="str">
        <f aca="false">VLOOKUP($B112,01_SINTETICO!$A:$M,4,0)</f>
        <v>SER.CG</v>
      </c>
      <c r="F112" s="273" t="str">
        <f aca="false">VLOOKUP($B112,01_SINTETICO!$A:$M,5,0)</f>
        <v>UN</v>
      </c>
      <c r="G112" s="267" t="n">
        <f aca="true">SUMIFS(INDIRECT("'01_SINTETICO'!F7:F995"),INDIRECT("'01_SINTETICO'!B7:B995"),$C112)</f>
        <v>2</v>
      </c>
      <c r="H112" s="268" t="n">
        <f aca="false">VLOOKUP($C112,01_SINTETICO!$B:$M,6,0)*$G112*(1+BDI_DIF)</f>
        <v>15427.3740433277</v>
      </c>
      <c r="I112" s="268" t="n">
        <f aca="false">VLOOKUP($C112,01_SINTETICO!$B:$M,7,0)*$G112*(1+BDI_MDO)</f>
        <v>1017.31673375376</v>
      </c>
      <c r="J112" s="269" t="n">
        <f aca="false">SUM(H112:I112)</f>
        <v>16444.6907770815</v>
      </c>
      <c r="K112" s="270" t="n">
        <f aca="false">J112/SUM($J$7:$J$749)</f>
        <v>0.00182163941342427</v>
      </c>
      <c r="L112" s="271" t="n">
        <f aca="false">K112+L111</f>
        <v>0.839402541274859</v>
      </c>
    </row>
    <row r="113" customFormat="false" ht="25.5" hidden="false" customHeight="false" outlineLevel="0" collapsed="false">
      <c r="A113" s="264" t="n">
        <f aca="false">K113</f>
        <v>0.0017859953744843</v>
      </c>
      <c r="B113" s="265" t="str">
        <f aca="false">VLOOKUP($C113,01_SINTETICO!$B:$N,13,0)</f>
        <v>2.3.2</v>
      </c>
      <c r="C113" s="272" t="s">
        <v>95</v>
      </c>
      <c r="D113" s="266" t="str">
        <f aca="false">VLOOKUP($C113,01_SINTETICO!$B:$M,2,0)</f>
        <v>LOCACAO DE CONTAINER 2,30 X 6,00 M, ALT. 2,50 M, COM 1 SANITARIO, PARA ESCRITORIO, COMPLETO, SEM DIVISORIAS INTERNAS.</v>
      </c>
      <c r="E113" s="272" t="str">
        <f aca="false">VLOOKUP($B113,01_SINTETICO!$A:$M,4,0)</f>
        <v>SER.CG</v>
      </c>
      <c r="F113" s="273" t="str">
        <f aca="false">VLOOKUP($B113,01_SINTETICO!$A:$M,5,0)</f>
        <v>MÊS</v>
      </c>
      <c r="G113" s="267" t="n">
        <f aca="true">SUMIFS(INDIRECT("'01_SINTETICO'!F7:F995"),INDIRECT("'01_SINTETICO'!B7:B995"),$C113)</f>
        <v>16</v>
      </c>
      <c r="H113" s="268" t="n">
        <f aca="false">VLOOKUP($C113,01_SINTETICO!$B:$M,6,0)*$G113*(1+BDI_DIF)</f>
        <v>15762.6478442923</v>
      </c>
      <c r="I113" s="268" t="n">
        <f aca="false">VLOOKUP($C113,01_SINTETICO!$B:$M,7,0)*$G113*(1+BDI_MDO)</f>
        <v>360.2694829536</v>
      </c>
      <c r="J113" s="269" t="n">
        <f aca="false">SUM(H113:I113)</f>
        <v>16122.9173272459</v>
      </c>
      <c r="K113" s="270" t="n">
        <f aca="false">J113/SUM($J$7:$J$749)</f>
        <v>0.0017859953744843</v>
      </c>
      <c r="L113" s="271" t="n">
        <f aca="false">K113+L112</f>
        <v>0.841188536649343</v>
      </c>
    </row>
    <row r="114" customFormat="false" ht="25.5" hidden="false" customHeight="false" outlineLevel="0" collapsed="false">
      <c r="A114" s="264" t="n">
        <f aca="false">K114</f>
        <v>0.00176721842947475</v>
      </c>
      <c r="B114" s="265" t="str">
        <f aca="false">VLOOKUP($C114,01_SINTETICO!$B:$N,13,0)</f>
        <v>8.1.1.4.1</v>
      </c>
      <c r="C114" s="266" t="n">
        <v>97097</v>
      </c>
      <c r="D114" s="266" t="str">
        <f aca="false">VLOOKUP($C114,01_SINTETICO!$B:$M,2,0)</f>
        <v>ACABAMENTO POLIDO PARA PISO DE CONCRETO ARMADO OU LAJE SOBRE SOLO DE ALTA RESISTÊNCIA. AF_09/2021</v>
      </c>
      <c r="E114" s="266" t="str">
        <f aca="false">VLOOKUP($B114,01_SINTETICO!$A:$M,4,0)</f>
        <v>SER.CG</v>
      </c>
      <c r="F114" s="267" t="str">
        <f aca="false">VLOOKUP($B114,01_SINTETICO!$A:$M,5,0)</f>
        <v>M2</v>
      </c>
      <c r="G114" s="267" t="n">
        <f aca="true">SUMIFS(INDIRECT("'01_SINTETICO'!F7:F995"),INDIRECT("'01_SINTETICO'!B7:B995"),$C114)</f>
        <v>383.82</v>
      </c>
      <c r="H114" s="268" t="n">
        <f aca="false">VLOOKUP($C114,01_SINTETICO!$B:$M,6,0)*$G114*(1+BDI_DIF)</f>
        <v>15064.2533003526</v>
      </c>
      <c r="I114" s="268" t="n">
        <f aca="false">VLOOKUP($C114,01_SINTETICO!$B:$M,7,0)*$G114*(1+BDI_MDO)</f>
        <v>889.156795031151</v>
      </c>
      <c r="J114" s="269" t="n">
        <f aca="false">SUM(H114:I114)</f>
        <v>15953.4100953838</v>
      </c>
      <c r="K114" s="270" t="n">
        <f aca="false">J114/SUM($J$7:$J$749)</f>
        <v>0.00176721842947475</v>
      </c>
      <c r="L114" s="271" t="n">
        <f aca="false">K114+L113</f>
        <v>0.842955755078818</v>
      </c>
    </row>
    <row r="115" customFormat="false" ht="25.5" hidden="false" customHeight="false" outlineLevel="0" collapsed="false">
      <c r="A115" s="264" t="n">
        <f aca="false">K115</f>
        <v>0.00175171173898757</v>
      </c>
      <c r="B115" s="265" t="str">
        <f aca="false">VLOOKUP($C115,01_SINTETICO!$B:$N,13,0)</f>
        <v>13.1.1.1</v>
      </c>
      <c r="C115" s="266" t="s">
        <v>1021</v>
      </c>
      <c r="D115" s="266" t="str">
        <f aca="false">VLOOKUP($C115,01_SINTETICO!$B:$M,2,0)</f>
        <v>SWITCH, 48 PORTAS, CATEGORIA 6 - FORNECIMENTO E INSTALAÇÃO.</v>
      </c>
      <c r="E115" s="266" t="str">
        <f aca="false">VLOOKUP($B115,01_SINTETICO!$A:$M,4,0)</f>
        <v>SER.CG</v>
      </c>
      <c r="F115" s="267" t="str">
        <f aca="false">VLOOKUP($B115,01_SINTETICO!$A:$M,5,0)</f>
        <v>UN</v>
      </c>
      <c r="G115" s="267" t="n">
        <f aca="true">SUMIFS(INDIRECT("'01_SINTETICO'!F7:F995"),INDIRECT("'01_SINTETICO'!B7:B995"),$C115)</f>
        <v>5</v>
      </c>
      <c r="H115" s="268" t="n">
        <f aca="false">VLOOKUP($C115,01_SINTETICO!$B:$M,6,0)*$G115*(1+BDI_DIF)</f>
        <v>13085.1888988393</v>
      </c>
      <c r="I115" s="268" t="n">
        <f aca="false">VLOOKUP($C115,01_SINTETICO!$B:$M,7,0)*$G115*(1+BDI_MDO)</f>
        <v>2728.23590189269</v>
      </c>
      <c r="J115" s="269" t="n">
        <f aca="false">SUM(H115:I115)</f>
        <v>15813.424800732</v>
      </c>
      <c r="K115" s="270" t="n">
        <f aca="false">J115/SUM($J$7:$J$749)</f>
        <v>0.00175171173898757</v>
      </c>
      <c r="L115" s="271" t="n">
        <f aca="false">K115+L114</f>
        <v>0.844707466817805</v>
      </c>
    </row>
    <row r="116" customFormat="false" ht="38.25" hidden="false" customHeight="false" outlineLevel="0" collapsed="false">
      <c r="A116" s="264" t="n">
        <f aca="false">K116</f>
        <v>0.00171332406941465</v>
      </c>
      <c r="B116" s="265" t="str">
        <f aca="false">VLOOKUP($C116,01_SINTETICO!$B:$N,13,0)</f>
        <v>11.4.1.3</v>
      </c>
      <c r="C116" s="266" t="s">
        <v>766</v>
      </c>
      <c r="D116" s="266" t="str">
        <f aca="false">VLOOKUP($C116,01_SINTETICO!$B:$M,2,0)</f>
        <v>CAIXA DE RETENÇÃO PLUVIAL, CIRCULAR, EM CONCRETO PRÉ-MOLDADO, DIÂMETRO INTERNO 1,50 M, ALTURA INTERNA 2,50 M, CAPACIDADE DE RETENÇÃO DE 3,6 M³.</v>
      </c>
      <c r="E116" s="266" t="str">
        <f aca="false">VLOOKUP($B116,01_SINTETICO!$A:$M,4,0)</f>
        <v>SER.CG</v>
      </c>
      <c r="F116" s="267" t="str">
        <f aca="false">VLOOKUP($B116,01_SINTETICO!$A:$M,5,0)</f>
        <v>UN</v>
      </c>
      <c r="G116" s="267" t="n">
        <f aca="true">SUMIFS(INDIRECT("'01_SINTETICO'!F7:F995"),INDIRECT("'01_SINTETICO'!B7:B995"),$C116)</f>
        <v>2</v>
      </c>
      <c r="H116" s="268" t="n">
        <f aca="false">VLOOKUP($C116,01_SINTETICO!$B:$M,6,0)*$G116*(1+BDI_DIF)</f>
        <v>14537.8326856139</v>
      </c>
      <c r="I116" s="268" t="n">
        <f aca="false">VLOOKUP($C116,01_SINTETICO!$B:$M,7,0)*$G116*(1+BDI_MDO)</f>
        <v>929.05077926027</v>
      </c>
      <c r="J116" s="269" t="n">
        <f aca="false">SUM(H116:I116)</f>
        <v>15466.8834648741</v>
      </c>
      <c r="K116" s="270" t="n">
        <f aca="false">J116/SUM($J$7:$J$749)</f>
        <v>0.00171332406941465</v>
      </c>
      <c r="L116" s="271" t="n">
        <f aca="false">K116+L115</f>
        <v>0.84642079088722</v>
      </c>
    </row>
    <row r="117" customFormat="false" ht="25.5" hidden="false" customHeight="false" outlineLevel="0" collapsed="false">
      <c r="A117" s="264" t="n">
        <f aca="false">K117</f>
        <v>0.0016894133216547</v>
      </c>
      <c r="B117" s="265" t="str">
        <f aca="false">VLOOKUP($C117,01_SINTETICO!$B:$N,13,0)</f>
        <v>13.1.2.1</v>
      </c>
      <c r="C117" s="266" t="s">
        <v>1025</v>
      </c>
      <c r="D117" s="266" t="str">
        <f aca="false">VLOOKUP($C117,01_SINTETICO!$B:$M,2,0)</f>
        <v>CONECTOR MACHO DE REDE RJ45, CAT 6 - FORNECIMENTO E INSTALAÇÃO.</v>
      </c>
      <c r="E117" s="266" t="str">
        <f aca="false">VLOOKUP($B117,01_SINTETICO!$A:$M,4,0)</f>
        <v>SER.CG</v>
      </c>
      <c r="F117" s="267" t="str">
        <f aca="false">VLOOKUP($B117,01_SINTETICO!$A:$M,5,0)</f>
        <v>UN</v>
      </c>
      <c r="G117" s="267" t="n">
        <f aca="true">SUMIFS(INDIRECT("'01_SINTETICO'!F7:F995"),INDIRECT("'01_SINTETICO'!B7:B995"),$C117)</f>
        <v>914</v>
      </c>
      <c r="H117" s="268" t="n">
        <f aca="false">VLOOKUP($C117,01_SINTETICO!$B:$M,6,0)*$G117*(1+BDI_DIF)</f>
        <v>6906.36104941258</v>
      </c>
      <c r="I117" s="268" t="n">
        <f aca="false">VLOOKUP($C117,01_SINTETICO!$B:$M,7,0)*$G117*(1+BDI_MDO)</f>
        <v>8344.670227447</v>
      </c>
      <c r="J117" s="269" t="n">
        <f aca="false">SUM(H117:I117)</f>
        <v>15251.0312768596</v>
      </c>
      <c r="K117" s="270" t="n">
        <f aca="false">J117/SUM($J$7:$J$749)</f>
        <v>0.0016894133216547</v>
      </c>
      <c r="L117" s="271" t="n">
        <f aca="false">K117+L116</f>
        <v>0.848110204208875</v>
      </c>
    </row>
    <row r="118" customFormat="false" ht="38.25" hidden="false" customHeight="false" outlineLevel="0" collapsed="false">
      <c r="A118" s="264" t="n">
        <f aca="false">K118</f>
        <v>0.00162309552852627</v>
      </c>
      <c r="B118" s="265" t="str">
        <f aca="false">VLOOKUP($C118,01_SINTETICO!$B:$N,13,0)</f>
        <v>16.1.2.1</v>
      </c>
      <c r="C118" s="272" t="n">
        <v>103291</v>
      </c>
      <c r="D118" s="266" t="str">
        <f aca="false">VLOOKUP($C118,01_SINTETICO!$B:$M,2,0)</f>
        <v>TUBO EM COBRE FLEXÍVEL, DN 1/2", COM ISOLAMENTO, INSTALADO EM FORRO, PARA RAMAL DE ALIMENTAÇÃO DE AR CONDICIONADO, INCLUSO FIXADOR. AF_11/2021</v>
      </c>
      <c r="E118" s="272" t="str">
        <f aca="false">VLOOKUP($B118,01_SINTETICO!$A:$M,4,0)</f>
        <v>SER.CG</v>
      </c>
      <c r="F118" s="273" t="str">
        <f aca="false">VLOOKUP($B118,01_SINTETICO!$A:$M,5,0)</f>
        <v>M</v>
      </c>
      <c r="G118" s="267" t="n">
        <f aca="true">SUMIFS(INDIRECT("'01_SINTETICO'!F7:F995"),INDIRECT("'01_SINTETICO'!B7:B995"),$C118)</f>
        <v>205.83</v>
      </c>
      <c r="H118" s="268" t="n">
        <f aca="false">VLOOKUP($C118,01_SINTETICO!$B:$M,6,0)*$G118*(1+BDI_DIF)</f>
        <v>13664.3291482775</v>
      </c>
      <c r="I118" s="268" t="n">
        <f aca="false">VLOOKUP($C118,01_SINTETICO!$B:$M,7,0)*$G118*(1+BDI_MDO)</f>
        <v>988.02404060342</v>
      </c>
      <c r="J118" s="269" t="n">
        <f aca="false">SUM(H118:I118)</f>
        <v>14652.3531888809</v>
      </c>
      <c r="K118" s="270" t="n">
        <f aca="false">J118/SUM($J$7:$J$749)</f>
        <v>0.00162309552852627</v>
      </c>
      <c r="L118" s="271" t="n">
        <f aca="false">K118+L117</f>
        <v>0.849733299737401</v>
      </c>
    </row>
    <row r="119" customFormat="false" ht="38.25" hidden="false" customHeight="false" outlineLevel="0" collapsed="false">
      <c r="A119" s="264" t="n">
        <f aca="false">K119</f>
        <v>0.00160914757373934</v>
      </c>
      <c r="B119" s="265" t="str">
        <f aca="false">VLOOKUP($C119,01_SINTETICO!$B:$N,13,0)</f>
        <v>12.2.3.11</v>
      </c>
      <c r="C119" s="266" t="s">
        <v>938</v>
      </c>
      <c r="D119" s="266" t="str">
        <f aca="false">VLOOKUP($C119,01_SINTETICO!$B:$M,2,0)</f>
        <v>ELETROCALHA LISA OU PERFURADA EM AÇO GALVANIZADO, LARGURA 50MM E ALTURA 50MM, INCLUSIVE EMENDA, TAMPA E FIXAÇÃO - FORNECIMENTO E INSTALAÇÃO.</v>
      </c>
      <c r="E119" s="266" t="str">
        <f aca="false">VLOOKUP($B119,01_SINTETICO!$A:$M,4,0)</f>
        <v>SER.CG</v>
      </c>
      <c r="F119" s="267" t="str">
        <f aca="false">VLOOKUP($B119,01_SINTETICO!$A:$M,5,0)</f>
        <v>M</v>
      </c>
      <c r="G119" s="267" t="n">
        <f aca="true">SUMIFS(INDIRECT("'01_SINTETICO'!F7:F995"),INDIRECT("'01_SINTETICO'!B7:B995"),$C119)</f>
        <v>181.86</v>
      </c>
      <c r="H119" s="268" t="n">
        <f aca="false">VLOOKUP($C119,01_SINTETICO!$B:$M,6,0)*$G119*(1+BDI_DIF)</f>
        <v>10561.1222301732</v>
      </c>
      <c r="I119" s="268" t="n">
        <f aca="false">VLOOKUP($C119,01_SINTETICO!$B:$M,7,0)*$G119*(1+BDI_MDO)</f>
        <v>3965.31701451342</v>
      </c>
      <c r="J119" s="269" t="n">
        <f aca="false">SUM(H119:I119)</f>
        <v>14526.4392446867</v>
      </c>
      <c r="K119" s="270" t="n">
        <f aca="false">J119/SUM($J$7:$J$749)</f>
        <v>0.00160914757373934</v>
      </c>
      <c r="L119" s="271" t="n">
        <f aca="false">K119+L118</f>
        <v>0.85134244731114</v>
      </c>
    </row>
    <row r="120" customFormat="false" ht="25.5" hidden="false" customHeight="false" outlineLevel="0" collapsed="false">
      <c r="A120" s="264" t="n">
        <f aca="false">K120</f>
        <v>0.00160369000440756</v>
      </c>
      <c r="B120" s="265" t="str">
        <f aca="false">VLOOKUP($C120,01_SINTETICO!$B:$N,13,0)</f>
        <v>2.1.1.1</v>
      </c>
      <c r="C120" s="266" t="n">
        <v>97625</v>
      </c>
      <c r="D120" s="266" t="str">
        <f aca="false">VLOOKUP($C120,01_SINTETICO!$B:$M,2,0)</f>
        <v>DEMOLIÇÃO DE ALVENARIA PARA QUALQUER TIPO DE BLOCO, DE FORMA MECANIZADA, SEM REAPROVEITAMENTO. AF_09/2023</v>
      </c>
      <c r="E120" s="266" t="str">
        <f aca="false">VLOOKUP($B120,01_SINTETICO!$A:$M,4,0)</f>
        <v>SER.CG</v>
      </c>
      <c r="F120" s="267" t="str">
        <f aca="false">VLOOKUP($B120,01_SINTETICO!$A:$M,5,0)</f>
        <v>M3</v>
      </c>
      <c r="G120" s="267" t="n">
        <f aca="true">SUMIFS(INDIRECT("'01_SINTETICO'!F7:F995"),INDIRECT("'01_SINTETICO'!B7:B995"),$C120)</f>
        <v>340.48</v>
      </c>
      <c r="H120" s="268" t="n">
        <f aca="false">VLOOKUP($C120,01_SINTETICO!$B:$M,6,0)*$G120*(1+BDI_DIF)</f>
        <v>12328.3843320788</v>
      </c>
      <c r="I120" s="268" t="n">
        <f aca="false">VLOOKUP($C120,01_SINTETICO!$B:$M,7,0)*$G120*(1+BDI_MDO)</f>
        <v>2148.78718190646</v>
      </c>
      <c r="J120" s="269" t="n">
        <f aca="false">SUM(H120:I120)</f>
        <v>14477.1715139853</v>
      </c>
      <c r="K120" s="270" t="n">
        <f aca="false">J120/SUM($J$7:$J$749)</f>
        <v>0.00160369000440756</v>
      </c>
      <c r="L120" s="271" t="n">
        <f aca="false">K120+L119</f>
        <v>0.852946137315548</v>
      </c>
    </row>
    <row r="121" customFormat="false" ht="38.25" hidden="false" customHeight="false" outlineLevel="0" collapsed="false">
      <c r="A121" s="264" t="n">
        <f aca="false">K121</f>
        <v>0.00157548756357928</v>
      </c>
      <c r="B121" s="265" t="str">
        <f aca="false">VLOOKUP($C121,01_SINTETICO!$B:$N,13,0)</f>
        <v>16.1.2.2</v>
      </c>
      <c r="C121" s="266" t="n">
        <v>103289</v>
      </c>
      <c r="D121" s="266" t="str">
        <f aca="false">VLOOKUP($C121,01_SINTETICO!$B:$M,2,0)</f>
        <v>TUBO EM COBRE FLEXÍVEL, DN 1/4", COM ISOLAMENTO, INSTALADO EM FORRO, PARA RAMAL DE ALIMENTAÇÃO DE AR CONDICIONADO, INCLUSO FIXADOR. AF_11/2021</v>
      </c>
      <c r="E121" s="266" t="str">
        <f aca="false">VLOOKUP($B121,01_SINTETICO!$A:$M,4,0)</f>
        <v>SER.CG</v>
      </c>
      <c r="F121" s="267" t="str">
        <f aca="false">VLOOKUP($B121,01_SINTETICO!$A:$M,5,0)</f>
        <v>M</v>
      </c>
      <c r="G121" s="267" t="n">
        <f aca="true">SUMIFS(INDIRECT("'01_SINTETICO'!F7:F995"),INDIRECT("'01_SINTETICO'!B7:B995"),$C121)</f>
        <v>389.69</v>
      </c>
      <c r="H121" s="268" t="n">
        <f aca="false">VLOOKUP($C121,01_SINTETICO!$B:$M,6,0)*$G121*(1+BDI_DIF)</f>
        <v>12555.1781630352</v>
      </c>
      <c r="I121" s="268" t="n">
        <f aca="false">VLOOKUP($C121,01_SINTETICO!$B:$M,7,0)*$G121*(1+BDI_MDO)</f>
        <v>1667.39827842252</v>
      </c>
      <c r="J121" s="269" t="n">
        <f aca="false">SUM(H121:I121)</f>
        <v>14222.5764414577</v>
      </c>
      <c r="K121" s="270" t="n">
        <f aca="false">J121/SUM($J$7:$J$749)</f>
        <v>0.00157548756357928</v>
      </c>
      <c r="L121" s="271" t="n">
        <f aca="false">K121+L120</f>
        <v>0.854521624879127</v>
      </c>
    </row>
    <row r="122" customFormat="false" ht="25.5" hidden="false" customHeight="false" outlineLevel="0" collapsed="false">
      <c r="A122" s="264" t="n">
        <f aca="false">K122</f>
        <v>0.00157396374333009</v>
      </c>
      <c r="B122" s="265" t="str">
        <f aca="false">VLOOKUP($C122,01_SINTETICO!$B:$N,13,0)</f>
        <v>5.5.1.2</v>
      </c>
      <c r="C122" s="266" t="n">
        <v>102229</v>
      </c>
      <c r="D122" s="266" t="str">
        <f aca="false">VLOOKUP($C122,01_SINTETICO!$B:$M,2,0)</f>
        <v>PINTURA TINTA DE ACABAMENTO (PIGMENTADA) ESMALTE SINTÉTICO ACETINADO EM MADEIRA, 3 DEMÃOS. AF_01/2021</v>
      </c>
      <c r="E122" s="266" t="str">
        <f aca="false">VLOOKUP($B122,01_SINTETICO!$A:$M,4,0)</f>
        <v>SER.CG</v>
      </c>
      <c r="F122" s="267" t="str">
        <f aca="false">VLOOKUP($B122,01_SINTETICO!$A:$M,5,0)</f>
        <v>M2</v>
      </c>
      <c r="G122" s="267" t="n">
        <f aca="true">SUMIFS(INDIRECT("'01_SINTETICO'!F7:F995"),INDIRECT("'01_SINTETICO'!B7:B995"),$C122)</f>
        <v>449.4</v>
      </c>
      <c r="H122" s="268" t="n">
        <f aca="false">VLOOKUP($C122,01_SINTETICO!$B:$M,6,0)*$G122*(1+BDI_DIF)</f>
        <v>7498.58660406174</v>
      </c>
      <c r="I122" s="268" t="n">
        <f aca="false">VLOOKUP($C122,01_SINTETICO!$B:$M,7,0)*$G122*(1+BDI_MDO)</f>
        <v>6710.23368312455</v>
      </c>
      <c r="J122" s="269" t="n">
        <f aca="false">SUM(H122:I122)</f>
        <v>14208.8202871863</v>
      </c>
      <c r="K122" s="270" t="n">
        <f aca="false">J122/SUM($J$7:$J$749)</f>
        <v>0.00157396374333009</v>
      </c>
      <c r="L122" s="271" t="n">
        <f aca="false">K122+L121</f>
        <v>0.856095588622457</v>
      </c>
    </row>
    <row r="123" customFormat="false" ht="51" hidden="false" customHeight="false" outlineLevel="0" collapsed="false">
      <c r="A123" s="264" t="n">
        <f aca="false">K123</f>
        <v>0.0015360781387628</v>
      </c>
      <c r="B123" s="265" t="str">
        <f aca="false">VLOOKUP($C123,01_SINTETICO!$B:$N,13,0)</f>
        <v>2.3.5</v>
      </c>
      <c r="C123" s="266" t="s">
        <v>101</v>
      </c>
      <c r="D123" s="266" t="str">
        <f aca="false">VLOOKUP($C123,01_SINTETICO!$B:$M,2,0)</f>
        <v>BARRACÃO DE OBRA PARA ARMAÇÃO, FABRICAÇÃO DE FÔRMAS, PRODUÇÃO DE ARGAMASSA OU CONCRETO EM OBRA. COMPOSTO POR MADEIRAMENTO EM MASSARANDUBA, TELHA DE FIBROCIMENTO 6MM E PISO EM CONCRETO.</v>
      </c>
      <c r="E123" s="266" t="str">
        <f aca="false">VLOOKUP($B123,01_SINTETICO!$A:$M,4,0)</f>
        <v>SER.CG</v>
      </c>
      <c r="F123" s="267" t="str">
        <f aca="false">VLOOKUP($B123,01_SINTETICO!$A:$M,5,0)</f>
        <v>M2</v>
      </c>
      <c r="G123" s="267" t="n">
        <f aca="true">SUMIFS(INDIRECT("'01_SINTETICO'!F7:F995"),INDIRECT("'01_SINTETICO'!B7:B995"),$C123)</f>
        <v>36</v>
      </c>
      <c r="H123" s="268" t="n">
        <f aca="false">VLOOKUP($C123,01_SINTETICO!$B:$M,6,0)*$G123*(1+BDI_DIF)</f>
        <v>11683.2678416662</v>
      </c>
      <c r="I123" s="268" t="n">
        <f aca="false">VLOOKUP($C123,01_SINTETICO!$B:$M,7,0)*$G123*(1+BDI_MDO)</f>
        <v>2183.54345767064</v>
      </c>
      <c r="J123" s="269" t="n">
        <f aca="false">SUM(H123:I123)</f>
        <v>13866.8112993369</v>
      </c>
      <c r="K123" s="270" t="n">
        <f aca="false">J123/SUM($J$7:$J$749)</f>
        <v>0.0015360781387628</v>
      </c>
      <c r="L123" s="271" t="n">
        <f aca="false">K123+L122</f>
        <v>0.85763166676122</v>
      </c>
    </row>
    <row r="124" customFormat="false" ht="25.5" hidden="false" customHeight="false" outlineLevel="0" collapsed="false">
      <c r="A124" s="264" t="n">
        <f aca="false">K124</f>
        <v>0.00153260810471478</v>
      </c>
      <c r="B124" s="265" t="str">
        <f aca="false">VLOOKUP($C124,01_SINTETICO!$B:$N,13,0)</f>
        <v>10.1.5</v>
      </c>
      <c r="C124" s="266" t="s">
        <v>622</v>
      </c>
      <c r="D124" s="266" t="str">
        <f aca="false">VLOOKUP($C124,01_SINTETICO!$B:$M,2,0)</f>
        <v>BANCADA DE GRANITO CINZA POLIDO, DE 0,50 X 0,90 M, PARA LAVATÓRIO, 1 CUBA - FORNECIMENTO E INSTALAÇÃO.</v>
      </c>
      <c r="E124" s="266" t="str">
        <f aca="false">VLOOKUP($B124,01_SINTETICO!$A:$M,4,0)</f>
        <v>SER.CG</v>
      </c>
      <c r="F124" s="267" t="str">
        <f aca="false">VLOOKUP($B124,01_SINTETICO!$A:$M,5,0)</f>
        <v>UN</v>
      </c>
      <c r="G124" s="267" t="n">
        <f aca="true">SUMIFS(INDIRECT("'01_SINTETICO'!F7:F995"),INDIRECT("'01_SINTETICO'!B7:B995"),$C124)</f>
        <v>18</v>
      </c>
      <c r="H124" s="268" t="n">
        <f aca="false">VLOOKUP($C124,01_SINTETICO!$B:$M,6,0)*$G124*(1+BDI_DIF)</f>
        <v>11706.7630810752</v>
      </c>
      <c r="I124" s="268" t="n">
        <f aca="false">VLOOKUP($C124,01_SINTETICO!$B:$M,7,0)*$G124*(1+BDI_MDO)</f>
        <v>2128.72278882434</v>
      </c>
      <c r="J124" s="269" t="n">
        <f aca="false">SUM(H124:I124)</f>
        <v>13835.4858698995</v>
      </c>
      <c r="K124" s="270" t="n">
        <f aca="false">J124/SUM($J$7:$J$749)</f>
        <v>0.00153260810471478</v>
      </c>
      <c r="L124" s="271" t="n">
        <f aca="false">K124+L123</f>
        <v>0.859164274865935</v>
      </c>
    </row>
    <row r="125" customFormat="false" ht="38.25" hidden="false" customHeight="false" outlineLevel="0" collapsed="false">
      <c r="A125" s="264" t="n">
        <f aca="false">K125</f>
        <v>0.00151794677408284</v>
      </c>
      <c r="B125" s="265" t="str">
        <f aca="false">VLOOKUP($C125,01_SINTETICO!$B:$N,13,0)</f>
        <v>8.1.2.3</v>
      </c>
      <c r="C125" s="266" t="n">
        <v>94277</v>
      </c>
      <c r="D125" s="266" t="str">
        <f aca="false">VLOOKUP($C125,01_SINTETICO!$B:$M,2,0)</f>
        <v>ASSENTAMENTO DE GUIA (MEIO-FIO) EM TRECHO RETO, CONFECCIONADA EM CONCRETO PRÉ-FABRICADO, DIMENSÕES 80X08X08X25 CM (COMPRIMENTO X BASE INFERIOR X BASE SUPERIOR X ALTURA). AF_01/2024</v>
      </c>
      <c r="E125" s="266" t="str">
        <f aca="false">VLOOKUP($B125,01_SINTETICO!$A:$M,4,0)</f>
        <v>SER.CG</v>
      </c>
      <c r="F125" s="267" t="str">
        <f aca="false">VLOOKUP($B125,01_SINTETICO!$A:$M,5,0)</f>
        <v>M</v>
      </c>
      <c r="G125" s="267" t="n">
        <f aca="true">SUMIFS(INDIRECT("'01_SINTETICO'!F7:F995"),INDIRECT("'01_SINTETICO'!B7:B995"),$C125)</f>
        <v>329.82</v>
      </c>
      <c r="H125" s="268" t="n">
        <f aca="false">VLOOKUP($C125,01_SINTETICO!$B:$M,6,0)*$G125*(1+BDI_DIF)</f>
        <v>12523.5459235096</v>
      </c>
      <c r="I125" s="268" t="n">
        <f aca="false">VLOOKUP($C125,01_SINTETICO!$B:$M,7,0)*$G125*(1+BDI_MDO)</f>
        <v>1179.58606403201</v>
      </c>
      <c r="J125" s="269" t="n">
        <f aca="false">SUM(H125:I125)</f>
        <v>13703.1319875416</v>
      </c>
      <c r="K125" s="270" t="n">
        <f aca="false">J125/SUM($J$7:$J$749)</f>
        <v>0.00151794677408284</v>
      </c>
      <c r="L125" s="271" t="n">
        <f aca="false">K125+L124</f>
        <v>0.860682221640018</v>
      </c>
    </row>
    <row r="126" customFormat="false" ht="38.25" hidden="false" customHeight="false" outlineLevel="0" collapsed="false">
      <c r="A126" s="264" t="n">
        <f aca="false">K126</f>
        <v>0.00151095593657771</v>
      </c>
      <c r="B126" s="265" t="str">
        <f aca="false">VLOOKUP($C126,01_SINTETICO!$B:$N,13,0)</f>
        <v>3.2.1.5.4</v>
      </c>
      <c r="C126" s="266" t="n">
        <v>100341</v>
      </c>
      <c r="D126" s="266" t="str">
        <f aca="false">VLOOKUP($C126,01_SINTETICO!$B:$M,2,0)</f>
        <v>FABRICAÇÃO, MONTAGEM E DESMONTAGEM DE FÔRMA PARA CORTINA DE CONTENÇÃO, EM CHAPA DE MADEIRA COMPENSADA PLASTIFICADA, E = 18 MM, 10 UTILIZAÇÕES. AF_11/2024</v>
      </c>
      <c r="E126" s="266" t="str">
        <f aca="false">VLOOKUP($B126,01_SINTETICO!$A:$M,4,0)</f>
        <v>SER.CG</v>
      </c>
      <c r="F126" s="267" t="str">
        <f aca="false">VLOOKUP($B126,01_SINTETICO!$A:$M,5,0)</f>
        <v>M2</v>
      </c>
      <c r="G126" s="267" t="n">
        <f aca="true">SUMIFS(INDIRECT("'01_SINTETICO'!F7:F995"),INDIRECT("'01_SINTETICO'!B7:B995"),$C126)</f>
        <v>295.39</v>
      </c>
      <c r="H126" s="268" t="n">
        <f aca="false">VLOOKUP($C126,01_SINTETICO!$B:$M,6,0)*$G126*(1+BDI_DIF)</f>
        <v>8042.53701261012</v>
      </c>
      <c r="I126" s="268" t="n">
        <f aca="false">VLOOKUP($C126,01_SINTETICO!$B:$M,7,0)*$G126*(1+BDI_MDO)</f>
        <v>5597.4857996482</v>
      </c>
      <c r="J126" s="269" t="n">
        <f aca="false">SUM(H126:I126)</f>
        <v>13640.0228122583</v>
      </c>
      <c r="K126" s="270" t="n">
        <f aca="false">J126/SUM($J$7:$J$749)</f>
        <v>0.00151095593657771</v>
      </c>
      <c r="L126" s="271" t="n">
        <f aca="false">K126+L125</f>
        <v>0.862193177576595</v>
      </c>
    </row>
    <row r="127" customFormat="false" ht="25.5" hidden="false" customHeight="false" outlineLevel="0" collapsed="false">
      <c r="A127" s="264" t="n">
        <f aca="false">K127</f>
        <v>0.00148699791671954</v>
      </c>
      <c r="B127" s="265" t="str">
        <f aca="false">VLOOKUP($C127,01_SINTETICO!$B:$N,13,0)</f>
        <v>2.1.1.4</v>
      </c>
      <c r="C127" s="266" t="n">
        <v>104790</v>
      </c>
      <c r="D127" s="266" t="str">
        <f aca="false">VLOOKUP($C127,01_SINTETICO!$B:$M,2,0)</f>
        <v>DEMOLIÇÃO DE PISO DE CONCRETO SIMPLES, DE FORMA MECANIZADA COM MARTELETE, SEM REAPROVEITAMENTO. AF_09/2023</v>
      </c>
      <c r="E127" s="266" t="str">
        <f aca="false">VLOOKUP($B127,01_SINTETICO!$A:$M,4,0)</f>
        <v>SER.CG</v>
      </c>
      <c r="F127" s="267" t="str">
        <f aca="false">VLOOKUP($B127,01_SINTETICO!$A:$M,5,0)</f>
        <v>M3</v>
      </c>
      <c r="G127" s="267" t="n">
        <f aca="true">SUMIFS(INDIRECT("'01_SINTETICO'!F7:F995"),INDIRECT("'01_SINTETICO'!B7:B995"),$C127)</f>
        <v>105.8</v>
      </c>
      <c r="H127" s="268" t="n">
        <f aca="false">VLOOKUP($C127,01_SINTETICO!$B:$M,6,0)*$G127*(1+BDI_DIF)</f>
        <v>8300.25841036446</v>
      </c>
      <c r="I127" s="268" t="n">
        <f aca="false">VLOOKUP($C127,01_SINTETICO!$B:$M,7,0)*$G127*(1+BDI_MDO)</f>
        <v>5123.48546913947</v>
      </c>
      <c r="J127" s="269" t="n">
        <f aca="false">SUM(H127:I127)</f>
        <v>13423.7438795039</v>
      </c>
      <c r="K127" s="270" t="n">
        <f aca="false">J127/SUM($J$7:$J$749)</f>
        <v>0.00148699791671954</v>
      </c>
      <c r="L127" s="271" t="n">
        <f aca="false">K127+L126</f>
        <v>0.863680175493315</v>
      </c>
    </row>
    <row r="128" customFormat="false" ht="25.5" hidden="false" customHeight="false" outlineLevel="0" collapsed="false">
      <c r="A128" s="264" t="n">
        <f aca="false">K128</f>
        <v>0.00148678944300375</v>
      </c>
      <c r="B128" s="265" t="str">
        <f aca="false">VLOOKUP($C128,01_SINTETICO!$B:$N,13,0)</f>
        <v>3.2.1.4.3</v>
      </c>
      <c r="C128" s="266" t="n">
        <v>96622</v>
      </c>
      <c r="D128" s="266" t="str">
        <f aca="false">VLOOKUP($C128,01_SINTETICO!$B:$M,2,0)</f>
        <v>LASTRO COM MATERIAL GRANULAR, APLICADO EM PISOS OU LAJES SOBRE SOLO, ESPESSURA DE *5 CM*. AF_01/2024</v>
      </c>
      <c r="E128" s="266" t="str">
        <f aca="false">VLOOKUP($B128,01_SINTETICO!$A:$M,4,0)</f>
        <v>SER.CG</v>
      </c>
      <c r="F128" s="267" t="str">
        <f aca="false">VLOOKUP($B128,01_SINTETICO!$A:$M,5,0)</f>
        <v>M3</v>
      </c>
      <c r="G128" s="267" t="n">
        <f aca="true">SUMIFS(INDIRECT("'01_SINTETICO'!F7:F995"),INDIRECT("'01_SINTETICO'!B7:B995"),$C128)</f>
        <v>49.54</v>
      </c>
      <c r="H128" s="268" t="n">
        <f aca="false">VLOOKUP($C128,01_SINTETICO!$B:$M,6,0)*$G128*(1+BDI_DIF)</f>
        <v>10250.262128376</v>
      </c>
      <c r="I128" s="268" t="n">
        <f aca="false">VLOOKUP($C128,01_SINTETICO!$B:$M,7,0)*$G128*(1+BDI_MDO)</f>
        <v>3171.59977285821</v>
      </c>
      <c r="J128" s="269" t="n">
        <f aca="false">SUM(H128:I128)</f>
        <v>13421.8619012342</v>
      </c>
      <c r="K128" s="270" t="n">
        <f aca="false">J128/SUM($J$7:$J$749)</f>
        <v>0.00148678944300375</v>
      </c>
      <c r="L128" s="271" t="n">
        <f aca="false">K128+L127</f>
        <v>0.865166964936319</v>
      </c>
    </row>
    <row r="129" customFormat="false" ht="38.25" hidden="false" customHeight="false" outlineLevel="0" collapsed="false">
      <c r="A129" s="264" t="n">
        <f aca="false">K129</f>
        <v>0.00146508507306899</v>
      </c>
      <c r="B129" s="265" t="str">
        <f aca="false">VLOOKUP($C129,01_SINTETICO!$B:$N,13,0)</f>
        <v>5.4.2</v>
      </c>
      <c r="C129" s="266" t="s">
        <v>467</v>
      </c>
      <c r="D129" s="266" t="str">
        <f aca="false">VLOOKUP($C129,01_SINTETICO!$B:$M,2,0)</f>
        <v>PORTAO DE CORRER, MEDINDO 5,50 X 3,00 M, COMPOSTO POR PERFIS DE ALUMINIO ANODIZADO E CHAPA DE ALUMINIO ANODIZADO, COM TRILHO E ROLDANAS.</v>
      </c>
      <c r="E129" s="266" t="str">
        <f aca="false">VLOOKUP($B129,01_SINTETICO!$A:$M,4,0)</f>
        <v>SER.CG</v>
      </c>
      <c r="F129" s="267" t="str">
        <f aca="false">VLOOKUP($B129,01_SINTETICO!$A:$M,5,0)</f>
        <v>UN</v>
      </c>
      <c r="G129" s="267" t="n">
        <f aca="true">SUMIFS(INDIRECT("'01_SINTETICO'!F7:F995"),INDIRECT("'01_SINTETICO'!B7:B995"),$C129)</f>
        <v>1</v>
      </c>
      <c r="H129" s="268" t="n">
        <f aca="false">VLOOKUP($C129,01_SINTETICO!$B:$M,6,0)*$G129*(1+BDI_MAT)</f>
        <v>12826.6984336333</v>
      </c>
      <c r="I129" s="268" t="n">
        <f aca="false">VLOOKUP($C129,01_SINTETICO!$B:$M,7,0)*$G129*(1+BDI_MDO)</f>
        <v>399.229162788258</v>
      </c>
      <c r="J129" s="269" t="n">
        <f aca="false">SUM(H129:I129)</f>
        <v>13225.9275964216</v>
      </c>
      <c r="K129" s="270" t="n">
        <f aca="false">J129/SUM($J$7:$J$749)</f>
        <v>0.00146508507306899</v>
      </c>
      <c r="L129" s="271" t="n">
        <f aca="false">K129+L128</f>
        <v>0.866632050009387</v>
      </c>
    </row>
    <row r="130" customFormat="false" ht="51" hidden="false" customHeight="false" outlineLevel="0" collapsed="false">
      <c r="A130" s="264" t="n">
        <f aca="false">K130</f>
        <v>0.00146114219533575</v>
      </c>
      <c r="B130" s="265" t="str">
        <f aca="false">VLOOKUP($C130,01_SINTETICO!$B:$N,13,0)</f>
        <v>8.2.4.1.2</v>
      </c>
      <c r="C130" s="272" t="s">
        <v>581</v>
      </c>
      <c r="D130" s="266" t="str">
        <f aca="false">VLOOKUP($C130,01_SINTETICO!$B:$M,2,0)</f>
        <v>FORNECIMENTO E INSTALAÇÃO DE 2 UNIDADE DE LOGO EM AÇO INOXIDÁVEL, ACM OU ACRÍLICO, PADRÃODE FORMA E PALETA DE CORES DO TRT 18, TAMANHO DE ACORDO COM COM A NECESSIDADE, CONFORME O PROJETO ARQUITETÔNICO.</v>
      </c>
      <c r="E130" s="272" t="str">
        <f aca="false">VLOOKUP($B130,01_SINTETICO!$A:$M,4,0)</f>
        <v>SER.CG</v>
      </c>
      <c r="F130" s="273" t="str">
        <f aca="false">VLOOKUP($B130,01_SINTETICO!$A:$M,5,0)</f>
        <v>UN</v>
      </c>
      <c r="G130" s="267" t="n">
        <f aca="true">SUMIFS(INDIRECT("'01_SINTETICO'!F7:F995"),INDIRECT("'01_SINTETICO'!B7:B995"),$C130)</f>
        <v>1</v>
      </c>
      <c r="H130" s="268" t="n">
        <f aca="false">VLOOKUP($C130,01_SINTETICO!$B:$M,6,0)*$G130*(1+BDI_DIF)</f>
        <v>12681.6752450179</v>
      </c>
      <c r="I130" s="268" t="n">
        <f aca="false">VLOOKUP($C130,01_SINTETICO!$B:$M,7,0)*$G130*(1+BDI_MDO)</f>
        <v>508.65836687688</v>
      </c>
      <c r="J130" s="269" t="n">
        <f aca="false">SUM(H130:I130)</f>
        <v>13190.3336118948</v>
      </c>
      <c r="K130" s="270" t="n">
        <f aca="false">J130/SUM($J$7:$J$749)</f>
        <v>0.00146114219533575</v>
      </c>
      <c r="L130" s="271" t="n">
        <f aca="false">K130+L129</f>
        <v>0.868093192204723</v>
      </c>
    </row>
    <row r="131" customFormat="false" ht="15" hidden="false" customHeight="false" outlineLevel="0" collapsed="false">
      <c r="A131" s="264" t="n">
        <f aca="false">K131</f>
        <v>0.00145459938032383</v>
      </c>
      <c r="B131" s="265" t="str">
        <f aca="false">VLOOKUP($C131,01_SINTETICO!$B:$N,13,0)</f>
        <v>17.1.2</v>
      </c>
      <c r="C131" s="272" t="s">
        <v>1328</v>
      </c>
      <c r="D131" s="266" t="str">
        <f aca="false">VLOOKUP($C131,01_SINTETICO!$B:$M,2,0)</f>
        <v>APLICAÇÃO DE ADUBO +TERRA, EM SOLO.</v>
      </c>
      <c r="E131" s="272" t="str">
        <f aca="false">VLOOKUP($B131,01_SINTETICO!$A:$M,4,0)</f>
        <v>SER.CG</v>
      </c>
      <c r="F131" s="273" t="str">
        <f aca="false">VLOOKUP($B131,01_SINTETICO!$A:$M,5,0)</f>
        <v>M3</v>
      </c>
      <c r="G131" s="267" t="n">
        <f aca="true">SUMIFS(INDIRECT("'01_SINTETICO'!F7:F995"),INDIRECT("'01_SINTETICO'!B7:B995"),$C131)</f>
        <v>183.87</v>
      </c>
      <c r="H131" s="268" t="n">
        <f aca="false">VLOOKUP($C131,01_SINTETICO!$B:$M,6,0)*$G131*(1+BDI_DIF)</f>
        <v>12866.3038097935</v>
      </c>
      <c r="I131" s="268" t="n">
        <f aca="false">VLOOKUP($C131,01_SINTETICO!$B:$M,7,0)*$G131*(1+BDI_MDO)</f>
        <v>264.965110763417</v>
      </c>
      <c r="J131" s="269" t="n">
        <f aca="false">SUM(H131:I131)</f>
        <v>13131.2689205569</v>
      </c>
      <c r="K131" s="270" t="n">
        <f aca="false">J131/SUM($J$7:$J$749)</f>
        <v>0.00145459938032383</v>
      </c>
      <c r="L131" s="271" t="n">
        <f aca="false">K131+L130</f>
        <v>0.869547791585047</v>
      </c>
    </row>
    <row r="132" customFormat="false" ht="15" hidden="false" customHeight="false" outlineLevel="0" collapsed="false">
      <c r="A132" s="264" t="n">
        <f aca="false">K132</f>
        <v>0.00141834176729717</v>
      </c>
      <c r="B132" s="265" t="str">
        <f aca="false">VLOOKUP($C132,01_SINTETICO!$B:$N,13,0)</f>
        <v>6.3.2</v>
      </c>
      <c r="C132" s="272" t="n">
        <v>101979</v>
      </c>
      <c r="D132" s="266" t="str">
        <f aca="false">VLOOKUP($C132,01_SINTETICO!$B:$M,2,0)</f>
        <v>CHAPIM (RUFO CAPA) EM AÇO GALVANIZADO, CORTE 33. AF_11/2020</v>
      </c>
      <c r="E132" s="272" t="str">
        <f aca="false">VLOOKUP($B132,01_SINTETICO!$A:$M,4,0)</f>
        <v>SER.CG</v>
      </c>
      <c r="F132" s="273" t="str">
        <f aca="false">VLOOKUP($B132,01_SINTETICO!$A:$M,5,0)</f>
        <v>M</v>
      </c>
      <c r="G132" s="267" t="n">
        <f aca="true">SUMIFS(INDIRECT("'01_SINTETICO'!F7:F995"),INDIRECT("'01_SINTETICO'!B7:B995"),$C132)</f>
        <v>301.73</v>
      </c>
      <c r="H132" s="268" t="n">
        <f aca="false">VLOOKUP($C132,01_SINTETICO!$B:$M,6,0)*$G132*(1+BDI_DIF)</f>
        <v>10924.3087280752</v>
      </c>
      <c r="I132" s="268" t="n">
        <f aca="false">VLOOKUP($C132,01_SINTETICO!$B:$M,7,0)*$G132*(1+BDI_MDO)</f>
        <v>1879.64775614313</v>
      </c>
      <c r="J132" s="269" t="n">
        <f aca="false">SUM(H132:I132)</f>
        <v>12803.9564842183</v>
      </c>
      <c r="K132" s="270" t="n">
        <f aca="false">J132/SUM($J$7:$J$749)</f>
        <v>0.00141834176729717</v>
      </c>
      <c r="L132" s="271" t="n">
        <f aca="false">K132+L131</f>
        <v>0.870966133352344</v>
      </c>
    </row>
    <row r="133" customFormat="false" ht="25.5" hidden="false" customHeight="false" outlineLevel="0" collapsed="false">
      <c r="A133" s="264" t="n">
        <f aca="false">K133</f>
        <v>0.00141276189032741</v>
      </c>
      <c r="B133" s="265" t="str">
        <f aca="false">VLOOKUP($C133,01_SINTETICO!$B:$N,13,0)</f>
        <v>*16.1.1.1</v>
      </c>
      <c r="C133" s="266" t="n">
        <v>103246</v>
      </c>
      <c r="D133" s="266" t="str">
        <f aca="false">VLOOKUP($C133,01_SINTETICO!$B:$M,2,0)</f>
        <v>AR CONDICIONADO SPLIT ON/OFF, HI-WALL (PAREDE), 9000 BTUS/H, CICLO QUENTE/FRIO - FORNECIMENTO E INSTALAÇÃO. AF_11/2021_PE</v>
      </c>
      <c r="E133" s="266" t="str">
        <f aca="false">VLOOKUP($B133,01_SINTETICO!$A:$M,4,0)</f>
        <v>SER.CG</v>
      </c>
      <c r="F133" s="267" t="str">
        <f aca="false">VLOOKUP($B133,01_SINTETICO!$A:$M,5,0)</f>
        <v>UN</v>
      </c>
      <c r="G133" s="267" t="n">
        <f aca="true">SUMIFS(INDIRECT("'01_SINTETICO'!F7:F995"),INDIRECT("'01_SINTETICO'!B7:B995"),$C133)</f>
        <v>5</v>
      </c>
      <c r="H133" s="268" t="n">
        <f aca="false">VLOOKUP($C133,01_SINTETICO!$B:$M,6,0)*$G133*(1+BDI_DIF)</f>
        <v>12240.5006632432</v>
      </c>
      <c r="I133" s="268" t="n">
        <f aca="false">VLOOKUP($C133,01_SINTETICO!$B:$M,7,0)*$G133*(1+BDI_MDO)</f>
        <v>513.083968749082</v>
      </c>
      <c r="J133" s="269" t="n">
        <f aca="false">SUM(H133:I133)</f>
        <v>12753.5846319923</v>
      </c>
      <c r="K133" s="270" t="n">
        <f aca="false">J133/SUM($J$7:$J$749)</f>
        <v>0.00141276189032741</v>
      </c>
      <c r="L133" s="271" t="n">
        <f aca="false">K133+L132</f>
        <v>0.872378895242672</v>
      </c>
    </row>
    <row r="134" customFormat="false" ht="25.5" hidden="false" customHeight="false" outlineLevel="0" collapsed="false">
      <c r="A134" s="264" t="n">
        <f aca="false">K134</f>
        <v>0.00138252252409188</v>
      </c>
      <c r="B134" s="265" t="str">
        <f aca="false">VLOOKUP($C134,01_SINTETICO!$B:$N,13,0)</f>
        <v>3.2.1.4.5</v>
      </c>
      <c r="C134" s="272" t="n">
        <v>104916</v>
      </c>
      <c r="D134" s="266" t="str">
        <f aca="false">VLOOKUP($C134,01_SINTETICO!$B:$M,2,0)</f>
        <v>ARMAÇÃO DE SAPATA ISOLADA, VIGA BALDRAME E SAPATA CORRIDA UTILIZANDO AÇO CA-60 DE 5 MM - MONTAGEM. AF_01/2024</v>
      </c>
      <c r="E134" s="272" t="str">
        <f aca="false">VLOOKUP($B134,01_SINTETICO!$A:$M,4,0)</f>
        <v>SER.CG</v>
      </c>
      <c r="F134" s="273" t="str">
        <f aca="false">VLOOKUP($B134,01_SINTETICO!$A:$M,5,0)</f>
        <v>KG</v>
      </c>
      <c r="G134" s="267" t="n">
        <f aca="true">SUMIFS(INDIRECT("'01_SINTETICO'!F7:F995"),INDIRECT("'01_SINTETICO'!B7:B995"),$C134)</f>
        <v>651.82</v>
      </c>
      <c r="H134" s="268" t="n">
        <f aca="false">VLOOKUP($C134,01_SINTETICO!$B:$M,6,0)*$G134*(1+BDI_DIF)</f>
        <v>7852.35863829346</v>
      </c>
      <c r="I134" s="268" t="n">
        <f aca="false">VLOOKUP($C134,01_SINTETICO!$B:$M,7,0)*$G134*(1+BDI_MDO)</f>
        <v>4628.24275487917</v>
      </c>
      <c r="J134" s="269" t="n">
        <f aca="false">SUM(H134:I134)</f>
        <v>12480.6013931726</v>
      </c>
      <c r="K134" s="270" t="n">
        <f aca="false">J134/SUM($J$7:$J$749)</f>
        <v>0.00138252252409188</v>
      </c>
      <c r="L134" s="271" t="n">
        <f aca="false">K134+L133</f>
        <v>0.873761417766763</v>
      </c>
    </row>
    <row r="135" customFormat="false" ht="25.5" hidden="false" customHeight="false" outlineLevel="0" collapsed="false">
      <c r="A135" s="264" t="n">
        <f aca="false">K135</f>
        <v>0.00135906364355708</v>
      </c>
      <c r="B135" s="265" t="str">
        <f aca="false">VLOOKUP($C135,01_SINTETICO!$B:$N,13,0)</f>
        <v>3.2.2.3.2.3</v>
      </c>
      <c r="C135" s="266" t="n">
        <v>92769</v>
      </c>
      <c r="D135" s="266" t="str">
        <f aca="false">VLOOKUP($C135,01_SINTETICO!$B:$M,2,0)</f>
        <v>ARMAÇÃO DE LAJE DE ESTRUTURA CONVENCIONAL DE CONCRETO ARMADO UTILIZANDO AÇO CA-50 DE 6,3 MM - MONTAGEM. AF_06/2022</v>
      </c>
      <c r="E135" s="266" t="str">
        <f aca="false">VLOOKUP($B135,01_SINTETICO!$A:$M,4,0)</f>
        <v>SER.CG</v>
      </c>
      <c r="F135" s="267" t="str">
        <f aca="false">VLOOKUP($B135,01_SINTETICO!$A:$M,5,0)</f>
        <v>KG</v>
      </c>
      <c r="G135" s="267" t="n">
        <f aca="true">SUMIFS(INDIRECT("'01_SINTETICO'!F7:F995"),INDIRECT("'01_SINTETICO'!B7:B995"),$C135)</f>
        <v>805.64</v>
      </c>
      <c r="H135" s="268" t="n">
        <f aca="false">VLOOKUP($C135,01_SINTETICO!$B:$M,6,0)*$G135*(1+BDI_MAT)</f>
        <v>10158.1453816019</v>
      </c>
      <c r="I135" s="268" t="n">
        <f aca="false">VLOOKUP($C135,01_SINTETICO!$B:$M,7,0)*$G135*(1+BDI_MDO)</f>
        <v>2110.6830154836</v>
      </c>
      <c r="J135" s="269" t="n">
        <f aca="false">SUM(H135:I135)</f>
        <v>12268.8283970855</v>
      </c>
      <c r="K135" s="270" t="n">
        <f aca="false">J135/SUM($J$7:$J$749)</f>
        <v>0.00135906364355708</v>
      </c>
      <c r="L135" s="271" t="n">
        <f aca="false">K135+L134</f>
        <v>0.875120481410321</v>
      </c>
    </row>
    <row r="136" customFormat="false" ht="15" hidden="false" customHeight="false" outlineLevel="0" collapsed="false">
      <c r="A136" s="264" t="n">
        <f aca="false">K136</f>
        <v>0.00133976707511675</v>
      </c>
      <c r="B136" s="265" t="str">
        <f aca="false">VLOOKUP($C136,01_SINTETICO!$B:$N,13,0)</f>
        <v>5.1.1.1</v>
      </c>
      <c r="C136" s="266" t="n">
        <v>98689</v>
      </c>
      <c r="D136" s="266" t="str">
        <f aca="false">VLOOKUP($C136,01_SINTETICO!$B:$M,2,0)</f>
        <v>SOLEIRA EM GRANITO, LARGURA 15 CM, ESPESSURA 2,0 CM. AF_09/2020</v>
      </c>
      <c r="E136" s="266" t="str">
        <f aca="false">VLOOKUP($B136,01_SINTETICO!$A:$M,4,0)</f>
        <v>SER.CG</v>
      </c>
      <c r="F136" s="267" t="str">
        <f aca="false">VLOOKUP($B136,01_SINTETICO!$A:$M,5,0)</f>
        <v>M</v>
      </c>
      <c r="G136" s="267" t="n">
        <f aca="true">SUMIFS(INDIRECT("'01_SINTETICO'!F7:F995"),INDIRECT("'01_SINTETICO'!B7:B995"),$C136)</f>
        <v>97.32</v>
      </c>
      <c r="H136" s="268" t="n">
        <f aca="false">VLOOKUP($C136,01_SINTETICO!$B:$M,6,0)*$G136*(1+BDI_DIF)</f>
        <v>10254.1410958479</v>
      </c>
      <c r="I136" s="268" t="n">
        <f aca="false">VLOOKUP($C136,01_SINTETICO!$B:$M,7,0)*$G136*(1+BDI_MDO)</f>
        <v>1840.48921421693</v>
      </c>
      <c r="J136" s="269" t="n">
        <f aca="false">SUM(H136:I136)</f>
        <v>12094.6303100648</v>
      </c>
      <c r="K136" s="270" t="n">
        <f aca="false">J136/SUM($J$7:$J$749)</f>
        <v>0.00133976707511675</v>
      </c>
      <c r="L136" s="271" t="n">
        <f aca="false">K136+L135</f>
        <v>0.876460248485437</v>
      </c>
    </row>
    <row r="137" customFormat="false" ht="25.5" hidden="false" customHeight="false" outlineLevel="0" collapsed="false">
      <c r="A137" s="264" t="n">
        <f aca="false">K137</f>
        <v>0.0013326591851517</v>
      </c>
      <c r="B137" s="265" t="str">
        <f aca="false">VLOOKUP($C137,01_SINTETICO!$B:$N,13,0)</f>
        <v>11.6.5.1</v>
      </c>
      <c r="C137" s="272" t="n">
        <v>102619</v>
      </c>
      <c r="D137" s="266" t="str">
        <f aca="false">VLOOKUP($C137,01_SINTETICO!$B:$M,2,0)</f>
        <v>CAIXA D´ÁGUA EM POLIÉSTER REFORÇADO COM FIBRA DE VIDRO, 10000 LITROS - FORNECIMENTO E INSTALAÇÃO. AF_06/2021</v>
      </c>
      <c r="E137" s="272" t="str">
        <f aca="false">VLOOKUP($B137,01_SINTETICO!$A:$M,4,0)</f>
        <v>SER.CG</v>
      </c>
      <c r="F137" s="273" t="str">
        <f aca="false">VLOOKUP($B137,01_SINTETICO!$A:$M,5,0)</f>
        <v>UN</v>
      </c>
      <c r="G137" s="267" t="n">
        <f aca="true">SUMIFS(INDIRECT("'01_SINTETICO'!F7:F995"),INDIRECT("'01_SINTETICO'!B7:B995"),$C137)</f>
        <v>2</v>
      </c>
      <c r="H137" s="268" t="n">
        <f aca="false">VLOOKUP($C137,01_SINTETICO!$B:$M,6,0)*$G137*(1+BDI_DIF)</f>
        <v>11758.7672324956</v>
      </c>
      <c r="I137" s="268" t="n">
        <f aca="false">VLOOKUP($C137,01_SINTETICO!$B:$M,7,0)*$G137*(1+BDI_MDO)</f>
        <v>271.697221422534</v>
      </c>
      <c r="J137" s="269" t="n">
        <f aca="false">SUM(H137:I137)</f>
        <v>12030.4644539182</v>
      </c>
      <c r="K137" s="270" t="n">
        <f aca="false">J137/SUM($J$7:$J$749)</f>
        <v>0.0013326591851517</v>
      </c>
      <c r="L137" s="271" t="n">
        <f aca="false">K137+L136</f>
        <v>0.877792907670589</v>
      </c>
    </row>
    <row r="138" customFormat="false" ht="25.5" hidden="false" customHeight="false" outlineLevel="0" collapsed="false">
      <c r="A138" s="264" t="n">
        <f aca="false">K138</f>
        <v>0.00133156842140467</v>
      </c>
      <c r="B138" s="265" t="str">
        <f aca="false">VLOOKUP($C138,01_SINTETICO!$B:$N,13,0)</f>
        <v>8.2.3.1.1</v>
      </c>
      <c r="C138" s="266" t="n">
        <v>88485</v>
      </c>
      <c r="D138" s="266" t="str">
        <f aca="false">VLOOKUP($C138,01_SINTETICO!$B:$M,2,0)</f>
        <v>FUNDO SELADOR ACRÍLICO, APLICAÇÃO MANUAL EM PAREDE, UMA DEMÃO. AF_04/2023</v>
      </c>
      <c r="E138" s="266" t="str">
        <f aca="false">VLOOKUP($B138,01_SINTETICO!$A:$M,4,0)</f>
        <v>SER.CG</v>
      </c>
      <c r="F138" s="267" t="str">
        <f aca="false">VLOOKUP($B138,01_SINTETICO!$A:$M,5,0)</f>
        <v>M2</v>
      </c>
      <c r="G138" s="267" t="n">
        <f aca="true">SUMIFS(INDIRECT("'01_SINTETICO'!F7:F995"),INDIRECT("'01_SINTETICO'!B7:B995"),$C138)</f>
        <v>2317.4</v>
      </c>
      <c r="H138" s="268" t="n">
        <f aca="false">VLOOKUP($C138,01_SINTETICO!$B:$M,6,0)*$G138*(1+BDI_DIF)</f>
        <v>7115.89031695784</v>
      </c>
      <c r="I138" s="268" t="n">
        <f aca="false">VLOOKUP($C138,01_SINTETICO!$B:$M,7,0)*$G138*(1+BDI_MDO)</f>
        <v>4904.72736245686</v>
      </c>
      <c r="J138" s="269" t="n">
        <f aca="false">SUM(H138:I138)</f>
        <v>12020.6176794147</v>
      </c>
      <c r="K138" s="270" t="n">
        <f aca="false">J138/SUM($J$7:$J$749)</f>
        <v>0.00133156842140467</v>
      </c>
      <c r="L138" s="271" t="n">
        <f aca="false">K138+L137</f>
        <v>0.879124476091994</v>
      </c>
    </row>
    <row r="139" customFormat="false" ht="25.5" hidden="false" customHeight="false" outlineLevel="0" collapsed="false">
      <c r="A139" s="264" t="n">
        <f aca="false">K139</f>
        <v>0.00132778931972271</v>
      </c>
      <c r="B139" s="265" t="str">
        <f aca="false">VLOOKUP($C139,01_SINTETICO!$B:$N,13,0)</f>
        <v>2.1.2.6</v>
      </c>
      <c r="C139" s="266" t="n">
        <v>97650</v>
      </c>
      <c r="D139" s="266" t="str">
        <f aca="false">VLOOKUP($C139,01_SINTETICO!$B:$M,2,0)</f>
        <v>REMOÇÃO DE TRAMA DE MADEIRA PARA COBERTURA, DE FORMA MANUAL, SEM REAPROVEITAMENTO. AF_09/2023</v>
      </c>
      <c r="E139" s="266" t="str">
        <f aca="false">VLOOKUP($B139,01_SINTETICO!$A:$M,4,0)</f>
        <v>SER.CG</v>
      </c>
      <c r="F139" s="267" t="str">
        <f aca="false">VLOOKUP($B139,01_SINTETICO!$A:$M,5,0)</f>
        <v>M2</v>
      </c>
      <c r="G139" s="267" t="n">
        <f aca="true">SUMIFS(INDIRECT("'01_SINTETICO'!F7:F995"),INDIRECT("'01_SINTETICO'!B7:B995"),$C139)</f>
        <v>1318.2</v>
      </c>
      <c r="H139" s="268" t="n">
        <f aca="false">VLOOKUP($C139,01_SINTETICO!$B:$M,6,0)*$G139*(1+BDI_DIF)</f>
        <v>3473.63917349851</v>
      </c>
      <c r="I139" s="268" t="n">
        <f aca="false">VLOOKUP($C139,01_SINTETICO!$B:$M,7,0)*$G139*(1+BDI_MDO)</f>
        <v>8512.86299539467</v>
      </c>
      <c r="J139" s="269" t="n">
        <f aca="false">SUM(H139:I139)</f>
        <v>11986.5021688932</v>
      </c>
      <c r="K139" s="270" t="n">
        <f aca="false">J139/SUM($J$7:$J$749)</f>
        <v>0.00132778931972271</v>
      </c>
      <c r="L139" s="271" t="n">
        <f aca="false">K139+L138</f>
        <v>0.880452265411716</v>
      </c>
    </row>
    <row r="140" customFormat="false" ht="38.25" hidden="false" customHeight="false" outlineLevel="0" collapsed="false">
      <c r="A140" s="264" t="n">
        <f aca="false">K140</f>
        <v>0.00132758010900444</v>
      </c>
      <c r="B140" s="265" t="str">
        <f aca="false">VLOOKUP($C140,01_SINTETICO!$B:$N,13,0)</f>
        <v>12.4.1</v>
      </c>
      <c r="C140" s="266" t="s">
        <v>981</v>
      </c>
      <c r="D140" s="266" t="str">
        <f aca="false">VLOOKUP($C140,01_SINTETICO!$B:$M,2,0)</f>
        <v>QUADRO DE DISTRIBUIÇÃO DE ENERGIA EM CHAPA DE AÇO GALVANIZADO, DE EMBUTIR, COM BARRAMENTO TRIFÁSICO, PARA 50 DISJUNTORES DIN 225A - FORNECIMENTO E INSTALAÇÃO.</v>
      </c>
      <c r="E140" s="266" t="str">
        <f aca="false">VLOOKUP($B140,01_SINTETICO!$A:$M,4,0)</f>
        <v>SER.CG</v>
      </c>
      <c r="F140" s="267" t="str">
        <f aca="false">VLOOKUP($B140,01_SINTETICO!$A:$M,5,0)</f>
        <v>UN</v>
      </c>
      <c r="G140" s="267" t="n">
        <f aca="true">SUMIFS(INDIRECT("'01_SINTETICO'!F7:F995"),INDIRECT("'01_SINTETICO'!B7:B995"),$C140)</f>
        <v>7</v>
      </c>
      <c r="H140" s="268" t="n">
        <f aca="false">VLOOKUP($C140,01_SINTETICO!$B:$M,6,0)*$G140*(1+BDI_DIF)</f>
        <v>11708.7621674359</v>
      </c>
      <c r="I140" s="268" t="n">
        <f aca="false">VLOOKUP($C140,01_SINTETICO!$B:$M,7,0)*$G140*(1+BDI_MDO)</f>
        <v>275.851369961998</v>
      </c>
      <c r="J140" s="269" t="n">
        <f aca="false">SUM(H140:I140)</f>
        <v>11984.6135373979</v>
      </c>
      <c r="K140" s="270" t="n">
        <f aca="false">J140/SUM($J$7:$J$749)</f>
        <v>0.00132758010900444</v>
      </c>
      <c r="L140" s="271" t="n">
        <f aca="false">K140+L139</f>
        <v>0.881779845520721</v>
      </c>
    </row>
    <row r="141" customFormat="false" ht="25.5" hidden="false" customHeight="false" outlineLevel="0" collapsed="false">
      <c r="A141" s="264" t="n">
        <f aca="false">K141</f>
        <v>0.0013072070414224</v>
      </c>
      <c r="B141" s="265" t="str">
        <f aca="false">VLOOKUP($C141,01_SINTETICO!$B:$N,13,0)</f>
        <v>4.5.1.2</v>
      </c>
      <c r="C141" s="272" t="n">
        <v>105030</v>
      </c>
      <c r="D141" s="266" t="str">
        <f aca="false">VLOOKUP($C141,01_SINTETICO!$B:$M,2,0)</f>
        <v>CONTRAVERGA MOLDADA IN LOCO EM CONCRETO, ESPESSURA DE *10* CM. AF_03/2024</v>
      </c>
      <c r="E141" s="272" t="str">
        <f aca="false">VLOOKUP($B141,01_SINTETICO!$A:$M,4,0)</f>
        <v>SER.CG</v>
      </c>
      <c r="F141" s="273" t="str">
        <f aca="false">VLOOKUP($B141,01_SINTETICO!$A:$M,5,0)</f>
        <v>M</v>
      </c>
      <c r="G141" s="267" t="n">
        <f aca="true">SUMIFS(INDIRECT("'01_SINTETICO'!F7:F995"),INDIRECT("'01_SINTETICO'!B7:B995"),$C141)</f>
        <v>256.52</v>
      </c>
      <c r="H141" s="268" t="n">
        <f aca="false">VLOOKUP($C141,01_SINTETICO!$B:$M,6,0)*$G141*(1+BDI_DIF)</f>
        <v>8878.19764348325</v>
      </c>
      <c r="I141" s="268" t="n">
        <f aca="false">VLOOKUP($C141,01_SINTETICO!$B:$M,7,0)*$G141*(1+BDI_MDO)</f>
        <v>2922.49980486967</v>
      </c>
      <c r="J141" s="269" t="n">
        <f aca="false">SUM(H141:I141)</f>
        <v>11800.6974483529</v>
      </c>
      <c r="K141" s="270" t="n">
        <f aca="false">J141/SUM($J$7:$J$749)</f>
        <v>0.0013072070414224</v>
      </c>
      <c r="L141" s="271" t="n">
        <f aca="false">K141+L140</f>
        <v>0.883087052562143</v>
      </c>
    </row>
    <row r="142" customFormat="false" ht="25.5" hidden="false" customHeight="false" outlineLevel="0" collapsed="false">
      <c r="A142" s="264" t="n">
        <f aca="false">K142</f>
        <v>0.00130651372940122</v>
      </c>
      <c r="B142" s="265" t="str">
        <f aca="false">VLOOKUP($C142,01_SINTETICO!$B:$N,13,0)</f>
        <v>3.2.2.3.2.6</v>
      </c>
      <c r="C142" s="272" t="n">
        <v>92772</v>
      </c>
      <c r="D142" s="266" t="str">
        <f aca="false">VLOOKUP($C142,01_SINTETICO!$B:$M,2,0)</f>
        <v>ARMAÇÃO DE LAJE DE ESTRUTURA CONVENCIONAL DE CONCRETO ARMADO UTILIZANDO AÇO CA-50 DE 12,5 MM - MONTAGEM. AF_06/2022</v>
      </c>
      <c r="E142" s="272" t="str">
        <f aca="false">VLOOKUP($B142,01_SINTETICO!$A:$M,4,0)</f>
        <v>SER.CG</v>
      </c>
      <c r="F142" s="273" t="str">
        <f aca="false">VLOOKUP($B142,01_SINTETICO!$A:$M,5,0)</f>
        <v>KG</v>
      </c>
      <c r="G142" s="267" t="n">
        <f aca="true">SUMIFS(INDIRECT("'01_SINTETICO'!F7:F995"),INDIRECT("'01_SINTETICO'!B7:B995"),$C142)</f>
        <v>1169.18</v>
      </c>
      <c r="H142" s="268" t="n">
        <f aca="false">VLOOKUP($C142,01_SINTETICO!$B:$M,6,0)*$G142*(1+BDI_DIF)</f>
        <v>11150.1483485354</v>
      </c>
      <c r="I142" s="268" t="n">
        <f aca="false">VLOOKUP($C142,01_SINTETICO!$B:$M,7,0)*$G142*(1+BDI_MDO)</f>
        <v>644.290286071822</v>
      </c>
      <c r="J142" s="269" t="n">
        <f aca="false">SUM(H142:I142)</f>
        <v>11794.4386346073</v>
      </c>
      <c r="K142" s="270" t="n">
        <f aca="false">J142/SUM($J$7:$J$749)</f>
        <v>0.00130651372940122</v>
      </c>
      <c r="L142" s="271" t="n">
        <f aca="false">K142+L141</f>
        <v>0.884393566291545</v>
      </c>
    </row>
    <row r="143" customFormat="false" ht="25.5" hidden="false" customHeight="false" outlineLevel="0" collapsed="false">
      <c r="A143" s="264" t="n">
        <f aca="false">K143</f>
        <v>0.00129667304291779</v>
      </c>
      <c r="B143" s="265" t="str">
        <f aca="false">VLOOKUP($C143,01_SINTETICO!$B:$N,13,0)</f>
        <v>*16.1.1.8</v>
      </c>
      <c r="C143" s="272" t="s">
        <v>1242</v>
      </c>
      <c r="D143" s="266" t="str">
        <f aca="false">VLOOKUP($C143,01_SINTETICO!$B:$M,2,0)</f>
        <v>AR CONDICIONADO MULTI-SPLIT EVAPORADORAS HIWALL 9000 + 9000 BTU/H, CONDENSADORA 18000 BTUS/H - FORNECIMENTO E INSTALAÇÃO.</v>
      </c>
      <c r="E143" s="272" t="str">
        <f aca="false">VLOOKUP($B143,01_SINTETICO!$A:$M,4,0)</f>
        <v>SER.CG</v>
      </c>
      <c r="F143" s="273" t="str">
        <f aca="false">VLOOKUP($B143,01_SINTETICO!$A:$M,5,0)</f>
        <v>UN</v>
      </c>
      <c r="G143" s="267" t="n">
        <f aca="true">SUMIFS(INDIRECT("'01_SINTETICO'!F7:F995"),INDIRECT("'01_SINTETICO'!B7:B995"),$C143)</f>
        <v>1</v>
      </c>
      <c r="H143" s="268" t="n">
        <f aca="false">VLOOKUP($C143,01_SINTETICO!$B:$M,6,0)*$G143*(1+BDI_DIF)</f>
        <v>11582.2790279811</v>
      </c>
      <c r="I143" s="268" t="n">
        <f aca="false">VLOOKUP($C143,01_SINTETICO!$B:$M,7,0)*$G143*(1+BDI_MDO)</f>
        <v>123.323668480816</v>
      </c>
      <c r="J143" s="269" t="n">
        <f aca="false">SUM(H143:I143)</f>
        <v>11705.6026964619</v>
      </c>
      <c r="K143" s="270" t="n">
        <f aca="false">J143/SUM($J$7:$J$749)</f>
        <v>0.00129667304291779</v>
      </c>
      <c r="L143" s="271" t="n">
        <f aca="false">K143+L142</f>
        <v>0.885690239334462</v>
      </c>
    </row>
    <row r="144" customFormat="false" ht="25.5" hidden="false" customHeight="false" outlineLevel="0" collapsed="false">
      <c r="A144" s="264" t="n">
        <f aca="false">K144</f>
        <v>0.00129119218762512</v>
      </c>
      <c r="B144" s="265" t="str">
        <f aca="false">VLOOKUP($C144,01_SINTETICO!$B:$N,13,0)</f>
        <v>12.5.5</v>
      </c>
      <c r="C144" s="272" t="s">
        <v>995</v>
      </c>
      <c r="D144" s="266" t="str">
        <f aca="false">VLOOKUP($C144,01_SINTETICO!$B:$M,2,0)</f>
        <v>LUMINÁRIA TIPO CALHA, DE SOBREPOR, COM 2 LÂMPADAS TUBULARES LED DE 20 W - FORNECIMENTO E INSTALAÇÃO.</v>
      </c>
      <c r="E144" s="272" t="str">
        <f aca="false">VLOOKUP($B144,01_SINTETICO!$A:$M,4,0)</f>
        <v>SER.CG</v>
      </c>
      <c r="F144" s="273" t="str">
        <f aca="false">VLOOKUP($B144,01_SINTETICO!$A:$M,5,0)</f>
        <v>UN</v>
      </c>
      <c r="G144" s="267" t="n">
        <f aca="true">SUMIFS(INDIRECT("'01_SINTETICO'!F7:F995"),INDIRECT("'01_SINTETICO'!B7:B995"),$C144)</f>
        <v>61</v>
      </c>
      <c r="H144" s="268" t="n">
        <f aca="false">VLOOKUP($C144,01_SINTETICO!$B:$M,6,0)*$G144*(1+BDI_DIF)</f>
        <v>10795.4296297436</v>
      </c>
      <c r="I144" s="268" t="n">
        <f aca="false">VLOOKUP($C144,01_SINTETICO!$B:$M,7,0)*$G144*(1+BDI_MDO)</f>
        <v>860.695124037821</v>
      </c>
      <c r="J144" s="269" t="n">
        <f aca="false">SUM(H144:I144)</f>
        <v>11656.1247537814</v>
      </c>
      <c r="K144" s="270" t="n">
        <f aca="false">J144/SUM($J$7:$J$749)</f>
        <v>0.00129119218762512</v>
      </c>
      <c r="L144" s="271" t="n">
        <f aca="false">K144+L143</f>
        <v>0.886981431522087</v>
      </c>
    </row>
    <row r="145" customFormat="false" ht="38.25" hidden="false" customHeight="false" outlineLevel="0" collapsed="false">
      <c r="A145" s="264" t="n">
        <f aca="false">K145</f>
        <v>0.00126616314535439</v>
      </c>
      <c r="B145" s="265" t="str">
        <f aca="false">VLOOKUP($C145,01_SINTETICO!$B:$N,13,0)</f>
        <v>5.4.1</v>
      </c>
      <c r="C145" s="266" t="s">
        <v>465</v>
      </c>
      <c r="D145" s="266" t="str">
        <f aca="false">VLOOKUP($C145,01_SINTETICO!$B:$M,2,0)</f>
        <v>PORTÃO DE CORRER, MEDINDO 5,75X2,03 M, COMPOSTO POR PERFIS DE ALUMINIO ANODIZADO E PAINEL DE VIDRO TEMPERADO 10MM, COM TRILHO E ROLDANAS.</v>
      </c>
      <c r="E145" s="266" t="str">
        <f aca="false">VLOOKUP($B145,01_SINTETICO!$A:$M,4,0)</f>
        <v>SER.CG</v>
      </c>
      <c r="F145" s="267" t="str">
        <f aca="false">VLOOKUP($B145,01_SINTETICO!$A:$M,5,0)</f>
        <v>UN</v>
      </c>
      <c r="G145" s="267" t="n">
        <f aca="true">SUMIFS(INDIRECT("'01_SINTETICO'!F7:F995"),INDIRECT("'01_SINTETICO'!B7:B995"),$C145)</f>
        <v>1</v>
      </c>
      <c r="H145" s="268" t="n">
        <f aca="false">VLOOKUP($C145,01_SINTETICO!$B:$M,6,0)*$G145*(1+BDI_DIF)</f>
        <v>11060.4896660426</v>
      </c>
      <c r="I145" s="268" t="n">
        <f aca="false">VLOOKUP($C145,01_SINTETICO!$B:$M,7,0)*$G145*(1+BDI_MDO)</f>
        <v>369.687593654424</v>
      </c>
      <c r="J145" s="269" t="n">
        <f aca="false">SUM(H145:I145)</f>
        <v>11430.177259697</v>
      </c>
      <c r="K145" s="270" t="n">
        <f aca="false">J145/SUM($J$7:$J$749)</f>
        <v>0.00126616314535439</v>
      </c>
      <c r="L145" s="271" t="n">
        <f aca="false">K145+L144</f>
        <v>0.888247594667442</v>
      </c>
    </row>
    <row r="146" customFormat="false" ht="25.5" hidden="false" customHeight="false" outlineLevel="0" collapsed="false">
      <c r="A146" s="264" t="n">
        <f aca="false">K146</f>
        <v>0.00121571206619056</v>
      </c>
      <c r="B146" s="265" t="str">
        <f aca="false">VLOOKUP($C146,01_SINTETICO!$B:$N,13,0)</f>
        <v>12.6.2</v>
      </c>
      <c r="C146" s="272" t="s">
        <v>1004</v>
      </c>
      <c r="D146" s="266" t="str">
        <f aca="false">VLOOKUP($C146,01_SINTETICO!$B:$M,2,0)</f>
        <v>GERADOR DE ENERGIA A DIESEL, 7,5 KVA, TRIFÁSICO - FORNECIMENTO E INSTALAÇÃO.</v>
      </c>
      <c r="E146" s="272" t="str">
        <f aca="false">VLOOKUP($B146,01_SINTETICO!$A:$M,4,0)</f>
        <v>SER.CG</v>
      </c>
      <c r="F146" s="273" t="str">
        <f aca="false">VLOOKUP($B146,01_SINTETICO!$A:$M,5,0)</f>
        <v>UN</v>
      </c>
      <c r="G146" s="267" t="n">
        <f aca="true">SUMIFS(INDIRECT("'01_SINTETICO'!F7:F995"),INDIRECT("'01_SINTETICO'!B7:B995"),$C146)</f>
        <v>1</v>
      </c>
      <c r="H146" s="268" t="n">
        <f aca="false">VLOOKUP($C146,01_SINTETICO!$B:$M,6,0)*$G146*(1+BDI_DIF)</f>
        <v>10306.9678328507</v>
      </c>
      <c r="I146" s="268" t="n">
        <f aca="false">VLOOKUP($C146,01_SINTETICO!$B:$M,7,0)*$G146*(1+BDI_MDO)</f>
        <v>667.766714032</v>
      </c>
      <c r="J146" s="269" t="n">
        <f aca="false">SUM(H146:I146)</f>
        <v>10974.7345468827</v>
      </c>
      <c r="K146" s="270" t="n">
        <f aca="false">J146/SUM($J$7:$J$749)</f>
        <v>0.00121571206619056</v>
      </c>
      <c r="L146" s="271" t="n">
        <f aca="false">K146+L145</f>
        <v>0.889463306733632</v>
      </c>
    </row>
    <row r="147" customFormat="false" ht="38.25" hidden="false" customHeight="false" outlineLevel="0" collapsed="false">
      <c r="A147" s="264" t="n">
        <f aca="false">K147</f>
        <v>0.00121400559652994</v>
      </c>
      <c r="B147" s="265" t="str">
        <f aca="false">VLOOKUP($C147,01_SINTETICO!$B:$N,13,0)</f>
        <v>5.4.3</v>
      </c>
      <c r="C147" s="266" t="s">
        <v>469</v>
      </c>
      <c r="D147" s="266" t="str">
        <f aca="false">VLOOKUP($C147,01_SINTETICO!$B:$M,2,0)</f>
        <v>PORTÃO DE CORRER, MEDINDO 5,00X2,29 M, COMPOSTO POR PERFIS DE ALUMINIO ANODIZADO E PAINEL DE VIDRO TEMPERADO 10MM, COM TRILHO E ROLDANAS.</v>
      </c>
      <c r="E147" s="266" t="str">
        <f aca="false">VLOOKUP($B147,01_SINTETICO!$A:$M,4,0)</f>
        <v>SER.CG</v>
      </c>
      <c r="F147" s="267" t="str">
        <f aca="false">VLOOKUP($B147,01_SINTETICO!$A:$M,5,0)</f>
        <v>UN</v>
      </c>
      <c r="G147" s="267" t="n">
        <f aca="true">SUMIFS(INDIRECT("'01_SINTETICO'!F7:F995"),INDIRECT("'01_SINTETICO'!B7:B995"),$C147)</f>
        <v>1</v>
      </c>
      <c r="H147" s="268" t="n">
        <f aca="false">VLOOKUP($C147,01_SINTETICO!$B:$M,6,0)*$G147*(1+BDI_DIF)</f>
        <v>10682.2886977267</v>
      </c>
      <c r="I147" s="268" t="n">
        <f aca="false">VLOOKUP($C147,01_SINTETICO!$B:$M,7,0)*$G147*(1+BDI_MDO)</f>
        <v>277.040843268215</v>
      </c>
      <c r="J147" s="269" t="n">
        <f aca="false">SUM(H147:I147)</f>
        <v>10959.3295409949</v>
      </c>
      <c r="K147" s="270" t="n">
        <f aca="false">J147/SUM($J$7:$J$749)</f>
        <v>0.00121400559652994</v>
      </c>
      <c r="L147" s="271" t="n">
        <f aca="false">K147+L146</f>
        <v>0.890677312330162</v>
      </c>
    </row>
    <row r="148" customFormat="false" ht="25.5" hidden="false" customHeight="false" outlineLevel="0" collapsed="false">
      <c r="A148" s="264" t="n">
        <f aca="false">K148</f>
        <v>0.00121202577607129</v>
      </c>
      <c r="B148" s="265" t="str">
        <f aca="false">VLOOKUP($C148,01_SINTETICO!$B:$N,13,0)</f>
        <v>15.4.4.1</v>
      </c>
      <c r="C148" s="272" t="s">
        <v>1192</v>
      </c>
      <c r="D148" s="266" t="str">
        <f aca="false">VLOOKUP($C148,01_SINTETICO!$B:$M,2,0)</f>
        <v>BOMBA CENTRÍFUGA, TRIFÁSICA, 7,5 CV , HM 45,82 MCA, Q 24 M3/H - FORNECIMENTO E INSTALAÇÃO.</v>
      </c>
      <c r="E148" s="272" t="str">
        <f aca="false">VLOOKUP($B148,01_SINTETICO!$A:$M,4,0)</f>
        <v>SER.CG</v>
      </c>
      <c r="F148" s="273" t="str">
        <f aca="false">VLOOKUP($B148,01_SINTETICO!$A:$M,5,0)</f>
        <v>UN</v>
      </c>
      <c r="G148" s="267" t="n">
        <f aca="true">SUMIFS(INDIRECT("'01_SINTETICO'!F7:F995"),INDIRECT("'01_SINTETICO'!B7:B995"),$C148)</f>
        <v>2</v>
      </c>
      <c r="H148" s="268" t="n">
        <f aca="false">VLOOKUP($C148,01_SINTETICO!$B:$M,6,0)*$G148*(1+BDI_DIF)</f>
        <v>10599.5813390549</v>
      </c>
      <c r="I148" s="268" t="n">
        <f aca="false">VLOOKUP($C148,01_SINTETICO!$B:$M,7,0)*$G148*(1+BDI_MDO)</f>
        <v>341.875545586233</v>
      </c>
      <c r="J148" s="269" t="n">
        <f aca="false">SUM(H148:I148)</f>
        <v>10941.4568846411</v>
      </c>
      <c r="K148" s="270" t="n">
        <f aca="false">J148/SUM($J$7:$J$749)</f>
        <v>0.00121202577607129</v>
      </c>
      <c r="L148" s="271" t="n">
        <f aca="false">K148+L147</f>
        <v>0.891889338106234</v>
      </c>
    </row>
    <row r="149" customFormat="false" ht="25.5" hidden="false" customHeight="false" outlineLevel="0" collapsed="false">
      <c r="A149" s="264" t="n">
        <f aca="false">K149</f>
        <v>0.00120818922166113</v>
      </c>
      <c r="B149" s="265" t="str">
        <f aca="false">VLOOKUP($C149,01_SINTETICO!$B:$N,13,0)</f>
        <v>8.3.2.1</v>
      </c>
      <c r="C149" s="272" t="n">
        <v>88484</v>
      </c>
      <c r="D149" s="266" t="str">
        <f aca="false">VLOOKUP($C149,01_SINTETICO!$B:$M,2,0)</f>
        <v>FUNDO SELADOR ACRÍLICO, APLICAÇÃO MANUAL EM TETO, UMA DEMÃO. AF_04/2023</v>
      </c>
      <c r="E149" s="272" t="str">
        <f aca="false">VLOOKUP($B149,01_SINTETICO!$A:$M,4,0)</f>
        <v>SER.CG</v>
      </c>
      <c r="F149" s="273" t="str">
        <f aca="false">VLOOKUP($B149,01_SINTETICO!$A:$M,5,0)</f>
        <v>M2</v>
      </c>
      <c r="G149" s="267" t="n">
        <f aca="true">SUMIFS(INDIRECT("'01_SINTETICO'!F7:F995"),INDIRECT("'01_SINTETICO'!B7:B995"),$C149)</f>
        <v>1698.86</v>
      </c>
      <c r="H149" s="268" t="n">
        <f aca="false">VLOOKUP($C149,01_SINTETICO!$B:$M,6,0)*$G149*(1+BDI_DIF)</f>
        <v>5902.13522489793</v>
      </c>
      <c r="I149" s="268" t="n">
        <f aca="false">VLOOKUP($C149,01_SINTETICO!$B:$M,7,0)*$G149*(1+BDI_MDO)</f>
        <v>5004.68749973348</v>
      </c>
      <c r="J149" s="269" t="n">
        <f aca="false">SUM(H149:I149)</f>
        <v>10906.8227246314</v>
      </c>
      <c r="K149" s="270" t="n">
        <f aca="false">J149/SUM($J$7:$J$749)</f>
        <v>0.00120818922166113</v>
      </c>
      <c r="L149" s="271" t="n">
        <f aca="false">K149+L148</f>
        <v>0.893097527327895</v>
      </c>
    </row>
    <row r="150" customFormat="false" ht="25.5" hidden="false" customHeight="false" outlineLevel="0" collapsed="false">
      <c r="A150" s="264" t="n">
        <f aca="false">K150</f>
        <v>0.00120627057009233</v>
      </c>
      <c r="B150" s="265" t="str">
        <f aca="false">VLOOKUP($C150,01_SINTETICO!$B:$N,13,0)</f>
        <v>12.2.1.3</v>
      </c>
      <c r="C150" s="266" t="n">
        <v>91936</v>
      </c>
      <c r="D150" s="266" t="str">
        <f aca="false">VLOOKUP($C150,01_SINTETICO!$B:$M,2,0)</f>
        <v>CAIXA OCTOGONAL 4" X 4", PVC, INSTALADA EM LAJE - FORNECIMENTO E INSTALAÇÃO. AF_03/2023</v>
      </c>
      <c r="E150" s="266" t="str">
        <f aca="false">VLOOKUP($B150,01_SINTETICO!$A:$M,4,0)</f>
        <v>SER.CG</v>
      </c>
      <c r="F150" s="267" t="str">
        <f aca="false">VLOOKUP($B150,01_SINTETICO!$A:$M,5,0)</f>
        <v>UN</v>
      </c>
      <c r="G150" s="267" t="n">
        <f aca="true">SUMIFS(INDIRECT("'01_SINTETICO'!F7:F995"),INDIRECT("'01_SINTETICO'!B7:B995"),$C150)</f>
        <v>631</v>
      </c>
      <c r="H150" s="268" t="n">
        <f aca="false">VLOOKUP($C150,01_SINTETICO!$B:$M,6,0)*$G150*(1+BDI_DIF)</f>
        <v>4687.14675843795</v>
      </c>
      <c r="I150" s="268" t="n">
        <f aca="false">VLOOKUP($C150,01_SINTETICO!$B:$M,7,0)*$G150*(1+BDI_MDO)</f>
        <v>6202.3555066528</v>
      </c>
      <c r="J150" s="269" t="n">
        <f aca="false">SUM(H150:I150)</f>
        <v>10889.5022650908</v>
      </c>
      <c r="K150" s="270" t="n">
        <f aca="false">J150/SUM($J$7:$J$749)</f>
        <v>0.00120627057009233</v>
      </c>
      <c r="L150" s="271" t="n">
        <f aca="false">K150+L149</f>
        <v>0.894303797897987</v>
      </c>
    </row>
    <row r="151" customFormat="false" ht="38.25" hidden="false" customHeight="false" outlineLevel="0" collapsed="false">
      <c r="A151" s="264" t="n">
        <f aca="false">K151</f>
        <v>0.00120608933512908</v>
      </c>
      <c r="B151" s="265" t="str">
        <f aca="false">VLOOKUP($C151,01_SINTETICO!$B:$N,13,0)</f>
        <v>15.4.3.1</v>
      </c>
      <c r="C151" s="266" t="n">
        <v>92367</v>
      </c>
      <c r="D151" s="266" t="str">
        <f aca="false">VLOOKUP($C151,01_SINTETICO!$B:$M,2,0)</f>
        <v>TUBO DE AÇO GALVANIZADO COM COSTURA, CLASSE MÉDIA, DN 65 (2 1/2"), CONEXÃO ROSQUEADA, INSTALADO EM REDE DE ALIMENTAÇÃO PARA HIDRANTE - FORNECIMENTO E INSTALAÇÃO. AF_10/2020</v>
      </c>
      <c r="E151" s="266" t="str">
        <f aca="false">VLOOKUP($B151,01_SINTETICO!$A:$M,4,0)</f>
        <v>SER.CG</v>
      </c>
      <c r="F151" s="267" t="str">
        <f aca="false">VLOOKUP($B151,01_SINTETICO!$A:$M,5,0)</f>
        <v>M</v>
      </c>
      <c r="G151" s="267" t="n">
        <f aca="true">SUMIFS(INDIRECT("'01_SINTETICO'!F7:F995"),INDIRECT("'01_SINTETICO'!B7:B995"),$C151)</f>
        <v>85.2</v>
      </c>
      <c r="H151" s="268" t="n">
        <f aca="false">VLOOKUP($C151,01_SINTETICO!$B:$M,6,0)*$G151*(1+BDI_DIF)</f>
        <v>9980.86783607144</v>
      </c>
      <c r="I151" s="268" t="n">
        <f aca="false">VLOOKUP($C151,01_SINTETICO!$B:$M,7,0)*$G151*(1+BDI_MDO)</f>
        <v>906.998346210227</v>
      </c>
      <c r="J151" s="269" t="n">
        <f aca="false">SUM(H151:I151)</f>
        <v>10887.8661822817</v>
      </c>
      <c r="K151" s="270" t="n">
        <f aca="false">J151/SUM($J$7:$J$749)</f>
        <v>0.00120608933512908</v>
      </c>
      <c r="L151" s="271" t="n">
        <f aca="false">K151+L150</f>
        <v>0.895509887233116</v>
      </c>
    </row>
    <row r="152" customFormat="false" ht="38.25" hidden="false" customHeight="false" outlineLevel="0" collapsed="false">
      <c r="A152" s="264" t="n">
        <f aca="false">K152</f>
        <v>0.00115913763033663</v>
      </c>
      <c r="B152" s="265" t="str">
        <f aca="false">VLOOKUP($C152,01_SINTETICO!$B:$N,13,0)</f>
        <v>5.2.2.1.2</v>
      </c>
      <c r="C152" s="266" t="s">
        <v>424</v>
      </c>
      <c r="D152" s="266" t="str">
        <f aca="false">VLOOKUP($C152,01_SINTETICO!$B:$M,2,0)</f>
        <v>JANELA DE ALUMÍNIO, 2 FOLHAS, BASE FIXA + PARTE SUPERIOR BASCULANTE, COM VIDRO, BATENTE E FERRAGENS. FORNECIMENTO E INSTALAÇÃO.</v>
      </c>
      <c r="E152" s="266" t="str">
        <f aca="false">VLOOKUP($B152,01_SINTETICO!$A:$M,4,0)</f>
        <v>SER.CG</v>
      </c>
      <c r="F152" s="267" t="str">
        <f aca="false">VLOOKUP($B152,01_SINTETICO!$A:$M,5,0)</f>
        <v>M2</v>
      </c>
      <c r="G152" s="267" t="n">
        <f aca="true">SUMIFS(INDIRECT("'01_SINTETICO'!F7:F995"),INDIRECT("'01_SINTETICO'!B7:B995"),$C152)</f>
        <v>16.23</v>
      </c>
      <c r="H152" s="268" t="n">
        <f aca="false">VLOOKUP($C152,01_SINTETICO!$B:$M,6,0)*$G152*(1+BDI_DIF)</f>
        <v>10008.6346553354</v>
      </c>
      <c r="I152" s="268" t="n">
        <f aca="false">VLOOKUP($C152,01_SINTETICO!$B:$M,7,0)*$G152*(1+BDI_MDO)</f>
        <v>455.379110777215</v>
      </c>
      <c r="J152" s="269" t="n">
        <f aca="false">SUM(H152:I152)</f>
        <v>10464.0137661126</v>
      </c>
      <c r="K152" s="270" t="n">
        <f aca="false">J152/SUM($J$7:$J$749)</f>
        <v>0.00115913763033663</v>
      </c>
      <c r="L152" s="271" t="n">
        <f aca="false">K152+L151</f>
        <v>0.896669024863453</v>
      </c>
    </row>
    <row r="153" customFormat="false" ht="38.25" hidden="false" customHeight="false" outlineLevel="0" collapsed="false">
      <c r="A153" s="264" t="n">
        <f aca="false">K153</f>
        <v>0.00115320891573365</v>
      </c>
      <c r="B153" s="265" t="str">
        <f aca="false">VLOOKUP($C153,01_SINTETICO!$B:$N,13,0)</f>
        <v>16.1.2.4</v>
      </c>
      <c r="C153" s="266" t="n">
        <v>103292</v>
      </c>
      <c r="D153" s="266" t="str">
        <f aca="false">VLOOKUP($C153,01_SINTETICO!$B:$M,2,0)</f>
        <v>TUBO EM COBRE FLEXÍVEL, DN 5/8", COM ISOLAMENTO, INSTALADO EM FORRO, PARA RAMAL DE ALIMENTAÇÃO DE AR CONDICIONADO, INCLUSO FIXADOR. AF_11/2021</v>
      </c>
      <c r="E153" s="266" t="str">
        <f aca="false">VLOOKUP($B153,01_SINTETICO!$A:$M,4,0)</f>
        <v>SER.CG</v>
      </c>
      <c r="F153" s="267" t="str">
        <f aca="false">VLOOKUP($B153,01_SINTETICO!$A:$M,5,0)</f>
        <v>M</v>
      </c>
      <c r="G153" s="267" t="n">
        <f aca="true">SUMIFS(INDIRECT("'01_SINTETICO'!F7:F995"),INDIRECT("'01_SINTETICO'!B7:B995"),$C153)</f>
        <v>120.94</v>
      </c>
      <c r="H153" s="268" t="n">
        <f aca="false">VLOOKUP($C153,01_SINTETICO!$B:$M,6,0)*$G153*(1+BDI_DIF)</f>
        <v>9808.93737975642</v>
      </c>
      <c r="I153" s="268" t="n">
        <f aca="false">VLOOKUP($C153,01_SINTETICO!$B:$M,7,0)*$G153*(1+BDI_MDO)</f>
        <v>601.555432849676</v>
      </c>
      <c r="J153" s="269" t="n">
        <f aca="false">SUM(H153:I153)</f>
        <v>10410.4928126061</v>
      </c>
      <c r="K153" s="270" t="n">
        <f aca="false">J153/SUM($J$7:$J$749)</f>
        <v>0.00115320891573365</v>
      </c>
      <c r="L153" s="271" t="n">
        <f aca="false">K153+L152</f>
        <v>0.897822233779186</v>
      </c>
    </row>
    <row r="154" customFormat="false" ht="25.5" hidden="false" customHeight="false" outlineLevel="0" collapsed="false">
      <c r="A154" s="264" t="n">
        <f aca="false">K154</f>
        <v>0.00114754278061367</v>
      </c>
      <c r="B154" s="265" t="str">
        <f aca="false">VLOOKUP($C154,01_SINTETICO!$B:$N,13,0)</f>
        <v>3.2.1.5.2</v>
      </c>
      <c r="C154" s="272" t="n">
        <v>100342</v>
      </c>
      <c r="D154" s="266" t="str">
        <f aca="false">VLOOKUP($C154,01_SINTETICO!$B:$M,2,0)</f>
        <v>ARMAÇÃO DE CORTINA DE CONTENÇÃO EM CONCRETO ARMADO, COM AÇO CA-50 DE 6,3 MM - MONTAGEM. AF_11/2024</v>
      </c>
      <c r="E154" s="272" t="str">
        <f aca="false">VLOOKUP($B154,01_SINTETICO!$A:$M,4,0)</f>
        <v>SER.CG</v>
      </c>
      <c r="F154" s="273" t="str">
        <f aca="false">VLOOKUP($B154,01_SINTETICO!$A:$M,5,0)</f>
        <v>KG</v>
      </c>
      <c r="G154" s="267" t="n">
        <f aca="true">SUMIFS(INDIRECT("'01_SINTETICO'!F7:F995"),INDIRECT("'01_SINTETICO'!B7:B995"),$C154)</f>
        <v>523.64</v>
      </c>
      <c r="H154" s="268" t="n">
        <f aca="false">VLOOKUP($C154,01_SINTETICO!$B:$M,6,0)*$G154*(1+BDI_DIF)</f>
        <v>6856.96380365616</v>
      </c>
      <c r="I154" s="268" t="n">
        <f aca="false">VLOOKUP($C154,01_SINTETICO!$B:$M,7,0)*$G154*(1+BDI_MDO)</f>
        <v>3502.37846880314</v>
      </c>
      <c r="J154" s="269" t="n">
        <f aca="false">SUM(H154:I154)</f>
        <v>10359.3422724593</v>
      </c>
      <c r="K154" s="270" t="n">
        <f aca="false">J154/SUM($J$7:$J$749)</f>
        <v>0.00114754278061367</v>
      </c>
      <c r="L154" s="271" t="n">
        <f aca="false">K154+L153</f>
        <v>0.8989697765598</v>
      </c>
    </row>
    <row r="155" customFormat="false" ht="25.5" hidden="false" customHeight="false" outlineLevel="0" collapsed="false">
      <c r="A155" s="264" t="n">
        <f aca="false">K155</f>
        <v>0.00114128841558685</v>
      </c>
      <c r="B155" s="265" t="str">
        <f aca="false">VLOOKUP($C155,01_SINTETICO!$B:$N,13,0)</f>
        <v>12.2.1.1</v>
      </c>
      <c r="C155" s="272" t="n">
        <v>91940</v>
      </c>
      <c r="D155" s="266" t="str">
        <f aca="false">VLOOKUP($C155,01_SINTETICO!$B:$M,2,0)</f>
        <v>CAIXA RETANGULAR 4" X 2" MÉDIA (1,30 M DO PISO), PVC, INSTALADA EM PAREDE - FORNECIMENTO E INSTALAÇÃO. AF_03/2023</v>
      </c>
      <c r="E155" s="272" t="str">
        <f aca="false">VLOOKUP($B155,01_SINTETICO!$A:$M,4,0)</f>
        <v>SER.CG</v>
      </c>
      <c r="F155" s="273" t="str">
        <f aca="false">VLOOKUP($B155,01_SINTETICO!$A:$M,5,0)</f>
        <v>UN</v>
      </c>
      <c r="G155" s="267" t="n">
        <f aca="true">SUMIFS(INDIRECT("'01_SINTETICO'!F7:F995"),INDIRECT("'01_SINTETICO'!B7:B995"),$C155)</f>
        <v>508</v>
      </c>
      <c r="H155" s="268" t="n">
        <f aca="false">VLOOKUP($C155,01_SINTETICO!$B:$M,6,0)*$G155*(1+BDI_DIF)</f>
        <v>3691.49865588205</v>
      </c>
      <c r="I155" s="268" t="n">
        <f aca="false">VLOOKUP($C155,01_SINTETICO!$B:$M,7,0)*$G155*(1+BDI_MDO)</f>
        <v>6611.38288229849</v>
      </c>
      <c r="J155" s="269" t="n">
        <f aca="false">SUM(H155:I155)</f>
        <v>10302.8815381805</v>
      </c>
      <c r="K155" s="270" t="n">
        <f aca="false">J155/SUM($J$7:$J$749)</f>
        <v>0.00114128841558685</v>
      </c>
      <c r="L155" s="271" t="n">
        <f aca="false">K155+L154</f>
        <v>0.900111064975387</v>
      </c>
    </row>
    <row r="156" customFormat="false" ht="51" hidden="false" customHeight="false" outlineLevel="0" collapsed="false">
      <c r="A156" s="264" t="n">
        <f aca="false">K156</f>
        <v>0.00111997563825523</v>
      </c>
      <c r="B156" s="265" t="str">
        <f aca="false">VLOOKUP($C156,01_SINTETICO!$B:$N,13,0)</f>
        <v>5.2.1.1.1</v>
      </c>
      <c r="C156" s="272" t="n">
        <v>94569</v>
      </c>
      <c r="D156" s="266" t="str">
        <f aca="false">VLOOKUP($C156,01_SINTETICO!$B:$M,2,0)</f>
        <v>JANELA DE ALUMÍNIO TIPO MAXIM-AR, BATENTE/ REQUADRO 3 A 14 CM, VIDRO INCLUSO, FIXAÇÃO COM PARAFUSO, SEM GUARNIÇÃO/ ALIZAR, DIMENSÕES 60X80 (A X L) CM, SEM ACABAMENTO, VEDAÇÃO COM SILICONE, EXCLUSIVE CONTRAMARCO - FORNECIMENTO E INSTALAÇÃO. AF_11/2024</v>
      </c>
      <c r="E156" s="272" t="str">
        <f aca="false">VLOOKUP($B156,01_SINTETICO!$A:$M,4,0)</f>
        <v>SER.CG</v>
      </c>
      <c r="F156" s="273" t="str">
        <f aca="false">VLOOKUP($B156,01_SINTETICO!$A:$M,5,0)</f>
        <v>M2</v>
      </c>
      <c r="G156" s="267" t="n">
        <f aca="true">SUMIFS(INDIRECT("'01_SINTETICO'!F7:F995"),INDIRECT("'01_SINTETICO'!B7:B995"),$C156)</f>
        <v>12.36</v>
      </c>
      <c r="H156" s="268" t="n">
        <f aca="false">VLOOKUP($C156,01_SINTETICO!$B:$M,6,0)*$G156*(1+BDI_DIF)</f>
        <v>9676.43743420337</v>
      </c>
      <c r="I156" s="268" t="n">
        <f aca="false">VLOOKUP($C156,01_SINTETICO!$B:$M,7,0)*$G156*(1+BDI_MDO)</f>
        <v>434.044867203754</v>
      </c>
      <c r="J156" s="269" t="n">
        <f aca="false">SUM(H156:I156)</f>
        <v>10110.4823014071</v>
      </c>
      <c r="K156" s="270" t="n">
        <f aca="false">J156/SUM($J$7:$J$749)</f>
        <v>0.00111997563825523</v>
      </c>
      <c r="L156" s="271" t="n">
        <f aca="false">K156+L155</f>
        <v>0.901231040613642</v>
      </c>
    </row>
    <row r="157" customFormat="false" ht="25.5" hidden="false" customHeight="false" outlineLevel="0" collapsed="false">
      <c r="A157" s="264" t="n">
        <f aca="false">K157</f>
        <v>0.00111744328771206</v>
      </c>
      <c r="B157" s="265" t="str">
        <f aca="false">VLOOKUP($C157,01_SINTETICO!$B:$N,13,0)</f>
        <v>10.1.1</v>
      </c>
      <c r="C157" s="266" t="s">
        <v>616</v>
      </c>
      <c r="D157" s="266" t="str">
        <f aca="false">VLOOKUP($C157,01_SINTETICO!$B:$M,2,0)</f>
        <v>CONJUNTO COMPLETO DE VASO SANITÁRIO SIFONADO COM CAIXA ACOPLADA LOUÇA BRANCA - FORNECIMENTO E INSTALAÇÃO.</v>
      </c>
      <c r="E157" s="266" t="str">
        <f aca="false">VLOOKUP($B157,01_SINTETICO!$A:$M,4,0)</f>
        <v>SER.CG</v>
      </c>
      <c r="F157" s="267" t="str">
        <f aca="false">VLOOKUP($B157,01_SINTETICO!$A:$M,5,0)</f>
        <v>UN</v>
      </c>
      <c r="G157" s="267" t="n">
        <f aca="true">SUMIFS(INDIRECT("'01_SINTETICO'!F7:F995"),INDIRECT("'01_SINTETICO'!B7:B995"),$C157)</f>
        <v>20</v>
      </c>
      <c r="H157" s="268" t="n">
        <f aca="false">VLOOKUP($C157,01_SINTETICO!$B:$M,6,0)*$G157*(1+BDI_DIF)</f>
        <v>9434.63378360605</v>
      </c>
      <c r="I157" s="268" t="n">
        <f aca="false">VLOOKUP($C157,01_SINTETICO!$B:$M,7,0)*$G157*(1+BDI_MDO)</f>
        <v>652.98794434471</v>
      </c>
      <c r="J157" s="269" t="n">
        <f aca="false">SUM(H157:I157)</f>
        <v>10087.6217279508</v>
      </c>
      <c r="K157" s="270" t="n">
        <f aca="false">J157/SUM($J$7:$J$749)</f>
        <v>0.00111744328771206</v>
      </c>
      <c r="L157" s="271" t="n">
        <f aca="false">K157+L156</f>
        <v>0.902348483901354</v>
      </c>
    </row>
    <row r="158" customFormat="false" ht="54.75" hidden="false" customHeight="true" outlineLevel="0" collapsed="false">
      <c r="A158" s="264" t="n">
        <f aca="false">K158</f>
        <v>0.00110258753604963</v>
      </c>
      <c r="B158" s="265" t="str">
        <f aca="false">VLOOKUP($C158,01_SINTETICO!$B:$N,13,0)</f>
        <v>12.1.2.2</v>
      </c>
      <c r="C158" s="272" t="n">
        <v>91928</v>
      </c>
      <c r="D158" s="266" t="str">
        <f aca="false">VLOOKUP($C158,01_SINTETICO!$B:$M,2,0)</f>
        <v>CABO DE COBRE FLEXÍVEL ISOLADO, 4 MM², ANTI-CHAMA 450/750 V, PARA CIRCUITOS TERMINAIS - FORNECIMENTO E INSTALAÇÃO. AF_03/2023</v>
      </c>
      <c r="E158" s="272" t="str">
        <f aca="false">VLOOKUP($B158,01_SINTETICO!$A:$M,4,0)</f>
        <v>SER.CG</v>
      </c>
      <c r="F158" s="273" t="str">
        <f aca="false">VLOOKUP($B158,01_SINTETICO!$A:$M,5,0)</f>
        <v>M</v>
      </c>
      <c r="G158" s="267" t="n">
        <f aca="true">SUMIFS(INDIRECT("'01_SINTETICO'!F7:F995"),INDIRECT("'01_SINTETICO'!B7:B995"),$C158)</f>
        <v>1240.7</v>
      </c>
      <c r="H158" s="268" t="n">
        <f aca="false">VLOOKUP($C158,01_SINTETICO!$B:$M,6,0)*$G158*(1+BDI_DIF)</f>
        <v>7811.08731440402</v>
      </c>
      <c r="I158" s="268" t="n">
        <f aca="false">VLOOKUP($C158,01_SINTETICO!$B:$M,7,0)*$G158*(1+BDI_MDO)</f>
        <v>2142.42541230894</v>
      </c>
      <c r="J158" s="269" t="n">
        <f aca="false">SUM(H158:I158)</f>
        <v>9953.51272671296</v>
      </c>
      <c r="K158" s="270" t="n">
        <f aca="false">J158/SUM($J$7:$J$749)</f>
        <v>0.00110258753604963</v>
      </c>
      <c r="L158" s="271" t="n">
        <f aca="false">K158+L157</f>
        <v>0.903451071437404</v>
      </c>
    </row>
    <row r="159" customFormat="false" ht="51" hidden="false" customHeight="false" outlineLevel="0" collapsed="false">
      <c r="A159" s="264" t="n">
        <f aca="false">K159</f>
        <v>0.00110109842728694</v>
      </c>
      <c r="B159" s="265" t="str">
        <f aca="false">VLOOKUP($C159,01_SINTETICO!$B:$N,13,0)</f>
        <v>5.2.1.1.4</v>
      </c>
      <c r="C159" s="266" t="n">
        <v>100674</v>
      </c>
      <c r="D159" s="266" t="str">
        <f aca="false">VLOOKUP($C159,01_SINTETICO!$B:$M,2,0)</f>
        <v>CAIXILHO FIXO DE ALUMÍNIO PARA VIDRO (VIDRO INCLUSO), BATENTE/ REQUADRO DE 4 A 14 CM, SEM GUARNIÇÃO/ ALIZAR, FIXAÇÃO COM PARAFUSOS, VEDAÇÃO COM SILICONE, EXCLUSIVE CONTRAMARCO - FORNECIMENTO E INSTALAÇÃO. AF_11/2024</v>
      </c>
      <c r="E159" s="266" t="str">
        <f aca="false">VLOOKUP($B159,01_SINTETICO!$A:$M,4,0)</f>
        <v>SER.CG</v>
      </c>
      <c r="F159" s="267" t="str">
        <f aca="false">VLOOKUP($B159,01_SINTETICO!$A:$M,5,0)</f>
        <v>M2</v>
      </c>
      <c r="G159" s="267" t="n">
        <f aca="true">SUMIFS(INDIRECT("'01_SINTETICO'!F7:F995"),INDIRECT("'01_SINTETICO'!B7:B995"),$C159)</f>
        <v>10.56</v>
      </c>
      <c r="H159" s="268" t="n">
        <f aca="false">VLOOKUP($C159,01_SINTETICO!$B:$M,6,0)*$G159*(1+BDI_DIF)</f>
        <v>9667.65520080575</v>
      </c>
      <c r="I159" s="268" t="n">
        <f aca="false">VLOOKUP($C159,01_SINTETICO!$B:$M,7,0)*$G159*(1+BDI_MDO)</f>
        <v>272.414726549954</v>
      </c>
      <c r="J159" s="269" t="n">
        <f aca="false">SUM(H159:I159)</f>
        <v>9940.06992735571</v>
      </c>
      <c r="K159" s="270" t="n">
        <f aca="false">J159/SUM($J$7:$J$749)</f>
        <v>0.00110109842728694</v>
      </c>
      <c r="L159" s="271" t="n">
        <f aca="false">K159+L158</f>
        <v>0.904552169864691</v>
      </c>
    </row>
    <row r="160" customFormat="false" ht="38.25" hidden="false" customHeight="false" outlineLevel="0" collapsed="false">
      <c r="A160" s="264" t="n">
        <f aca="false">K160</f>
        <v>0.001098694757646</v>
      </c>
      <c r="B160" s="265" t="str">
        <f aca="false">VLOOKUP($C160,01_SINTETICO!$B:$N,13,0)</f>
        <v>12.1.1.5</v>
      </c>
      <c r="C160" s="266" t="n">
        <v>92988</v>
      </c>
      <c r="D160" s="266" t="str">
        <f aca="false">VLOOKUP($C160,01_SINTETICO!$B:$M,2,0)</f>
        <v>CABO DE COBRE FLEXÍVEL ISOLADO, 50 MM², ANTI-CHAMA 0,6/1,0 KV, PARA REDE ENTERRADA DE DISTRIBUIÇÃO DE ENERGIA ELÉTRICA - FORNECIMENTO E INSTALAÇÃO. AF_12/2021</v>
      </c>
      <c r="E160" s="266" t="str">
        <f aca="false">VLOOKUP($B160,01_SINTETICO!$A:$M,4,0)</f>
        <v>SER.CG</v>
      </c>
      <c r="F160" s="267" t="str">
        <f aca="false">VLOOKUP($B160,01_SINTETICO!$A:$M,5,0)</f>
        <v>M</v>
      </c>
      <c r="G160" s="267" t="n">
        <f aca="true">SUMIFS(INDIRECT("'01_SINTETICO'!F7:F995"),INDIRECT("'01_SINTETICO'!B7:B995"),$C160)</f>
        <v>150</v>
      </c>
      <c r="H160" s="268" t="n">
        <f aca="false">VLOOKUP($C160,01_SINTETICO!$B:$M,6,0)*$G160*(1+BDI_DIF)</f>
        <v>9585.45140106338</v>
      </c>
      <c r="I160" s="268" t="n">
        <f aca="false">VLOOKUP($C160,01_SINTETICO!$B:$M,7,0)*$G160*(1+BDI_MDO)</f>
        <v>332.919608447052</v>
      </c>
      <c r="J160" s="269" t="n">
        <f aca="false">SUM(H160:I160)</f>
        <v>9918.37100951043</v>
      </c>
      <c r="K160" s="270" t="n">
        <f aca="false">J160/SUM($J$7:$J$749)</f>
        <v>0.001098694757646</v>
      </c>
      <c r="L160" s="271" t="n">
        <f aca="false">K160+L159</f>
        <v>0.905650864622337</v>
      </c>
    </row>
    <row r="161" customFormat="false" ht="38.25" hidden="false" customHeight="false" outlineLevel="0" collapsed="false">
      <c r="A161" s="264" t="n">
        <f aca="false">K161</f>
        <v>0.00109322090220909</v>
      </c>
      <c r="B161" s="265" t="str">
        <f aca="false">VLOOKUP($C161,01_SINTETICO!$B:$N,13,0)</f>
        <v>12.4.2</v>
      </c>
      <c r="C161" s="272" t="s">
        <v>983</v>
      </c>
      <c r="D161" s="266" t="str">
        <f aca="false">VLOOKUP($C161,01_SINTETICO!$B:$M,2,0)</f>
        <v>QUADRO DE DISTRIBUIÇÃO DE ENERGIA EM CHAPA DE AÇO GALVANIZADO, DE EMBUTIR, COM BARRAMENTO TRIFÁSICO, PARA 70 DISJUNTORES DIN 250A - FORNECIMENTO E INSTALAÇÃO.</v>
      </c>
      <c r="E161" s="272" t="str">
        <f aca="false">VLOOKUP($B161,01_SINTETICO!$A:$M,4,0)</f>
        <v>SER.CG</v>
      </c>
      <c r="F161" s="273" t="str">
        <f aca="false">VLOOKUP($B161,01_SINTETICO!$A:$M,5,0)</f>
        <v>UN</v>
      </c>
      <c r="G161" s="267" t="n">
        <f aca="true">SUMIFS(INDIRECT("'01_SINTETICO'!F7:F995"),INDIRECT("'01_SINTETICO'!B7:B995"),$C161)</f>
        <v>3</v>
      </c>
      <c r="H161" s="268" t="n">
        <f aca="false">VLOOKUP($C161,01_SINTETICO!$B:$M,6,0)*$G161*(1+BDI_MAT)</f>
        <v>9760.54568902086</v>
      </c>
      <c r="I161" s="268" t="n">
        <f aca="false">VLOOKUP($C161,01_SINTETICO!$B:$M,7,0)*$G161*(1+BDI_MDO)</f>
        <v>108.410568395962</v>
      </c>
      <c r="J161" s="269" t="n">
        <f aca="false">SUM(H161:I161)</f>
        <v>9868.95625741682</v>
      </c>
      <c r="K161" s="270" t="n">
        <f aca="false">J161/SUM($J$7:$J$749)</f>
        <v>0.00109322090220909</v>
      </c>
      <c r="L161" s="271" t="n">
        <f aca="false">K161+L160</f>
        <v>0.906744085524546</v>
      </c>
    </row>
    <row r="162" customFormat="false" ht="38.25" hidden="false" customHeight="false" outlineLevel="0" collapsed="false">
      <c r="A162" s="264" t="n">
        <f aca="false">K162</f>
        <v>0.00109191139820162</v>
      </c>
      <c r="B162" s="265" t="str">
        <f aca="false">VLOOKUP($C162,01_SINTETICO!$B:$N,13,0)</f>
        <v>5.2.2.1.7</v>
      </c>
      <c r="C162" s="266" t="s">
        <v>433</v>
      </c>
      <c r="D162" s="266" t="str">
        <f aca="false">VLOOKUP($C162,01_SINTETICO!$B:$M,2,0)</f>
        <v>JANELA DE ALUMÍNIO, 4 FOLHAS, SENDO 2 FOLHAS LATERAIS FIXAS + 2 FOLHAS CENTRAIS COM BASE FIXA E PARTE SUPERIOR BASCULANTE, COM VIDRO, BATENTE E FERRAGENS. FORNECIMENTO E INSTALAÇÃO.</v>
      </c>
      <c r="E162" s="266" t="str">
        <f aca="false">VLOOKUP($B162,01_SINTETICO!$A:$M,4,0)</f>
        <v>SER.CG</v>
      </c>
      <c r="F162" s="267" t="str">
        <f aca="false">VLOOKUP($B162,01_SINTETICO!$A:$M,5,0)</f>
        <v>M2</v>
      </c>
      <c r="G162" s="267" t="n">
        <f aca="true">SUMIFS(INDIRECT("'01_SINTETICO'!F7:F995"),INDIRECT("'01_SINTETICO'!B7:B995"),$C162)</f>
        <v>12.73</v>
      </c>
      <c r="H162" s="268" t="n">
        <f aca="false">VLOOKUP($C162,01_SINTETICO!$B:$M,6,0)*$G162*(1+BDI_DIF)</f>
        <v>9615.85057173046</v>
      </c>
      <c r="I162" s="268" t="n">
        <f aca="false">VLOOKUP($C162,01_SINTETICO!$B:$M,7,0)*$G162*(1+BDI_MDO)</f>
        <v>241.284252577484</v>
      </c>
      <c r="J162" s="269" t="n">
        <f aca="false">SUM(H162:I162)</f>
        <v>9857.13482430795</v>
      </c>
      <c r="K162" s="270" t="n">
        <f aca="false">J162/SUM($J$7:$J$749)</f>
        <v>0.00109191139820162</v>
      </c>
      <c r="L162" s="271" t="n">
        <f aca="false">K162+L161</f>
        <v>0.907835996922747</v>
      </c>
    </row>
    <row r="163" customFormat="false" ht="51" hidden="false" customHeight="false" outlineLevel="0" collapsed="false">
      <c r="A163" s="264" t="n">
        <f aca="false">K163</f>
        <v>0.00109122173567746</v>
      </c>
      <c r="B163" s="265" t="str">
        <f aca="false">VLOOKUP($C163,01_SINTETICO!$B:$N,13,0)</f>
        <v>4.1.1.2</v>
      </c>
      <c r="C163" s="266" t="n">
        <v>103334</v>
      </c>
      <c r="D163" s="266" t="str">
        <f aca="false">VLOOKUP($C163,01_SINTETICO!$B:$M,2,0)</f>
        <v>ALVENARIA DE VEDAÇÃO DE BLOCOS CERÂMICOS FURADOS NA HORIZONTAL DE 14X9X19 CM (ESPESSURA 14 CM, BLOCO DEITADO) E ARGAMASSA DE ASSENTAMENTO COM PREPARO EM BETONEIRA. AF_12/2021</v>
      </c>
      <c r="E163" s="266" t="str">
        <f aca="false">VLOOKUP($B163,01_SINTETICO!$A:$M,4,0)</f>
        <v>SER.CG</v>
      </c>
      <c r="F163" s="267" t="str">
        <f aca="false">VLOOKUP($B163,01_SINTETICO!$A:$M,5,0)</f>
        <v>M2</v>
      </c>
      <c r="G163" s="267" t="n">
        <f aca="true">SUMIFS(INDIRECT("'01_SINTETICO'!F7:F995"),INDIRECT("'01_SINTETICO'!B7:B995"),$C163)</f>
        <v>76.74</v>
      </c>
      <c r="H163" s="268" t="n">
        <f aca="false">VLOOKUP($C163,01_SINTETICO!$B:$M,6,0)*$G163*(1+BDI_DIF)</f>
        <v>3566.81754649339</v>
      </c>
      <c r="I163" s="268" t="n">
        <f aca="false">VLOOKUP($C163,01_SINTETICO!$B:$M,7,0)*$G163*(1+BDI_MDO)</f>
        <v>6284.09140958471</v>
      </c>
      <c r="J163" s="269" t="n">
        <f aca="false">SUM(H163:I163)</f>
        <v>9850.9089560781</v>
      </c>
      <c r="K163" s="270" t="n">
        <f aca="false">J163/SUM($J$7:$J$749)</f>
        <v>0.00109122173567746</v>
      </c>
      <c r="L163" s="271" t="n">
        <f aca="false">K163+L162</f>
        <v>0.908927218658425</v>
      </c>
    </row>
    <row r="164" customFormat="false" ht="25.5" hidden="false" customHeight="false" outlineLevel="0" collapsed="false">
      <c r="A164" s="264" t="n">
        <f aca="false">K164</f>
        <v>0.00109122699215516</v>
      </c>
      <c r="B164" s="265" t="str">
        <f aca="false">VLOOKUP($C164,01_SINTETICO!$B:$N,13,0)</f>
        <v>17.3.1</v>
      </c>
      <c r="C164" s="272" t="s">
        <v>1348</v>
      </c>
      <c r="D164" s="266" t="str">
        <f aca="false">VLOOKUP($C164,01_SINTETICO!$B:$M,2,0)</f>
        <v>POSTE DECORATIVO PARA JARDIM EM AÇO TUBULAR, H = 0,5 M, COM LAMPADA DE LED E27 - FORNECIMENTO E INSTALAÇÃO.</v>
      </c>
      <c r="E164" s="272" t="str">
        <f aca="false">VLOOKUP($B164,01_SINTETICO!$A:$M,4,0)</f>
        <v>SER.CG</v>
      </c>
      <c r="F164" s="273" t="str">
        <f aca="false">VLOOKUP($B164,01_SINTETICO!$A:$M,5,0)</f>
        <v>UN</v>
      </c>
      <c r="G164" s="267" t="n">
        <f aca="true">SUMIFS(INDIRECT("'01_SINTETICO'!F7:F995"),INDIRECT("'01_SINTETICO'!B7:B995"),$C164)</f>
        <v>15</v>
      </c>
      <c r="H164" s="268" t="n">
        <f aca="false">VLOOKUP($C164,01_SINTETICO!$B:$M,6,0)*$G164*(1+BDI_DIF)</f>
        <v>8194.05083139458</v>
      </c>
      <c r="I164" s="268" t="n">
        <f aca="false">VLOOKUP($C164,01_SINTETICO!$B:$M,7,0)*$G164*(1+BDI_MDO)</f>
        <v>1656.90557707709</v>
      </c>
      <c r="J164" s="269" t="n">
        <f aca="false">SUM(H164:I164)</f>
        <v>9850.95640847167</v>
      </c>
      <c r="K164" s="270" t="n">
        <f aca="false">J164/SUM($J$7:$J$749)</f>
        <v>0.00109122699215516</v>
      </c>
      <c r="L164" s="271" t="n">
        <f aca="false">K164+L163</f>
        <v>0.91001844565058</v>
      </c>
    </row>
    <row r="165" customFormat="false" ht="25.5" hidden="false" customHeight="false" outlineLevel="0" collapsed="false">
      <c r="A165" s="264" t="n">
        <f aca="false">K165</f>
        <v>0.00106553131329748</v>
      </c>
      <c r="B165" s="265" t="str">
        <f aca="false">VLOOKUP($C165,01_SINTETICO!$B:$N,13,0)</f>
        <v>2.3.1</v>
      </c>
      <c r="C165" s="272" t="n">
        <v>103689</v>
      </c>
      <c r="D165" s="266" t="str">
        <f aca="false">VLOOKUP($C165,01_SINTETICO!$B:$M,2,0)</f>
        <v>FORNECIMENTO E INSTALAÇÃO DE PLACA DE OBRA COM CHAPA GALVANIZADA E ESTRUTURA DE MADEIRA. AF_03/2022_PS</v>
      </c>
      <c r="E165" s="272" t="str">
        <f aca="false">VLOOKUP($B165,01_SINTETICO!$A:$M,4,0)</f>
        <v>SER.CG</v>
      </c>
      <c r="F165" s="273" t="str">
        <f aca="false">VLOOKUP($B165,01_SINTETICO!$A:$M,5,0)</f>
        <v>M2</v>
      </c>
      <c r="G165" s="267" t="n">
        <f aca="true">SUMIFS(INDIRECT("'01_SINTETICO'!F7:F995"),INDIRECT("'01_SINTETICO'!B7:B995"),$C165)</f>
        <v>18</v>
      </c>
      <c r="H165" s="268" t="n">
        <f aca="false">VLOOKUP($C165,01_SINTETICO!$B:$M,6,0)*$G165*(1+BDI_DIF)</f>
        <v>8997.86522592689</v>
      </c>
      <c r="I165" s="268" t="n">
        <f aca="false">VLOOKUP($C165,01_SINTETICO!$B:$M,7,0)*$G165*(1+BDI_MDO)</f>
        <v>621.1256848684</v>
      </c>
      <c r="J165" s="269" t="n">
        <f aca="false">SUM(H165:I165)</f>
        <v>9618.9909107953</v>
      </c>
      <c r="K165" s="270" t="n">
        <f aca="false">J165/SUM($J$7:$J$749)</f>
        <v>0.00106553131329748</v>
      </c>
      <c r="L165" s="271" t="n">
        <f aca="false">K165+L164</f>
        <v>0.911083976963877</v>
      </c>
    </row>
    <row r="166" customFormat="false" ht="25.5" hidden="false" customHeight="false" outlineLevel="0" collapsed="false">
      <c r="A166" s="264" t="n">
        <f aca="false">K166</f>
        <v>0.00105721410855856</v>
      </c>
      <c r="B166" s="265" t="str">
        <f aca="false">VLOOKUP($C166,01_SINTETICO!$B:$N,13,0)</f>
        <v>18.1.1</v>
      </c>
      <c r="C166" s="272" t="n">
        <v>99804</v>
      </c>
      <c r="D166" s="266" t="str">
        <f aca="false">VLOOKUP($C166,01_SINTETICO!$B:$M,2,0)</f>
        <v>LIMPEZA DE PISO CERÂMICO OU PORCELANATO UTILIZANDO DETERGENTE NEUTRO E ESCOVAÇÃO MANUAL. AF_04/2019</v>
      </c>
      <c r="E166" s="272" t="str">
        <f aca="false">VLOOKUP($B166,01_SINTETICO!$A:$M,4,0)</f>
        <v>SER.CG</v>
      </c>
      <c r="F166" s="273" t="str">
        <f aca="false">VLOOKUP($B166,01_SINTETICO!$A:$M,5,0)</f>
        <v>M2</v>
      </c>
      <c r="G166" s="267" t="n">
        <f aca="true">SUMIFS(INDIRECT("'01_SINTETICO'!F7:F995"),INDIRECT("'01_SINTETICO'!B7:B995"),$C166)</f>
        <v>1592.85</v>
      </c>
      <c r="H166" s="268" t="n">
        <f aca="false">VLOOKUP($C166,01_SINTETICO!$B:$M,6,0)*$G166*(1+BDI_DIF)</f>
        <v>2883.76963583978</v>
      </c>
      <c r="I166" s="268" t="n">
        <f aca="false">VLOOKUP($C166,01_SINTETICO!$B:$M,7,0)*$G166*(1+BDI_MDO)</f>
        <v>6660.13843526003</v>
      </c>
      <c r="J166" s="269" t="n">
        <f aca="false">SUM(H166:I166)</f>
        <v>9543.90807109981</v>
      </c>
      <c r="K166" s="270" t="n">
        <f aca="false">J166/SUM($J$7:$J$749)</f>
        <v>0.00105721410855856</v>
      </c>
      <c r="L166" s="271" t="n">
        <f aca="false">K166+L165</f>
        <v>0.912141191072436</v>
      </c>
    </row>
    <row r="167" customFormat="false" ht="38.25" hidden="false" customHeight="false" outlineLevel="0" collapsed="false">
      <c r="A167" s="264" t="n">
        <f aca="false">K167</f>
        <v>0.00105330298713311</v>
      </c>
      <c r="B167" s="265" t="str">
        <f aca="false">VLOOKUP($C167,01_SINTETICO!$B:$N,13,0)</f>
        <v>13.7.6</v>
      </c>
      <c r="C167" s="266" t="n">
        <v>91834</v>
      </c>
      <c r="D167" s="266" t="str">
        <f aca="false">VLOOKUP($C167,01_SINTETICO!$B:$M,2,0)</f>
        <v>ELETRODUTO FLEXÍVEL CORRUGADO, PVC, DN 25 MM (3/4"), PARA CIRCUITOS TERMINAIS, INSTALADO EM FORRO - FORNECIMENTO E INSTALAÇÃO. AF_03/2023</v>
      </c>
      <c r="E167" s="266" t="str">
        <f aca="false">VLOOKUP($B167,01_SINTETICO!$A:$M,4,0)</f>
        <v>SER.CG</v>
      </c>
      <c r="F167" s="267" t="str">
        <f aca="false">VLOOKUP($B167,01_SINTETICO!$A:$M,5,0)</f>
        <v>M</v>
      </c>
      <c r="G167" s="267" t="n">
        <f aca="true">SUMIFS(INDIRECT("'01_SINTETICO'!F7:F995"),INDIRECT("'01_SINTETICO'!B7:B995"),$C167)</f>
        <v>570</v>
      </c>
      <c r="H167" s="268" t="n">
        <f aca="false">VLOOKUP($C167,01_SINTETICO!$B:$M,6,0)*$G167*(1+BDI_DIF)</f>
        <v>3579.02593829765</v>
      </c>
      <c r="I167" s="268" t="n">
        <f aca="false">VLOOKUP($C167,01_SINTETICO!$B:$M,7,0)*$G167*(1+BDI_MDO)</f>
        <v>5929.5748255715</v>
      </c>
      <c r="J167" s="269" t="n">
        <f aca="false">SUM(H167:I167)</f>
        <v>9508.60076386915</v>
      </c>
      <c r="K167" s="270" t="n">
        <f aca="false">J167/SUM($J$7:$J$749)</f>
        <v>0.00105330298713311</v>
      </c>
      <c r="L167" s="271" t="n">
        <f aca="false">K167+L166</f>
        <v>0.913194494059569</v>
      </c>
    </row>
    <row r="168" customFormat="false" ht="51" hidden="false" customHeight="false" outlineLevel="0" collapsed="false">
      <c r="A168" s="264" t="n">
        <f aca="false">K168</f>
        <v>0.00104811314434183</v>
      </c>
      <c r="B168" s="265" t="str">
        <f aca="false">VLOOKUP($C168,01_SINTETICO!$B:$N,13,0)</f>
        <v>15.4.1.1</v>
      </c>
      <c r="C168" s="272" t="s">
        <v>1159</v>
      </c>
      <c r="D168" s="266" t="str">
        <f aca="false">VLOOKUP($C168,01_SINTETICO!$B:$M,2,0)</f>
        <v>ABRIGO PARA HIDRANTE, 75X45X17CM, DE SOBREPOR, COM REGISTRO GLOBO ANGULAR 45 GRAUS 2 1/2", ADAPTADOR STORZ 2 1/2", 2 MANGUEIRAS DE INCÊNDIO 15M 2 1/2" E ESGUICHO EM LATÃO 2 1/2" - FORNECIMENTO E INSTALAÇÃO.</v>
      </c>
      <c r="E168" s="272" t="str">
        <f aca="false">VLOOKUP($B168,01_SINTETICO!$A:$M,4,0)</f>
        <v>SER.CG</v>
      </c>
      <c r="F168" s="273" t="str">
        <f aca="false">VLOOKUP($B168,01_SINTETICO!$A:$M,5,0)</f>
        <v>UN</v>
      </c>
      <c r="G168" s="267" t="n">
        <f aca="true">SUMIFS(INDIRECT("'01_SINTETICO'!F7:F995"),INDIRECT("'01_SINTETICO'!B7:B995"),$C168)</f>
        <v>3</v>
      </c>
      <c r="H168" s="268" t="n">
        <f aca="false">VLOOKUP($C168,01_SINTETICO!$B:$M,6,0)*$G168*(1+BDI_DIF)</f>
        <v>9144.7578027501</v>
      </c>
      <c r="I168" s="268" t="n">
        <f aca="false">VLOOKUP($C168,01_SINTETICO!$B:$M,7,0)*$G168*(1+BDI_MDO)</f>
        <v>316.992108389739</v>
      </c>
      <c r="J168" s="269" t="n">
        <f aca="false">SUM(H168:I168)</f>
        <v>9461.74991113984</v>
      </c>
      <c r="K168" s="270" t="n">
        <f aca="false">J168/SUM($J$7:$J$749)</f>
        <v>0.00104811314434183</v>
      </c>
      <c r="L168" s="271" t="n">
        <f aca="false">K168+L167</f>
        <v>0.914242607203911</v>
      </c>
    </row>
    <row r="169" customFormat="false" ht="38.25" hidden="false" customHeight="false" outlineLevel="0" collapsed="false">
      <c r="A169" s="264" t="n">
        <f aca="false">K169</f>
        <v>0.00103079107235901</v>
      </c>
      <c r="B169" s="265" t="str">
        <f aca="false">VLOOKUP($C169,01_SINTETICO!$B:$N,13,0)</f>
        <v>10.1.7</v>
      </c>
      <c r="C169" s="266" t="n">
        <v>86938</v>
      </c>
      <c r="D169" s="266" t="str">
        <f aca="false">VLOOKUP($C169,01_SINTETICO!$B:$M,2,0)</f>
        <v>CUBA DE EMBUTIR OVAL EM LOUÇA BRANCA, 35 X 50CM OU EQUIVALENTE, INCLUSO VÁLVULA E SIFÃO TIPO GARRAFA EM METAL CROMADO - FORNECIMENTO E INSTALAÇÃO. AF_01/2020</v>
      </c>
      <c r="E169" s="266" t="str">
        <f aca="false">VLOOKUP($B169,01_SINTETICO!$A:$M,4,0)</f>
        <v>SER.CG</v>
      </c>
      <c r="F169" s="267" t="str">
        <f aca="false">VLOOKUP($B169,01_SINTETICO!$A:$M,5,0)</f>
        <v>UN</v>
      </c>
      <c r="G169" s="267" t="n">
        <f aca="true">SUMIFS(INDIRECT("'01_SINTETICO'!F7:F995"),INDIRECT("'01_SINTETICO'!B7:B995"),$C169)</f>
        <v>24</v>
      </c>
      <c r="H169" s="268" t="n">
        <f aca="false">VLOOKUP($C169,01_SINTETICO!$B:$M,6,0)*$G169*(1+BDI_DIF)</f>
        <v>8327.70398942624</v>
      </c>
      <c r="I169" s="268" t="n">
        <f aca="false">VLOOKUP($C169,01_SINTETICO!$B:$M,7,0)*$G169*(1+BDI_MDO)</f>
        <v>977.672429091199</v>
      </c>
      <c r="J169" s="269" t="n">
        <f aca="false">SUM(H169:I169)</f>
        <v>9305.37641851744</v>
      </c>
      <c r="K169" s="270" t="n">
        <f aca="false">J169/SUM($J$7:$J$749)</f>
        <v>0.00103079107235901</v>
      </c>
      <c r="L169" s="271" t="n">
        <f aca="false">K169+L168</f>
        <v>0.91527339827627</v>
      </c>
    </row>
    <row r="170" customFormat="false" ht="38.25" hidden="false" customHeight="false" outlineLevel="0" collapsed="false">
      <c r="A170" s="264" t="n">
        <f aca="false">K170</f>
        <v>0.000998657795112283</v>
      </c>
      <c r="B170" s="265" t="str">
        <f aca="false">VLOOKUP($C170,01_SINTETICO!$B:$N,13,0)</f>
        <v>3.2.3.1.1</v>
      </c>
      <c r="C170" s="272" t="s">
        <v>261</v>
      </c>
      <c r="D170" s="266" t="str">
        <f aca="false">VLOOKUP($C170,01_SINTETICO!$B:$M,2,0)</f>
        <v>ESTACA BROCA DE CONCRETO, DIÂMETRO DE 25CM, ESCAVAÇÃO MANUAL COM TRADO CONCHA, COM ARMADURA LOGITUDIONAL DE Ø8,0MM E TRANSVERSAL DE Ø6,3MM, CONCRETO FCK 35 MPA.</v>
      </c>
      <c r="E170" s="272" t="str">
        <f aca="false">VLOOKUP($B170,01_SINTETICO!$A:$M,4,0)</f>
        <v>SER.CG</v>
      </c>
      <c r="F170" s="273" t="str">
        <f aca="false">VLOOKUP($B170,01_SINTETICO!$A:$M,5,0)</f>
        <v>M</v>
      </c>
      <c r="G170" s="267" t="n">
        <f aca="true">SUMIFS(INDIRECT("'01_SINTETICO'!F7:F995"),INDIRECT("'01_SINTETICO'!B7:B995"),$C170)</f>
        <v>64</v>
      </c>
      <c r="H170" s="268" t="n">
        <f aca="false">VLOOKUP($C170,01_SINTETICO!$B:$M,6,0)*$G170*(1+BDI_DIF)</f>
        <v>6120.54150468131</v>
      </c>
      <c r="I170" s="268" t="n">
        <f aca="false">VLOOKUP($C170,01_SINTETICO!$B:$M,7,0)*$G170*(1+BDI_MDO)</f>
        <v>2894.75455869968</v>
      </c>
      <c r="J170" s="269" t="n">
        <f aca="false">SUM(H170:I170)</f>
        <v>9015.29606338099</v>
      </c>
      <c r="K170" s="270" t="n">
        <f aca="false">J170/SUM($J$7:$J$749)</f>
        <v>0.000998657795112283</v>
      </c>
      <c r="L170" s="271" t="n">
        <f aca="false">K170+L169</f>
        <v>0.916272056071382</v>
      </c>
    </row>
    <row r="171" customFormat="false" ht="38.25" hidden="false" customHeight="false" outlineLevel="0" collapsed="false">
      <c r="A171" s="264" t="n">
        <f aca="false">K171</f>
        <v>0.000994469207900771</v>
      </c>
      <c r="B171" s="265" t="str">
        <f aca="false">VLOOKUP($C171,01_SINTETICO!$B:$N,13,0)</f>
        <v>5.3.1.2.3</v>
      </c>
      <c r="C171" s="266" t="s">
        <v>449</v>
      </c>
      <c r="D171" s="266" t="str">
        <f aca="false">VLOOKUP($C171,01_SINTETICO!$B:$M,2,0)</f>
        <v>PORTA COM ABERTURA AUTOMATIZADA, DE CORRER EM VIDRO TEMPERADO, 2 FOLHAS DE 100X210 CM, ESPESSURA 10 MM, INCLUSIVE ACESSÓRIOS.</v>
      </c>
      <c r="E171" s="266" t="str">
        <f aca="false">VLOOKUP($B171,01_SINTETICO!$A:$M,4,0)</f>
        <v>SER.CG</v>
      </c>
      <c r="F171" s="267" t="str">
        <f aca="false">VLOOKUP($B171,01_SINTETICO!$A:$M,5,0)</f>
        <v>UN</v>
      </c>
      <c r="G171" s="267" t="n">
        <f aca="true">SUMIFS(INDIRECT("'01_SINTETICO'!F7:F995"),INDIRECT("'01_SINTETICO'!B7:B995"),$C171)</f>
        <v>1</v>
      </c>
      <c r="H171" s="268" t="n">
        <f aca="false">VLOOKUP($C171,01_SINTETICO!$B:$M,6,0)*$G171*(1+BDI_DIF)</f>
        <v>8909.70689448433</v>
      </c>
      <c r="I171" s="268" t="n">
        <f aca="false">VLOOKUP($C171,01_SINTETICO!$B:$M,7,0)*$G171*(1+BDI_MDO)</f>
        <v>67.77706350492</v>
      </c>
      <c r="J171" s="269" t="n">
        <f aca="false">SUM(H171:I171)</f>
        <v>8977.48395798925</v>
      </c>
      <c r="K171" s="270" t="n">
        <f aca="false">J171/SUM($J$7:$J$749)</f>
        <v>0.000994469207900771</v>
      </c>
      <c r="L171" s="271" t="n">
        <f aca="false">K171+L170</f>
        <v>0.917266525279283</v>
      </c>
    </row>
    <row r="172" customFormat="false" ht="15" hidden="false" customHeight="false" outlineLevel="0" collapsed="false">
      <c r="A172" s="264" t="n">
        <f aca="false">K172</f>
        <v>0.000987490592151881</v>
      </c>
      <c r="B172" s="265" t="str">
        <f aca="false">VLOOKUP($C172,01_SINTETICO!$B:$N,13,0)</f>
        <v>8.1.1.6.1</v>
      </c>
      <c r="C172" s="272" t="n">
        <v>98671</v>
      </c>
      <c r="D172" s="266" t="str">
        <f aca="false">VLOOKUP($C172,01_SINTETICO!$B:$M,2,0)</f>
        <v>PISO EM GRANITO APLICADO EM AMBIENTES INTERNOS. AF_09/2020</v>
      </c>
      <c r="E172" s="272" t="str">
        <f aca="false">VLOOKUP($B172,01_SINTETICO!$A:$M,4,0)</f>
        <v>SER.CG</v>
      </c>
      <c r="F172" s="273" t="str">
        <f aca="false">VLOOKUP($B172,01_SINTETICO!$A:$M,5,0)</f>
        <v>M2</v>
      </c>
      <c r="G172" s="267" t="n">
        <f aca="true">SUMIFS(INDIRECT("'01_SINTETICO'!F7:F995"),INDIRECT("'01_SINTETICO'!B7:B995"),$C172)</f>
        <v>18.8</v>
      </c>
      <c r="H172" s="268" t="n">
        <f aca="false">VLOOKUP($C172,01_SINTETICO!$B:$M,6,0)*$G172*(1+BDI_DIF)</f>
        <v>8141.96163832713</v>
      </c>
      <c r="I172" s="268" t="n">
        <f aca="false">VLOOKUP($C172,01_SINTETICO!$B:$M,7,0)*$G172*(1+BDI_MDO)</f>
        <v>772.523475216369</v>
      </c>
      <c r="J172" s="269" t="n">
        <f aca="false">SUM(H172:I172)</f>
        <v>8914.4851135435</v>
      </c>
      <c r="K172" s="270" t="n">
        <f aca="false">J172/SUM($J$7:$J$749)</f>
        <v>0.000987490592151881</v>
      </c>
      <c r="L172" s="271" t="n">
        <f aca="false">K172+L171</f>
        <v>0.918254015871435</v>
      </c>
    </row>
    <row r="173" customFormat="false" ht="25.5" hidden="false" customHeight="false" outlineLevel="0" collapsed="false">
      <c r="A173" s="264" t="n">
        <f aca="false">K173</f>
        <v>0.000977813271102264</v>
      </c>
      <c r="B173" s="265" t="str">
        <f aca="false">VLOOKUP($C173,01_SINTETICO!$B:$N,13,0)</f>
        <v>16.1.4.1</v>
      </c>
      <c r="C173" s="266" t="s">
        <v>1294</v>
      </c>
      <c r="D173" s="266" t="str">
        <f aca="false">VLOOKUP($C173,01_SINTETICO!$B:$M,2,0)</f>
        <v>CABO DE COBRE FLEXÍVEL TETRAPOLAR, 2,5 MM², ANTI-CHAMA 0,6/1,0 KV, PARA CIRCUITOS TERMINAIS - FORNECIMENTO E INSTALAÇÃO.</v>
      </c>
      <c r="E173" s="266" t="str">
        <f aca="false">VLOOKUP($B173,01_SINTETICO!$A:$M,4,0)</f>
        <v>SER.CG</v>
      </c>
      <c r="F173" s="267" t="str">
        <f aca="false">VLOOKUP($B173,01_SINTETICO!$A:$M,5,0)</f>
        <v>M</v>
      </c>
      <c r="G173" s="267" t="n">
        <f aca="true">SUMIFS(INDIRECT("'01_SINTETICO'!F7:F995"),INDIRECT("'01_SINTETICO'!B7:B995"),$C173)</f>
        <v>509.83</v>
      </c>
      <c r="H173" s="268" t="n">
        <f aca="false">VLOOKUP($C173,01_SINTETICO!$B:$M,6,0)*$G173*(1+BDI_DIF)</f>
        <v>8172.49122510507</v>
      </c>
      <c r="I173" s="268" t="n">
        <f aca="false">VLOOKUP($C173,01_SINTETICO!$B:$M,7,0)*$G173*(1+BDI_MDO)</f>
        <v>654.632717485095</v>
      </c>
      <c r="J173" s="269" t="n">
        <f aca="false">SUM(H173:I173)</f>
        <v>8827.12394259016</v>
      </c>
      <c r="K173" s="270" t="n">
        <f aca="false">J173/SUM($J$7:$J$749)</f>
        <v>0.000977813271102264</v>
      </c>
      <c r="L173" s="271" t="n">
        <f aca="false">K173+L172</f>
        <v>0.919231829142537</v>
      </c>
    </row>
    <row r="174" customFormat="false" ht="25.5" hidden="false" customHeight="false" outlineLevel="0" collapsed="false">
      <c r="A174" s="264" t="n">
        <f aca="false">K174</f>
        <v>0.000971428411806665</v>
      </c>
      <c r="B174" s="265" t="str">
        <f aca="false">VLOOKUP($C174,01_SINTETICO!$B:$N,13,0)</f>
        <v>13.10.1</v>
      </c>
      <c r="C174" s="266" t="s">
        <v>1084</v>
      </c>
      <c r="D174" s="266" t="str">
        <f aca="false">VLOOKUP($C174,01_SINTETICO!$B:$M,2,0)</f>
        <v>CERTIFICAÇÃO DE REDE PARA CABEAMENTO ESTRUTURADO, CAT6.</v>
      </c>
      <c r="E174" s="266" t="str">
        <f aca="false">VLOOKUP($B174,01_SINTETICO!$A:$M,4,0)</f>
        <v>SER.CG</v>
      </c>
      <c r="F174" s="267" t="str">
        <f aca="false">VLOOKUP($B174,01_SINTETICO!$A:$M,5,0)</f>
        <v>UN</v>
      </c>
      <c r="G174" s="267" t="n">
        <f aca="true">SUMIFS(INDIRECT("'01_SINTETICO'!F7:F995"),INDIRECT("'01_SINTETICO'!B7:B995"),$C174)</f>
        <v>185</v>
      </c>
      <c r="H174" s="268" t="n">
        <f aca="false">VLOOKUP($C174,01_SINTETICO!$B:$M,6,0)*$G174*(1+BDI_DIF)</f>
        <v>1348.98788598065</v>
      </c>
      <c r="I174" s="268" t="n">
        <f aca="false">VLOOKUP($C174,01_SINTETICO!$B:$M,7,0)*$G174*(1+BDI_MDO)</f>
        <v>7420.4972967114</v>
      </c>
      <c r="J174" s="269" t="n">
        <f aca="false">SUM(H174:I174)</f>
        <v>8769.48518269205</v>
      </c>
      <c r="K174" s="270" t="n">
        <f aca="false">J174/SUM($J$7:$J$749)</f>
        <v>0.000971428411806665</v>
      </c>
      <c r="L174" s="271" t="n">
        <f aca="false">K174+L173</f>
        <v>0.920203257554344</v>
      </c>
    </row>
    <row r="175" customFormat="false" ht="38.25" hidden="false" customHeight="false" outlineLevel="0" collapsed="false">
      <c r="A175" s="264" t="n">
        <f aca="false">K175</f>
        <v>0.000957322760476104</v>
      </c>
      <c r="B175" s="265" t="str">
        <f aca="false">VLOOKUP($C175,01_SINTETICO!$B:$N,13,0)</f>
        <v>11.2.3.25</v>
      </c>
      <c r="C175" s="266" t="n">
        <v>89800</v>
      </c>
      <c r="D175" s="266" t="str">
        <f aca="false">VLOOKUP($C175,01_SINTETICO!$B:$M,2,0)</f>
        <v>TUBO PVC, SERIE NORMAL, ESGOTO PREDIAL, DN 100 MM, FORNECIDO E INSTALADO EM PRUMADA DE ESGOTO SANITÁRIO OU VENTILAÇÃO. AF_08/2022</v>
      </c>
      <c r="E175" s="266" t="str">
        <f aca="false">VLOOKUP($B175,01_SINTETICO!$A:$M,4,0)</f>
        <v>SER.CG</v>
      </c>
      <c r="F175" s="267" t="str">
        <f aca="false">VLOOKUP($B175,01_SINTETICO!$A:$M,5,0)</f>
        <v>M</v>
      </c>
      <c r="G175" s="267" t="n">
        <f aca="true">SUMIFS(INDIRECT("'01_SINTETICO'!F7:F995"),INDIRECT("'01_SINTETICO'!B7:B995"),$C175)</f>
        <v>250.3</v>
      </c>
      <c r="H175" s="268" t="n">
        <f aca="false">VLOOKUP($C175,01_SINTETICO!$B:$M,6,0)*$G175*(1+BDI_DIF)</f>
        <v>5779.63410019746</v>
      </c>
      <c r="I175" s="268" t="n">
        <f aca="false">VLOOKUP($C175,01_SINTETICO!$B:$M,7,0)*$G175*(1+BDI_MDO)</f>
        <v>2862.51354651958</v>
      </c>
      <c r="J175" s="269" t="n">
        <f aca="false">SUM(H175:I175)</f>
        <v>8642.14764671704</v>
      </c>
      <c r="K175" s="270" t="n">
        <f aca="false">J175/SUM($J$7:$J$749)</f>
        <v>0.000957322760476104</v>
      </c>
      <c r="L175" s="271" t="n">
        <f aca="false">K175+L174</f>
        <v>0.92116058031482</v>
      </c>
    </row>
    <row r="176" customFormat="false" ht="25.5" hidden="false" customHeight="false" outlineLevel="0" collapsed="false">
      <c r="A176" s="264" t="n">
        <f aca="false">K176</f>
        <v>0.000935928439304647</v>
      </c>
      <c r="B176" s="265" t="str">
        <f aca="false">VLOOKUP($C176,01_SINTETICO!$B:$N,13,0)</f>
        <v>12.5.3</v>
      </c>
      <c r="C176" s="266" t="s">
        <v>991</v>
      </c>
      <c r="D176" s="266" t="str">
        <f aca="false">VLOOKUP($C176,01_SINTETICO!$B:$M,2,0)</f>
        <v>LUMINÁRIA TIPO PLAFON REDONDA, DE EMBUTIR, COM LED DE 9 W, 4000 K - FORNECIMENTO E INSTALAÇÃO.</v>
      </c>
      <c r="E176" s="266" t="str">
        <f aca="false">VLOOKUP($B176,01_SINTETICO!$A:$M,4,0)</f>
        <v>SER.CG</v>
      </c>
      <c r="F176" s="267" t="str">
        <f aca="false">VLOOKUP($B176,01_SINTETICO!$A:$M,5,0)</f>
        <v>UN</v>
      </c>
      <c r="G176" s="267" t="n">
        <f aca="true">SUMIFS(INDIRECT("'01_SINTETICO'!F7:F995"),INDIRECT("'01_SINTETICO'!B7:B995"),$C176)</f>
        <v>196</v>
      </c>
      <c r="H176" s="268" t="n">
        <f aca="false">VLOOKUP($C176,01_SINTETICO!$B:$M,6,0)*$G176*(1+BDI_MAT)</f>
        <v>5634.66723501547</v>
      </c>
      <c r="I176" s="268" t="n">
        <f aca="false">VLOOKUP($C176,01_SINTETICO!$B:$M,7,0)*$G176*(1+BDI_MDO)</f>
        <v>2814.3450450327</v>
      </c>
      <c r="J176" s="269" t="n">
        <f aca="false">SUM(H176:I176)</f>
        <v>8449.01228004816</v>
      </c>
      <c r="K176" s="270" t="n">
        <f aca="false">J176/SUM($J$7:$J$749)</f>
        <v>0.000935928439304647</v>
      </c>
      <c r="L176" s="271" t="n">
        <f aca="false">K176+L175</f>
        <v>0.922096508754125</v>
      </c>
    </row>
    <row r="177" customFormat="false" ht="25.5" hidden="false" customHeight="false" outlineLevel="0" collapsed="false">
      <c r="A177" s="264" t="n">
        <f aca="false">K177</f>
        <v>0.000923708224040394</v>
      </c>
      <c r="B177" s="265" t="str">
        <f aca="false">VLOOKUP($C177,01_SINTETICO!$B:$N,13,0)</f>
        <v>3.2.1.5.3</v>
      </c>
      <c r="C177" s="266" t="n">
        <v>100344</v>
      </c>
      <c r="D177" s="266" t="str">
        <f aca="false">VLOOKUP($C177,01_SINTETICO!$B:$M,2,0)</f>
        <v>ARMAÇÃO DE CORTINA DE CONTENÇÃO EM CONCRETO ARMADO, COM AÇO CA-50 DE 10 MM - MONTAGEM. AF_11/2024</v>
      </c>
      <c r="E177" s="266" t="str">
        <f aca="false">VLOOKUP($B177,01_SINTETICO!$A:$M,4,0)</f>
        <v>SER.CG</v>
      </c>
      <c r="F177" s="267" t="str">
        <f aca="false">VLOOKUP($B177,01_SINTETICO!$A:$M,5,0)</f>
        <v>KG</v>
      </c>
      <c r="G177" s="267" t="n">
        <f aca="true">SUMIFS(INDIRECT("'01_SINTETICO'!F7:F995"),INDIRECT("'01_SINTETICO'!B7:B995"),$C177)</f>
        <v>581.73</v>
      </c>
      <c r="H177" s="268" t="n">
        <f aca="false">VLOOKUP($C177,01_SINTETICO!$B:$M,6,0)*$G177*(1+BDI_DIF)</f>
        <v>6781.00976476168</v>
      </c>
      <c r="I177" s="268" t="n">
        <f aca="false">VLOOKUP($C177,01_SINTETICO!$B:$M,7,0)*$G177*(1+BDI_MDO)</f>
        <v>1557.68558880307</v>
      </c>
      <c r="J177" s="269" t="n">
        <f aca="false">SUM(H177:I177)</f>
        <v>8338.69535356475</v>
      </c>
      <c r="K177" s="270" t="n">
        <f aca="false">J177/SUM($J$7:$J$749)</f>
        <v>0.000923708224040394</v>
      </c>
      <c r="L177" s="271" t="n">
        <f aca="false">K177+L176</f>
        <v>0.923020216978165</v>
      </c>
    </row>
    <row r="178" customFormat="false" ht="25.5" hidden="false" customHeight="false" outlineLevel="0" collapsed="false">
      <c r="A178" s="264" t="n">
        <f aca="false">K178</f>
        <v>0.000922375874943123</v>
      </c>
      <c r="B178" s="265" t="str">
        <f aca="false">VLOOKUP($C178,01_SINTETICO!$B:$N,13,0)</f>
        <v>3.2.2.5.2.7</v>
      </c>
      <c r="C178" s="272" t="s">
        <v>246</v>
      </c>
      <c r="D178" s="266" t="str">
        <f aca="false">VLOOKUP($C178,01_SINTETICO!$B:$M,2,0)</f>
        <v>CONCRETAGEM DE RADIER, PISO DE CONCRETO OU LAJE SOBRE SOLO, FCK 35 MPA - LANÇAMENTO, ADENSAMENTO E ACABAMENTO.</v>
      </c>
      <c r="E178" s="272" t="str">
        <f aca="false">VLOOKUP($B178,01_SINTETICO!$A:$M,4,0)</f>
        <v>SER.CG</v>
      </c>
      <c r="F178" s="273" t="str">
        <f aca="false">VLOOKUP($B178,01_SINTETICO!$A:$M,5,0)</f>
        <v>M3</v>
      </c>
      <c r="G178" s="267" t="n">
        <f aca="true">SUMIFS(INDIRECT("'01_SINTETICO'!F7:F995"),INDIRECT("'01_SINTETICO'!B7:B995"),$C178)</f>
        <v>9.63</v>
      </c>
      <c r="H178" s="268" t="n">
        <f aca="false">VLOOKUP($C178,01_SINTETICO!$B:$M,6,0)*$G178*(1+BDI_DIF)</f>
        <v>8155.74468803679</v>
      </c>
      <c r="I178" s="268" t="n">
        <f aca="false">VLOOKUP($C178,01_SINTETICO!$B:$M,7,0)*$G178*(1+BDI_MDO)</f>
        <v>170.923000365312</v>
      </c>
      <c r="J178" s="269" t="n">
        <f aca="false">SUM(H178:I178)</f>
        <v>8326.6676884021</v>
      </c>
      <c r="K178" s="270" t="n">
        <f aca="false">J178/SUM($J$7:$J$749)</f>
        <v>0.000922375874943123</v>
      </c>
      <c r="L178" s="271" t="n">
        <f aca="false">K178+L177</f>
        <v>0.923942592853108</v>
      </c>
    </row>
    <row r="179" customFormat="false" ht="38.25" hidden="false" customHeight="false" outlineLevel="0" collapsed="false">
      <c r="A179" s="264" t="n">
        <f aca="false">K179</f>
        <v>0.000921573391564482</v>
      </c>
      <c r="B179" s="265" t="str">
        <f aca="false">VLOOKUP($C179,01_SINTETICO!$B:$N,13,0)</f>
        <v>3.2.3.1.3</v>
      </c>
      <c r="C179" s="272" t="n">
        <v>96539</v>
      </c>
      <c r="D179" s="266" t="str">
        <f aca="false">VLOOKUP($C179,01_SINTETICO!$B:$M,2,0)</f>
        <v>FABRICAÇÃO, MONTAGEM E DESMONTAGEM DE FÔRMA PARA VIGA BALDRAME, EM CHAPA DE MADEIRA COMPENSADA RESINADA, E=17 MM, 2 UTILIZAÇÕES. AF_01/2024</v>
      </c>
      <c r="E179" s="272" t="str">
        <f aca="false">VLOOKUP($B179,01_SINTETICO!$A:$M,4,0)</f>
        <v>SER.CG</v>
      </c>
      <c r="F179" s="273" t="str">
        <f aca="false">VLOOKUP($B179,01_SINTETICO!$A:$M,5,0)</f>
        <v>M2</v>
      </c>
      <c r="G179" s="267" t="n">
        <f aca="true">SUMIFS(INDIRECT("'01_SINTETICO'!F7:F995"),INDIRECT("'01_SINTETICO'!B7:B995"),$C179)</f>
        <v>54.65</v>
      </c>
      <c r="H179" s="268" t="n">
        <f aca="false">VLOOKUP($C179,01_SINTETICO!$B:$M,6,0)*$G179*(1+BDI_DIF)</f>
        <v>4739.13710251683</v>
      </c>
      <c r="I179" s="268" t="n">
        <f aca="false">VLOOKUP($C179,01_SINTETICO!$B:$M,7,0)*$G179*(1+BDI_MDO)</f>
        <v>3580.28623724072</v>
      </c>
      <c r="J179" s="269" t="n">
        <f aca="false">SUM(H179:I179)</f>
        <v>8319.42333975756</v>
      </c>
      <c r="K179" s="270" t="n">
        <f aca="false">J179/SUM($J$7:$J$749)</f>
        <v>0.000921573391564482</v>
      </c>
      <c r="L179" s="271" t="n">
        <f aca="false">K179+L178</f>
        <v>0.924864166244673</v>
      </c>
    </row>
    <row r="180" customFormat="false" ht="38.25" hidden="false" customHeight="false" outlineLevel="0" collapsed="false">
      <c r="A180" s="264" t="n">
        <f aca="false">K180</f>
        <v>0.000920263064729035</v>
      </c>
      <c r="B180" s="265" t="str">
        <f aca="false">VLOOKUP($C180,01_SINTETICO!$B:$N,13,0)</f>
        <v>2.1.1.5</v>
      </c>
      <c r="C180" s="272" t="n">
        <v>100982</v>
      </c>
      <c r="D180" s="266" t="str">
        <f aca="false">VLOOKUP($C180,01_SINTETICO!$B:$M,2,0)</f>
        <v>CARGA, MANOBRA E DESCARGA DE ENTULHO EM CAMINHÃO BASCULANTE 10 M³ - CARGA COM ESCAVADEIRA HIDRÁULICA (CAÇAMBA DE 0,80 M³ / 111 HP) E DESCARGA LIVRE (UNIDADE: M3). AF_07/2020</v>
      </c>
      <c r="E180" s="272" t="str">
        <f aca="false">VLOOKUP($B180,01_SINTETICO!$A:$M,4,0)</f>
        <v>SER.CG</v>
      </c>
      <c r="F180" s="273" t="str">
        <f aca="false">VLOOKUP($B180,01_SINTETICO!$A:$M,5,0)</f>
        <v>M3</v>
      </c>
      <c r="G180" s="267" t="n">
        <f aca="true">SUMIFS(INDIRECT("'01_SINTETICO'!F7:F995"),INDIRECT("'01_SINTETICO'!B7:B995"),$C180)</f>
        <v>1008.14</v>
      </c>
      <c r="H180" s="268" t="n">
        <f aca="false">VLOOKUP($C180,01_SINTETICO!$B:$M,6,0)*$G180*(1+BDI_DIF)</f>
        <v>6763.40552010684</v>
      </c>
      <c r="I180" s="268" t="n">
        <f aca="false">VLOOKUP($C180,01_SINTETICO!$B:$M,7,0)*$G180*(1+BDI_MDO)</f>
        <v>1544.18895853415</v>
      </c>
      <c r="J180" s="269" t="n">
        <f aca="false">SUM(H180:I180)</f>
        <v>8307.594478641</v>
      </c>
      <c r="K180" s="270" t="n">
        <f aca="false">J180/SUM($J$7:$J$749)</f>
        <v>0.000920263064729035</v>
      </c>
      <c r="L180" s="271" t="n">
        <f aca="false">K180+L179</f>
        <v>0.925784429309402</v>
      </c>
    </row>
    <row r="181" customFormat="false" ht="38.25" hidden="false" customHeight="false" outlineLevel="0" collapsed="false">
      <c r="A181" s="264" t="n">
        <f aca="false">K181</f>
        <v>0.00087919580658253</v>
      </c>
      <c r="B181" s="265" t="str">
        <f aca="false">VLOOKUP($C181,01_SINTETICO!$B:$N,13,0)</f>
        <v>12.2.2.2</v>
      </c>
      <c r="C181" s="274" t="n">
        <v>91837</v>
      </c>
      <c r="D181" s="266" t="str">
        <f aca="false">VLOOKUP($C181,01_SINTETICO!$B:$M,2,0)</f>
        <v>ELETRODUTO FLEXÍVEL CORRUGADO REFORÇADO, PVC, DN 32 MM (1"), PARA CIRCUITOS TERMINAIS, INSTALADO EM FORRO - FORNECIMENTO E INSTALAÇÃO. AF_03/2023</v>
      </c>
      <c r="E181" s="266" t="str">
        <f aca="false">VLOOKUP($B181,01_SINTETICO!$A:$M,4,0)</f>
        <v>SER.CG</v>
      </c>
      <c r="F181" s="267" t="str">
        <f aca="false">VLOOKUP($B181,01_SINTETICO!$A:$M,5,0)</f>
        <v>M</v>
      </c>
      <c r="G181" s="267" t="n">
        <f aca="true">SUMIFS(INDIRECT("'01_SINTETICO'!F7:F995"),INDIRECT("'01_SINTETICO'!B7:B995"),$C181)</f>
        <v>350</v>
      </c>
      <c r="H181" s="268" t="n">
        <f aca="false">VLOOKUP($C181,01_SINTETICO!$B:$M,6,0)*$G181*(1+BDI_DIF)</f>
        <v>4078.94102382904</v>
      </c>
      <c r="I181" s="268" t="n">
        <f aca="false">VLOOKUP($C181,01_SINTETICO!$B:$M,7,0)*$G181*(1+BDI_MDO)</f>
        <v>3857.92236703187</v>
      </c>
      <c r="J181" s="269" t="n">
        <f aca="false">SUM(H181:I181)</f>
        <v>7936.86339086092</v>
      </c>
      <c r="K181" s="270" t="n">
        <f aca="false">J181/SUM($J$7:$J$749)</f>
        <v>0.00087919580658253</v>
      </c>
      <c r="L181" s="271" t="n">
        <f aca="false">K181+L180</f>
        <v>0.926663625115984</v>
      </c>
    </row>
    <row r="182" customFormat="false" ht="25.5" hidden="false" customHeight="false" outlineLevel="0" collapsed="false">
      <c r="A182" s="264" t="n">
        <f aca="false">K182</f>
        <v>0.000843440192320404</v>
      </c>
      <c r="B182" s="265" t="str">
        <f aca="false">VLOOKUP($C182,01_SINTETICO!$B:$N,13,0)</f>
        <v>11.6.2.23</v>
      </c>
      <c r="C182" s="266" t="n">
        <v>103979</v>
      </c>
      <c r="D182" s="266" t="str">
        <f aca="false">VLOOKUP($C182,01_SINTETICO!$B:$M,2,0)</f>
        <v>TUBO, PVC, SOLDÁVEL, DE 50MM, INSTALADO EM RAMAL DE DISTRIBUIÇÃO DE ÁGUA - FORNECIMENTO E INSTALAÇÃO. AF_06/2022</v>
      </c>
      <c r="E182" s="266" t="str">
        <f aca="false">VLOOKUP($B182,01_SINTETICO!$A:$M,4,0)</f>
        <v>SER.CG</v>
      </c>
      <c r="F182" s="267" t="str">
        <f aca="false">VLOOKUP($B182,01_SINTETICO!$A:$M,5,0)</f>
        <v>M</v>
      </c>
      <c r="G182" s="267" t="n">
        <f aca="true">SUMIFS(INDIRECT("'01_SINTETICO'!F7:F995"),INDIRECT("'01_SINTETICO'!B7:B995"),$C182)</f>
        <v>213.4</v>
      </c>
      <c r="H182" s="268" t="n">
        <f aca="false">VLOOKUP($C182,01_SINTETICO!$B:$M,6,0)*$G182*(1+BDI_MAT)</f>
        <v>5131.84366154152</v>
      </c>
      <c r="I182" s="268" t="n">
        <f aca="false">VLOOKUP($C182,01_SINTETICO!$B:$M,7,0)*$G182*(1+BDI_MDO)</f>
        <v>2482.23904300345</v>
      </c>
      <c r="J182" s="269" t="n">
        <f aca="false">SUM(H182:I182)</f>
        <v>7614.08270454497</v>
      </c>
      <c r="K182" s="270" t="n">
        <f aca="false">J182/SUM($J$7:$J$749)</f>
        <v>0.000843440192320404</v>
      </c>
      <c r="L182" s="271" t="n">
        <f aca="false">K182+L181</f>
        <v>0.927507065308305</v>
      </c>
    </row>
    <row r="183" customFormat="false" ht="25.5" hidden="false" customHeight="false" outlineLevel="0" collapsed="false">
      <c r="A183" s="264" t="n">
        <f aca="false">K183</f>
        <v>0.000835066169549139</v>
      </c>
      <c r="B183" s="265" t="str">
        <f aca="false">VLOOKUP($C183,01_SINTETICO!$B:$N,13,0)</f>
        <v>3.2.2.3.2.2</v>
      </c>
      <c r="C183" s="266" t="n">
        <v>92768</v>
      </c>
      <c r="D183" s="266" t="str">
        <f aca="false">VLOOKUP($C183,01_SINTETICO!$B:$M,2,0)</f>
        <v>ARMAÇÃO DE LAJE DE ESTRUTURA CONVENCIONAL DE CONCRETO ARMADO UTILIZANDO AÇO CA-60 DE 5,0 MM - MONTAGEM. AF_06/2022</v>
      </c>
      <c r="E183" s="266" t="str">
        <f aca="false">VLOOKUP($B183,01_SINTETICO!$A:$M,4,0)</f>
        <v>SER.CG</v>
      </c>
      <c r="F183" s="267" t="str">
        <f aca="false">VLOOKUP($B183,01_SINTETICO!$A:$M,5,0)</f>
        <v>KG</v>
      </c>
      <c r="G183" s="267" t="n">
        <f aca="true">SUMIFS(INDIRECT("'01_SINTETICO'!F7:F995"),INDIRECT("'01_SINTETICO'!B7:B995"),$C183)</f>
        <v>493.66</v>
      </c>
      <c r="H183" s="268" t="n">
        <f aca="false">VLOOKUP($C183,01_SINTETICO!$B:$M,6,0)*$G183*(1+BDI_DIF)</f>
        <v>5519.42753517456</v>
      </c>
      <c r="I183" s="268" t="n">
        <f aca="false">VLOOKUP($C183,01_SINTETICO!$B:$M,7,0)*$G183*(1+BDI_MDO)</f>
        <v>2019.05940984804</v>
      </c>
      <c r="J183" s="269" t="n">
        <f aca="false">SUM(H183:I183)</f>
        <v>7538.4869450226</v>
      </c>
      <c r="K183" s="270" t="n">
        <f aca="false">J183/SUM($J$7:$J$749)</f>
        <v>0.000835066169549139</v>
      </c>
      <c r="L183" s="271" t="n">
        <f aca="false">K183+L182</f>
        <v>0.928342131477854</v>
      </c>
    </row>
    <row r="184" customFormat="false" ht="25.5" hidden="false" customHeight="false" outlineLevel="0" collapsed="false">
      <c r="A184" s="264" t="n">
        <f aca="false">K184</f>
        <v>0.000826166534611031</v>
      </c>
      <c r="B184" s="265" t="str">
        <f aca="false">VLOOKUP($C184,01_SINTETICO!$B:$N,13,0)</f>
        <v>3.2.2.3.2.9</v>
      </c>
      <c r="C184" s="266" t="n">
        <v>97088</v>
      </c>
      <c r="D184" s="266" t="str">
        <f aca="false">VLOOKUP($C184,01_SINTETICO!$B:$M,2,0)</f>
        <v>ARMAÇÃO PARA EXECUÇÃO DE RADIER, PISO DE CONCRETO OU LAJE SOBRE SOLO, COM USO DE TELA Q-92. AF_09/2021</v>
      </c>
      <c r="E184" s="266" t="str">
        <f aca="false">VLOOKUP($B184,01_SINTETICO!$A:$M,4,0)</f>
        <v>SER.CG</v>
      </c>
      <c r="F184" s="267" t="str">
        <f aca="false">VLOOKUP($B184,01_SINTETICO!$A:$M,5,0)</f>
        <v>KG</v>
      </c>
      <c r="G184" s="267" t="n">
        <f aca="true">SUMIFS(INDIRECT("'01_SINTETICO'!F7:F995"),INDIRECT("'01_SINTETICO'!B7:B995"),$C184)</f>
        <v>457.8</v>
      </c>
      <c r="H184" s="268" t="n">
        <f aca="false">VLOOKUP($C184,01_SINTETICO!$B:$M,6,0)*$G184*(1+BDI_DIF)</f>
        <v>7340.718784135</v>
      </c>
      <c r="I184" s="268" t="n">
        <f aca="false">VLOOKUP($C184,01_SINTETICO!$B:$M,7,0)*$G184*(1+BDI_MDO)</f>
        <v>117.427483414561</v>
      </c>
      <c r="J184" s="269" t="n">
        <f aca="false">SUM(H184:I184)</f>
        <v>7458.14626754956</v>
      </c>
      <c r="K184" s="270" t="n">
        <f aca="false">J184/SUM($J$7:$J$749)</f>
        <v>0.000826166534611031</v>
      </c>
      <c r="L184" s="271" t="n">
        <f aca="false">K184+L183</f>
        <v>0.929168298012465</v>
      </c>
    </row>
    <row r="185" customFormat="false" ht="25.5" hidden="false" customHeight="false" outlineLevel="0" collapsed="false">
      <c r="A185" s="264" t="n">
        <f aca="false">K185</f>
        <v>0.000825329074204896</v>
      </c>
      <c r="B185" s="265" t="str">
        <f aca="false">VLOOKUP($C185,01_SINTETICO!$B:$N,13,0)</f>
        <v>14.4.2</v>
      </c>
      <c r="C185" s="266" t="n">
        <v>96977</v>
      </c>
      <c r="D185" s="266" t="str">
        <f aca="false">VLOOKUP($C185,01_SINTETICO!$B:$M,2,0)</f>
        <v>CORDOALHA DE COBRE NU 50 MM², ENTERRADA - FORNECIMENTO E INSTALAÇÃO. AF_08/2023</v>
      </c>
      <c r="E185" s="266" t="str">
        <f aca="false">VLOOKUP($B185,01_SINTETICO!$A:$M,4,0)</f>
        <v>SER.CG</v>
      </c>
      <c r="F185" s="267" t="str">
        <f aca="false">VLOOKUP($B185,01_SINTETICO!$A:$M,5,0)</f>
        <v>M</v>
      </c>
      <c r="G185" s="267" t="n">
        <f aca="true">SUMIFS(INDIRECT("'01_SINTETICO'!F7:F995"),INDIRECT("'01_SINTETICO'!B7:B995"),$C185)</f>
        <v>106.54</v>
      </c>
      <c r="H185" s="268" t="n">
        <f aca="false">VLOOKUP($C185,01_SINTETICO!$B:$M,6,0)*$G185*(1+BDI_DIF)</f>
        <v>7294.44586735413</v>
      </c>
      <c r="I185" s="268" t="n">
        <f aca="false">VLOOKUP($C185,01_SINTETICO!$B:$M,7,0)*$G185*(1+BDI_MDO)</f>
        <v>156.140299488642</v>
      </c>
      <c r="J185" s="269" t="n">
        <f aca="false">SUM(H185:I185)</f>
        <v>7450.58616684277</v>
      </c>
      <c r="K185" s="270" t="n">
        <f aca="false">J185/SUM($J$7:$J$749)</f>
        <v>0.000825329074204896</v>
      </c>
      <c r="L185" s="271" t="n">
        <f aca="false">K185+L184</f>
        <v>0.92999362708667</v>
      </c>
    </row>
    <row r="186" customFormat="false" ht="25.5" hidden="false" customHeight="false" outlineLevel="0" collapsed="false">
      <c r="A186" s="264" t="n">
        <f aca="false">K186</f>
        <v>0.000820654441484351</v>
      </c>
      <c r="B186" s="265" t="str">
        <f aca="false">VLOOKUP($C186,01_SINTETICO!$B:$N,13,0)</f>
        <v>10.1.9</v>
      </c>
      <c r="C186" s="272" t="s">
        <v>629</v>
      </c>
      <c r="D186" s="266" t="str">
        <f aca="false">VLOOKUP($C186,01_SINTETICO!$B:$M,2,0)</f>
        <v>ESPELHO CRISTAL, ESPESSURA 4 MM, SEM MOLDURA, APARAFUSADO COM BOTÃO FRANCÊS, COM ÁREA MENOR OU IGUAL A 1,0 M2.</v>
      </c>
      <c r="E186" s="272" t="str">
        <f aca="false">VLOOKUP($B186,01_SINTETICO!$A:$M,4,0)</f>
        <v>SER.CG</v>
      </c>
      <c r="F186" s="273" t="str">
        <f aca="false">VLOOKUP($B186,01_SINTETICO!$A:$M,5,0)</f>
        <v>M2</v>
      </c>
      <c r="G186" s="267" t="n">
        <f aca="true">SUMIFS(INDIRECT("'01_SINTETICO'!F7:F995"),INDIRECT("'01_SINTETICO'!B7:B995"),$C186)</f>
        <v>10.8</v>
      </c>
      <c r="H186" s="268" t="n">
        <f aca="false">VLOOKUP($C186,01_SINTETICO!$B:$M,6,0)*$G186*(1+BDI_DIF)</f>
        <v>7223.1628547371</v>
      </c>
      <c r="I186" s="268" t="n">
        <f aca="false">VLOOKUP($C186,01_SINTETICO!$B:$M,7,0)*$G186*(1+BDI_MDO)</f>
        <v>185.223473312496</v>
      </c>
      <c r="J186" s="269" t="n">
        <f aca="false">SUM(H186:I186)</f>
        <v>7408.3863280496</v>
      </c>
      <c r="K186" s="270" t="n">
        <f aca="false">J186/SUM($J$7:$J$749)</f>
        <v>0.000820654441484351</v>
      </c>
      <c r="L186" s="271" t="n">
        <f aca="false">K186+L185</f>
        <v>0.930814281528154</v>
      </c>
    </row>
    <row r="187" customFormat="false" ht="25.5" hidden="false" customHeight="false" outlineLevel="0" collapsed="false">
      <c r="A187" s="264" t="n">
        <f aca="false">K187</f>
        <v>0.000802097600206924</v>
      </c>
      <c r="B187" s="265" t="str">
        <f aca="false">VLOOKUP($C187,01_SINTETICO!$B:$N,13,0)</f>
        <v>11.4.5.1</v>
      </c>
      <c r="C187" s="272" t="s">
        <v>798</v>
      </c>
      <c r="D187" s="266" t="str">
        <f aca="false">VLOOKUP($C187,01_SINTETICO!$B:$M,2,0)</f>
        <v>DRENO SUBSUPERFICIAL (SEÇÃO 0,30 X 0,30 M), CEGO, ENCHIMENTO DE BRITA, ENVOLVIDO COM MANTA GEOTÊXTIL.</v>
      </c>
      <c r="E187" s="272" t="str">
        <f aca="false">VLOOKUP($B187,01_SINTETICO!$A:$M,4,0)</f>
        <v>SER.CG</v>
      </c>
      <c r="F187" s="273" t="str">
        <f aca="false">VLOOKUP($B187,01_SINTETICO!$A:$M,5,0)</f>
        <v>M</v>
      </c>
      <c r="G187" s="267" t="n">
        <f aca="true">SUMIFS(INDIRECT("'01_SINTETICO'!F7:F995"),INDIRECT("'01_SINTETICO'!B7:B995"),$C187)</f>
        <v>218.57</v>
      </c>
      <c r="H187" s="268" t="n">
        <f aca="false">VLOOKUP($C187,01_SINTETICO!$B:$M,6,0)*$G187*(1+BDI_DIF)</f>
        <v>6104.50942027775</v>
      </c>
      <c r="I187" s="268" t="n">
        <f aca="false">VLOOKUP($C187,01_SINTETICO!$B:$M,7,0)*$G187*(1+BDI_MDO)</f>
        <v>1136.35664313669</v>
      </c>
      <c r="J187" s="269" t="n">
        <f aca="false">SUM(H187:I187)</f>
        <v>7240.86606341444</v>
      </c>
      <c r="K187" s="270" t="n">
        <f aca="false">J187/SUM($J$7:$J$749)</f>
        <v>0.000802097600206924</v>
      </c>
      <c r="L187" s="271" t="n">
        <f aca="false">K187+L186</f>
        <v>0.931616379128361</v>
      </c>
    </row>
    <row r="188" customFormat="false" ht="25.5" hidden="false" customHeight="false" outlineLevel="0" collapsed="false">
      <c r="A188" s="264" t="n">
        <f aca="false">K188</f>
        <v>0.000797532230097108</v>
      </c>
      <c r="B188" s="265" t="str">
        <f aca="false">VLOOKUP($C188,01_SINTETICO!$B:$N,13,0)</f>
        <v>4.3.2</v>
      </c>
      <c r="C188" s="266" t="s">
        <v>373</v>
      </c>
      <c r="D188" s="266" t="str">
        <f aca="false">VLOOKUP($C188,01_SINTETICO!$B:$M,2,0)</f>
        <v>PELICULA ADESIVA DE CONTROLE SOLAR ANTI RISCO, PARA VIDRO - FORNECIMENTO E INSTALAÇÃO</v>
      </c>
      <c r="E188" s="266" t="str">
        <f aca="false">VLOOKUP($B188,01_SINTETICO!$A:$M,4,0)</f>
        <v>SER.CG</v>
      </c>
      <c r="F188" s="267" t="str">
        <f aca="false">VLOOKUP($B188,01_SINTETICO!$A:$M,5,0)</f>
        <v>M2</v>
      </c>
      <c r="G188" s="267" t="n">
        <f aca="true">SUMIFS(INDIRECT("'01_SINTETICO'!F7:F995"),INDIRECT("'01_SINTETICO'!B7:B995"),$C188)</f>
        <v>110.06</v>
      </c>
      <c r="H188" s="268" t="n">
        <f aca="false">VLOOKUP($C188,01_SINTETICO!$B:$M,6,0)*$G188*(1+BDI_DIF)</f>
        <v>4719.27887025621</v>
      </c>
      <c r="I188" s="268" t="n">
        <f aca="false">VLOOKUP($C188,01_SINTETICO!$B:$M,7,0)*$G188*(1+BDI_MDO)</f>
        <v>2480.37371304489</v>
      </c>
      <c r="J188" s="269" t="n">
        <f aca="false">SUM(H188:I188)</f>
        <v>7199.65258330109</v>
      </c>
      <c r="K188" s="270" t="n">
        <f aca="false">J188/SUM($J$7:$J$749)</f>
        <v>0.000797532230097108</v>
      </c>
      <c r="L188" s="271" t="n">
        <f aca="false">K188+L187</f>
        <v>0.932413911358458</v>
      </c>
    </row>
    <row r="189" customFormat="false" ht="38.25" hidden="false" customHeight="false" outlineLevel="0" collapsed="false">
      <c r="A189" s="264" t="n">
        <f aca="false">K189</f>
        <v>0.000788496140019828</v>
      </c>
      <c r="B189" s="265" t="str">
        <f aca="false">VLOOKUP($C189,01_SINTETICO!$B:$N,13,0)</f>
        <v>8.1.1.3.3</v>
      </c>
      <c r="C189" s="272" t="s">
        <v>527</v>
      </c>
      <c r="D189" s="266" t="str">
        <f aca="false">VLOOKUP($C189,01_SINTETICO!$B:$M,2,0)</f>
        <v>REVESTIMENTO CERÂMICO PARA PISO COM PLACAS TIPO ESMALTADA EXTRA DE DIMENSÕES 30X30 CM APLICADA EM AMBIENTES DE ÁREA MENOR QUE 5 M2.</v>
      </c>
      <c r="E189" s="272" t="str">
        <f aca="false">VLOOKUP($B189,01_SINTETICO!$A:$M,4,0)</f>
        <v>SER.CG</v>
      </c>
      <c r="F189" s="273" t="str">
        <f aca="false">VLOOKUP($B189,01_SINTETICO!$A:$M,5,0)</f>
        <v>M2</v>
      </c>
      <c r="G189" s="267" t="n">
        <f aca="true">SUMIFS(INDIRECT("'01_SINTETICO'!F7:F995"),INDIRECT("'01_SINTETICO'!B7:B995"),$C189)</f>
        <v>92.39</v>
      </c>
      <c r="H189" s="268" t="n">
        <f aca="false">VLOOKUP($C189,01_SINTETICO!$B:$M,6,0)*$G189*(1+BDI_DIF)</f>
        <v>5134.18349784981</v>
      </c>
      <c r="I189" s="268" t="n">
        <f aca="false">VLOOKUP($C189,01_SINTETICO!$B:$M,7,0)*$G189*(1+BDI_MDO)</f>
        <v>1983.89657112179</v>
      </c>
      <c r="J189" s="269" t="n">
        <f aca="false">SUM(H189:I189)</f>
        <v>7118.0800689716</v>
      </c>
      <c r="K189" s="270" t="n">
        <f aca="false">J189/SUM($J$7:$J$749)</f>
        <v>0.000788496140019828</v>
      </c>
      <c r="L189" s="271" t="n">
        <f aca="false">K189+L188</f>
        <v>0.933202407498478</v>
      </c>
    </row>
    <row r="190" customFormat="false" ht="25.5" hidden="false" customHeight="false" outlineLevel="0" collapsed="false">
      <c r="A190" s="264" t="n">
        <f aca="false">K190</f>
        <v>0.000787786611852058</v>
      </c>
      <c r="B190" s="265" t="str">
        <f aca="false">VLOOKUP($C190,01_SINTETICO!$B:$N,13,0)</f>
        <v>3.2.1.1.1</v>
      </c>
      <c r="C190" s="266" t="s">
        <v>117</v>
      </c>
      <c r="D190" s="266" t="str">
        <f aca="false">VLOOKUP($C190,01_SINTETICO!$B:$M,2,0)</f>
        <v>MOBILIZAÇÃO E DESMOBILIZAÇÃO DE EQUIPAMENTO PARA ESTACAS</v>
      </c>
      <c r="E190" s="266" t="str">
        <f aca="false">VLOOKUP($B190,01_SINTETICO!$A:$M,4,0)</f>
        <v>SER.CG</v>
      </c>
      <c r="F190" s="267" t="str">
        <f aca="false">VLOOKUP($B190,01_SINTETICO!$A:$M,5,0)</f>
        <v>UN</v>
      </c>
      <c r="G190" s="267" t="n">
        <f aca="true">SUMIFS(INDIRECT("'01_SINTETICO'!F7:F995"),INDIRECT("'01_SINTETICO'!B7:B995"),$C190)</f>
        <v>1</v>
      </c>
      <c r="H190" s="268" t="n">
        <f aca="false">VLOOKUP($C190,01_SINTETICO!$B:$M,6,0)*$G190*(1+BDI_DIF)</f>
        <v>7098.51237451147</v>
      </c>
      <c r="I190" s="268" t="n">
        <f aca="false">VLOOKUP($C190,01_SINTETICO!$B:$M,7,0)*$G190*(1+BDI_MDO)</f>
        <v>13.1624908668</v>
      </c>
      <c r="J190" s="269" t="n">
        <f aca="false">SUM(H190:I190)</f>
        <v>7111.67486537827</v>
      </c>
      <c r="K190" s="270" t="n">
        <f aca="false">J190/SUM($J$7:$J$749)</f>
        <v>0.000787786611852058</v>
      </c>
      <c r="L190" s="271" t="n">
        <f aca="false">K190+L189</f>
        <v>0.93399019411033</v>
      </c>
    </row>
    <row r="191" customFormat="false" ht="25.5" hidden="false" customHeight="false" outlineLevel="0" collapsed="false">
      <c r="A191" s="264" t="n">
        <f aca="false">K191</f>
        <v>0.000780778707633579</v>
      </c>
      <c r="B191" s="265" t="str">
        <f aca="false">VLOOKUP($C191,01_SINTETICO!$B:$N,13,0)</f>
        <v>6.2.2</v>
      </c>
      <c r="C191" s="266" t="n">
        <v>94213</v>
      </c>
      <c r="D191" s="266" t="str">
        <f aca="false">VLOOKUP($C191,01_SINTETICO!$B:$M,2,0)</f>
        <v>TELHAMENTO COM TELHA DE AÇO/ALUMÍNIO E = 0,5 MM, COM ATÉ 2 ÁGUAS, INCLUSO IÇAMENTO. AF_07/2019</v>
      </c>
      <c r="E191" s="266" t="str">
        <f aca="false">VLOOKUP($B191,01_SINTETICO!$A:$M,4,0)</f>
        <v>SER.CG</v>
      </c>
      <c r="F191" s="267" t="str">
        <f aca="false">VLOOKUP($B191,01_SINTETICO!$A:$M,5,0)</f>
        <v>M2</v>
      </c>
      <c r="G191" s="267" t="n">
        <f aca="true">SUMIFS(INDIRECT("'01_SINTETICO'!F7:F995"),INDIRECT("'01_SINTETICO'!B7:B995"),$C191)</f>
        <v>111.25</v>
      </c>
      <c r="H191" s="268" t="n">
        <f aca="false">VLOOKUP($C191,01_SINTETICO!$B:$M,6,0)*$G191*(1+BDI_MAT)</f>
        <v>6602.18374440793</v>
      </c>
      <c r="I191" s="268" t="n">
        <f aca="false">VLOOKUP($C191,01_SINTETICO!$B:$M,7,0)*$G191*(1+BDI_MDO)</f>
        <v>446.227877422239</v>
      </c>
      <c r="J191" s="269" t="n">
        <f aca="false">SUM(H191:I191)</f>
        <v>7048.41162183017</v>
      </c>
      <c r="K191" s="270" t="n">
        <f aca="false">J191/SUM($J$7:$J$749)</f>
        <v>0.000780778707633579</v>
      </c>
      <c r="L191" s="271" t="n">
        <f aca="false">K191+L190</f>
        <v>0.934770972817964</v>
      </c>
    </row>
    <row r="192" customFormat="false" ht="25.5" hidden="false" customHeight="false" outlineLevel="0" collapsed="false">
      <c r="A192" s="264" t="n">
        <f aca="false">K192</f>
        <v>0.000776023732153666</v>
      </c>
      <c r="B192" s="265" t="str">
        <f aca="false">VLOOKUP($C192,01_SINTETICO!$B:$N,13,0)</f>
        <v>3.2.1.2.4</v>
      </c>
      <c r="C192" s="272" t="n">
        <v>96543</v>
      </c>
      <c r="D192" s="266" t="str">
        <f aca="false">VLOOKUP($C192,01_SINTETICO!$B:$M,2,0)</f>
        <v>ARMAÇÃO DE BLOCO UTILIZANDO AÇO CA-60 DE 5 MM - MONTAGEM. AF_01/2024</v>
      </c>
      <c r="E192" s="272" t="str">
        <f aca="false">VLOOKUP($B192,01_SINTETICO!$A:$M,4,0)</f>
        <v>SER.CG</v>
      </c>
      <c r="F192" s="273" t="str">
        <f aca="false">VLOOKUP($B192,01_SINTETICO!$A:$M,5,0)</f>
        <v>KG</v>
      </c>
      <c r="G192" s="267" t="n">
        <f aca="true">SUMIFS(INDIRECT("'01_SINTETICO'!F7:F995"),INDIRECT("'01_SINTETICO'!B7:B995"),$C192)</f>
        <v>301.1</v>
      </c>
      <c r="H192" s="268" t="n">
        <f aca="false">VLOOKUP($C192,01_SINTETICO!$B:$M,6,0)*$G192*(1+BDI_DIF)</f>
        <v>4022.38842041461</v>
      </c>
      <c r="I192" s="268" t="n">
        <f aca="false">VLOOKUP($C192,01_SINTETICO!$B:$M,7,0)*$G192*(1+BDI_MDO)</f>
        <v>2983.09807537605</v>
      </c>
      <c r="J192" s="269" t="n">
        <f aca="false">SUM(H192:I192)</f>
        <v>7005.48649579066</v>
      </c>
      <c r="K192" s="270" t="n">
        <f aca="false">J192/SUM($J$7:$J$749)</f>
        <v>0.000776023732153666</v>
      </c>
      <c r="L192" s="271" t="n">
        <f aca="false">K192+L191</f>
        <v>0.935546996550117</v>
      </c>
    </row>
    <row r="193" customFormat="false" ht="25.5" hidden="false" customHeight="false" outlineLevel="0" collapsed="false">
      <c r="A193" s="264" t="n">
        <f aca="false">K193</f>
        <v>0.000771114108472573</v>
      </c>
      <c r="B193" s="265" t="str">
        <f aca="false">VLOOKUP($C193,01_SINTETICO!$B:$N,13,0)</f>
        <v>12.8.3</v>
      </c>
      <c r="C193" s="266" t="n">
        <v>91994</v>
      </c>
      <c r="D193" s="266" t="str">
        <f aca="false">VLOOKUP($C193,01_SINTETICO!$B:$M,2,0)</f>
        <v>TOMADA MÉDIA DE EMBUTIR (1 MÓDULO), 2P+T 10 A, SEM SUPORTE E SEM PLACA - FORNECIMENTO E INSTALAÇÃO. AF_03/2023</v>
      </c>
      <c r="E193" s="266" t="str">
        <f aca="false">VLOOKUP($B193,01_SINTETICO!$A:$M,4,0)</f>
        <v>SER.CG</v>
      </c>
      <c r="F193" s="267" t="str">
        <f aca="false">VLOOKUP($B193,01_SINTETICO!$A:$M,5,0)</f>
        <v>UN</v>
      </c>
      <c r="G193" s="267" t="n">
        <f aca="true">SUMIFS(INDIRECT("'01_SINTETICO'!F7:F995"),INDIRECT("'01_SINTETICO'!B7:B995"),$C193)</f>
        <v>252</v>
      </c>
      <c r="H193" s="268" t="n">
        <f aca="false">VLOOKUP($C193,01_SINTETICO!$B:$M,6,0)*$G193*(1+BDI_MAT)</f>
        <v>3424.172911488</v>
      </c>
      <c r="I193" s="268" t="n">
        <f aca="false">VLOOKUP($C193,01_SINTETICO!$B:$M,7,0)*$G193*(1+BDI_MDO)</f>
        <v>3536.99238512765</v>
      </c>
      <c r="J193" s="269" t="n">
        <f aca="false">SUM(H193:I193)</f>
        <v>6961.16529661565</v>
      </c>
      <c r="K193" s="270" t="n">
        <f aca="false">J193/SUM($J$7:$J$749)</f>
        <v>0.000771114108472573</v>
      </c>
      <c r="L193" s="271" t="n">
        <f aca="false">K193+L192</f>
        <v>0.93631811065859</v>
      </c>
    </row>
    <row r="194" customFormat="false" ht="38.25" hidden="false" customHeight="false" outlineLevel="0" collapsed="false">
      <c r="A194" s="264" t="n">
        <f aca="false">K194</f>
        <v>0.000766377333546693</v>
      </c>
      <c r="B194" s="265" t="str">
        <f aca="false">VLOOKUP($C194,01_SINTETICO!$B:$N,13,0)</f>
        <v>*16.2.2.1</v>
      </c>
      <c r="C194" s="272" t="s">
        <v>1309</v>
      </c>
      <c r="D194" s="266" t="str">
        <f aca="false">VLOOKUP($C194,01_SINTETICO!$B:$M,2,0)</f>
        <v>EXAUSTOR PARA SISTEMA DE RENOVAÇÃO DE AR, VAZÃO MÁXIMA 902 M3/H, MODELO MAX S PRO 200. REF. SICFLUX OU SIMILAR - FORNECIMENTO E INSTALAÇÃO.</v>
      </c>
      <c r="E194" s="272" t="str">
        <f aca="false">VLOOKUP($B194,01_SINTETICO!$A:$M,4,0)</f>
        <v>SER.CG</v>
      </c>
      <c r="F194" s="273" t="str">
        <f aca="false">VLOOKUP($B194,01_SINTETICO!$A:$M,5,0)</f>
        <v>UN</v>
      </c>
      <c r="G194" s="267" t="n">
        <f aca="true">SUMIFS(INDIRECT("'01_SINTETICO'!F7:F995"),INDIRECT("'01_SINTETICO'!B7:B995"),$C194)</f>
        <v>7</v>
      </c>
      <c r="H194" s="268" t="n">
        <f aca="false">VLOOKUP($C194,01_SINTETICO!$B:$M,6,0)*$G194*(1+BDI_DIF)</f>
        <v>6608.4682332403</v>
      </c>
      <c r="I194" s="268" t="n">
        <f aca="false">VLOOKUP($C194,01_SINTETICO!$B:$M,7,0)*$G194*(1+BDI_MDO)</f>
        <v>309.93624124848</v>
      </c>
      <c r="J194" s="269" t="n">
        <f aca="false">SUM(H194:I194)</f>
        <v>6918.40447448878</v>
      </c>
      <c r="K194" s="270" t="n">
        <f aca="false">J194/SUM($J$7:$J$749)</f>
        <v>0.000766377333546693</v>
      </c>
      <c r="L194" s="271" t="n">
        <f aca="false">K194+L193</f>
        <v>0.937084487992137</v>
      </c>
    </row>
    <row r="195" customFormat="false" ht="25.5" hidden="false" customHeight="false" outlineLevel="0" collapsed="false">
      <c r="A195" s="264" t="n">
        <f aca="false">K195</f>
        <v>0.000757734879734321</v>
      </c>
      <c r="B195" s="265" t="str">
        <f aca="false">VLOOKUP($C195,01_SINTETICO!$B:$N,13,0)</f>
        <v>13.9.3</v>
      </c>
      <c r="C195" s="266" t="s">
        <v>1073</v>
      </c>
      <c r="D195" s="266" t="str">
        <f aca="false">VLOOKUP($C195,01_SINTETICO!$B:$M,2,0)</f>
        <v>ARANDELA DE SOM REDONDA BRANCA, DE EMBUTIR - FORNECIMENTO E INSTALAÇÃO.</v>
      </c>
      <c r="E195" s="266" t="str">
        <f aca="false">VLOOKUP($B195,01_SINTETICO!$A:$M,4,0)</f>
        <v>SER.CG</v>
      </c>
      <c r="F195" s="267" t="str">
        <f aca="false">VLOOKUP($B195,01_SINTETICO!$A:$M,5,0)</f>
        <v>UN</v>
      </c>
      <c r="G195" s="267" t="n">
        <f aca="true">SUMIFS(INDIRECT("'01_SINTETICO'!F7:F995"),INDIRECT("'01_SINTETICO'!B7:B995"),$C195)</f>
        <v>11</v>
      </c>
      <c r="H195" s="268" t="n">
        <f aca="false">VLOOKUP($C195,01_SINTETICO!$B:$M,6,0)*$G195*(1+BDI_DIF)</f>
        <v>6682.43754097581</v>
      </c>
      <c r="I195" s="268" t="n">
        <f aca="false">VLOOKUP($C195,01_SINTETICO!$B:$M,7,0)*$G195*(1+BDI_MDO)</f>
        <v>157.947936200815</v>
      </c>
      <c r="J195" s="269" t="n">
        <f aca="false">SUM(H195:I195)</f>
        <v>6840.38547717663</v>
      </c>
      <c r="K195" s="270" t="n">
        <f aca="false">J195/SUM($J$7:$J$749)</f>
        <v>0.000757734879734321</v>
      </c>
      <c r="L195" s="271" t="n">
        <f aca="false">K195+L194</f>
        <v>0.937842222871871</v>
      </c>
    </row>
    <row r="196" customFormat="false" ht="51" hidden="false" customHeight="false" outlineLevel="0" collapsed="false">
      <c r="A196" s="264" t="n">
        <f aca="false">K196</f>
        <v>0.000735464180040226</v>
      </c>
      <c r="B196" s="265" t="str">
        <f aca="false">VLOOKUP($C196,01_SINTETICO!$B:$N,13,0)</f>
        <v>2.2.4</v>
      </c>
      <c r="C196" s="272" t="n">
        <v>96385</v>
      </c>
      <c r="D196" s="266" t="str">
        <f aca="false">VLOOKUP($C196,01_SINTETICO!$B:$M,2,0)</f>
        <v>EXECUÇÃO E COMPACTAÇÃO DE CORPO DE ATERRO DE ATERRO (95% DE ENERGIA DO PROCTOR NORMAL) COM SOLO PREDOMINANTEMENTE ARGILOSO ESPESSURA 15 CM - EXCLUSIVE MATERIAL, ESCAVAÇÃO, CARGA E TRANSPORTE. AF_09/2024</v>
      </c>
      <c r="E196" s="272" t="str">
        <f aca="false">VLOOKUP($B196,01_SINTETICO!$A:$M,4,0)</f>
        <v>SER.CG</v>
      </c>
      <c r="F196" s="273" t="str">
        <f aca="false">VLOOKUP($B196,01_SINTETICO!$A:$M,5,0)</f>
        <v>M3</v>
      </c>
      <c r="G196" s="267" t="n">
        <f aca="true">SUMIFS(INDIRECT("'01_SINTETICO'!F7:F995"),INDIRECT("'01_SINTETICO'!B7:B995"),$C196)</f>
        <v>473.77</v>
      </c>
      <c r="H196" s="268" t="n">
        <f aca="false">VLOOKUP($C196,01_SINTETICO!$B:$M,6,0)*$G196*(1+BDI_DIF)</f>
        <v>5022.65743557382</v>
      </c>
      <c r="I196" s="268" t="n">
        <f aca="false">VLOOKUP($C196,01_SINTETICO!$B:$M,7,0)*$G196*(1+BDI_MDO)</f>
        <v>1616.68124432792</v>
      </c>
      <c r="J196" s="269" t="n">
        <f aca="false">SUM(H196:I196)</f>
        <v>6639.33867990175</v>
      </c>
      <c r="K196" s="270" t="n">
        <f aca="false">J196/SUM($J$7:$J$749)</f>
        <v>0.000735464180040226</v>
      </c>
      <c r="L196" s="271" t="n">
        <f aca="false">K196+L195</f>
        <v>0.938577687051911</v>
      </c>
    </row>
    <row r="197" customFormat="false" ht="51" hidden="false" customHeight="false" outlineLevel="0" collapsed="false">
      <c r="A197" s="264" t="n">
        <f aca="false">K197</f>
        <v>0.000726472574370711</v>
      </c>
      <c r="B197" s="265" t="str">
        <f aca="false">VLOOKUP($C197,01_SINTETICO!$B:$N,13,0)</f>
        <v>4.7.3</v>
      </c>
      <c r="C197" s="266" t="n">
        <v>99839</v>
      </c>
      <c r="D197" s="266" t="str">
        <f aca="false">VLOOKUP($C197,01_SINTETICO!$B:$M,2,0)</f>
        <v>GUARDA-CORPO DE AÇO GALVANIZADO DE 1,10M DE ALTURA, MONTANTES TUBULARES DE 1.1/2 ESPAÇADOS DE 1,20M, TRAVESSA SUPERIOR DE 2 , GRADIL FORMADO POR BARRAS CHATAS EM FERRO DE 32X4,8MM, FIXADO COM CHUMBADOR MECÂNICO. AF_04/2019_PS</v>
      </c>
      <c r="E197" s="266" t="str">
        <f aca="false">VLOOKUP($B197,01_SINTETICO!$A:$M,4,0)</f>
        <v>SER.CG</v>
      </c>
      <c r="F197" s="267" t="str">
        <f aca="false">VLOOKUP($B197,01_SINTETICO!$A:$M,5,0)</f>
        <v>M</v>
      </c>
      <c r="G197" s="267" t="n">
        <f aca="true">SUMIFS(INDIRECT("'01_SINTETICO'!F7:F995"),INDIRECT("'01_SINTETICO'!B7:B995"),$C197)</f>
        <v>12.85</v>
      </c>
      <c r="H197" s="268" t="n">
        <f aca="false">VLOOKUP($C197,01_SINTETICO!$B:$M,6,0)*$G197*(1+BDI_DIF)</f>
        <v>3578.11022083025</v>
      </c>
      <c r="I197" s="268" t="n">
        <f aca="false">VLOOKUP($C197,01_SINTETICO!$B:$M,7,0)*$G197*(1+BDI_MDO)</f>
        <v>2980.05752384965</v>
      </c>
      <c r="J197" s="269" t="n">
        <f aca="false">SUM(H197:I197)</f>
        <v>6558.1677446799</v>
      </c>
      <c r="K197" s="270" t="n">
        <f aca="false">J197/SUM($J$7:$J$749)</f>
        <v>0.000726472574370711</v>
      </c>
      <c r="L197" s="271" t="n">
        <f aca="false">K197+L196</f>
        <v>0.939304159626282</v>
      </c>
    </row>
    <row r="198" customFormat="false" ht="25.5" hidden="false" customHeight="false" outlineLevel="0" collapsed="false">
      <c r="A198" s="264" t="n">
        <f aca="false">K198</f>
        <v>0.000719538659559919</v>
      </c>
      <c r="B198" s="265" t="str">
        <f aca="false">VLOOKUP($C198,01_SINTETICO!$B:$N,13,0)</f>
        <v>3.2.1.4.10</v>
      </c>
      <c r="C198" s="272" t="n">
        <v>98557</v>
      </c>
      <c r="D198" s="266" t="str">
        <f aca="false">VLOOKUP($C198,01_SINTETICO!$B:$M,2,0)</f>
        <v>IMPERMEABILIZAÇÃO DE SUPERFÍCIE COM EMULSÃO ASFÁLTICA, 2 DEMÃOS. AF_09/2023</v>
      </c>
      <c r="E198" s="272" t="str">
        <f aca="false">VLOOKUP($B198,01_SINTETICO!$A:$M,4,0)</f>
        <v>SER.CG</v>
      </c>
      <c r="F198" s="273" t="str">
        <f aca="false">VLOOKUP($B198,01_SINTETICO!$A:$M,5,0)</f>
        <v>M2</v>
      </c>
      <c r="G198" s="267" t="n">
        <f aca="true">SUMIFS(INDIRECT("'01_SINTETICO'!F7:F995"),INDIRECT("'01_SINTETICO'!B7:B995"),$C198)</f>
        <v>142.07</v>
      </c>
      <c r="H198" s="268" t="n">
        <f aca="false">VLOOKUP($C198,01_SINTETICO!$B:$M,6,0)*$G198*(1+BDI_DIF)</f>
        <v>4646.12477748132</v>
      </c>
      <c r="I198" s="268" t="n">
        <f aca="false">VLOOKUP($C198,01_SINTETICO!$B:$M,7,0)*$G198*(1+BDI_MDO)</f>
        <v>1849.44765656916</v>
      </c>
      <c r="J198" s="269" t="n">
        <f aca="false">SUM(H198:I198)</f>
        <v>6495.57243405047</v>
      </c>
      <c r="K198" s="270" t="n">
        <f aca="false">J198/SUM($J$7:$J$749)</f>
        <v>0.000719538659559919</v>
      </c>
      <c r="L198" s="271" t="n">
        <f aca="false">K198+L197</f>
        <v>0.940023698285842</v>
      </c>
    </row>
    <row r="199" customFormat="false" ht="38.25" hidden="false" customHeight="false" outlineLevel="0" collapsed="false">
      <c r="A199" s="264" t="n">
        <f aca="false">K199</f>
        <v>0.000716823408119873</v>
      </c>
      <c r="B199" s="265" t="str">
        <f aca="false">VLOOKUP($C199,01_SINTETICO!$B:$N,13,0)</f>
        <v>3.2.3.2.9</v>
      </c>
      <c r="C199" s="266" t="s">
        <v>286</v>
      </c>
      <c r="D199" s="266" t="str">
        <f aca="false">VLOOKUP($C199,01_SINTETICO!$B:$M,2,0)</f>
        <v>PILAR METÁLICO PERFIL LAMINADO/SOLDADO EM AÇO ESTRUTURAL, COM CONEXÕES PARAFUSADAS, INCLUSOS MÃO DE OBRA, TRANSPORTE E IÇAMENTO UTILIZANDO GUINDASTE - FORNECIMENTO E INSTALAÇÃO.</v>
      </c>
      <c r="E199" s="266" t="str">
        <f aca="false">VLOOKUP($B199,01_SINTETICO!$A:$M,4,0)</f>
        <v>SER.CG</v>
      </c>
      <c r="F199" s="267" t="str">
        <f aca="false">VLOOKUP($B199,01_SINTETICO!$A:$M,5,0)</f>
        <v>KG</v>
      </c>
      <c r="G199" s="267" t="n">
        <f aca="true">SUMIFS(INDIRECT("'01_SINTETICO'!F7:F995"),INDIRECT("'01_SINTETICO'!B7:B995"),$C199)</f>
        <v>407.55</v>
      </c>
      <c r="H199" s="268" t="n">
        <f aca="false">VLOOKUP($C199,01_SINTETICO!$B:$M,6,0)*$G199*(1+BDI_DIF)</f>
        <v>6264.37774265303</v>
      </c>
      <c r="I199" s="268" t="n">
        <f aca="false">VLOOKUP($C199,01_SINTETICO!$B:$M,7,0)*$G199*(1+BDI_MDO)</f>
        <v>206.682996061624</v>
      </c>
      <c r="J199" s="269" t="n">
        <f aca="false">SUM(H199:I199)</f>
        <v>6471.06073871465</v>
      </c>
      <c r="K199" s="270" t="n">
        <f aca="false">J199/SUM($J$7:$J$749)</f>
        <v>0.000716823408119873</v>
      </c>
      <c r="L199" s="271" t="n">
        <f aca="false">K199+L198</f>
        <v>0.940740521693962</v>
      </c>
    </row>
    <row r="200" customFormat="false" ht="25.5" hidden="false" customHeight="false" outlineLevel="0" collapsed="false">
      <c r="A200" s="264" t="n">
        <f aca="false">K200</f>
        <v>0.000681461600652814</v>
      </c>
      <c r="B200" s="265" t="str">
        <f aca="false">VLOOKUP($C200,01_SINTETICO!$B:$N,13,0)</f>
        <v>14.3.3</v>
      </c>
      <c r="C200" s="266" t="s">
        <v>1108</v>
      </c>
      <c r="D200" s="266" t="str">
        <f aca="false">VLOOKUP($C200,01_SINTETICO!$B:$M,2,0)</f>
        <v>CONECTOR ATERRINSERT, PARA SPDA - FORNECIMENTO E INSTALAÇÃO.</v>
      </c>
      <c r="E200" s="266" t="str">
        <f aca="false">VLOOKUP($B200,01_SINTETICO!$A:$M,4,0)</f>
        <v>SER.CG</v>
      </c>
      <c r="F200" s="267" t="str">
        <f aca="false">VLOOKUP($B200,01_SINTETICO!$A:$M,5,0)</f>
        <v>UN</v>
      </c>
      <c r="G200" s="267" t="n">
        <f aca="true">SUMIFS(INDIRECT("'01_SINTETICO'!F7:F995"),INDIRECT("'01_SINTETICO'!B7:B995"),$C200)</f>
        <v>81</v>
      </c>
      <c r="H200" s="268" t="n">
        <f aca="false">VLOOKUP($C200,01_SINTETICO!$B:$M,6,0)*$G200*(1+BDI_DIF)</f>
        <v>5483.68784296046</v>
      </c>
      <c r="I200" s="268" t="n">
        <f aca="false">VLOOKUP($C200,01_SINTETICO!$B:$M,7,0)*$G200*(1+BDI_MDO)</f>
        <v>668.147265901705</v>
      </c>
      <c r="J200" s="269" t="n">
        <f aca="false">SUM(H200:I200)</f>
        <v>6151.83510886217</v>
      </c>
      <c r="K200" s="270" t="n">
        <f aca="false">J200/SUM($J$7:$J$749)</f>
        <v>0.000681461600652814</v>
      </c>
      <c r="L200" s="271" t="n">
        <f aca="false">K200+L199</f>
        <v>0.941421983294614</v>
      </c>
    </row>
    <row r="201" customFormat="false" ht="38.25" hidden="false" customHeight="false" outlineLevel="0" collapsed="false">
      <c r="A201" s="264" t="n">
        <f aca="false">K201</f>
        <v>0.000658025504239037</v>
      </c>
      <c r="B201" s="265" t="str">
        <f aca="false">VLOOKUP($C201,01_SINTETICO!$B:$N,13,0)</f>
        <v>6.1.2</v>
      </c>
      <c r="C201" s="266" t="n">
        <v>92580</v>
      </c>
      <c r="D201" s="266" t="str">
        <f aca="false">VLOOKUP($C201,01_SINTETICO!$B:$M,2,0)</f>
        <v>TRAMA DE AÇO COMPOSTA POR TERÇAS PARA TELHADOS DE ATÉ 2 ÁGUAS PARA TELHA ONDULADA DE FIBROCIMENTO, METÁLICA, PLÁSTICA OU TERMOACÚSTICA, INCLUSO TRANSPORTE VERTICAL. AF_07/2019</v>
      </c>
      <c r="E201" s="266" t="str">
        <f aca="false">VLOOKUP($B201,01_SINTETICO!$A:$M,4,0)</f>
        <v>SER.CG</v>
      </c>
      <c r="F201" s="267" t="str">
        <f aca="false">VLOOKUP($B201,01_SINTETICO!$A:$M,5,0)</f>
        <v>M2</v>
      </c>
      <c r="G201" s="267" t="n">
        <f aca="true">SUMIFS(INDIRECT("'01_SINTETICO'!F7:F995"),INDIRECT("'01_SINTETICO'!B7:B995"),$C201)</f>
        <v>111.25</v>
      </c>
      <c r="H201" s="268" t="n">
        <f aca="false">VLOOKUP($C201,01_SINTETICO!$B:$M,6,0)*$G201*(1+BDI_DIF)</f>
        <v>5273.35575731397</v>
      </c>
      <c r="I201" s="268" t="n">
        <f aca="false">VLOOKUP($C201,01_SINTETICO!$B:$M,7,0)*$G201*(1+BDI_MDO)</f>
        <v>666.912037124553</v>
      </c>
      <c r="J201" s="269" t="n">
        <f aca="false">SUM(H201:I201)</f>
        <v>5940.26779443852</v>
      </c>
      <c r="K201" s="270" t="n">
        <f aca="false">J201/SUM($J$7:$J$749)</f>
        <v>0.000658025504239037</v>
      </c>
      <c r="L201" s="271" t="n">
        <f aca="false">K201+L200</f>
        <v>0.942080008798853</v>
      </c>
    </row>
    <row r="202" customFormat="false" ht="25.5" hidden="false" customHeight="false" outlineLevel="0" collapsed="false">
      <c r="A202" s="264" t="n">
        <f aca="false">K202</f>
        <v>0.000656138691878381</v>
      </c>
      <c r="B202" s="265" t="str">
        <f aca="false">VLOOKUP($C202,01_SINTETICO!$B:$N,13,0)</f>
        <v>8.1.1.2.5</v>
      </c>
      <c r="C202" s="266" t="s">
        <v>519</v>
      </c>
      <c r="D202" s="266" t="str">
        <f aca="false">VLOOKUP($C202,01_SINTETICO!$B:$M,2,0)</f>
        <v>PISO TÁTIL ALERTA, ELEMENTOS EM ABS REVESTIDOS DE INOX - FORNECIMENTO E INSTALAÇÃO</v>
      </c>
      <c r="E202" s="266" t="str">
        <f aca="false">VLOOKUP($B202,01_SINTETICO!$A:$M,4,0)</f>
        <v>SER.CG</v>
      </c>
      <c r="F202" s="267" t="str">
        <f aca="false">VLOOKUP($B202,01_SINTETICO!$A:$M,5,0)</f>
        <v>M</v>
      </c>
      <c r="G202" s="267" t="n">
        <f aca="true">SUMIFS(INDIRECT("'01_SINTETICO'!F7:F995"),INDIRECT("'01_SINTETICO'!B7:B995"),$C202)</f>
        <v>34</v>
      </c>
      <c r="H202" s="268" t="n">
        <f aca="false">VLOOKUP($C202,01_SINTETICO!$B:$M,6,0)*$G202*(1+BDI_DIF)</f>
        <v>5475.71007109865</v>
      </c>
      <c r="I202" s="268" t="n">
        <f aca="false">VLOOKUP($C202,01_SINTETICO!$B:$M,7,0)*$G202*(1+BDI_MDO)</f>
        <v>447.5246894712</v>
      </c>
      <c r="J202" s="269" t="n">
        <f aca="false">SUM(H202:I202)</f>
        <v>5923.23476056985</v>
      </c>
      <c r="K202" s="270" t="n">
        <f aca="false">J202/SUM($J$7:$J$749)</f>
        <v>0.000656138691878381</v>
      </c>
      <c r="L202" s="271" t="n">
        <f aca="false">K202+L201</f>
        <v>0.942736147490732</v>
      </c>
    </row>
    <row r="203" customFormat="false" ht="51" hidden="false" customHeight="false" outlineLevel="0" collapsed="false">
      <c r="A203" s="264" t="n">
        <f aca="false">K203</f>
        <v>0.00065549933878304</v>
      </c>
      <c r="B203" s="265" t="str">
        <f aca="false">VLOOKUP($C203,01_SINTETICO!$B:$N,13,0)</f>
        <v>5.3.1.1.3</v>
      </c>
      <c r="C203" s="274" t="s">
        <v>442</v>
      </c>
      <c r="D203" s="266" t="str">
        <f aca="false">VLOOKUP($C203,01_SINTETICO!$B:$M,2,0)</f>
        <v>KIT DE PORTA DE MADEIRA DE CORRER PARA PINTURA, SEMI-OCA (LEVE OU MÉDIA), PADRÃO MÉDIO, 90X210CM, ESPESSURA DE 3,5CM, ITENS INCLUSOS: DOBRADIÇAS, MONTAGEM E INSTALAÇÃO DO BATENTE, FECHADURA COM EXECUÇÃO DO FURO - FORNECIMENTO E INSTALAÇÃO.</v>
      </c>
      <c r="E203" s="266" t="str">
        <f aca="false">VLOOKUP($B203,01_SINTETICO!$A:$M,4,0)</f>
        <v>SER.CG</v>
      </c>
      <c r="F203" s="267" t="str">
        <f aca="false">VLOOKUP($B203,01_SINTETICO!$A:$M,5,0)</f>
        <v>un</v>
      </c>
      <c r="G203" s="267" t="n">
        <f aca="true">SUMIFS(INDIRECT("'01_SINTETICO'!F7:F995"),INDIRECT("'01_SINTETICO'!B7:B995"),$C203)</f>
        <v>4</v>
      </c>
      <c r="H203" s="268" t="n">
        <f aca="false">VLOOKUP($C203,01_SINTETICO!$B:$M,6,0)*$G203*(1+BDI_DIF)</f>
        <v>4105.31594295601</v>
      </c>
      <c r="I203" s="268" t="n">
        <f aca="false">VLOOKUP($C203,01_SINTETICO!$B:$M,7,0)*$G203*(1+BDI_MDO)</f>
        <v>1812.14711336065</v>
      </c>
      <c r="J203" s="269" t="n">
        <f aca="false">SUM(H203:I203)</f>
        <v>5917.46305631665</v>
      </c>
      <c r="K203" s="270" t="n">
        <f aca="false">J203/SUM($J$7:$J$749)</f>
        <v>0.00065549933878304</v>
      </c>
      <c r="L203" s="271" t="n">
        <f aca="false">K203+L202</f>
        <v>0.943391646829515</v>
      </c>
    </row>
    <row r="204" customFormat="false" ht="25.5" hidden="false" customHeight="false" outlineLevel="0" collapsed="false">
      <c r="A204" s="264" t="n">
        <f aca="false">K204</f>
        <v>0.000649998576184834</v>
      </c>
      <c r="B204" s="265" t="str">
        <f aca="false">VLOOKUP($C204,01_SINTETICO!$B:$N,13,0)</f>
        <v>13.5.1</v>
      </c>
      <c r="C204" s="266" t="s">
        <v>1047</v>
      </c>
      <c r="D204" s="266" t="str">
        <f aca="false">VLOOKUP($C204,01_SINTETICO!$B:$M,2,0)</f>
        <v>TOMADA DE REDE 2xRJ45, CAT6 - FORNECIMENTO E INSTALAÇÃO.</v>
      </c>
      <c r="E204" s="266" t="str">
        <f aca="false">VLOOKUP($B204,01_SINTETICO!$A:$M,4,0)</f>
        <v>SER.CG</v>
      </c>
      <c r="F204" s="267" t="str">
        <f aca="false">VLOOKUP($B204,01_SINTETICO!$A:$M,5,0)</f>
        <v>UN</v>
      </c>
      <c r="G204" s="267" t="n">
        <f aca="true">SUMIFS(INDIRECT("'01_SINTETICO'!F7:F995"),INDIRECT("'01_SINTETICO'!B7:B995"),$C204)</f>
        <v>70</v>
      </c>
      <c r="H204" s="268" t="n">
        <f aca="false">VLOOKUP($C204,01_SINTETICO!$B:$M,6,0)*$G204*(1+BDI_DIF)</f>
        <v>5228.71687271898</v>
      </c>
      <c r="I204" s="268" t="n">
        <f aca="false">VLOOKUP($C204,01_SINTETICO!$B:$M,7,0)*$G204*(1+BDI_MDO)</f>
        <v>639.088529454366</v>
      </c>
      <c r="J204" s="269" t="n">
        <f aca="false">SUM(H204:I204)</f>
        <v>5867.80540217335</v>
      </c>
      <c r="K204" s="270" t="n">
        <f aca="false">J204/SUM($J$7:$J$749)</f>
        <v>0.000649998576184834</v>
      </c>
      <c r="L204" s="271" t="n">
        <f aca="false">K204+L203</f>
        <v>0.9440416454057</v>
      </c>
    </row>
    <row r="205" customFormat="false" ht="38.25" hidden="false" customHeight="false" outlineLevel="0" collapsed="false">
      <c r="A205" s="264" t="n">
        <f aca="false">K205</f>
        <v>0.000647652770826851</v>
      </c>
      <c r="B205" s="265" t="str">
        <f aca="false">VLOOKUP($C205,01_SINTETICO!$B:$N,13,0)</f>
        <v>16.1.2.3</v>
      </c>
      <c r="C205" s="272" t="n">
        <v>103290</v>
      </c>
      <c r="D205" s="266" t="str">
        <f aca="false">VLOOKUP($C205,01_SINTETICO!$B:$M,2,0)</f>
        <v>TUBO EM COBRE FLEXÍVEL, DN 3/8", COM ISOLAMENTO, INSTALADO EM FORRO, PARA RAMAL DE ALIMENTAÇÃO DE AR CONDICIONADO, INCLUSO FIXADOR. AF_11/2021</v>
      </c>
      <c r="E205" s="272" t="str">
        <f aca="false">VLOOKUP($B205,01_SINTETICO!$A:$M,4,0)</f>
        <v>SER.CG</v>
      </c>
      <c r="F205" s="273" t="str">
        <f aca="false">VLOOKUP($B205,01_SINTETICO!$A:$M,5,0)</f>
        <v>M</v>
      </c>
      <c r="G205" s="267" t="n">
        <f aca="true">SUMIFS(INDIRECT("'01_SINTETICO'!F7:F995"),INDIRECT("'01_SINTETICO'!B7:B995"),$C205)</f>
        <v>304.8</v>
      </c>
      <c r="H205" s="268" t="n">
        <f aca="false">VLOOKUP($C205,01_SINTETICO!$B:$M,6,0)*$G205*(1+BDI_DIF)</f>
        <v>4462.99293472654</v>
      </c>
      <c r="I205" s="268" t="n">
        <f aca="false">VLOOKUP($C205,01_SINTETICO!$B:$M,7,0)*$G205*(1+BDI_MDO)</f>
        <v>1383.63591436448</v>
      </c>
      <c r="J205" s="269" t="n">
        <f aca="false">SUM(H205:I205)</f>
        <v>5846.62884909102</v>
      </c>
      <c r="K205" s="270" t="n">
        <f aca="false">J205/SUM($J$7:$J$749)</f>
        <v>0.000647652770826851</v>
      </c>
      <c r="L205" s="271" t="n">
        <f aca="false">K205+L204</f>
        <v>0.944689298176527</v>
      </c>
    </row>
    <row r="206" customFormat="false" ht="25.5" hidden="false" customHeight="false" outlineLevel="0" collapsed="false">
      <c r="A206" s="264" t="n">
        <f aca="false">K206</f>
        <v>0.000645595502300196</v>
      </c>
      <c r="B206" s="265" t="str">
        <f aca="false">VLOOKUP($C206,01_SINTETICO!$B:$N,13,0)</f>
        <v>3.2.2.2.7</v>
      </c>
      <c r="C206" s="272" t="n">
        <v>92765</v>
      </c>
      <c r="D206" s="266" t="str">
        <f aca="false">VLOOKUP($C206,01_SINTETICO!$B:$M,2,0)</f>
        <v>ARMAÇÃO DE PILAR OU VIGA DE ESTRUTURA CONVENCIONAL DE CONCRETO ARMADO UTILIZANDO AÇO CA-50 DE 20,0 MM - MONTAGEM. AF_06/2022</v>
      </c>
      <c r="E206" s="272" t="str">
        <f aca="false">VLOOKUP($B206,01_SINTETICO!$A:$M,4,0)</f>
        <v>SER.CG</v>
      </c>
      <c r="F206" s="273" t="str">
        <f aca="false">VLOOKUP($B206,01_SINTETICO!$A:$M,5,0)</f>
        <v>KG</v>
      </c>
      <c r="G206" s="267" t="n">
        <f aca="true">SUMIFS(INDIRECT("'01_SINTETICO'!F7:F995"),INDIRECT("'01_SINTETICO'!B7:B995"),$C206)</f>
        <v>542.73</v>
      </c>
      <c r="H206" s="268" t="n">
        <f aca="false">VLOOKUP($C206,01_SINTETICO!$B:$M,6,0)*$G206*(1+BDI_DIF)</f>
        <v>5571.34356731649</v>
      </c>
      <c r="I206" s="268" t="n">
        <f aca="false">VLOOKUP($C206,01_SINTETICO!$B:$M,7,0)*$G206*(1+BDI_MDO)</f>
        <v>256.713469747981</v>
      </c>
      <c r="J206" s="269" t="n">
        <f aca="false">SUM(H206:I206)</f>
        <v>5828.05703706447</v>
      </c>
      <c r="K206" s="270" t="n">
        <f aca="false">J206/SUM($J$7:$J$749)</f>
        <v>0.000645595502300196</v>
      </c>
      <c r="L206" s="271" t="n">
        <f aca="false">K206+L205</f>
        <v>0.945334893678827</v>
      </c>
    </row>
    <row r="207" customFormat="false" ht="38.25" hidden="false" customHeight="false" outlineLevel="0" collapsed="false">
      <c r="A207" s="264" t="n">
        <f aca="false">K207</f>
        <v>0.000621930099876582</v>
      </c>
      <c r="B207" s="265" t="str">
        <f aca="false">VLOOKUP($C207,01_SINTETICO!$B:$N,13,0)</f>
        <v>12.1.1.6</v>
      </c>
      <c r="C207" s="272" t="n">
        <v>92990</v>
      </c>
      <c r="D207" s="266" t="str">
        <f aca="false">VLOOKUP($C207,01_SINTETICO!$B:$M,2,0)</f>
        <v>CABO DE COBRE FLEXÍVEL ISOLADO, 70 MM², ANTI-CHAMA 0,6/1,0 KV, PARA REDE ENTERRADA DE DISTRIBUIÇÃO DE ENERGIA ELÉTRICA - FORNECIMENTO E INSTALAÇÃO. AF_12/2021</v>
      </c>
      <c r="E207" s="272" t="str">
        <f aca="false">VLOOKUP($B207,01_SINTETICO!$A:$M,4,0)</f>
        <v>SER.CG</v>
      </c>
      <c r="F207" s="273" t="str">
        <f aca="false">VLOOKUP($B207,01_SINTETICO!$A:$M,5,0)</f>
        <v>M</v>
      </c>
      <c r="G207" s="267" t="n">
        <f aca="true">SUMIFS(INDIRECT("'01_SINTETICO'!F7:F995"),INDIRECT("'01_SINTETICO'!B7:B995"),$C207)</f>
        <v>60</v>
      </c>
      <c r="H207" s="268" t="n">
        <f aca="false">VLOOKUP($C207,01_SINTETICO!$B:$M,6,0)*$G207*(1+BDI_DIF)</f>
        <v>5346.90042985192</v>
      </c>
      <c r="I207" s="268" t="n">
        <f aca="false">VLOOKUP($C207,01_SINTETICO!$B:$M,7,0)*$G207*(1+BDI_MDO)</f>
        <v>267.519252803331</v>
      </c>
      <c r="J207" s="269" t="n">
        <f aca="false">SUM(H207:I207)</f>
        <v>5614.41968265525</v>
      </c>
      <c r="K207" s="270" t="n">
        <f aca="false">J207/SUM($J$7:$J$749)</f>
        <v>0.000621930099876582</v>
      </c>
      <c r="L207" s="271" t="n">
        <f aca="false">K207+L206</f>
        <v>0.945956823778703</v>
      </c>
    </row>
    <row r="208" customFormat="false" ht="25.5" hidden="false" customHeight="false" outlineLevel="0" collapsed="false">
      <c r="A208" s="264" t="n">
        <f aca="false">K208</f>
        <v>0.000620077217898463</v>
      </c>
      <c r="B208" s="265" t="str">
        <f aca="false">VLOOKUP($C208,01_SINTETICO!$B:$N,13,0)</f>
        <v>3.1.1</v>
      </c>
      <c r="C208" s="272" t="s">
        <v>107</v>
      </c>
      <c r="D208" s="266" t="str">
        <f aca="false">VLOOKUP($C208,01_SINTETICO!$B:$M,2,0)</f>
        <v>PORTAO DE ABRIR/CORRER EM GRADIL DE METALON QUADRADO DE 3/4'' VERTICAL, COM REQUADRO, ACABAMENTO NATURAL - COMPLETO</v>
      </c>
      <c r="E208" s="272" t="str">
        <f aca="false">VLOOKUP($B208,01_SINTETICO!$A:$M,4,0)</f>
        <v>SER.CG</v>
      </c>
      <c r="F208" s="273" t="str">
        <f aca="false">VLOOKUP($B208,01_SINTETICO!$A:$M,5,0)</f>
        <v>M2</v>
      </c>
      <c r="G208" s="267" t="n">
        <f aca="true">SUMIFS(INDIRECT("'01_SINTETICO'!F7:F995"),INDIRECT("'01_SINTETICO'!B7:B995"),$C208)</f>
        <v>12.5</v>
      </c>
      <c r="H208" s="268" t="n">
        <f aca="false">VLOOKUP($C208,01_SINTETICO!$B:$M,6,0)*$G208*(1+BDI_DIF)</f>
        <v>5103.12648547657</v>
      </c>
      <c r="I208" s="268" t="n">
        <f aca="false">VLOOKUP($C208,01_SINTETICO!$B:$M,7,0)*$G208*(1+BDI_MDO)</f>
        <v>494.566466876266</v>
      </c>
      <c r="J208" s="269" t="n">
        <f aca="false">SUM(H208:I208)</f>
        <v>5597.69295235284</v>
      </c>
      <c r="K208" s="270" t="n">
        <f aca="false">J208/SUM($J$7:$J$749)</f>
        <v>0.000620077217898463</v>
      </c>
      <c r="L208" s="271" t="n">
        <f aca="false">K208+L207</f>
        <v>0.946576900996602</v>
      </c>
    </row>
    <row r="209" customFormat="false" ht="25.5" hidden="false" customHeight="false" outlineLevel="0" collapsed="false">
      <c r="A209" s="264" t="n">
        <f aca="false">K209</f>
        <v>0.00061581512772382</v>
      </c>
      <c r="B209" s="265" t="str">
        <f aca="false">VLOOKUP($C209,01_SINTETICO!$B:$N,13,0)</f>
        <v>2.1.2.5</v>
      </c>
      <c r="C209" s="272" t="n">
        <v>97647</v>
      </c>
      <c r="D209" s="266" t="str">
        <f aca="false">VLOOKUP($C209,01_SINTETICO!$B:$M,2,0)</f>
        <v>REMOÇÃO DE TELHAS DE FIBROCIMENTO METÁLICA E CERÂMICA, DE FORMA MANUAL, SEM REAPROVEITAMENTO. AF_09/2023</v>
      </c>
      <c r="E209" s="272" t="str">
        <f aca="false">VLOOKUP($B209,01_SINTETICO!$A:$M,4,0)</f>
        <v>SER.CG</v>
      </c>
      <c r="F209" s="273" t="str">
        <f aca="false">VLOOKUP($B209,01_SINTETICO!$A:$M,5,0)</f>
        <v>M2</v>
      </c>
      <c r="G209" s="267" t="n">
        <f aca="true">SUMIFS(INDIRECT("'01_SINTETICO'!F7:F995"),INDIRECT("'01_SINTETICO'!B7:B995"),$C209)</f>
        <v>1318.2</v>
      </c>
      <c r="H209" s="268" t="n">
        <f aca="false">VLOOKUP($C209,01_SINTETICO!$B:$M,6,0)*$G209*(1+BDI_DIF)</f>
        <v>1610.91113595214</v>
      </c>
      <c r="I209" s="268" t="n">
        <f aca="false">VLOOKUP($C209,01_SINTETICO!$B:$M,7,0)*$G209*(1+BDI_MDO)</f>
        <v>3948.30616942603</v>
      </c>
      <c r="J209" s="269" t="n">
        <f aca="false">SUM(H209:I209)</f>
        <v>5559.21730537818</v>
      </c>
      <c r="K209" s="270" t="n">
        <f aca="false">J209/SUM($J$7:$J$749)</f>
        <v>0.00061581512772382</v>
      </c>
      <c r="L209" s="271" t="n">
        <f aca="false">K209+L208</f>
        <v>0.947192716124326</v>
      </c>
    </row>
    <row r="210" customFormat="false" ht="25.5" hidden="false" customHeight="false" outlineLevel="0" collapsed="false">
      <c r="A210" s="264" t="n">
        <f aca="false">K210</f>
        <v>0.000594070099594243</v>
      </c>
      <c r="B210" s="265" t="str">
        <f aca="false">VLOOKUP($C210,01_SINTETICO!$B:$N,13,0)</f>
        <v>8.1.2.7</v>
      </c>
      <c r="C210" s="266" t="n">
        <v>102494</v>
      </c>
      <c r="D210" s="266" t="str">
        <f aca="false">VLOOKUP($C210,01_SINTETICO!$B:$M,2,0)</f>
        <v>PINTURA DE PISO COM TINTA EPÓXI, APLICAÇÃO MANUAL, 2 DEMÃOS, INCLUSO PRIMER EPÓXI. AF_05/2021</v>
      </c>
      <c r="E210" s="266" t="str">
        <f aca="false">VLOOKUP($B210,01_SINTETICO!$A:$M,4,0)</f>
        <v>SER.CG</v>
      </c>
      <c r="F210" s="267" t="str">
        <f aca="false">VLOOKUP($B210,01_SINTETICO!$A:$M,5,0)</f>
        <v>M2</v>
      </c>
      <c r="G210" s="267" t="n">
        <f aca="true">SUMIFS(INDIRECT("'01_SINTETICO'!F7:F995"),INDIRECT("'01_SINTETICO'!B7:B995"),$C210)</f>
        <v>117.58</v>
      </c>
      <c r="H210" s="268" t="n">
        <f aca="false">VLOOKUP($C210,01_SINTETICO!$B:$M,6,0)*$G210*(1+BDI_DIF)</f>
        <v>4289.10339773999</v>
      </c>
      <c r="I210" s="268" t="n">
        <f aca="false">VLOOKUP($C210,01_SINTETICO!$B:$M,7,0)*$G210*(1+BDI_MDO)</f>
        <v>1073.81256452131</v>
      </c>
      <c r="J210" s="269" t="n">
        <f aca="false">SUM(H210:I210)</f>
        <v>5362.9159622613</v>
      </c>
      <c r="K210" s="270" t="n">
        <f aca="false">J210/SUM($J$7:$J$749)</f>
        <v>0.000594070099594243</v>
      </c>
      <c r="L210" s="271" t="n">
        <f aca="false">K210+L209</f>
        <v>0.94778678622392</v>
      </c>
    </row>
    <row r="211" customFormat="false" ht="38.25" hidden="false" customHeight="false" outlineLevel="0" collapsed="false">
      <c r="A211" s="264" t="n">
        <f aca="false">K211</f>
        <v>0.000589329768758282</v>
      </c>
      <c r="B211" s="265" t="str">
        <f aca="false">VLOOKUP($C211,01_SINTETICO!$B:$N,13,0)</f>
        <v>2.2.5</v>
      </c>
      <c r="C211" s="266" t="n">
        <v>100576</v>
      </c>
      <c r="D211" s="266" t="str">
        <f aca="false">VLOOKUP($C211,01_SINTETICO!$B:$M,2,0)</f>
        <v>REGULARIZAÇÃO E COMPACTAÇÃO DE SUBLEITO DE SOLO PREDOMINANTEMENTE ARGILOSO, PARA OBRAS DE CONSTRUÇÃO DE PAVIMENTOS. AF_09/2024</v>
      </c>
      <c r="E211" s="266" t="str">
        <f aca="false">VLOOKUP($B211,01_SINTETICO!$A:$M,4,0)</f>
        <v>SER.CG</v>
      </c>
      <c r="F211" s="267" t="str">
        <f aca="false">VLOOKUP($B211,01_SINTETICO!$A:$M,5,0)</f>
        <v>M2</v>
      </c>
      <c r="G211" s="267" t="n">
        <f aca="true">SUMIFS(INDIRECT("'01_SINTETICO'!F7:F995"),INDIRECT("'01_SINTETICO'!B7:B995"),$C211)</f>
        <v>2254</v>
      </c>
      <c r="H211" s="268" t="n">
        <f aca="false">VLOOKUP($C211,01_SINTETICO!$B:$M,6,0)*$G211*(1+BDI_DIF)</f>
        <v>3995.62541312439</v>
      </c>
      <c r="I211" s="268" t="n">
        <f aca="false">VLOOKUP($C211,01_SINTETICO!$B:$M,7,0)*$G211*(1+BDI_MDO)</f>
        <v>1324.49762634221</v>
      </c>
      <c r="J211" s="269" t="n">
        <f aca="false">SUM(H211:I211)</f>
        <v>5320.1230394666</v>
      </c>
      <c r="K211" s="270" t="n">
        <f aca="false">J211/SUM($J$7:$J$749)</f>
        <v>0.000589329768758282</v>
      </c>
      <c r="L211" s="271" t="n">
        <f aca="false">K211+L210</f>
        <v>0.948376115992678</v>
      </c>
    </row>
    <row r="212" customFormat="false" ht="25.5" hidden="false" customHeight="false" outlineLevel="0" collapsed="false">
      <c r="A212" s="264" t="n">
        <f aca="false">K212</f>
        <v>0.000585529613541788</v>
      </c>
      <c r="B212" s="265" t="str">
        <f aca="false">VLOOKUP($C212,01_SINTETICO!$B:$N,13,0)</f>
        <v>12.5.1</v>
      </c>
      <c r="C212" s="266" t="s">
        <v>987</v>
      </c>
      <c r="D212" s="266" t="str">
        <f aca="false">VLOOKUP($C212,01_SINTETICO!$B:$M,2,0)</f>
        <v>LUMINÁRIA TIPO CALHA, DE EMBUTIR, COM 2 LÂMPADAS TUBULARES LED DE 9 W, 6500 K - FORNECIMENTO E INSTALAÇÃO.</v>
      </c>
      <c r="E212" s="266" t="str">
        <f aca="false">VLOOKUP($B212,01_SINTETICO!$A:$M,4,0)</f>
        <v>SER.CG</v>
      </c>
      <c r="F212" s="267" t="str">
        <f aca="false">VLOOKUP($B212,01_SINTETICO!$A:$M,5,0)</f>
        <v>UN</v>
      </c>
      <c r="G212" s="267" t="n">
        <f aca="true">SUMIFS(INDIRECT("'01_SINTETICO'!F7:F995"),INDIRECT("'01_SINTETICO'!B7:B995"),$C212)</f>
        <v>51</v>
      </c>
      <c r="H212" s="268" t="n">
        <f aca="false">VLOOKUP($C212,01_SINTETICO!$B:$M,6,0)*$G212*(1+BDI_DIF)</f>
        <v>4842.59317200733</v>
      </c>
      <c r="I212" s="268" t="n">
        <f aca="false">VLOOKUP($C212,01_SINTETICO!$B:$M,7,0)*$G212*(1+BDI_MDO)</f>
        <v>443.224297992762</v>
      </c>
      <c r="J212" s="269" t="n">
        <f aca="false">SUM(H212:I212)</f>
        <v>5285.81747000009</v>
      </c>
      <c r="K212" s="270" t="n">
        <f aca="false">J212/SUM($J$7:$J$749)</f>
        <v>0.000585529613541788</v>
      </c>
      <c r="L212" s="271" t="n">
        <f aca="false">K212+L211</f>
        <v>0.94896164560622</v>
      </c>
    </row>
    <row r="213" customFormat="false" ht="25.5" hidden="false" customHeight="false" outlineLevel="0" collapsed="false">
      <c r="A213" s="264" t="n">
        <f aca="false">K213</f>
        <v>0.000582117634093462</v>
      </c>
      <c r="B213" s="265" t="str">
        <f aca="false">VLOOKUP($C213,01_SINTETICO!$B:$N,13,0)</f>
        <v>12.3.1.1.11</v>
      </c>
      <c r="C213" s="266" t="n">
        <v>91996</v>
      </c>
      <c r="D213" s="266" t="str">
        <f aca="false">VLOOKUP($C213,01_SINTETICO!$B:$M,2,0)</f>
        <v>TOMADA MÉDIA DE EMBUTIR (1 MÓDULO), 2P+T 10 A, INCLUINDO SUPORTE E PLACA - FORNECIMENTO E INSTALAÇÃO. AF_03/2023</v>
      </c>
      <c r="E213" s="266" t="str">
        <f aca="false">VLOOKUP($B213,01_SINTETICO!$A:$M,4,0)</f>
        <v>SER.CG</v>
      </c>
      <c r="F213" s="267" t="str">
        <f aca="false">VLOOKUP($B213,01_SINTETICO!$A:$M,5,0)</f>
        <v>UN</v>
      </c>
      <c r="G213" s="267" t="n">
        <f aca="true">SUMIFS(INDIRECT("'01_SINTETICO'!F7:F995"),INDIRECT("'01_SINTETICO'!B7:B995"),$C213)</f>
        <v>133</v>
      </c>
      <c r="H213" s="268" t="n">
        <f aca="false">VLOOKUP($C213,01_SINTETICO!$B:$M,6,0)*$G213*(1+BDI_DIF)</f>
        <v>2634.50520363739</v>
      </c>
      <c r="I213" s="268" t="n">
        <f aca="false">VLOOKUP($C213,01_SINTETICO!$B:$M,7,0)*$G213*(1+BDI_MDO)</f>
        <v>2620.5109197559</v>
      </c>
      <c r="J213" s="269" t="n">
        <f aca="false">SUM(H213:I213)</f>
        <v>5255.01612339329</v>
      </c>
      <c r="K213" s="270" t="n">
        <f aca="false">J213/SUM($J$7:$J$749)</f>
        <v>0.000582117634093462</v>
      </c>
      <c r="L213" s="271" t="n">
        <f aca="false">K213+L212</f>
        <v>0.949543763240313</v>
      </c>
    </row>
    <row r="214" customFormat="false" ht="25.5" hidden="false" customHeight="false" outlineLevel="0" collapsed="false">
      <c r="A214" s="264" t="n">
        <f aca="false">K214</f>
        <v>0.000579757905415544</v>
      </c>
      <c r="B214" s="265" t="str">
        <f aca="false">VLOOKUP($C214,01_SINTETICO!$B:$N,13,0)</f>
        <v>3.2.2.5.2.5</v>
      </c>
      <c r="C214" s="266" t="n">
        <v>97092</v>
      </c>
      <c r="D214" s="266" t="str">
        <f aca="false">VLOOKUP($C214,01_SINTETICO!$B:$M,2,0)</f>
        <v>ARMAÇÃO PARA EXECUÇÃO DE RADIER, PISO DE CONCRETO OU LAJE SOBRE SOLO, COM USO DE TELA Q-196. AF_09/2021</v>
      </c>
      <c r="E214" s="266" t="str">
        <f aca="false">VLOOKUP($B214,01_SINTETICO!$A:$M,4,0)</f>
        <v>SER.CG</v>
      </c>
      <c r="F214" s="267" t="str">
        <f aca="false">VLOOKUP($B214,01_SINTETICO!$A:$M,5,0)</f>
        <v>KG</v>
      </c>
      <c r="G214" s="267" t="n">
        <f aca="true">SUMIFS(INDIRECT("'01_SINTETICO'!F7:F995"),INDIRECT("'01_SINTETICO'!B7:B995"),$C214)</f>
        <v>370.09</v>
      </c>
      <c r="H214" s="268" t="n">
        <f aca="false">VLOOKUP($C214,01_SINTETICO!$B:$M,6,0)*$G214*(1+BDI_DIF)</f>
        <v>4951.47393442731</v>
      </c>
      <c r="I214" s="268" t="n">
        <f aca="false">VLOOKUP($C214,01_SINTETICO!$B:$M,7,0)*$G214*(1+BDI_MDO)</f>
        <v>282.239944328431</v>
      </c>
      <c r="J214" s="269" t="n">
        <f aca="false">SUM(H214:I214)</f>
        <v>5233.71387875574</v>
      </c>
      <c r="K214" s="270" t="n">
        <f aca="false">J214/SUM($J$7:$J$749)</f>
        <v>0.000579757905415544</v>
      </c>
      <c r="L214" s="271" t="n">
        <f aca="false">K214+L213</f>
        <v>0.950123521145729</v>
      </c>
    </row>
    <row r="215" customFormat="false" ht="25.5" hidden="false" customHeight="false" outlineLevel="0" collapsed="false">
      <c r="A215" s="264" t="n">
        <f aca="false">K215</f>
        <v>0.000570397154146361</v>
      </c>
      <c r="B215" s="265" t="str">
        <f aca="false">VLOOKUP($C215,01_SINTETICO!$B:$N,13,0)</f>
        <v>3.2.1.2.6</v>
      </c>
      <c r="C215" s="266" t="n">
        <v>96545</v>
      </c>
      <c r="D215" s="266" t="str">
        <f aca="false">VLOOKUP($C215,01_SINTETICO!$B:$M,2,0)</f>
        <v>ARMAÇÃO DE BLOCO UTILIZANDO AÇO CA-50 DE 8 MM - MONTAGEM. AF_01/2024</v>
      </c>
      <c r="E215" s="266" t="str">
        <f aca="false">VLOOKUP($B215,01_SINTETICO!$A:$M,4,0)</f>
        <v>SER.CG</v>
      </c>
      <c r="F215" s="267" t="str">
        <f aca="false">VLOOKUP($B215,01_SINTETICO!$A:$M,5,0)</f>
        <v>KG</v>
      </c>
      <c r="G215" s="267" t="n">
        <f aca="true">SUMIFS(INDIRECT("'01_SINTETICO'!F7:F995"),INDIRECT("'01_SINTETICO'!B7:B995"),$C215)</f>
        <v>278.65</v>
      </c>
      <c r="H215" s="268" t="n">
        <f aca="false">VLOOKUP($C215,01_SINTETICO!$B:$M,6,0)*$G215*(1+BDI_DIF)</f>
        <v>3657.59697956248</v>
      </c>
      <c r="I215" s="268" t="n">
        <f aca="false">VLOOKUP($C215,01_SINTETICO!$B:$M,7,0)*$G215*(1+BDI_MDO)</f>
        <v>1491.61353429652</v>
      </c>
      <c r="J215" s="269" t="n">
        <f aca="false">SUM(H215:I215)</f>
        <v>5149.210513859</v>
      </c>
      <c r="K215" s="270" t="n">
        <f aca="false">J215/SUM($J$7:$J$749)</f>
        <v>0.000570397154146361</v>
      </c>
      <c r="L215" s="271" t="n">
        <f aca="false">K215+L214</f>
        <v>0.950693918299875</v>
      </c>
    </row>
    <row r="216" customFormat="false" ht="25.5" hidden="false" customHeight="false" outlineLevel="0" collapsed="false">
      <c r="A216" s="264" t="n">
        <f aca="false">K216</f>
        <v>0.000568703321561922</v>
      </c>
      <c r="B216" s="265" t="str">
        <f aca="false">VLOOKUP($C216,01_SINTETICO!$B:$N,13,0)</f>
        <v>3.2.2.2.2</v>
      </c>
      <c r="C216" s="272" t="n">
        <v>92760</v>
      </c>
      <c r="D216" s="266" t="str">
        <f aca="false">VLOOKUP($C216,01_SINTETICO!$B:$M,2,0)</f>
        <v>ARMAÇÃO DE PILAR OU VIGA DE ESTRUTURA CONVENCIONAL DE CONCRETO ARMADO UTILIZANDO AÇO CA-50 DE 6,3 MM - MONTAGEM. AF_06/2022</v>
      </c>
      <c r="E216" s="272" t="str">
        <f aca="false">VLOOKUP($B216,01_SINTETICO!$A:$M,4,0)</f>
        <v>SER.CG</v>
      </c>
      <c r="F216" s="273" t="str">
        <f aca="false">VLOOKUP($B216,01_SINTETICO!$A:$M,5,0)</f>
        <v>KG</v>
      </c>
      <c r="G216" s="267" t="n">
        <f aca="true">SUMIFS(INDIRECT("'01_SINTETICO'!F7:F995"),INDIRECT("'01_SINTETICO'!B7:B995"),$C216)</f>
        <v>353.74</v>
      </c>
      <c r="H216" s="268" t="n">
        <f aca="false">VLOOKUP($C216,01_SINTETICO!$B:$M,6,0)*$G216*(1+BDI_DIF)</f>
        <v>4010.38458882174</v>
      </c>
      <c r="I216" s="268" t="n">
        <f aca="false">VLOOKUP($C216,01_SINTETICO!$B:$M,7,0)*$G216*(1+BDI_MDO)</f>
        <v>1123.53499925141</v>
      </c>
      <c r="J216" s="269" t="n">
        <f aca="false">SUM(H216:I216)</f>
        <v>5133.91958807315</v>
      </c>
      <c r="K216" s="270" t="n">
        <f aca="false">J216/SUM($J$7:$J$749)</f>
        <v>0.000568703321561922</v>
      </c>
      <c r="L216" s="271" t="n">
        <f aca="false">K216+L215</f>
        <v>0.951262621621437</v>
      </c>
    </row>
    <row r="217" customFormat="false" ht="15" hidden="false" customHeight="false" outlineLevel="0" collapsed="false">
      <c r="A217" s="264" t="n">
        <f aca="false">K217</f>
        <v>0.000561636438189043</v>
      </c>
      <c r="B217" s="265" t="str">
        <f aca="false">VLOOKUP($C217,01_SINTETICO!$B:$N,13,0)</f>
        <v>1.01</v>
      </c>
      <c r="C217" s="272" t="n">
        <v>94296</v>
      </c>
      <c r="D217" s="266" t="str">
        <f aca="false">VLOOKUP($C217,01_SINTETICO!$B:$M,2,0)</f>
        <v>TOPOGRAFO COM ENCARGOS COMPLEMENTARES</v>
      </c>
      <c r="E217" s="272" t="str">
        <f aca="false">VLOOKUP($B217,01_SINTETICO!$A:$M,4,0)</f>
        <v>SER.CG</v>
      </c>
      <c r="F217" s="273" t="str">
        <f aca="false">VLOOKUP($B217,01_SINTETICO!$A:$M,5,0)</f>
        <v>MES</v>
      </c>
      <c r="G217" s="267" t="n">
        <f aca="true">SUMIFS(INDIRECT("'01_SINTETICO'!F7:F995"),INDIRECT("'01_SINTETICO'!B7:B995"),$C217)</f>
        <v>1</v>
      </c>
      <c r="H217" s="268" t="n">
        <f aca="false">VLOOKUP($C217,01_SINTETICO!$B:$M,6,0)*$G217*(1+BDI_DIF)</f>
        <v>500.912764049208</v>
      </c>
      <c r="I217" s="268" t="n">
        <f aca="false">VLOOKUP($C217,01_SINTETICO!$B:$M,7,0)*$G217*(1+BDI_MDO)</f>
        <v>4569.21115130832</v>
      </c>
      <c r="J217" s="269" t="n">
        <f aca="false">SUM(H217:I217)</f>
        <v>5070.12391535753</v>
      </c>
      <c r="K217" s="270" t="n">
        <f aca="false">J217/SUM($J$7:$J$749)</f>
        <v>0.000561636438189043</v>
      </c>
      <c r="L217" s="271" t="n">
        <f aca="false">K217+L216</f>
        <v>0.951824258059626</v>
      </c>
    </row>
    <row r="218" customFormat="false" ht="25.5" hidden="false" customHeight="false" outlineLevel="0" collapsed="false">
      <c r="A218" s="264" t="n">
        <f aca="false">K218</f>
        <v>0.000540026761125377</v>
      </c>
      <c r="B218" s="265" t="str">
        <f aca="false">VLOOKUP($C218,01_SINTETICO!$B:$N,13,0)</f>
        <v>7.3</v>
      </c>
      <c r="C218" s="272" t="n">
        <v>98553</v>
      </c>
      <c r="D218" s="266" t="str">
        <f aca="false">VLOOKUP($C218,01_SINTETICO!$B:$M,2,0)</f>
        <v>IMPERMEABILIZAÇÃO DE SUPERFÍCIE COM MEMBRANA À BASE DE POLIURETANO, 2 DEMÃOS. AF_09/2023</v>
      </c>
      <c r="E218" s="272" t="str">
        <f aca="false">VLOOKUP($B218,01_SINTETICO!$A:$M,4,0)</f>
        <v>SER.CG</v>
      </c>
      <c r="F218" s="273" t="str">
        <f aca="false">VLOOKUP($B218,01_SINTETICO!$A:$M,5,0)</f>
        <v>M2</v>
      </c>
      <c r="G218" s="267" t="n">
        <f aca="true">SUMIFS(INDIRECT("'01_SINTETICO'!F7:F995"),INDIRECT("'01_SINTETICO'!B7:B995"),$C218)</f>
        <v>27.01</v>
      </c>
      <c r="H218" s="268" t="n">
        <f aca="false">VLOOKUP($C218,01_SINTETICO!$B:$M,6,0)*$G218*(1+BDI_DIF)</f>
        <v>4821.75904554332</v>
      </c>
      <c r="I218" s="268" t="n">
        <f aca="false">VLOOKUP($C218,01_SINTETICO!$B:$M,7,0)*$G218*(1+BDI_MDO)</f>
        <v>53.2853966288</v>
      </c>
      <c r="J218" s="269" t="n">
        <f aca="false">SUM(H218:I218)</f>
        <v>4875.04444217212</v>
      </c>
      <c r="K218" s="270" t="n">
        <f aca="false">J218/SUM($J$7:$J$749)</f>
        <v>0.000540026761125377</v>
      </c>
      <c r="L218" s="271" t="n">
        <f aca="false">K218+L217</f>
        <v>0.952364284820752</v>
      </c>
    </row>
    <row r="219" customFormat="false" ht="38.25" hidden="false" customHeight="false" outlineLevel="0" collapsed="false">
      <c r="A219" s="264" t="n">
        <f aca="false">K219</f>
        <v>0.000534321696388031</v>
      </c>
      <c r="B219" s="265" t="str">
        <f aca="false">VLOOKUP($C219,01_SINTETICO!$B:$N,13,0)</f>
        <v>8.1.1.3.4</v>
      </c>
      <c r="C219" s="266" t="s">
        <v>529</v>
      </c>
      <c r="D219" s="266" t="str">
        <f aca="false">VLOOKUP($C219,01_SINTETICO!$B:$M,2,0)</f>
        <v>REVESTIMENTO CERÂMICO PARA PISO COM PLACAS TIPO ESMALTADA EXTRA DE DIMENSÕES 30X30 CM APLICADA EM AMBIENTES DE ÁREA MAIOR QUE 10 M2.</v>
      </c>
      <c r="E219" s="266" t="str">
        <f aca="false">VLOOKUP($B219,01_SINTETICO!$A:$M,4,0)</f>
        <v>SER.CG</v>
      </c>
      <c r="F219" s="267" t="str">
        <f aca="false">VLOOKUP($B219,01_SINTETICO!$A:$M,5,0)</f>
        <v>M2</v>
      </c>
      <c r="G219" s="267" t="n">
        <f aca="true">SUMIFS(INDIRECT("'01_SINTETICO'!F7:F995"),INDIRECT("'01_SINTETICO'!B7:B995"),$C219)</f>
        <v>92.66</v>
      </c>
      <c r="H219" s="268" t="n">
        <f aca="false">VLOOKUP($C219,01_SINTETICO!$B:$M,6,0)*$G219*(1+BDI_DIF)</f>
        <v>4021.13887272052</v>
      </c>
      <c r="I219" s="268" t="n">
        <f aca="false">VLOOKUP($C219,01_SINTETICO!$B:$M,7,0)*$G219*(1+BDI_MDO)</f>
        <v>802.403595582619</v>
      </c>
      <c r="J219" s="269" t="n">
        <f aca="false">SUM(H219:I219)</f>
        <v>4823.54246830314</v>
      </c>
      <c r="K219" s="270" t="n">
        <f aca="false">J219/SUM($J$7:$J$749)</f>
        <v>0.000534321696388031</v>
      </c>
      <c r="L219" s="271" t="n">
        <f aca="false">K219+L218</f>
        <v>0.95289860651714</v>
      </c>
    </row>
    <row r="220" customFormat="false" ht="25.5" hidden="false" customHeight="false" outlineLevel="0" collapsed="false">
      <c r="A220" s="264" t="n">
        <f aca="false">K220</f>
        <v>0.000533211843442077</v>
      </c>
      <c r="B220" s="265" t="str">
        <f aca="false">VLOOKUP($C220,01_SINTETICO!$B:$N,13,0)</f>
        <v>3.2.1.2.5</v>
      </c>
      <c r="C220" s="272" t="n">
        <v>96544</v>
      </c>
      <c r="D220" s="266" t="str">
        <f aca="false">VLOOKUP($C220,01_SINTETICO!$B:$M,2,0)</f>
        <v>ARMAÇÃO DE BLOCO UTILIZANDO AÇO CA-50 DE 6,3 MM - MONTAGEM. AF_01/2024</v>
      </c>
      <c r="E220" s="272" t="str">
        <f aca="false">VLOOKUP($B220,01_SINTETICO!$A:$M,4,0)</f>
        <v>SER.CG</v>
      </c>
      <c r="F220" s="273" t="str">
        <f aca="false">VLOOKUP($B220,01_SINTETICO!$A:$M,5,0)</f>
        <v>KG</v>
      </c>
      <c r="G220" s="267" t="n">
        <f aca="true">SUMIFS(INDIRECT("'01_SINTETICO'!F7:F995"),INDIRECT("'01_SINTETICO'!B7:B995"),$C220)</f>
        <v>229.73</v>
      </c>
      <c r="H220" s="268" t="n">
        <f aca="false">VLOOKUP($C220,01_SINTETICO!$B:$M,6,0)*$G220*(1+BDI_DIF)</f>
        <v>3139.02734910658</v>
      </c>
      <c r="I220" s="268" t="n">
        <f aca="false">VLOOKUP($C220,01_SINTETICO!$B:$M,7,0)*$G220*(1+BDI_MDO)</f>
        <v>1674.49601861619</v>
      </c>
      <c r="J220" s="269" t="n">
        <f aca="false">SUM(H220:I220)</f>
        <v>4813.52336772277</v>
      </c>
      <c r="K220" s="270" t="n">
        <f aca="false">J220/SUM($J$7:$J$749)</f>
        <v>0.000533211843442077</v>
      </c>
      <c r="L220" s="271" t="n">
        <f aca="false">K220+L219</f>
        <v>0.953431818360582</v>
      </c>
    </row>
    <row r="221" customFormat="false" ht="38.25" hidden="false" customHeight="false" outlineLevel="0" collapsed="false">
      <c r="A221" s="264" t="n">
        <f aca="false">K221</f>
        <v>0.00053107393601134</v>
      </c>
      <c r="B221" s="265" t="str">
        <f aca="false">VLOOKUP($C221,01_SINTETICO!$B:$N,13,0)</f>
        <v>10.1.8</v>
      </c>
      <c r="C221" s="266" t="s">
        <v>627</v>
      </c>
      <c r="D221" s="266" t="str">
        <f aca="false">VLOOKUP($C221,01_SINTETICO!$B:$M,2,0)</f>
        <v>TORNEIRA CROMADA DE MESA, 1/2" OU 3/4", PARA LAVATÓRIO, TEMPORIZADA PRESSAO FECHAMENTO AUTOMATICO - FORNECIMENTO E INSTALAÇÃO.</v>
      </c>
      <c r="E221" s="266" t="str">
        <f aca="false">VLOOKUP($B221,01_SINTETICO!$A:$M,4,0)</f>
        <v>SER.CG</v>
      </c>
      <c r="F221" s="267" t="str">
        <f aca="false">VLOOKUP($B221,01_SINTETICO!$A:$M,5,0)</f>
        <v>UN</v>
      </c>
      <c r="G221" s="267" t="n">
        <f aca="true">SUMIFS(INDIRECT("'01_SINTETICO'!F7:F995"),INDIRECT("'01_SINTETICO'!B7:B995"),$C221)</f>
        <v>24</v>
      </c>
      <c r="H221" s="268" t="n">
        <f aca="false">VLOOKUP($C221,01_SINTETICO!$B:$M,6,0)*$G221*(1+BDI_DIF)</f>
        <v>4733.76208454999</v>
      </c>
      <c r="I221" s="268" t="n">
        <f aca="false">VLOOKUP($C221,01_SINTETICO!$B:$M,7,0)*$G221*(1+BDI_MDO)</f>
        <v>60.4615104793498</v>
      </c>
      <c r="J221" s="269" t="n">
        <f aca="false">SUM(H221:I221)</f>
        <v>4794.22359502934</v>
      </c>
      <c r="K221" s="270" t="n">
        <f aca="false">J221/SUM($J$7:$J$749)</f>
        <v>0.00053107393601134</v>
      </c>
      <c r="L221" s="271" t="n">
        <f aca="false">K221+L220</f>
        <v>0.953962892296593</v>
      </c>
    </row>
    <row r="222" customFormat="false" ht="25.5" hidden="false" customHeight="false" outlineLevel="0" collapsed="false">
      <c r="A222" s="264" t="n">
        <f aca="false">K222</f>
        <v>0.000530243094924909</v>
      </c>
      <c r="B222" s="265" t="str">
        <f aca="false">VLOOKUP($C222,01_SINTETICO!$B:$N,13,0)</f>
        <v>12.3.1.1.9</v>
      </c>
      <c r="C222" s="266" t="n">
        <v>92004</v>
      </c>
      <c r="D222" s="266" t="str">
        <f aca="false">VLOOKUP($C222,01_SINTETICO!$B:$M,2,0)</f>
        <v>TOMADA MÉDIA DE EMBUTIR (2 MÓDULOS), 2P+T 10 A, INCLUINDO SUPORTE E PLACA - FORNECIMENTO E INSTALAÇÃO. AF_03/2023</v>
      </c>
      <c r="E222" s="266" t="str">
        <f aca="false">VLOOKUP($B222,01_SINTETICO!$A:$M,4,0)</f>
        <v>SER.CG</v>
      </c>
      <c r="F222" s="267" t="str">
        <f aca="false">VLOOKUP($B222,01_SINTETICO!$A:$M,5,0)</f>
        <v>UN</v>
      </c>
      <c r="G222" s="267" t="n">
        <f aca="true">SUMIFS(INDIRECT("'01_SINTETICO'!F7:F995"),INDIRECT("'01_SINTETICO'!B7:B995"),$C222)</f>
        <v>76</v>
      </c>
      <c r="H222" s="268" t="n">
        <f aca="false">VLOOKUP($C222,01_SINTETICO!$B:$M,6,0)*$G222*(1+BDI_DIF)</f>
        <v>2431.20781616487</v>
      </c>
      <c r="I222" s="268" t="n">
        <f aca="false">VLOOKUP($C222,01_SINTETICO!$B:$M,7,0)*$G222*(1+BDI_MDO)</f>
        <v>2355.51543348845</v>
      </c>
      <c r="J222" s="269" t="n">
        <f aca="false">SUM(H222:I222)</f>
        <v>4786.72324965332</v>
      </c>
      <c r="K222" s="270" t="n">
        <f aca="false">J222/SUM($J$7:$J$749)</f>
        <v>0.000530243094924909</v>
      </c>
      <c r="L222" s="271" t="n">
        <f aca="false">K222+L221</f>
        <v>0.954493135391518</v>
      </c>
    </row>
    <row r="223" customFormat="false" ht="25.5" hidden="false" customHeight="false" outlineLevel="0" collapsed="false">
      <c r="A223" s="264" t="n">
        <f aca="false">K223</f>
        <v>0.000527021969984376</v>
      </c>
      <c r="B223" s="265" t="str">
        <f aca="false">VLOOKUP($C223,01_SINTETICO!$B:$N,13,0)</f>
        <v>11.4.4.14</v>
      </c>
      <c r="C223" s="266" t="n">
        <v>89578</v>
      </c>
      <c r="D223" s="266" t="str">
        <f aca="false">VLOOKUP($C223,01_SINTETICO!$B:$M,2,0)</f>
        <v>TUBO PVC, SÉRIE R, ÁGUA PLUVIAL, DN 100 MM, FORNECIDO E INSTALADO EM CONDUTORES VERTICAIS DE ÁGUAS PLUVIAIS. AF_06/2022</v>
      </c>
      <c r="E223" s="266" t="str">
        <f aca="false">VLOOKUP($B223,01_SINTETICO!$A:$M,4,0)</f>
        <v>SER.CG</v>
      </c>
      <c r="F223" s="267" t="str">
        <f aca="false">VLOOKUP($B223,01_SINTETICO!$A:$M,5,0)</f>
        <v>M</v>
      </c>
      <c r="G223" s="267" t="n">
        <f aca="true">SUMIFS(INDIRECT("'01_SINTETICO'!F7:F995"),INDIRECT("'01_SINTETICO'!B7:B995"),$C223)</f>
        <v>118.4</v>
      </c>
      <c r="H223" s="268" t="n">
        <f aca="false">VLOOKUP($C223,01_SINTETICO!$B:$M,6,0)*$G223*(1+BDI_DIF)</f>
        <v>4367.68333279826</v>
      </c>
      <c r="I223" s="268" t="n">
        <f aca="false">VLOOKUP($C223,01_SINTETICO!$B:$M,7,0)*$G223*(1+BDI_MDO)</f>
        <v>389.961492655928</v>
      </c>
      <c r="J223" s="269" t="n">
        <f aca="false">SUM(H223:I223)</f>
        <v>4757.64482545419</v>
      </c>
      <c r="K223" s="270" t="n">
        <f aca="false">J223/SUM($J$7:$J$749)</f>
        <v>0.000527021969984376</v>
      </c>
      <c r="L223" s="271" t="n">
        <f aca="false">K223+L222</f>
        <v>0.955020157361502</v>
      </c>
    </row>
    <row r="224" customFormat="false" ht="25.5" hidden="false" customHeight="false" outlineLevel="0" collapsed="false">
      <c r="A224" s="264" t="n">
        <f aca="false">K224</f>
        <v>0.000513618462400945</v>
      </c>
      <c r="B224" s="265" t="str">
        <f aca="false">VLOOKUP($C224,01_SINTETICO!$B:$N,13,0)</f>
        <v>11.2.1.4</v>
      </c>
      <c r="C224" s="266" t="n">
        <v>93382</v>
      </c>
      <c r="D224" s="266" t="str">
        <f aca="false">VLOOKUP($C224,01_SINTETICO!$B:$M,2,0)</f>
        <v>REATERRO MANUAL DE VALAS, COM COMPACTADOR DE SOLOS DE PERCUSSÃO. AF_08/2023</v>
      </c>
      <c r="E224" s="266" t="str">
        <f aca="false">VLOOKUP($B224,01_SINTETICO!$A:$M,4,0)</f>
        <v>SER.CG</v>
      </c>
      <c r="F224" s="267" t="str">
        <f aca="false">VLOOKUP($B224,01_SINTETICO!$A:$M,5,0)</f>
        <v>M3</v>
      </c>
      <c r="G224" s="267" t="n">
        <f aca="true">SUMIFS(INDIRECT("'01_SINTETICO'!F7:F995"),INDIRECT("'01_SINTETICO'!B7:B995"),$C224)</f>
        <v>168.26</v>
      </c>
      <c r="H224" s="268" t="n">
        <f aca="false">VLOOKUP($C224,01_SINTETICO!$B:$M,6,0)*$G224*(1+BDI_DIF)</f>
        <v>1756.46494531538</v>
      </c>
      <c r="I224" s="268" t="n">
        <f aca="false">VLOOKUP($C224,01_SINTETICO!$B:$M,7,0)*$G224*(1+BDI_MDO)</f>
        <v>2880.18088554445</v>
      </c>
      <c r="J224" s="269" t="n">
        <f aca="false">SUM(H224:I224)</f>
        <v>4636.64583085983</v>
      </c>
      <c r="K224" s="270" t="n">
        <f aca="false">J224/SUM($J$7:$J$749)</f>
        <v>0.000513618462400945</v>
      </c>
      <c r="L224" s="271" t="n">
        <f aca="false">K224+L223</f>
        <v>0.955533775823903</v>
      </c>
    </row>
    <row r="225" customFormat="false" ht="25.5" hidden="false" customHeight="false" outlineLevel="0" collapsed="false">
      <c r="A225" s="264" t="n">
        <f aca="false">K225</f>
        <v>0.000511400671564373</v>
      </c>
      <c r="B225" s="265" t="str">
        <f aca="false">VLOOKUP($C225,01_SINTETICO!$B:$N,13,0)</f>
        <v>18.1.4</v>
      </c>
      <c r="C225" s="272" t="n">
        <v>99821</v>
      </c>
      <c r="D225" s="266" t="str">
        <f aca="false">VLOOKUP($C225,01_SINTETICO!$B:$M,2,0)</f>
        <v>LIMPEZA DE JANELA DE VIDRO COM CAIXILHO EM AÇO/ALUMÍNIO/PVC. AF_04/2019</v>
      </c>
      <c r="E225" s="272" t="str">
        <f aca="false">VLOOKUP($B225,01_SINTETICO!$A:$M,4,0)</f>
        <v>SER.CG</v>
      </c>
      <c r="F225" s="273" t="str">
        <f aca="false">VLOOKUP($B225,01_SINTETICO!$A:$M,5,0)</f>
        <v>M2</v>
      </c>
      <c r="G225" s="267" t="n">
        <f aca="true">SUMIFS(INDIRECT("'01_SINTETICO'!F7:F995"),INDIRECT("'01_SINTETICO'!B7:B995"),$C225)</f>
        <v>1554.7</v>
      </c>
      <c r="H225" s="268" t="n">
        <f aca="false">VLOOKUP($C225,01_SINTETICO!$B:$M,6,0)*$G225*(1+BDI_DIF)</f>
        <v>2205.10351021608</v>
      </c>
      <c r="I225" s="268" t="n">
        <f aca="false">VLOOKUP($C225,01_SINTETICO!$B:$M,7,0)*$G225*(1+BDI_MDO)</f>
        <v>2411.52140747789</v>
      </c>
      <c r="J225" s="269" t="n">
        <f aca="false">SUM(H225:I225)</f>
        <v>4616.62491769397</v>
      </c>
      <c r="K225" s="270" t="n">
        <f aca="false">J225/SUM($J$7:$J$749)</f>
        <v>0.000511400671564373</v>
      </c>
      <c r="L225" s="271" t="n">
        <f aca="false">K225+L224</f>
        <v>0.956045176495468</v>
      </c>
    </row>
    <row r="226" customFormat="false" ht="38.25" hidden="false" customHeight="false" outlineLevel="0" collapsed="false">
      <c r="A226" s="264" t="n">
        <f aca="false">K226</f>
        <v>0.000499836439796087</v>
      </c>
      <c r="B226" s="265" t="str">
        <f aca="false">VLOOKUP($C226,01_SINTETICO!$B:$N,13,0)</f>
        <v>11.4.4.5</v>
      </c>
      <c r="C226" s="266" t="n">
        <v>89590</v>
      </c>
      <c r="D226" s="266" t="str">
        <f aca="false">VLOOKUP($C226,01_SINTETICO!$B:$M,2,0)</f>
        <v>JOELHO 90 GRAUS, PVC, SERIE R, ÁGUA PLUVIAL, DN 150 MM, JUNTA ELÁSTICA, FORNECIDO E INSTALADO EM CONDUTORES VERTICAIS DE ÁGUAS PLUVIAIS. AF_06/2022</v>
      </c>
      <c r="E226" s="266" t="str">
        <f aca="false">VLOOKUP($B226,01_SINTETICO!$A:$M,4,0)</f>
        <v>SER.CG</v>
      </c>
      <c r="F226" s="267" t="str">
        <f aca="false">VLOOKUP($B226,01_SINTETICO!$A:$M,5,0)</f>
        <v>UN</v>
      </c>
      <c r="G226" s="267" t="n">
        <f aca="true">SUMIFS(INDIRECT("'01_SINTETICO'!F7:F995"),INDIRECT("'01_SINTETICO'!B7:B995"),$C226)</f>
        <v>29</v>
      </c>
      <c r="H226" s="268" t="n">
        <f aca="false">VLOOKUP($C226,01_SINTETICO!$B:$M,6,0)*$G226*(1+BDI_DIF)</f>
        <v>3918.35316995227</v>
      </c>
      <c r="I226" s="268" t="n">
        <f aca="false">VLOOKUP($C226,01_SINTETICO!$B:$M,7,0)*$G226*(1+BDI_MDO)</f>
        <v>593.876655001318</v>
      </c>
      <c r="J226" s="269" t="n">
        <f aca="false">SUM(H226:I226)</f>
        <v>4512.22982495359</v>
      </c>
      <c r="K226" s="270" t="n">
        <f aca="false">J226/SUM($J$7:$J$749)</f>
        <v>0.000499836439796087</v>
      </c>
      <c r="L226" s="271" t="n">
        <f aca="false">K226+L225</f>
        <v>0.956545012935264</v>
      </c>
    </row>
    <row r="227" customFormat="false" ht="25.5" hidden="false" customHeight="false" outlineLevel="0" collapsed="false">
      <c r="A227" s="264" t="n">
        <f aca="false">K227</f>
        <v>0.000485674823896433</v>
      </c>
      <c r="B227" s="265" t="str">
        <f aca="false">VLOOKUP($C227,01_SINTETICO!$B:$N,13,0)</f>
        <v>11.4.4.10</v>
      </c>
      <c r="C227" s="266" t="n">
        <v>104170</v>
      </c>
      <c r="D227" s="266" t="str">
        <f aca="false">VLOOKUP($C227,01_SINTETICO!$B:$M,2,0)</f>
        <v>LUVA SIMPLES, PVC, SERIE R, ÁGUA PLUVIAL, DN 150 MM, JUNTA ELÁSTICA, FORNECIDO E INSTALADO EM RAMAL DE ENCAMINHAMENTO. AF_06/2022</v>
      </c>
      <c r="E227" s="272" t="str">
        <f aca="false">VLOOKUP($B227,01_SINTETICO!$A:$M,4,0)</f>
        <v>SER.CG</v>
      </c>
      <c r="F227" s="273" t="str">
        <f aca="false">VLOOKUP($B227,01_SINTETICO!$A:$M,5,0)</f>
        <v>UN</v>
      </c>
      <c r="G227" s="267" t="n">
        <f aca="true">SUMIFS(INDIRECT("'01_SINTETICO'!F7:F995"),INDIRECT("'01_SINTETICO'!B7:B995"),$C227)</f>
        <v>54</v>
      </c>
      <c r="H227" s="268" t="n">
        <f aca="false">VLOOKUP($C227,01_SINTETICO!$B:$M,6,0)*$G227*(1+BDI_DIF)</f>
        <v>3977.52831571282</v>
      </c>
      <c r="I227" s="268" t="n">
        <f aca="false">VLOOKUP($C227,01_SINTETICO!$B:$M,7,0)*$G227*(1+BDI_MDO)</f>
        <v>406.858758003932</v>
      </c>
      <c r="J227" s="269" t="n">
        <f aca="false">SUM(H227:I227)</f>
        <v>4384.38707371676</v>
      </c>
      <c r="K227" s="270" t="n">
        <f aca="false">J227/SUM($J$7:$J$749)</f>
        <v>0.000485674823896433</v>
      </c>
      <c r="L227" s="271" t="n">
        <f aca="false">K227+L226</f>
        <v>0.95703068775916</v>
      </c>
    </row>
    <row r="228" customFormat="false" ht="25.5" hidden="false" customHeight="false" outlineLevel="0" collapsed="false">
      <c r="A228" s="264" t="n">
        <f aca="false">K228</f>
        <v>0.000484123112886191</v>
      </c>
      <c r="B228" s="265" t="str">
        <f aca="false">VLOOKUP($C228,01_SINTETICO!$B:$N,13,0)</f>
        <v>16.1.3.1.1</v>
      </c>
      <c r="C228" s="266" t="n">
        <v>89865</v>
      </c>
      <c r="D228" s="266" t="str">
        <f aca="false">VLOOKUP($C228,01_SINTETICO!$B:$M,2,0)</f>
        <v>TUBO, PVC, SOLDÁVEL, DE 25MM, INSTALADO EM DRENO DE AR-CONDICIONADO - FORNECIMENTO E INSTALAÇÃO. AF_08/2022</v>
      </c>
      <c r="E228" s="266" t="str">
        <f aca="false">VLOOKUP($B228,01_SINTETICO!$A:$M,4,0)</f>
        <v>SER.CG</v>
      </c>
      <c r="F228" s="267" t="str">
        <f aca="false">VLOOKUP($B228,01_SINTETICO!$A:$M,5,0)</f>
        <v>M</v>
      </c>
      <c r="G228" s="267" t="n">
        <f aca="true">SUMIFS(INDIRECT("'01_SINTETICO'!F7:F995"),INDIRECT("'01_SINTETICO'!B7:B995"),$C228)</f>
        <v>219.82</v>
      </c>
      <c r="H228" s="268" t="n">
        <f aca="false">VLOOKUP($C228,01_SINTETICO!$B:$M,6,0)*$G228*(1+BDI_DIF)</f>
        <v>1932.85632144029</v>
      </c>
      <c r="I228" s="268" t="n">
        <f aca="false">VLOOKUP($C228,01_SINTETICO!$B:$M,7,0)*$G228*(1+BDI_MDO)</f>
        <v>2437.52281659459</v>
      </c>
      <c r="J228" s="269" t="n">
        <f aca="false">SUM(H228:I228)</f>
        <v>4370.37913803488</v>
      </c>
      <c r="K228" s="270" t="n">
        <f aca="false">J228/SUM($J$7:$J$749)</f>
        <v>0.000484123112886191</v>
      </c>
      <c r="L228" s="271" t="n">
        <f aca="false">K228+L227</f>
        <v>0.957514810872046</v>
      </c>
    </row>
    <row r="229" customFormat="false" ht="25.5" hidden="false" customHeight="false" outlineLevel="0" collapsed="false">
      <c r="A229" s="264" t="n">
        <f aca="false">K229</f>
        <v>0.000482171118963789</v>
      </c>
      <c r="B229" s="265" t="str">
        <f aca="false">VLOOKUP($C229,01_SINTETICO!$B:$N,13,0)</f>
        <v>10.3.2</v>
      </c>
      <c r="C229" s="266" t="s">
        <v>656</v>
      </c>
      <c r="D229" s="266" t="str">
        <f aca="false">VLOOKUP($C229,01_SINTETICO!$B:$M,2,0)</f>
        <v>BANCADA DE GRANITO CINZA POLIDO, DE 1,30 X 0,55 M, PARA PIA DE COZINHA - FORNECIMENTO E INSTALAÇÃO.</v>
      </c>
      <c r="E229" s="266" t="str">
        <f aca="false">VLOOKUP($B229,01_SINTETICO!$A:$M,4,0)</f>
        <v>SER.CG</v>
      </c>
      <c r="F229" s="267" t="str">
        <f aca="false">VLOOKUP($B229,01_SINTETICO!$A:$M,5,0)</f>
        <v>UN</v>
      </c>
      <c r="G229" s="267" t="n">
        <f aca="true">SUMIFS(INDIRECT("'01_SINTETICO'!F7:F995"),INDIRECT("'01_SINTETICO'!B7:B995"),$C229)</f>
        <v>4</v>
      </c>
      <c r="H229" s="268" t="n">
        <f aca="false">VLOOKUP($C229,01_SINTETICO!$B:$M,6,0)*$G229*(1+BDI_DIF)</f>
        <v>3977.90575817034</v>
      </c>
      <c r="I229" s="268" t="n">
        <f aca="false">VLOOKUP($C229,01_SINTETICO!$B:$M,7,0)*$G229*(1+BDI_MDO)</f>
        <v>374.851925137494</v>
      </c>
      <c r="J229" s="269" t="n">
        <f aca="false">SUM(H229:I229)</f>
        <v>4352.75768330784</v>
      </c>
      <c r="K229" s="270" t="n">
        <f aca="false">J229/SUM($J$7:$J$749)</f>
        <v>0.000482171118963789</v>
      </c>
      <c r="L229" s="271" t="n">
        <f aca="false">K229+L228</f>
        <v>0.95799698199101</v>
      </c>
    </row>
    <row r="230" customFormat="false" ht="25.5" hidden="false" customHeight="false" outlineLevel="0" collapsed="false">
      <c r="A230" s="264" t="n">
        <f aca="false">K230</f>
        <v>0.000479744837286562</v>
      </c>
      <c r="B230" s="265" t="str">
        <f aca="false">VLOOKUP($C230,01_SINTETICO!$B:$N,13,0)</f>
        <v>12.8.2</v>
      </c>
      <c r="C230" s="266" t="s">
        <v>1013</v>
      </c>
      <c r="D230" s="266" t="str">
        <f aca="false">VLOOKUP($C230,01_SINTETICO!$B:$M,2,0)</f>
        <v>PLUGUE TOMADA MACHO 3 PINOS 10A 90° - FORNECIMENTO E INSTALAÇÃO.</v>
      </c>
      <c r="E230" s="266" t="str">
        <f aca="false">VLOOKUP($B230,01_SINTETICO!$A:$M,4,0)</f>
        <v>SER.CG</v>
      </c>
      <c r="F230" s="267" t="str">
        <f aca="false">VLOOKUP($B230,01_SINTETICO!$A:$M,5,0)</f>
        <v>UN</v>
      </c>
      <c r="G230" s="267" t="n">
        <f aca="true">SUMIFS(INDIRECT("'01_SINTETICO'!F7:F995"),INDIRECT("'01_SINTETICO'!B7:B995"),$C230)</f>
        <v>126</v>
      </c>
      <c r="H230" s="268" t="n">
        <f aca="false">VLOOKUP($C230,01_SINTETICO!$B:$M,6,0)*$G230*(1+BDI_DIF)</f>
        <v>2562.35844471521</v>
      </c>
      <c r="I230" s="268" t="n">
        <f aca="false">VLOOKUP($C230,01_SINTETICO!$B:$M,7,0)*$G230*(1+BDI_MDO)</f>
        <v>1768.49619256383</v>
      </c>
      <c r="J230" s="269" t="n">
        <f aca="false">SUM(H230:I230)</f>
        <v>4330.85463727904</v>
      </c>
      <c r="K230" s="270" t="n">
        <f aca="false">J230/SUM($J$7:$J$749)</f>
        <v>0.000479744837286562</v>
      </c>
      <c r="L230" s="271" t="n">
        <f aca="false">K230+L229</f>
        <v>0.958476726828297</v>
      </c>
    </row>
    <row r="231" customFormat="false" ht="25.5" hidden="false" customHeight="false" outlineLevel="0" collapsed="false">
      <c r="A231" s="264" t="n">
        <f aca="false">K231</f>
        <v>0.00047481329754043</v>
      </c>
      <c r="B231" s="265" t="str">
        <f aca="false">VLOOKUP($C231,01_SINTETICO!$B:$N,13,0)</f>
        <v>3.2.2.5.1.9</v>
      </c>
      <c r="C231" s="266" t="n">
        <v>98577</v>
      </c>
      <c r="D231" s="266" t="str">
        <f aca="false">VLOOKUP($C231,01_SINTETICO!$B:$M,2,0)</f>
        <v>TRATAMENTO DE JUNTA SERRADA, COM TARUGO DE POLIETILENO E SELANTE À BASE DE SILICONE. AF_09/2023</v>
      </c>
      <c r="E231" s="266" t="str">
        <f aca="false">VLOOKUP($B231,01_SINTETICO!$A:$M,4,0)</f>
        <v>SER.CG</v>
      </c>
      <c r="F231" s="267" t="str">
        <f aca="false">VLOOKUP($B231,01_SINTETICO!$A:$M,5,0)</f>
        <v>M</v>
      </c>
      <c r="G231" s="267" t="n">
        <f aca="true">SUMIFS(INDIRECT("'01_SINTETICO'!F7:F995"),INDIRECT("'01_SINTETICO'!B7:B995"),$C231)</f>
        <v>75.7</v>
      </c>
      <c r="H231" s="268" t="n">
        <f aca="false">VLOOKUP($C231,01_SINTETICO!$B:$M,6,0)*$G231*(1+BDI_DIF)</f>
        <v>1662.64685514246</v>
      </c>
      <c r="I231" s="268" t="n">
        <f aca="false">VLOOKUP($C231,01_SINTETICO!$B:$M,7,0)*$G231*(1+BDI_MDO)</f>
        <v>2623.6887375977</v>
      </c>
      <c r="J231" s="269" t="n">
        <f aca="false">SUM(H231:I231)</f>
        <v>4286.33559274016</v>
      </c>
      <c r="K231" s="270" t="n">
        <f aca="false">J231/SUM($J$7:$J$749)</f>
        <v>0.00047481329754043</v>
      </c>
      <c r="L231" s="271" t="n">
        <f aca="false">K231+L230</f>
        <v>0.958951540125837</v>
      </c>
    </row>
    <row r="232" customFormat="false" ht="25.5" hidden="false" customHeight="false" outlineLevel="0" collapsed="false">
      <c r="A232" s="264" t="n">
        <f aca="false">K232</f>
        <v>0.000472774657238265</v>
      </c>
      <c r="B232" s="265" t="str">
        <f aca="false">VLOOKUP($C232,01_SINTETICO!$B:$N,13,0)</f>
        <v>16.1.3.1.3</v>
      </c>
      <c r="C232" s="272" t="n">
        <v>89509</v>
      </c>
      <c r="D232" s="266" t="str">
        <f aca="false">VLOOKUP($C232,01_SINTETICO!$B:$M,2,0)</f>
        <v>TUBO PVC, SÉRIE R, ÁGUA PLUVIAL, DN 50 MM, FORNECIDO E INSTALADO EM RAMAL DE ENCAMINHAMENTO. AF_06/2022</v>
      </c>
      <c r="E232" s="272" t="str">
        <f aca="false">VLOOKUP($B232,01_SINTETICO!$A:$M,4,0)</f>
        <v>SER.CG</v>
      </c>
      <c r="F232" s="273" t="str">
        <f aca="false">VLOOKUP($B232,01_SINTETICO!$A:$M,5,0)</f>
        <v>M</v>
      </c>
      <c r="G232" s="267" t="n">
        <f aca="true">SUMIFS(INDIRECT("'01_SINTETICO'!F7:F995"),INDIRECT("'01_SINTETICO'!B7:B995"),$C232)</f>
        <v>150.17</v>
      </c>
      <c r="H232" s="268" t="n">
        <f aca="false">VLOOKUP($C232,01_SINTETICO!$B:$M,6,0)*$G232*(1+BDI_MAT)</f>
        <v>3030.12952461751</v>
      </c>
      <c r="I232" s="268" t="n">
        <f aca="false">VLOOKUP($C232,01_SINTETICO!$B:$M,7,0)*$G232*(1+BDI_MDO)</f>
        <v>1237.80242076645</v>
      </c>
      <c r="J232" s="269" t="n">
        <f aca="false">SUM(H232:I232)</f>
        <v>4267.93194538396</v>
      </c>
      <c r="K232" s="270" t="n">
        <f aca="false">J232/SUM($J$7:$J$749)</f>
        <v>0.000472774657238265</v>
      </c>
      <c r="L232" s="271" t="n">
        <f aca="false">K232+L231</f>
        <v>0.959424314783075</v>
      </c>
    </row>
    <row r="233" customFormat="false" ht="25.5" hidden="false" customHeight="false" outlineLevel="0" collapsed="false">
      <c r="A233" s="264" t="n">
        <f aca="false">K233</f>
        <v>0.000471069490334091</v>
      </c>
      <c r="B233" s="265" t="str">
        <f aca="false">VLOOKUP($C233,01_SINTETICO!$B:$N,13,0)</f>
        <v>13.3.1</v>
      </c>
      <c r="C233" s="274" t="s">
        <v>1041</v>
      </c>
      <c r="D233" s="266" t="str">
        <f aca="false">VLOOKUP($C233,01_SINTETICO!$B:$M,2,0)</f>
        <v>CABO ELETRÔNICO CATEGORIA 6, INSTALADO EM EDIFICAÇÃO INSTITUCIONAL - FORNECIMENTO E INSTALAÇÃO.</v>
      </c>
      <c r="E233" s="266" t="str">
        <f aca="false">VLOOKUP($B233,01_SINTETICO!$A:$M,4,0)</f>
        <v>SER.CG</v>
      </c>
      <c r="F233" s="267" t="str">
        <f aca="false">VLOOKUP($B233,01_SINTETICO!$A:$M,5,0)</f>
        <v>M</v>
      </c>
      <c r="G233" s="267" t="n">
        <f aca="true">SUMIFS(INDIRECT("'01_SINTETICO'!F7:F995"),INDIRECT("'01_SINTETICO'!B7:B995"),$C233)</f>
        <v>12542</v>
      </c>
      <c r="H233" s="268" t="n">
        <f aca="false">VLOOKUP($C233,01_SINTETICO!$B:$M,6,0)*$G233*(1+BDI_DIF)</f>
        <v>1198.29414893599</v>
      </c>
      <c r="I233" s="268" t="n">
        <f aca="false">VLOOKUP($C233,01_SINTETICO!$B:$M,7,0)*$G233*(1+BDI_MDO)</f>
        <v>3054.2445510802</v>
      </c>
      <c r="J233" s="269" t="n">
        <f aca="false">SUM(H233:I233)</f>
        <v>4252.53870001619</v>
      </c>
      <c r="K233" s="270" t="n">
        <f aca="false">J233/SUM($J$7:$J$749)</f>
        <v>0.000471069490334091</v>
      </c>
      <c r="L233" s="271" t="n">
        <f aca="false">K233+L232</f>
        <v>0.959895384273409</v>
      </c>
    </row>
    <row r="234" customFormat="false" ht="25.5" hidden="false" customHeight="false" outlineLevel="0" collapsed="false">
      <c r="A234" s="264" t="n">
        <f aca="false">K234</f>
        <v>0.000468834486974693</v>
      </c>
      <c r="B234" s="265" t="str">
        <f aca="false">VLOOKUP($C234,01_SINTETICO!$B:$N,13,0)</f>
        <v>5.6.2</v>
      </c>
      <c r="C234" s="266" t="s">
        <v>479</v>
      </c>
      <c r="D234" s="266" t="str">
        <f aca="false">VLOOKUP($C234,01_SINTETICO!$B:$M,2,0)</f>
        <v>CHAPA DE PROTEÇÃO PARA BATEDOR DE PORTA PARA PCD - FORNECIMENTO E INSTALAÇÃO.</v>
      </c>
      <c r="E234" s="266" t="str">
        <f aca="false">VLOOKUP($B234,01_SINTETICO!$A:$M,4,0)</f>
        <v>SER.CG</v>
      </c>
      <c r="F234" s="267" t="str">
        <f aca="false">VLOOKUP($B234,01_SINTETICO!$A:$M,5,0)</f>
        <v>UN</v>
      </c>
      <c r="G234" s="267" t="n">
        <f aca="true">SUMIFS(INDIRECT("'01_SINTETICO'!F7:F995"),INDIRECT("'01_SINTETICO'!B7:B995"),$C234)</f>
        <v>8</v>
      </c>
      <c r="H234" s="268" t="n">
        <f aca="false">VLOOKUP($C234,01_SINTETICO!$B:$M,6,0)*$G234*(1+BDI_DIF)</f>
        <v>3992.93623290547</v>
      </c>
      <c r="I234" s="268" t="n">
        <f aca="false">VLOOKUP($C234,01_SINTETICO!$B:$M,7,0)*$G234*(1+BDI_MDO)</f>
        <v>239.426169397689</v>
      </c>
      <c r="J234" s="269" t="n">
        <f aca="false">SUM(H234:I234)</f>
        <v>4232.36240230316</v>
      </c>
      <c r="K234" s="270" t="n">
        <f aca="false">J234/SUM($J$7:$J$749)</f>
        <v>0.000468834486974693</v>
      </c>
      <c r="L234" s="271" t="n">
        <f aca="false">K234+L233</f>
        <v>0.960364218760384</v>
      </c>
    </row>
    <row r="235" customFormat="false" ht="25.5" hidden="false" customHeight="false" outlineLevel="0" collapsed="false">
      <c r="A235" s="264" t="n">
        <f aca="false">K235</f>
        <v>0.000460630908215322</v>
      </c>
      <c r="B235" s="265" t="str">
        <f aca="false">VLOOKUP($C235,01_SINTETICO!$B:$N,13,0)</f>
        <v>3.2.1.2.7</v>
      </c>
      <c r="C235" s="272" t="n">
        <v>104921</v>
      </c>
      <c r="D235" s="266" t="str">
        <f aca="false">VLOOKUP($C235,01_SINTETICO!$B:$M,2,0)</f>
        <v>ARMAÇÃO DE BLOCO, SAPATA ISOLADA, VIGA BALDRAME E SAPATA CORRIDA UTILIZANDO AÇO CA-50 DE 16 MM - MONTAGEM. AF_01/2024</v>
      </c>
      <c r="E235" s="272" t="str">
        <f aca="false">VLOOKUP($B235,01_SINTETICO!$A:$M,4,0)</f>
        <v>SER.CG</v>
      </c>
      <c r="F235" s="273" t="str">
        <f aca="false">VLOOKUP($B235,01_SINTETICO!$A:$M,5,0)</f>
        <v>KG</v>
      </c>
      <c r="G235" s="267" t="n">
        <f aca="true">SUMIFS(INDIRECT("'01_SINTETICO'!F7:F995"),INDIRECT("'01_SINTETICO'!B7:B995"),$C235)</f>
        <v>358.91</v>
      </c>
      <c r="H235" s="268" t="n">
        <f aca="false">VLOOKUP($C235,01_SINTETICO!$B:$M,6,0)*$G235*(1+BDI_DIF)</f>
        <v>3559.70912656743</v>
      </c>
      <c r="I235" s="268" t="n">
        <f aca="false">VLOOKUP($C235,01_SINTETICO!$B:$M,7,0)*$G235*(1+BDI_MDO)</f>
        <v>598.596184651116</v>
      </c>
      <c r="J235" s="269" t="n">
        <f aca="false">SUM(H235:I235)</f>
        <v>4158.30531121854</v>
      </c>
      <c r="K235" s="270" t="n">
        <f aca="false">J235/SUM($J$7:$J$749)</f>
        <v>0.000460630908215322</v>
      </c>
      <c r="L235" s="271" t="n">
        <f aca="false">K235+L234</f>
        <v>0.960824849668599</v>
      </c>
    </row>
    <row r="236" customFormat="false" ht="51" hidden="false" customHeight="false" outlineLevel="0" collapsed="false">
      <c r="A236" s="264" t="n">
        <f aca="false">K236</f>
        <v>0.000453857475624992</v>
      </c>
      <c r="B236" s="265" t="str">
        <f aca="false">VLOOKUP($C236,01_SINTETICO!$B:$N,13,0)</f>
        <v>11.4.2.2</v>
      </c>
      <c r="C236" s="266" t="n">
        <v>95567</v>
      </c>
      <c r="D236" s="266" t="str">
        <f aca="false">VLOOKUP($C236,01_SINTETICO!$B:$M,2,0)</f>
        <v>TUBO DE CONCRETO (SIMPLES) PARA REDES COLETORAS DE ÁGUAS PLUVIAIS, DIÂMETRO DE 300 MM, JUNTA RÍGIDA, INSTALADO EM LOCAL COM BAIXO NÍVEL DE INTERFERÊNCIAS - FORNECIMENTO E ASSENTAMENTO. AF_03/2024</v>
      </c>
      <c r="E236" s="266" t="str">
        <f aca="false">VLOOKUP($B236,01_SINTETICO!$A:$M,4,0)</f>
        <v>SER.CG</v>
      </c>
      <c r="F236" s="267" t="str">
        <f aca="false">VLOOKUP($B236,01_SINTETICO!$A:$M,5,0)</f>
        <v>M</v>
      </c>
      <c r="G236" s="267" t="n">
        <f aca="true">SUMIFS(INDIRECT("'01_SINTETICO'!F7:F995"),INDIRECT("'01_SINTETICO'!B7:B995"),$C236)</f>
        <v>44.8</v>
      </c>
      <c r="H236" s="268" t="n">
        <f aca="false">VLOOKUP($C236,01_SINTETICO!$B:$M,6,0)*$G236*(1+BDI_DIF)</f>
        <v>3643.06525942366</v>
      </c>
      <c r="I236" s="268" t="n">
        <f aca="false">VLOOKUP($C236,01_SINTETICO!$B:$M,7,0)*$G236*(1+BDI_MDO)</f>
        <v>454.093480400707</v>
      </c>
      <c r="J236" s="269" t="n">
        <f aca="false">SUM(H236:I236)</f>
        <v>4097.15873982437</v>
      </c>
      <c r="K236" s="270" t="n">
        <f aca="false">J236/SUM($J$7:$J$749)</f>
        <v>0.000453857475624992</v>
      </c>
      <c r="L236" s="271" t="n">
        <f aca="false">K236+L235</f>
        <v>0.961278707144224</v>
      </c>
    </row>
    <row r="237" customFormat="false" ht="25.5" hidden="false" customHeight="false" outlineLevel="0" collapsed="false">
      <c r="A237" s="264" t="n">
        <f aca="false">K237</f>
        <v>0.000450119189422385</v>
      </c>
      <c r="B237" s="265" t="str">
        <f aca="false">VLOOKUP($C237,01_SINTETICO!$B:$N,13,0)</f>
        <v>10.1.6</v>
      </c>
      <c r="C237" s="272" t="s">
        <v>624</v>
      </c>
      <c r="D237" s="266" t="str">
        <f aca="false">VLOOKUP($C237,01_SINTETICO!$B:$M,2,0)</f>
        <v>BANCADA DE GRANITO CINZA POLIDO, DE 2,40 X 0,50 M, PARA LAVATÓRIO, 3 CUBAS - FORNECIMENTO E INSTALAÇÃO.</v>
      </c>
      <c r="E237" s="272" t="str">
        <f aca="false">VLOOKUP($B237,01_SINTETICO!$A:$M,4,0)</f>
        <v>SER.CG</v>
      </c>
      <c r="F237" s="273" t="str">
        <f aca="false">VLOOKUP($B237,01_SINTETICO!$A:$M,5,0)</f>
        <v>UN</v>
      </c>
      <c r="G237" s="267" t="n">
        <f aca="true">SUMIFS(INDIRECT("'01_SINTETICO'!F7:F995"),INDIRECT("'01_SINTETICO'!B7:B995"),$C237)</f>
        <v>2</v>
      </c>
      <c r="H237" s="268" t="n">
        <f aca="false">VLOOKUP($C237,01_SINTETICO!$B:$M,6,0)*$G237*(1+BDI_DIF)</f>
        <v>3740.31515775382</v>
      </c>
      <c r="I237" s="268" t="n">
        <f aca="false">VLOOKUP($C237,01_SINTETICO!$B:$M,7,0)*$G237*(1+BDI_MDO)</f>
        <v>323.096529725785</v>
      </c>
      <c r="J237" s="269" t="n">
        <f aca="false">SUM(H237:I237)</f>
        <v>4063.41168747961</v>
      </c>
      <c r="K237" s="270" t="n">
        <f aca="false">J237/SUM($J$7:$J$749)</f>
        <v>0.000450119189422385</v>
      </c>
      <c r="L237" s="271" t="n">
        <f aca="false">K237+L236</f>
        <v>0.961728826333647</v>
      </c>
    </row>
    <row r="238" customFormat="false" ht="25.5" hidden="false" customHeight="false" outlineLevel="0" collapsed="false">
      <c r="A238" s="264" t="n">
        <f aca="false">K238</f>
        <v>0.000447041719532619</v>
      </c>
      <c r="B238" s="265" t="str">
        <f aca="false">VLOOKUP($C238,01_SINTETICO!$B:$N,13,0)</f>
        <v>17.2.6</v>
      </c>
      <c r="C238" s="266" t="s">
        <v>1342</v>
      </c>
      <c r="D238" s="266" t="str">
        <f aca="false">VLOOKUP($C238,01_SINTETICO!$B:$M,2,0)</f>
        <v>PLANTIO DE FORRAÇÃO DE ABACAXI ROXO, MUDAS DE ATÉ 40CM DE ALTURA.</v>
      </c>
      <c r="E238" s="266" t="str">
        <f aca="false">VLOOKUP($B238,01_SINTETICO!$A:$M,4,0)</f>
        <v>SER.CG</v>
      </c>
      <c r="F238" s="267" t="str">
        <f aca="false">VLOOKUP($B238,01_SINTETICO!$A:$M,5,0)</f>
        <v>M2</v>
      </c>
      <c r="G238" s="267" t="n">
        <f aca="true">SUMIFS(INDIRECT("'01_SINTETICO'!F7:F995"),INDIRECT("'01_SINTETICO'!B7:B995"),$C238)</f>
        <v>11.34</v>
      </c>
      <c r="H238" s="268" t="n">
        <f aca="false">VLOOKUP($C238,01_SINTETICO!$B:$M,6,0)*$G238*(1+BDI_DIF)</f>
        <v>3980.99500522489</v>
      </c>
      <c r="I238" s="268" t="n">
        <f aca="false">VLOOKUP($C238,01_SINTETICO!$B:$M,7,0)*$G238*(1+BDI_MDO)</f>
        <v>54.6350914854174</v>
      </c>
      <c r="J238" s="269" t="n">
        <f aca="false">SUM(H238:I238)</f>
        <v>4035.63009671031</v>
      </c>
      <c r="K238" s="270" t="n">
        <f aca="false">J238/SUM($J$7:$J$749)</f>
        <v>0.000447041719532619</v>
      </c>
      <c r="L238" s="271" t="n">
        <f aca="false">K238+L237</f>
        <v>0.962175868053179</v>
      </c>
    </row>
    <row r="239" customFormat="false" ht="15" hidden="false" customHeight="false" outlineLevel="0" collapsed="false">
      <c r="A239" s="264" t="n">
        <f aca="false">K239</f>
        <v>0.000442801126030686</v>
      </c>
      <c r="B239" s="265" t="str">
        <f aca="false">VLOOKUP($C239,01_SINTETICO!$B:$N,13,0)</f>
        <v>17.1.1</v>
      </c>
      <c r="C239" s="266" t="n">
        <v>98519</v>
      </c>
      <c r="D239" s="266" t="str">
        <f aca="false">VLOOKUP($C239,01_SINTETICO!$B:$M,2,0)</f>
        <v>REVOLVIMENTO E LIMPEZA MANUAL DE SOLO. AF_07/2024</v>
      </c>
      <c r="E239" s="266" t="str">
        <f aca="false">VLOOKUP($B239,01_SINTETICO!$A:$M,4,0)</f>
        <v>SER.CG</v>
      </c>
      <c r="F239" s="267" t="str">
        <f aca="false">VLOOKUP($B239,01_SINTETICO!$A:$M,5,0)</f>
        <v>M2</v>
      </c>
      <c r="G239" s="267" t="n">
        <f aca="true">SUMIFS(INDIRECT("'01_SINTETICO'!F7:F995"),INDIRECT("'01_SINTETICO'!B7:B995"),$C239)</f>
        <v>899.79</v>
      </c>
      <c r="H239" s="268" t="n">
        <f aca="false">VLOOKUP($C239,01_SINTETICO!$B:$M,6,0)*$G239*(1+BDI_DIF)</f>
        <v>1272.04734398551</v>
      </c>
      <c r="I239" s="268" t="n">
        <f aca="false">VLOOKUP($C239,01_SINTETICO!$B:$M,7,0)*$G239*(1+BDI_MDO)</f>
        <v>2725.30116508639</v>
      </c>
      <c r="J239" s="269" t="n">
        <f aca="false">SUM(H239:I239)</f>
        <v>3997.3485090719</v>
      </c>
      <c r="K239" s="270" t="n">
        <f aca="false">J239/SUM($J$7:$J$749)</f>
        <v>0.000442801126030686</v>
      </c>
      <c r="L239" s="271" t="n">
        <f aca="false">K239+L238</f>
        <v>0.96261866917921</v>
      </c>
    </row>
    <row r="240" customFormat="false" ht="15" hidden="false" customHeight="false" outlineLevel="0" collapsed="false">
      <c r="A240" s="264" t="n">
        <f aca="false">K240</f>
        <v>0.000439929960686072</v>
      </c>
      <c r="B240" s="265" t="str">
        <f aca="false">VLOOKUP($C240,01_SINTETICO!$B:$N,13,0)</f>
        <v>4.2.3.1.1</v>
      </c>
      <c r="C240" s="272" t="s">
        <v>365</v>
      </c>
      <c r="D240" s="266" t="str">
        <f aca="false">VLOOKUP($C240,01_SINTETICO!$B:$M,2,0)</f>
        <v>FECHAMENTO EM PLACA CIMENTÍCIA COM ESPESSURA DE 10MM</v>
      </c>
      <c r="E240" s="272" t="str">
        <f aca="false">VLOOKUP($B240,01_SINTETICO!$A:$M,4,0)</f>
        <v>SER.CG</v>
      </c>
      <c r="F240" s="273" t="str">
        <f aca="false">VLOOKUP($B240,01_SINTETICO!$A:$M,5,0)</f>
        <v>M2</v>
      </c>
      <c r="G240" s="267" t="n">
        <f aca="true">SUMIFS(INDIRECT("'01_SINTETICO'!F7:F995"),INDIRECT("'01_SINTETICO'!B7:B995"),$C240)</f>
        <v>34.23</v>
      </c>
      <c r="H240" s="268" t="n">
        <f aca="false">VLOOKUP($C240,01_SINTETICO!$B:$M,6,0)*$G240*(1+BDI_DIF)</f>
        <v>2936.67478082675</v>
      </c>
      <c r="I240" s="268" t="n">
        <f aca="false">VLOOKUP($C240,01_SINTETICO!$B:$M,7,0)*$G240*(1+BDI_MDO)</f>
        <v>1034.754533747</v>
      </c>
      <c r="J240" s="269" t="n">
        <f aca="false">SUM(H240:I240)</f>
        <v>3971.42931457375</v>
      </c>
      <c r="K240" s="270" t="n">
        <f aca="false">J240/SUM($J$7:$J$749)</f>
        <v>0.000439929960686072</v>
      </c>
      <c r="L240" s="271" t="n">
        <f aca="false">K240+L239</f>
        <v>0.963058599139896</v>
      </c>
    </row>
    <row r="241" customFormat="false" ht="25.5" hidden="false" customHeight="false" outlineLevel="0" collapsed="false">
      <c r="A241" s="264" t="n">
        <f aca="false">K241</f>
        <v>0.000438733921459692</v>
      </c>
      <c r="B241" s="265" t="str">
        <f aca="false">VLOOKUP($C241,01_SINTETICO!$B:$N,13,0)</f>
        <v>14.3.2</v>
      </c>
      <c r="C241" s="266" t="s">
        <v>1106</v>
      </c>
      <c r="D241" s="266" t="str">
        <f aca="false">VLOOKUP($C241,01_SINTETICO!$B:$M,2,0)</f>
        <v>EMENDA L EM AÇO GAVANIZADO 200X200 MM, Ø3/8", COM CONECTORES TIPO CLIP</v>
      </c>
      <c r="E241" s="266" t="str">
        <f aca="false">VLOOKUP($B241,01_SINTETICO!$A:$M,4,0)</f>
        <v>SER.CG</v>
      </c>
      <c r="F241" s="267" t="str">
        <f aca="false">VLOOKUP($B241,01_SINTETICO!$A:$M,5,0)</f>
        <v>UN</v>
      </c>
      <c r="G241" s="267" t="n">
        <f aca="true">SUMIFS(INDIRECT("'01_SINTETICO'!F7:F995"),INDIRECT("'01_SINTETICO'!B7:B995"),$C241)</f>
        <v>99</v>
      </c>
      <c r="H241" s="268" t="n">
        <f aca="false">VLOOKUP($C241,01_SINTETICO!$B:$M,6,0)*$G241*(1+BDI_DIF)</f>
        <v>3087.61573958541</v>
      </c>
      <c r="I241" s="268" t="n">
        <f aca="false">VLOOKUP($C241,01_SINTETICO!$B:$M,7,0)*$G241*(1+BDI_MDO)</f>
        <v>873.016435285418</v>
      </c>
      <c r="J241" s="269" t="n">
        <f aca="false">SUM(H241:I241)</f>
        <v>3960.63217487083</v>
      </c>
      <c r="K241" s="270" t="n">
        <f aca="false">J241/SUM($J$7:$J$749)</f>
        <v>0.000438733921459692</v>
      </c>
      <c r="L241" s="271" t="n">
        <f aca="false">K241+L240</f>
        <v>0.963497333061356</v>
      </c>
    </row>
    <row r="242" customFormat="false" ht="25.5" hidden="false" customHeight="false" outlineLevel="0" collapsed="false">
      <c r="A242" s="264" t="n">
        <f aca="false">K242</f>
        <v>0.000428417871884773</v>
      </c>
      <c r="B242" s="265" t="str">
        <f aca="false">VLOOKUP($C242,01_SINTETICO!$B:$N,13,0)</f>
        <v>3.2.1.1.2</v>
      </c>
      <c r="C242" s="266" t="n">
        <v>95601</v>
      </c>
      <c r="D242" s="266" t="str">
        <f aca="false">VLOOKUP($C242,01_SINTETICO!$B:$M,2,0)</f>
        <v>ARRASAMENTO MECANICO DE ESTACA DE CONCRETO ARMADO, DIAMETROS DE ATÉ 40 CM. AF_05/2021</v>
      </c>
      <c r="E242" s="272" t="str">
        <f aca="false">VLOOKUP($B242,01_SINTETICO!$A:$M,4,0)</f>
        <v>SER.CG</v>
      </c>
      <c r="F242" s="273" t="str">
        <f aca="false">VLOOKUP($B242,01_SINTETICO!$A:$M,5,0)</f>
        <v>UN</v>
      </c>
      <c r="G242" s="267" t="n">
        <f aca="true">SUMIFS(INDIRECT("'01_SINTETICO'!F7:F995"),INDIRECT("'01_SINTETICO'!B7:B995"),$C242)</f>
        <v>199</v>
      </c>
      <c r="H242" s="268" t="n">
        <f aca="false">VLOOKUP($C242,01_SINTETICO!$B:$M,6,0)*$G242*(1+BDI_DIF)</f>
        <v>1246.47303683336</v>
      </c>
      <c r="I242" s="268" t="n">
        <f aca="false">VLOOKUP($C242,01_SINTETICO!$B:$M,7,0)*$G242*(1+BDI_MDO)</f>
        <v>2621.03190108243</v>
      </c>
      <c r="J242" s="269" t="n">
        <f aca="false">SUM(H242:I242)</f>
        <v>3867.50493791579</v>
      </c>
      <c r="K242" s="270" t="n">
        <f aca="false">J242/SUM($J$7:$J$749)</f>
        <v>0.000428417871884773</v>
      </c>
      <c r="L242" s="271" t="n">
        <f aca="false">K242+L241</f>
        <v>0.96392575093324</v>
      </c>
    </row>
    <row r="243" customFormat="false" ht="25.5" hidden="false" customHeight="false" outlineLevel="0" collapsed="false">
      <c r="A243" s="264" t="n">
        <f aca="false">K243</f>
        <v>0.000426277668343796</v>
      </c>
      <c r="B243" s="265" t="str">
        <f aca="false">VLOOKUP($C243,01_SINTETICO!$B:$N,13,0)</f>
        <v>2.1.2.1</v>
      </c>
      <c r="C243" s="266" t="n">
        <v>97641</v>
      </c>
      <c r="D243" s="266" t="str">
        <f aca="false">VLOOKUP($C243,01_SINTETICO!$B:$M,2,0)</f>
        <v>REMOÇÃO DE FORRO DE GESSO, DE FORMA MANUAL, SEM REAPROVEITAMENTO. AF_09/2023</v>
      </c>
      <c r="E243" s="266" t="str">
        <f aca="false">VLOOKUP($B243,01_SINTETICO!$A:$M,4,0)</f>
        <v>SER.CG</v>
      </c>
      <c r="F243" s="267" t="str">
        <f aca="false">VLOOKUP($B243,01_SINTETICO!$A:$M,5,0)</f>
        <v>M2</v>
      </c>
      <c r="G243" s="267" t="n">
        <f aca="true">SUMIFS(INDIRECT("'01_SINTETICO'!F7:F995"),INDIRECT("'01_SINTETICO'!B7:B995"),$C243)</f>
        <v>1127.56</v>
      </c>
      <c r="H243" s="268" t="n">
        <f aca="false">VLOOKUP($C243,01_SINTETICO!$B:$M,6,0)*$G243*(1+BDI_DIF)</f>
        <v>1145.67916357708</v>
      </c>
      <c r="I243" s="268" t="n">
        <f aca="false">VLOOKUP($C243,01_SINTETICO!$B:$M,7,0)*$G243*(1+BDI_MDO)</f>
        <v>2702.50527371053</v>
      </c>
      <c r="J243" s="269" t="n">
        <f aca="false">SUM(H243:I243)</f>
        <v>3848.18443728762</v>
      </c>
      <c r="K243" s="270" t="n">
        <f aca="false">J243/SUM($J$7:$J$749)</f>
        <v>0.000426277668343796</v>
      </c>
      <c r="L243" s="271" t="n">
        <f aca="false">K243+L242</f>
        <v>0.964352028601584</v>
      </c>
    </row>
    <row r="244" customFormat="false" ht="25.5" hidden="false" customHeight="false" outlineLevel="0" collapsed="false">
      <c r="A244" s="264" t="n">
        <f aca="false">K244</f>
        <v>0.000422450175019247</v>
      </c>
      <c r="B244" s="265" t="str">
        <f aca="false">VLOOKUP($C244,01_SINTETICO!$B:$N,13,0)</f>
        <v>13.9.2</v>
      </c>
      <c r="C244" s="266" t="s">
        <v>1071</v>
      </c>
      <c r="D244" s="266" t="str">
        <f aca="false">VLOOKUP($C244,01_SINTETICO!$B:$M,2,0)</f>
        <v>MESA DE SOM 12 CANAIS REF. BEHRINGER - FORNECIMENTO E INSTALAÇÃO</v>
      </c>
      <c r="E244" s="266" t="str">
        <f aca="false">VLOOKUP($B244,01_SINTETICO!$A:$M,4,0)</f>
        <v>SER.CG</v>
      </c>
      <c r="F244" s="267" t="str">
        <f aca="false">VLOOKUP($B244,01_SINTETICO!$A:$M,5,0)</f>
        <v>UN</v>
      </c>
      <c r="G244" s="267" t="n">
        <f aca="true">SUMIFS(INDIRECT("'01_SINTETICO'!F7:F995"),INDIRECT("'01_SINTETICO'!B7:B995"),$C244)</f>
        <v>1</v>
      </c>
      <c r="H244" s="268" t="n">
        <f aca="false">VLOOKUP($C244,01_SINTETICO!$B:$M,6,0)*$G244*(1+BDI_DIF)</f>
        <v>3725.07886365196</v>
      </c>
      <c r="I244" s="268" t="n">
        <f aca="false">VLOOKUP($C244,01_SINTETICO!$B:$M,7,0)*$G244*(1+BDI_MDO)</f>
        <v>88.55321178528</v>
      </c>
      <c r="J244" s="269" t="n">
        <f aca="false">SUM(H244:I244)</f>
        <v>3813.63207543724</v>
      </c>
      <c r="K244" s="270" t="n">
        <f aca="false">J244/SUM($J$7:$J$749)</f>
        <v>0.000422450175019247</v>
      </c>
      <c r="L244" s="271" t="n">
        <f aca="false">K244+L243</f>
        <v>0.964774478776604</v>
      </c>
    </row>
    <row r="245" customFormat="false" ht="38.25" hidden="false" customHeight="false" outlineLevel="0" collapsed="false">
      <c r="A245" s="264" t="n">
        <f aca="false">K245</f>
        <v>0.000417737215584434</v>
      </c>
      <c r="B245" s="265" t="str">
        <f aca="false">VLOOKUP($C245,01_SINTETICO!$B:$N,13,0)</f>
        <v>12.1.1.2</v>
      </c>
      <c r="C245" s="266" t="n">
        <v>101561</v>
      </c>
      <c r="D245" s="266" t="str">
        <f aca="false">VLOOKUP($C245,01_SINTETICO!$B:$M,2,0)</f>
        <v>CABO DE COBRE FLEXÍVEL ISOLADO, 16 MM², 0,6/1,0 KV, PARA REDE AÉREA DE DISTRIBUIÇÃO DE ENERGIA ELÉTRICA DE BAIXA TENSÃO - FORNECIMENTO E INSTALAÇÃO. AF_07/2020</v>
      </c>
      <c r="E245" s="266" t="str">
        <f aca="false">VLOOKUP($B245,01_SINTETICO!$A:$M,4,0)</f>
        <v>SER.CG</v>
      </c>
      <c r="F245" s="267" t="str">
        <f aca="false">VLOOKUP($B245,01_SINTETICO!$A:$M,5,0)</f>
        <v>M</v>
      </c>
      <c r="G245" s="267" t="n">
        <f aca="true">SUMIFS(INDIRECT("'01_SINTETICO'!F7:F995"),INDIRECT("'01_SINTETICO'!B7:B995"),$C245)</f>
        <v>190</v>
      </c>
      <c r="H245" s="268" t="n">
        <f aca="false">VLOOKUP($C245,01_SINTETICO!$B:$M,6,0)*$G245*(1+BDI_DIF)</f>
        <v>3756.35221310668</v>
      </c>
      <c r="I245" s="268" t="n">
        <f aca="false">VLOOKUP($C245,01_SINTETICO!$B:$M,7,0)*$G245*(1+BDI_MDO)</f>
        <v>14.734032470227</v>
      </c>
      <c r="J245" s="269" t="n">
        <f aca="false">SUM(H245:I245)</f>
        <v>3771.0862455769</v>
      </c>
      <c r="K245" s="270" t="n">
        <f aca="false">J245/SUM($J$7:$J$749)</f>
        <v>0.000417737215584434</v>
      </c>
      <c r="L245" s="271" t="n">
        <f aca="false">K245+L244</f>
        <v>0.965192215992188</v>
      </c>
    </row>
    <row r="246" customFormat="false" ht="25.5" hidden="false" customHeight="false" outlineLevel="0" collapsed="false">
      <c r="A246" s="264" t="n">
        <f aca="false">K246</f>
        <v>0.000413317757780617</v>
      </c>
      <c r="B246" s="265" t="str">
        <f aca="false">VLOOKUP($C246,01_SINTETICO!$B:$N,13,0)</f>
        <v>15.4.4.2</v>
      </c>
      <c r="C246" s="266" t="s">
        <v>1194</v>
      </c>
      <c r="D246" s="266" t="str">
        <f aca="false">VLOOKUP($C246,01_SINTETICO!$B:$M,2,0)</f>
        <v>INSTALAÇÃO DE QUADRO ELÉTRICO PARA BOMBAS TRIFÁSICAS DE 10 CV - FORNECIMENTO E INSTALAÇÃO.</v>
      </c>
      <c r="E246" s="266" t="str">
        <f aca="false">VLOOKUP($B246,01_SINTETICO!$A:$M,4,0)</f>
        <v>SER.CG</v>
      </c>
      <c r="F246" s="267" t="str">
        <f aca="false">VLOOKUP($B246,01_SINTETICO!$A:$M,5,0)</f>
        <v>UN</v>
      </c>
      <c r="G246" s="267" t="n">
        <f aca="true">SUMIFS(INDIRECT("'01_SINTETICO'!F7:F995"),INDIRECT("'01_SINTETICO'!B7:B995"),$C246)</f>
        <v>2</v>
      </c>
      <c r="H246" s="268" t="n">
        <f aca="false">VLOOKUP($C246,01_SINTETICO!$B:$M,6,0)*$G246*(1+BDI_DIF)</f>
        <v>3606.88783268494</v>
      </c>
      <c r="I246" s="268" t="n">
        <f aca="false">VLOOKUP($C246,01_SINTETICO!$B:$M,7,0)*$G246*(1+BDI_MDO)</f>
        <v>124.302143382998</v>
      </c>
      <c r="J246" s="269" t="n">
        <f aca="false">SUM(H246:I246)</f>
        <v>3731.18997606793</v>
      </c>
      <c r="K246" s="270" t="n">
        <f aca="false">J246/SUM($J$7:$J$749)</f>
        <v>0.000413317757780617</v>
      </c>
      <c r="L246" s="271" t="n">
        <f aca="false">K246+L245</f>
        <v>0.965605533749969</v>
      </c>
    </row>
    <row r="247" customFormat="false" ht="25.5" hidden="false" customHeight="false" outlineLevel="0" collapsed="false">
      <c r="A247" s="264" t="n">
        <f aca="false">K247</f>
        <v>0.000409744772702963</v>
      </c>
      <c r="B247" s="265" t="str">
        <f aca="false">VLOOKUP($C247,01_SINTETICO!$B:$N,13,0)</f>
        <v>12.8.1</v>
      </c>
      <c r="C247" s="266" t="s">
        <v>1011</v>
      </c>
      <c r="D247" s="266" t="str">
        <f aca="false">VLOOKUP($C247,01_SINTETICO!$B:$M,2,0)</f>
        <v>CABO DE COBRE FLEXÍVEL, 3 VIAS, 2,5 MM², ANTI-CHAMA 0,6/1,0 KV, PARA CIRCUITOS TERMINAIS - FORNECIMENTO E INSTALAÇÃO.</v>
      </c>
      <c r="E247" s="266" t="str">
        <f aca="false">VLOOKUP($B247,01_SINTETICO!$A:$M,4,0)</f>
        <v>SER.CG</v>
      </c>
      <c r="F247" s="267" t="str">
        <f aca="false">VLOOKUP($B247,01_SINTETICO!$A:$M,5,0)</f>
        <v>M</v>
      </c>
      <c r="G247" s="267" t="n">
        <f aca="true">SUMIFS(INDIRECT("'01_SINTETICO'!F7:F995"),INDIRECT("'01_SINTETICO'!B7:B995"),$C247)</f>
        <v>252</v>
      </c>
      <c r="H247" s="268" t="n">
        <f aca="false">VLOOKUP($C247,01_SINTETICO!$B:$M,6,0)*$G247*(1+BDI_DIF)</f>
        <v>3375.36172933463</v>
      </c>
      <c r="I247" s="268" t="n">
        <f aca="false">VLOOKUP($C247,01_SINTETICO!$B:$M,7,0)*$G247*(1+BDI_MDO)</f>
        <v>323.573435863413</v>
      </c>
      <c r="J247" s="269" t="n">
        <f aca="false">SUM(H247:I247)</f>
        <v>3698.93516519804</v>
      </c>
      <c r="K247" s="270" t="n">
        <f aca="false">J247/SUM($J$7:$J$749)</f>
        <v>0.000409744772702963</v>
      </c>
      <c r="L247" s="271" t="n">
        <f aca="false">K247+L246</f>
        <v>0.966015278522672</v>
      </c>
    </row>
    <row r="248" customFormat="false" ht="25.5" hidden="false" customHeight="false" outlineLevel="0" collapsed="false">
      <c r="A248" s="264" t="n">
        <f aca="false">K248</f>
        <v>0.000407954255158583</v>
      </c>
      <c r="B248" s="265" t="str">
        <f aca="false">VLOOKUP($C248,01_SINTETICO!$B:$N,13,0)</f>
        <v>16.2.1.1</v>
      </c>
      <c r="C248" s="272" t="s">
        <v>1300</v>
      </c>
      <c r="D248" s="266" t="str">
        <f aca="false">VLOOKUP($C248,01_SINTETICO!$B:$M,2,0)</f>
        <v>DIFUSOR PARA SISTEMA DE RENOVAÇÃO DE AR, Ø100 MM - FORNECIMENTO E INSTALAÇÃO.</v>
      </c>
      <c r="E248" s="272" t="str">
        <f aca="false">VLOOKUP($B248,01_SINTETICO!$A:$M,4,0)</f>
        <v>SER.CG</v>
      </c>
      <c r="F248" s="273" t="str">
        <f aca="false">VLOOKUP($B248,01_SINTETICO!$A:$M,5,0)</f>
        <v>UN</v>
      </c>
      <c r="G248" s="267" t="n">
        <f aca="true">SUMIFS(INDIRECT("'01_SINTETICO'!F7:F995"),INDIRECT("'01_SINTETICO'!B7:B995"),$C248)</f>
        <v>28</v>
      </c>
      <c r="H248" s="268" t="n">
        <f aca="false">VLOOKUP($C248,01_SINTETICO!$B:$M,6,0)*$G248*(1+BDI_DIF)</f>
        <v>2071.89797433043</v>
      </c>
      <c r="I248" s="268" t="n">
        <f aca="false">VLOOKUP($C248,01_SINTETICO!$B:$M,7,0)*$G248*(1+BDI_MDO)</f>
        <v>1610.8734500464</v>
      </c>
      <c r="J248" s="269" t="n">
        <f aca="false">SUM(H248:I248)</f>
        <v>3682.77142437684</v>
      </c>
      <c r="K248" s="270" t="n">
        <f aca="false">J248/SUM($J$7:$J$749)</f>
        <v>0.000407954255158583</v>
      </c>
      <c r="L248" s="271" t="n">
        <f aca="false">K248+L247</f>
        <v>0.96642323277783</v>
      </c>
    </row>
    <row r="249" customFormat="false" ht="25.5" hidden="false" customHeight="false" outlineLevel="0" collapsed="false">
      <c r="A249" s="264" t="n">
        <f aca="false">K249</f>
        <v>0.000400896135589298</v>
      </c>
      <c r="B249" s="265" t="str">
        <f aca="false">VLOOKUP($C249,01_SINTETICO!$B:$N,13,0)</f>
        <v>13.1.3.1</v>
      </c>
      <c r="C249" s="266" t="s">
        <v>1031</v>
      </c>
      <c r="D249" s="266" t="str">
        <f aca="false">VLOOKUP($C249,01_SINTETICO!$B:$M,2,0)</f>
        <v>RACK EM COLUNA 44U PARA SERVIDOR, INCLUSOS FILTRO DE LINHA E NOBREAK - FORNECIMENTO E INSTALAÇÃO.</v>
      </c>
      <c r="E249" s="266" t="str">
        <f aca="false">VLOOKUP($B249,01_SINTETICO!$A:$M,4,0)</f>
        <v>SER.CG</v>
      </c>
      <c r="F249" s="267" t="str">
        <f aca="false">VLOOKUP($B249,01_SINTETICO!$A:$M,5,0)</f>
        <v>UN</v>
      </c>
      <c r="G249" s="267" t="n">
        <f aca="true">SUMIFS(INDIRECT("'01_SINTETICO'!F7:F995"),INDIRECT("'01_SINTETICO'!B7:B995"),$C249)</f>
        <v>1</v>
      </c>
      <c r="H249" s="268" t="n">
        <f aca="false">VLOOKUP($C249,01_SINTETICO!$B:$M,6,0)*$G249*(1+BDI_DIF)</f>
        <v>3573.62706848724</v>
      </c>
      <c r="I249" s="268" t="n">
        <f aca="false">VLOOKUP($C249,01_SINTETICO!$B:$M,7,0)*$G249*(1+BDI_MDO)</f>
        <v>45.4277976458486</v>
      </c>
      <c r="J249" s="269" t="n">
        <f aca="false">SUM(H249:I249)</f>
        <v>3619.05486613309</v>
      </c>
      <c r="K249" s="270" t="n">
        <f aca="false">J249/SUM($J$7:$J$749)</f>
        <v>0.000400896135589298</v>
      </c>
      <c r="L249" s="271" t="n">
        <f aca="false">K249+L248</f>
        <v>0.966824128913419</v>
      </c>
    </row>
    <row r="250" customFormat="false" ht="25.5" hidden="false" customHeight="false" outlineLevel="0" collapsed="false">
      <c r="A250" s="264" t="n">
        <f aca="false">K250</f>
        <v>0.000394662925476716</v>
      </c>
      <c r="B250" s="265" t="str">
        <f aca="false">VLOOKUP($C250,01_SINTETICO!$B:$N,13,0)</f>
        <v>16.2.1.3</v>
      </c>
      <c r="C250" s="266" t="s">
        <v>1304</v>
      </c>
      <c r="D250" s="266" t="str">
        <f aca="false">VLOOKUP($C250,01_SINTETICO!$B:$M,2,0)</f>
        <v>GRELHA PARA SISTEMA DE RENOVAÇÃO DE AR, Ø150 MM - FORNECIMENTO E INSTALAÇÃO.</v>
      </c>
      <c r="E250" s="266" t="str">
        <f aca="false">VLOOKUP($B250,01_SINTETICO!$A:$M,4,0)</f>
        <v>SER.CG</v>
      </c>
      <c r="F250" s="267" t="str">
        <f aca="false">VLOOKUP($B250,01_SINTETICO!$A:$M,5,0)</f>
        <v>UN</v>
      </c>
      <c r="G250" s="267" t="n">
        <f aca="true">SUMIFS(INDIRECT("'01_SINTETICO'!F7:F995"),INDIRECT("'01_SINTETICO'!B7:B995"),$C250)</f>
        <v>38</v>
      </c>
      <c r="H250" s="268" t="n">
        <f aca="false">VLOOKUP($C250,01_SINTETICO!$B:$M,6,0)*$G250*(1+BDI_DIF)</f>
        <v>1376.59970950427</v>
      </c>
      <c r="I250" s="268" t="n">
        <f aca="false">VLOOKUP($C250,01_SINTETICO!$B:$M,7,0)*$G250*(1+BDI_MDO)</f>
        <v>2186.18539649155</v>
      </c>
      <c r="J250" s="269" t="n">
        <f aca="false">SUM(H250:I250)</f>
        <v>3562.78510599582</v>
      </c>
      <c r="K250" s="270" t="n">
        <f aca="false">J250/SUM($J$7:$J$749)</f>
        <v>0.000394662925476716</v>
      </c>
      <c r="L250" s="271" t="n">
        <f aca="false">K250+L249</f>
        <v>0.967218791838896</v>
      </c>
    </row>
    <row r="251" customFormat="false" ht="25.5" hidden="false" customHeight="false" outlineLevel="0" collapsed="false">
      <c r="A251" s="264" t="n">
        <f aca="false">K251</f>
        <v>0.000391348825536139</v>
      </c>
      <c r="B251" s="265" t="str">
        <f aca="false">VLOOKUP($C251,01_SINTETICO!$B:$N,13,0)</f>
        <v>10.1.11</v>
      </c>
      <c r="C251" s="266" t="s">
        <v>632</v>
      </c>
      <c r="D251" s="266" t="str">
        <f aca="false">VLOOKUP($C251,01_SINTETICO!$B:$M,2,0)</f>
        <v>PAPELEIRA PLASTICA DE PAREDE, TIPO DISPENSER PARA PAPEL HIGIENICO, INCLUSO FIXAÇÃO.</v>
      </c>
      <c r="E251" s="266" t="str">
        <f aca="false">VLOOKUP($B251,01_SINTETICO!$A:$M,4,0)</f>
        <v>SER.CG</v>
      </c>
      <c r="F251" s="267" t="str">
        <f aca="false">VLOOKUP($B251,01_SINTETICO!$A:$M,5,0)</f>
        <v>UN</v>
      </c>
      <c r="G251" s="267" t="n">
        <f aca="true">SUMIFS(INDIRECT("'01_SINTETICO'!F7:F995"),INDIRECT("'01_SINTETICO'!B7:B995"),$C251)</f>
        <v>28</v>
      </c>
      <c r="H251" s="268" t="n">
        <f aca="false">VLOOKUP($C251,01_SINTETICO!$B:$M,6,0)*$G251*(1+BDI_DIF)</f>
        <v>3336.57688940648</v>
      </c>
      <c r="I251" s="268" t="n">
        <f aca="false">VLOOKUP($C251,01_SINTETICO!$B:$M,7,0)*$G251*(1+BDI_MDO)</f>
        <v>196.29046869395</v>
      </c>
      <c r="J251" s="269" t="n">
        <f aca="false">SUM(H251:I251)</f>
        <v>3532.86735810043</v>
      </c>
      <c r="K251" s="270" t="n">
        <f aca="false">J251/SUM($J$7:$J$749)</f>
        <v>0.000391348825536139</v>
      </c>
      <c r="L251" s="271" t="n">
        <f aca="false">K251+L250</f>
        <v>0.967610140664432</v>
      </c>
    </row>
    <row r="252" customFormat="false" ht="38.25" hidden="false" customHeight="false" outlineLevel="0" collapsed="false">
      <c r="A252" s="264" t="n">
        <f aca="false">K252</f>
        <v>0.000391184471143657</v>
      </c>
      <c r="B252" s="265" t="str">
        <f aca="false">VLOOKUP($C252,01_SINTETICO!$B:$N,13,0)</f>
        <v>11.4.4.7</v>
      </c>
      <c r="C252" s="266" t="n">
        <v>104176</v>
      </c>
      <c r="D252" s="266" t="str">
        <f aca="false">VLOOKUP($C252,01_SINTETICO!$B:$M,2,0)</f>
        <v>JUNÇÃO SIMPLES, PVC, SERIE R, ÁGUA PLUVIAL, DN 150 X 150 MM, JUNTA ELÁSTICA, FORNECIDO E INSTALADO EM RAMAL DE ENCAMINHAMENTO. AF_06/2022</v>
      </c>
      <c r="E252" s="266" t="str">
        <f aca="false">VLOOKUP($B252,01_SINTETICO!$A:$M,4,0)</f>
        <v>SER.CG</v>
      </c>
      <c r="F252" s="267" t="str">
        <f aca="false">VLOOKUP($B252,01_SINTETICO!$A:$M,5,0)</f>
        <v>UN</v>
      </c>
      <c r="G252" s="267" t="n">
        <f aca="true">SUMIFS(INDIRECT("'01_SINTETICO'!F7:F995"),INDIRECT("'01_SINTETICO'!B7:B995"),$C252)</f>
        <v>12</v>
      </c>
      <c r="H252" s="268" t="n">
        <f aca="false">VLOOKUP($C252,01_SINTETICO!$B:$M,6,0)*$G252*(1+BDI_DIF)</f>
        <v>3350.55754850188</v>
      </c>
      <c r="I252" s="268" t="n">
        <f aca="false">VLOOKUP($C252,01_SINTETICO!$B:$M,7,0)*$G252*(1+BDI_MDO)</f>
        <v>180.826114668414</v>
      </c>
      <c r="J252" s="269" t="n">
        <f aca="false">SUM(H252:I252)</f>
        <v>3531.38366317029</v>
      </c>
      <c r="K252" s="270" t="n">
        <f aca="false">J252/SUM($J$7:$J$749)</f>
        <v>0.000391184471143657</v>
      </c>
      <c r="L252" s="271" t="n">
        <f aca="false">K252+L251</f>
        <v>0.968001325135576</v>
      </c>
    </row>
    <row r="253" customFormat="false" ht="25.5" hidden="false" customHeight="false" outlineLevel="0" collapsed="false">
      <c r="A253" s="264" t="n">
        <f aca="false">K253</f>
        <v>0.000380971304128906</v>
      </c>
      <c r="B253" s="265" t="str">
        <f aca="false">VLOOKUP($C253,01_SINTETICO!$B:$N,13,0)</f>
        <v>5.3.1.2.2</v>
      </c>
      <c r="C253" s="266" t="s">
        <v>447</v>
      </c>
      <c r="D253" s="266" t="str">
        <f aca="false">VLOOKUP($C253,01_SINTETICO!$B:$M,2,0)</f>
        <v>PORTA DE ABRIR EM VIDRO TEMPERADO, 2 FOLHAS, 180X210 CM, ESPESSURA 10 MM, INCLUSIVE ACESSÓRIOS.</v>
      </c>
      <c r="E253" s="266" t="str">
        <f aca="false">VLOOKUP($B253,01_SINTETICO!$A:$M,4,0)</f>
        <v>SER.CG</v>
      </c>
      <c r="F253" s="267" t="str">
        <f aca="false">VLOOKUP($B253,01_SINTETICO!$A:$M,5,0)</f>
        <v>UN</v>
      </c>
      <c r="G253" s="267" t="n">
        <f aca="true">SUMIFS(INDIRECT("'01_SINTETICO'!F7:F995"),INDIRECT("'01_SINTETICO'!B7:B995"),$C253)</f>
        <v>2</v>
      </c>
      <c r="H253" s="268" t="n">
        <f aca="false">VLOOKUP($C253,01_SINTETICO!$B:$M,6,0)*$G253*(1+BDI_DIF)</f>
        <v>3149.09780265622</v>
      </c>
      <c r="I253" s="268" t="n">
        <f aca="false">VLOOKUP($C253,01_SINTETICO!$B:$M,7,0)*$G253*(1+BDI_MDO)</f>
        <v>290.0873868894</v>
      </c>
      <c r="J253" s="269" t="n">
        <f aca="false">SUM(H253:I253)</f>
        <v>3439.18518954562</v>
      </c>
      <c r="K253" s="270" t="n">
        <f aca="false">J253/SUM($J$7:$J$749)</f>
        <v>0.000380971304128906</v>
      </c>
      <c r="L253" s="271" t="n">
        <f aca="false">K253+L252</f>
        <v>0.968382296439705</v>
      </c>
    </row>
    <row r="254" customFormat="false" ht="25.5" hidden="false" customHeight="false" outlineLevel="0" collapsed="false">
      <c r="A254" s="264" t="n">
        <f aca="false">K254</f>
        <v>0.000364046499955638</v>
      </c>
      <c r="B254" s="265" t="str">
        <f aca="false">VLOOKUP($C254,01_SINTETICO!$B:$N,13,0)</f>
        <v>11.6.2.24</v>
      </c>
      <c r="C254" s="266" t="n">
        <v>89451</v>
      </c>
      <c r="D254" s="266" t="str">
        <f aca="false">VLOOKUP($C254,01_SINTETICO!$B:$M,2,0)</f>
        <v>TUBO, PVC, SOLDÁVEL, DE 75MM, INSTALADO EM PRUMADA DE ÁGUA - FORNECIMENTO E INSTALAÇÃO. AF_06/2022</v>
      </c>
      <c r="E254" s="266" t="str">
        <f aca="false">VLOOKUP($B254,01_SINTETICO!$A:$M,4,0)</f>
        <v>SER.CG</v>
      </c>
      <c r="F254" s="267" t="str">
        <f aca="false">VLOOKUP($B254,01_SINTETICO!$A:$M,5,0)</f>
        <v>M</v>
      </c>
      <c r="G254" s="267" t="n">
        <f aca="true">SUMIFS(INDIRECT("'01_SINTETICO'!F7:F995"),INDIRECT("'01_SINTETICO'!B7:B995"),$C254)</f>
        <v>61.8</v>
      </c>
      <c r="H254" s="268" t="n">
        <f aca="false">VLOOKUP($C254,01_SINTETICO!$B:$M,6,0)*$G254*(1+BDI_DIF)</f>
        <v>3206.28334697063</v>
      </c>
      <c r="I254" s="268" t="n">
        <f aca="false">VLOOKUP($C254,01_SINTETICO!$B:$M,7,0)*$G254*(1+BDI_MDO)</f>
        <v>80.1146504221426</v>
      </c>
      <c r="J254" s="269" t="n">
        <f aca="false">SUM(H254:I254)</f>
        <v>3286.39799739277</v>
      </c>
      <c r="K254" s="270" t="n">
        <f aca="false">J254/SUM($J$7:$J$749)</f>
        <v>0.000364046499955638</v>
      </c>
      <c r="L254" s="271" t="n">
        <f aca="false">K254+L253</f>
        <v>0.96874634293966</v>
      </c>
    </row>
    <row r="255" customFormat="false" ht="15" hidden="false" customHeight="false" outlineLevel="0" collapsed="false">
      <c r="A255" s="264" t="n">
        <f aca="false">K255</f>
        <v>0.000363075315538733</v>
      </c>
      <c r="B255" s="265" t="str">
        <f aca="false">VLOOKUP($C255,01_SINTETICO!$B:$N,13,0)</f>
        <v>18.2.1</v>
      </c>
      <c r="C255" s="266" t="s">
        <v>1362</v>
      </c>
      <c r="D255" s="266" t="str">
        <f aca="false">VLOOKUP($C255,01_SINTETICO!$B:$M,2,0)</f>
        <v>DESMOBILIZAÇÃO E LIMPEZA FINAL DO CANTEIRO DE OBRAS.</v>
      </c>
      <c r="E255" s="266" t="str">
        <f aca="false">VLOOKUP($B255,01_SINTETICO!$A:$M,4,0)</f>
        <v>SER.CG</v>
      </c>
      <c r="F255" s="267" t="str">
        <f aca="false">VLOOKUP($B255,01_SINTETICO!$A:$M,5,0)</f>
        <v>M2</v>
      </c>
      <c r="G255" s="267" t="n">
        <f aca="true">SUMIFS(INDIRECT("'01_SINTETICO'!F7:F995"),INDIRECT("'01_SINTETICO'!B7:B995"),$C255)</f>
        <v>2163.16</v>
      </c>
      <c r="H255" s="268" t="n">
        <f aca="false">VLOOKUP($C255,01_SINTETICO!$B:$M,6,0)*$G255*(1+BDI_DIF)</f>
        <v>1354.68979541752</v>
      </c>
      <c r="I255" s="268" t="n">
        <f aca="false">VLOOKUP($C255,01_SINTETICO!$B:$M,7,0)*$G255*(1+BDI_MDO)</f>
        <v>1922.94091943524</v>
      </c>
      <c r="J255" s="269" t="n">
        <f aca="false">SUM(H255:I255)</f>
        <v>3277.63071485275</v>
      </c>
      <c r="K255" s="270" t="n">
        <f aca="false">J255/SUM($J$7:$J$749)</f>
        <v>0.000363075315538733</v>
      </c>
      <c r="L255" s="271" t="n">
        <f aca="false">K255+L254</f>
        <v>0.969109418255199</v>
      </c>
    </row>
    <row r="256" customFormat="false" ht="25.5" hidden="false" customHeight="false" outlineLevel="0" collapsed="false">
      <c r="A256" s="264" t="n">
        <f aca="false">K256</f>
        <v>0.000360373452377389</v>
      </c>
      <c r="B256" s="265" t="str">
        <f aca="false">VLOOKUP($C256,01_SINTETICO!$B:$N,13,0)</f>
        <v>10.5.1</v>
      </c>
      <c r="C256" s="266" t="n">
        <v>86914</v>
      </c>
      <c r="D256" s="266" t="str">
        <f aca="false">VLOOKUP($C256,01_SINTETICO!$B:$M,2,0)</f>
        <v>TORNEIRA CROMADA 1/2" OU 3/4" PARA TANQUE, PADRÃO MÉDIO - FORNECIMENTO E INSTALAÇÃO. AF_01/2020</v>
      </c>
      <c r="E256" s="266" t="str">
        <f aca="false">VLOOKUP($B256,01_SINTETICO!$A:$M,4,0)</f>
        <v>SER.CG</v>
      </c>
      <c r="F256" s="267" t="str">
        <f aca="false">VLOOKUP($B256,01_SINTETICO!$A:$M,5,0)</f>
        <v>UN</v>
      </c>
      <c r="G256" s="267" t="n">
        <f aca="true">SUMIFS(INDIRECT("'01_SINTETICO'!F7:F995"),INDIRECT("'01_SINTETICO'!B7:B995"),$C256)</f>
        <v>25</v>
      </c>
      <c r="H256" s="268" t="n">
        <f aca="false">VLOOKUP($C256,01_SINTETICO!$B:$M,6,0)*$G256*(1+BDI_DIF)</f>
        <v>3132.91824204502</v>
      </c>
      <c r="I256" s="268" t="n">
        <f aca="false">VLOOKUP($C256,01_SINTETICO!$B:$M,7,0)*$G256*(1+BDI_MDO)</f>
        <v>120.321638989118</v>
      </c>
      <c r="J256" s="269" t="n">
        <f aca="false">SUM(H256:I256)</f>
        <v>3253.23988103413</v>
      </c>
      <c r="K256" s="270" t="n">
        <f aca="false">J256/SUM($J$7:$J$749)</f>
        <v>0.000360373452377389</v>
      </c>
      <c r="L256" s="271" t="n">
        <f aca="false">K256+L255</f>
        <v>0.969469791707576</v>
      </c>
    </row>
    <row r="257" customFormat="false" ht="25.5" hidden="false" customHeight="false" outlineLevel="0" collapsed="false">
      <c r="A257" s="264" t="n">
        <f aca="false">K257</f>
        <v>0.000360031913974247</v>
      </c>
      <c r="B257" s="265" t="str">
        <f aca="false">VLOOKUP($C257,01_SINTETICO!$B:$N,13,0)</f>
        <v>10.1.10</v>
      </c>
      <c r="C257" s="272" t="n">
        <v>95547</v>
      </c>
      <c r="D257" s="266" t="str">
        <f aca="false">VLOOKUP($C257,01_SINTETICO!$B:$M,2,0)</f>
        <v>SABONETEIRA PLASTICA TIPO DISPENSER PARA SABONETE LIQUIDO COM RESERVATORIO 800 A 1500 ML, INCLUSO FIXAÇÃO. AF_01/2020</v>
      </c>
      <c r="E257" s="272" t="str">
        <f aca="false">VLOOKUP($B257,01_SINTETICO!$A:$M,4,0)</f>
        <v>SER.CG</v>
      </c>
      <c r="F257" s="273" t="str">
        <f aca="false">VLOOKUP($B257,01_SINTETICO!$A:$M,5,0)</f>
        <v>UN</v>
      </c>
      <c r="G257" s="267" t="n">
        <f aca="true">SUMIFS(INDIRECT("'01_SINTETICO'!F7:F995"),INDIRECT("'01_SINTETICO'!B7:B995"),$C257)</f>
        <v>28</v>
      </c>
      <c r="H257" s="268" t="n">
        <f aca="false">VLOOKUP($C257,01_SINTETICO!$B:$M,6,0)*$G257*(1+BDI_DIF)</f>
        <v>3203.1375996067</v>
      </c>
      <c r="I257" s="268" t="n">
        <f aca="false">VLOOKUP($C257,01_SINTETICO!$B:$M,7,0)*$G257*(1+BDI_MDO)</f>
        <v>47.0190733090848</v>
      </c>
      <c r="J257" s="269" t="n">
        <f aca="false">SUM(H257:I257)</f>
        <v>3250.15667291578</v>
      </c>
      <c r="K257" s="270" t="n">
        <f aca="false">J257/SUM($J$7:$J$749)</f>
        <v>0.000360031913974247</v>
      </c>
      <c r="L257" s="271" t="n">
        <f aca="false">K257+L256</f>
        <v>0.969829823621551</v>
      </c>
    </row>
    <row r="258" customFormat="false" ht="25.5" hidden="false" customHeight="false" outlineLevel="0" collapsed="false">
      <c r="A258" s="264" t="n">
        <f aca="false">K258</f>
        <v>0.000358815340606447</v>
      </c>
      <c r="B258" s="265" t="str">
        <f aca="false">VLOOKUP($C258,01_SINTETICO!$B:$N,13,0)</f>
        <v>10.1.12</v>
      </c>
      <c r="C258" s="266" t="s">
        <v>634</v>
      </c>
      <c r="D258" s="266" t="str">
        <f aca="false">VLOOKUP($C258,01_SINTETICO!$B:$M,2,0)</f>
        <v>TOALHEIRO PLASTICO TIPO DISPENSER PARA PAPEL TOALHA, INSTALADO NA PAREDE, INCLUSO FIXAÇÃO.</v>
      </c>
      <c r="E258" s="266" t="str">
        <f aca="false">VLOOKUP($B258,01_SINTETICO!$A:$M,4,0)</f>
        <v>SER.CG</v>
      </c>
      <c r="F258" s="267" t="str">
        <f aca="false">VLOOKUP($B258,01_SINTETICO!$A:$M,5,0)</f>
        <v>UN</v>
      </c>
      <c r="G258" s="267" t="n">
        <f aca="true">SUMIFS(INDIRECT("'01_SINTETICO'!F7:F995"),INDIRECT("'01_SINTETICO'!B7:B995"),$C258)</f>
        <v>26</v>
      </c>
      <c r="H258" s="268" t="n">
        <f aca="false">VLOOKUP($C258,01_SINTETICO!$B:$M,6,0)*$G258*(1+BDI_DIF)</f>
        <v>3056.90444211372</v>
      </c>
      <c r="I258" s="268" t="n">
        <f aca="false">VLOOKUP($C258,01_SINTETICO!$B:$M,7,0)*$G258*(1+BDI_MDO)</f>
        <v>182.269720930097</v>
      </c>
      <c r="J258" s="269" t="n">
        <f aca="false">SUM(H258:I258)</f>
        <v>3239.17416304382</v>
      </c>
      <c r="K258" s="270" t="n">
        <f aca="false">J258/SUM($J$7:$J$749)</f>
        <v>0.000358815340606447</v>
      </c>
      <c r="L258" s="271" t="n">
        <f aca="false">K258+L257</f>
        <v>0.970188638962157</v>
      </c>
    </row>
    <row r="259" customFormat="false" ht="25.5" hidden="false" customHeight="false" outlineLevel="0" collapsed="false">
      <c r="A259" s="264" t="n">
        <f aca="false">K259</f>
        <v>0.000354000695837087</v>
      </c>
      <c r="B259" s="265" t="str">
        <f aca="false">VLOOKUP($C259,01_SINTETICO!$B:$N,13,0)</f>
        <v>11.4.1.1</v>
      </c>
      <c r="C259" s="272" t="s">
        <v>763</v>
      </c>
      <c r="D259" s="266" t="str">
        <f aca="false">VLOOKUP($C259,01_SINTETICO!$B:$M,2,0)</f>
        <v>CAIXA DE DRENAGEM RETANGULAR, EM CONCRETO PRÉ-MOLDADO, COM GRELHA, DIMENSÕES INTERNAS: 0,6X0,6X0,5M.</v>
      </c>
      <c r="E259" s="272" t="str">
        <f aca="false">VLOOKUP($B259,01_SINTETICO!$A:$M,4,0)</f>
        <v>SER.CG</v>
      </c>
      <c r="F259" s="273" t="str">
        <f aca="false">VLOOKUP($B259,01_SINTETICO!$A:$M,5,0)</f>
        <v>UN</v>
      </c>
      <c r="G259" s="267" t="n">
        <f aca="true">SUMIFS(INDIRECT("'01_SINTETICO'!F7:F995"),INDIRECT("'01_SINTETICO'!B7:B995"),$C259)</f>
        <v>4</v>
      </c>
      <c r="H259" s="268" t="n">
        <f aca="false">VLOOKUP($C259,01_SINTETICO!$B:$M,6,0)*$G259*(1+BDI_DIF)</f>
        <v>2814.60310414229</v>
      </c>
      <c r="I259" s="268" t="n">
        <f aca="false">VLOOKUP($C259,01_SINTETICO!$B:$M,7,0)*$G259*(1+BDI_MDO)</f>
        <v>381.107273560615</v>
      </c>
      <c r="J259" s="269" t="n">
        <f aca="false">SUM(H259:I259)</f>
        <v>3195.7103777029</v>
      </c>
      <c r="K259" s="270" t="n">
        <f aca="false">J259/SUM($J$7:$J$749)</f>
        <v>0.000354000695837087</v>
      </c>
      <c r="L259" s="271" t="n">
        <f aca="false">K259+L258</f>
        <v>0.970542639657994</v>
      </c>
    </row>
    <row r="260" customFormat="false" ht="38.25" hidden="false" customHeight="false" outlineLevel="0" collapsed="false">
      <c r="A260" s="264" t="n">
        <f aca="false">K260</f>
        <v>0.000353018650075187</v>
      </c>
      <c r="B260" s="265" t="str">
        <f aca="false">VLOOKUP($C260,01_SINTETICO!$B:$N,13,0)</f>
        <v>11.4.2.1</v>
      </c>
      <c r="C260" s="266" t="s">
        <v>773</v>
      </c>
      <c r="D260" s="266" t="str">
        <f aca="false">VLOOKUP($C260,01_SINTETICO!$B:$M,2,0)</f>
        <v>TUBO DE CONCRETO PARA REDES COLETORAS DE ÁGUAS PLUVIAIS, DIÂMETRO DE 200MM, JUNTA RÍGIDA, INSTALADO EM LOCAL COM BAIXO NÍVEL DE INTERFERÊNCIAS - FORNECIMENTO E ASSENTAMENTO.</v>
      </c>
      <c r="E260" s="266" t="str">
        <f aca="false">VLOOKUP($B260,01_SINTETICO!$A:$M,4,0)</f>
        <v>SER.CG</v>
      </c>
      <c r="F260" s="267" t="str">
        <f aca="false">VLOOKUP($B260,01_SINTETICO!$A:$M,5,0)</f>
        <v>M</v>
      </c>
      <c r="G260" s="267" t="n">
        <f aca="true">SUMIFS(INDIRECT("'01_SINTETICO'!F7:F995"),INDIRECT("'01_SINTETICO'!B7:B995"),$C260)</f>
        <v>46.3</v>
      </c>
      <c r="H260" s="268" t="n">
        <f aca="false">VLOOKUP($C260,01_SINTETICO!$B:$M,6,0)*$G260*(1+BDI_DIF)</f>
        <v>2813.31941542069</v>
      </c>
      <c r="I260" s="268" t="n">
        <f aca="false">VLOOKUP($C260,01_SINTETICO!$B:$M,7,0)*$G260*(1+BDI_MDO)</f>
        <v>373.525629898441</v>
      </c>
      <c r="J260" s="269" t="n">
        <f aca="false">SUM(H260:I260)</f>
        <v>3186.84504531913</v>
      </c>
      <c r="K260" s="270" t="n">
        <f aca="false">J260/SUM($J$7:$J$749)</f>
        <v>0.000353018650075187</v>
      </c>
      <c r="L260" s="271" t="n">
        <f aca="false">K260+L259</f>
        <v>0.97089565830807</v>
      </c>
    </row>
    <row r="261" customFormat="false" ht="25.5" hidden="false" customHeight="false" outlineLevel="0" collapsed="false">
      <c r="A261" s="264" t="n">
        <f aca="false">K261</f>
        <v>0.000342686104632388</v>
      </c>
      <c r="B261" s="265" t="str">
        <f aca="false">VLOOKUP($C261,01_SINTETICO!$B:$N,13,0)</f>
        <v>5.6.1</v>
      </c>
      <c r="C261" s="266" t="n">
        <v>100874</v>
      </c>
      <c r="D261" s="266" t="str">
        <f aca="false">VLOOKUP($C261,01_SINTETICO!$B:$M,2,0)</f>
        <v>PUXADOR PARA PCD, FIXADO NA PORTA - FORNECIMENTO E INSTALAÇÃO. AF_01/2020</v>
      </c>
      <c r="E261" s="266" t="str">
        <f aca="false">VLOOKUP($B261,01_SINTETICO!$A:$M,4,0)</f>
        <v>SER.CG</v>
      </c>
      <c r="F261" s="267" t="str">
        <f aca="false">VLOOKUP($B261,01_SINTETICO!$A:$M,5,0)</f>
        <v>UN</v>
      </c>
      <c r="G261" s="267" t="n">
        <f aca="true">SUMIFS(INDIRECT("'01_SINTETICO'!F7:F995"),INDIRECT("'01_SINTETICO'!B7:B995"),$C261)</f>
        <v>8</v>
      </c>
      <c r="H261" s="268" t="n">
        <f aca="false">VLOOKUP($C261,01_SINTETICO!$B:$M,6,0)*$G261*(1+BDI_DIF)</f>
        <v>2854.1427239592</v>
      </c>
      <c r="I261" s="268" t="n">
        <f aca="false">VLOOKUP($C261,01_SINTETICO!$B:$M,7,0)*$G261*(1+BDI_MDO)</f>
        <v>239.426169397689</v>
      </c>
      <c r="J261" s="269" t="n">
        <f aca="false">SUM(H261:I261)</f>
        <v>3093.56889335689</v>
      </c>
      <c r="K261" s="270" t="n">
        <f aca="false">J261/SUM($J$7:$J$749)</f>
        <v>0.000342686104632388</v>
      </c>
      <c r="L261" s="271" t="n">
        <f aca="false">K261+L260</f>
        <v>0.971238344412702</v>
      </c>
    </row>
    <row r="262" customFormat="false" ht="25.5" hidden="false" customHeight="false" outlineLevel="0" collapsed="false">
      <c r="A262" s="264" t="n">
        <f aca="false">K262</f>
        <v>0.000337373638249767</v>
      </c>
      <c r="B262" s="265" t="str">
        <f aca="false">VLOOKUP($C262,01_SINTETICO!$B:$N,13,0)</f>
        <v>2.1.2.2</v>
      </c>
      <c r="C262" s="266" t="n">
        <v>97645</v>
      </c>
      <c r="D262" s="266" t="str">
        <f aca="false">VLOOKUP($C262,01_SINTETICO!$B:$M,2,0)</f>
        <v>REMOÇÃO DE JANELAS, DE FORMA MANUAL, SEM REAPROVEITAMENTO. AF_09/2023</v>
      </c>
      <c r="E262" s="266" t="str">
        <f aca="false">VLOOKUP($B262,01_SINTETICO!$A:$M,4,0)</f>
        <v>SER.CG</v>
      </c>
      <c r="F262" s="267" t="str">
        <f aca="false">VLOOKUP($B262,01_SINTETICO!$A:$M,5,0)</f>
        <v>M2</v>
      </c>
      <c r="G262" s="267" t="n">
        <f aca="true">SUMIFS(INDIRECT("'01_SINTETICO'!F7:F995"),INDIRECT("'01_SINTETICO'!B7:B995"),$C262)</f>
        <v>104.12</v>
      </c>
      <c r="H262" s="268" t="n">
        <f aca="false">VLOOKUP($C262,01_SINTETICO!$B:$M,6,0)*$G262*(1+BDI_DIF)</f>
        <v>883.09161951085</v>
      </c>
      <c r="I262" s="268" t="n">
        <f aca="false">VLOOKUP($C262,01_SINTETICO!$B:$M,7,0)*$G262*(1+BDI_MDO)</f>
        <v>2162.51944735083</v>
      </c>
      <c r="J262" s="269" t="n">
        <f aca="false">SUM(H262:I262)</f>
        <v>3045.61106686168</v>
      </c>
      <c r="K262" s="270" t="n">
        <f aca="false">J262/SUM($J$7:$J$749)</f>
        <v>0.000337373638249767</v>
      </c>
      <c r="L262" s="271" t="n">
        <f aca="false">K262+L261</f>
        <v>0.971575718050952</v>
      </c>
    </row>
    <row r="263" customFormat="false" ht="38.25" hidden="false" customHeight="false" outlineLevel="0" collapsed="false">
      <c r="A263" s="264" t="n">
        <f aca="false">K263</f>
        <v>0.000336092482535208</v>
      </c>
      <c r="B263" s="265" t="str">
        <f aca="false">VLOOKUP($C263,01_SINTETICO!$B:$N,13,0)</f>
        <v>12.2.1.6</v>
      </c>
      <c r="C263" s="272" t="n">
        <v>91884</v>
      </c>
      <c r="D263" s="266" t="str">
        <f aca="false">VLOOKUP($C263,01_SINTETICO!$B:$M,2,0)</f>
        <v>LUVA PARA ELETRODUTO, PVC, ROSCÁVEL, DN 25 MM (3/4"), PARA CIRCUITOS TERMINAIS, INSTALADA EM PAREDE - FORNECIMENTO E INSTALAÇÃO. AF_03/2023</v>
      </c>
      <c r="E263" s="272" t="str">
        <f aca="false">VLOOKUP($B263,01_SINTETICO!$A:$M,4,0)</f>
        <v>SER.CG</v>
      </c>
      <c r="F263" s="273" t="str">
        <f aca="false">VLOOKUP($B263,01_SINTETICO!$A:$M,5,0)</f>
        <v>UN</v>
      </c>
      <c r="G263" s="267" t="n">
        <f aca="true">SUMIFS(INDIRECT("'01_SINTETICO'!F7:F995"),INDIRECT("'01_SINTETICO'!B7:B995"),$C263)</f>
        <v>239</v>
      </c>
      <c r="H263" s="268" t="n">
        <f aca="false">VLOOKUP($C263,01_SINTETICO!$B:$M,6,0)*$G263*(1+BDI_DIF)</f>
        <v>949.370110249151</v>
      </c>
      <c r="I263" s="268" t="n">
        <f aca="false">VLOOKUP($C263,01_SINTETICO!$B:$M,7,0)*$G263*(1+BDI_MDO)</f>
        <v>2084.67543524317</v>
      </c>
      <c r="J263" s="269" t="n">
        <f aca="false">SUM(H263:I263)</f>
        <v>3034.04554549232</v>
      </c>
      <c r="K263" s="270" t="n">
        <f aca="false">J263/SUM($J$7:$J$749)</f>
        <v>0.000336092482535208</v>
      </c>
      <c r="L263" s="271" t="n">
        <f aca="false">K263+L262</f>
        <v>0.971911810533487</v>
      </c>
    </row>
    <row r="264" customFormat="false" ht="25.5" hidden="false" customHeight="false" outlineLevel="0" collapsed="false">
      <c r="A264" s="264" t="n">
        <f aca="false">K264</f>
        <v>0.000322588610644543</v>
      </c>
      <c r="B264" s="265" t="str">
        <f aca="false">VLOOKUP($C264,01_SINTETICO!$B:$N,13,0)</f>
        <v>*16.1.1.2</v>
      </c>
      <c r="C264" s="266" t="n">
        <v>103249</v>
      </c>
      <c r="D264" s="266" t="str">
        <f aca="false">VLOOKUP($C264,01_SINTETICO!$B:$M,2,0)</f>
        <v>AR CONDICIONADO SPLIT ON/OFF, HI-WALL (PAREDE), 12000 BTUS/H, CICLO QUENTE/FRIO - FORNECIMENTO E INSTALAÇÃO. AF_11/2021_PE</v>
      </c>
      <c r="E264" s="266" t="str">
        <f aca="false">VLOOKUP($B264,01_SINTETICO!$A:$M,4,0)</f>
        <v>SER.CG</v>
      </c>
      <c r="F264" s="267" t="str">
        <f aca="false">VLOOKUP($B264,01_SINTETICO!$A:$M,5,0)</f>
        <v>UN</v>
      </c>
      <c r="G264" s="267" t="n">
        <f aca="true">SUMIFS(INDIRECT("'01_SINTETICO'!F7:F995"),INDIRECT("'01_SINTETICO'!B7:B995"),$C264)</f>
        <v>1</v>
      </c>
      <c r="H264" s="268" t="n">
        <f aca="false">VLOOKUP($C264,01_SINTETICO!$B:$M,6,0)*$G264*(1+BDI_DIF)</f>
        <v>2809.52372712631</v>
      </c>
      <c r="I264" s="268" t="n">
        <f aca="false">VLOOKUP($C264,01_SINTETICO!$B:$M,7,0)*$G264*(1+BDI_MDO)</f>
        <v>102.616793749816</v>
      </c>
      <c r="J264" s="269" t="n">
        <f aca="false">SUM(H264:I264)</f>
        <v>2912.14052087613</v>
      </c>
      <c r="K264" s="270" t="n">
        <f aca="false">J264/SUM($J$7:$J$749)</f>
        <v>0.000322588610644543</v>
      </c>
      <c r="L264" s="271" t="n">
        <f aca="false">K264+L263</f>
        <v>0.972234399144131</v>
      </c>
    </row>
    <row r="265" customFormat="false" ht="38.25" hidden="false" customHeight="false" outlineLevel="0" collapsed="false">
      <c r="A265" s="264" t="n">
        <f aca="false">K265</f>
        <v>0.000321954421958768</v>
      </c>
      <c r="B265" s="265" t="str">
        <f aca="false">VLOOKUP($C265,01_SINTETICO!$B:$N,13,0)</f>
        <v>16.2.3.4</v>
      </c>
      <c r="C265" s="266" t="s">
        <v>1323</v>
      </c>
      <c r="D265" s="266" t="str">
        <f aca="false">VLOOKUP($C265,01_SINTETICO!$B:$M,2,0)</f>
        <v>INSTALAÇÃO DE CURVA, REDUÇÃO OU TÊ PARA DUTO PARA SISTEMA DE RENOVAÇÃO DE AR, EM CHAPA GALVANIZADA BITOLA 22, SEM ISOLAMENTO - FORNECIMENTO E INSTALAÇÃO.</v>
      </c>
      <c r="E265" s="266" t="str">
        <f aca="false">VLOOKUP($B265,01_SINTETICO!$A:$M,4,0)</f>
        <v>SER.CG</v>
      </c>
      <c r="F265" s="267" t="str">
        <f aca="false">VLOOKUP($B265,01_SINTETICO!$A:$M,5,0)</f>
        <v>M2</v>
      </c>
      <c r="G265" s="267" t="n">
        <f aca="true">SUMIFS(INDIRECT("'01_SINTETICO'!F7:F995"),INDIRECT("'01_SINTETICO'!B7:B995"),$C265)</f>
        <v>14.42</v>
      </c>
      <c r="H265" s="268" t="n">
        <f aca="false">VLOOKUP($C265,01_SINTETICO!$B:$M,6,0)*$G265*(1+BDI_DIF)</f>
        <v>1769.80422070075</v>
      </c>
      <c r="I265" s="268" t="n">
        <f aca="false">VLOOKUP($C265,01_SINTETICO!$B:$M,7,0)*$G265*(1+BDI_MDO)</f>
        <v>1136.6112171787</v>
      </c>
      <c r="J265" s="269" t="n">
        <f aca="false">SUM(H265:I265)</f>
        <v>2906.41543787945</v>
      </c>
      <c r="K265" s="270" t="n">
        <f aca="false">J265/SUM($J$7:$J$749)</f>
        <v>0.000321954421958768</v>
      </c>
      <c r="L265" s="271" t="n">
        <f aca="false">K265+L264</f>
        <v>0.97255635356609</v>
      </c>
    </row>
    <row r="266" customFormat="false" ht="25.5" hidden="false" customHeight="false" outlineLevel="0" collapsed="false">
      <c r="A266" s="264" t="n">
        <f aca="false">K266</f>
        <v>0.000315693633446249</v>
      </c>
      <c r="B266" s="265" t="str">
        <f aca="false">VLOOKUP($C266,01_SINTETICO!$B:$N,13,0)</f>
        <v>3.2.2.2.8</v>
      </c>
      <c r="C266" s="272" t="n">
        <v>92766</v>
      </c>
      <c r="D266" s="266" t="str">
        <f aca="false">VLOOKUP($C266,01_SINTETICO!$B:$M,2,0)</f>
        <v>ARMAÇÃO DE PILAR OU VIGA DE ESTRUTURA CONVENCIONAL DE CONCRETO ARMADO UTILIZANDO AÇO CA-50 DE 25,0 MM - MONTAGEM. AF_06/2022</v>
      </c>
      <c r="E266" s="272" t="str">
        <f aca="false">VLOOKUP($B266,01_SINTETICO!$A:$M,4,0)</f>
        <v>SER.CG</v>
      </c>
      <c r="F266" s="273" t="str">
        <f aca="false">VLOOKUP($B266,01_SINTETICO!$A:$M,5,0)</f>
        <v>KG</v>
      </c>
      <c r="G266" s="267" t="n">
        <f aca="true">SUMIFS(INDIRECT("'01_SINTETICO'!F7:F995"),INDIRECT("'01_SINTETICO'!B7:B995"),$C266)</f>
        <v>257.37</v>
      </c>
      <c r="H266" s="268" t="n">
        <f aca="false">VLOOKUP($C266,01_SINTETICO!$B:$M,6,0)*$G266*(1+BDI_MAT)</f>
        <v>2753.17819823585</v>
      </c>
      <c r="I266" s="268" t="n">
        <f aca="false">VLOOKUP($C266,01_SINTETICO!$B:$M,7,0)*$G266*(1+BDI_MDO)</f>
        <v>96.7185179084508</v>
      </c>
      <c r="J266" s="269" t="n">
        <f aca="false">SUM(H266:I266)</f>
        <v>2849.8967161443</v>
      </c>
      <c r="K266" s="270" t="n">
        <f aca="false">J266/SUM($J$7:$J$749)</f>
        <v>0.000315693633446249</v>
      </c>
      <c r="L266" s="271" t="n">
        <f aca="false">K266+L265</f>
        <v>0.972872047199536</v>
      </c>
    </row>
    <row r="267" customFormat="false" ht="25.5" hidden="false" customHeight="false" outlineLevel="0" collapsed="false">
      <c r="A267" s="264" t="n">
        <f aca="false">K267</f>
        <v>0.000311123161351991</v>
      </c>
      <c r="B267" s="265" t="str">
        <f aca="false">VLOOKUP($C267,01_SINTETICO!$B:$N,13,0)</f>
        <v>4.6.1</v>
      </c>
      <c r="C267" s="266" t="n">
        <v>98522</v>
      </c>
      <c r="D267" s="266" t="str">
        <f aca="false">VLOOKUP($C267,01_SINTETICO!$B:$M,2,0)</f>
        <v>ALAMBRADO EM MOURÕES DE CONCRETO, COM TELA DE ARAME GALVANIZADO (INCLUSIVE MURETA EM CONCRETO). AF_05/2018</v>
      </c>
      <c r="E267" s="266" t="str">
        <f aca="false">VLOOKUP($B267,01_SINTETICO!$A:$M,4,0)</f>
        <v>SER.CG</v>
      </c>
      <c r="F267" s="267" t="str">
        <f aca="false">VLOOKUP($B267,01_SINTETICO!$A:$M,5,0)</f>
        <v>M</v>
      </c>
      <c r="G267" s="267" t="n">
        <f aca="true">SUMIFS(INDIRECT("'01_SINTETICO'!F7:F995"),INDIRECT("'01_SINTETICO'!B7:B995"),$C267)</f>
        <v>14.4</v>
      </c>
      <c r="H267" s="268" t="n">
        <f aca="false">VLOOKUP($C267,01_SINTETICO!$B:$M,6,0)*$G267*(1+BDI_MAT)</f>
        <v>2088.21865249252</v>
      </c>
      <c r="I267" s="268" t="n">
        <f aca="false">VLOOKUP($C267,01_SINTETICO!$B:$M,7,0)*$G267*(1+BDI_MDO)</f>
        <v>720.418525819288</v>
      </c>
      <c r="J267" s="269" t="n">
        <f aca="false">SUM(H267:I267)</f>
        <v>2808.63717831181</v>
      </c>
      <c r="K267" s="270" t="n">
        <f aca="false">J267/SUM($J$7:$J$749)</f>
        <v>0.000311123161351991</v>
      </c>
      <c r="L267" s="271" t="n">
        <f aca="false">K267+L266</f>
        <v>0.973183170360888</v>
      </c>
    </row>
    <row r="268" customFormat="false" ht="25.5" hidden="false" customHeight="false" outlineLevel="0" collapsed="false">
      <c r="A268" s="264" t="n">
        <f aca="false">K268</f>
        <v>0.000291408045487419</v>
      </c>
      <c r="B268" s="265" t="str">
        <f aca="false">VLOOKUP($C268,01_SINTETICO!$B:$N,13,0)</f>
        <v>11.4.3.1</v>
      </c>
      <c r="C268" s="266" t="s">
        <v>777</v>
      </c>
      <c r="D268" s="266" t="str">
        <f aca="false">VLOOKUP($C268,01_SINTETICO!$B:$M,2,0)</f>
        <v>RALO HEMISFÉRICO EM FERRO FUNDIDO, TIPO ABACAXI - Ø 100MM.</v>
      </c>
      <c r="E268" s="266" t="str">
        <f aca="false">VLOOKUP($B268,01_SINTETICO!$A:$M,4,0)</f>
        <v>SER.CG</v>
      </c>
      <c r="F268" s="267" t="str">
        <f aca="false">VLOOKUP($B268,01_SINTETICO!$A:$M,5,0)</f>
        <v>un</v>
      </c>
      <c r="G268" s="267" t="n">
        <f aca="true">SUMIFS(INDIRECT("'01_SINTETICO'!F7:F995"),INDIRECT("'01_SINTETICO'!B7:B995"),$C268)</f>
        <v>34</v>
      </c>
      <c r="H268" s="268" t="n">
        <f aca="false">VLOOKUP($C268,01_SINTETICO!$B:$M,6,0)*$G268*(1+BDI_DIF)</f>
        <v>1165.19469422264</v>
      </c>
      <c r="I268" s="268" t="n">
        <f aca="false">VLOOKUP($C268,01_SINTETICO!$B:$M,7,0)*$G268*(1+BDI_MDO)</f>
        <v>1465.46599673496</v>
      </c>
      <c r="J268" s="269" t="n">
        <f aca="false">SUM(H268:I268)</f>
        <v>2630.6606909576</v>
      </c>
      <c r="K268" s="270" t="n">
        <f aca="false">J268/SUM($J$7:$J$749)</f>
        <v>0.000291408045487419</v>
      </c>
      <c r="L268" s="271" t="n">
        <f aca="false">K268+L267</f>
        <v>0.973474578406376</v>
      </c>
    </row>
    <row r="269" customFormat="false" ht="25.5" hidden="false" customHeight="false" outlineLevel="0" collapsed="false">
      <c r="A269" s="264" t="n">
        <f aca="false">K269</f>
        <v>0.000289057012599587</v>
      </c>
      <c r="B269" s="265" t="str">
        <f aca="false">VLOOKUP($C269,01_SINTETICO!$B:$N,13,0)</f>
        <v>8.1.1.2.4</v>
      </c>
      <c r="C269" s="266" t="s">
        <v>517</v>
      </c>
      <c r="D269" s="266" t="str">
        <f aca="false">VLOOKUP($C269,01_SINTETICO!$B:$M,2,0)</f>
        <v>PLACA DE SINALIZAÇÃO DE VAGA PARA DEFICIENTE OU IDOSO.</v>
      </c>
      <c r="E269" s="266" t="str">
        <f aca="false">VLOOKUP($B269,01_SINTETICO!$A:$M,4,0)</f>
        <v>SER.CG</v>
      </c>
      <c r="F269" s="267" t="str">
        <f aca="false">VLOOKUP($B269,01_SINTETICO!$A:$M,5,0)</f>
        <v>UN</v>
      </c>
      <c r="G269" s="267" t="n">
        <f aca="true">SUMIFS(INDIRECT("'01_SINTETICO'!F7:F995"),INDIRECT("'01_SINTETICO'!B7:B995"),$C269)</f>
        <v>4</v>
      </c>
      <c r="H269" s="268" t="n">
        <f aca="false">VLOOKUP($C269,01_SINTETICO!$B:$M,6,0)*$G269*(1+BDI_DIF)</f>
        <v>2558.30404178161</v>
      </c>
      <c r="I269" s="268" t="n">
        <f aca="false">VLOOKUP($C269,01_SINTETICO!$B:$M,7,0)*$G269*(1+BDI_MDO)</f>
        <v>51.1329050243088</v>
      </c>
      <c r="J269" s="269" t="n">
        <f aca="false">SUM(H269:I269)</f>
        <v>2609.43694680591</v>
      </c>
      <c r="K269" s="270" t="n">
        <f aca="false">J269/SUM($J$7:$J$749)</f>
        <v>0.000289057012599587</v>
      </c>
      <c r="L269" s="271" t="n">
        <f aca="false">K269+L268</f>
        <v>0.973763635418976</v>
      </c>
    </row>
    <row r="270" customFormat="false" ht="25.5" hidden="false" customHeight="false" outlineLevel="0" collapsed="false">
      <c r="A270" s="264" t="n">
        <f aca="false">K270</f>
        <v>0.000287885607037268</v>
      </c>
      <c r="B270" s="265" t="str">
        <f aca="false">VLOOKUP($C270,01_SINTETICO!$B:$N,13,0)</f>
        <v>3.2.1.3.2</v>
      </c>
      <c r="C270" s="266" t="s">
        <v>136</v>
      </c>
      <c r="D270" s="266" t="str">
        <f aca="false">VLOOKUP($C270,01_SINTETICO!$B:$M,2,0)</f>
        <v>CONCRETAGEM DE PILARES, FCK = 35 MPA, COM USO DE BOMBA - LANÇAMENTO, ADENSAMENTO E ACABAMENTO.</v>
      </c>
      <c r="E270" s="266" t="str">
        <f aca="false">VLOOKUP($B270,01_SINTETICO!$A:$M,4,0)</f>
        <v>SER.CG</v>
      </c>
      <c r="F270" s="267" t="str">
        <f aca="false">VLOOKUP($B270,01_SINTETICO!$A:$M,5,0)</f>
        <v>M3</v>
      </c>
      <c r="G270" s="267" t="n">
        <f aca="true">SUMIFS(INDIRECT("'01_SINTETICO'!F7:F995"),INDIRECT("'01_SINTETICO'!B7:B995"),$C270)</f>
        <v>60.3</v>
      </c>
      <c r="H270" s="268" t="n">
        <f aca="false">VLOOKUP($C270,01_SINTETICO!$B:$M,6,0)*$G270*(1+BDI_DIF)</f>
        <v>523.669906859569</v>
      </c>
      <c r="I270" s="268" t="n">
        <f aca="false">VLOOKUP($C270,01_SINTETICO!$B:$M,7,0)*$G270*(1+BDI_MDO)</f>
        <v>2075.19227849524</v>
      </c>
      <c r="J270" s="269" t="n">
        <f aca="false">SUM(H270:I270)</f>
        <v>2598.86218535481</v>
      </c>
      <c r="K270" s="270" t="n">
        <f aca="false">J270/SUM($J$7:$J$749)</f>
        <v>0.000287885607037268</v>
      </c>
      <c r="L270" s="271" t="n">
        <f aca="false">K270+L269</f>
        <v>0.974051521026013</v>
      </c>
    </row>
    <row r="271" customFormat="false" ht="38.25" hidden="false" customHeight="false" outlineLevel="0" collapsed="false">
      <c r="A271" s="264" t="n">
        <f aca="false">K271</f>
        <v>0.000279860503258719</v>
      </c>
      <c r="B271" s="265" t="str">
        <f aca="false">VLOOKUP($C271,01_SINTETICO!$B:$N,13,0)</f>
        <v>3.2.1.4.1</v>
      </c>
      <c r="C271" s="266" t="n">
        <v>96525</v>
      </c>
      <c r="D271" s="266" t="str">
        <f aca="false">VLOOKUP($C271,01_SINTETICO!$B:$M,2,0)</f>
        <v>ESCAVAÇÃO MECANIZADA PARA VIGA BALDRAME OU SAPATA CORRIDA COM MINI-ESCAVADEIRA (INCLUINDO ESCAVAÇÃO PARA COLOCAÇÃO DE FÔRMAS). AF_01/2024</v>
      </c>
      <c r="E271" s="266" t="str">
        <f aca="false">VLOOKUP($B271,01_SINTETICO!$A:$M,4,0)</f>
        <v>SER.CG</v>
      </c>
      <c r="F271" s="267" t="str">
        <f aca="false">VLOOKUP($B271,01_SINTETICO!$A:$M,5,0)</f>
        <v>M3</v>
      </c>
      <c r="G271" s="267" t="n">
        <f aca="true">SUMIFS(INDIRECT("'01_SINTETICO'!F7:F995"),INDIRECT("'01_SINTETICO'!B7:B995"),$C271)</f>
        <v>39.86</v>
      </c>
      <c r="H271" s="268" t="n">
        <f aca="false">VLOOKUP($C271,01_SINTETICO!$B:$M,6,0)*$G271*(1+BDI_DIF)</f>
        <v>1833.39926289727</v>
      </c>
      <c r="I271" s="268" t="n">
        <f aca="false">VLOOKUP($C271,01_SINTETICO!$B:$M,7,0)*$G271*(1+BDI_MDO)</f>
        <v>693.016998681581</v>
      </c>
      <c r="J271" s="269" t="n">
        <f aca="false">SUM(H271:I271)</f>
        <v>2526.41626157886</v>
      </c>
      <c r="K271" s="270" t="n">
        <f aca="false">J271/SUM($J$7:$J$749)</f>
        <v>0.000279860503258719</v>
      </c>
      <c r="L271" s="271" t="n">
        <f aca="false">K271+L270</f>
        <v>0.974331381529272</v>
      </c>
    </row>
    <row r="272" customFormat="false" ht="25.5" hidden="false" customHeight="false" outlineLevel="0" collapsed="false">
      <c r="A272" s="264" t="n">
        <f aca="false">K272</f>
        <v>0.000278062671424275</v>
      </c>
      <c r="B272" s="265" t="str">
        <f aca="false">VLOOKUP($C272,01_SINTETICO!$B:$N,13,0)</f>
        <v>16.2.3.2</v>
      </c>
      <c r="C272" s="272" t="s">
        <v>1319</v>
      </c>
      <c r="D272" s="266" t="str">
        <f aca="false">VLOOKUP($C272,01_SINTETICO!$B:$M,2,0)</f>
        <v>INSTALAÇÃO DE DUTO FLEXÍVEL CIRCULAR PARA SISTEMA DE RENOVAÇÃO DE AR, DN 150 MM.</v>
      </c>
      <c r="E272" s="272" t="str">
        <f aca="false">VLOOKUP($B272,01_SINTETICO!$A:$M,4,0)</f>
        <v>SER.CG</v>
      </c>
      <c r="F272" s="273" t="str">
        <f aca="false">VLOOKUP($B272,01_SINTETICO!$A:$M,5,0)</f>
        <v>M</v>
      </c>
      <c r="G272" s="267" t="n">
        <f aca="true">SUMIFS(INDIRECT("'01_SINTETICO'!F7:F995"),INDIRECT("'01_SINTETICO'!B7:B995"),$C272)</f>
        <v>40.53</v>
      </c>
      <c r="H272" s="268" t="n">
        <f aca="false">VLOOKUP($C272,01_SINTETICO!$B:$M,6,0)*$G272*(1+BDI_DIF)</f>
        <v>1338.58779266606</v>
      </c>
      <c r="I272" s="268" t="n">
        <f aca="false">VLOOKUP($C272,01_SINTETICO!$B:$M,7,0)*$G272*(1+BDI_MDO)</f>
        <v>1171.59869897658</v>
      </c>
      <c r="J272" s="269" t="n">
        <f aca="false">SUM(H272:I272)</f>
        <v>2510.18649164263</v>
      </c>
      <c r="K272" s="270" t="n">
        <f aca="false">J272/SUM($J$7:$J$749)</f>
        <v>0.000278062671424275</v>
      </c>
      <c r="L272" s="271" t="n">
        <f aca="false">K272+L271</f>
        <v>0.974609444200696</v>
      </c>
    </row>
    <row r="273" customFormat="false" ht="25.5" hidden="false" customHeight="false" outlineLevel="0" collapsed="false">
      <c r="A273" s="264" t="n">
        <f aca="false">K273</f>
        <v>0.000276579250631454</v>
      </c>
      <c r="B273" s="265" t="str">
        <f aca="false">VLOOKUP($C273,01_SINTETICO!$B:$N,13,0)</f>
        <v>14.4.3</v>
      </c>
      <c r="C273" s="266" t="n">
        <v>104754</v>
      </c>
      <c r="D273" s="266" t="str">
        <f aca="false">VLOOKUP($C273,01_SINTETICO!$B:$M,2,0)</f>
        <v>CONECTOR SPLIT-BOLT, PARA SPDA, PARA CABOS ATÉ 70 MM2 - FORNECIMENTO E INSTALAÇÃO. AF_08/2023</v>
      </c>
      <c r="E273" s="266" t="str">
        <f aca="false">VLOOKUP($B273,01_SINTETICO!$A:$M,4,0)</f>
        <v>SER.CG</v>
      </c>
      <c r="F273" s="267" t="str">
        <f aca="false">VLOOKUP($B273,01_SINTETICO!$A:$M,5,0)</f>
        <v>UN</v>
      </c>
      <c r="G273" s="267" t="n">
        <f aca="true">SUMIFS(INDIRECT("'01_SINTETICO'!F7:F995"),INDIRECT("'01_SINTETICO'!B7:B995"),$C273)</f>
        <v>67</v>
      </c>
      <c r="H273" s="268" t="n">
        <f aca="false">VLOOKUP($C273,01_SINTETICO!$B:$M,6,0)*$G273*(1+BDI_DIF)</f>
        <v>1944.13001752432</v>
      </c>
      <c r="I273" s="268" t="n">
        <f aca="false">VLOOKUP($C273,01_SINTETICO!$B:$M,7,0)*$G273*(1+BDI_MDO)</f>
        <v>552.665022412522</v>
      </c>
      <c r="J273" s="269" t="n">
        <f aca="false">SUM(H273:I273)</f>
        <v>2496.79503993684</v>
      </c>
      <c r="K273" s="270" t="n">
        <f aca="false">J273/SUM($J$7:$J$749)</f>
        <v>0.000276579250631454</v>
      </c>
      <c r="L273" s="271" t="n">
        <f aca="false">K273+L272</f>
        <v>0.974886023451327</v>
      </c>
    </row>
    <row r="274" customFormat="false" ht="38.25" hidden="false" customHeight="false" outlineLevel="0" collapsed="false">
      <c r="A274" s="264" t="n">
        <f aca="false">K274</f>
        <v>0.000262126205337637</v>
      </c>
      <c r="B274" s="265" t="str">
        <f aca="false">VLOOKUP($C274,01_SINTETICO!$B:$N,13,0)</f>
        <v>11.4.4.2</v>
      </c>
      <c r="C274" s="274" t="n">
        <v>104168</v>
      </c>
      <c r="D274" s="266" t="str">
        <f aca="false">VLOOKUP($C274,01_SINTETICO!$B:$M,2,0)</f>
        <v>JOELHO 45 GRAUS, PVC, SERIE R, ÁGUA PLUVIAL, DN 150 MM, JUNTA ELÁSTICA, FORNECIDO E INSTALADO EM RAMAL DE ENCAMINHAMENTO. AF_06/2022</v>
      </c>
      <c r="E274" s="266" t="str">
        <f aca="false">VLOOKUP($B274,01_SINTETICO!$A:$M,4,0)</f>
        <v>SER.CG</v>
      </c>
      <c r="F274" s="267" t="str">
        <f aca="false">VLOOKUP($B274,01_SINTETICO!$A:$M,5,0)</f>
        <v>UN</v>
      </c>
      <c r="G274" s="267" t="n">
        <f aca="true">SUMIFS(INDIRECT("'01_SINTETICO'!F7:F995"),INDIRECT("'01_SINTETICO'!B7:B995"),$C274)</f>
        <v>17</v>
      </c>
      <c r="H274" s="268" t="n">
        <f aca="false">VLOOKUP($C274,01_SINTETICO!$B:$M,6,0)*$G274*(1+BDI_DIF)</f>
        <v>2174.19368845055</v>
      </c>
      <c r="I274" s="268" t="n">
        <f aca="false">VLOOKUP($C274,01_SINTETICO!$B:$M,7,0)*$G274*(1+BDI_MDO)</f>
        <v>192.12774683519</v>
      </c>
      <c r="J274" s="269" t="n">
        <f aca="false">SUM(H274:I274)</f>
        <v>2366.32143528574</v>
      </c>
      <c r="K274" s="270" t="n">
        <f aca="false">J274/SUM($J$7:$J$749)</f>
        <v>0.000262126205337637</v>
      </c>
      <c r="L274" s="271" t="n">
        <f aca="false">K274+L273</f>
        <v>0.975148149656665</v>
      </c>
    </row>
    <row r="275" customFormat="false" ht="25.5" hidden="false" customHeight="false" outlineLevel="0" collapsed="false">
      <c r="A275" s="264" t="n">
        <f aca="false">K275</f>
        <v>0.000261176456442666</v>
      </c>
      <c r="B275" s="265" t="str">
        <f aca="false">VLOOKUP($C275,01_SINTETICO!$B:$N,13,0)</f>
        <v>12.3.3.8</v>
      </c>
      <c r="C275" s="272" t="n">
        <v>101897</v>
      </c>
      <c r="D275" s="266" t="str">
        <f aca="false">VLOOKUP($C275,01_SINTETICO!$B:$M,2,0)</f>
        <v>DISJUNTOR TERMOMAGNÉTICO TRIPOLAR , CORRENTE NOMINAL DE 250A - FORNECIMENTO E INSTALAÇÃO. AF_10/2020</v>
      </c>
      <c r="E275" s="272" t="str">
        <f aca="false">VLOOKUP($B275,01_SINTETICO!$A:$M,4,0)</f>
        <v>SER.CG</v>
      </c>
      <c r="F275" s="273" t="str">
        <f aca="false">VLOOKUP($B275,01_SINTETICO!$A:$M,5,0)</f>
        <v>UN</v>
      </c>
      <c r="G275" s="267" t="n">
        <f aca="true">SUMIFS(INDIRECT("'01_SINTETICO'!F7:F995"),INDIRECT("'01_SINTETICO'!B7:B995"),$C275)</f>
        <v>2</v>
      </c>
      <c r="H275" s="268" t="n">
        <f aca="false">VLOOKUP($C275,01_SINTETICO!$B:$M,6,0)*$G275*(1+BDI_MAT)</f>
        <v>2240.5740502144</v>
      </c>
      <c r="I275" s="268" t="n">
        <f aca="false">VLOOKUP($C275,01_SINTETICO!$B:$M,7,0)*$G275*(1+BDI_MDO)</f>
        <v>117.173609834283</v>
      </c>
      <c r="J275" s="269" t="n">
        <f aca="false">SUM(H275:I275)</f>
        <v>2357.74766004868</v>
      </c>
      <c r="K275" s="270" t="n">
        <f aca="false">J275/SUM($J$7:$J$749)</f>
        <v>0.000261176456442666</v>
      </c>
      <c r="L275" s="271" t="n">
        <f aca="false">K275+L274</f>
        <v>0.975409326113108</v>
      </c>
    </row>
    <row r="276" customFormat="false" ht="25.5" hidden="false" customHeight="false" outlineLevel="0" collapsed="false">
      <c r="A276" s="264" t="n">
        <f aca="false">K276</f>
        <v>0.000258769436069255</v>
      </c>
      <c r="B276" s="265" t="str">
        <f aca="false">VLOOKUP($C276,01_SINTETICO!$B:$N,13,0)</f>
        <v>12.3.3.9</v>
      </c>
      <c r="C276" s="272" t="s">
        <v>975</v>
      </c>
      <c r="D276" s="266" t="str">
        <f aca="false">VLOOKUP($C276,01_SINTETICO!$B:$M,2,0)</f>
        <v>DISPOSITIVO BIPOLAR DR, SENSIBILIDADE DE 30 MA, CORRENTE NOMINAL DE 25A - FORNECIMENTO E INSTALAÇÃO.</v>
      </c>
      <c r="E276" s="272" t="str">
        <f aca="false">VLOOKUP($B276,01_SINTETICO!$A:$M,4,0)</f>
        <v>SER.CG</v>
      </c>
      <c r="F276" s="273" t="str">
        <f aca="false">VLOOKUP($B276,01_SINTETICO!$A:$M,5,0)</f>
        <v>UN</v>
      </c>
      <c r="G276" s="267" t="n">
        <f aca="true">SUMIFS(INDIRECT("'01_SINTETICO'!F7:F995"),INDIRECT("'01_SINTETICO'!B7:B995"),$C276)</f>
        <v>14</v>
      </c>
      <c r="H276" s="268" t="n">
        <f aca="false">VLOOKUP($C276,01_SINTETICO!$B:$M,6,0)*$G276*(1+BDI_DIF)</f>
        <v>2212.7878442382</v>
      </c>
      <c r="I276" s="268" t="n">
        <f aca="false">VLOOKUP($C276,01_SINTETICO!$B:$M,7,0)*$G276*(1+BDI_MDO)</f>
        <v>123.230649520396</v>
      </c>
      <c r="J276" s="269" t="n">
        <f aca="false">SUM(H276:I276)</f>
        <v>2336.01849375859</v>
      </c>
      <c r="K276" s="270" t="n">
        <f aca="false">J276/SUM($J$7:$J$749)</f>
        <v>0.000258769436069255</v>
      </c>
      <c r="L276" s="271" t="n">
        <f aca="false">K276+L275</f>
        <v>0.975668095549177</v>
      </c>
    </row>
    <row r="277" customFormat="false" ht="25.5" hidden="false" customHeight="false" outlineLevel="0" collapsed="false">
      <c r="A277" s="264" t="n">
        <f aca="false">K277</f>
        <v>0.000257408721236878</v>
      </c>
      <c r="B277" s="265" t="str">
        <f aca="false">VLOOKUP($C277,01_SINTETICO!$B:$N,13,0)</f>
        <v>18.3.1</v>
      </c>
      <c r="C277" s="272" t="s">
        <v>1366</v>
      </c>
      <c r="D277" s="266" t="str">
        <f aca="false">VLOOKUP($C277,01_SINTETICO!$B:$M,2,0)</f>
        <v>PLACA DE INAUGURAÇÃO AÇO ESCOVADO 60 X 120 CM</v>
      </c>
      <c r="E277" s="272" t="str">
        <f aca="false">VLOOKUP($B277,01_SINTETICO!$A:$M,4,0)</f>
        <v>SER.CG</v>
      </c>
      <c r="F277" s="273" t="str">
        <f aca="false">VLOOKUP($B277,01_SINTETICO!$A:$M,5,0)</f>
        <v>un</v>
      </c>
      <c r="G277" s="267" t="n">
        <f aca="true">SUMIFS(INDIRECT("'01_SINTETICO'!F7:F995"),INDIRECT("'01_SINTETICO'!B7:B995"),$C277)</f>
        <v>1</v>
      </c>
      <c r="H277" s="268" t="n">
        <f aca="false">VLOOKUP($C277,01_SINTETICO!$B:$M,6,0)*$G277*(1+BDI_DIF)</f>
        <v>2317.15351396519</v>
      </c>
      <c r="I277" s="268" t="n">
        <f aca="false">VLOOKUP($C277,01_SINTETICO!$B:$M,7,0)*$G277*(1+BDI_MDO)</f>
        <v>6.5812454334</v>
      </c>
      <c r="J277" s="269" t="n">
        <f aca="false">SUM(H277:I277)</f>
        <v>2323.73475939859</v>
      </c>
      <c r="K277" s="270" t="n">
        <f aca="false">J277/SUM($J$7:$J$749)</f>
        <v>0.000257408721236878</v>
      </c>
      <c r="L277" s="271" t="n">
        <f aca="false">K277+L276</f>
        <v>0.975925504270414</v>
      </c>
    </row>
    <row r="278" customFormat="false" ht="25.5" hidden="false" customHeight="false" outlineLevel="0" collapsed="false">
      <c r="A278" s="264" t="n">
        <f aca="false">K278</f>
        <v>0.000256172695547148</v>
      </c>
      <c r="B278" s="265" t="str">
        <f aca="false">VLOOKUP($C278,01_SINTETICO!$B:$N,13,0)</f>
        <v>17.2.7</v>
      </c>
      <c r="C278" s="272" t="s">
        <v>1344</v>
      </c>
      <c r="D278" s="266" t="str">
        <f aca="false">VLOOKUP($C278,01_SINTETICO!$B:$M,2,0)</f>
        <v>PLANTIO DE FORRAÇÃO GRAMA AMENDOIM.</v>
      </c>
      <c r="E278" s="272" t="str">
        <f aca="false">VLOOKUP($B278,01_SINTETICO!$A:$M,4,0)</f>
        <v>SER.CG</v>
      </c>
      <c r="F278" s="273" t="str">
        <f aca="false">VLOOKUP($B278,01_SINTETICO!$A:$M,5,0)</f>
        <v>M2</v>
      </c>
      <c r="G278" s="267" t="n">
        <f aca="true">SUMIFS(INDIRECT("'01_SINTETICO'!F7:F995"),INDIRECT("'01_SINTETICO'!B7:B995"),$C278)</f>
        <v>24.83</v>
      </c>
      <c r="H278" s="268" t="n">
        <f aca="false">VLOOKUP($C278,01_SINTETICO!$B:$M,6,0)*$G278*(1+BDI_DIF)</f>
        <v>2192.94795741829</v>
      </c>
      <c r="I278" s="268" t="n">
        <f aca="false">VLOOKUP($C278,01_SINTETICO!$B:$M,7,0)*$G278*(1+BDI_MDO)</f>
        <v>119.628687970275</v>
      </c>
      <c r="J278" s="269" t="n">
        <f aca="false">SUM(H278:I278)</f>
        <v>2312.57664538856</v>
      </c>
      <c r="K278" s="270" t="n">
        <f aca="false">J278/SUM($J$7:$J$749)</f>
        <v>0.000256172695547148</v>
      </c>
      <c r="L278" s="271" t="n">
        <f aca="false">K278+L277</f>
        <v>0.976181676965961</v>
      </c>
    </row>
    <row r="279" customFormat="false" ht="25.5" hidden="false" customHeight="false" outlineLevel="0" collapsed="false">
      <c r="A279" s="264" t="n">
        <f aca="false">K279</f>
        <v>0.000254990811751931</v>
      </c>
      <c r="B279" s="265" t="str">
        <f aca="false">VLOOKUP($C279,01_SINTETICO!$B:$N,13,0)</f>
        <v>3.2.3.6.6</v>
      </c>
      <c r="C279" s="266" t="s">
        <v>334</v>
      </c>
      <c r="D279" s="266" t="str">
        <f aca="false">VLOOKUP($C279,01_SINTETICO!$B:$M,2,0)</f>
        <v>MASTRO PARA BANDEIRA, 5M. FORNECIMENTO E INSTALAÇÃO.</v>
      </c>
      <c r="E279" s="272" t="str">
        <f aca="false">VLOOKUP($B279,01_SINTETICO!$A:$M,4,0)</f>
        <v>SER.CG</v>
      </c>
      <c r="F279" s="273" t="str">
        <f aca="false">VLOOKUP($B279,01_SINTETICO!$A:$M,5,0)</f>
        <v>UN</v>
      </c>
      <c r="G279" s="267" t="n">
        <f aca="true">SUMIFS(INDIRECT("'01_SINTETICO'!F7:F995"),INDIRECT("'01_SINTETICO'!B7:B995"),$C279)</f>
        <v>3</v>
      </c>
      <c r="H279" s="268" t="n">
        <f aca="false">VLOOKUP($C279,01_SINTETICO!$B:$M,6,0)*$G279*(1+BDI_DIF)</f>
        <v>1777.47772326191</v>
      </c>
      <c r="I279" s="268" t="n">
        <f aca="false">VLOOKUP($C279,01_SINTETICO!$B:$M,7,0)*$G279*(1+BDI_MDO)</f>
        <v>524.4295693428</v>
      </c>
      <c r="J279" s="269" t="n">
        <f aca="false">SUM(H279:I279)</f>
        <v>2301.90729260471</v>
      </c>
      <c r="K279" s="270" t="n">
        <f aca="false">J279/SUM($J$7:$J$749)</f>
        <v>0.000254990811751931</v>
      </c>
      <c r="L279" s="271" t="n">
        <f aca="false">K279+L278</f>
        <v>0.976436667777713</v>
      </c>
    </row>
    <row r="280" customFormat="false" ht="38.25" hidden="false" customHeight="false" outlineLevel="0" collapsed="false">
      <c r="A280" s="264" t="n">
        <f aca="false">K280</f>
        <v>0.000245922080149107</v>
      </c>
      <c r="B280" s="265" t="str">
        <f aca="false">VLOOKUP($C280,01_SINTETICO!$B:$N,13,0)</f>
        <v>8.1.1.3.1</v>
      </c>
      <c r="C280" s="266" t="n">
        <v>87261</v>
      </c>
      <c r="D280" s="266" t="str">
        <f aca="false">VLOOKUP($C280,01_SINTETICO!$B:$M,2,0)</f>
        <v>REVESTIMENTO CERÂMICO PARA PISO COM PLACAS TIPO PORCELANATO DE DIMENSÕES 60X60 CM APLICADA EM AMBIENTES DE ÁREA MENOR QUE 5 M². AF_02/2023_PE</v>
      </c>
      <c r="E280" s="266" t="str">
        <f aca="false">VLOOKUP($B280,01_SINTETICO!$A:$M,4,0)</f>
        <v>SER.CG</v>
      </c>
      <c r="F280" s="267" t="str">
        <f aca="false">VLOOKUP($B280,01_SINTETICO!$A:$M,5,0)</f>
        <v>M2</v>
      </c>
      <c r="G280" s="267" t="n">
        <f aca="true">SUMIFS(INDIRECT("'01_SINTETICO'!F7:F995"),INDIRECT("'01_SINTETICO'!B7:B995"),$C280)</f>
        <v>14.48</v>
      </c>
      <c r="H280" s="268" t="n">
        <f aca="false">VLOOKUP($C280,01_SINTETICO!$B:$M,6,0)*$G280*(1+BDI_DIF)</f>
        <v>1725.54885591581</v>
      </c>
      <c r="I280" s="268" t="n">
        <f aca="false">VLOOKUP($C280,01_SINTETICO!$B:$M,7,0)*$G280*(1+BDI_MDO)</f>
        <v>494.491253837142</v>
      </c>
      <c r="J280" s="269" t="n">
        <f aca="false">SUM(H280:I280)</f>
        <v>2220.04010975295</v>
      </c>
      <c r="K280" s="270" t="n">
        <f aca="false">J280/SUM($J$7:$J$749)</f>
        <v>0.000245922080149107</v>
      </c>
      <c r="L280" s="271" t="n">
        <f aca="false">K280+L279</f>
        <v>0.976682589857862</v>
      </c>
    </row>
    <row r="281" customFormat="false" ht="25.5" hidden="false" customHeight="false" outlineLevel="0" collapsed="false">
      <c r="A281" s="264" t="n">
        <f aca="false">K281</f>
        <v>0.000245064206723496</v>
      </c>
      <c r="B281" s="265" t="str">
        <f aca="false">VLOOKUP($C281,01_SINTETICO!$B:$N,13,0)</f>
        <v>11.6.1.6</v>
      </c>
      <c r="C281" s="272" t="s">
        <v>827</v>
      </c>
      <c r="D281" s="266" t="str">
        <f aca="false">VLOOKUP($C281,01_SINTETICO!$B:$M,2,0)</f>
        <v>VÁLVULA DE ESFERA BRUTA, ROSCÁVEL, 2.1/2'' - FORNECIMENTO E INSTALAÇÃO.</v>
      </c>
      <c r="E281" s="272" t="str">
        <f aca="false">VLOOKUP($B281,01_SINTETICO!$A:$M,4,0)</f>
        <v>SER.CG</v>
      </c>
      <c r="F281" s="273" t="str">
        <f aca="false">VLOOKUP($B281,01_SINTETICO!$A:$M,5,0)</f>
        <v>UN</v>
      </c>
      <c r="G281" s="267" t="n">
        <f aca="true">SUMIFS(INDIRECT("'01_SINTETICO'!F7:F995"),INDIRECT("'01_SINTETICO'!B7:B995"),$C281)</f>
        <v>3</v>
      </c>
      <c r="H281" s="268" t="n">
        <f aca="false">VLOOKUP($C281,01_SINTETICO!$B:$M,6,0)*$G281*(1+BDI_DIF)</f>
        <v>2168.0016768131</v>
      </c>
      <c r="I281" s="268" t="n">
        <f aca="false">VLOOKUP($C281,01_SINTETICO!$B:$M,7,0)*$G281*(1+BDI_MDO)</f>
        <v>44.2940554817814</v>
      </c>
      <c r="J281" s="269" t="n">
        <f aca="false">SUM(H281:I281)</f>
        <v>2212.29573229488</v>
      </c>
      <c r="K281" s="270" t="n">
        <f aca="false">J281/SUM($J$7:$J$749)</f>
        <v>0.000245064206723496</v>
      </c>
      <c r="L281" s="271" t="n">
        <f aca="false">K281+L280</f>
        <v>0.976927654064585</v>
      </c>
    </row>
    <row r="282" customFormat="false" ht="25.5" hidden="false" customHeight="false" outlineLevel="0" collapsed="false">
      <c r="A282" s="264" t="n">
        <f aca="false">K282</f>
        <v>0.00024474056326282</v>
      </c>
      <c r="B282" s="265" t="str">
        <f aca="false">VLOOKUP($C282,01_SINTETICO!$B:$N,13,0)</f>
        <v>11.6.1.7</v>
      </c>
      <c r="C282" s="272" t="n">
        <v>103018</v>
      </c>
      <c r="D282" s="266" t="str">
        <f aca="false">VLOOKUP($C282,01_SINTETICO!$B:$M,2,0)</f>
        <v>VÁLVULA DE DESCARGA METÁLICA, BASE 1 1/4", ACABAMENTO METALICO CROMADO - FORNECIMENTO E INSTALAÇÃO. AF_08/2021</v>
      </c>
      <c r="E282" s="272" t="str">
        <f aca="false">VLOOKUP($B282,01_SINTETICO!$A:$M,4,0)</f>
        <v>SER.CG</v>
      </c>
      <c r="F282" s="273" t="str">
        <f aca="false">VLOOKUP($B282,01_SINTETICO!$A:$M,5,0)</f>
        <v>UN</v>
      </c>
      <c r="G282" s="267" t="n">
        <f aca="true">SUMIFS(INDIRECT("'01_SINTETICO'!F7:F995"),INDIRECT("'01_SINTETICO'!B7:B995"),$C282)</f>
        <v>8</v>
      </c>
      <c r="H282" s="268" t="n">
        <f aca="false">VLOOKUP($C282,01_SINTETICO!$B:$M,6,0)*$G282*(1+BDI_DIF)</f>
        <v>2040.92158306636</v>
      </c>
      <c r="I282" s="268" t="n">
        <f aca="false">VLOOKUP($C282,01_SINTETICO!$B:$M,7,0)*$G282*(1+BDI_MDO)</f>
        <v>168.452486141077</v>
      </c>
      <c r="J282" s="269" t="n">
        <f aca="false">SUM(H282:I282)</f>
        <v>2209.37406920743</v>
      </c>
      <c r="K282" s="270" t="n">
        <f aca="false">J282/SUM($J$7:$J$749)</f>
        <v>0.00024474056326282</v>
      </c>
      <c r="L282" s="271" t="n">
        <f aca="false">K282+L281</f>
        <v>0.977172394627848</v>
      </c>
    </row>
    <row r="283" customFormat="false" ht="25.5" hidden="false" customHeight="false" outlineLevel="0" collapsed="false">
      <c r="A283" s="264" t="n">
        <f aca="false">K283</f>
        <v>0.000243451829266932</v>
      </c>
      <c r="B283" s="265" t="str">
        <f aca="false">VLOOKUP($C283,01_SINTETICO!$B:$N,13,0)</f>
        <v>10.1.4</v>
      </c>
      <c r="C283" s="272" t="n">
        <v>100858</v>
      </c>
      <c r="D283" s="266" t="str">
        <f aca="false">VLOOKUP($C283,01_SINTETICO!$B:$M,2,0)</f>
        <v>MICTÓRIO SIFONADO LOUÇA BRANCA - PADRÃO MÉDIO - FORNECIMENTO E INSTALAÇÃO. AF_01/2020</v>
      </c>
      <c r="E283" s="272" t="str">
        <f aca="false">VLOOKUP($B283,01_SINTETICO!$A:$M,4,0)</f>
        <v>SER.CG</v>
      </c>
      <c r="F283" s="273" t="str">
        <f aca="false">VLOOKUP($B283,01_SINTETICO!$A:$M,5,0)</f>
        <v>UN</v>
      </c>
      <c r="G283" s="267" t="n">
        <f aca="true">SUMIFS(INDIRECT("'01_SINTETICO'!F7:F995"),INDIRECT("'01_SINTETICO'!B7:B995"),$C283)</f>
        <v>3</v>
      </c>
      <c r="H283" s="268" t="n">
        <f aca="false">VLOOKUP($C283,01_SINTETICO!$B:$M,6,0)*$G283*(1+BDI_DIF)</f>
        <v>2181.66078594689</v>
      </c>
      <c r="I283" s="268" t="n">
        <f aca="false">VLOOKUP($C283,01_SINTETICO!$B:$M,7,0)*$G283*(1+BDI_MDO)</f>
        <v>16.0793496180702</v>
      </c>
      <c r="J283" s="269" t="n">
        <f aca="false">SUM(H283:I283)</f>
        <v>2197.74013556496</v>
      </c>
      <c r="K283" s="270" t="n">
        <f aca="false">J283/SUM($J$7:$J$749)</f>
        <v>0.000243451829266932</v>
      </c>
      <c r="L283" s="271" t="n">
        <f aca="false">K283+L282</f>
        <v>0.977415846457115</v>
      </c>
    </row>
    <row r="284" customFormat="false" ht="38.25" hidden="false" customHeight="false" outlineLevel="0" collapsed="false">
      <c r="A284" s="264" t="n">
        <f aca="false">K284</f>
        <v>0.000238655510811538</v>
      </c>
      <c r="B284" s="265" t="str">
        <f aca="false">VLOOKUP($C284,01_SINTETICO!$B:$N,13,0)</f>
        <v>11.2.2.1</v>
      </c>
      <c r="C284" s="266" t="n">
        <v>104329</v>
      </c>
      <c r="D284" s="266" t="str">
        <f aca="false">VLOOKUP($C284,01_SINTETICO!$B:$M,2,0)</f>
        <v>CAIXA SIFONADA, COM GRELHA REDONDA, PVC, DN 150 X 150 X 50 MM, JUNTA SOLDÁVEL, FORNECIDA E INSTALADA EM RAMAL DE DESCARGA OU EM RAMAL DE ESGOTO SANITÁRIO. AF_08/2022</v>
      </c>
      <c r="E284" s="266" t="str">
        <f aca="false">VLOOKUP($B284,01_SINTETICO!$A:$M,4,0)</f>
        <v>SER.CG</v>
      </c>
      <c r="F284" s="267" t="str">
        <f aca="false">VLOOKUP($B284,01_SINTETICO!$A:$M,5,0)</f>
        <v>UN</v>
      </c>
      <c r="G284" s="267" t="n">
        <f aca="true">SUMIFS(INDIRECT("'01_SINTETICO'!F7:F995"),INDIRECT("'01_SINTETICO'!B7:B995"),$C284)</f>
        <v>24</v>
      </c>
      <c r="H284" s="268" t="n">
        <f aca="false">VLOOKUP($C284,01_SINTETICO!$B:$M,6,0)*$G284*(1+BDI_DIF)</f>
        <v>1887.97027813379</v>
      </c>
      <c r="I284" s="268" t="n">
        <f aca="false">VLOOKUP($C284,01_SINTETICO!$B:$M,7,0)*$G284*(1+BDI_MDO)</f>
        <v>266.471511289718</v>
      </c>
      <c r="J284" s="269" t="n">
        <f aca="false">SUM(H284:I284)</f>
        <v>2154.44178942351</v>
      </c>
      <c r="K284" s="270" t="n">
        <f aca="false">J284/SUM($J$7:$J$749)</f>
        <v>0.000238655510811538</v>
      </c>
      <c r="L284" s="271" t="n">
        <f aca="false">K284+L283</f>
        <v>0.977654501967927</v>
      </c>
    </row>
    <row r="285" customFormat="false" ht="25.5" hidden="false" customHeight="false" outlineLevel="0" collapsed="false">
      <c r="A285" s="264" t="n">
        <f aca="false">K285</f>
        <v>0.000236721870729948</v>
      </c>
      <c r="B285" s="265" t="str">
        <f aca="false">VLOOKUP($C285,01_SINTETICO!$B:$N,13,0)</f>
        <v>12.5.6</v>
      </c>
      <c r="C285" s="266" t="s">
        <v>997</v>
      </c>
      <c r="D285" s="266" t="str">
        <f aca="false">VLOOKUP($C285,01_SINTETICO!$B:$M,2,0)</f>
        <v>LUMINÁRIA ARANDELA TIPO TARTARUGA, DE SOBREPOR, COM 1 LÂMPADA LED DE 15 W, 6500 K - FORNECIMENTO E INSTALAÇÃO.</v>
      </c>
      <c r="E285" s="266" t="str">
        <f aca="false">VLOOKUP($B285,01_SINTETICO!$A:$M,4,0)</f>
        <v>SER.CG</v>
      </c>
      <c r="F285" s="267" t="str">
        <f aca="false">VLOOKUP($B285,01_SINTETICO!$A:$M,5,0)</f>
        <v>UN</v>
      </c>
      <c r="G285" s="267" t="n">
        <f aca="true">SUMIFS(INDIRECT("'01_SINTETICO'!F7:F995"),INDIRECT("'01_SINTETICO'!B7:B995"),$C285)</f>
        <v>17</v>
      </c>
      <c r="H285" s="268" t="n">
        <f aca="false">VLOOKUP($C285,01_SINTETICO!$B:$M,6,0)*$G285*(1+BDI_DIF)</f>
        <v>1817.60755689077</v>
      </c>
      <c r="I285" s="268" t="n">
        <f aca="false">VLOOKUP($C285,01_SINTETICO!$B:$M,7,0)*$G285*(1+BDI_MDO)</f>
        <v>319.378465501354</v>
      </c>
      <c r="J285" s="269" t="n">
        <f aca="false">SUM(H285:I285)</f>
        <v>2136.98602239212</v>
      </c>
      <c r="K285" s="270" t="n">
        <f aca="false">J285/SUM($J$7:$J$749)</f>
        <v>0.000236721870729948</v>
      </c>
      <c r="L285" s="271" t="n">
        <f aca="false">K285+L284</f>
        <v>0.977891223838657</v>
      </c>
    </row>
    <row r="286" customFormat="false" ht="38.25" hidden="false" customHeight="false" outlineLevel="0" collapsed="false">
      <c r="A286" s="264" t="n">
        <f aca="false">K286</f>
        <v>0.000236496486160496</v>
      </c>
      <c r="B286" s="265" t="str">
        <f aca="false">VLOOKUP($C286,01_SINTETICO!$B:$N,13,0)</f>
        <v>11.2.3.20</v>
      </c>
      <c r="C286" s="266" t="n">
        <v>89821</v>
      </c>
      <c r="D286" s="266" t="str">
        <f aca="false">VLOOKUP($C286,01_SINTETICO!$B:$M,2,0)</f>
        <v>LUVA SIMPLES, PVC, SERIE NORMAL, ESGOTO PREDIAL, DN 100 MM, JUNTA ELÁSTICA, FORNECIDO E INSTALADO EM PRUMADA DE ESGOTO SANITÁRIO OU VENTILAÇÃO. AF_08/2022</v>
      </c>
      <c r="E286" s="266" t="str">
        <f aca="false">VLOOKUP($B286,01_SINTETICO!$A:$M,4,0)</f>
        <v>SER.CG</v>
      </c>
      <c r="F286" s="267" t="str">
        <f aca="false">VLOOKUP($B286,01_SINTETICO!$A:$M,5,0)</f>
        <v>UN</v>
      </c>
      <c r="G286" s="267" t="n">
        <f aca="true">SUMIFS(INDIRECT("'01_SINTETICO'!F7:F995"),INDIRECT("'01_SINTETICO'!B7:B995"),$C286)</f>
        <v>116</v>
      </c>
      <c r="H286" s="268" t="n">
        <f aca="false">VLOOKUP($C286,01_SINTETICO!$B:$M,6,0)*$G286*(1+BDI_DIF)</f>
        <v>1405.11187814256</v>
      </c>
      <c r="I286" s="268" t="n">
        <f aca="false">VLOOKUP($C286,01_SINTETICO!$B:$M,7,0)*$G286*(1+BDI_MDO)</f>
        <v>729.839504724727</v>
      </c>
      <c r="J286" s="269" t="n">
        <f aca="false">SUM(H286:I286)</f>
        <v>2134.95138286728</v>
      </c>
      <c r="K286" s="270" t="n">
        <f aca="false">J286/SUM($J$7:$J$749)</f>
        <v>0.000236496486160496</v>
      </c>
      <c r="L286" s="271" t="n">
        <f aca="false">K286+L285</f>
        <v>0.978127720324817</v>
      </c>
    </row>
    <row r="287" customFormat="false" ht="25.5" hidden="false" customHeight="false" outlineLevel="0" collapsed="false">
      <c r="A287" s="264" t="n">
        <f aca="false">K287</f>
        <v>0.000234481578729364</v>
      </c>
      <c r="B287" s="265" t="str">
        <f aca="false">VLOOKUP($C287,01_SINTETICO!$B:$N,13,0)</f>
        <v>11.4.4.9</v>
      </c>
      <c r="C287" s="272" t="n">
        <v>89554</v>
      </c>
      <c r="D287" s="266" t="str">
        <f aca="false">VLOOKUP($C287,01_SINTETICO!$B:$M,2,0)</f>
        <v>LUVA SIMPLES, PVC, SERIE R, ÁGUA PLUVIAL, DN 100 MM, JUNTA ELÁSTICA, FORNECIDO E INSTALADO EM RAMAL DE ENCAMINHAMENTO. AF_06/2022</v>
      </c>
      <c r="E287" s="272" t="str">
        <f aca="false">VLOOKUP($B287,01_SINTETICO!$A:$M,4,0)</f>
        <v>SER.CG</v>
      </c>
      <c r="F287" s="273" t="str">
        <f aca="false">VLOOKUP($B287,01_SINTETICO!$A:$M,5,0)</f>
        <v>UN</v>
      </c>
      <c r="G287" s="267" t="n">
        <f aca="true">SUMIFS(INDIRECT("'01_SINTETICO'!F7:F995"),INDIRECT("'01_SINTETICO'!B7:B995"),$C287)</f>
        <v>74</v>
      </c>
      <c r="H287" s="268" t="n">
        <f aca="false">VLOOKUP($C287,01_SINTETICO!$B:$M,6,0)*$G287*(1+BDI_DIF)</f>
        <v>1840.88223201593</v>
      </c>
      <c r="I287" s="268" t="n">
        <f aca="false">VLOOKUP($C287,01_SINTETICO!$B:$M,7,0)*$G287*(1+BDI_MDO)</f>
        <v>275.879749916546</v>
      </c>
      <c r="J287" s="269" t="n">
        <f aca="false">SUM(H287:I287)</f>
        <v>2116.76198193247</v>
      </c>
      <c r="K287" s="270" t="n">
        <f aca="false">J287/SUM($J$7:$J$749)</f>
        <v>0.000234481578729364</v>
      </c>
      <c r="L287" s="271" t="n">
        <f aca="false">K287+L286</f>
        <v>0.978362201903547</v>
      </c>
    </row>
    <row r="288" customFormat="false" ht="25.5" hidden="false" customHeight="false" outlineLevel="0" collapsed="false">
      <c r="A288" s="264" t="n">
        <f aca="false">K288</f>
        <v>0.000232801306445778</v>
      </c>
      <c r="B288" s="265" t="str">
        <f aca="false">VLOOKUP($C288,01_SINTETICO!$B:$N,13,0)</f>
        <v>6.3.1</v>
      </c>
      <c r="C288" s="272" t="n">
        <v>94228</v>
      </c>
      <c r="D288" s="266" t="str">
        <f aca="false">VLOOKUP($C288,01_SINTETICO!$B:$M,2,0)</f>
        <v>CALHA EM CHAPA DE AÇO GALVANIZADO NÚMERO 24, DESENVOLVIMENTO DE 50 CM, INCLUSO TRANSPORTE VERTICAL. AF_07/2019</v>
      </c>
      <c r="E288" s="272" t="str">
        <f aca="false">VLOOKUP($B288,01_SINTETICO!$A:$M,4,0)</f>
        <v>SER.CG</v>
      </c>
      <c r="F288" s="273" t="str">
        <f aca="false">VLOOKUP($B288,01_SINTETICO!$A:$M,5,0)</f>
        <v>M</v>
      </c>
      <c r="G288" s="267" t="n">
        <f aca="true">SUMIFS(INDIRECT("'01_SINTETICO'!F7:F995"),INDIRECT("'01_SINTETICO'!B7:B995"),$C288)</f>
        <v>28.39</v>
      </c>
      <c r="H288" s="268" t="n">
        <f aca="false">VLOOKUP($C288,01_SINTETICO!$B:$M,6,0)*$G288*(1+BDI_DIF)</f>
        <v>1708.83483065428</v>
      </c>
      <c r="I288" s="268" t="n">
        <f aca="false">VLOOKUP($C288,01_SINTETICO!$B:$M,7,0)*$G288*(1+BDI_MDO)</f>
        <v>392.758639924496</v>
      </c>
      <c r="J288" s="269" t="n">
        <f aca="false">SUM(H288:I288)</f>
        <v>2101.59347057878</v>
      </c>
      <c r="K288" s="270" t="n">
        <f aca="false">J288/SUM($J$7:$J$749)</f>
        <v>0.000232801306445778</v>
      </c>
      <c r="L288" s="271" t="n">
        <f aca="false">K288+L287</f>
        <v>0.978595003209992</v>
      </c>
    </row>
    <row r="289" customFormat="false" ht="25.5" hidden="false" customHeight="false" outlineLevel="0" collapsed="false">
      <c r="A289" s="264" t="n">
        <f aca="false">K289</f>
        <v>0.000232312961320273</v>
      </c>
      <c r="B289" s="265" t="str">
        <f aca="false">VLOOKUP($C289,01_SINTETICO!$B:$N,13,0)</f>
        <v>3.2.2.5.1.3</v>
      </c>
      <c r="C289" s="272" t="n">
        <v>97087</v>
      </c>
      <c r="D289" s="266" t="str">
        <f aca="false">VLOOKUP($C289,01_SINTETICO!$B:$M,2,0)</f>
        <v>CAMADA SEPARADORA PARA EXECUÇÃO DE RADIER, PISO DE CONCRETO OU LAJE SOBRE SOLO, EM LONA PLÁSTICA. AF_09/2021</v>
      </c>
      <c r="E289" s="272" t="str">
        <f aca="false">VLOOKUP($B289,01_SINTETICO!$A:$M,4,0)</f>
        <v>SER.CG</v>
      </c>
      <c r="F289" s="273" t="str">
        <f aca="false">VLOOKUP($B289,01_SINTETICO!$A:$M,5,0)</f>
        <v>M2</v>
      </c>
      <c r="G289" s="267" t="n">
        <f aca="true">SUMIFS(INDIRECT("'01_SINTETICO'!F7:F995"),INDIRECT("'01_SINTETICO'!B7:B995"),$C289)</f>
        <v>812.59</v>
      </c>
      <c r="H289" s="268" t="n">
        <f aca="false">VLOOKUP($C289,01_SINTETICO!$B:$M,6,0)*$G289*(1+BDI_DIF)</f>
        <v>1729.20394184712</v>
      </c>
      <c r="I289" s="268" t="n">
        <f aca="false">VLOOKUP($C289,01_SINTETICO!$B:$M,7,0)*$G289*(1+BDI_MDO)</f>
        <v>367.98103574328</v>
      </c>
      <c r="J289" s="269" t="n">
        <f aca="false">SUM(H289:I289)</f>
        <v>2097.1849775904</v>
      </c>
      <c r="K289" s="270" t="n">
        <f aca="false">J289/SUM($J$7:$J$749)</f>
        <v>0.000232312961320273</v>
      </c>
      <c r="L289" s="271" t="n">
        <f aca="false">K289+L288</f>
        <v>0.978827316171313</v>
      </c>
    </row>
    <row r="290" customFormat="false" ht="25.5" hidden="false" customHeight="false" outlineLevel="0" collapsed="false">
      <c r="A290" s="264" t="n">
        <f aca="false">K290</f>
        <v>0.000229867284558046</v>
      </c>
      <c r="B290" s="265" t="str">
        <f aca="false">VLOOKUP($C290,01_SINTETICO!$B:$N,13,0)</f>
        <v>11.6.2.17</v>
      </c>
      <c r="C290" s="266" t="n">
        <v>89513</v>
      </c>
      <c r="D290" s="266" t="str">
        <f aca="false">VLOOKUP($C290,01_SINTETICO!$B:$M,2,0)</f>
        <v>JOELHO 90 GRAUS, PVC, SOLDÁVEL, DN 75MM, INSTALADO EM PRUMADA DE ÁGUA - FORNECIMENTO E INSTALAÇÃO. AF_06/2022</v>
      </c>
      <c r="E290" s="266" t="str">
        <f aca="false">VLOOKUP($B290,01_SINTETICO!$A:$M,4,0)</f>
        <v>SER.CG</v>
      </c>
      <c r="F290" s="267" t="str">
        <f aca="false">VLOOKUP($B290,01_SINTETICO!$A:$M,5,0)</f>
        <v>UN</v>
      </c>
      <c r="G290" s="267" t="n">
        <f aca="true">SUMIFS(INDIRECT("'01_SINTETICO'!F7:F995"),INDIRECT("'01_SINTETICO'!B7:B995"),$C290)</f>
        <v>18</v>
      </c>
      <c r="H290" s="268" t="n">
        <f aca="false">VLOOKUP($C290,01_SINTETICO!$B:$M,6,0)*$G290*(1+BDI_DIF)</f>
        <v>1930.64930355723</v>
      </c>
      <c r="I290" s="268" t="n">
        <f aca="false">VLOOKUP($C290,01_SINTETICO!$B:$M,7,0)*$G290*(1+BDI_MDO)</f>
        <v>144.457540567717</v>
      </c>
      <c r="J290" s="269" t="n">
        <f aca="false">SUM(H290:I290)</f>
        <v>2075.10684412495</v>
      </c>
      <c r="K290" s="270" t="n">
        <f aca="false">J290/SUM($J$7:$J$749)</f>
        <v>0.000229867284558046</v>
      </c>
      <c r="L290" s="271" t="n">
        <f aca="false">K290+L289</f>
        <v>0.979057183455871</v>
      </c>
    </row>
    <row r="291" customFormat="false" ht="38.25" hidden="false" customHeight="false" outlineLevel="0" collapsed="false">
      <c r="A291" s="264" t="n">
        <f aca="false">K291</f>
        <v>0.00022979219505316</v>
      </c>
      <c r="B291" s="265" t="str">
        <f aca="false">VLOOKUP($C291,01_SINTETICO!$B:$N,13,0)</f>
        <v>11.4.4.4</v>
      </c>
      <c r="C291" s="266" t="n">
        <v>89584</v>
      </c>
      <c r="D291" s="266" t="str">
        <f aca="false">VLOOKUP($C291,01_SINTETICO!$B:$M,2,0)</f>
        <v>JOELHO 90 GRAUS, PVC, SERIE R, ÁGUA PLUVIAL, DN 100 MM, JUNTA ELÁSTICA, FORNECIDO E INSTALADO EM CONDUTORES VERTICAIS DE ÁGUAS PLUVIAIS. AF_06/2022</v>
      </c>
      <c r="E291" s="266" t="str">
        <f aca="false">VLOOKUP($B291,01_SINTETICO!$A:$M,4,0)</f>
        <v>SER.CG</v>
      </c>
      <c r="F291" s="267" t="str">
        <f aca="false">VLOOKUP($B291,01_SINTETICO!$A:$M,5,0)</f>
        <v>UN</v>
      </c>
      <c r="G291" s="267" t="n">
        <f aca="true">SUMIFS(INDIRECT("'01_SINTETICO'!F7:F995"),INDIRECT("'01_SINTETICO'!B7:B995"),$C291)</f>
        <v>41</v>
      </c>
      <c r="H291" s="268" t="n">
        <f aca="false">VLOOKUP($C291,01_SINTETICO!$B:$M,6,0)*$G291*(1+BDI_DIF)</f>
        <v>1588.25892192479</v>
      </c>
      <c r="I291" s="268" t="n">
        <f aca="false">VLOOKUP($C291,01_SINTETICO!$B:$M,7,0)*$G291*(1+BDI_MDO)</f>
        <v>486.170058250053</v>
      </c>
      <c r="J291" s="269" t="n">
        <f aca="false">SUM(H291:I291)</f>
        <v>2074.42898017484</v>
      </c>
      <c r="K291" s="270" t="n">
        <f aca="false">J291/SUM($J$7:$J$749)</f>
        <v>0.00022979219505316</v>
      </c>
      <c r="L291" s="271" t="n">
        <f aca="false">K291+L290</f>
        <v>0.979286975650924</v>
      </c>
    </row>
    <row r="292" customFormat="false" ht="25.5" hidden="false" customHeight="false" outlineLevel="0" collapsed="false">
      <c r="A292" s="264" t="n">
        <f aca="false">K292</f>
        <v>0.000226280223749805</v>
      </c>
      <c r="B292" s="265" t="str">
        <f aca="false">VLOOKUP($C292,01_SINTETICO!$B:$N,13,0)</f>
        <v>3.2.2.4.6</v>
      </c>
      <c r="C292" s="266" t="n">
        <v>95947</v>
      </c>
      <c r="D292" s="266" t="str">
        <f aca="false">VLOOKUP($C292,01_SINTETICO!$B:$M,2,0)</f>
        <v>ARMAÇÃO DE ESCADA, DE UMA ESTRUTURA CONVENCIONAL DE CONCRETO ARMADO UTILIZANDO AÇO CA-50 DE 12,5 MM - MONTAGEM. AF_11/2020</v>
      </c>
      <c r="E292" s="266" t="str">
        <f aca="false">VLOOKUP($B292,01_SINTETICO!$A:$M,4,0)</f>
        <v>SER.CG</v>
      </c>
      <c r="F292" s="267" t="str">
        <f aca="false">VLOOKUP($B292,01_SINTETICO!$A:$M,5,0)</f>
        <v>KG</v>
      </c>
      <c r="G292" s="267" t="n">
        <f aca="true">SUMIFS(INDIRECT("'01_SINTETICO'!F7:F995"),INDIRECT("'01_SINTETICO'!B7:B995"),$C292)</f>
        <v>183.09</v>
      </c>
      <c r="H292" s="268" t="n">
        <f aca="false">VLOOKUP($C292,01_SINTETICO!$B:$M,6,0)*$G292*(1+BDI_DIF)</f>
        <v>1794.86925294972</v>
      </c>
      <c r="I292" s="268" t="n">
        <f aca="false">VLOOKUP($C292,01_SINTETICO!$B:$M,7,0)*$G292*(1+BDI_MDO)</f>
        <v>247.855712876255</v>
      </c>
      <c r="J292" s="269" t="n">
        <f aca="false">SUM(H292:I292)</f>
        <v>2042.72496582598</v>
      </c>
      <c r="K292" s="270" t="n">
        <f aca="false">J292/SUM($J$7:$J$749)</f>
        <v>0.000226280223749805</v>
      </c>
      <c r="L292" s="271" t="n">
        <f aca="false">K292+L291</f>
        <v>0.979513255874674</v>
      </c>
    </row>
    <row r="293" customFormat="false" ht="25.5" hidden="false" customHeight="false" outlineLevel="0" collapsed="false">
      <c r="A293" s="264" t="n">
        <f aca="false">K293</f>
        <v>0.000219230368295708</v>
      </c>
      <c r="B293" s="265" t="str">
        <f aca="false">VLOOKUP($C293,01_SINTETICO!$B:$N,13,0)</f>
        <v>11.6.2.20</v>
      </c>
      <c r="C293" s="272" t="n">
        <v>89402</v>
      </c>
      <c r="D293" s="266" t="str">
        <f aca="false">VLOOKUP($C293,01_SINTETICO!$B:$M,2,0)</f>
        <v>TUBO, PVC, SOLDÁVEL, DE 25MM, INSTALADO EM RAMAL DE DISTRIBUIÇÃO DE ÁGUA - FORNECIMENTO E INSTALAÇÃO. AF_06/2022</v>
      </c>
      <c r="E293" s="272" t="str">
        <f aca="false">VLOOKUP($B293,01_SINTETICO!$A:$M,4,0)</f>
        <v>SER.CG</v>
      </c>
      <c r="F293" s="273" t="str">
        <f aca="false">VLOOKUP($B293,01_SINTETICO!$A:$M,5,0)</f>
        <v>M</v>
      </c>
      <c r="G293" s="267" t="n">
        <f aca="true">SUMIFS(INDIRECT("'01_SINTETICO'!F7:F995"),INDIRECT("'01_SINTETICO'!B7:B995"),$C293)</f>
        <v>148.5</v>
      </c>
      <c r="H293" s="268" t="n">
        <f aca="false">VLOOKUP($C293,01_SINTETICO!$B:$M,6,0)*$G293*(1+BDI_DIF)</f>
        <v>955.718263159397</v>
      </c>
      <c r="I293" s="268" t="n">
        <f aca="false">VLOOKUP($C293,01_SINTETICO!$B:$M,7,0)*$G293*(1+BDI_MDO)</f>
        <v>1023.36474800124</v>
      </c>
      <c r="J293" s="269" t="n">
        <f aca="false">SUM(H293:I293)</f>
        <v>1979.08301116064</v>
      </c>
      <c r="K293" s="270" t="n">
        <f aca="false">J293/SUM($J$7:$J$749)</f>
        <v>0.000219230368295708</v>
      </c>
      <c r="L293" s="271" t="n">
        <f aca="false">K293+L292</f>
        <v>0.979732486242969</v>
      </c>
    </row>
    <row r="294" customFormat="false" ht="25.5" hidden="false" customHeight="false" outlineLevel="0" collapsed="false">
      <c r="A294" s="264" t="n">
        <f aca="false">K294</f>
        <v>0.000215923865473392</v>
      </c>
      <c r="B294" s="265" t="str">
        <f aca="false">VLOOKUP($C294,01_SINTETICO!$B:$N,13,0)</f>
        <v>3.2.1.5.1</v>
      </c>
      <c r="C294" s="266" t="s">
        <v>156</v>
      </c>
      <c r="D294" s="266" t="str">
        <f aca="false">VLOOKUP($C294,01_SINTETICO!$B:$M,2,0)</f>
        <v>ARMAÇÃO DE CORTINA DE CONTENÇÃO EM CONCRETO ARMADO, COM AÇO CA-60 DE 5,0 MM - MONTAGEM.</v>
      </c>
      <c r="E294" s="266" t="str">
        <f aca="false">VLOOKUP($B294,01_SINTETICO!$A:$M,4,0)</f>
        <v>SER.CG</v>
      </c>
      <c r="F294" s="267" t="str">
        <f aca="false">VLOOKUP($B294,01_SINTETICO!$A:$M,5,0)</f>
        <v>KG</v>
      </c>
      <c r="G294" s="267" t="n">
        <f aca="true">SUMIFS(INDIRECT("'01_SINTETICO'!F7:F995"),INDIRECT("'01_SINTETICO'!B7:B995"),$C294)</f>
        <v>120.37</v>
      </c>
      <c r="H294" s="268" t="n">
        <f aca="false">VLOOKUP($C294,01_SINTETICO!$B:$M,6,0)*$G294*(1+BDI_DIF)</f>
        <v>1366.27142450264</v>
      </c>
      <c r="I294" s="268" t="n">
        <f aca="false">VLOOKUP($C294,01_SINTETICO!$B:$M,7,0)*$G294*(1+BDI_MDO)</f>
        <v>582.962421084482</v>
      </c>
      <c r="J294" s="269" t="n">
        <f aca="false">SUM(H294:I294)</f>
        <v>1949.23384558713</v>
      </c>
      <c r="K294" s="270" t="n">
        <f aca="false">J294/SUM($J$7:$J$749)</f>
        <v>0.000215923865473392</v>
      </c>
      <c r="L294" s="271" t="n">
        <f aca="false">K294+L293</f>
        <v>0.979948410108443</v>
      </c>
    </row>
    <row r="295" customFormat="false" ht="25.5" hidden="false" customHeight="false" outlineLevel="0" collapsed="false">
      <c r="A295" s="264" t="n">
        <f aca="false">K295</f>
        <v>0.00021541108708029</v>
      </c>
      <c r="B295" s="265" t="str">
        <f aca="false">VLOOKUP($C295,01_SINTETICO!$B:$N,13,0)</f>
        <v>11.6.2.16</v>
      </c>
      <c r="C295" s="266" t="n">
        <v>103984</v>
      </c>
      <c r="D295" s="266" t="str">
        <f aca="false">VLOOKUP($C295,01_SINTETICO!$B:$M,2,0)</f>
        <v>JOELHO 90 GRAUS, PVC, SOLDÁVEL, DN 50MM, INSTALADO EM RAMAL DE DISTRIBUIÇÃO DE ÁGUA - FORNECIMENTO E INSTALAÇÃO. AF_06/2022</v>
      </c>
      <c r="E295" s="266" t="str">
        <f aca="false">VLOOKUP($B295,01_SINTETICO!$A:$M,4,0)</f>
        <v>SER.CG</v>
      </c>
      <c r="F295" s="267" t="str">
        <f aca="false">VLOOKUP($B295,01_SINTETICO!$A:$M,5,0)</f>
        <v>UN</v>
      </c>
      <c r="G295" s="267" t="n">
        <f aca="true">SUMIFS(INDIRECT("'01_SINTETICO'!F7:F995"),INDIRECT("'01_SINTETICO'!B7:B995"),$C295)</f>
        <v>87</v>
      </c>
      <c r="H295" s="268" t="n">
        <f aca="false">VLOOKUP($C295,01_SINTETICO!$B:$M,6,0)*$G295*(1+BDI_DIF)</f>
        <v>1077.41633874079</v>
      </c>
      <c r="I295" s="268" t="n">
        <f aca="false">VLOOKUP($C295,01_SINTETICO!$B:$M,7,0)*$G295*(1+BDI_MDO)</f>
        <v>867.188444667743</v>
      </c>
      <c r="J295" s="269" t="n">
        <f aca="false">SUM(H295:I295)</f>
        <v>1944.60478340853</v>
      </c>
      <c r="K295" s="270" t="n">
        <f aca="false">J295/SUM($J$7:$J$749)</f>
        <v>0.00021541108708029</v>
      </c>
      <c r="L295" s="271" t="n">
        <f aca="false">K295+L294</f>
        <v>0.980163821195523</v>
      </c>
    </row>
    <row r="296" customFormat="false" ht="38.25" hidden="false" customHeight="false" outlineLevel="0" collapsed="false">
      <c r="A296" s="264" t="n">
        <f aca="false">K296</f>
        <v>0.000210306205740192</v>
      </c>
      <c r="B296" s="265" t="str">
        <f aca="false">VLOOKUP($C296,01_SINTETICO!$B:$N,13,0)</f>
        <v>11.2.3.28</v>
      </c>
      <c r="C296" s="266" t="n">
        <v>89798</v>
      </c>
      <c r="D296" s="266" t="str">
        <f aca="false">VLOOKUP($C296,01_SINTETICO!$B:$M,2,0)</f>
        <v>TUBO PVC, SERIE NORMAL, ESGOTO PREDIAL, DN 50 MM, FORNECIDO E INSTALADO EM PRUMADA DE ESGOTO SANITÁRIO OU VENTILAÇÃO. AF_08/2022</v>
      </c>
      <c r="E296" s="266" t="str">
        <f aca="false">VLOOKUP($B296,01_SINTETICO!$A:$M,4,0)</f>
        <v>SER.CG</v>
      </c>
      <c r="F296" s="267" t="str">
        <f aca="false">VLOOKUP($B296,01_SINTETICO!$A:$M,5,0)</f>
        <v>M</v>
      </c>
      <c r="G296" s="267" t="n">
        <f aca="true">SUMIFS(INDIRECT("'01_SINTETICO'!F7:F995"),INDIRECT("'01_SINTETICO'!B7:B995"),$C296)</f>
        <v>123.9</v>
      </c>
      <c r="H296" s="268" t="n">
        <f aca="false">VLOOKUP($C296,01_SINTETICO!$B:$M,6,0)*$G296*(1+BDI_DIF)</f>
        <v>1810.03415266739</v>
      </c>
      <c r="I296" s="268" t="n">
        <f aca="false">VLOOKUP($C296,01_SINTETICO!$B:$M,7,0)*$G296*(1+BDI_MDO)</f>
        <v>88.4867600952956</v>
      </c>
      <c r="J296" s="269" t="n">
        <f aca="false">SUM(H296:I296)</f>
        <v>1898.52091276268</v>
      </c>
      <c r="K296" s="270" t="n">
        <f aca="false">J296/SUM($J$7:$J$749)</f>
        <v>0.000210306205740192</v>
      </c>
      <c r="L296" s="271" t="n">
        <f aca="false">K296+L295</f>
        <v>0.980374127401263</v>
      </c>
    </row>
    <row r="297" customFormat="false" ht="25.5" hidden="false" customHeight="false" outlineLevel="0" collapsed="false">
      <c r="A297" s="264" t="n">
        <f aca="false">K297</f>
        <v>0.000201375723856713</v>
      </c>
      <c r="B297" s="265" t="str">
        <f aca="false">VLOOKUP($C297,01_SINTETICO!$B:$N,13,0)</f>
        <v>17.3.2</v>
      </c>
      <c r="C297" s="266" t="n">
        <v>97605</v>
      </c>
      <c r="D297" s="266" t="str">
        <f aca="false">VLOOKUP($C297,01_SINTETICO!$B:$M,2,0)</f>
        <v>LUMINÁRIA ARANDELA TIPO MEIA LUA, DE SOBREPOR, COM 1 LÂMPADA LED DE 6 W, SEM REATOR - FORNECIMENTO E INSTALAÇÃO. AF_09/2024</v>
      </c>
      <c r="E297" s="266" t="str">
        <f aca="false">VLOOKUP($B297,01_SINTETICO!$A:$M,4,0)</f>
        <v>SER.CG</v>
      </c>
      <c r="F297" s="267" t="str">
        <f aca="false">VLOOKUP($B297,01_SINTETICO!$A:$M,5,0)</f>
        <v>UN</v>
      </c>
      <c r="G297" s="267" t="n">
        <f aca="true">SUMIFS(INDIRECT("'01_SINTETICO'!F7:F995"),INDIRECT("'01_SINTETICO'!B7:B995"),$C297)</f>
        <v>19</v>
      </c>
      <c r="H297" s="268" t="n">
        <f aca="false">VLOOKUP($C297,01_SINTETICO!$B:$M,6,0)*$G297*(1+BDI_DIF)</f>
        <v>1583.18791757906</v>
      </c>
      <c r="I297" s="268" t="n">
        <f aca="false">VLOOKUP($C297,01_SINTETICO!$B:$M,7,0)*$G297*(1+BDI_MDO)</f>
        <v>234.713849604173</v>
      </c>
      <c r="J297" s="269" t="n">
        <f aca="false">SUM(H297:I297)</f>
        <v>1817.90176718323</v>
      </c>
      <c r="K297" s="270" t="n">
        <f aca="false">J297/SUM($J$7:$J$749)</f>
        <v>0.000201375723856713</v>
      </c>
      <c r="L297" s="271" t="n">
        <f aca="false">K297+L296</f>
        <v>0.98057550312512</v>
      </c>
    </row>
    <row r="298" customFormat="false" ht="38.25" hidden="false" customHeight="false" outlineLevel="0" collapsed="false">
      <c r="A298" s="264" t="n">
        <f aca="false">K298</f>
        <v>0.000200588058832862</v>
      </c>
      <c r="B298" s="265" t="str">
        <f aca="false">VLOOKUP($C298,01_SINTETICO!$B:$N,13,0)</f>
        <v>11.2.3.2</v>
      </c>
      <c r="C298" s="266" t="n">
        <v>89811</v>
      </c>
      <c r="D298" s="266" t="str">
        <f aca="false">VLOOKUP($C298,01_SINTETICO!$B:$M,2,0)</f>
        <v>CURVA CURTA 90 GRAUS, PVC, SERIE NORMAL, ESGOTO PREDIAL, DN 100 MM, JUNTA ELÁSTICA, FORNECIDO E INSTALADO EM PRUMADA DE ESGOTO SANITÁRIO OU VENTILAÇÃO. AF_08/2022</v>
      </c>
      <c r="E298" s="266" t="str">
        <f aca="false">VLOOKUP($B298,01_SINTETICO!$A:$M,4,0)</f>
        <v>SER.CG</v>
      </c>
      <c r="F298" s="267" t="str">
        <f aca="false">VLOOKUP($B298,01_SINTETICO!$A:$M,5,0)</f>
        <v>UN</v>
      </c>
      <c r="G298" s="267" t="n">
        <f aca="true">SUMIFS(INDIRECT("'01_SINTETICO'!F7:F995"),INDIRECT("'01_SINTETICO'!B7:B995"),$C298)</f>
        <v>35</v>
      </c>
      <c r="H298" s="268" t="n">
        <f aca="false">VLOOKUP($C298,01_SINTETICO!$B:$M,6,0)*$G298*(1+BDI_DIF)</f>
        <v>1480.47589685629</v>
      </c>
      <c r="I298" s="268" t="n">
        <f aca="false">VLOOKUP($C298,01_SINTETICO!$B:$M,7,0)*$G298*(1+BDI_MDO)</f>
        <v>330.315293086622</v>
      </c>
      <c r="J298" s="269" t="n">
        <f aca="false">SUM(H298:I298)</f>
        <v>1810.79118994291</v>
      </c>
      <c r="K298" s="270" t="n">
        <f aca="false">J298/SUM($J$7:$J$749)</f>
        <v>0.000200588058832862</v>
      </c>
      <c r="L298" s="271" t="n">
        <f aca="false">K298+L297</f>
        <v>0.980776091183953</v>
      </c>
    </row>
    <row r="299" customFormat="false" ht="38.25" hidden="false" customHeight="false" outlineLevel="0" collapsed="false">
      <c r="A299" s="264" t="n">
        <f aca="false">K299</f>
        <v>0.000199363443577018</v>
      </c>
      <c r="B299" s="265" t="str">
        <f aca="false">VLOOKUP($C299,01_SINTETICO!$B:$N,13,0)</f>
        <v>11.4.4.13</v>
      </c>
      <c r="C299" s="266" t="n">
        <v>104173</v>
      </c>
      <c r="D299" s="266" t="str">
        <f aca="false">VLOOKUP($C299,01_SINTETICO!$B:$M,2,0)</f>
        <v>REDUÇÃO EXCÊNTRICA, PVC, SERIE R, ÁGUA PLUVIAL, DN 150 X 100 MM, JUNTA ELÁSTICA, FORNECIDO E INSTALADO EM RAMAL DE ENCAMINHAMENTO. AF_06/2022</v>
      </c>
      <c r="E299" s="266" t="str">
        <f aca="false">VLOOKUP($B299,01_SINTETICO!$A:$M,4,0)</f>
        <v>SER.CG</v>
      </c>
      <c r="F299" s="267" t="str">
        <f aca="false">VLOOKUP($B299,01_SINTETICO!$A:$M,5,0)</f>
        <v>UN</v>
      </c>
      <c r="G299" s="267" t="n">
        <f aca="true">SUMIFS(INDIRECT("'01_SINTETICO'!F7:F995"),INDIRECT("'01_SINTETICO'!B7:B995"),$C299)</f>
        <v>19</v>
      </c>
      <c r="H299" s="268" t="n">
        <f aca="false">VLOOKUP($C299,01_SINTETICO!$B:$M,6,0)*$G299*(1+BDI_DIF)</f>
        <v>1674.41440829029</v>
      </c>
      <c r="I299" s="268" t="n">
        <f aca="false">VLOOKUP($C299,01_SINTETICO!$B:$M,7,0)*$G299*(1+BDI_MDO)</f>
        <v>125.321674338389</v>
      </c>
      <c r="J299" s="269" t="n">
        <f aca="false">SUM(H299:I299)</f>
        <v>1799.73608262868</v>
      </c>
      <c r="K299" s="270" t="n">
        <f aca="false">J299/SUM($J$7:$J$749)</f>
        <v>0.000199363443577018</v>
      </c>
      <c r="L299" s="271" t="n">
        <f aca="false">K299+L298</f>
        <v>0.98097545462753</v>
      </c>
    </row>
    <row r="300" customFormat="false" ht="25.5" hidden="false" customHeight="false" outlineLevel="0" collapsed="false">
      <c r="A300" s="264" t="n">
        <f aca="false">K300</f>
        <v>0.000196497324260771</v>
      </c>
      <c r="B300" s="265" t="str">
        <f aca="false">VLOOKUP($C300,01_SINTETICO!$B:$N,13,0)</f>
        <v>2.2.2</v>
      </c>
      <c r="C300" s="266" t="n">
        <v>98527</v>
      </c>
      <c r="D300" s="266" t="str">
        <f aca="false">VLOOKUP($C300,01_SINTETICO!$B:$M,2,0)</f>
        <v>REMOÇÃO DE RAÍZES REMANESCENTES DE TRONCO DE ÁRVORE COM DIÂMETRO MAIOR OU IGUAL A 0,40 M E MENOR QUE 0,60 M. AF_03/2024</v>
      </c>
      <c r="E300" s="266" t="str">
        <f aca="false">VLOOKUP($B300,01_SINTETICO!$A:$M,4,0)</f>
        <v>SER.CG</v>
      </c>
      <c r="F300" s="267" t="str">
        <f aca="false">VLOOKUP($B300,01_SINTETICO!$A:$M,5,0)</f>
        <v>UN</v>
      </c>
      <c r="G300" s="267" t="n">
        <f aca="true">SUMIFS(INDIRECT("'01_SINTETICO'!F7:F995"),INDIRECT("'01_SINTETICO'!B7:B995"),$C300)</f>
        <v>7</v>
      </c>
      <c r="H300" s="268" t="n">
        <f aca="false">VLOOKUP($C300,01_SINTETICO!$B:$M,6,0)*$G300*(1+BDI_DIF)</f>
        <v>949.709690681465</v>
      </c>
      <c r="I300" s="268" t="n">
        <f aca="false">VLOOKUP($C300,01_SINTETICO!$B:$M,7,0)*$G300*(1+BDI_MDO)</f>
        <v>824.15275002962</v>
      </c>
      <c r="J300" s="269" t="n">
        <f aca="false">SUM(H300:I300)</f>
        <v>1773.86244071109</v>
      </c>
      <c r="K300" s="270" t="n">
        <f aca="false">J300/SUM($J$7:$J$749)</f>
        <v>0.000196497324260771</v>
      </c>
      <c r="L300" s="271" t="n">
        <f aca="false">K300+L299</f>
        <v>0.981171951951791</v>
      </c>
    </row>
    <row r="301" customFormat="false" ht="38.25" hidden="false" customHeight="false" outlineLevel="0" collapsed="false">
      <c r="A301" s="264" t="n">
        <f aca="false">K301</f>
        <v>0.000192338998698008</v>
      </c>
      <c r="B301" s="265" t="str">
        <f aca="false">VLOOKUP($C301,01_SINTETICO!$B:$N,13,0)</f>
        <v>3.2.1.2.1</v>
      </c>
      <c r="C301" s="272" t="n">
        <v>96521</v>
      </c>
      <c r="D301" s="266" t="str">
        <f aca="false">VLOOKUP($C301,01_SINTETICO!$B:$M,2,0)</f>
        <v>ESCAVAÇÃO MECANIZADA PARA BLOCO DE COROAMENTO OU SAPATA COM RETROESCAVADEIRA (INCLUINDO ESCAVAÇÃO PARA COLOCAÇÃO DE FÔRMAS). AF_01/2024</v>
      </c>
      <c r="E301" s="272" t="str">
        <f aca="false">VLOOKUP($B301,01_SINTETICO!$A:$M,4,0)</f>
        <v>SER.CG</v>
      </c>
      <c r="F301" s="273" t="str">
        <f aca="false">VLOOKUP($B301,01_SINTETICO!$A:$M,5,0)</f>
        <v>M3</v>
      </c>
      <c r="G301" s="267" t="n">
        <f aca="true">SUMIFS(INDIRECT("'01_SINTETICO'!F7:F995"),INDIRECT("'01_SINTETICO'!B7:B995"),$C301)</f>
        <v>37.69</v>
      </c>
      <c r="H301" s="268" t="n">
        <f aca="false">VLOOKUP($C301,01_SINTETICO!$B:$M,6,0)*$G301*(1+BDI_MAT)</f>
        <v>1349.09645845915</v>
      </c>
      <c r="I301" s="268" t="n">
        <f aca="false">VLOOKUP($C301,01_SINTETICO!$B:$M,7,0)*$G301*(1+BDI_MDO)</f>
        <v>387.22706125246</v>
      </c>
      <c r="J301" s="269" t="n">
        <f aca="false">SUM(H301:I301)</f>
        <v>1736.32351971161</v>
      </c>
      <c r="K301" s="270" t="n">
        <f aca="false">J301/SUM($J$7:$J$749)</f>
        <v>0.000192338998698008</v>
      </c>
      <c r="L301" s="271" t="n">
        <f aca="false">K301+L300</f>
        <v>0.981364290950489</v>
      </c>
    </row>
    <row r="302" customFormat="false" ht="38.25" hidden="false" customHeight="false" outlineLevel="0" collapsed="false">
      <c r="A302" s="264" t="n">
        <f aca="false">K302</f>
        <v>0.000192278982710158</v>
      </c>
      <c r="B302" s="265" t="str">
        <f aca="false">VLOOKUP($C302,01_SINTETICO!$B:$N,13,0)</f>
        <v>10.3.3</v>
      </c>
      <c r="C302" s="266" t="n">
        <v>86935</v>
      </c>
      <c r="D302" s="266" t="str">
        <f aca="false">VLOOKUP($C302,01_SINTETICO!$B:$M,2,0)</f>
        <v>CUBA DE EMBUTIR DE AÇO INOXIDÁVEL MÉDIA, INCLUSO VÁLVULA TIPO AMERICANA EM METAL CROMADO E SIFÃO FLEXÍVEL EM PVC - FORNECIMENTO E INSTALAÇÃO. AF_01/2020</v>
      </c>
      <c r="E302" s="266" t="str">
        <f aca="false">VLOOKUP($B302,01_SINTETICO!$A:$M,4,0)</f>
        <v>SER.CG</v>
      </c>
      <c r="F302" s="267" t="str">
        <f aca="false">VLOOKUP($B302,01_SINTETICO!$A:$M,5,0)</f>
        <v>UN</v>
      </c>
      <c r="G302" s="267" t="n">
        <f aca="true">SUMIFS(INDIRECT("'01_SINTETICO'!F7:F995"),INDIRECT("'01_SINTETICO'!B7:B995"),$C302)</f>
        <v>5</v>
      </c>
      <c r="H302" s="268" t="n">
        <f aca="false">VLOOKUP($C302,01_SINTETICO!$B:$M,6,0)*$G302*(1+BDI_MAT)</f>
        <v>1619.881819825</v>
      </c>
      <c r="I302" s="268" t="n">
        <f aca="false">VLOOKUP($C302,01_SINTETICO!$B:$M,7,0)*$G302*(1+BDI_MDO)</f>
        <v>115.899910795641</v>
      </c>
      <c r="J302" s="269" t="n">
        <f aca="false">SUM(H302:I302)</f>
        <v>1735.78173062064</v>
      </c>
      <c r="K302" s="270" t="n">
        <f aca="false">J302/SUM($J$7:$J$749)</f>
        <v>0.000192278982710158</v>
      </c>
      <c r="L302" s="271" t="n">
        <f aca="false">K302+L301</f>
        <v>0.981556569933199</v>
      </c>
    </row>
    <row r="303" customFormat="false" ht="38.25" hidden="false" customHeight="false" outlineLevel="0" collapsed="false">
      <c r="A303" s="264" t="n">
        <f aca="false">K303</f>
        <v>0.000191676192636662</v>
      </c>
      <c r="B303" s="265" t="str">
        <f aca="false">VLOOKUP($C303,01_SINTETICO!$B:$N,13,0)</f>
        <v>15.5.2.1</v>
      </c>
      <c r="C303" s="272" t="n">
        <v>91863</v>
      </c>
      <c r="D303" s="266" t="str">
        <f aca="false">VLOOKUP($C303,01_SINTETICO!$B:$M,2,0)</f>
        <v>ELETRODUTO RÍGIDO ROSCÁVEL, PVC, DN 25 MM (3/4"), PARA CIRCUITOS TERMINAIS, INSTALADO EM FORRO - FORNECIMENTO E INSTALAÇÃO. AF_03/2023</v>
      </c>
      <c r="E303" s="272" t="str">
        <f aca="false">VLOOKUP($B303,01_SINTETICO!$A:$M,4,0)</f>
        <v>SER.CG</v>
      </c>
      <c r="F303" s="273" t="str">
        <f aca="false">VLOOKUP($B303,01_SINTETICO!$A:$M,5,0)</f>
        <v>M</v>
      </c>
      <c r="G303" s="267" t="n">
        <f aca="true">SUMIFS(INDIRECT("'01_SINTETICO'!F7:F995"),INDIRECT("'01_SINTETICO'!B7:B995"),$C303)</f>
        <v>147.1</v>
      </c>
      <c r="H303" s="268" t="n">
        <f aca="false">VLOOKUP($C303,01_SINTETICO!$B:$M,6,0)*$G303*(1+BDI_DIF)</f>
        <v>955.28253736515</v>
      </c>
      <c r="I303" s="268" t="n">
        <f aca="false">VLOOKUP($C303,01_SINTETICO!$B:$M,7,0)*$G303*(1+BDI_MDO)</f>
        <v>775.057558490074</v>
      </c>
      <c r="J303" s="269" t="n">
        <f aca="false">SUM(H303:I303)</f>
        <v>1730.34009585522</v>
      </c>
      <c r="K303" s="270" t="n">
        <f aca="false">J303/SUM($J$7:$J$749)</f>
        <v>0.000191676192636662</v>
      </c>
      <c r="L303" s="271" t="n">
        <f aca="false">K303+L302</f>
        <v>0.981748246125835</v>
      </c>
    </row>
    <row r="304" customFormat="false" ht="25.5" hidden="false" customHeight="false" outlineLevel="0" collapsed="false">
      <c r="A304" s="264" t="n">
        <f aca="false">K304</f>
        <v>0.000191416894377122</v>
      </c>
      <c r="B304" s="265" t="str">
        <f aca="false">VLOOKUP($C304,01_SINTETICO!$B:$N,13,0)</f>
        <v>12.3.3.10</v>
      </c>
      <c r="C304" s="266" t="s">
        <v>977</v>
      </c>
      <c r="D304" s="266" t="str">
        <f aca="false">VLOOKUP($C304,01_SINTETICO!$B:$M,2,0)</f>
        <v>DISPOSITIVO DPS CLASSE II, 1 POLO, TENSÃO MÁXIMA DE 275 V, CORRENTE MÁXIMA DE 80 KA - FORNECIMENTO E INSTALAÇÃO.</v>
      </c>
      <c r="E304" s="266" t="str">
        <f aca="false">VLOOKUP($B304,01_SINTETICO!$A:$M,4,0)</f>
        <v>SER.CG</v>
      </c>
      <c r="F304" s="267" t="str">
        <f aca="false">VLOOKUP($B304,01_SINTETICO!$A:$M,5,0)</f>
        <v>UN</v>
      </c>
      <c r="G304" s="267" t="n">
        <f aca="true">SUMIFS(INDIRECT("'01_SINTETICO'!F7:F995"),INDIRECT("'01_SINTETICO'!B7:B995"),$C304)</f>
        <v>8</v>
      </c>
      <c r="H304" s="268" t="n">
        <f aca="false">VLOOKUP($C304,01_SINTETICO!$B:$M,6,0)*$G304*(1+BDI_DIF)</f>
        <v>1660.98223277465</v>
      </c>
      <c r="I304" s="268" t="n">
        <f aca="false">VLOOKUP($C304,01_SINTETICO!$B:$M,7,0)*$G304*(1+BDI_MDO)</f>
        <v>67.0170706790999</v>
      </c>
      <c r="J304" s="269" t="n">
        <f aca="false">SUM(H304:I304)</f>
        <v>1727.99930345375</v>
      </c>
      <c r="K304" s="270" t="n">
        <f aca="false">J304/SUM($J$7:$J$749)</f>
        <v>0.000191416894377122</v>
      </c>
      <c r="L304" s="271" t="n">
        <f aca="false">K304+L303</f>
        <v>0.981939663020213</v>
      </c>
    </row>
    <row r="305" customFormat="false" ht="25.5" hidden="false" customHeight="false" outlineLevel="0" collapsed="false">
      <c r="A305" s="264" t="n">
        <f aca="false">K305</f>
        <v>0.00019051287269552</v>
      </c>
      <c r="B305" s="265" t="str">
        <f aca="false">VLOOKUP($C305,01_SINTETICO!$B:$N,13,0)</f>
        <v>16.2.3.1</v>
      </c>
      <c r="C305" s="272" t="s">
        <v>1317</v>
      </c>
      <c r="D305" s="266" t="str">
        <f aca="false">VLOOKUP($C305,01_SINTETICO!$B:$M,2,0)</f>
        <v>INSTALAÇÃO DE DUTO FLEXÍVEL CIRCULAR PARA SISTEMA DE RENOVAÇÃO DE AR, EM ALUMÍNIO DN 100 MM.</v>
      </c>
      <c r="E305" s="272" t="str">
        <f aca="false">VLOOKUP($B305,01_SINTETICO!$A:$M,4,0)</f>
        <v>SER.CG</v>
      </c>
      <c r="F305" s="273" t="str">
        <f aca="false">VLOOKUP($B305,01_SINTETICO!$A:$M,5,0)</f>
        <v>M</v>
      </c>
      <c r="G305" s="267" t="n">
        <f aca="true">SUMIFS(INDIRECT("'01_SINTETICO'!F7:F995"),INDIRECT("'01_SINTETICO'!B7:B995"),$C305)</f>
        <v>33.67</v>
      </c>
      <c r="H305" s="268" t="n">
        <f aca="false">VLOOKUP($C305,01_SINTETICO!$B:$M,6,0)*$G305*(1+BDI_DIF)</f>
        <v>820.939930223161</v>
      </c>
      <c r="I305" s="268" t="n">
        <f aca="false">VLOOKUP($C305,01_SINTETICO!$B:$M,7,0)*$G305*(1+BDI_MDO)</f>
        <v>898.89839642027</v>
      </c>
      <c r="J305" s="269" t="n">
        <f aca="false">SUM(H305:I305)</f>
        <v>1719.83832664343</v>
      </c>
      <c r="K305" s="270" t="n">
        <f aca="false">J305/SUM($J$7:$J$749)</f>
        <v>0.00019051287269552</v>
      </c>
      <c r="L305" s="271" t="n">
        <f aca="false">K305+L304</f>
        <v>0.982130175892908</v>
      </c>
    </row>
    <row r="306" customFormat="false" ht="25.5" hidden="false" customHeight="false" outlineLevel="0" collapsed="false">
      <c r="A306" s="264" t="n">
        <f aca="false">K306</f>
        <v>0.000190154094856145</v>
      </c>
      <c r="B306" s="265" t="str">
        <f aca="false">VLOOKUP($C306,01_SINTETICO!$B:$N,13,0)</f>
        <v>11.1.3.5</v>
      </c>
      <c r="C306" s="272" t="n">
        <v>89446</v>
      </c>
      <c r="D306" s="266" t="str">
        <f aca="false">VLOOKUP($C306,01_SINTETICO!$B:$M,2,0)</f>
        <v>TUBO, PVC, SOLDÁVEL, DE 25MM, INSTALADO EM PRUMADA DE ÁGUA - FORNECIMENTO E INSTALAÇÃO. AF_06/2022</v>
      </c>
      <c r="E306" s="272" t="str">
        <f aca="false">VLOOKUP($B306,01_SINTETICO!$A:$M,4,0)</f>
        <v>SER.CG</v>
      </c>
      <c r="F306" s="273" t="str">
        <f aca="false">VLOOKUP($B306,01_SINTETICO!$A:$M,5,0)</f>
        <v>M</v>
      </c>
      <c r="G306" s="267" t="n">
        <f aca="true">SUMIFS(INDIRECT("'01_SINTETICO'!F7:F995"),INDIRECT("'01_SINTETICO'!B7:B995"),$C306)</f>
        <v>276.5</v>
      </c>
      <c r="H306" s="268" t="n">
        <f aca="false">VLOOKUP($C306,01_SINTETICO!$B:$M,6,0)*$G306*(1+BDI_DIF)</f>
        <v>1482.32200068802</v>
      </c>
      <c r="I306" s="268" t="n">
        <f aca="false">VLOOKUP($C306,01_SINTETICO!$B:$M,7,0)*$G306*(1+BDI_MDO)</f>
        <v>234.277490331465</v>
      </c>
      <c r="J306" s="269" t="n">
        <f aca="false">SUM(H306:I306)</f>
        <v>1716.59949101948</v>
      </c>
      <c r="K306" s="270" t="n">
        <f aca="false">J306/SUM($J$7:$J$749)</f>
        <v>0.000190154094856145</v>
      </c>
      <c r="L306" s="271" t="n">
        <f aca="false">K306+L305</f>
        <v>0.982320329987764</v>
      </c>
    </row>
    <row r="307" customFormat="false" ht="38.25" hidden="false" customHeight="false" outlineLevel="0" collapsed="false">
      <c r="A307" s="264" t="n">
        <f aca="false">K307</f>
        <v>0.000189408919633129</v>
      </c>
      <c r="B307" s="265" t="str">
        <f aca="false">VLOOKUP($C307,01_SINTETICO!$B:$N,13,0)</f>
        <v>12.2.2.4</v>
      </c>
      <c r="C307" s="266" t="n">
        <v>91840</v>
      </c>
      <c r="D307" s="266" t="str">
        <f aca="false">VLOOKUP($C307,01_SINTETICO!$B:$M,2,0)</f>
        <v>ELETRODUTO FLEXÍVEL CORRUGADO, PEAD, DN 40 MM (1 1/4"), PARA CIRCUITOS TERMINAIS, INSTALADO EM FORRO - FORNECIMENTO E INSTALAÇÃO. AF_03/2023</v>
      </c>
      <c r="E307" s="266" t="str">
        <f aca="false">VLOOKUP($B307,01_SINTETICO!$A:$M,4,0)</f>
        <v>SER.CG</v>
      </c>
      <c r="F307" s="267" t="str">
        <f aca="false">VLOOKUP($B307,01_SINTETICO!$A:$M,5,0)</f>
        <v>M</v>
      </c>
      <c r="G307" s="267" t="n">
        <f aca="true">SUMIFS(INDIRECT("'01_SINTETICO'!F7:F995"),INDIRECT("'01_SINTETICO'!B7:B995"),$C307)</f>
        <v>75</v>
      </c>
      <c r="H307" s="268" t="n">
        <f aca="false">VLOOKUP($C307,01_SINTETICO!$B:$M,6,0)*$G307*(1+BDI_DIF)</f>
        <v>823.401418713554</v>
      </c>
      <c r="I307" s="268" t="n">
        <f aca="false">VLOOKUP($C307,01_SINTETICO!$B:$M,7,0)*$G307*(1+BDI_MDO)</f>
        <v>886.471068033322</v>
      </c>
      <c r="J307" s="269" t="n">
        <f aca="false">SUM(H307:I307)</f>
        <v>1709.87248674688</v>
      </c>
      <c r="K307" s="270" t="n">
        <f aca="false">J307/SUM($J$7:$J$749)</f>
        <v>0.000189408919633129</v>
      </c>
      <c r="L307" s="271" t="n">
        <f aca="false">K307+L306</f>
        <v>0.982509738907397</v>
      </c>
    </row>
    <row r="308" customFormat="false" ht="15" hidden="false" customHeight="false" outlineLevel="0" collapsed="false">
      <c r="A308" s="264" t="n">
        <f aca="false">K308</f>
        <v>0.000187517127969507</v>
      </c>
      <c r="B308" s="265" t="str">
        <f aca="false">VLOOKUP($C308,01_SINTETICO!$B:$N,13,0)</f>
        <v>14.2.1</v>
      </c>
      <c r="C308" s="266" t="n">
        <v>104746</v>
      </c>
      <c r="D308" s="266" t="str">
        <f aca="false">VLOOKUP($C308,01_SINTETICO!$B:$M,2,0)</f>
        <v>MINI CAPTOR PARA SPDA - FORNECIMENTO E INSTALAÇÃO. AF_08/2023</v>
      </c>
      <c r="E308" s="266" t="str">
        <f aca="false">VLOOKUP($B308,01_SINTETICO!$A:$M,4,0)</f>
        <v>SER.CG</v>
      </c>
      <c r="F308" s="267" t="str">
        <f aca="false">VLOOKUP($B308,01_SINTETICO!$A:$M,5,0)</f>
        <v>UN</v>
      </c>
      <c r="G308" s="267" t="n">
        <f aca="true">SUMIFS(INDIRECT("'01_SINTETICO'!F7:F995"),INDIRECT("'01_SINTETICO'!B7:B995"),$C308)</f>
        <v>65</v>
      </c>
      <c r="H308" s="268" t="n">
        <f aca="false">VLOOKUP($C308,01_SINTETICO!$B:$M,6,0)*$G308*(1+BDI_DIF)</f>
        <v>1475.65405280788</v>
      </c>
      <c r="I308" s="268" t="n">
        <f aca="false">VLOOKUP($C308,01_SINTETICO!$B:$M,7,0)*$G308*(1+BDI_MDO)</f>
        <v>217.140449847493</v>
      </c>
      <c r="J308" s="269" t="n">
        <f aca="false">SUM(H308:I308)</f>
        <v>1692.79450265537</v>
      </c>
      <c r="K308" s="270" t="n">
        <f aca="false">J308/SUM($J$7:$J$749)</f>
        <v>0.000187517127969507</v>
      </c>
      <c r="L308" s="271" t="n">
        <f aca="false">K308+L307</f>
        <v>0.982697256035367</v>
      </c>
    </row>
    <row r="309" customFormat="false" ht="25.5" hidden="false" customHeight="false" outlineLevel="0" collapsed="false">
      <c r="A309" s="264" t="n">
        <f aca="false">K309</f>
        <v>0.000186714691343462</v>
      </c>
      <c r="B309" s="265" t="str">
        <f aca="false">VLOOKUP($C309,01_SINTETICO!$B:$N,13,0)</f>
        <v>12.7.2</v>
      </c>
      <c r="C309" s="266" t="n">
        <v>101798</v>
      </c>
      <c r="D309" s="266" t="str">
        <f aca="false">VLOOKUP($C309,01_SINTETICO!$B:$M,2,0)</f>
        <v>TAMPA PARA CAIXA TIPO R1, EM FERRO FUNDIDO, DIMENSÕES INTERNAS: 0,40 X 0,60 M - FORNECIMENTO E INSTALAÇÃO. AF_12/2020</v>
      </c>
      <c r="E309" s="266" t="str">
        <f aca="false">VLOOKUP($B309,01_SINTETICO!$A:$M,4,0)</f>
        <v>SER.CG</v>
      </c>
      <c r="F309" s="267" t="str">
        <f aca="false">VLOOKUP($B309,01_SINTETICO!$A:$M,5,0)</f>
        <v>UN</v>
      </c>
      <c r="G309" s="267" t="n">
        <f aca="true">SUMIFS(INDIRECT("'01_SINTETICO'!F7:F995"),INDIRECT("'01_SINTETICO'!B7:B995"),$C309)</f>
        <v>5</v>
      </c>
      <c r="H309" s="268" t="n">
        <f aca="false">VLOOKUP($C309,01_SINTETICO!$B:$M,6,0)*$G309*(1+BDI_DIF)</f>
        <v>1484.78165676432</v>
      </c>
      <c r="I309" s="268" t="n">
        <f aca="false">VLOOKUP($C309,01_SINTETICO!$B:$M,7,0)*$G309*(1+BDI_MDO)</f>
        <v>200.768919301482</v>
      </c>
      <c r="J309" s="269" t="n">
        <f aca="false">SUM(H309:I309)</f>
        <v>1685.5505760658</v>
      </c>
      <c r="K309" s="270" t="n">
        <f aca="false">J309/SUM($J$7:$J$749)</f>
        <v>0.000186714691343462</v>
      </c>
      <c r="L309" s="271" t="n">
        <f aca="false">K309+L308</f>
        <v>0.98288397072671</v>
      </c>
    </row>
    <row r="310" customFormat="false" ht="25.5" hidden="false" customHeight="false" outlineLevel="0" collapsed="false">
      <c r="A310" s="264" t="n">
        <f aca="false">K310</f>
        <v>0.000182631167098106</v>
      </c>
      <c r="B310" s="265" t="str">
        <f aca="false">VLOOKUP($C310,01_SINTETICO!$B:$N,13,0)</f>
        <v>3.2.1.4.6</v>
      </c>
      <c r="C310" s="272" t="n">
        <v>104917</v>
      </c>
      <c r="D310" s="266" t="str">
        <f aca="false">VLOOKUP($C310,01_SINTETICO!$B:$M,2,0)</f>
        <v>ARMAÇÃO DE SAPATA ISOLADA, VIGA BALDRAME E SAPATA CORRIDA UTILIZANDO AÇO CA-50 DE 6,3 MM - MONTAGEM. AF_01/2024</v>
      </c>
      <c r="E310" s="272" t="str">
        <f aca="false">VLOOKUP($B310,01_SINTETICO!$A:$M,4,0)</f>
        <v>SER.CG</v>
      </c>
      <c r="F310" s="273" t="str">
        <f aca="false">VLOOKUP($B310,01_SINTETICO!$A:$M,5,0)</f>
        <v>KG</v>
      </c>
      <c r="G310" s="267" t="n">
        <f aca="true">SUMIFS(INDIRECT("'01_SINTETICO'!F7:F995"),INDIRECT("'01_SINTETICO'!B7:B995"),$C310)</f>
        <v>93.46</v>
      </c>
      <c r="H310" s="268" t="n">
        <f aca="false">VLOOKUP($C310,01_SINTETICO!$B:$M,6,0)*$G310*(1+BDI_DIF)</f>
        <v>1165.82301475415</v>
      </c>
      <c r="I310" s="268" t="n">
        <f aca="false">VLOOKUP($C310,01_SINTETICO!$B:$M,7,0)*$G310*(1+BDI_MDO)</f>
        <v>482.863902674965</v>
      </c>
      <c r="J310" s="269" t="n">
        <f aca="false">SUM(H310:I310)</f>
        <v>1648.68691742912</v>
      </c>
      <c r="K310" s="270" t="n">
        <f aca="false">J310/SUM($J$7:$J$749)</f>
        <v>0.000182631167098106</v>
      </c>
      <c r="L310" s="271" t="n">
        <f aca="false">K310+L309</f>
        <v>0.983066601893809</v>
      </c>
    </row>
    <row r="311" customFormat="false" ht="54.75" hidden="false" customHeight="true" outlineLevel="0" collapsed="false">
      <c r="A311" s="264" t="n">
        <f aca="false">K311</f>
        <v>0.000180731394708687</v>
      </c>
      <c r="B311" s="265" t="str">
        <f aca="false">VLOOKUP($C311,01_SINTETICO!$B:$N,13,0)</f>
        <v>17.2.1</v>
      </c>
      <c r="C311" s="266" t="s">
        <v>1332</v>
      </c>
      <c r="D311" s="266" t="str">
        <f aca="false">VLOOKUP($C311,01_SINTETICO!$B:$M,2,0)</f>
        <v>PLANTIO DE PALMEIRA FENIX, COM ALTURA DE MUDA MAIOR QUE 2,00 M E MENOR OU IGUAL A 4,00 M.</v>
      </c>
      <c r="E311" s="266" t="str">
        <f aca="false">VLOOKUP($B311,01_SINTETICO!$A:$M,4,0)</f>
        <v>SER.CG</v>
      </c>
      <c r="F311" s="267" t="str">
        <f aca="false">VLOOKUP($B311,01_SINTETICO!$A:$M,5,0)</f>
        <v>UN</v>
      </c>
      <c r="G311" s="267" t="n">
        <f aca="true">SUMIFS(INDIRECT("'01_SINTETICO'!F7:F995"),INDIRECT("'01_SINTETICO'!B7:B995"),$C311)</f>
        <v>2</v>
      </c>
      <c r="H311" s="268" t="n">
        <f aca="false">VLOOKUP($C311,01_SINTETICO!$B:$M,6,0)*$G311*(1+BDI_DIF)</f>
        <v>1233.77257821913</v>
      </c>
      <c r="I311" s="268" t="n">
        <f aca="false">VLOOKUP($C311,01_SINTETICO!$B:$M,7,0)*$G311*(1+BDI_MDO)</f>
        <v>397.764309813062</v>
      </c>
      <c r="J311" s="269" t="n">
        <f aca="false">SUM(H311:I311)</f>
        <v>1631.53688803219</v>
      </c>
      <c r="K311" s="270" t="n">
        <f aca="false">J311/SUM($J$7:$J$749)</f>
        <v>0.000180731394708687</v>
      </c>
      <c r="L311" s="271" t="n">
        <f aca="false">K311+L310</f>
        <v>0.983247333288517</v>
      </c>
    </row>
    <row r="312" customFormat="false" ht="25.5" hidden="false" customHeight="false" outlineLevel="0" collapsed="false">
      <c r="A312" s="264" t="n">
        <f aca="false">K312</f>
        <v>0.000180072327699132</v>
      </c>
      <c r="B312" s="265" t="str">
        <f aca="false">VLOOKUP($C312,01_SINTETICO!$B:$N,13,0)</f>
        <v>10.2.5</v>
      </c>
      <c r="C312" s="266" t="n">
        <v>100867</v>
      </c>
      <c r="D312" s="266" t="str">
        <f aca="false">VLOOKUP($C312,01_SINTETICO!$B:$M,2,0)</f>
        <v>BARRA DE APOIO RETA, EM ACO INOX POLIDO, COMPRIMENTO 70 CM, FIXADA NA PAREDE - FORNECIMENTO E INSTALAÇÃO. AF_01/2020</v>
      </c>
      <c r="E312" s="266" t="str">
        <f aca="false">VLOOKUP($B312,01_SINTETICO!$A:$M,4,0)</f>
        <v>SER.CG</v>
      </c>
      <c r="F312" s="267" t="str">
        <f aca="false">VLOOKUP($B312,01_SINTETICO!$A:$M,5,0)</f>
        <v>UN</v>
      </c>
      <c r="G312" s="267" t="n">
        <f aca="true">SUMIFS(INDIRECT("'01_SINTETICO'!F7:F995"),INDIRECT("'01_SINTETICO'!B7:B995"),$C312)</f>
        <v>4</v>
      </c>
      <c r="H312" s="268" t="n">
        <f aca="false">VLOOKUP($C312,01_SINTETICO!$B:$M,6,0)*$G312*(1+BDI_DIF)</f>
        <v>1526.02516485877</v>
      </c>
      <c r="I312" s="268" t="n">
        <f aca="false">VLOOKUP($C312,01_SINTETICO!$B:$M,7,0)*$G312*(1+BDI_MDO)</f>
        <v>99.5620532806654</v>
      </c>
      <c r="J312" s="269" t="n">
        <f aca="false">SUM(H312:I312)</f>
        <v>1625.58721813943</v>
      </c>
      <c r="K312" s="270" t="n">
        <f aca="false">J312/SUM($J$7:$J$749)</f>
        <v>0.000180072327699132</v>
      </c>
      <c r="L312" s="271" t="n">
        <f aca="false">K312+L311</f>
        <v>0.983427405616216</v>
      </c>
    </row>
    <row r="313" customFormat="false" ht="25.5" hidden="false" customHeight="false" outlineLevel="0" collapsed="false">
      <c r="A313" s="264" t="n">
        <f aca="false">K313</f>
        <v>0.000179131029546267</v>
      </c>
      <c r="B313" s="265" t="str">
        <f aca="false">VLOOKUP($C313,01_SINTETICO!$B:$N,13,0)</f>
        <v>11.6.1.1</v>
      </c>
      <c r="C313" s="272" t="n">
        <v>94499</v>
      </c>
      <c r="D313" s="266" t="str">
        <f aca="false">VLOOKUP($C313,01_SINTETICO!$B:$M,2,0)</f>
        <v>REGISTRO DE GAVETA BRUTO, LATÃO, ROSCÁVEL, 2 1/2" - FORNECIMENTO E INSTALAÇÃO. AF_08/2021</v>
      </c>
      <c r="E313" s="272" t="str">
        <f aca="false">VLOOKUP($B313,01_SINTETICO!$A:$M,4,0)</f>
        <v>SER.CG</v>
      </c>
      <c r="F313" s="273" t="str">
        <f aca="false">VLOOKUP($B313,01_SINTETICO!$A:$M,5,0)</f>
        <v>UN</v>
      </c>
      <c r="G313" s="267" t="n">
        <f aca="true">SUMIFS(INDIRECT("'01_SINTETICO'!F7:F995"),INDIRECT("'01_SINTETICO'!B7:B995"),$C313)</f>
        <v>5</v>
      </c>
      <c r="H313" s="268" t="n">
        <f aca="false">VLOOKUP($C313,01_SINTETICO!$B:$M,6,0)*$G313*(1+BDI_DIF)</f>
        <v>1518.32537170388</v>
      </c>
      <c r="I313" s="268" t="n">
        <f aca="false">VLOOKUP($C313,01_SINTETICO!$B:$M,7,0)*$G313*(1+BDI_MDO)</f>
        <v>98.7643595351081</v>
      </c>
      <c r="J313" s="269" t="n">
        <f aca="false">SUM(H313:I313)</f>
        <v>1617.08973123899</v>
      </c>
      <c r="K313" s="270" t="n">
        <f aca="false">J313/SUM($J$7:$J$749)</f>
        <v>0.000179131029546267</v>
      </c>
      <c r="L313" s="271" t="n">
        <f aca="false">K313+L312</f>
        <v>0.983606536645763</v>
      </c>
    </row>
    <row r="314" customFormat="false" ht="25.5" hidden="false" customHeight="false" outlineLevel="0" collapsed="false">
      <c r="A314" s="264" t="n">
        <f aca="false">K314</f>
        <v>0.000178411685254592</v>
      </c>
      <c r="B314" s="265" t="str">
        <f aca="false">VLOOKUP($C314,01_SINTETICO!$B:$N,13,0)</f>
        <v>15.4.1.2</v>
      </c>
      <c r="C314" s="266" t="s">
        <v>1161</v>
      </c>
      <c r="D314" s="266" t="str">
        <f aca="false">VLOOKUP($C314,01_SINTETICO!$B:$M,2,0)</f>
        <v>HIDRANTE DE PASSEIO 60X90X60.</v>
      </c>
      <c r="E314" s="266" t="str">
        <f aca="false">VLOOKUP($B314,01_SINTETICO!$A:$M,4,0)</f>
        <v>SER.CG</v>
      </c>
      <c r="F314" s="267" t="str">
        <f aca="false">VLOOKUP($B314,01_SINTETICO!$A:$M,5,0)</f>
        <v>UN</v>
      </c>
      <c r="G314" s="267" t="n">
        <f aca="true">SUMIFS(INDIRECT("'01_SINTETICO'!F7:F995"),INDIRECT("'01_SINTETICO'!B7:B995"),$C314)</f>
        <v>1</v>
      </c>
      <c r="H314" s="268" t="n">
        <f aca="false">VLOOKUP($C314,01_SINTETICO!$B:$M,6,0)*$G314*(1+BDI_DIF)</f>
        <v>1308.03512270349</v>
      </c>
      <c r="I314" s="268" t="n">
        <f aca="false">VLOOKUP($C314,01_SINTETICO!$B:$M,7,0)*$G314*(1+BDI_MDO)</f>
        <v>302.56079074056</v>
      </c>
      <c r="J314" s="269" t="n">
        <f aca="false">SUM(H314:I314)</f>
        <v>1610.59591344405</v>
      </c>
      <c r="K314" s="270" t="n">
        <f aca="false">J314/SUM($J$7:$J$749)</f>
        <v>0.000178411685254592</v>
      </c>
      <c r="L314" s="271" t="n">
        <f aca="false">K314+L313</f>
        <v>0.983784948331017</v>
      </c>
    </row>
    <row r="315" customFormat="false" ht="25.5" hidden="false" customHeight="false" outlineLevel="0" collapsed="false">
      <c r="A315" s="264" t="n">
        <f aca="false">K315</f>
        <v>0.000177024281786432</v>
      </c>
      <c r="B315" s="265" t="str">
        <f aca="false">VLOOKUP($C315,01_SINTETICO!$B:$N,13,0)</f>
        <v>15.1.2</v>
      </c>
      <c r="C315" s="266" t="s">
        <v>1127</v>
      </c>
      <c r="D315" s="266" t="str">
        <f aca="false">VLOOKUP($C315,01_SINTETICO!$B:$M,2,0)</f>
        <v>LUMINÁRIA DE EMERGÊNCIA, 300 LUMENS - FORNECIMENTO E INSTALAÇÃO.</v>
      </c>
      <c r="E315" s="266" t="str">
        <f aca="false">VLOOKUP($B315,01_SINTETICO!$A:$M,4,0)</f>
        <v>SER.CG</v>
      </c>
      <c r="F315" s="267" t="str">
        <f aca="false">VLOOKUP($B315,01_SINTETICO!$A:$M,5,0)</f>
        <v>UN</v>
      </c>
      <c r="G315" s="267" t="n">
        <f aca="true">SUMIFS(INDIRECT("'01_SINTETICO'!F7:F995"),INDIRECT("'01_SINTETICO'!B7:B995"),$C315)</f>
        <v>11</v>
      </c>
      <c r="H315" s="268" t="n">
        <f aca="false">VLOOKUP($C315,01_SINTETICO!$B:$M,6,0)*$G315*(1+BDI_DIF)</f>
        <v>1530.84338910478</v>
      </c>
      <c r="I315" s="268" t="n">
        <f aca="false">VLOOKUP($C315,01_SINTETICO!$B:$M,7,0)*$G315*(1+BDI_MDO)</f>
        <v>67.2278606496264</v>
      </c>
      <c r="J315" s="269" t="n">
        <f aca="false">SUM(H315:I315)</f>
        <v>1598.07124975441</v>
      </c>
      <c r="K315" s="270" t="n">
        <f aca="false">J315/SUM($J$7:$J$749)</f>
        <v>0.000177024281786432</v>
      </c>
      <c r="L315" s="271" t="n">
        <f aca="false">K315+L314</f>
        <v>0.983961972612804</v>
      </c>
    </row>
    <row r="316" customFormat="false" ht="25.5" hidden="false" customHeight="false" outlineLevel="0" collapsed="false">
      <c r="A316" s="264" t="n">
        <f aca="false">K316</f>
        <v>0.00017641215250642</v>
      </c>
      <c r="B316" s="265" t="str">
        <f aca="false">VLOOKUP($C316,01_SINTETICO!$B:$N,13,0)</f>
        <v>3.2.3.1.11</v>
      </c>
      <c r="C316" s="266" t="n">
        <v>104738</v>
      </c>
      <c r="D316" s="266" t="str">
        <f aca="false">VLOOKUP($C316,01_SINTETICO!$B:$M,2,0)</f>
        <v>ATERRO MECANIZADO DE VALA COM MINICARREGADEIRA, COM SOLO ARGILO-ARENOSO. AF_08/2023</v>
      </c>
      <c r="E316" s="266" t="str">
        <f aca="false">VLOOKUP($B316,01_SINTETICO!$A:$M,4,0)</f>
        <v>SER.CG</v>
      </c>
      <c r="F316" s="267" t="str">
        <f aca="false">VLOOKUP($B316,01_SINTETICO!$A:$M,5,0)</f>
        <v>M3</v>
      </c>
      <c r="G316" s="267" t="n">
        <f aca="true">SUMIFS(INDIRECT("'01_SINTETICO'!F7:F995"),INDIRECT("'01_SINTETICO'!B7:B995"),$C316)</f>
        <v>18.55</v>
      </c>
      <c r="H316" s="268" t="n">
        <f aca="false">VLOOKUP($C316,01_SINTETICO!$B:$M,6,0)*$G316*(1+BDI_DIF)</f>
        <v>1489.37722108858</v>
      </c>
      <c r="I316" s="268" t="n">
        <f aca="false">VLOOKUP($C316,01_SINTETICO!$B:$M,7,0)*$G316*(1+BDI_MDO)</f>
        <v>103.1680850289</v>
      </c>
      <c r="J316" s="269" t="n">
        <f aca="false">SUM(H316:I316)</f>
        <v>1592.54530611748</v>
      </c>
      <c r="K316" s="270" t="n">
        <f aca="false">J316/SUM($J$7:$J$749)</f>
        <v>0.00017641215250642</v>
      </c>
      <c r="L316" s="271" t="n">
        <f aca="false">K316+L315</f>
        <v>0.98413838476531</v>
      </c>
    </row>
    <row r="317" customFormat="false" ht="25.5" hidden="false" customHeight="false" outlineLevel="0" collapsed="false">
      <c r="A317" s="264" t="n">
        <f aca="false">K317</f>
        <v>0.000173807730316009</v>
      </c>
      <c r="B317" s="265" t="str">
        <f aca="false">VLOOKUP($C317,01_SINTETICO!$B:$N,13,0)</f>
        <v>15.4.2.9</v>
      </c>
      <c r="C317" s="266" t="n">
        <v>94500</v>
      </c>
      <c r="D317" s="266" t="str">
        <f aca="false">VLOOKUP($C317,01_SINTETICO!$B:$M,2,0)</f>
        <v>REGISTRO DE GAVETA BRUTO, LATÃO, ROSCÁVEL, 3" - FORNECIMENTO E INSTALAÇÃO. AF_08/2021</v>
      </c>
      <c r="E317" s="266" t="str">
        <f aca="false">VLOOKUP($B317,01_SINTETICO!$A:$M,4,0)</f>
        <v>SER.CG</v>
      </c>
      <c r="F317" s="267" t="str">
        <f aca="false">VLOOKUP($B317,01_SINTETICO!$A:$M,5,0)</f>
        <v>UN</v>
      </c>
      <c r="G317" s="267" t="n">
        <f aca="true">SUMIFS(INDIRECT("'01_SINTETICO'!F7:F995"),INDIRECT("'01_SINTETICO'!B7:B995"),$C317)</f>
        <v>4</v>
      </c>
      <c r="H317" s="268" t="n">
        <f aca="false">VLOOKUP($C317,01_SINTETICO!$B:$M,6,0)*$G317*(1+BDI_DIF)</f>
        <v>1470.05249710201</v>
      </c>
      <c r="I317" s="268" t="n">
        <f aca="false">VLOOKUP($C317,01_SINTETICO!$B:$M,7,0)*$G317*(1+BDI_MDO)</f>
        <v>98.9816150554229</v>
      </c>
      <c r="J317" s="269" t="n">
        <f aca="false">SUM(H317:I317)</f>
        <v>1569.03411215743</v>
      </c>
      <c r="K317" s="270" t="n">
        <f aca="false">J317/SUM($J$7:$J$749)</f>
        <v>0.000173807730316009</v>
      </c>
      <c r="L317" s="271" t="n">
        <f aca="false">K317+L316</f>
        <v>0.984312192495626</v>
      </c>
    </row>
    <row r="318" customFormat="false" ht="25.5" hidden="false" customHeight="false" outlineLevel="0" collapsed="false">
      <c r="A318" s="264" t="n">
        <f aca="false">K318</f>
        <v>0.000173749110219211</v>
      </c>
      <c r="B318" s="265" t="str">
        <f aca="false">VLOOKUP($C318,01_SINTETICO!$B:$N,13,0)</f>
        <v>10.3.1</v>
      </c>
      <c r="C318" s="266" t="s">
        <v>654</v>
      </c>
      <c r="D318" s="266" t="str">
        <f aca="false">VLOOKUP($C318,01_SINTETICO!$B:$M,2,0)</f>
        <v>BANCADA DE GRANITO CINZA POLIDO, DE 2,25 X 0,55 M, PARA PIA DE COZINHA - FORNECIMENTO E INSTALAÇÃO.</v>
      </c>
      <c r="E318" s="266" t="str">
        <f aca="false">VLOOKUP($B318,01_SINTETICO!$A:$M,4,0)</f>
        <v>SER.CG</v>
      </c>
      <c r="F318" s="267" t="str">
        <f aca="false">VLOOKUP($B318,01_SINTETICO!$A:$M,5,0)</f>
        <v>UN</v>
      </c>
      <c r="G318" s="267" t="n">
        <f aca="true">SUMIFS(INDIRECT("'01_SINTETICO'!F7:F995"),INDIRECT("'01_SINTETICO'!B7:B995"),$C318)</f>
        <v>1</v>
      </c>
      <c r="H318" s="268" t="n">
        <f aca="false">VLOOKUP($C318,01_SINTETICO!$B:$M,6,0)*$G318*(1+BDI_DIF)</f>
        <v>1446.99280265383</v>
      </c>
      <c r="I318" s="268" t="n">
        <f aca="false">VLOOKUP($C318,01_SINTETICO!$B:$M,7,0)*$G318*(1+BDI_MDO)</f>
        <v>121.512121697251</v>
      </c>
      <c r="J318" s="269" t="n">
        <f aca="false">SUM(H318:I318)</f>
        <v>1568.50492435108</v>
      </c>
      <c r="K318" s="270" t="n">
        <f aca="false">J318/SUM($J$7:$J$749)</f>
        <v>0.000173749110219211</v>
      </c>
      <c r="L318" s="271" t="n">
        <f aca="false">K318+L317</f>
        <v>0.984485941605845</v>
      </c>
    </row>
    <row r="319" customFormat="false" ht="38.25" hidden="false" customHeight="false" outlineLevel="0" collapsed="false">
      <c r="A319" s="264" t="n">
        <f aca="false">K319</f>
        <v>0.000171847425880696</v>
      </c>
      <c r="B319" s="265" t="str">
        <f aca="false">VLOOKUP($C319,01_SINTETICO!$B:$N,13,0)</f>
        <v>11.4.4.8</v>
      </c>
      <c r="C319" s="274" t="n">
        <v>104174</v>
      </c>
      <c r="D319" s="266" t="str">
        <f aca="false">VLOOKUP($C319,01_SINTETICO!$B:$M,2,0)</f>
        <v>JUNÇÃO SIMPLES, PVC, SERIE R, ÁGUA PLUVIAL, DN 150 X 100 MM, JUNTA ELÁSTICA, FORNECIDO E INSTALADO EM RAMAL DE ENCAMINHAMENTO. AF_06/2022</v>
      </c>
      <c r="E319" s="266" t="str">
        <f aca="false">VLOOKUP($B319,01_SINTETICO!$A:$M,4,0)</f>
        <v>SER.CG</v>
      </c>
      <c r="F319" s="267" t="str">
        <f aca="false">VLOOKUP($B319,01_SINTETICO!$A:$M,5,0)</f>
        <v>UN</v>
      </c>
      <c r="G319" s="267" t="n">
        <f aca="true">SUMIFS(INDIRECT("'01_SINTETICO'!F7:F995"),INDIRECT("'01_SINTETICO'!B7:B995"),$C319)</f>
        <v>7</v>
      </c>
      <c r="H319" s="268" t="n">
        <f aca="false">VLOOKUP($C319,01_SINTETICO!$B:$M,6,0)*$G319*(1+BDI_DIF)</f>
        <v>1454.64589312929</v>
      </c>
      <c r="I319" s="268" t="n">
        <f aca="false">VLOOKUP($C319,01_SINTETICO!$B:$M,7,0)*$G319*(1+BDI_MDO)</f>
        <v>96.6917418713049</v>
      </c>
      <c r="J319" s="269" t="n">
        <f aca="false">SUM(H319:I319)</f>
        <v>1551.33763500059</v>
      </c>
      <c r="K319" s="270" t="n">
        <f aca="false">J319/SUM($J$7:$J$749)</f>
        <v>0.000171847425880696</v>
      </c>
      <c r="L319" s="271" t="n">
        <f aca="false">K319+L318</f>
        <v>0.984657789031726</v>
      </c>
    </row>
    <row r="320" customFormat="false" ht="25.5" hidden="false" customHeight="false" outlineLevel="0" collapsed="false">
      <c r="A320" s="264" t="n">
        <f aca="false">K320</f>
        <v>0.000170381597333793</v>
      </c>
      <c r="B320" s="265" t="str">
        <f aca="false">VLOOKUP($C320,01_SINTETICO!$B:$N,13,0)</f>
        <v>12.3.2.1</v>
      </c>
      <c r="C320" s="266" t="s">
        <v>962</v>
      </c>
      <c r="D320" s="266" t="str">
        <f aca="false">VLOOKUP($C320,01_SINTETICO!$B:$M,2,0)</f>
        <v>INTERRUPTOR AUTOMÁTICO POR PRESENÇA 1200W RESISTIVO - FORNECIMENTO E INSTALAÇÃO.</v>
      </c>
      <c r="E320" s="266" t="str">
        <f aca="false">VLOOKUP($B320,01_SINTETICO!$A:$M,4,0)</f>
        <v>SER.CG</v>
      </c>
      <c r="F320" s="267" t="str">
        <f aca="false">VLOOKUP($B320,01_SINTETICO!$A:$M,5,0)</f>
        <v>UN</v>
      </c>
      <c r="G320" s="267" t="n">
        <f aca="true">SUMIFS(INDIRECT("'01_SINTETICO'!F7:F995"),INDIRECT("'01_SINTETICO'!B7:B995"),$C320)</f>
        <v>17</v>
      </c>
      <c r="H320" s="268" t="n">
        <f aca="false">VLOOKUP($C320,01_SINTETICO!$B:$M,6,0)*$G320*(1+BDI_DIF)</f>
        <v>1363.47806211847</v>
      </c>
      <c r="I320" s="268" t="n">
        <f aca="false">VLOOKUP($C320,01_SINTETICO!$B:$M,7,0)*$G320*(1+BDI_MDO)</f>
        <v>174.626933640572</v>
      </c>
      <c r="J320" s="269" t="n">
        <f aca="false">SUM(H320:I320)</f>
        <v>1538.10499575904</v>
      </c>
      <c r="K320" s="270" t="n">
        <f aca="false">J320/SUM($J$7:$J$749)</f>
        <v>0.000170381597333793</v>
      </c>
      <c r="L320" s="271" t="n">
        <f aca="false">K320+L319</f>
        <v>0.98482817062906</v>
      </c>
    </row>
    <row r="321" customFormat="false" ht="38.25" hidden="false" customHeight="false" outlineLevel="0" collapsed="false">
      <c r="A321" s="264" t="n">
        <f aca="false">K321</f>
        <v>0.000169227864680849</v>
      </c>
      <c r="B321" s="265" t="str">
        <f aca="false">VLOOKUP($C321,01_SINTETICO!$B:$N,13,0)</f>
        <v>12.2.3.10</v>
      </c>
      <c r="C321" s="272" t="s">
        <v>936</v>
      </c>
      <c r="D321" s="266" t="str">
        <f aca="false">VLOOKUP($C321,01_SINTETICO!$B:$M,2,0)</f>
        <v>ELETROCALHA LISA OU PERFURADA EM AÇO GALVANIZADO, LARGURA 100MM E ALTURA 50MM, INCLUSIVE EMENDA, TAMPA E FIXAÇÃO - FORNECIMENTO E INSTALAÇÃO.</v>
      </c>
      <c r="E321" s="272" t="str">
        <f aca="false">VLOOKUP($B321,01_SINTETICO!$A:$M,4,0)</f>
        <v>SER.CG</v>
      </c>
      <c r="F321" s="273" t="str">
        <f aca="false">VLOOKUP($B321,01_SINTETICO!$A:$M,5,0)</f>
        <v>M</v>
      </c>
      <c r="G321" s="267" t="n">
        <f aca="true">SUMIFS(INDIRECT("'01_SINTETICO'!F7:F995"),INDIRECT("'01_SINTETICO'!B7:B995"),$C321)</f>
        <v>19.03</v>
      </c>
      <c r="H321" s="268" t="n">
        <f aca="false">VLOOKUP($C321,01_SINTETICO!$B:$M,6,0)*$G321*(1+BDI_MAT)</f>
        <v>1015.72453369995</v>
      </c>
      <c r="I321" s="268" t="n">
        <f aca="false">VLOOKUP($C321,01_SINTETICO!$B:$M,7,0)*$G321*(1+BDI_MDO)</f>
        <v>511.965241254539</v>
      </c>
      <c r="J321" s="269" t="n">
        <f aca="false">SUM(H321:I321)</f>
        <v>1527.68977495449</v>
      </c>
      <c r="K321" s="270" t="n">
        <f aca="false">J321/SUM($J$7:$J$749)</f>
        <v>0.000169227864680849</v>
      </c>
      <c r="L321" s="271" t="n">
        <f aca="false">K321+L320</f>
        <v>0.984997398493741</v>
      </c>
    </row>
    <row r="322" customFormat="false" ht="15" hidden="false" customHeight="false" outlineLevel="0" collapsed="false">
      <c r="A322" s="264" t="n">
        <f aca="false">K322</f>
        <v>0.000166376876686731</v>
      </c>
      <c r="B322" s="265" t="str">
        <f aca="false">VLOOKUP($C322,01_SINTETICO!$B:$N,13,0)</f>
        <v>14.1.1</v>
      </c>
      <c r="C322" s="266" t="n">
        <v>93358</v>
      </c>
      <c r="D322" s="266" t="str">
        <f aca="false">VLOOKUP($C322,01_SINTETICO!$B:$M,2,0)</f>
        <v>ESCAVAÇÃO MANUAL DE VALA. AF_09/2024</v>
      </c>
      <c r="E322" s="266" t="str">
        <f aca="false">VLOOKUP($B322,01_SINTETICO!$A:$M,4,0)</f>
        <v>SER.CG</v>
      </c>
      <c r="F322" s="267" t="str">
        <f aca="false">VLOOKUP($B322,01_SINTETICO!$A:$M,5,0)</f>
        <v>M3</v>
      </c>
      <c r="G322" s="267" t="n">
        <f aca="true">SUMIFS(INDIRECT("'01_SINTETICO'!F7:F995"),INDIRECT("'01_SINTETICO'!B7:B995"),$C322)</f>
        <v>15.98</v>
      </c>
      <c r="H322" s="268" t="n">
        <f aca="false">VLOOKUP($C322,01_SINTETICO!$B:$M,6,0)*$G322*(1+BDI_DIF)</f>
        <v>436.181135605068</v>
      </c>
      <c r="I322" s="268" t="n">
        <f aca="false">VLOOKUP($C322,01_SINTETICO!$B:$M,7,0)*$G322*(1+BDI_MDO)</f>
        <v>1065.7715941214</v>
      </c>
      <c r="J322" s="269" t="n">
        <f aca="false">SUM(H322:I322)</f>
        <v>1501.95272972647</v>
      </c>
      <c r="K322" s="270" t="n">
        <f aca="false">J322/SUM($J$7:$J$749)</f>
        <v>0.000166376876686731</v>
      </c>
      <c r="L322" s="271" t="n">
        <f aca="false">K322+L321</f>
        <v>0.985163775370427</v>
      </c>
    </row>
    <row r="323" customFormat="false" ht="25.5" hidden="false" customHeight="false" outlineLevel="0" collapsed="false">
      <c r="A323" s="264" t="n">
        <f aca="false">K323</f>
        <v>0.000166116278498185</v>
      </c>
      <c r="B323" s="265" t="str">
        <f aca="false">VLOOKUP($C323,01_SINTETICO!$B:$N,13,0)</f>
        <v>3.2.2.4.4</v>
      </c>
      <c r="C323" s="266" t="n">
        <v>95945</v>
      </c>
      <c r="D323" s="266" t="str">
        <f aca="false">VLOOKUP($C323,01_SINTETICO!$B:$M,2,0)</f>
        <v>ARMAÇÃO DE ESCADA, DE UMA ESTRUTURA CONVENCIONAL DE CONCRETO ARMADO UTILIZANDO AÇO CA-50 DE 8,0 MM - MONTAGEM. AF_11/2020</v>
      </c>
      <c r="E323" s="266" t="str">
        <f aca="false">VLOOKUP($B323,01_SINTETICO!$A:$M,4,0)</f>
        <v>SER.CG</v>
      </c>
      <c r="F323" s="267" t="str">
        <f aca="false">VLOOKUP($B323,01_SINTETICO!$A:$M,5,0)</f>
        <v>KG</v>
      </c>
      <c r="G323" s="267" t="n">
        <f aca="true">SUMIFS(INDIRECT("'01_SINTETICO'!F7:F995"),INDIRECT("'01_SINTETICO'!B7:B995"),$C323)</f>
        <v>80.63</v>
      </c>
      <c r="H323" s="268" t="n">
        <f aca="false">VLOOKUP($C323,01_SINTETICO!$B:$M,6,0)*$G323*(1+BDI_DIF)</f>
        <v>1055.41019253671</v>
      </c>
      <c r="I323" s="268" t="n">
        <f aca="false">VLOOKUP($C323,01_SINTETICO!$B:$M,7,0)*$G323*(1+BDI_MDO)</f>
        <v>444.190009792668</v>
      </c>
      <c r="J323" s="269" t="n">
        <f aca="false">SUM(H323:I323)</f>
        <v>1499.60020232938</v>
      </c>
      <c r="K323" s="270" t="n">
        <f aca="false">J323/SUM($J$7:$J$749)</f>
        <v>0.000166116278498185</v>
      </c>
      <c r="L323" s="271" t="n">
        <f aca="false">K323+L322</f>
        <v>0.985329891648926</v>
      </c>
    </row>
    <row r="324" customFormat="false" ht="38.25" hidden="false" customHeight="false" outlineLevel="0" collapsed="false">
      <c r="A324" s="264" t="n">
        <f aca="false">K324</f>
        <v>0.000162274503188075</v>
      </c>
      <c r="B324" s="265" t="str">
        <f aca="false">VLOOKUP($C324,01_SINTETICO!$B:$N,13,0)</f>
        <v>3.2.3.4.2.1</v>
      </c>
      <c r="C324" s="266" t="n">
        <v>89470</v>
      </c>
      <c r="D324" s="266" t="str">
        <f aca="false">VLOOKUP($C324,01_SINTETICO!$B:$M,2,0)</f>
        <v>ALVENARIA DE BLOCOS DE CONCRETO ESTRUTURAL 14X19X39 CM (ESPESSURA 14 CM), FBK = 4,5 MPA, UTILIZANDO COLHER DE PEDREIRO. AF_10/2022</v>
      </c>
      <c r="E324" s="266" t="str">
        <f aca="false">VLOOKUP($B324,01_SINTETICO!$A:$M,4,0)</f>
        <v>SER.CG</v>
      </c>
      <c r="F324" s="267" t="str">
        <f aca="false">VLOOKUP($B324,01_SINTETICO!$A:$M,5,0)</f>
        <v>M2</v>
      </c>
      <c r="G324" s="267" t="n">
        <f aca="true">SUMIFS(INDIRECT("'01_SINTETICO'!F7:F995"),INDIRECT("'01_SINTETICO'!B7:B995"),$C324)</f>
        <v>12.19</v>
      </c>
      <c r="H324" s="268" t="n">
        <f aca="false">VLOOKUP($C324,01_SINTETICO!$B:$M,6,0)*$G324*(1+BDI_DIF)</f>
        <v>1125.22370688915</v>
      </c>
      <c r="I324" s="268" t="n">
        <f aca="false">VLOOKUP($C324,01_SINTETICO!$B:$M,7,0)*$G324*(1+BDI_MDO)</f>
        <v>339.695204211998</v>
      </c>
      <c r="J324" s="269" t="n">
        <f aca="false">SUM(H324:I324)</f>
        <v>1464.91891110115</v>
      </c>
      <c r="K324" s="270" t="n">
        <f aca="false">J324/SUM($J$7:$J$749)</f>
        <v>0.000162274503188075</v>
      </c>
      <c r="L324" s="271" t="n">
        <f aca="false">K324+L323</f>
        <v>0.985492166152114</v>
      </c>
    </row>
    <row r="325" customFormat="false" ht="25.5" hidden="false" customHeight="false" outlineLevel="0" collapsed="false">
      <c r="A325" s="264" t="n">
        <f aca="false">K325</f>
        <v>0.000160281326594011</v>
      </c>
      <c r="B325" s="265" t="str">
        <f aca="false">VLOOKUP($C325,01_SINTETICO!$B:$N,13,0)</f>
        <v>3.2.1.4.9</v>
      </c>
      <c r="C325" s="266" t="n">
        <v>104920</v>
      </c>
      <c r="D325" s="266" t="str">
        <f aca="false">VLOOKUP($C325,01_SINTETICO!$B:$M,2,0)</f>
        <v>ARMAÇÃO DE BLOCO, SAPATA ISOLADA, VIGA BALDRAME E SAPATA CORRIDA UTILIZANDO AÇO CA-50 DE 12,5 MM - MONTAGEM. AF_01/2024</v>
      </c>
      <c r="E325" s="266" t="str">
        <f aca="false">VLOOKUP($B325,01_SINTETICO!$A:$M,4,0)</f>
        <v>SER.CG</v>
      </c>
      <c r="F325" s="267" t="str">
        <f aca="false">VLOOKUP($B325,01_SINTETICO!$A:$M,5,0)</f>
        <v>KG</v>
      </c>
      <c r="G325" s="267" t="n">
        <f aca="true">SUMIFS(INDIRECT("'01_SINTETICO'!F7:F995"),INDIRECT("'01_SINTETICO'!B7:B995"),$C325)</f>
        <v>117.63</v>
      </c>
      <c r="H325" s="268" t="n">
        <f aca="false">VLOOKUP($C325,01_SINTETICO!$B:$M,6,0)*$G325*(1+BDI_DIF)</f>
        <v>1183.99759455789</v>
      </c>
      <c r="I325" s="268" t="n">
        <f aca="false">VLOOKUP($C325,01_SINTETICO!$B:$M,7,0)*$G325*(1+BDI_MDO)</f>
        <v>262.928088843009</v>
      </c>
      <c r="J325" s="269" t="n">
        <f aca="false">SUM(H325:I325)</f>
        <v>1446.9256834009</v>
      </c>
      <c r="K325" s="270" t="n">
        <f aca="false">J325/SUM($J$7:$J$749)</f>
        <v>0.000160281326594011</v>
      </c>
      <c r="L325" s="271" t="n">
        <f aca="false">K325+L324</f>
        <v>0.985652447478708</v>
      </c>
    </row>
    <row r="326" customFormat="false" ht="25.5" hidden="false" customHeight="false" outlineLevel="0" collapsed="false">
      <c r="A326" s="264" t="n">
        <f aca="false">K326</f>
        <v>0.000160217824893527</v>
      </c>
      <c r="B326" s="265" t="str">
        <f aca="false">VLOOKUP($C326,01_SINTETICO!$B:$N,13,0)</f>
        <v>12.3.3.1</v>
      </c>
      <c r="C326" s="272" t="n">
        <v>93653</v>
      </c>
      <c r="D326" s="266" t="str">
        <f aca="false">VLOOKUP($C326,01_SINTETICO!$B:$M,2,0)</f>
        <v>DISJUNTOR MONOPOLAR TIPO DIN, CORRENTE NOMINAL DE 10A - FORNECIMENTO E INSTALAÇÃO. AF_10/2020</v>
      </c>
      <c r="E326" s="272" t="str">
        <f aca="false">VLOOKUP($B326,01_SINTETICO!$A:$M,4,0)</f>
        <v>SER.CG</v>
      </c>
      <c r="F326" s="273" t="str">
        <f aca="false">VLOOKUP($B326,01_SINTETICO!$A:$M,5,0)</f>
        <v>UN</v>
      </c>
      <c r="G326" s="267" t="n">
        <f aca="true">SUMIFS(INDIRECT("'01_SINTETICO'!F7:F995"),INDIRECT("'01_SINTETICO'!B7:B995"),$C326)</f>
        <v>106</v>
      </c>
      <c r="H326" s="268" t="n">
        <f aca="false">VLOOKUP($C326,01_SINTETICO!$B:$M,6,0)*$G326*(1+BDI_MAT)</f>
        <v>1281.1475554368</v>
      </c>
      <c r="I326" s="268" t="n">
        <f aca="false">VLOOKUP($C326,01_SINTETICO!$B:$M,7,0)*$G326*(1+BDI_MDO)</f>
        <v>165.204871906618</v>
      </c>
      <c r="J326" s="269" t="n">
        <f aca="false">SUM(H326:I326)</f>
        <v>1446.35242734342</v>
      </c>
      <c r="K326" s="270" t="n">
        <f aca="false">J326/SUM($J$7:$J$749)</f>
        <v>0.000160217824893527</v>
      </c>
      <c r="L326" s="271" t="n">
        <f aca="false">K326+L325</f>
        <v>0.985812665303601</v>
      </c>
    </row>
    <row r="327" customFormat="false" ht="38.25" hidden="false" customHeight="false" outlineLevel="0" collapsed="false">
      <c r="A327" s="264" t="n">
        <f aca="false">K327</f>
        <v>0.000158358522449712</v>
      </c>
      <c r="B327" s="265" t="str">
        <f aca="false">VLOOKUP($C327,01_SINTETICO!$B:$N,13,0)</f>
        <v>11.2.3.29</v>
      </c>
      <c r="C327" s="266" t="n">
        <v>89799</v>
      </c>
      <c r="D327" s="266" t="str">
        <f aca="false">VLOOKUP($C327,01_SINTETICO!$B:$M,2,0)</f>
        <v>TUBO PVC, SERIE NORMAL, ESGOTO PREDIAL, DN 75 MM, FORNECIDO E INSTALADO EM PRUMADA DE ESGOTO SANITÁRIO OU VENTILAÇÃO. AF_08/2022</v>
      </c>
      <c r="E327" s="266" t="str">
        <f aca="false">VLOOKUP($B327,01_SINTETICO!$A:$M,4,0)</f>
        <v>SER.CG</v>
      </c>
      <c r="F327" s="267" t="str">
        <f aca="false">VLOOKUP($B327,01_SINTETICO!$A:$M,5,0)</f>
        <v>M</v>
      </c>
      <c r="G327" s="267" t="n">
        <f aca="true">SUMIFS(INDIRECT("'01_SINTETICO'!F7:F995"),INDIRECT("'01_SINTETICO'!B7:B995"),$C327)</f>
        <v>52.4</v>
      </c>
      <c r="H327" s="268" t="n">
        <f aca="false">VLOOKUP($C327,01_SINTETICO!$B:$M,6,0)*$G327*(1+BDI_DIF)</f>
        <v>1082.57764806561</v>
      </c>
      <c r="I327" s="268" t="n">
        <f aca="false">VLOOKUP($C327,01_SINTETICO!$B:$M,7,0)*$G327*(1+BDI_MDO)</f>
        <v>346.990088781824</v>
      </c>
      <c r="J327" s="269" t="n">
        <f aca="false">SUM(H327:I327)</f>
        <v>1429.56773684743</v>
      </c>
      <c r="K327" s="270" t="n">
        <f aca="false">J327/SUM($J$7:$J$749)</f>
        <v>0.000158358522449712</v>
      </c>
      <c r="L327" s="271" t="n">
        <f aca="false">K327+L326</f>
        <v>0.985971023826051</v>
      </c>
    </row>
    <row r="328" customFormat="false" ht="38.25" hidden="false" customHeight="false" outlineLevel="0" collapsed="false">
      <c r="A328" s="264" t="n">
        <f aca="false">K328</f>
        <v>0.000156450731586134</v>
      </c>
      <c r="B328" s="265" t="str">
        <f aca="false">VLOOKUP($C328,01_SINTETICO!$B:$N,13,0)</f>
        <v>16.1.3.2.8</v>
      </c>
      <c r="C328" s="266" t="n">
        <v>89518</v>
      </c>
      <c r="D328" s="266" t="str">
        <f aca="false">VLOOKUP($C328,01_SINTETICO!$B:$M,2,0)</f>
        <v>JOELHO 90 GRAUS, PVC, SERIE R, ÁGUA PLUVIAL, DN 50 MM, JUNTA ELÁSTICA, FORNECIDO E INSTALADO EM RAMAL DE ENCAMINHAMENTO. AF_06/2022</v>
      </c>
      <c r="E328" s="266" t="str">
        <f aca="false">VLOOKUP($B328,01_SINTETICO!$A:$M,4,0)</f>
        <v>SER.CG</v>
      </c>
      <c r="F328" s="267" t="str">
        <f aca="false">VLOOKUP($B328,01_SINTETICO!$A:$M,5,0)</f>
        <v>UN</v>
      </c>
      <c r="G328" s="267" t="n">
        <f aca="true">SUMIFS(INDIRECT("'01_SINTETICO'!F7:F995"),INDIRECT("'01_SINTETICO'!B7:B995"),$C328)</f>
        <v>88</v>
      </c>
      <c r="H328" s="268" t="n">
        <f aca="false">VLOOKUP($C328,01_SINTETICO!$B:$M,6,0)*$G328*(1+BDI_DIF)</f>
        <v>1180.24690391233</v>
      </c>
      <c r="I328" s="268" t="n">
        <f aca="false">VLOOKUP($C328,01_SINTETICO!$B:$M,7,0)*$G328*(1+BDI_MDO)</f>
        <v>232.098417462707</v>
      </c>
      <c r="J328" s="269" t="n">
        <f aca="false">SUM(H328:I328)</f>
        <v>1412.34532137504</v>
      </c>
      <c r="K328" s="270" t="n">
        <f aca="false">J328/SUM($J$7:$J$749)</f>
        <v>0.000156450731586134</v>
      </c>
      <c r="L328" s="271" t="n">
        <f aca="false">K328+L327</f>
        <v>0.986127474557637</v>
      </c>
    </row>
    <row r="329" customFormat="false" ht="15" hidden="false" customHeight="false" outlineLevel="0" collapsed="false">
      <c r="A329" s="264" t="n">
        <f aca="false">K329</f>
        <v>0.000155961262268866</v>
      </c>
      <c r="B329" s="265" t="str">
        <f aca="false">VLOOKUP($C329,01_SINTETICO!$B:$N,13,0)</f>
        <v>18.1.5</v>
      </c>
      <c r="C329" s="266" t="n">
        <v>99819</v>
      </c>
      <c r="D329" s="266" t="str">
        <f aca="false">VLOOKUP($C329,01_SINTETICO!$B:$M,2,0)</f>
        <v>LIMPEZA DE BANCADA DE PEDRA (MÁRMORE OU GRANITO). AF_04/2019</v>
      </c>
      <c r="E329" s="266" t="str">
        <f aca="false">VLOOKUP($B329,01_SINTETICO!$A:$M,4,0)</f>
        <v>SER.CG</v>
      </c>
      <c r="F329" s="267" t="str">
        <f aca="false">VLOOKUP($B329,01_SINTETICO!$A:$M,5,0)</f>
        <v>M2</v>
      </c>
      <c r="G329" s="267" t="n">
        <f aca="true">SUMIFS(INDIRECT("'01_SINTETICO'!F7:F995"),INDIRECT("'01_SINTETICO'!B7:B995"),$C329)</f>
        <v>70.7975</v>
      </c>
      <c r="H329" s="268" t="n">
        <f aca="false">VLOOKUP($C329,01_SINTETICO!$B:$M,6,0)*$G329*(1+BDI_DIF)</f>
        <v>480.465722191584</v>
      </c>
      <c r="I329" s="268" t="n">
        <f aca="false">VLOOKUP($C329,01_SINTETICO!$B:$M,7,0)*$G329*(1+BDI_MDO)</f>
        <v>927.460957652089</v>
      </c>
      <c r="J329" s="269" t="n">
        <f aca="false">SUM(H329:I329)</f>
        <v>1407.92667984367</v>
      </c>
      <c r="K329" s="270" t="n">
        <f aca="false">J329/SUM($J$7:$J$749)</f>
        <v>0.000155961262268866</v>
      </c>
      <c r="L329" s="271" t="n">
        <f aca="false">K329+L328</f>
        <v>0.986283435819906</v>
      </c>
    </row>
    <row r="330" customFormat="false" ht="38.25" hidden="false" customHeight="false" outlineLevel="0" collapsed="false">
      <c r="A330" s="264" t="n">
        <f aca="false">K330</f>
        <v>0.000154118546808663</v>
      </c>
      <c r="B330" s="265" t="str">
        <f aca="false">VLOOKUP($C330,01_SINTETICO!$B:$N,13,0)</f>
        <v>15.4.2.1</v>
      </c>
      <c r="C330" s="272" t="n">
        <v>92390</v>
      </c>
      <c r="D330" s="266" t="str">
        <f aca="false">VLOOKUP($C330,01_SINTETICO!$B:$M,2,0)</f>
        <v>JOELHO 90 GRAUS, EM FERRO GALVANIZADO, DN 65 (2 1/2"), CONEXÃO ROSQUEADA, INSTALADO EM REDE DE ALIMENTAÇÃO PARA HIDRANTE - FORNECIMENTO E INSTALAÇÃO. AF_10/2020</v>
      </c>
      <c r="E330" s="272" t="str">
        <f aca="false">VLOOKUP($B330,01_SINTETICO!$A:$M,4,0)</f>
        <v>SER.CG</v>
      </c>
      <c r="F330" s="273" t="str">
        <f aca="false">VLOOKUP($B330,01_SINTETICO!$A:$M,5,0)</f>
        <v>UN</v>
      </c>
      <c r="G330" s="267" t="n">
        <f aca="true">SUMIFS(INDIRECT("'01_SINTETICO'!F7:F995"),INDIRECT("'01_SINTETICO'!B7:B995"),$C330)</f>
        <v>21</v>
      </c>
      <c r="H330" s="268" t="n">
        <f aca="false">VLOOKUP($C330,01_SINTETICO!$B:$M,6,0)*$G330*(1+BDI_DIF)</f>
        <v>383.92133029855</v>
      </c>
      <c r="I330" s="268" t="n">
        <f aca="false">VLOOKUP($C330,01_SINTETICO!$B:$M,7,0)*$G330*(1+BDI_MDO)</f>
        <v>1007.37039659566</v>
      </c>
      <c r="J330" s="269" t="n">
        <f aca="false">SUM(H330:I330)</f>
        <v>1391.29172689421</v>
      </c>
      <c r="K330" s="270" t="n">
        <f aca="false">J330/SUM($J$7:$J$749)</f>
        <v>0.000154118546808663</v>
      </c>
      <c r="L330" s="271" t="n">
        <f aca="false">K330+L329</f>
        <v>0.986437554366714</v>
      </c>
    </row>
    <row r="331" customFormat="false" ht="25.5" hidden="false" customHeight="false" outlineLevel="0" collapsed="false">
      <c r="A331" s="264" t="n">
        <f aca="false">K331</f>
        <v>0.00015315178611252</v>
      </c>
      <c r="B331" s="265" t="str">
        <f aca="false">VLOOKUP($C331,01_SINTETICO!$B:$N,13,0)</f>
        <v>3.2.2.2.3</v>
      </c>
      <c r="C331" s="266" t="n">
        <v>92761</v>
      </c>
      <c r="D331" s="266" t="str">
        <f aca="false">VLOOKUP($C331,01_SINTETICO!$B:$M,2,0)</f>
        <v>ARMAÇÃO DE PILAR OU VIGA DE ESTRUTURA CONVENCIONAL DE CONCRETO ARMADO UTILIZANDO AÇO CA-50 DE 8,0 MM - MONTAGEM. AF_06/2022</v>
      </c>
      <c r="E331" s="266" t="str">
        <f aca="false">VLOOKUP($B331,01_SINTETICO!$A:$M,4,0)</f>
        <v>SER.CG</v>
      </c>
      <c r="F331" s="267" t="str">
        <f aca="false">VLOOKUP($B331,01_SINTETICO!$A:$M,5,0)</f>
        <v>KG</v>
      </c>
      <c r="G331" s="267" t="n">
        <f aca="true">SUMIFS(INDIRECT("'01_SINTETICO'!F7:F995"),INDIRECT("'01_SINTETICO'!B7:B995"),$C331)</f>
        <v>103.09</v>
      </c>
      <c r="H331" s="268" t="n">
        <f aca="false">VLOOKUP($C331,01_SINTETICO!$B:$M,6,0)*$G331*(1+BDI_DIF)</f>
        <v>1167.40780799194</v>
      </c>
      <c r="I331" s="268" t="n">
        <f aca="false">VLOOKUP($C331,01_SINTETICO!$B:$M,7,0)*$G331*(1+BDI_MDO)</f>
        <v>215.156571115253</v>
      </c>
      <c r="J331" s="269" t="n">
        <f aca="false">SUM(H331:I331)</f>
        <v>1382.56437910719</v>
      </c>
      <c r="K331" s="270" t="n">
        <f aca="false">J331/SUM($J$7:$J$749)</f>
        <v>0.00015315178611252</v>
      </c>
      <c r="L331" s="271" t="n">
        <f aca="false">K331+L330</f>
        <v>0.986590706152827</v>
      </c>
    </row>
    <row r="332" customFormat="false" ht="38.25" hidden="false" customHeight="false" outlineLevel="0" collapsed="false">
      <c r="A332" s="264" t="n">
        <f aca="false">K332</f>
        <v>0.000151893126481532</v>
      </c>
      <c r="B332" s="265" t="str">
        <f aca="false">VLOOKUP($C332,01_SINTETICO!$B:$N,13,0)</f>
        <v>15.4.2.13</v>
      </c>
      <c r="C332" s="266" t="s">
        <v>1177</v>
      </c>
      <c r="D332" s="266" t="str">
        <f aca="false">VLOOKUP($C332,01_SINTETICO!$B:$M,2,0)</f>
        <v>JUNTA DE EXPANSÃO FLANGEADA, 2.1/2" + 2 FLANGES 2.1/2" COM CONEXÃO ROSQUEADA, INSTALADO EM REDE DE ALIMENTAÇÃO PARA HIDRANTE - FORNECIMENTO E INSTALAÇÃO.</v>
      </c>
      <c r="E332" s="266" t="str">
        <f aca="false">VLOOKUP($B332,01_SINTETICO!$A:$M,4,0)</f>
        <v>SER.CG</v>
      </c>
      <c r="F332" s="267" t="str">
        <f aca="false">VLOOKUP($B332,01_SINTETICO!$A:$M,5,0)</f>
        <v>UN</v>
      </c>
      <c r="G332" s="267" t="n">
        <f aca="true">SUMIFS(INDIRECT("'01_SINTETICO'!F7:F995"),INDIRECT("'01_SINTETICO'!B7:B995"),$C332)</f>
        <v>2</v>
      </c>
      <c r="H332" s="268" t="n">
        <f aca="false">VLOOKUP($C332,01_SINTETICO!$B:$M,6,0)*$G332*(1+BDI_DIF)</f>
        <v>1350.33614276407</v>
      </c>
      <c r="I332" s="268" t="n">
        <f aca="false">VLOOKUP($C332,01_SINTETICO!$B:$M,7,0)*$G332*(1+BDI_MDO)</f>
        <v>20.8657964043131</v>
      </c>
      <c r="J332" s="269" t="n">
        <f aca="false">SUM(H332:I332)</f>
        <v>1371.20193916839</v>
      </c>
      <c r="K332" s="270" t="n">
        <f aca="false">J332/SUM($J$7:$J$749)</f>
        <v>0.000151893126481532</v>
      </c>
      <c r="L332" s="271" t="n">
        <f aca="false">K332+L331</f>
        <v>0.986742599279309</v>
      </c>
    </row>
    <row r="333" customFormat="false" ht="51" hidden="false" customHeight="false" outlineLevel="0" collapsed="false">
      <c r="A333" s="264" t="n">
        <f aca="false">K333</f>
        <v>0.000150381231963875</v>
      </c>
      <c r="B333" s="265" t="str">
        <f aca="false">VLOOKUP($C333,01_SINTETICO!$B:$N,13,0)</f>
        <v>11.2.1.3</v>
      </c>
      <c r="C333" s="266" t="n">
        <v>90091</v>
      </c>
      <c r="D333" s="266" t="str">
        <f aca="false">VLOOKUP($C333,01_SINTETICO!$B:$M,2,0)</f>
        <v>ESCAVAÇÃO MECANIZADA DE VALA COM PROF. ATÉ 1,5 M (MÉDIA MONTANTE E JUSANTE/UMA COMPOSIÇÃO POR TRECHO), ESCAVADEIRA (0,8 M3), LARG. DE 1,5 M A 2,5 M, EM SOLO DE 1A CATEGORIA, LOCAIS COM BAIXO NÍVEL DE INTERFERÊNCIA. AF_09/2024</v>
      </c>
      <c r="E333" s="266" t="str">
        <f aca="false">VLOOKUP($B333,01_SINTETICO!$A:$M,4,0)</f>
        <v>SER.CG</v>
      </c>
      <c r="F333" s="267" t="str">
        <f aca="false">VLOOKUP($B333,01_SINTETICO!$A:$M,5,0)</f>
        <v>M3</v>
      </c>
      <c r="G333" s="267" t="n">
        <f aca="true">SUMIFS(INDIRECT("'01_SINTETICO'!F7:F995"),INDIRECT("'01_SINTETICO'!B7:B995"),$C333)</f>
        <v>194.3</v>
      </c>
      <c r="H333" s="268" t="n">
        <f aca="false">VLOOKUP($C333,01_SINTETICO!$B:$M,6,0)*$G333*(1+BDI_DIF)</f>
        <v>1080.00594670578</v>
      </c>
      <c r="I333" s="268" t="n">
        <f aca="false">VLOOKUP($C333,01_SINTETICO!$B:$M,7,0)*$G333*(1+BDI_MDO)</f>
        <v>277.547496691593</v>
      </c>
      <c r="J333" s="269" t="n">
        <f aca="false">SUM(H333:I333)</f>
        <v>1357.55344339737</v>
      </c>
      <c r="K333" s="270" t="n">
        <f aca="false">J333/SUM($J$7:$J$749)</f>
        <v>0.000150381231963875</v>
      </c>
      <c r="L333" s="271" t="n">
        <f aca="false">K333+L332</f>
        <v>0.986892980511272</v>
      </c>
    </row>
    <row r="334" customFormat="false" ht="25.5" hidden="false" customHeight="false" outlineLevel="0" collapsed="false">
      <c r="A334" s="264" t="n">
        <f aca="false">K334</f>
        <v>0.000148935522281943</v>
      </c>
      <c r="B334" s="265" t="str">
        <f aca="false">VLOOKUP($C334,01_SINTETICO!$B:$N,13,0)</f>
        <v>2.1.2.4</v>
      </c>
      <c r="C334" s="272" t="n">
        <v>97644</v>
      </c>
      <c r="D334" s="266" t="str">
        <f aca="false">VLOOKUP($C334,01_SINTETICO!$B:$M,2,0)</f>
        <v>REMOÇÃO DE PORTAS, DE FORMA MANUAL, SEM REAPROVEITAMENTO. AF_09/2023</v>
      </c>
      <c r="E334" s="272" t="str">
        <f aca="false">VLOOKUP($B334,01_SINTETICO!$A:$M,4,0)</f>
        <v>SER.CG</v>
      </c>
      <c r="F334" s="273" t="str">
        <f aca="false">VLOOKUP($B334,01_SINTETICO!$A:$M,5,0)</f>
        <v>M2</v>
      </c>
      <c r="G334" s="267" t="n">
        <f aca="true">SUMIFS(INDIRECT("'01_SINTETICO'!F7:F995"),INDIRECT("'01_SINTETICO'!B7:B995"),$C334)</f>
        <v>117.05</v>
      </c>
      <c r="H334" s="268" t="n">
        <f aca="false">VLOOKUP($C334,01_SINTETICO!$B:$M,6,0)*$G334*(1+BDI_MAT)</f>
        <v>402.72221358959</v>
      </c>
      <c r="I334" s="268" t="n">
        <f aca="false">VLOOKUP($C334,01_SINTETICO!$B:$M,7,0)*$G334*(1+BDI_MDO)</f>
        <v>941.780211863396</v>
      </c>
      <c r="J334" s="269" t="n">
        <f aca="false">SUM(H334:I334)</f>
        <v>1344.50242545299</v>
      </c>
      <c r="K334" s="270" t="n">
        <f aca="false">J334/SUM($J$7:$J$749)</f>
        <v>0.000148935522281943</v>
      </c>
      <c r="L334" s="271" t="n">
        <f aca="false">K334+L333</f>
        <v>0.987041916033554</v>
      </c>
    </row>
    <row r="335" customFormat="false" ht="25.5" hidden="false" customHeight="false" outlineLevel="0" collapsed="false">
      <c r="A335" s="264" t="n">
        <f aca="false">K335</f>
        <v>0.000148680181129582</v>
      </c>
      <c r="B335" s="265" t="str">
        <f aca="false">VLOOKUP($C335,01_SINTETICO!$B:$N,13,0)</f>
        <v>10.2.4</v>
      </c>
      <c r="C335" s="266" t="n">
        <v>100868</v>
      </c>
      <c r="D335" s="266" t="str">
        <f aca="false">VLOOKUP($C335,01_SINTETICO!$B:$M,2,0)</f>
        <v>BARRA DE APOIO RETA, EM ACO INOX POLIDO, COMPRIMENTO 80 CM, FIXADA NA PAREDE - FORNECIMENTO E INSTALAÇÃO. AF_01/2020</v>
      </c>
      <c r="E335" s="266" t="str">
        <f aca="false">VLOOKUP($B335,01_SINTETICO!$A:$M,4,0)</f>
        <v>SER.CG</v>
      </c>
      <c r="F335" s="267" t="str">
        <f aca="false">VLOOKUP($B335,01_SINTETICO!$A:$M,5,0)</f>
        <v>UN</v>
      </c>
      <c r="G335" s="267" t="n">
        <f aca="true">SUMIFS(INDIRECT("'01_SINTETICO'!F7:F995"),INDIRECT("'01_SINTETICO'!B7:B995"),$C335)</f>
        <v>8</v>
      </c>
      <c r="H335" s="268" t="n">
        <f aca="false">VLOOKUP($C335,01_SINTETICO!$B:$M,6,0)*$G335*(1+BDI_DIF)</f>
        <v>1102.77118609343</v>
      </c>
      <c r="I335" s="268" t="n">
        <f aca="false">VLOOKUP($C335,01_SINTETICO!$B:$M,7,0)*$G335*(1+BDI_MDO)</f>
        <v>239.426169397689</v>
      </c>
      <c r="J335" s="269" t="n">
        <f aca="false">SUM(H335:I335)</f>
        <v>1342.19735549111</v>
      </c>
      <c r="K335" s="270" t="n">
        <f aca="false">J335/SUM($J$7:$J$749)</f>
        <v>0.000148680181129582</v>
      </c>
      <c r="L335" s="271" t="n">
        <f aca="false">K335+L334</f>
        <v>0.987190596214684</v>
      </c>
    </row>
    <row r="336" customFormat="false" ht="25.5" hidden="false" customHeight="false" outlineLevel="0" collapsed="false">
      <c r="A336" s="264" t="n">
        <f aca="false">K336</f>
        <v>0.000148315030937159</v>
      </c>
      <c r="B336" s="265" t="str">
        <f aca="false">VLOOKUP($C336,01_SINTETICO!$B:$N,13,0)</f>
        <v>12.3.1.1.6</v>
      </c>
      <c r="C336" s="266" t="n">
        <v>91953</v>
      </c>
      <c r="D336" s="266" t="str">
        <f aca="false">VLOOKUP($C336,01_SINTETICO!$B:$M,2,0)</f>
        <v>INTERRUPTOR SIMPLES (1 MÓDULO), 10A/250V, INCLUINDO SUPORTE E PLACA - FORNECIMENTO E INSTALAÇÃO. AF_03/2023</v>
      </c>
      <c r="E336" s="266" t="str">
        <f aca="false">VLOOKUP($B336,01_SINTETICO!$A:$M,4,0)</f>
        <v>SER.CG</v>
      </c>
      <c r="F336" s="267" t="str">
        <f aca="false">VLOOKUP($B336,01_SINTETICO!$A:$M,5,0)</f>
        <v>UN</v>
      </c>
      <c r="G336" s="267" t="n">
        <f aca="true">SUMIFS(INDIRECT("'01_SINTETICO'!F7:F995"),INDIRECT("'01_SINTETICO'!B7:B995"),$C336)</f>
        <v>50</v>
      </c>
      <c r="H336" s="268" t="n">
        <f aca="false">VLOOKUP($C336,01_SINTETICO!$B:$M,6,0)*$G336*(1+BDI_DIF)</f>
        <v>541.922087938803</v>
      </c>
      <c r="I336" s="268" t="n">
        <f aca="false">VLOOKUP($C336,01_SINTETICO!$B:$M,7,0)*$G336*(1+BDI_MDO)</f>
        <v>796.97890606752</v>
      </c>
      <c r="J336" s="269" t="n">
        <f aca="false">SUM(H336:I336)</f>
        <v>1338.90099400632</v>
      </c>
      <c r="K336" s="270" t="n">
        <f aca="false">J336/SUM($J$7:$J$749)</f>
        <v>0.000148315030937159</v>
      </c>
      <c r="L336" s="271" t="n">
        <f aca="false">K336+L335</f>
        <v>0.987338911245621</v>
      </c>
    </row>
    <row r="337" customFormat="false" ht="38.25" hidden="false" customHeight="false" outlineLevel="0" collapsed="false">
      <c r="A337" s="264" t="n">
        <f aca="false">K337</f>
        <v>0.000146713665822503</v>
      </c>
      <c r="B337" s="265" t="str">
        <f aca="false">VLOOKUP($C337,01_SINTETICO!$B:$N,13,0)</f>
        <v>8.2.2.2</v>
      </c>
      <c r="C337" s="272" t="s">
        <v>563</v>
      </c>
      <c r="D337" s="266" t="str">
        <f aca="false">VLOOKUP($C337,01_SINTETICO!$B:$M,2,0)</f>
        <v>REVESTIMENTO CERÂMICO PARA PAREDES INTERNAS COM PLACAS TIPO AZULEJO ACETINADO, DE DIMENSÕES 30X30 CM APLICADAS NA ALTURA INTEIRA DAS PAREDES.</v>
      </c>
      <c r="E337" s="272" t="str">
        <f aca="false">VLOOKUP($B337,01_SINTETICO!$A:$M,4,0)</f>
        <v>SER.CG</v>
      </c>
      <c r="F337" s="273" t="str">
        <f aca="false">VLOOKUP($B337,01_SINTETICO!$A:$M,5,0)</f>
        <v>M2</v>
      </c>
      <c r="G337" s="267" t="n">
        <f aca="true">SUMIFS(INDIRECT("'01_SINTETICO'!F7:F995"),INDIRECT("'01_SINTETICO'!B7:B995"),$C337)</f>
        <v>18.41</v>
      </c>
      <c r="H337" s="268" t="n">
        <f aca="false">VLOOKUP($C337,01_SINTETICO!$B:$M,6,0)*$G337*(1+BDI_DIF)</f>
        <v>909.941637046187</v>
      </c>
      <c r="I337" s="268" t="n">
        <f aca="false">VLOOKUP($C337,01_SINTETICO!$B:$M,7,0)*$G337*(1+BDI_MDO)</f>
        <v>414.503173185427</v>
      </c>
      <c r="J337" s="269" t="n">
        <f aca="false">SUM(H337:I337)</f>
        <v>1324.44481023161</v>
      </c>
      <c r="K337" s="270" t="n">
        <f aca="false">J337/SUM($J$7:$J$749)</f>
        <v>0.000146713665822503</v>
      </c>
      <c r="L337" s="271" t="n">
        <f aca="false">K337+L336</f>
        <v>0.987485624911444</v>
      </c>
    </row>
    <row r="338" customFormat="false" ht="38.25" hidden="false" customHeight="false" outlineLevel="0" collapsed="false">
      <c r="A338" s="264" t="n">
        <f aca="false">K338</f>
        <v>0.000145200787893753</v>
      </c>
      <c r="B338" s="265" t="str">
        <f aca="false">VLOOKUP($C338,01_SINTETICO!$B:$N,13,0)</f>
        <v>12.2.2.6</v>
      </c>
      <c r="C338" s="272" t="s">
        <v>914</v>
      </c>
      <c r="D338" s="266" t="str">
        <f aca="false">VLOOKUP($C338,01_SINTETICO!$B:$M,2,0)</f>
        <v>ELETRODUTO FLEXÍVEL CORRUGADO, PEAD, DN 80 (2.1/2"), PARA REDE ENTERRADA DE DISTRIBUIÇÃO DE ENERGIA ELÉTRICA - FORNECIMENTO E INSTALAÇÃO.</v>
      </c>
      <c r="E338" s="272" t="str">
        <f aca="false">VLOOKUP($B338,01_SINTETICO!$A:$M,4,0)</f>
        <v>SER.CG</v>
      </c>
      <c r="F338" s="273" t="str">
        <f aca="false">VLOOKUP($B338,01_SINTETICO!$A:$M,5,0)</f>
        <v>M</v>
      </c>
      <c r="G338" s="267" t="n">
        <f aca="true">SUMIFS(INDIRECT("'01_SINTETICO'!F7:F995"),INDIRECT("'01_SINTETICO'!B7:B995"),$C338)</f>
        <v>70</v>
      </c>
      <c r="H338" s="268" t="n">
        <f aca="false">VLOOKUP($C338,01_SINTETICO!$B:$M,6,0)*$G338*(1+BDI_DIF)</f>
        <v>1017.89768882299</v>
      </c>
      <c r="I338" s="268" t="n">
        <f aca="false">VLOOKUP($C338,01_SINTETICO!$B:$M,7,0)*$G338*(1+BDI_MDO)</f>
        <v>292.889747979814</v>
      </c>
      <c r="J338" s="269" t="n">
        <f aca="false">SUM(H338:I338)</f>
        <v>1310.78743680281</v>
      </c>
      <c r="K338" s="270" t="n">
        <f aca="false">J338/SUM($J$7:$J$749)</f>
        <v>0.000145200787893753</v>
      </c>
      <c r="L338" s="271" t="n">
        <f aca="false">K338+L337</f>
        <v>0.987630825699337</v>
      </c>
    </row>
    <row r="339" customFormat="false" ht="25.5" hidden="false" customHeight="false" outlineLevel="0" collapsed="false">
      <c r="A339" s="264" t="n">
        <f aca="false">K339</f>
        <v>0.000144454957422082</v>
      </c>
      <c r="B339" s="265" t="str">
        <f aca="false">VLOOKUP($C339,01_SINTETICO!$B:$N,13,0)</f>
        <v>17.2.4</v>
      </c>
      <c r="C339" s="266" t="s">
        <v>1338</v>
      </c>
      <c r="D339" s="266" t="str">
        <f aca="false">VLOOKUP($C339,01_SINTETICO!$B:$M,2,0)</f>
        <v>PLANTIO DE HELICÔNIA PAPAGAIO, COM ALTURA DE MUDA DE ATÉ 1,80 M.</v>
      </c>
      <c r="E339" s="266" t="str">
        <f aca="false">VLOOKUP($B339,01_SINTETICO!$A:$M,4,0)</f>
        <v>SER.CG</v>
      </c>
      <c r="F339" s="267" t="str">
        <f aca="false">VLOOKUP($B339,01_SINTETICO!$A:$M,5,0)</f>
        <v>UN</v>
      </c>
      <c r="G339" s="267" t="n">
        <f aca="true">SUMIFS(INDIRECT("'01_SINTETICO'!F7:F995"),INDIRECT("'01_SINTETICO'!B7:B995"),$C339)</f>
        <v>30</v>
      </c>
      <c r="H339" s="268" t="n">
        <f aca="false">VLOOKUP($C339,01_SINTETICO!$B:$M,6,0)*$G339*(1+BDI_DIF)</f>
        <v>1164.44809413839</v>
      </c>
      <c r="I339" s="268" t="n">
        <f aca="false">VLOOKUP($C339,01_SINTETICO!$B:$M,7,0)*$G339*(1+BDI_MDO)</f>
        <v>139.606423191784</v>
      </c>
      <c r="J339" s="269" t="n">
        <f aca="false">SUM(H339:I339)</f>
        <v>1304.05451733017</v>
      </c>
      <c r="K339" s="270" t="n">
        <f aca="false">J339/SUM($J$7:$J$749)</f>
        <v>0.000144454957422082</v>
      </c>
      <c r="L339" s="271" t="n">
        <f aca="false">K339+L338</f>
        <v>0.987775280656759</v>
      </c>
    </row>
    <row r="340" customFormat="false" ht="38.25" hidden="false" customHeight="false" outlineLevel="0" collapsed="false">
      <c r="A340" s="264" t="n">
        <f aca="false">K340</f>
        <v>0.000144347055440742</v>
      </c>
      <c r="B340" s="265" t="str">
        <f aca="false">VLOOKUP($C340,01_SINTETICO!$B:$N,13,0)</f>
        <v>15.4.3.2</v>
      </c>
      <c r="C340" s="272" t="n">
        <v>92368</v>
      </c>
      <c r="D340" s="266" t="str">
        <f aca="false">VLOOKUP($C340,01_SINTETICO!$B:$M,2,0)</f>
        <v>TUBO DE AÇO GALVANIZADO COM COSTURA, CLASSE MÉDIA, DN 80 (3"), CONEXÃO ROSQUEADA, INSTALADO EM REDE DE ALIMENTAÇÃO PARA HIDRANTE - FORNECIMENTO E INSTALAÇÃO. AF_10/2020</v>
      </c>
      <c r="E340" s="272" t="str">
        <f aca="false">VLOOKUP($B340,01_SINTETICO!$A:$M,4,0)</f>
        <v>SER.CG</v>
      </c>
      <c r="F340" s="273" t="str">
        <f aca="false">VLOOKUP($B340,01_SINTETICO!$A:$M,5,0)</f>
        <v>M</v>
      </c>
      <c r="G340" s="267" t="n">
        <f aca="true">SUMIFS(INDIRECT("'01_SINTETICO'!F7:F995"),INDIRECT("'01_SINTETICO'!B7:B995"),$C340)</f>
        <v>7.7</v>
      </c>
      <c r="H340" s="268" t="n">
        <f aca="false">VLOOKUP($C340,01_SINTETICO!$B:$M,6,0)*$G340*(1+BDI_DIF)</f>
        <v>1210.73815525878</v>
      </c>
      <c r="I340" s="268" t="n">
        <f aca="false">VLOOKUP($C340,01_SINTETICO!$B:$M,7,0)*$G340*(1+BDI_MDO)</f>
        <v>92.3422863546026</v>
      </c>
      <c r="J340" s="269" t="n">
        <f aca="false">SUM(H340:I340)</f>
        <v>1303.08044161338</v>
      </c>
      <c r="K340" s="270" t="n">
        <f aca="false">J340/SUM($J$7:$J$749)</f>
        <v>0.000144347055440742</v>
      </c>
      <c r="L340" s="271" t="n">
        <f aca="false">K340+L339</f>
        <v>0.9879196277122</v>
      </c>
    </row>
    <row r="341" customFormat="false" ht="38.25" hidden="false" customHeight="false" outlineLevel="0" collapsed="false">
      <c r="A341" s="264" t="n">
        <f aca="false">K341</f>
        <v>0.000143680990209588</v>
      </c>
      <c r="B341" s="265" t="str">
        <f aca="false">VLOOKUP($C341,01_SINTETICO!$B:$N,13,0)</f>
        <v>11.2.3.5</v>
      </c>
      <c r="C341" s="266" t="n">
        <v>89810</v>
      </c>
      <c r="D341" s="266" t="str">
        <f aca="false">VLOOKUP($C341,01_SINTETICO!$B:$M,2,0)</f>
        <v>JOELHO 45 GRAUS, PVC, SERIE NORMAL, ESGOTO PREDIAL, DN 100 MM, JUNTA ELÁSTICA, FORNECIDO E INSTALADO EM PRUMADA DE ESGOTO SANITÁRIO OU VENTILAÇÃO. AF_08/2022</v>
      </c>
      <c r="E341" s="266" t="str">
        <f aca="false">VLOOKUP($B341,01_SINTETICO!$A:$M,4,0)</f>
        <v>SER.CG</v>
      </c>
      <c r="F341" s="267" t="str">
        <f aca="false">VLOOKUP($B341,01_SINTETICO!$A:$M,5,0)</f>
        <v>UN</v>
      </c>
      <c r="G341" s="267" t="n">
        <f aca="true">SUMIFS(INDIRECT("'01_SINTETICO'!F7:F995"),INDIRECT("'01_SINTETICO'!B7:B995"),$C341)</f>
        <v>38</v>
      </c>
      <c r="H341" s="268" t="n">
        <f aca="false">VLOOKUP($C341,01_SINTETICO!$B:$M,6,0)*$G341*(1+BDI_DIF)</f>
        <v>938.439563392035</v>
      </c>
      <c r="I341" s="268" t="n">
        <f aca="false">VLOOKUP($C341,01_SINTETICO!$B:$M,7,0)*$G341*(1+BDI_MDO)</f>
        <v>358.628032494047</v>
      </c>
      <c r="J341" s="269" t="n">
        <f aca="false">SUM(H341:I341)</f>
        <v>1297.06759588608</v>
      </c>
      <c r="K341" s="270" t="n">
        <f aca="false">J341/SUM($J$7:$J$749)</f>
        <v>0.000143680990209588</v>
      </c>
      <c r="L341" s="271" t="n">
        <f aca="false">K341+L340</f>
        <v>0.98806330870241</v>
      </c>
    </row>
    <row r="342" customFormat="false" ht="38.25" hidden="false" customHeight="false" outlineLevel="0" collapsed="false">
      <c r="A342" s="264" t="n">
        <f aca="false">K342</f>
        <v>0.000143570156742995</v>
      </c>
      <c r="B342" s="265" t="str">
        <f aca="false">VLOOKUP($C342,01_SINTETICO!$B:$N,13,0)</f>
        <v>15.4.2.7</v>
      </c>
      <c r="C342" s="266" t="n">
        <v>92379</v>
      </c>
      <c r="D342" s="266" t="str">
        <f aca="false">VLOOKUP($C342,01_SINTETICO!$B:$M,2,0)</f>
        <v>NIPLE, EM FERRO GALVANIZADO, DN 80 (3"), CONEXÃO ROSQUEADA, INSTALADO EM REDE DE ALIMENTAÇÃO PARA HIDRANTE - FORNECIMENTO E INSTALAÇÃO. AF_10/2020</v>
      </c>
      <c r="E342" s="266" t="str">
        <f aca="false">VLOOKUP($B342,01_SINTETICO!$A:$M,4,0)</f>
        <v>SER.CG</v>
      </c>
      <c r="F342" s="267" t="str">
        <f aca="false">VLOOKUP($B342,01_SINTETICO!$A:$M,5,0)</f>
        <v>UN</v>
      </c>
      <c r="G342" s="267" t="n">
        <f aca="true">SUMIFS(INDIRECT("'01_SINTETICO'!F7:F995"),INDIRECT("'01_SINTETICO'!B7:B995"),$C342)</f>
        <v>8</v>
      </c>
      <c r="H342" s="268" t="n">
        <f aca="false">VLOOKUP($C342,01_SINTETICO!$B:$M,6,0)*$G342*(1+BDI_DIF)</f>
        <v>1008.24694312904</v>
      </c>
      <c r="I342" s="268" t="n">
        <f aca="false">VLOOKUP($C342,01_SINTETICO!$B:$M,7,0)*$G342*(1+BDI_MDO)</f>
        <v>287.820113313047</v>
      </c>
      <c r="J342" s="269" t="n">
        <f aca="false">SUM(H342:I342)</f>
        <v>1296.06705644208</v>
      </c>
      <c r="K342" s="270" t="n">
        <f aca="false">J342/SUM($J$7:$J$749)</f>
        <v>0.000143570156742995</v>
      </c>
      <c r="L342" s="271" t="n">
        <f aca="false">K342+L341</f>
        <v>0.988206878859153</v>
      </c>
    </row>
    <row r="343" customFormat="false" ht="38.25" hidden="false" customHeight="false" outlineLevel="0" collapsed="false">
      <c r="A343" s="264" t="n">
        <f aca="false">K343</f>
        <v>0.000139692151593519</v>
      </c>
      <c r="B343" s="265" t="str">
        <f aca="false">VLOOKUP($C343,01_SINTETICO!$B:$N,13,0)</f>
        <v>11.4.4.1</v>
      </c>
      <c r="C343" s="266" t="n">
        <v>89585</v>
      </c>
      <c r="D343" s="266" t="str">
        <f aca="false">VLOOKUP($C343,01_SINTETICO!$B:$M,2,0)</f>
        <v>JOELHO 45 GRAUS, PVC, SERIE R, ÁGUA PLUVIAL, DN 100 MM, JUNTA ELÁSTICA, FORNECIDO E INSTALADO EM CONDUTORES VERTICAIS DE ÁGUAS PLUVIAIS. AF_06/2022</v>
      </c>
      <c r="E343" s="266" t="str">
        <f aca="false">VLOOKUP($B343,01_SINTETICO!$A:$M,4,0)</f>
        <v>SER.CG</v>
      </c>
      <c r="F343" s="267" t="str">
        <f aca="false">VLOOKUP($B343,01_SINTETICO!$A:$M,5,0)</f>
        <v>UN</v>
      </c>
      <c r="G343" s="267" t="n">
        <f aca="true">SUMIFS(INDIRECT("'01_SINTETICO'!F7:F995"),INDIRECT("'01_SINTETICO'!B7:B995"),$C343)</f>
        <v>24</v>
      </c>
      <c r="H343" s="268" t="n">
        <f aca="false">VLOOKUP($C343,01_SINTETICO!$B:$M,6,0)*$G343*(1+BDI_DIF)</f>
        <v>976.471352331051</v>
      </c>
      <c r="I343" s="268" t="n">
        <f aca="false">VLOOKUP($C343,01_SINTETICO!$B:$M,7,0)*$G343*(1+BDI_MDO)</f>
        <v>284.587351170763</v>
      </c>
      <c r="J343" s="269" t="n">
        <f aca="false">SUM(H343:I343)</f>
        <v>1261.05870350181</v>
      </c>
      <c r="K343" s="270" t="n">
        <f aca="false">J343/SUM($J$7:$J$749)</f>
        <v>0.000139692151593519</v>
      </c>
      <c r="L343" s="271" t="n">
        <f aca="false">K343+L342</f>
        <v>0.988346571010746</v>
      </c>
    </row>
    <row r="344" customFormat="false" ht="51" hidden="false" customHeight="false" outlineLevel="0" collapsed="false">
      <c r="A344" s="264" t="n">
        <f aca="false">K344</f>
        <v>0.00013937947007853</v>
      </c>
      <c r="B344" s="265" t="str">
        <f aca="false">VLOOKUP($C344,01_SINTETICO!$B:$N,13,0)</f>
        <v>10.2.3</v>
      </c>
      <c r="C344" s="266" t="s">
        <v>641</v>
      </c>
      <c r="D344" s="266" t="str">
        <f aca="false">VLOOKUP($C344,01_SINTETICO!$B:$M,2,0)</f>
        <v>LAVATÓRIO PNE, EM LOUÇA BRANCA, SUSPENSO, 29,5 X 39CM OU EQUIVALENTE, PADRÃO POPULAR, INCLUSO SIFÃO TIPO GARRAFA EM PVC, VÁLVULA E ENGATE FLEXÍVEL 30CM EM PLÁSTICO E TORNEIRA CROMADA DE MESA, AUTOMÁTICA PNE - FORNECIMENTO E INSTALAÇÃO.</v>
      </c>
      <c r="E344" s="266" t="str">
        <f aca="false">VLOOKUP($B344,01_SINTETICO!$A:$M,4,0)</f>
        <v>SER.CG</v>
      </c>
      <c r="F344" s="267" t="str">
        <f aca="false">VLOOKUP($B344,01_SINTETICO!$A:$M,5,0)</f>
        <v>UN</v>
      </c>
      <c r="G344" s="267" t="n">
        <f aca="true">SUMIFS(INDIRECT("'01_SINTETICO'!F7:F995"),INDIRECT("'01_SINTETICO'!B7:B995"),$C344)</f>
        <v>4</v>
      </c>
      <c r="H344" s="268" t="n">
        <f aca="false">VLOOKUP($C344,01_SINTETICO!$B:$M,6,0)*$G344*(1+BDI_DIF)</f>
        <v>1140.86041266076</v>
      </c>
      <c r="I344" s="268" t="n">
        <f aca="false">VLOOKUP($C344,01_SINTETICO!$B:$M,7,0)*$G344*(1+BDI_MDO)</f>
        <v>117.375585761323</v>
      </c>
      <c r="J344" s="269" t="n">
        <f aca="false">SUM(H344:I344)</f>
        <v>1258.23599842209</v>
      </c>
      <c r="K344" s="270" t="n">
        <f aca="false">J344/SUM($J$7:$J$749)</f>
        <v>0.00013937947007853</v>
      </c>
      <c r="L344" s="271" t="n">
        <f aca="false">K344+L343</f>
        <v>0.988485950480825</v>
      </c>
    </row>
    <row r="345" customFormat="false" ht="25.5" hidden="false" customHeight="false" outlineLevel="0" collapsed="false">
      <c r="A345" s="264" t="n">
        <f aca="false">K345</f>
        <v>0.00013835171110792</v>
      </c>
      <c r="B345" s="265" t="str">
        <f aca="false">VLOOKUP($C345,01_SINTETICO!$B:$N,13,0)</f>
        <v>12.3.3.5</v>
      </c>
      <c r="C345" s="266" t="n">
        <v>93673</v>
      </c>
      <c r="D345" s="266" t="str">
        <f aca="false">VLOOKUP($C345,01_SINTETICO!$B:$M,2,0)</f>
        <v>DISJUNTOR TRIPOLAR TIPO DIN, CORRENTE NOMINAL DE 50A - FORNECIMENTO E INSTALAÇÃO. AF_10/2020</v>
      </c>
      <c r="E345" s="266" t="str">
        <f aca="false">VLOOKUP($B345,01_SINTETICO!$A:$M,4,0)</f>
        <v>SER.CG</v>
      </c>
      <c r="F345" s="267" t="str">
        <f aca="false">VLOOKUP($B345,01_SINTETICO!$A:$M,5,0)</f>
        <v>UN</v>
      </c>
      <c r="G345" s="267" t="n">
        <f aca="true">SUMIFS(INDIRECT("'01_SINTETICO'!F7:F995"),INDIRECT("'01_SINTETICO'!B7:B995"),$C345)</f>
        <v>12</v>
      </c>
      <c r="H345" s="268" t="n">
        <f aca="false">VLOOKUP($C345,01_SINTETICO!$B:$M,6,0)*$G345*(1+BDI_DIF)</f>
        <v>947.328044054385</v>
      </c>
      <c r="I345" s="268" t="n">
        <f aca="false">VLOOKUP($C345,01_SINTETICO!$B:$M,7,0)*$G345*(1+BDI_MDO)</f>
        <v>301.629949983021</v>
      </c>
      <c r="J345" s="269" t="n">
        <f aca="false">SUM(H345:I345)</f>
        <v>1248.95799403741</v>
      </c>
      <c r="K345" s="270" t="n">
        <f aca="false">J345/SUM($J$7:$J$749)</f>
        <v>0.00013835171110792</v>
      </c>
      <c r="L345" s="271" t="n">
        <f aca="false">K345+L344</f>
        <v>0.988624302191933</v>
      </c>
    </row>
    <row r="346" customFormat="false" ht="25.5" hidden="false" customHeight="false" outlineLevel="0" collapsed="false">
      <c r="A346" s="264" t="n">
        <f aca="false">K346</f>
        <v>0.000137510251966338</v>
      </c>
      <c r="B346" s="265" t="str">
        <f aca="false">VLOOKUP($C346,01_SINTETICO!$B:$N,13,0)</f>
        <v>2.2.1</v>
      </c>
      <c r="C346" s="272" t="n">
        <v>98530</v>
      </c>
      <c r="D346" s="266" t="str">
        <f aca="false">VLOOKUP($C346,01_SINTETICO!$B:$M,2,0)</f>
        <v>CORTE RASO E RECORTE DE ÁRVORE COM DIÂMETRO DE TRONCO MAIOR OU IGUAL A 0,40 M E MENOR QUE 0,60 M. AF_03/2024</v>
      </c>
      <c r="E346" s="272" t="str">
        <f aca="false">VLOOKUP($B346,01_SINTETICO!$A:$M,4,0)</f>
        <v>SER.CG</v>
      </c>
      <c r="F346" s="273" t="str">
        <f aca="false">VLOOKUP($B346,01_SINTETICO!$A:$M,5,0)</f>
        <v>UN</v>
      </c>
      <c r="G346" s="267" t="n">
        <f aca="true">SUMIFS(INDIRECT("'01_SINTETICO'!F7:F995"),INDIRECT("'01_SINTETICO'!B7:B995"),$C346)</f>
        <v>7</v>
      </c>
      <c r="H346" s="268" t="n">
        <f aca="false">VLOOKUP($C346,01_SINTETICO!$B:$M,6,0)*$G346*(1+BDI_DIF)</f>
        <v>360.734875137465</v>
      </c>
      <c r="I346" s="268" t="n">
        <f aca="false">VLOOKUP($C346,01_SINTETICO!$B:$M,7,0)*$G346*(1+BDI_MDO)</f>
        <v>880.62691995799</v>
      </c>
      <c r="J346" s="269" t="n">
        <f aca="false">SUM(H346:I346)</f>
        <v>1241.36179509546</v>
      </c>
      <c r="K346" s="270" t="n">
        <f aca="false">J346/SUM($J$7:$J$749)</f>
        <v>0.000137510251966338</v>
      </c>
      <c r="L346" s="271" t="n">
        <f aca="false">K346+L345</f>
        <v>0.988761812443899</v>
      </c>
    </row>
    <row r="347" customFormat="false" ht="38.25" hidden="false" customHeight="false" outlineLevel="0" collapsed="false">
      <c r="A347" s="264" t="n">
        <f aca="false">K347</f>
        <v>0.000137339134867028</v>
      </c>
      <c r="B347" s="265" t="str">
        <f aca="false">VLOOKUP($C347,01_SINTETICO!$B:$N,13,0)</f>
        <v>13.7.1</v>
      </c>
      <c r="C347" s="272" t="n">
        <v>91839</v>
      </c>
      <c r="D347" s="266" t="str">
        <f aca="false">VLOOKUP($C347,01_SINTETICO!$B:$M,2,0)</f>
        <v>ELETRODUTO FLEXÍVEL LISO, PEAD, DN 32 MM (1"), PARA CIRCUITOS TERMINAIS, INSTALADO EM FORRO - FORNECIMENTO E INSTALAÇÃO. AF_03/2023</v>
      </c>
      <c r="E347" s="272" t="str">
        <f aca="false">VLOOKUP($B347,01_SINTETICO!$A:$M,4,0)</f>
        <v>SER.CG</v>
      </c>
      <c r="F347" s="273" t="str">
        <f aca="false">VLOOKUP($B347,01_SINTETICO!$A:$M,5,0)</f>
        <v>M</v>
      </c>
      <c r="G347" s="267" t="n">
        <f aca="true">SUMIFS(INDIRECT("'01_SINTETICO'!F7:F995"),INDIRECT("'01_SINTETICO'!B7:B995"),$C347)</f>
        <v>60</v>
      </c>
      <c r="H347" s="268" t="n">
        <f aca="false">VLOOKUP($C347,01_SINTETICO!$B:$M,6,0)*$G347*(1+BDI_DIF)</f>
        <v>578.458930357211</v>
      </c>
      <c r="I347" s="268" t="n">
        <f aca="false">VLOOKUP($C347,01_SINTETICO!$B:$M,7,0)*$G347*(1+BDI_MDO)</f>
        <v>661.358120062607</v>
      </c>
      <c r="J347" s="269" t="n">
        <f aca="false">SUM(H347:I347)</f>
        <v>1239.81705041982</v>
      </c>
      <c r="K347" s="270" t="n">
        <f aca="false">J347/SUM($J$7:$J$749)</f>
        <v>0.000137339134867028</v>
      </c>
      <c r="L347" s="271" t="n">
        <f aca="false">K347+L346</f>
        <v>0.988899151578766</v>
      </c>
    </row>
    <row r="348" customFormat="false" ht="25.5" hidden="false" customHeight="false" outlineLevel="0" collapsed="false">
      <c r="A348" s="264" t="n">
        <f aca="false">K348</f>
        <v>0.000137274533324403</v>
      </c>
      <c r="B348" s="265" t="str">
        <f aca="false">VLOOKUP($C348,01_SINTETICO!$B:$N,13,0)</f>
        <v>3.2.3.6.2</v>
      </c>
      <c r="C348" s="272" t="n">
        <v>96528</v>
      </c>
      <c r="D348" s="266" t="str">
        <f aca="false">VLOOKUP($C348,01_SINTETICO!$B:$M,2,0)</f>
        <v>FABRICAÇÃO, MONTAGEM E DESMONTAGEM DE FÔRMA PARA BLOCO DE COROAMENTO, EM MADEIRA SERRADA, E=25 MM, 1 UTILIZAÇÃO. AF_01/2024</v>
      </c>
      <c r="E348" s="272" t="str">
        <f aca="false">VLOOKUP($B348,01_SINTETICO!$A:$M,4,0)</f>
        <v>SER.CG</v>
      </c>
      <c r="F348" s="273" t="str">
        <f aca="false">VLOOKUP($B348,01_SINTETICO!$A:$M,5,0)</f>
        <v>M2</v>
      </c>
      <c r="G348" s="267" t="n">
        <f aca="true">SUMIFS(INDIRECT("'01_SINTETICO'!F7:F995"),INDIRECT("'01_SINTETICO'!B7:B995"),$C348)</f>
        <v>10.08</v>
      </c>
      <c r="H348" s="268" t="n">
        <f aca="false">VLOOKUP($C348,01_SINTETICO!$B:$M,6,0)*$G348*(1+BDI_DIF)</f>
        <v>667.765602993136</v>
      </c>
      <c r="I348" s="268" t="n">
        <f aca="false">VLOOKUP($C348,01_SINTETICO!$B:$M,7,0)*$G348*(1+BDI_MDO)</f>
        <v>571.468262640292</v>
      </c>
      <c r="J348" s="269" t="n">
        <f aca="false">SUM(H348:I348)</f>
        <v>1239.23386563343</v>
      </c>
      <c r="K348" s="270" t="n">
        <f aca="false">J348/SUM($J$7:$J$749)</f>
        <v>0.000137274533324403</v>
      </c>
      <c r="L348" s="271" t="n">
        <f aca="false">K348+L347</f>
        <v>0.98903642611209</v>
      </c>
    </row>
    <row r="349" customFormat="false" ht="38.25" hidden="false" customHeight="false" outlineLevel="0" collapsed="false">
      <c r="A349" s="264" t="n">
        <f aca="false">K349</f>
        <v>0.00013658278698217</v>
      </c>
      <c r="B349" s="265" t="str">
        <f aca="false">VLOOKUP($C349,01_SINTETICO!$B:$N,13,0)</f>
        <v>15.4.2.4</v>
      </c>
      <c r="C349" s="266" t="n">
        <v>92642</v>
      </c>
      <c r="D349" s="266" t="str">
        <f aca="false">VLOOKUP($C349,01_SINTETICO!$B:$M,2,0)</f>
        <v>TÊ, EM FERRO GALVANIZADO, CONEXÃO ROSQUEADA, DN 65 (2 1/2"), INSTALADO EM REDE DE ALIMENTAÇÃO PARA HIDRANTE - FORNECIMENTO E INSTALAÇÃO. AF_10/2020</v>
      </c>
      <c r="E349" s="266" t="str">
        <f aca="false">VLOOKUP($B349,01_SINTETICO!$A:$M,4,0)</f>
        <v>SER.CG</v>
      </c>
      <c r="F349" s="267" t="str">
        <f aca="false">VLOOKUP($B349,01_SINTETICO!$A:$M,5,0)</f>
        <v>UN</v>
      </c>
      <c r="G349" s="267" t="n">
        <f aca="true">SUMIFS(INDIRECT("'01_SINTETICO'!F7:F995"),INDIRECT("'01_SINTETICO'!B7:B995"),$C349)</f>
        <v>5</v>
      </c>
      <c r="H349" s="268" t="n">
        <f aca="false">VLOOKUP($C349,01_SINTETICO!$B:$M,6,0)*$G349*(1+BDI_DIF)</f>
        <v>913.406315534736</v>
      </c>
      <c r="I349" s="268" t="n">
        <f aca="false">VLOOKUP($C349,01_SINTETICO!$B:$M,7,0)*$G349*(1+BDI_MDO)</f>
        <v>319.582870383071</v>
      </c>
      <c r="J349" s="269" t="n">
        <f aca="false">SUM(H349:I349)</f>
        <v>1232.98918591781</v>
      </c>
      <c r="K349" s="270" t="n">
        <f aca="false">J349/SUM($J$7:$J$749)</f>
        <v>0.00013658278698217</v>
      </c>
      <c r="L349" s="271" t="n">
        <f aca="false">K349+L348</f>
        <v>0.989173008899073</v>
      </c>
    </row>
    <row r="350" customFormat="false" ht="38.25" hidden="false" customHeight="false" outlineLevel="0" collapsed="false">
      <c r="A350" s="264" t="n">
        <f aca="false">K350</f>
        <v>0.000134427431395389</v>
      </c>
      <c r="B350" s="265" t="str">
        <f aca="false">VLOOKUP($C350,01_SINTETICO!$B:$N,13,0)</f>
        <v>15.6.1</v>
      </c>
      <c r="C350" s="266" t="n">
        <v>100758</v>
      </c>
      <c r="D350" s="266" t="str">
        <f aca="false">VLOOKUP($C350,01_SINTETICO!$B:$M,2,0)</f>
        <v>PINTURA COM TINTA ALQUÍDICA DE ACABAMENTO (ESMALTE SINTÉTICO ACETINADO) APLICADA A ROLO OU PINCEL SOBRE SUPERFÍCIES METÁLICAS (EXCETO PERFIL) EXECUTADO EM OBRA (02 DEMÃOS). AF_01/2020</v>
      </c>
      <c r="E350" s="266" t="str">
        <f aca="false">VLOOKUP($B350,01_SINTETICO!$A:$M,4,0)</f>
        <v>SER.CG</v>
      </c>
      <c r="F350" s="267" t="str">
        <f aca="false">VLOOKUP($B350,01_SINTETICO!$A:$M,5,0)</f>
        <v>M2</v>
      </c>
      <c r="G350" s="267" t="n">
        <f aca="true">SUMIFS(INDIRECT("'01_SINTETICO'!F7:F995"),INDIRECT("'01_SINTETICO'!B7:B995"),$C350)</f>
        <v>19.32</v>
      </c>
      <c r="H350" s="268" t="n">
        <f aca="false">VLOOKUP($C350,01_SINTETICO!$B:$M,6,0)*$G350*(1+BDI_DIF)</f>
        <v>528.271880915512</v>
      </c>
      <c r="I350" s="268" t="n">
        <f aca="false">VLOOKUP($C350,01_SINTETICO!$B:$M,7,0)*$G350*(1+BDI_MDO)</f>
        <v>685.260020603375</v>
      </c>
      <c r="J350" s="269" t="n">
        <f aca="false">SUM(H350:I350)</f>
        <v>1213.53190151889</v>
      </c>
      <c r="K350" s="270" t="n">
        <f aca="false">J350/SUM($J$7:$J$749)</f>
        <v>0.000134427431395389</v>
      </c>
      <c r="L350" s="271" t="n">
        <f aca="false">K350+L349</f>
        <v>0.989307436330468</v>
      </c>
    </row>
    <row r="351" customFormat="false" ht="25.5" hidden="false" customHeight="false" outlineLevel="0" collapsed="false">
      <c r="A351" s="264" t="n">
        <f aca="false">K351</f>
        <v>0.000133499604339302</v>
      </c>
      <c r="B351" s="265" t="str">
        <f aca="false">VLOOKUP($C351,01_SINTETICO!$B:$N,13,0)</f>
        <v>18.1.2</v>
      </c>
      <c r="C351" s="272" t="n">
        <v>99807</v>
      </c>
      <c r="D351" s="266" t="str">
        <f aca="false">VLOOKUP($C351,01_SINTETICO!$B:$M,2,0)</f>
        <v>LIMPEZA DE REVESTIMENTO CERÂMICO EM PAREDE UTILIZANDO DETERGENTE NEUTRO E ESCOVAÇÃO MANUAL. AF_04/2019</v>
      </c>
      <c r="E351" s="272" t="str">
        <f aca="false">VLOOKUP($B351,01_SINTETICO!$A:$M,4,0)</f>
        <v>SER.CG</v>
      </c>
      <c r="F351" s="273" t="str">
        <f aca="false">VLOOKUP($B351,01_SINTETICO!$A:$M,5,0)</f>
        <v>M2</v>
      </c>
      <c r="G351" s="267" t="n">
        <f aca="true">SUMIFS(INDIRECT("'01_SINTETICO'!F7:F995"),INDIRECT("'01_SINTETICO'!B7:B995"),$C351)</f>
        <v>636.67</v>
      </c>
      <c r="H351" s="268" t="n">
        <f aca="false">VLOOKUP($C351,01_SINTETICO!$B:$M,6,0)*$G351*(1+BDI_DIF)</f>
        <v>421.556899245591</v>
      </c>
      <c r="I351" s="268" t="n">
        <f aca="false">VLOOKUP($C351,01_SINTETICO!$B:$M,7,0)*$G351*(1+BDI_MDO)</f>
        <v>783.599124522998</v>
      </c>
      <c r="J351" s="269" t="n">
        <f aca="false">SUM(H351:I351)</f>
        <v>1205.15602376859</v>
      </c>
      <c r="K351" s="270" t="n">
        <f aca="false">J351/SUM($J$7:$J$749)</f>
        <v>0.000133499604339302</v>
      </c>
      <c r="L351" s="271" t="n">
        <f aca="false">K351+L350</f>
        <v>0.989440935934807</v>
      </c>
    </row>
    <row r="352" customFormat="false" ht="38.25" hidden="false" customHeight="false" outlineLevel="0" collapsed="false">
      <c r="A352" s="264" t="n">
        <f aca="false">K352</f>
        <v>0.000132392319794922</v>
      </c>
      <c r="B352" s="265" t="str">
        <f aca="false">VLOOKUP($C352,01_SINTETICO!$B:$N,13,0)</f>
        <v>11.2.3.11</v>
      </c>
      <c r="C352" s="266" t="n">
        <v>89801</v>
      </c>
      <c r="D352" s="266" t="str">
        <f aca="false">VLOOKUP($C352,01_SINTETICO!$B:$M,2,0)</f>
        <v>JOELHO 90 GRAUS, PVC, SERIE NORMAL, ESGOTO PREDIAL, DN 50 MM, JUNTA ELÁSTICA, FORNECIDO E INSTALADO EM PRUMADA DE ESGOTO SANITÁRIO OU VENTILAÇÃO. AF_08/2022</v>
      </c>
      <c r="E352" s="266" t="str">
        <f aca="false">VLOOKUP($B352,01_SINTETICO!$A:$M,4,0)</f>
        <v>SER.CG</v>
      </c>
      <c r="F352" s="267" t="str">
        <f aca="false">VLOOKUP($B352,01_SINTETICO!$A:$M,5,0)</f>
        <v>UN</v>
      </c>
      <c r="G352" s="267" t="n">
        <f aca="true">SUMIFS(INDIRECT("'01_SINTETICO'!F7:F995"),INDIRECT("'01_SINTETICO'!B7:B995"),$C352)</f>
        <v>107</v>
      </c>
      <c r="H352" s="268" t="n">
        <f aca="false">VLOOKUP($C352,01_SINTETICO!$B:$M,6,0)*$G352*(1+BDI_DIF)</f>
        <v>1035.69021218775</v>
      </c>
      <c r="I352" s="268" t="n">
        <f aca="false">VLOOKUP($C352,01_SINTETICO!$B:$M,7,0)*$G352*(1+BDI_MDO)</f>
        <v>159.46989702147</v>
      </c>
      <c r="J352" s="269" t="n">
        <f aca="false">SUM(H352:I352)</f>
        <v>1195.16010920922</v>
      </c>
      <c r="K352" s="270" t="n">
        <f aca="false">J352/SUM($J$7:$J$749)</f>
        <v>0.000132392319794922</v>
      </c>
      <c r="L352" s="271" t="n">
        <f aca="false">K352+L351</f>
        <v>0.989573328254602</v>
      </c>
    </row>
    <row r="353" customFormat="false" ht="25.5" hidden="false" customHeight="false" outlineLevel="0" collapsed="false">
      <c r="A353" s="264" t="n">
        <f aca="false">K353</f>
        <v>0.000132151659230015</v>
      </c>
      <c r="B353" s="265" t="str">
        <f aca="false">VLOOKUP($C353,01_SINTETICO!$B:$N,13,0)</f>
        <v>10.1.3</v>
      </c>
      <c r="C353" s="266" t="n">
        <v>100849</v>
      </c>
      <c r="D353" s="266" t="str">
        <f aca="false">VLOOKUP($C353,01_SINTETICO!$B:$M,2,0)</f>
        <v>ASSENTO SANITÁRIO CONVENCIONAL - FORNECIMENTO E INSTALACAO. AF_01/2020</v>
      </c>
      <c r="E353" s="266" t="str">
        <f aca="false">VLOOKUP($B353,01_SINTETICO!$A:$M,4,0)</f>
        <v>SER.CG</v>
      </c>
      <c r="F353" s="267" t="str">
        <f aca="false">VLOOKUP($B353,01_SINTETICO!$A:$M,5,0)</f>
        <v>UN</v>
      </c>
      <c r="G353" s="267" t="n">
        <f aca="true">SUMIFS(INDIRECT("'01_SINTETICO'!F7:F995"),INDIRECT("'01_SINTETICO'!B7:B995"),$C353)</f>
        <v>24</v>
      </c>
      <c r="H353" s="268" t="n">
        <f aca="false">VLOOKUP($C353,01_SINTETICO!$B:$M,6,0)*$G353*(1+BDI_DIF)</f>
        <v>1076.664613643</v>
      </c>
      <c r="I353" s="268" t="n">
        <f aca="false">VLOOKUP($C353,01_SINTETICO!$B:$M,7,0)*$G353*(1+BDI_MDO)</f>
        <v>116.322953325993</v>
      </c>
      <c r="J353" s="269" t="n">
        <f aca="false">SUM(H353:I353)</f>
        <v>1192.98756696899</v>
      </c>
      <c r="K353" s="270" t="n">
        <f aca="false">J353/SUM($J$7:$J$749)</f>
        <v>0.000132151659230015</v>
      </c>
      <c r="L353" s="271" t="n">
        <f aca="false">K353+L352</f>
        <v>0.989705479913832</v>
      </c>
    </row>
    <row r="354" customFormat="false" ht="38.25" hidden="false" customHeight="false" outlineLevel="0" collapsed="false">
      <c r="A354" s="264" t="n">
        <f aca="false">K354</f>
        <v>0.000130218800598381</v>
      </c>
      <c r="B354" s="265" t="str">
        <f aca="false">VLOOKUP($C354,01_SINTETICO!$B:$N,13,0)</f>
        <v>11.3.1.10</v>
      </c>
      <c r="C354" s="266" t="n">
        <v>89712</v>
      </c>
      <c r="D354" s="266" t="str">
        <f aca="false">VLOOKUP($C354,01_SINTETICO!$B:$M,2,0)</f>
        <v>TUBO PVC, SERIE NORMAL, ESGOTO PREDIAL, DN 50 MM, FORNECIDO E INSTALADO EM RAMAL DE DESCARGA OU RAMAL DE ESGOTO SANITÁRIO. AF_08/2022</v>
      </c>
      <c r="E354" s="266" t="str">
        <f aca="false">VLOOKUP($B354,01_SINTETICO!$A:$M,4,0)</f>
        <v>SER.CG</v>
      </c>
      <c r="F354" s="267" t="str">
        <f aca="false">VLOOKUP($B354,01_SINTETICO!$A:$M,5,0)</f>
        <v>M</v>
      </c>
      <c r="G354" s="267" t="n">
        <f aca="true">SUMIFS(INDIRECT("'01_SINTETICO'!F7:F995"),INDIRECT("'01_SINTETICO'!B7:B995"),$C354)</f>
        <v>35.9</v>
      </c>
      <c r="H354" s="268" t="n">
        <f aca="false">VLOOKUP($C354,01_SINTETICO!$B:$M,6,0)*$G354*(1+BDI_DIF)</f>
        <v>679.180381278133</v>
      </c>
      <c r="I354" s="268" t="n">
        <f aca="false">VLOOKUP($C354,01_SINTETICO!$B:$M,7,0)*$G354*(1+BDI_MDO)</f>
        <v>496.358473130736</v>
      </c>
      <c r="J354" s="269" t="n">
        <f aca="false">SUM(H354:I354)</f>
        <v>1175.53885440887</v>
      </c>
      <c r="K354" s="270" t="n">
        <f aca="false">J354/SUM($J$7:$J$749)</f>
        <v>0.000130218800598381</v>
      </c>
      <c r="L354" s="271" t="n">
        <f aca="false">K354+L353</f>
        <v>0.98983569871443</v>
      </c>
    </row>
    <row r="355" customFormat="false" ht="25.5" hidden="false" customHeight="false" outlineLevel="0" collapsed="false">
      <c r="A355" s="264" t="n">
        <f aca="false">K355</f>
        <v>0.000129502023793115</v>
      </c>
      <c r="B355" s="265" t="str">
        <f aca="false">VLOOKUP($C355,01_SINTETICO!$B:$N,13,0)</f>
        <v>5.3.1.2.1</v>
      </c>
      <c r="C355" s="266" t="s">
        <v>445</v>
      </c>
      <c r="D355" s="266" t="str">
        <f aca="false">VLOOKUP($C355,01_SINTETICO!$B:$M,2,0)</f>
        <v>PORTA DE ABRIR, EM VIDRO TEMPERADO,100X220 CM, ESPESSURA 10 MM, INCLUSIVE ACESSÓRIOS.</v>
      </c>
      <c r="E355" s="266" t="str">
        <f aca="false">VLOOKUP($B355,01_SINTETICO!$A:$M,4,0)</f>
        <v>SER.CG</v>
      </c>
      <c r="F355" s="267" t="str">
        <f aca="false">VLOOKUP($B355,01_SINTETICO!$A:$M,5,0)</f>
        <v>UN</v>
      </c>
      <c r="G355" s="267" t="n">
        <f aca="true">SUMIFS(INDIRECT("'01_SINTETICO'!F7:F995"),INDIRECT("'01_SINTETICO'!B7:B995"),$C355)</f>
        <v>1</v>
      </c>
      <c r="H355" s="268" t="n">
        <f aca="false">VLOOKUP($C355,01_SINTETICO!$B:$M,6,0)*$G355*(1+BDI_DIF)</f>
        <v>1042.44557443683</v>
      </c>
      <c r="I355" s="268" t="n">
        <f aca="false">VLOOKUP($C355,01_SINTETICO!$B:$M,7,0)*$G355*(1+BDI_MDO)</f>
        <v>126.622639936516</v>
      </c>
      <c r="J355" s="269" t="n">
        <f aca="false">SUM(H355:I355)</f>
        <v>1169.06821437335</v>
      </c>
      <c r="K355" s="270" t="n">
        <f aca="false">J355/SUM($J$7:$J$749)</f>
        <v>0.000129502023793115</v>
      </c>
      <c r="L355" s="271" t="n">
        <f aca="false">K355+L354</f>
        <v>0.989965200738224</v>
      </c>
    </row>
    <row r="356" customFormat="false" ht="25.5" hidden="false" customHeight="false" outlineLevel="0" collapsed="false">
      <c r="A356" s="264" t="n">
        <f aca="false">K356</f>
        <v>0.000129288854984619</v>
      </c>
      <c r="B356" s="265" t="str">
        <f aca="false">VLOOKUP($C356,01_SINTETICO!$B:$N,13,0)</f>
        <v>8.1.1.2.1</v>
      </c>
      <c r="C356" s="266" t="n">
        <v>102500</v>
      </c>
      <c r="D356" s="266" t="str">
        <f aca="false">VLOOKUP($C356,01_SINTETICO!$B:$M,2,0)</f>
        <v>PINTURA DE DEMARCAÇÃO DE VAGA COM TINTA ACRÍLICA, E = 10 CM, APLICAÇÃO MANUAL. AF_05/2021</v>
      </c>
      <c r="E356" s="266" t="str">
        <f aca="false">VLOOKUP($B356,01_SINTETICO!$A:$M,4,0)</f>
        <v>SER.CG</v>
      </c>
      <c r="F356" s="267" t="str">
        <f aca="false">VLOOKUP($B356,01_SINTETICO!$A:$M,5,0)</f>
        <v>M</v>
      </c>
      <c r="G356" s="267" t="n">
        <f aca="true">SUMIFS(INDIRECT("'01_SINTETICO'!F7:F995"),INDIRECT("'01_SINTETICO'!B7:B995"),$C356)</f>
        <v>240</v>
      </c>
      <c r="H356" s="268" t="n">
        <f aca="false">VLOOKUP($C356,01_SINTETICO!$B:$M,6,0)*$G356*(1+BDI_DIF)</f>
        <v>646.05720232533</v>
      </c>
      <c r="I356" s="268" t="n">
        <f aca="false">VLOOKUP($C356,01_SINTETICO!$B:$M,7,0)*$G356*(1+BDI_MDO)</f>
        <v>521.086649238778</v>
      </c>
      <c r="J356" s="269" t="n">
        <f aca="false">SUM(H356:I356)</f>
        <v>1167.14385156411</v>
      </c>
      <c r="K356" s="270" t="n">
        <f aca="false">J356/SUM($J$7:$J$749)</f>
        <v>0.000129288854984619</v>
      </c>
      <c r="L356" s="271" t="n">
        <f aca="false">K356+L355</f>
        <v>0.990094489593208</v>
      </c>
    </row>
    <row r="357" customFormat="false" ht="38.25" hidden="false" customHeight="false" outlineLevel="0" collapsed="false">
      <c r="A357" s="264" t="n">
        <f aca="false">K357</f>
        <v>0.000127485156713768</v>
      </c>
      <c r="B357" s="265" t="str">
        <f aca="false">VLOOKUP($C357,01_SINTETICO!$B:$N,13,0)</f>
        <v>11.2.3.27</v>
      </c>
      <c r="C357" s="272" t="n">
        <v>89711</v>
      </c>
      <c r="D357" s="266" t="str">
        <f aca="false">VLOOKUP($C357,01_SINTETICO!$B:$M,2,0)</f>
        <v>TUBO PVC, SERIE NORMAL, ESGOTO PREDIAL, DN 40 MM, FORNECIDO E INSTALADO EM RAMAL DE DESCARGA OU RAMAL DE ESGOTO SANITÁRIO. AF_08/2022</v>
      </c>
      <c r="E357" s="272" t="str">
        <f aca="false">VLOOKUP($B357,01_SINTETICO!$A:$M,4,0)</f>
        <v>SER.CG</v>
      </c>
      <c r="F357" s="273" t="str">
        <f aca="false">VLOOKUP($B357,01_SINTETICO!$A:$M,5,0)</f>
        <v>M</v>
      </c>
      <c r="G357" s="267" t="n">
        <f aca="true">SUMIFS(INDIRECT("'01_SINTETICO'!F7:F995"),INDIRECT("'01_SINTETICO'!B7:B995"),$C357)</f>
        <v>55.4</v>
      </c>
      <c r="H357" s="268" t="n">
        <f aca="false">VLOOKUP($C357,01_SINTETICO!$B:$M,6,0)*$G357*(1+BDI_DIF)</f>
        <v>724.896135731324</v>
      </c>
      <c r="I357" s="268" t="n">
        <f aca="false">VLOOKUP($C357,01_SINTETICO!$B:$M,7,0)*$G357*(1+BDI_MDO)</f>
        <v>425.964987154037</v>
      </c>
      <c r="J357" s="269" t="n">
        <f aca="false">SUM(H357:I357)</f>
        <v>1150.86112288536</v>
      </c>
      <c r="K357" s="270" t="n">
        <f aca="false">J357/SUM($J$7:$J$749)</f>
        <v>0.000127485156713768</v>
      </c>
      <c r="L357" s="271" t="n">
        <f aca="false">K357+L356</f>
        <v>0.990221974749922</v>
      </c>
    </row>
    <row r="358" customFormat="false" ht="25.5" hidden="false" customHeight="false" outlineLevel="0" collapsed="false">
      <c r="A358" s="264" t="n">
        <f aca="false">K358</f>
        <v>0.000125448293994857</v>
      </c>
      <c r="B358" s="265" t="str">
        <f aca="false">VLOOKUP($C358,01_SINTETICO!$B:$N,13,0)</f>
        <v>10.2.6</v>
      </c>
      <c r="C358" s="266" t="s">
        <v>645</v>
      </c>
      <c r="D358" s="266" t="str">
        <f aca="false">VLOOKUP($C358,01_SINTETICO!$B:$M,2,0)</f>
        <v>BARRA DE APOIO RETA, EM ACO INOX POLIDO, COMPRIMENTO 40CM, FIXADA NA PAREDE - FORNECIMENTO E INSTALAÇÃO.</v>
      </c>
      <c r="E358" s="266" t="str">
        <f aca="false">VLOOKUP($B358,01_SINTETICO!$A:$M,4,0)</f>
        <v>SER.CG</v>
      </c>
      <c r="F358" s="267" t="str">
        <f aca="false">VLOOKUP($B358,01_SINTETICO!$A:$M,5,0)</f>
        <v>UN</v>
      </c>
      <c r="G358" s="267" t="n">
        <f aca="true">SUMIFS(INDIRECT("'01_SINTETICO'!F7:F995"),INDIRECT("'01_SINTETICO'!B7:B995"),$C358)</f>
        <v>4</v>
      </c>
      <c r="H358" s="268" t="n">
        <f aca="false">VLOOKUP($C358,01_SINTETICO!$B:$M,6,0)*$G358*(1+BDI_DIF)</f>
        <v>1112.32249108863</v>
      </c>
      <c r="I358" s="268" t="n">
        <f aca="false">VLOOKUP($C358,01_SINTETICO!$B:$M,7,0)*$G358*(1+BDI_MDO)</f>
        <v>20.1510314181792</v>
      </c>
      <c r="J358" s="269" t="n">
        <f aca="false">SUM(H358:I358)</f>
        <v>1132.47352250681</v>
      </c>
      <c r="K358" s="270" t="n">
        <f aca="false">J358/SUM($J$7:$J$749)</f>
        <v>0.000125448293994857</v>
      </c>
      <c r="L358" s="271" t="n">
        <f aca="false">K358+L357</f>
        <v>0.990347423043917</v>
      </c>
    </row>
    <row r="359" customFormat="false" ht="38.25" hidden="false" customHeight="false" outlineLevel="0" collapsed="false">
      <c r="A359" s="264" t="n">
        <f aca="false">K359</f>
        <v>0.000123616808898035</v>
      </c>
      <c r="B359" s="265" t="str">
        <f aca="false">VLOOKUP($C359,01_SINTETICO!$B:$N,13,0)</f>
        <v>11.2.3.14</v>
      </c>
      <c r="C359" s="266" t="s">
        <v>715</v>
      </c>
      <c r="D359" s="266" t="str">
        <f aca="false">VLOOKUP($C359,01_SINTETICO!$B:$M,2,0)</f>
        <v>JUNÇÃO SIMPLES DE REDUÇÃO, PVC, SERIE NORMAL, ESGOTO PREDIAL, DN 100 X 50 MM, JUNTA ELÁSTICA, FORNECIDO E INSTALADO EM PRUMADA DE ESGOTO SANITÁRIO OU VENTILAÇÃO.</v>
      </c>
      <c r="E359" s="266" t="str">
        <f aca="false">VLOOKUP($B359,01_SINTETICO!$A:$M,4,0)</f>
        <v>SER.CG</v>
      </c>
      <c r="F359" s="267" t="str">
        <f aca="false">VLOOKUP($B359,01_SINTETICO!$A:$M,5,0)</f>
        <v>UN</v>
      </c>
      <c r="G359" s="267" t="n">
        <f aca="true">SUMIFS(INDIRECT("'01_SINTETICO'!F7:F995"),INDIRECT("'01_SINTETICO'!B7:B995"),$C359)</f>
        <v>21</v>
      </c>
      <c r="H359" s="268" t="n">
        <f aca="false">VLOOKUP($C359,01_SINTETICO!$B:$M,6,0)*$G359*(1+BDI_DIF)</f>
        <v>851.68771621308</v>
      </c>
      <c r="I359" s="268" t="n">
        <f aca="false">VLOOKUP($C359,01_SINTETICO!$B:$M,7,0)*$G359*(1+BDI_MDO)</f>
        <v>264.252234469298</v>
      </c>
      <c r="J359" s="269" t="n">
        <f aca="false">SUM(H359:I359)</f>
        <v>1115.93995068238</v>
      </c>
      <c r="K359" s="270" t="n">
        <f aca="false">J359/SUM($J$7:$J$749)</f>
        <v>0.000123616808898035</v>
      </c>
      <c r="L359" s="271" t="n">
        <f aca="false">K359+L358</f>
        <v>0.990471039852815</v>
      </c>
    </row>
    <row r="360" customFormat="false" ht="25.5" hidden="false" customHeight="false" outlineLevel="0" collapsed="false">
      <c r="A360" s="264" t="n">
        <f aca="false">K360</f>
        <v>0.000123071692304793</v>
      </c>
      <c r="B360" s="265" t="str">
        <f aca="false">VLOOKUP($C360,01_SINTETICO!$B:$N,13,0)</f>
        <v>15.5.2.4</v>
      </c>
      <c r="C360" s="272" t="n">
        <v>91924</v>
      </c>
      <c r="D360" s="266" t="str">
        <f aca="false">VLOOKUP($C360,01_SINTETICO!$B:$M,2,0)</f>
        <v>CABO DE COBRE FLEXÍVEL ISOLADO, 1,5 MM², ANTI-CHAMA 450/750 V, PARA CIRCUITOS TERMINAIS - FORNECIMENTO E INSTALAÇÃO. AF_03/2023</v>
      </c>
      <c r="E360" s="272" t="str">
        <f aca="false">VLOOKUP($B360,01_SINTETICO!$A:$M,4,0)</f>
        <v>SER.CG</v>
      </c>
      <c r="F360" s="273" t="str">
        <f aca="false">VLOOKUP($B360,01_SINTETICO!$A:$M,5,0)</f>
        <v>M</v>
      </c>
      <c r="G360" s="267" t="n">
        <f aca="true">SUMIFS(INDIRECT("'01_SINTETICO'!F7:F995"),INDIRECT("'01_SINTETICO'!B7:B995"),$C360)</f>
        <v>347.1</v>
      </c>
      <c r="H360" s="268" t="n">
        <f aca="false">VLOOKUP($C360,01_SINTETICO!$B:$M,6,0)*$G360*(1+BDI_DIF)</f>
        <v>897.541278697775</v>
      </c>
      <c r="I360" s="268" t="n">
        <f aca="false">VLOOKUP($C360,01_SINTETICO!$B:$M,7,0)*$G360*(1+BDI_MDO)</f>
        <v>213.477679527337</v>
      </c>
      <c r="J360" s="269" t="n">
        <f aca="false">SUM(H360:I360)</f>
        <v>1111.01895822511</v>
      </c>
      <c r="K360" s="270" t="n">
        <f aca="false">J360/SUM($J$7:$J$749)</f>
        <v>0.000123071692304793</v>
      </c>
      <c r="L360" s="271" t="n">
        <f aca="false">K360+L359</f>
        <v>0.99059411154512</v>
      </c>
    </row>
    <row r="361" customFormat="false" ht="25.5" hidden="false" customHeight="false" outlineLevel="0" collapsed="false">
      <c r="A361" s="264" t="n">
        <f aca="false">K361</f>
        <v>0.000121798547785633</v>
      </c>
      <c r="B361" s="265" t="str">
        <f aca="false">VLOOKUP($C361,01_SINTETICO!$B:$N,13,0)</f>
        <v>13.9.4</v>
      </c>
      <c r="C361" s="272" t="s">
        <v>1075</v>
      </c>
      <c r="D361" s="266" t="str">
        <f aca="false">VLOOKUP($C361,01_SINTETICO!$B:$M,2,0)</f>
        <v>CABO CRISTAL, 2 x 2,5 MM² - FORNECIMENTO E INSTALAÇÃO.</v>
      </c>
      <c r="E361" s="272" t="str">
        <f aca="false">VLOOKUP($B361,01_SINTETICO!$A:$M,4,0)</f>
        <v>SER.CG</v>
      </c>
      <c r="F361" s="273" t="str">
        <f aca="false">VLOOKUP($B361,01_SINTETICO!$A:$M,5,0)</f>
        <v>M</v>
      </c>
      <c r="G361" s="267" t="n">
        <f aca="true">SUMIFS(INDIRECT("'01_SINTETICO'!F7:F995"),INDIRECT("'01_SINTETICO'!B7:B995"),$C361)</f>
        <v>160</v>
      </c>
      <c r="H361" s="268" t="n">
        <f aca="false">VLOOKUP($C361,01_SINTETICO!$B:$M,6,0)*$G361*(1+BDI_DIF)</f>
        <v>894.082305881001</v>
      </c>
      <c r="I361" s="268" t="n">
        <f aca="false">VLOOKUP($C361,01_SINTETICO!$B:$M,7,0)*$G361*(1+BDI_MDO)</f>
        <v>205.44345134185</v>
      </c>
      <c r="J361" s="269" t="n">
        <f aca="false">SUM(H361:I361)</f>
        <v>1099.52575722285</v>
      </c>
      <c r="K361" s="270" t="n">
        <f aca="false">J361/SUM($J$7:$J$749)</f>
        <v>0.000121798547785633</v>
      </c>
      <c r="L361" s="271" t="n">
        <f aca="false">K361+L360</f>
        <v>0.990715910092905</v>
      </c>
    </row>
    <row r="362" customFormat="false" ht="25.5" hidden="false" customHeight="false" outlineLevel="0" collapsed="false">
      <c r="A362" s="264" t="n">
        <f aca="false">K362</f>
        <v>0.000115160483597052</v>
      </c>
      <c r="B362" s="265" t="str">
        <f aca="false">VLOOKUP($C362,01_SINTETICO!$B:$N,13,0)</f>
        <v>3.2.3.2.7</v>
      </c>
      <c r="C362" s="266" t="n">
        <v>96546</v>
      </c>
      <c r="D362" s="266" t="str">
        <f aca="false">VLOOKUP($C362,01_SINTETICO!$B:$M,2,0)</f>
        <v>ARMAÇÃO DE BLOCO UTILIZANDO AÇO CA-50 DE 10 MM - MONTAGEM. AF_01/2024</v>
      </c>
      <c r="E362" s="266" t="str">
        <f aca="false">VLOOKUP($B362,01_SINTETICO!$A:$M,4,0)</f>
        <v>SER.CG</v>
      </c>
      <c r="F362" s="267" t="str">
        <f aca="false">VLOOKUP($B362,01_SINTETICO!$A:$M,5,0)</f>
        <v>KG</v>
      </c>
      <c r="G362" s="267" t="n">
        <f aca="true">SUMIFS(INDIRECT("'01_SINTETICO'!F7:F995"),INDIRECT("'01_SINTETICO'!B7:B995"),$C362)</f>
        <v>66.64</v>
      </c>
      <c r="H362" s="268" t="n">
        <f aca="false">VLOOKUP($C362,01_SINTETICO!$B:$M,6,0)*$G362*(1+BDI_DIF)</f>
        <v>770.999908910724</v>
      </c>
      <c r="I362" s="268" t="n">
        <f aca="false">VLOOKUP($C362,01_SINTETICO!$B:$M,7,0)*$G362*(1+BDI_MDO)</f>
        <v>268.601303347199</v>
      </c>
      <c r="J362" s="269" t="n">
        <f aca="false">SUM(H362:I362)</f>
        <v>1039.60121225792</v>
      </c>
      <c r="K362" s="270" t="n">
        <f aca="false">J362/SUM($J$7:$J$749)</f>
        <v>0.000115160483597052</v>
      </c>
      <c r="L362" s="271" t="n">
        <f aca="false">K362+L361</f>
        <v>0.990831070576502</v>
      </c>
    </row>
    <row r="363" customFormat="false" ht="25.5" hidden="false" customHeight="false" outlineLevel="0" collapsed="false">
      <c r="A363" s="264" t="n">
        <f aca="false">K363</f>
        <v>0.00011501651571277</v>
      </c>
      <c r="B363" s="265" t="str">
        <f aca="false">VLOOKUP($C363,01_SINTETICO!$B:$N,13,0)</f>
        <v>17.2.3</v>
      </c>
      <c r="C363" s="272" t="s">
        <v>1336</v>
      </c>
      <c r="D363" s="266" t="str">
        <f aca="false">VLOOKUP($C363,01_SINTETICO!$B:$M,2,0)</f>
        <v>PLANTIO DE BROMÉLIA PORTO SEGURO, COM ALTURA DE MUDA DE ATÉ 0,90 M.</v>
      </c>
      <c r="E363" s="272" t="str">
        <f aca="false">VLOOKUP($B363,01_SINTETICO!$A:$M,4,0)</f>
        <v>SER.CG</v>
      </c>
      <c r="F363" s="273" t="str">
        <f aca="false">VLOOKUP($B363,01_SINTETICO!$A:$M,5,0)</f>
        <v>UN</v>
      </c>
      <c r="G363" s="267" t="n">
        <f aca="true">SUMIFS(INDIRECT("'01_SINTETICO'!F7:F995"),INDIRECT("'01_SINTETICO'!B7:B995"),$C363)</f>
        <v>14</v>
      </c>
      <c r="H363" s="268" t="n">
        <f aca="false">VLOOKUP($C363,01_SINTETICO!$B:$M,6,0)*$G363*(1+BDI_DIF)</f>
        <v>1007.34139582037</v>
      </c>
      <c r="I363" s="268" t="n">
        <f aca="false">VLOOKUP($C363,01_SINTETICO!$B:$M,7,0)*$G363*(1+BDI_MDO)</f>
        <v>30.960158930474</v>
      </c>
      <c r="J363" s="269" t="n">
        <f aca="false">SUM(H363:I363)</f>
        <v>1038.30155475084</v>
      </c>
      <c r="K363" s="270" t="n">
        <f aca="false">J363/SUM($J$7:$J$749)</f>
        <v>0.00011501651571277</v>
      </c>
      <c r="L363" s="271" t="n">
        <f aca="false">K363+L362</f>
        <v>0.990946087092215</v>
      </c>
    </row>
    <row r="364" customFormat="false" ht="38.25" hidden="false" customHeight="false" outlineLevel="0" collapsed="false">
      <c r="A364" s="264" t="n">
        <f aca="false">K364</f>
        <v>0.000114637790775552</v>
      </c>
      <c r="B364" s="265" t="str">
        <f aca="false">VLOOKUP($C364,01_SINTETICO!$B:$N,13,0)</f>
        <v>11.2.3.17</v>
      </c>
      <c r="C364" s="266" t="n">
        <v>89834</v>
      </c>
      <c r="D364" s="266" t="str">
        <f aca="false">VLOOKUP($C364,01_SINTETICO!$B:$M,2,0)</f>
        <v>JUNÇÃO SIMPLES, PVC, SERIE NORMAL, ESGOTO PREDIAL, DN 100 X 100 MM, JUNTA ELÁSTICA, FORNECIDO E INSTALADO EM PRUMADA DE ESGOTO SANITÁRIO OU VENTILAÇÃO. AF_08/2022</v>
      </c>
      <c r="E364" s="266" t="str">
        <f aca="false">VLOOKUP($B364,01_SINTETICO!$A:$M,4,0)</f>
        <v>SER.CG</v>
      </c>
      <c r="F364" s="267" t="str">
        <f aca="false">VLOOKUP($B364,01_SINTETICO!$A:$M,5,0)</f>
        <v>UN</v>
      </c>
      <c r="G364" s="267" t="n">
        <f aca="true">SUMIFS(INDIRECT("'01_SINTETICO'!F7:F995"),INDIRECT("'01_SINTETICO'!B7:B995"),$C364)</f>
        <v>20</v>
      </c>
      <c r="H364" s="268" t="n">
        <f aca="false">VLOOKUP($C364,01_SINTETICO!$B:$M,6,0)*$G364*(1+BDI_DIF)</f>
        <v>783.213853709815</v>
      </c>
      <c r="I364" s="268" t="n">
        <f aca="false">VLOOKUP($C364,01_SINTETICO!$B:$M,7,0)*$G364*(1+BDI_MDO)</f>
        <v>251.668794732664</v>
      </c>
      <c r="J364" s="269" t="n">
        <f aca="false">SUM(H364:I364)</f>
        <v>1034.88264844248</v>
      </c>
      <c r="K364" s="270" t="n">
        <f aca="false">J364/SUM($J$7:$J$749)</f>
        <v>0.000114637790775552</v>
      </c>
      <c r="L364" s="271" t="n">
        <f aca="false">K364+L363</f>
        <v>0.991060724882991</v>
      </c>
    </row>
    <row r="365" customFormat="false" ht="38.25" hidden="false" customHeight="false" outlineLevel="0" collapsed="false">
      <c r="A365" s="264" t="n">
        <f aca="false">K365</f>
        <v>0.000114347912926739</v>
      </c>
      <c r="B365" s="265" t="str">
        <f aca="false">VLOOKUP($C365,01_SINTETICO!$B:$N,13,0)</f>
        <v>11.4.4.6</v>
      </c>
      <c r="C365" s="266" t="n">
        <v>89567</v>
      </c>
      <c r="D365" s="266" t="str">
        <f aca="false">VLOOKUP($C365,01_SINTETICO!$B:$M,2,0)</f>
        <v>JUNÇÃO SIMPLES, PVC, SERIE R, ÁGUA PLUVIAL, DN 100 X 100 MM, JUNTA ELÁSTICA, FORNECIDO E INSTALADO EM RAMAL DE ENCAMINHAMENTO. AF_06/2022</v>
      </c>
      <c r="E365" s="266" t="str">
        <f aca="false">VLOOKUP($B365,01_SINTETICO!$A:$M,4,0)</f>
        <v>SER.CG</v>
      </c>
      <c r="F365" s="267" t="str">
        <f aca="false">VLOOKUP($B365,01_SINTETICO!$A:$M,5,0)</f>
        <v>UN</v>
      </c>
      <c r="G365" s="267" t="n">
        <f aca="true">SUMIFS(INDIRECT("'01_SINTETICO'!F7:F995"),INDIRECT("'01_SINTETICO'!B7:B995"),$C365)</f>
        <v>11</v>
      </c>
      <c r="H365" s="268" t="n">
        <f aca="false">VLOOKUP($C365,01_SINTETICO!$B:$M,6,0)*$G365*(1+BDI_DIF)</f>
        <v>950.199701224702</v>
      </c>
      <c r="I365" s="268" t="n">
        <f aca="false">VLOOKUP($C365,01_SINTETICO!$B:$M,7,0)*$G365*(1+BDI_MDO)</f>
        <v>82.0661002437126</v>
      </c>
      <c r="J365" s="269" t="n">
        <f aca="false">SUM(H365:I365)</f>
        <v>1032.26580146842</v>
      </c>
      <c r="K365" s="270" t="n">
        <f aca="false">J365/SUM($J$7:$J$749)</f>
        <v>0.000114347912926739</v>
      </c>
      <c r="L365" s="271" t="n">
        <f aca="false">K365+L364</f>
        <v>0.991175072795917</v>
      </c>
    </row>
    <row r="366" customFormat="false" ht="25.5" hidden="false" customHeight="false" outlineLevel="0" collapsed="false">
      <c r="A366" s="264" t="n">
        <f aca="false">K366</f>
        <v>0.000111827058779932</v>
      </c>
      <c r="B366" s="265" t="str">
        <f aca="false">VLOOKUP($C366,01_SINTETICO!$B:$N,13,0)</f>
        <v>15.5.1.1</v>
      </c>
      <c r="C366" s="272" t="s">
        <v>1199</v>
      </c>
      <c r="D366" s="266" t="str">
        <f aca="false">VLOOKUP($C366,01_SINTETICO!$B:$M,2,0)</f>
        <v>CENTRAL DE ALARME ENDEREÇÁVEL CIE 1060 INTELBRAS - FORNECIMENTO E INSTALAÇÃO.</v>
      </c>
      <c r="E366" s="272" t="str">
        <f aca="false">VLOOKUP($B366,01_SINTETICO!$A:$M,4,0)</f>
        <v>SER.CG</v>
      </c>
      <c r="F366" s="273" t="str">
        <f aca="false">VLOOKUP($B366,01_SINTETICO!$A:$M,5,0)</f>
        <v>UN</v>
      </c>
      <c r="G366" s="267" t="n">
        <f aca="true">SUMIFS(INDIRECT("'01_SINTETICO'!F7:F995"),INDIRECT("'01_SINTETICO'!B7:B995"),$C366)</f>
        <v>1</v>
      </c>
      <c r="H366" s="268" t="n">
        <f aca="false">VLOOKUP($C366,01_SINTETICO!$B:$M,6,0)*$G366*(1+BDI_DIF)</f>
        <v>982.768479927623</v>
      </c>
      <c r="I366" s="268" t="n">
        <f aca="false">VLOOKUP($C366,01_SINTETICO!$B:$M,7,0)*$G366*(1+BDI_MDO)</f>
        <v>26.74053079896</v>
      </c>
      <c r="J366" s="269" t="n">
        <f aca="false">SUM(H366:I366)</f>
        <v>1009.50901072658</v>
      </c>
      <c r="K366" s="270" t="n">
        <f aca="false">J366/SUM($J$7:$J$749)</f>
        <v>0.000111827058779932</v>
      </c>
      <c r="L366" s="271" t="n">
        <f aca="false">K366+L365</f>
        <v>0.991286899854697</v>
      </c>
    </row>
    <row r="367" customFormat="false" ht="38.25" hidden="false" customHeight="false" outlineLevel="0" collapsed="false">
      <c r="A367" s="264" t="n">
        <f aca="false">K367</f>
        <v>0.000111280824606492</v>
      </c>
      <c r="B367" s="265" t="str">
        <f aca="false">VLOOKUP($C367,01_SINTETICO!$B:$N,13,0)</f>
        <v>8.2.6.2</v>
      </c>
      <c r="C367" s="272" t="n">
        <v>100754</v>
      </c>
      <c r="D367" s="266" t="str">
        <f aca="false">VLOOKUP($C367,01_SINTETICO!$B:$M,2,0)</f>
        <v>PINTURA COM TINTA ACRÍLICA DE ACABAMENTO APLICADA A ROLO OU PINCEL SOBRE SUPERFÍCIES METÁLICAS (EXCETO PERFIL) EXECUTADO EM OBRA (02 DEMÃOS). AF_01/2020</v>
      </c>
      <c r="E367" s="272" t="str">
        <f aca="false">VLOOKUP($B367,01_SINTETICO!$A:$M,4,0)</f>
        <v>SER.CG</v>
      </c>
      <c r="F367" s="273" t="str">
        <f aca="false">VLOOKUP($B367,01_SINTETICO!$A:$M,5,0)</f>
        <v>M2</v>
      </c>
      <c r="G367" s="267" t="n">
        <f aca="true">SUMIFS(INDIRECT("'01_SINTETICO'!F7:F995"),INDIRECT("'01_SINTETICO'!B7:B995"),$C367)</f>
        <v>28.27</v>
      </c>
      <c r="H367" s="268" t="n">
        <f aca="false">VLOOKUP($C367,01_SINTETICO!$B:$M,6,0)*$G367*(1+BDI_DIF)</f>
        <v>331.842011919182</v>
      </c>
      <c r="I367" s="268" t="n">
        <f aca="false">VLOOKUP($C367,01_SINTETICO!$B:$M,7,0)*$G367*(1+BDI_MDO)</f>
        <v>672.735917492461</v>
      </c>
      <c r="J367" s="269" t="n">
        <f aca="false">SUM(H367:I367)</f>
        <v>1004.57792941164</v>
      </c>
      <c r="K367" s="270" t="n">
        <f aca="false">J367/SUM($J$7:$J$749)</f>
        <v>0.000111280824606492</v>
      </c>
      <c r="L367" s="271" t="n">
        <f aca="false">K367+L366</f>
        <v>0.991398180679304</v>
      </c>
    </row>
    <row r="368" customFormat="false" ht="25.5" hidden="false" customHeight="false" outlineLevel="0" collapsed="false">
      <c r="A368" s="264" t="n">
        <f aca="false">K368</f>
        <v>0.000110082008924595</v>
      </c>
      <c r="B368" s="265" t="str">
        <f aca="false">VLOOKUP($C368,01_SINTETICO!$B:$N,13,0)</f>
        <v>17.2.2</v>
      </c>
      <c r="C368" s="274" t="s">
        <v>1334</v>
      </c>
      <c r="D368" s="266" t="str">
        <f aca="false">VLOOKUP($C368,01_SINTETICO!$B:$M,2,0)</f>
        <v>PLANTIO DE BROMÉLIA IMPERIAL, COM ALTURA DE MUDA ATÉ 1,50 M.</v>
      </c>
      <c r="E368" s="266" t="str">
        <f aca="false">VLOOKUP($B368,01_SINTETICO!$A:$M,4,0)</f>
        <v>SER.CG</v>
      </c>
      <c r="F368" s="267" t="str">
        <f aca="false">VLOOKUP($B368,01_SINTETICO!$A:$M,5,0)</f>
        <v>UN</v>
      </c>
      <c r="G368" s="267" t="n">
        <f aca="true">SUMIFS(INDIRECT("'01_SINTETICO'!F7:F995"),INDIRECT("'01_SINTETICO'!B7:B995"),$C368)</f>
        <v>5</v>
      </c>
      <c r="H368" s="268" t="n">
        <f aca="false">VLOOKUP($C368,01_SINTETICO!$B:$M,6,0)*$G368*(1+BDI_DIF)</f>
        <v>970.487988300302</v>
      </c>
      <c r="I368" s="268" t="n">
        <f aca="false">VLOOKUP($C368,01_SINTETICO!$B:$M,7,0)*$G368*(1+BDI_MDO)</f>
        <v>23.2677371986306</v>
      </c>
      <c r="J368" s="269" t="n">
        <f aca="false">SUM(H368:I368)</f>
        <v>993.755725498932</v>
      </c>
      <c r="K368" s="270" t="n">
        <f aca="false">J368/SUM($J$7:$J$749)</f>
        <v>0.000110082008924595</v>
      </c>
      <c r="L368" s="271" t="n">
        <f aca="false">K368+L367</f>
        <v>0.991508262688229</v>
      </c>
    </row>
    <row r="369" customFormat="false" ht="25.5" hidden="false" customHeight="false" outlineLevel="0" collapsed="false">
      <c r="A369" s="264" t="n">
        <f aca="false">K369</f>
        <v>0.000109734446964457</v>
      </c>
      <c r="B369" s="265" t="str">
        <f aca="false">VLOOKUP($C369,01_SINTETICO!$B:$N,13,0)</f>
        <v>10.2.7</v>
      </c>
      <c r="C369" s="272" t="s">
        <v>647</v>
      </c>
      <c r="D369" s="266" t="str">
        <f aca="false">VLOOKUP($C369,01_SINTETICO!$B:$M,2,0)</f>
        <v>BARRA DE APOIO PARA LAVATÓRIO, EM ACO INOX POLIDO, COMPRIMENTO 25CM, FIXADA NA PAREDE - FORNECIMENTO EINSTALAÇÃO.</v>
      </c>
      <c r="E369" s="272" t="str">
        <f aca="false">VLOOKUP($B369,01_SINTETICO!$A:$M,4,0)</f>
        <v>SER.CG</v>
      </c>
      <c r="F369" s="273" t="str">
        <f aca="false">VLOOKUP($B369,01_SINTETICO!$A:$M,5,0)</f>
        <v>UN</v>
      </c>
      <c r="G369" s="267" t="n">
        <f aca="true">SUMIFS(INDIRECT("'01_SINTETICO'!F7:F995"),INDIRECT("'01_SINTETICO'!B7:B995"),$C369)</f>
        <v>4</v>
      </c>
      <c r="H369" s="268" t="n">
        <f aca="false">VLOOKUP($C369,01_SINTETICO!$B:$M,6,0)*$G369*(1+BDI_DIF)</f>
        <v>870.90505554681</v>
      </c>
      <c r="I369" s="268" t="n">
        <f aca="false">VLOOKUP($C369,01_SINTETICO!$B:$M,7,0)*$G369*(1+BDI_MDO)</f>
        <v>119.713084698845</v>
      </c>
      <c r="J369" s="269" t="n">
        <f aca="false">SUM(H369:I369)</f>
        <v>990.618140245654</v>
      </c>
      <c r="K369" s="270" t="n">
        <f aca="false">J369/SUM($J$7:$J$749)</f>
        <v>0.000109734446964457</v>
      </c>
      <c r="L369" s="271" t="n">
        <f aca="false">K369+L368</f>
        <v>0.991617997135193</v>
      </c>
    </row>
    <row r="370" customFormat="false" ht="38.25" hidden="false" customHeight="false" outlineLevel="0" collapsed="false">
      <c r="A370" s="264" t="n">
        <f aca="false">K370</f>
        <v>0.000107272790448249</v>
      </c>
      <c r="B370" s="265" t="str">
        <f aca="false">VLOOKUP($C370,01_SINTETICO!$B:$N,13,0)</f>
        <v>8.1.2.4</v>
      </c>
      <c r="C370" s="272" t="n">
        <v>94278</v>
      </c>
      <c r="D370" s="266" t="str">
        <f aca="false">VLOOKUP($C370,01_SINTETICO!$B:$M,2,0)</f>
        <v>ASSENTAMENTO DE GUIA (MEIO-FIO) EM TRECHO CURVO, CONFECCIONADA EM CONCRETO PRÉ-FABRICADO, DIMENSÕES 80X08X08X25 CM (COMPRIMENTO X BASE INFERIOR X BASE SUPERIOR X ALTURA). AF_01/2024</v>
      </c>
      <c r="E370" s="272" t="str">
        <f aca="false">VLOOKUP($B370,01_SINTETICO!$A:$M,4,0)</f>
        <v>SER.CG</v>
      </c>
      <c r="F370" s="273" t="str">
        <f aca="false">VLOOKUP($B370,01_SINTETICO!$A:$M,5,0)</f>
        <v>M</v>
      </c>
      <c r="G370" s="267" t="n">
        <f aca="true">SUMIFS(INDIRECT("'01_SINTETICO'!F7:F995"),INDIRECT("'01_SINTETICO'!B7:B995"),$C370)</f>
        <v>22.28</v>
      </c>
      <c r="H370" s="268" t="n">
        <f aca="false">VLOOKUP($C370,01_SINTETICO!$B:$M,6,0)*$G370*(1+BDI_DIF)</f>
        <v>867.56382098827</v>
      </c>
      <c r="I370" s="268" t="n">
        <f aca="false">VLOOKUP($C370,01_SINTETICO!$B:$M,7,0)*$G370*(1+BDI_MDO)</f>
        <v>100.831929957884</v>
      </c>
      <c r="J370" s="269" t="n">
        <f aca="false">SUM(H370:I370)</f>
        <v>968.395750946154</v>
      </c>
      <c r="K370" s="270" t="n">
        <f aca="false">J370/SUM($J$7:$J$749)</f>
        <v>0.000107272790448249</v>
      </c>
      <c r="L370" s="271" t="n">
        <f aca="false">K370+L369</f>
        <v>0.991725269925641</v>
      </c>
    </row>
    <row r="371" customFormat="false" ht="25.5" hidden="false" customHeight="false" outlineLevel="0" collapsed="false">
      <c r="A371" s="264" t="n">
        <f aca="false">K371</f>
        <v>0.000105678898799058</v>
      </c>
      <c r="B371" s="265" t="str">
        <f aca="false">VLOOKUP($C371,01_SINTETICO!$B:$N,13,0)</f>
        <v>16.2.1.2</v>
      </c>
      <c r="C371" s="266" t="s">
        <v>1302</v>
      </c>
      <c r="D371" s="266" t="str">
        <f aca="false">VLOOKUP($C371,01_SINTETICO!$B:$M,2,0)</f>
        <v>DIFUSOR PARA SISTEMA DE RENOVAÇÃO DE AR, Ø150 MM - FORNECIMENTO E INSTALAÇÃO.</v>
      </c>
      <c r="E371" s="266" t="str">
        <f aca="false">VLOOKUP($B371,01_SINTETICO!$A:$M,4,0)</f>
        <v>SER.CG</v>
      </c>
      <c r="F371" s="267" t="str">
        <f aca="false">VLOOKUP($B371,01_SINTETICO!$A:$M,5,0)</f>
        <v>UN</v>
      </c>
      <c r="G371" s="267" t="n">
        <f aca="true">SUMIFS(INDIRECT("'01_SINTETICO'!F7:F995"),INDIRECT("'01_SINTETICO'!B7:B995"),$C371)</f>
        <v>6</v>
      </c>
      <c r="H371" s="268" t="n">
        <f aca="false">VLOOKUP($C371,01_SINTETICO!$B:$M,6,0)*$G371*(1+BDI_DIF)</f>
        <v>608.819865361418</v>
      </c>
      <c r="I371" s="268" t="n">
        <f aca="false">VLOOKUP($C371,01_SINTETICO!$B:$M,7,0)*$G371*(1+BDI_MDO)</f>
        <v>345.187167867086</v>
      </c>
      <c r="J371" s="269" t="n">
        <f aca="false">SUM(H371:I371)</f>
        <v>954.007033228504</v>
      </c>
      <c r="K371" s="270" t="n">
        <f aca="false">J371/SUM($J$7:$J$749)</f>
        <v>0.000105678898799058</v>
      </c>
      <c r="L371" s="271" t="n">
        <f aca="false">K371+L370</f>
        <v>0.99183094882444</v>
      </c>
    </row>
    <row r="372" customFormat="false" ht="25.5" hidden="false" customHeight="false" outlineLevel="0" collapsed="false">
      <c r="A372" s="264" t="n">
        <f aca="false">K372</f>
        <v>0.00010553408137502</v>
      </c>
      <c r="B372" s="265" t="str">
        <f aca="false">VLOOKUP($C372,01_SINTETICO!$B:$N,13,0)</f>
        <v>15.5.2.2</v>
      </c>
      <c r="C372" s="266" t="n">
        <v>95817</v>
      </c>
      <c r="D372" s="266" t="str">
        <f aca="false">VLOOKUP($C372,01_SINTETICO!$B:$M,2,0)</f>
        <v>CONDULETE DE PVC, TIPO X, PARA ELETRODUTO DE PVC SOLDÁVEL DN 25 MM (3/4"), APARENTE - FORNECIMENTO E INSTALAÇÃO. AF_10/2022</v>
      </c>
      <c r="E372" s="266" t="str">
        <f aca="false">VLOOKUP($B372,01_SINTETICO!$A:$M,4,0)</f>
        <v>SER.CG</v>
      </c>
      <c r="F372" s="267" t="str">
        <f aca="false">VLOOKUP($B372,01_SINTETICO!$A:$M,5,0)</f>
        <v>UN</v>
      </c>
      <c r="G372" s="267" t="n">
        <f aca="true">SUMIFS(INDIRECT("'01_SINTETICO'!F7:F995"),INDIRECT("'01_SINTETICO'!B7:B995"),$C372)</f>
        <v>26</v>
      </c>
      <c r="H372" s="268" t="n">
        <f aca="false">VLOOKUP($C372,01_SINTETICO!$B:$M,6,0)*$G372*(1+BDI_DIF)</f>
        <v>435.814609384756</v>
      </c>
      <c r="I372" s="268" t="n">
        <f aca="false">VLOOKUP($C372,01_SINTETICO!$B:$M,7,0)*$G372*(1+BDI_MDO)</f>
        <v>516.885097190679</v>
      </c>
      <c r="J372" s="269" t="n">
        <f aca="false">SUM(H372:I372)</f>
        <v>952.699706575435</v>
      </c>
      <c r="K372" s="270" t="n">
        <f aca="false">J372/SUM($J$7:$J$749)</f>
        <v>0.00010553408137502</v>
      </c>
      <c r="L372" s="271" t="n">
        <f aca="false">K372+L371</f>
        <v>0.991936482905815</v>
      </c>
    </row>
    <row r="373" customFormat="false" ht="25.5" hidden="false" customHeight="false" outlineLevel="0" collapsed="false">
      <c r="A373" s="264" t="n">
        <f aca="false">K373</f>
        <v>0.000104610806286784</v>
      </c>
      <c r="B373" s="265" t="str">
        <f aca="false">VLOOKUP($C373,01_SINTETICO!$B:$N,13,0)</f>
        <v>11.6.2.22</v>
      </c>
      <c r="C373" s="274" t="n">
        <v>89448</v>
      </c>
      <c r="D373" s="266" t="str">
        <f aca="false">VLOOKUP($C373,01_SINTETICO!$B:$M,2,0)</f>
        <v>TUBO, PVC, SOLDÁVEL, DE 40MM, INSTALADO EM PRUMADA DE ÁGUA - FORNECIMENTO E INSTALAÇÃO. AF_06/2022</v>
      </c>
      <c r="E373" s="266" t="str">
        <f aca="false">VLOOKUP($B373,01_SINTETICO!$A:$M,4,0)</f>
        <v>SER.CG</v>
      </c>
      <c r="F373" s="267" t="str">
        <f aca="false">VLOOKUP($B373,01_SINTETICO!$A:$M,5,0)</f>
        <v>M</v>
      </c>
      <c r="G373" s="267" t="n">
        <f aca="true">SUMIFS(INDIRECT("'01_SINTETICO'!F7:F995"),INDIRECT("'01_SINTETICO'!B7:B995"),$C373)</f>
        <v>50.33</v>
      </c>
      <c r="H373" s="268" t="n">
        <f aca="false">VLOOKUP($C373,01_SINTETICO!$B:$M,6,0)*$G373*(1+BDI_DIF)</f>
        <v>882.694508614353</v>
      </c>
      <c r="I373" s="268" t="n">
        <f aca="false">VLOOKUP($C373,01_SINTETICO!$B:$M,7,0)*$G373*(1+BDI_MDO)</f>
        <v>61.6704127031835</v>
      </c>
      <c r="J373" s="269" t="n">
        <f aca="false">SUM(H373:I373)</f>
        <v>944.364921317536</v>
      </c>
      <c r="K373" s="270" t="n">
        <f aca="false">J373/SUM($J$7:$J$749)</f>
        <v>0.000104610806286784</v>
      </c>
      <c r="L373" s="271" t="n">
        <f aca="false">K373+L372</f>
        <v>0.992041093712102</v>
      </c>
    </row>
    <row r="374" customFormat="false" ht="38.25" hidden="false" customHeight="false" outlineLevel="0" collapsed="false">
      <c r="A374" s="264" t="n">
        <f aca="false">K374</f>
        <v>0.000103107233294353</v>
      </c>
      <c r="B374" s="265" t="str">
        <f aca="false">VLOOKUP($C374,01_SINTETICO!$B:$N,13,0)</f>
        <v>13.7.2</v>
      </c>
      <c r="C374" s="272" t="n">
        <v>97669</v>
      </c>
      <c r="D374" s="266" t="str">
        <f aca="false">VLOOKUP($C374,01_SINTETICO!$B:$M,2,0)</f>
        <v>ELETRODUTO FLEXÍVEL CORRUGADO, PEAD, DN 90 (3"), PARA REDE ENTERRADA DE DISTRIBUIÇÃO DE ENERGIA ELÉTRICA - FORNECIMENTO E INSTALAÇÃO. AF_12/2021</v>
      </c>
      <c r="E374" s="272" t="str">
        <f aca="false">VLOOKUP($B374,01_SINTETICO!$A:$M,4,0)</f>
        <v>SER.CG</v>
      </c>
      <c r="F374" s="273" t="str">
        <f aca="false">VLOOKUP($B374,01_SINTETICO!$A:$M,5,0)</f>
        <v>M</v>
      </c>
      <c r="G374" s="267" t="n">
        <f aca="true">SUMIFS(INDIRECT("'01_SINTETICO'!F7:F995"),INDIRECT("'01_SINTETICO'!B7:B995"),$C374)</f>
        <v>50</v>
      </c>
      <c r="H374" s="268" t="n">
        <f aca="false">VLOOKUP($C374,01_SINTETICO!$B:$M,6,0)*$G374*(1+BDI_DIF)</f>
        <v>596.281789870143</v>
      </c>
      <c r="I374" s="268" t="n">
        <f aca="false">VLOOKUP($C374,01_SINTETICO!$B:$M,7,0)*$G374*(1+BDI_MDO)</f>
        <v>334.509757518895</v>
      </c>
      <c r="J374" s="269" t="n">
        <f aca="false">SUM(H374:I374)</f>
        <v>930.791547389038</v>
      </c>
      <c r="K374" s="270" t="n">
        <f aca="false">J374/SUM($J$7:$J$749)</f>
        <v>0.000103107233294353</v>
      </c>
      <c r="L374" s="271" t="n">
        <f aca="false">K374+L373</f>
        <v>0.992144200945396</v>
      </c>
    </row>
    <row r="375" customFormat="false" ht="25.5" hidden="false" customHeight="false" outlineLevel="0" collapsed="false">
      <c r="A375" s="264" t="n">
        <f aca="false">K375</f>
        <v>0.000102429693422252</v>
      </c>
      <c r="B375" s="265" t="str">
        <f aca="false">VLOOKUP($C375,01_SINTETICO!$B:$N,13,0)</f>
        <v>12.3.3.7</v>
      </c>
      <c r="C375" s="266" t="n">
        <v>101895</v>
      </c>
      <c r="D375" s="266" t="str">
        <f aca="false">VLOOKUP($C375,01_SINTETICO!$B:$M,2,0)</f>
        <v>DISJUNTOR TERMOMAGNÉTICO TRIPOLAR , CORRENTE NOMINAL DE 125A - FORNECIMENTO E INSTALAÇÃO. AF_10/2020</v>
      </c>
      <c r="E375" s="266" t="str">
        <f aca="false">VLOOKUP($B375,01_SINTETICO!$A:$M,4,0)</f>
        <v>SER.CG</v>
      </c>
      <c r="F375" s="267" t="str">
        <f aca="false">VLOOKUP($B375,01_SINTETICO!$A:$M,5,0)</f>
        <v>UN</v>
      </c>
      <c r="G375" s="267" t="n">
        <f aca="true">SUMIFS(INDIRECT("'01_SINTETICO'!F7:F995"),INDIRECT("'01_SINTETICO'!B7:B995"),$C375)</f>
        <v>2</v>
      </c>
      <c r="H375" s="268" t="n">
        <f aca="false">VLOOKUP($C375,01_SINTETICO!$B:$M,6,0)*$G375*(1+BDI_MAT)</f>
        <v>878.2676462144</v>
      </c>
      <c r="I375" s="268" t="n">
        <f aca="false">VLOOKUP($C375,01_SINTETICO!$B:$M,7,0)*$G375*(1+BDI_MDO)</f>
        <v>46.4074691279148</v>
      </c>
      <c r="J375" s="269" t="n">
        <f aca="false">SUM(H375:I375)</f>
        <v>924.675115342315</v>
      </c>
      <c r="K375" s="270" t="n">
        <f aca="false">J375/SUM($J$7:$J$749)</f>
        <v>0.000102429693422252</v>
      </c>
      <c r="L375" s="271" t="n">
        <f aca="false">K375+L374</f>
        <v>0.992246630638819</v>
      </c>
    </row>
    <row r="376" customFormat="false" ht="25.5" hidden="false" customHeight="false" outlineLevel="0" collapsed="false">
      <c r="A376" s="264" t="n">
        <f aca="false">K376</f>
        <v>0.000101241135992246</v>
      </c>
      <c r="B376" s="265" t="str">
        <f aca="false">VLOOKUP($C376,01_SINTETICO!$B:$N,13,0)</f>
        <v>*16.1.1.16</v>
      </c>
      <c r="C376" s="272" t="s">
        <v>1258</v>
      </c>
      <c r="D376" s="266" t="str">
        <f aca="false">VLOOKUP($C376,01_SINTETICO!$B:$M,2,0)</f>
        <v>CAIXA DE PASSAGEM PARA AR CONDICIONADO - FORNECIMENTO E INSTALAÇÃO. AF_08/2022</v>
      </c>
      <c r="E376" s="272" t="str">
        <f aca="false">VLOOKUP($B376,01_SINTETICO!$A:$M,4,0)</f>
        <v>SER.CG</v>
      </c>
      <c r="F376" s="273" t="str">
        <f aca="false">VLOOKUP($B376,01_SINTETICO!$A:$M,5,0)</f>
        <v>UN</v>
      </c>
      <c r="G376" s="267" t="n">
        <f aca="true">SUMIFS(INDIRECT("'01_SINTETICO'!F7:F995"),INDIRECT("'01_SINTETICO'!B7:B995"),$C376)</f>
        <v>16</v>
      </c>
      <c r="H376" s="268" t="n">
        <f aca="false">VLOOKUP($C376,01_SINTETICO!$B:$M,6,0)*$G376*(1+BDI_MAT)</f>
        <v>573.4279045824</v>
      </c>
      <c r="I376" s="268" t="n">
        <f aca="false">VLOOKUP($C376,01_SINTETICO!$B:$M,7,0)*$G376*(1+BDI_MDO)</f>
        <v>340.517612320605</v>
      </c>
      <c r="J376" s="269" t="n">
        <f aca="false">SUM(H376:I376)</f>
        <v>913.945516903005</v>
      </c>
      <c r="K376" s="270" t="n">
        <f aca="false">J376/SUM($J$7:$J$749)</f>
        <v>0.000101241135992246</v>
      </c>
      <c r="L376" s="271" t="n">
        <f aca="false">K376+L375</f>
        <v>0.992347871774811</v>
      </c>
    </row>
    <row r="377" customFormat="false" ht="25.5" hidden="false" customHeight="false" outlineLevel="0" collapsed="false">
      <c r="A377" s="264" t="n">
        <f aca="false">K377</f>
        <v>9.96443014969896E-005</v>
      </c>
      <c r="B377" s="265" t="str">
        <f aca="false">VLOOKUP($C377,01_SINTETICO!$B:$N,13,0)</f>
        <v>10.1.2</v>
      </c>
      <c r="C377" s="266" t="s">
        <v>618</v>
      </c>
      <c r="D377" s="266" t="str">
        <f aca="false">VLOOKUP($C377,01_SINTETICO!$B:$M,2,0)</f>
        <v>CONJUNTO COMPLETO DE VASO SANITARIO SIFONADO CONVENCIONAL COM LOUÇA BRANCA - FORNECIMENTO E INSTALAÇÃO.</v>
      </c>
      <c r="E377" s="266" t="str">
        <f aca="false">VLOOKUP($B377,01_SINTETICO!$A:$M,4,0)</f>
        <v>SER.CG</v>
      </c>
      <c r="F377" s="267" t="str">
        <f aca="false">VLOOKUP($B377,01_SINTETICO!$A:$M,5,0)</f>
        <v>UN</v>
      </c>
      <c r="G377" s="267" t="n">
        <f aca="true">SUMIFS(INDIRECT("'01_SINTETICO'!F7:F995"),INDIRECT("'01_SINTETICO'!B7:B995"),$C377)</f>
        <v>8</v>
      </c>
      <c r="H377" s="268" t="n">
        <f aca="false">VLOOKUP($C377,01_SINTETICO!$B:$M,6,0)*$G377*(1+BDI_DIF)</f>
        <v>748.093662257911</v>
      </c>
      <c r="I377" s="268" t="n">
        <f aca="false">VLOOKUP($C377,01_SINTETICO!$B:$M,7,0)*$G377*(1+BDI_MDO)</f>
        <v>151.436570641494</v>
      </c>
      <c r="J377" s="269" t="n">
        <f aca="false">SUM(H377:I377)</f>
        <v>899.530232899406</v>
      </c>
      <c r="K377" s="270" t="n">
        <f aca="false">J377/SUM($J$7:$J$749)</f>
        <v>9.96443014969896E-005</v>
      </c>
      <c r="L377" s="271" t="n">
        <f aca="false">K377+L376</f>
        <v>0.992447516076308</v>
      </c>
    </row>
    <row r="378" customFormat="false" ht="25.5" hidden="false" customHeight="false" outlineLevel="0" collapsed="false">
      <c r="A378" s="264" t="n">
        <f aca="false">K378</f>
        <v>9.93655703820749E-005</v>
      </c>
      <c r="B378" s="265" t="str">
        <f aca="false">VLOOKUP($C378,01_SINTETICO!$B:$N,13,0)</f>
        <v>5.5.1.1</v>
      </c>
      <c r="C378" s="266" t="n">
        <v>102193</v>
      </c>
      <c r="D378" s="266" t="str">
        <f aca="false">VLOOKUP($C378,01_SINTETICO!$B:$M,2,0)</f>
        <v>LIXAMENTO DE MADEIRA PARA APLICAÇÃO DE FUNDO OU PINTURA. AF_01/2021</v>
      </c>
      <c r="E378" s="266" t="str">
        <f aca="false">VLOOKUP($B378,01_SINTETICO!$A:$M,4,0)</f>
        <v>SER.CG</v>
      </c>
      <c r="F378" s="267" t="str">
        <f aca="false">VLOOKUP($B378,01_SINTETICO!$A:$M,5,0)</f>
        <v>M2</v>
      </c>
      <c r="G378" s="267" t="n">
        <f aca="true">SUMIFS(INDIRECT("'01_SINTETICO'!F7:F995"),INDIRECT("'01_SINTETICO'!B7:B995"),$C378)</f>
        <v>449.4</v>
      </c>
      <c r="H378" s="268" t="n">
        <f aca="false">VLOOKUP($C378,01_SINTETICO!$B:$M,6,0)*$G378*(1+BDI_DIF)</f>
        <v>261.02304808228</v>
      </c>
      <c r="I378" s="268" t="n">
        <f aca="false">VLOOKUP($C378,01_SINTETICO!$B:$M,7,0)*$G378*(1+BDI_MDO)</f>
        <v>635.990964010229</v>
      </c>
      <c r="J378" s="269" t="n">
        <f aca="false">SUM(H378:I378)</f>
        <v>897.014012092508</v>
      </c>
      <c r="K378" s="270" t="n">
        <f aca="false">J378/SUM($J$7:$J$749)</f>
        <v>9.93655703820749E-005</v>
      </c>
      <c r="L378" s="271" t="n">
        <f aca="false">K378+L377</f>
        <v>0.99254688164669</v>
      </c>
    </row>
    <row r="379" customFormat="false" ht="25.5" hidden="false" customHeight="false" outlineLevel="0" collapsed="false">
      <c r="A379" s="264" t="n">
        <f aca="false">K379</f>
        <v>9.90876509177382E-005</v>
      </c>
      <c r="B379" s="265" t="str">
        <f aca="false">VLOOKUP($C379,01_SINTETICO!$B:$N,13,0)</f>
        <v>3.2.2.4.5</v>
      </c>
      <c r="C379" s="272" t="n">
        <v>95946</v>
      </c>
      <c r="D379" s="266" t="str">
        <f aca="false">VLOOKUP($C379,01_SINTETICO!$B:$M,2,0)</f>
        <v>ARMAÇÃO DE ESCADA, DE UMA ESTRUTURA CONVENCIONAL DE CONCRETO ARMADO UTILIZANDO AÇO CA-50 DE 10,0 MM - MONTAGEM. AF_11/2020</v>
      </c>
      <c r="E379" s="272" t="str">
        <f aca="false">VLOOKUP($B379,01_SINTETICO!$A:$M,4,0)</f>
        <v>SER.CG</v>
      </c>
      <c r="F379" s="273" t="str">
        <f aca="false">VLOOKUP($B379,01_SINTETICO!$A:$M,5,0)</f>
        <v>KG</v>
      </c>
      <c r="G379" s="267" t="n">
        <f aca="true">SUMIFS(INDIRECT("'01_SINTETICO'!F7:F995"),INDIRECT("'01_SINTETICO'!B7:B995"),$C379)</f>
        <v>61.18</v>
      </c>
      <c r="H379" s="268" t="n">
        <f aca="false">VLOOKUP($C379,01_SINTETICO!$B:$M,6,0)*$G379*(1+BDI_DIF)</f>
        <v>713.347888789949</v>
      </c>
      <c r="I379" s="268" t="n">
        <f aca="false">VLOOKUP($C379,01_SINTETICO!$B:$M,7,0)*$G379*(1+BDI_MDO)</f>
        <v>181.157229600397</v>
      </c>
      <c r="J379" s="269" t="n">
        <f aca="false">SUM(H379:I379)</f>
        <v>894.505118390347</v>
      </c>
      <c r="K379" s="270" t="n">
        <f aca="false">J379/SUM($J$7:$J$749)</f>
        <v>9.90876509177382E-005</v>
      </c>
      <c r="L379" s="271" t="n">
        <f aca="false">K379+L378</f>
        <v>0.992645969297607</v>
      </c>
    </row>
    <row r="380" customFormat="false" ht="25.5" hidden="false" customHeight="false" outlineLevel="0" collapsed="false">
      <c r="A380" s="264" t="n">
        <f aca="false">K380</f>
        <v>9.88638770014279E-005</v>
      </c>
      <c r="B380" s="265" t="str">
        <f aca="false">VLOOKUP($C380,01_SINTETICO!$B:$N,13,0)</f>
        <v>3.2.2.4.2</v>
      </c>
      <c r="C380" s="266" t="n">
        <v>95943</v>
      </c>
      <c r="D380" s="266" t="str">
        <f aca="false">VLOOKUP($C380,01_SINTETICO!$B:$M,2,0)</f>
        <v>ARMAÇÃO DE ESCADA, DE UMA ESTRUTURA CONVENCIONAL DE CONCRETO ARMADO UTILIZANDO AÇO CA-60 DE 5,0 MM - MONTAGEM. AF_11/2020</v>
      </c>
      <c r="E380" s="266" t="str">
        <f aca="false">VLOOKUP($B380,01_SINTETICO!$A:$M,4,0)</f>
        <v>SER.CG</v>
      </c>
      <c r="F380" s="267" t="str">
        <f aca="false">VLOOKUP($B380,01_SINTETICO!$A:$M,5,0)</f>
        <v>KG</v>
      </c>
      <c r="G380" s="267" t="n">
        <f aca="true">SUMIFS(INDIRECT("'01_SINTETICO'!F7:F995"),INDIRECT("'01_SINTETICO'!B7:B995"),$C380)</f>
        <v>34.27</v>
      </c>
      <c r="H380" s="268" t="n">
        <f aca="false">VLOOKUP($C380,01_SINTETICO!$B:$M,6,0)*$G380*(1+BDI_DIF)</f>
        <v>473.94266927825</v>
      </c>
      <c r="I380" s="268" t="n">
        <f aca="false">VLOOKUP($C380,01_SINTETICO!$B:$M,7,0)*$G380*(1+BDI_MDO)</f>
        <v>418.542349617882</v>
      </c>
      <c r="J380" s="269" t="n">
        <f aca="false">SUM(H380:I380)</f>
        <v>892.485018896132</v>
      </c>
      <c r="K380" s="270" t="n">
        <f aca="false">J380/SUM($J$7:$J$749)</f>
        <v>9.88638770014279E-005</v>
      </c>
      <c r="L380" s="271" t="n">
        <f aca="false">K380+L379</f>
        <v>0.992744833174609</v>
      </c>
    </row>
    <row r="381" customFormat="false" ht="38.25" hidden="false" customHeight="false" outlineLevel="0" collapsed="false">
      <c r="A381" s="264" t="n">
        <f aca="false">K381</f>
        <v>9.83406259335131E-005</v>
      </c>
      <c r="B381" s="265" t="str">
        <f aca="false">VLOOKUP($C381,01_SINTETICO!$B:$N,13,0)</f>
        <v>10.4.1</v>
      </c>
      <c r="C381" s="266" t="n">
        <v>86927</v>
      </c>
      <c r="D381" s="266" t="str">
        <f aca="false">VLOOKUP($C381,01_SINTETICO!$B:$M,2,0)</f>
        <v>TANQUE DE MÁRMORE SINTÉTICO SUSPENSO, 22L OU EQUIVALENTE, INCLUSO SIFÃO TIPO GARRAFA EM PVC, VÁLVULA PLÁSTICA E TORNEIRA DE METAL CROMADO PADRÃO POPULAR - FORNEC. E INSTALAÇÃO. AF_01/2020</v>
      </c>
      <c r="E381" s="266" t="str">
        <f aca="false">VLOOKUP($B381,01_SINTETICO!$A:$M,4,0)</f>
        <v>SER.CG</v>
      </c>
      <c r="F381" s="267" t="str">
        <f aca="false">VLOOKUP($B381,01_SINTETICO!$A:$M,5,0)</f>
        <v>UN</v>
      </c>
      <c r="G381" s="267" t="n">
        <f aca="true">SUMIFS(INDIRECT("'01_SINTETICO'!F7:F995"),INDIRECT("'01_SINTETICO'!B7:B995"),$C381)</f>
        <v>2</v>
      </c>
      <c r="H381" s="268" t="n">
        <f aca="false">VLOOKUP($C381,01_SINTETICO!$B:$M,6,0)*$G381*(1+BDI_DIF)</f>
        <v>813.820973675457</v>
      </c>
      <c r="I381" s="268" t="n">
        <f aca="false">VLOOKUP($C381,01_SINTETICO!$B:$M,7,0)*$G381*(1+BDI_MDO)</f>
        <v>73.9404418844573</v>
      </c>
      <c r="J381" s="269" t="n">
        <f aca="false">SUM(H381:I381)</f>
        <v>887.761415559914</v>
      </c>
      <c r="K381" s="270" t="n">
        <f aca="false">J381/SUM($J$7:$J$749)</f>
        <v>9.83406259335131E-005</v>
      </c>
      <c r="L381" s="271" t="n">
        <f aca="false">K381+L380</f>
        <v>0.992843173800542</v>
      </c>
    </row>
    <row r="382" customFormat="false" ht="25.5" hidden="false" customHeight="false" outlineLevel="0" collapsed="false">
      <c r="A382" s="264" t="n">
        <f aca="false">K382</f>
        <v>9.57979887570006E-005</v>
      </c>
      <c r="B382" s="265" t="str">
        <f aca="false">VLOOKUP($C382,01_SINTETICO!$B:$N,13,0)</f>
        <v>10.3.4</v>
      </c>
      <c r="C382" s="266" t="n">
        <v>86909</v>
      </c>
      <c r="D382" s="266" t="str">
        <f aca="false">VLOOKUP($C382,01_SINTETICO!$B:$M,2,0)</f>
        <v>TORNEIRA CROMADA TUBO MÓVEL, DE MESA, 1/2" OU 3/4", PARA PIA DE COZINHA, PADRÃO ALTO - FORNECIMENTO E INSTALAÇÃO. AF_01/2020</v>
      </c>
      <c r="E382" s="272" t="str">
        <f aca="false">VLOOKUP($B382,01_SINTETICO!$A:$M,4,0)</f>
        <v>SER.CG</v>
      </c>
      <c r="F382" s="273" t="str">
        <f aca="false">VLOOKUP($B382,01_SINTETICO!$A:$M,5,0)</f>
        <v>UN</v>
      </c>
      <c r="G382" s="267" t="n">
        <f aca="true">SUMIFS(INDIRECT("'01_SINTETICO'!F7:F995"),INDIRECT("'01_SINTETICO'!B7:B995"),$C382)</f>
        <v>5</v>
      </c>
      <c r="H382" s="268" t="n">
        <f aca="false">VLOOKUP($C382,01_SINTETICO!$B:$M,6,0)*$G382*(1+BDI_DIF)</f>
        <v>838.509553140779</v>
      </c>
      <c r="I382" s="268" t="n">
        <f aca="false">VLOOKUP($C382,01_SINTETICO!$B:$M,7,0)*$G382*(1+BDI_MDO)</f>
        <v>26.2984272782807</v>
      </c>
      <c r="J382" s="269" t="n">
        <f aca="false">SUM(H382:I382)</f>
        <v>864.80798041906</v>
      </c>
      <c r="K382" s="270" t="n">
        <f aca="false">J382/SUM($J$7:$J$749)</f>
        <v>9.57979887570006E-005</v>
      </c>
      <c r="L382" s="271" t="n">
        <f aca="false">K382+L381</f>
        <v>0.992938971789299</v>
      </c>
    </row>
    <row r="383" customFormat="false" ht="25.5" hidden="false" customHeight="false" outlineLevel="0" collapsed="false">
      <c r="A383" s="264" t="n">
        <f aca="false">K383</f>
        <v>9.54454159761034E-005</v>
      </c>
      <c r="B383" s="265" t="str">
        <f aca="false">VLOOKUP($C383,01_SINTETICO!$B:$N,13,0)</f>
        <v>11.6.2.27</v>
      </c>
      <c r="C383" s="266" t="n">
        <v>104004</v>
      </c>
      <c r="D383" s="266" t="str">
        <f aca="false">VLOOKUP($C383,01_SINTETICO!$B:$M,2,0)</f>
        <v>TE, PVC, SOLDÁVEL, DN 50MM, INSTALADO EM RAMAL DE DISTRIBUIÇÃO DE ÁGUA - FORNECIMENTO E INSTALAÇÃO. AF_06/2022</v>
      </c>
      <c r="E383" s="266" t="str">
        <f aca="false">VLOOKUP($B383,01_SINTETICO!$A:$M,4,0)</f>
        <v>SER.CG</v>
      </c>
      <c r="F383" s="267" t="str">
        <f aca="false">VLOOKUP($B383,01_SINTETICO!$A:$M,5,0)</f>
        <v>UN</v>
      </c>
      <c r="G383" s="267" t="n">
        <f aca="true">SUMIFS(INDIRECT("'01_SINTETICO'!F7:F995"),INDIRECT("'01_SINTETICO'!B7:B995"),$C383)</f>
        <v>29</v>
      </c>
      <c r="H383" s="268" t="n">
        <f aca="false">VLOOKUP($C383,01_SINTETICO!$B:$M,6,0)*$G383*(1+BDI_MAT)</f>
        <v>628.8299756908</v>
      </c>
      <c r="I383" s="268" t="n">
        <f aca="false">VLOOKUP($C383,01_SINTETICO!$B:$M,7,0)*$G383*(1+BDI_MDO)</f>
        <v>232.795184728021</v>
      </c>
      <c r="J383" s="269" t="n">
        <f aca="false">SUM(H383:I383)</f>
        <v>861.625160418821</v>
      </c>
      <c r="K383" s="270" t="n">
        <f aca="false">J383/SUM($J$7:$J$749)</f>
        <v>9.54454159761034E-005</v>
      </c>
      <c r="L383" s="271" t="n">
        <f aca="false">K383+L382</f>
        <v>0.993034417205275</v>
      </c>
    </row>
    <row r="384" customFormat="false" ht="25.5" hidden="false" customHeight="false" outlineLevel="0" collapsed="false">
      <c r="A384" s="264" t="n">
        <f aca="false">K384</f>
        <v>9.53976298702128E-005</v>
      </c>
      <c r="B384" s="265" t="str">
        <f aca="false">VLOOKUP($C384,01_SINTETICO!$B:$N,13,0)</f>
        <v>15.1.3</v>
      </c>
      <c r="C384" s="272" t="s">
        <v>1129</v>
      </c>
      <c r="D384" s="266" t="str">
        <f aca="false">VLOOKUP($C384,01_SINTETICO!$B:$M,2,0)</f>
        <v>LUMINÁRIA DE EMERGÊNCIA, 600 LUMENS, TIPO FAROLETE - FORNECIMENTO E INSTALAÇÃO.</v>
      </c>
      <c r="E384" s="272" t="str">
        <f aca="false">VLOOKUP($B384,01_SINTETICO!$A:$M,4,0)</f>
        <v>SER.CG</v>
      </c>
      <c r="F384" s="273" t="str">
        <f aca="false">VLOOKUP($B384,01_SINTETICO!$A:$M,5,0)</f>
        <v>UN</v>
      </c>
      <c r="G384" s="267" t="n">
        <f aca="true">SUMIFS(INDIRECT("'01_SINTETICO'!F7:F995"),INDIRECT("'01_SINTETICO'!B7:B995"),$C384)</f>
        <v>4</v>
      </c>
      <c r="H384" s="268" t="n">
        <f aca="false">VLOOKUP($C384,01_SINTETICO!$B:$M,6,0)*$G384*(1+BDI_DIF)</f>
        <v>836.747280737898</v>
      </c>
      <c r="I384" s="268" t="n">
        <f aca="false">VLOOKUP($C384,01_SINTETICO!$B:$M,7,0)*$G384*(1+BDI_MDO)</f>
        <v>24.4464947816823</v>
      </c>
      <c r="J384" s="269" t="n">
        <f aca="false">SUM(H384:I384)</f>
        <v>861.19377551958</v>
      </c>
      <c r="K384" s="270" t="n">
        <f aca="false">J384/SUM($J$7:$J$749)</f>
        <v>9.53976298702128E-005</v>
      </c>
      <c r="L384" s="271" t="n">
        <f aca="false">K384+L383</f>
        <v>0.993129814835146</v>
      </c>
    </row>
    <row r="385" customFormat="false" ht="25.5" hidden="false" customHeight="false" outlineLevel="0" collapsed="false">
      <c r="A385" s="264" t="n">
        <f aca="false">K385</f>
        <v>9.51118722989602E-005</v>
      </c>
      <c r="B385" s="265" t="str">
        <f aca="false">VLOOKUP($C385,01_SINTETICO!$B:$N,13,0)</f>
        <v>16.1.3.2.9</v>
      </c>
      <c r="C385" s="272" t="n">
        <v>89866</v>
      </c>
      <c r="D385" s="266" t="str">
        <f aca="false">VLOOKUP($C385,01_SINTETICO!$B:$M,2,0)</f>
        <v>JOELHO 90 GRAUS, PVC, SOLDÁVEL, DN 25MM, INSTALADO EM DRENO DE AR-CONDICIONADO - FORNECIMENTO E INSTALAÇÃO. AF_08/2022</v>
      </c>
      <c r="E385" s="272" t="str">
        <f aca="false">VLOOKUP($B385,01_SINTETICO!$A:$M,4,0)</f>
        <v>SER.CG</v>
      </c>
      <c r="F385" s="273" t="str">
        <f aca="false">VLOOKUP($B385,01_SINTETICO!$A:$M,5,0)</f>
        <v>UN</v>
      </c>
      <c r="G385" s="267" t="n">
        <f aca="true">SUMIFS(INDIRECT("'01_SINTETICO'!F7:F995"),INDIRECT("'01_SINTETICO'!B7:B995"),$C385)</f>
        <v>100</v>
      </c>
      <c r="H385" s="268" t="n">
        <f aca="false">VLOOKUP($C385,01_SINTETICO!$B:$M,6,0)*$G385*(1+BDI_DIF)</f>
        <v>378.044913055158</v>
      </c>
      <c r="I385" s="268" t="n">
        <f aca="false">VLOOKUP($C385,01_SINTETICO!$B:$M,7,0)*$G385*(1+BDI_MDO)</f>
        <v>480.569210936338</v>
      </c>
      <c r="J385" s="269" t="n">
        <f aca="false">SUM(H385:I385)</f>
        <v>858.614123991496</v>
      </c>
      <c r="K385" s="270" t="n">
        <f aca="false">J385/SUM($J$7:$J$749)</f>
        <v>9.51118722989602E-005</v>
      </c>
      <c r="L385" s="271" t="n">
        <f aca="false">K385+L384</f>
        <v>0.993224926707445</v>
      </c>
    </row>
    <row r="386" customFormat="false" ht="25.5" hidden="false" customHeight="false" outlineLevel="0" collapsed="false">
      <c r="A386" s="264" t="n">
        <f aca="false">K386</f>
        <v>9.34686857843323E-005</v>
      </c>
      <c r="B386" s="265" t="str">
        <f aca="false">VLOOKUP($C386,01_SINTETICO!$B:$N,13,0)</f>
        <v>12.3.1.1.4</v>
      </c>
      <c r="C386" s="266" t="n">
        <v>91961</v>
      </c>
      <c r="D386" s="266" t="str">
        <f aca="false">VLOOKUP($C386,01_SINTETICO!$B:$M,2,0)</f>
        <v>INTERRUPTOR PARALELO (2 MÓDULOS), 10A/250V, INCLUINDO SUPORTE E PLACA - FORNECIMENTO E INSTALAÇÃO. AF_03/2023</v>
      </c>
      <c r="E386" s="266" t="str">
        <f aca="false">VLOOKUP($B386,01_SINTETICO!$A:$M,4,0)</f>
        <v>SER.CG</v>
      </c>
      <c r="F386" s="267" t="str">
        <f aca="false">VLOOKUP($B386,01_SINTETICO!$A:$M,5,0)</f>
        <v>UN</v>
      </c>
      <c r="G386" s="267" t="n">
        <f aca="true">SUMIFS(INDIRECT("'01_SINTETICO'!F7:F995"),INDIRECT("'01_SINTETICO'!B7:B995"),$C386)</f>
        <v>20</v>
      </c>
      <c r="H386" s="268" t="n">
        <f aca="false">VLOOKUP($C386,01_SINTETICO!$B:$M,6,0)*$G386*(1+BDI_DIF)</f>
        <v>598.275349867989</v>
      </c>
      <c r="I386" s="268" t="n">
        <f aca="false">VLOOKUP($C386,01_SINTETICO!$B:$M,7,0)*$G386*(1+BDI_MDO)</f>
        <v>245.50505131152</v>
      </c>
      <c r="J386" s="269" t="n">
        <f aca="false">SUM(H386:I386)</f>
        <v>843.780401179509</v>
      </c>
      <c r="K386" s="270" t="n">
        <f aca="false">J386/SUM($J$7:$J$749)</f>
        <v>9.34686857843323E-005</v>
      </c>
      <c r="L386" s="271" t="n">
        <f aca="false">K386+L385</f>
        <v>0.993318395393229</v>
      </c>
    </row>
    <row r="387" customFormat="false" ht="38.25" hidden="false" customHeight="false" outlineLevel="0" collapsed="false">
      <c r="A387" s="264" t="n">
        <f aca="false">K387</f>
        <v>8.77810050505357E-005</v>
      </c>
      <c r="B387" s="265" t="str">
        <f aca="false">VLOOKUP($C387,01_SINTETICO!$B:$N,13,0)</f>
        <v>11.6.2.3</v>
      </c>
      <c r="C387" s="272" t="n">
        <v>94713</v>
      </c>
      <c r="D387" s="266" t="str">
        <f aca="false">VLOOKUP($C387,01_SINTETICO!$B:$M,2,0)</f>
        <v>ADAPTADOR COM FLANGES LIVRES, PVC, SOLDÁVEL, DN 75 MM X 2 1/2", INSTALADO EM RESERVAÇÃO PREDIAL DE ÁGUA - FORNECIMENTO E INSTALAÇÃO. AF_04/2024</v>
      </c>
      <c r="E387" s="272" t="str">
        <f aca="false">VLOOKUP($B387,01_SINTETICO!$A:$M,4,0)</f>
        <v>SER.CG</v>
      </c>
      <c r="F387" s="273" t="str">
        <f aca="false">VLOOKUP($B387,01_SINTETICO!$A:$M,5,0)</f>
        <v>UN</v>
      </c>
      <c r="G387" s="267" t="n">
        <f aca="true">SUMIFS(INDIRECT("'01_SINTETICO'!F7:F995"),INDIRECT("'01_SINTETICO'!B7:B995"),$C387)</f>
        <v>3</v>
      </c>
      <c r="H387" s="268" t="n">
        <f aca="false">VLOOKUP($C387,01_SINTETICO!$B:$M,6,0)*$G387*(1+BDI_DIF)</f>
        <v>756.90104698227</v>
      </c>
      <c r="I387" s="268" t="n">
        <f aca="false">VLOOKUP($C387,01_SINTETICO!$B:$M,7,0)*$G387*(1+BDI_MDO)</f>
        <v>35.5343129026887</v>
      </c>
      <c r="J387" s="269" t="n">
        <f aca="false">SUM(H387:I387)</f>
        <v>792.435359884959</v>
      </c>
      <c r="K387" s="270" t="n">
        <f aca="false">J387/SUM($J$7:$J$749)</f>
        <v>8.77810050505357E-005</v>
      </c>
      <c r="L387" s="271" t="n">
        <f aca="false">K387+L386</f>
        <v>0.99340617639828</v>
      </c>
    </row>
    <row r="388" customFormat="false" ht="25.5" hidden="false" customHeight="false" outlineLevel="0" collapsed="false">
      <c r="A388" s="264" t="n">
        <f aca="false">K388</f>
        <v>8.69779110288212E-005</v>
      </c>
      <c r="B388" s="265" t="str">
        <f aca="false">VLOOKUP($C388,01_SINTETICO!$B:$N,13,0)</f>
        <v>12.7.1</v>
      </c>
      <c r="C388" s="272" t="n">
        <v>97881</v>
      </c>
      <c r="D388" s="266" t="str">
        <f aca="false">VLOOKUP($C388,01_SINTETICO!$B:$M,2,0)</f>
        <v>CAIXA ENTERRADA ELÉTRICA RETANGULAR, EM CONCRETO PRÉ-MOLDADO, FUNDO COM BRITA, DIMENSÕES INTERNAS: 0,3X0,3X0,3 M. AF_12/2020</v>
      </c>
      <c r="E388" s="272" t="str">
        <f aca="false">VLOOKUP($B388,01_SINTETICO!$A:$M,4,0)</f>
        <v>SER.CG</v>
      </c>
      <c r="F388" s="273" t="str">
        <f aca="false">VLOOKUP($B388,01_SINTETICO!$A:$M,5,0)</f>
        <v>UN</v>
      </c>
      <c r="G388" s="267" t="n">
        <f aca="true">SUMIFS(INDIRECT("'01_SINTETICO'!F7:F995"),INDIRECT("'01_SINTETICO'!B7:B995"),$C388)</f>
        <v>5</v>
      </c>
      <c r="H388" s="268" t="n">
        <f aca="false">VLOOKUP($C388,01_SINTETICO!$B:$M,6,0)*$G388*(1+BDI_DIF)</f>
        <v>666.754299579495</v>
      </c>
      <c r="I388" s="268" t="n">
        <f aca="false">VLOOKUP($C388,01_SINTETICO!$B:$M,7,0)*$G388*(1+BDI_MDO)</f>
        <v>118.431199133876</v>
      </c>
      <c r="J388" s="269" t="n">
        <f aca="false">SUM(H388:I388)</f>
        <v>785.185498713371</v>
      </c>
      <c r="K388" s="270" t="n">
        <f aca="false">J388/SUM($J$7:$J$749)</f>
        <v>8.69779110288212E-005</v>
      </c>
      <c r="L388" s="271" t="n">
        <f aca="false">K388+L387</f>
        <v>0.993493154309308</v>
      </c>
    </row>
    <row r="389" customFormat="false" ht="25.5" hidden="false" customHeight="false" outlineLevel="0" collapsed="false">
      <c r="A389" s="264" t="n">
        <f aca="false">K389</f>
        <v>8.6728803533978E-005</v>
      </c>
      <c r="B389" s="265" t="str">
        <f aca="false">VLOOKUP($C389,01_SINTETICO!$B:$N,13,0)</f>
        <v>12.2.1.2</v>
      </c>
      <c r="C389" s="272" t="n">
        <v>91943</v>
      </c>
      <c r="D389" s="266" t="str">
        <f aca="false">VLOOKUP($C389,01_SINTETICO!$B:$M,2,0)</f>
        <v>CAIXA RETANGULAR 4" X 4" MÉDIA (1,30 M DO PISO), PVC, INSTALADA EM PAREDE - FORNECIMENTO E INSTALAÇÃO. AF_03/2023</v>
      </c>
      <c r="E389" s="272" t="str">
        <f aca="false">VLOOKUP($B389,01_SINTETICO!$A:$M,4,0)</f>
        <v>SER.CG</v>
      </c>
      <c r="F389" s="273" t="str">
        <f aca="false">VLOOKUP($B389,01_SINTETICO!$A:$M,5,0)</f>
        <v>UN</v>
      </c>
      <c r="G389" s="267" t="n">
        <f aca="true">SUMIFS(INDIRECT("'01_SINTETICO'!F7:F995"),INDIRECT("'01_SINTETICO'!B7:B995"),$C389)</f>
        <v>36</v>
      </c>
      <c r="H389" s="268" t="n">
        <f aca="false">VLOOKUP($C389,01_SINTETICO!$B:$M,6,0)*$G389*(1+BDI_DIF)</f>
        <v>296.91343702849</v>
      </c>
      <c r="I389" s="268" t="n">
        <f aca="false">VLOOKUP($C389,01_SINTETICO!$B:$M,7,0)*$G389*(1+BDI_MDO)</f>
        <v>486.023265522061</v>
      </c>
      <c r="J389" s="269" t="n">
        <f aca="false">SUM(H389:I389)</f>
        <v>782.936702550552</v>
      </c>
      <c r="K389" s="270" t="n">
        <f aca="false">J389/SUM($J$7:$J$749)</f>
        <v>8.6728803533978E-005</v>
      </c>
      <c r="L389" s="271" t="n">
        <f aca="false">K389+L388</f>
        <v>0.993579883112842</v>
      </c>
    </row>
    <row r="390" customFormat="false" ht="38.25" hidden="false" customHeight="false" outlineLevel="0" collapsed="false">
      <c r="A390" s="264" t="n">
        <f aca="false">K390</f>
        <v>8.65584524855187E-005</v>
      </c>
      <c r="B390" s="265" t="str">
        <f aca="false">VLOOKUP($C390,01_SINTETICO!$B:$N,13,0)</f>
        <v>15.4.2.5</v>
      </c>
      <c r="C390" s="266" t="n">
        <v>92644</v>
      </c>
      <c r="D390" s="266" t="str">
        <f aca="false">VLOOKUP($C390,01_SINTETICO!$B:$M,2,0)</f>
        <v>TÊ, EM FERRO GALVANIZADO, CONEXÃO ROSQUEADA, DN 80 (3"), INSTALADO EM REDE DE ALIMENTAÇÃO PARA HIDRANTE - FORNECIMENTO E INSTALAÇÃO. AF_10/2020</v>
      </c>
      <c r="E390" s="266" t="str">
        <f aca="false">VLOOKUP($B390,01_SINTETICO!$A:$M,4,0)</f>
        <v>SER.CG</v>
      </c>
      <c r="F390" s="267" t="str">
        <f aca="false">VLOOKUP($B390,01_SINTETICO!$A:$M,5,0)</f>
        <v>UN</v>
      </c>
      <c r="G390" s="267" t="n">
        <f aca="true">SUMIFS(INDIRECT("'01_SINTETICO'!F7:F995"),INDIRECT("'01_SINTETICO'!B7:B995"),$C390)</f>
        <v>3</v>
      </c>
      <c r="H390" s="268" t="n">
        <f aca="false">VLOOKUP($C390,01_SINTETICO!$B:$M,6,0)*$G390*(1+BDI_DIF)</f>
        <v>695.903920318403</v>
      </c>
      <c r="I390" s="268" t="n">
        <f aca="false">VLOOKUP($C390,01_SINTETICO!$B:$M,7,0)*$G390*(1+BDI_MDO)</f>
        <v>85.4949530136874</v>
      </c>
      <c r="J390" s="269" t="n">
        <f aca="false">SUM(H390:I390)</f>
        <v>781.398873332091</v>
      </c>
      <c r="K390" s="270" t="n">
        <f aca="false">J390/SUM($J$7:$J$749)</f>
        <v>8.65584524855187E-005</v>
      </c>
      <c r="L390" s="271" t="n">
        <f aca="false">K390+L389</f>
        <v>0.993666441565328</v>
      </c>
    </row>
    <row r="391" customFormat="false" ht="38.25" hidden="false" customHeight="false" outlineLevel="0" collapsed="false">
      <c r="A391" s="264" t="n">
        <f aca="false">K391</f>
        <v>8.51272162029892E-005</v>
      </c>
      <c r="B391" s="265" t="str">
        <f aca="false">VLOOKUP($C391,01_SINTETICO!$B:$N,13,0)</f>
        <v>12.2.3.8</v>
      </c>
      <c r="C391" s="266" t="s">
        <v>932</v>
      </c>
      <c r="D391" s="266" t="str">
        <f aca="false">VLOOKUP($C391,01_SINTETICO!$B:$M,2,0)</f>
        <v>TÊ HORIZONTAL 90º, PARA ELETROCALHA, LISA OU PERFURADA EM AÇO GALVANIZADO, LARGURA DE 150MM E ALTURA DE 50MM - FORNECIMENTO E INSTALAÇÃO.</v>
      </c>
      <c r="E391" s="266" t="str">
        <f aca="false">VLOOKUP($B391,01_SINTETICO!$A:$M,4,0)</f>
        <v>SER.CG</v>
      </c>
      <c r="F391" s="267" t="str">
        <f aca="false">VLOOKUP($B391,01_SINTETICO!$A:$M,5,0)</f>
        <v>UN</v>
      </c>
      <c r="G391" s="267" t="n">
        <f aca="true">SUMIFS(INDIRECT("'01_SINTETICO'!F7:F995"),INDIRECT("'01_SINTETICO'!B7:B995"),$C391)</f>
        <v>6</v>
      </c>
      <c r="H391" s="268" t="n">
        <f aca="false">VLOOKUP($C391,01_SINTETICO!$B:$M,6,0)*$G391*(1+BDI_MAT)</f>
        <v>596.6232946256</v>
      </c>
      <c r="I391" s="268" t="n">
        <f aca="false">VLOOKUP($C391,01_SINTETICO!$B:$M,7,0)*$G391*(1+BDI_MDO)</f>
        <v>171.855218111693</v>
      </c>
      <c r="J391" s="269" t="n">
        <f aca="false">SUM(H391:I391)</f>
        <v>768.478512737293</v>
      </c>
      <c r="K391" s="270" t="n">
        <f aca="false">J391/SUM($J$7:$J$749)</f>
        <v>8.51272162029892E-005</v>
      </c>
      <c r="L391" s="271" t="n">
        <f aca="false">K391+L390</f>
        <v>0.993751568781531</v>
      </c>
    </row>
    <row r="392" customFormat="false" ht="25.5" hidden="false" customHeight="false" outlineLevel="0" collapsed="false">
      <c r="A392" s="264" t="n">
        <f aca="false">K392</f>
        <v>8.45718799856088E-005</v>
      </c>
      <c r="B392" s="265" t="str">
        <f aca="false">VLOOKUP($C392,01_SINTETICO!$B:$N,13,0)</f>
        <v>3.2.2.4.3</v>
      </c>
      <c r="C392" s="266" t="n">
        <v>95944</v>
      </c>
      <c r="D392" s="266" t="str">
        <f aca="false">VLOOKUP($C392,01_SINTETICO!$B:$M,2,0)</f>
        <v>ARMAÇÃO DE ESCADA, DE UMA ESTRUTURA CONVENCIONAL DE CONCRETO ARMADO UTILIZANDO AÇO CA-50 DE 6,3 MM - MONTAGEM. AF_11/2020</v>
      </c>
      <c r="E392" s="266" t="str">
        <f aca="false">VLOOKUP($B392,01_SINTETICO!$A:$M,4,0)</f>
        <v>SER.CG</v>
      </c>
      <c r="F392" s="267" t="str">
        <f aca="false">VLOOKUP($B392,01_SINTETICO!$A:$M,5,0)</f>
        <v>KG</v>
      </c>
      <c r="G392" s="267" t="n">
        <f aca="true">SUMIFS(INDIRECT("'01_SINTETICO'!F7:F995"),INDIRECT("'01_SINTETICO'!B7:B995"),$C392)</f>
        <v>32.64</v>
      </c>
      <c r="H392" s="268" t="n">
        <f aca="false">VLOOKUP($C392,01_SINTETICO!$B:$M,6,0)*$G392*(1+BDI_DIF)</f>
        <v>455.218360271098</v>
      </c>
      <c r="I392" s="268" t="n">
        <f aca="false">VLOOKUP($C392,01_SINTETICO!$B:$M,7,0)*$G392*(1+BDI_MDO)</f>
        <v>308.246903244183</v>
      </c>
      <c r="J392" s="269" t="n">
        <f aca="false">SUM(H392:I392)</f>
        <v>763.465263515281</v>
      </c>
      <c r="K392" s="270" t="n">
        <f aca="false">J392/SUM($J$7:$J$749)</f>
        <v>8.45718799856088E-005</v>
      </c>
      <c r="L392" s="271" t="n">
        <f aca="false">K392+L391</f>
        <v>0.993836140661517</v>
      </c>
    </row>
    <row r="393" customFormat="false" ht="38.25" hidden="false" customHeight="false" outlineLevel="0" collapsed="false">
      <c r="A393" s="264" t="n">
        <f aca="false">K393</f>
        <v>8.36232444833203E-005</v>
      </c>
      <c r="B393" s="265" t="str">
        <f aca="false">VLOOKUP($C393,01_SINTETICO!$B:$N,13,0)</f>
        <v>11.2.2.2</v>
      </c>
      <c r="C393" s="272" t="n">
        <v>89708</v>
      </c>
      <c r="D393" s="266" t="str">
        <f aca="false">VLOOKUP($C393,01_SINTETICO!$B:$M,2,0)</f>
        <v>CAIXA SIFONADA, PVC, DN 150 X 185 X 75 MM, JUNTA ELÁSTICA, FORNECIDA E INSTALADA EM RAMAL DE DESCARGA OU EM RAMAL DE ESGOTO SANITÁRIO. AF_08/2022</v>
      </c>
      <c r="E393" s="272" t="str">
        <f aca="false">VLOOKUP($B393,01_SINTETICO!$A:$M,4,0)</f>
        <v>SER.CG</v>
      </c>
      <c r="F393" s="273" t="str">
        <f aca="false">VLOOKUP($B393,01_SINTETICO!$A:$M,5,0)</f>
        <v>UN</v>
      </c>
      <c r="G393" s="267" t="n">
        <f aca="true">SUMIFS(INDIRECT("'01_SINTETICO'!F7:F995"),INDIRECT("'01_SINTETICO'!B7:B995"),$C393)</f>
        <v>6</v>
      </c>
      <c r="H393" s="268" t="n">
        <f aca="false">VLOOKUP($C393,01_SINTETICO!$B:$M,6,0)*$G393*(1+BDI_DIF)</f>
        <v>630.361984868206</v>
      </c>
      <c r="I393" s="268" t="n">
        <f aca="false">VLOOKUP($C393,01_SINTETICO!$B:$M,7,0)*$G393*(1+BDI_MDO)</f>
        <v>124.539554465256</v>
      </c>
      <c r="J393" s="269" t="n">
        <f aca="false">SUM(H393:I393)</f>
        <v>754.901539333462</v>
      </c>
      <c r="K393" s="270" t="n">
        <f aca="false">J393/SUM($J$7:$J$749)</f>
        <v>8.36232444833203E-005</v>
      </c>
      <c r="L393" s="271" t="n">
        <f aca="false">K393+L392</f>
        <v>0.993919763906</v>
      </c>
    </row>
    <row r="394" customFormat="false" ht="25.5" hidden="false" customHeight="false" outlineLevel="0" collapsed="false">
      <c r="A394" s="264" t="n">
        <f aca="false">K394</f>
        <v>8.03930556286654E-005</v>
      </c>
      <c r="B394" s="265" t="str">
        <f aca="false">VLOOKUP($C394,01_SINTETICO!$B:$N,13,0)</f>
        <v>3.2.1.2.3</v>
      </c>
      <c r="C394" s="266" t="n">
        <v>96621</v>
      </c>
      <c r="D394" s="266" t="str">
        <f aca="false">VLOOKUP($C394,01_SINTETICO!$B:$M,2,0)</f>
        <v>LASTRO COM MATERIAL GRANULAR, APLICAÇÃO EM BLOCOS DE COROAMENTO, ESPESSURA DE *5 CM*. AF_01/2024</v>
      </c>
      <c r="E394" s="266" t="str">
        <f aca="false">VLOOKUP($B394,01_SINTETICO!$A:$M,4,0)</f>
        <v>SER.CG</v>
      </c>
      <c r="F394" s="267" t="str">
        <f aca="false">VLOOKUP($B394,01_SINTETICO!$A:$M,5,0)</f>
        <v>M3</v>
      </c>
      <c r="G394" s="267" t="n">
        <f aca="true">SUMIFS(INDIRECT("'01_SINTETICO'!F7:F995"),INDIRECT("'01_SINTETICO'!B7:B995"),$C394)</f>
        <v>6.78</v>
      </c>
      <c r="H394" s="268" t="n">
        <f aca="false">VLOOKUP($C394,01_SINTETICO!$B:$M,6,0)*$G394*(1+BDI_MAT)</f>
        <v>206.11907230759</v>
      </c>
      <c r="I394" s="268" t="n">
        <f aca="false">VLOOKUP($C394,01_SINTETICO!$B:$M,7,0)*$G394*(1+BDI_MDO)</f>
        <v>519.622219133276</v>
      </c>
      <c r="J394" s="269" t="n">
        <f aca="false">SUM(H394:I394)</f>
        <v>725.741291440866</v>
      </c>
      <c r="K394" s="270" t="n">
        <f aca="false">J394/SUM($J$7:$J$749)</f>
        <v>8.03930556286654E-005</v>
      </c>
      <c r="L394" s="271" t="n">
        <f aca="false">K394+L393</f>
        <v>0.994000156961628</v>
      </c>
    </row>
    <row r="395" customFormat="false" ht="25.5" hidden="false" customHeight="false" outlineLevel="0" collapsed="false">
      <c r="A395" s="264" t="n">
        <f aca="false">K395</f>
        <v>8.00434843436923E-005</v>
      </c>
      <c r="B395" s="265" t="str">
        <f aca="false">VLOOKUP($C395,01_SINTETICO!$B:$N,13,0)</f>
        <v>16.2.1.4</v>
      </c>
      <c r="C395" s="266" t="s">
        <v>1306</v>
      </c>
      <c r="D395" s="266" t="str">
        <f aca="false">VLOOKUP($C395,01_SINTETICO!$B:$M,2,0)</f>
        <v>GRELHA PARA SISTEMA DE RENOVAÇÃO DE AR, Ø200 MM - FORNECIMENTO E INSTALAÇÃO.</v>
      </c>
      <c r="E395" s="266" t="str">
        <f aca="false">VLOOKUP($B395,01_SINTETICO!$A:$M,4,0)</f>
        <v>SER.CG</v>
      </c>
      <c r="F395" s="267" t="str">
        <f aca="false">VLOOKUP($B395,01_SINTETICO!$A:$M,5,0)</f>
        <v>UN</v>
      </c>
      <c r="G395" s="267" t="n">
        <f aca="true">SUMIFS(INDIRECT("'01_SINTETICO'!F7:F995"),INDIRECT("'01_SINTETICO'!B7:B995"),$C395)</f>
        <v>7</v>
      </c>
      <c r="H395" s="268" t="n">
        <f aca="false">VLOOKUP($C395,01_SINTETICO!$B:$M,6,0)*$G395*(1+BDI_DIF)</f>
        <v>319.867204671454</v>
      </c>
      <c r="I395" s="268" t="n">
        <f aca="false">VLOOKUP($C395,01_SINTETICO!$B:$M,7,0)*$G395*(1+BDI_MDO)</f>
        <v>402.718362511601</v>
      </c>
      <c r="J395" s="269" t="n">
        <f aca="false">SUM(H395:I395)</f>
        <v>722.585567183055</v>
      </c>
      <c r="K395" s="270" t="n">
        <f aca="false">J395/SUM($J$7:$J$749)</f>
        <v>8.00434843436923E-005</v>
      </c>
      <c r="L395" s="271" t="n">
        <f aca="false">K395+L394</f>
        <v>0.994080200445972</v>
      </c>
    </row>
    <row r="396" customFormat="false" ht="25.5" hidden="false" customHeight="false" outlineLevel="0" collapsed="false">
      <c r="A396" s="264" t="n">
        <f aca="false">K396</f>
        <v>7.98512150252067E-005</v>
      </c>
      <c r="B396" s="265" t="str">
        <f aca="false">VLOOKUP($C396,01_SINTETICO!$B:$N,13,0)</f>
        <v>11.6.2.21</v>
      </c>
      <c r="C396" s="266" t="n">
        <v>89403</v>
      </c>
      <c r="D396" s="266" t="str">
        <f aca="false">VLOOKUP($C396,01_SINTETICO!$B:$M,2,0)</f>
        <v>TUBO, PVC, SOLDÁVEL, DE 32MM, INSTALADO EM RAMAL DE DISTRIBUIÇÃO DE ÁGUA - FORNECIMENTO E INSTALAÇÃO. AF_06/2022</v>
      </c>
      <c r="E396" s="266" t="str">
        <f aca="false">VLOOKUP($B396,01_SINTETICO!$A:$M,4,0)</f>
        <v>SER.CG</v>
      </c>
      <c r="F396" s="267" t="str">
        <f aca="false">VLOOKUP($B396,01_SINTETICO!$A:$M,5,0)</f>
        <v>M</v>
      </c>
      <c r="G396" s="267" t="n">
        <f aca="true">SUMIFS(INDIRECT("'01_SINTETICO'!F7:F995"),INDIRECT("'01_SINTETICO'!B7:B995"),$C396)</f>
        <v>33.4</v>
      </c>
      <c r="H396" s="268" t="n">
        <f aca="false">VLOOKUP($C396,01_SINTETICO!$B:$M,6,0)*$G396*(1+BDI_DIF)</f>
        <v>446.415306499965</v>
      </c>
      <c r="I396" s="268" t="n">
        <f aca="false">VLOOKUP($C396,01_SINTETICO!$B:$M,7,0)*$G396*(1+BDI_MDO)</f>
        <v>274.434566195412</v>
      </c>
      <c r="J396" s="269" t="n">
        <f aca="false">SUM(H396:I396)</f>
        <v>720.849872695377</v>
      </c>
      <c r="K396" s="270" t="n">
        <f aca="false">J396/SUM($J$7:$J$749)</f>
        <v>7.98512150252067E-005</v>
      </c>
      <c r="L396" s="271" t="n">
        <f aca="false">K396+L395</f>
        <v>0.994160051660997</v>
      </c>
    </row>
    <row r="397" customFormat="false" ht="25.5" hidden="false" customHeight="false" outlineLevel="0" collapsed="false">
      <c r="A397" s="264" t="n">
        <f aca="false">K397</f>
        <v>7.96497282938658E-005</v>
      </c>
      <c r="B397" s="265" t="str">
        <f aca="false">VLOOKUP($C397,01_SINTETICO!$B:$N,13,0)</f>
        <v>12.3.1.1.3</v>
      </c>
      <c r="C397" s="272" t="n">
        <v>91955</v>
      </c>
      <c r="D397" s="266" t="str">
        <f aca="false">VLOOKUP($C397,01_SINTETICO!$B:$M,2,0)</f>
        <v>INTERRUPTOR PARALELO (1 MÓDULO), 10A/250V, INCLUINDO SUPORTE E PLACA - FORNECIMENTO E INSTALAÇÃO. AF_03/2023</v>
      </c>
      <c r="E397" s="272" t="str">
        <f aca="false">VLOOKUP($B397,01_SINTETICO!$A:$M,4,0)</f>
        <v>SER.CG</v>
      </c>
      <c r="F397" s="273" t="str">
        <f aca="false">VLOOKUP($B397,01_SINTETICO!$A:$M,5,0)</f>
        <v>UN</v>
      </c>
      <c r="G397" s="267" t="n">
        <f aca="true">SUMIFS(INDIRECT("'01_SINTETICO'!F7:F995"),INDIRECT("'01_SINTETICO'!B7:B995"),$C397)</f>
        <v>17</v>
      </c>
      <c r="H397" s="268" t="n">
        <f aca="false">VLOOKUP($C397,01_SINTETICO!$B:$M,6,0)*$G397*(1+BDI_MAT)</f>
        <v>384.07844524</v>
      </c>
      <c r="I397" s="268" t="n">
        <f aca="false">VLOOKUP($C397,01_SINTETICO!$B:$M,7,0)*$G397*(1+BDI_MDO)</f>
        <v>334.952523577822</v>
      </c>
      <c r="J397" s="269" t="n">
        <f aca="false">SUM(H397:I397)</f>
        <v>719.030968817822</v>
      </c>
      <c r="K397" s="270" t="n">
        <f aca="false">J397/SUM($J$7:$J$749)</f>
        <v>7.96497282938658E-005</v>
      </c>
      <c r="L397" s="271" t="n">
        <f aca="false">K397+L396</f>
        <v>0.994239701389291</v>
      </c>
    </row>
    <row r="398" customFormat="false" ht="38.25" hidden="false" customHeight="false" outlineLevel="0" collapsed="false">
      <c r="A398" s="264" t="n">
        <f aca="false">K398</f>
        <v>7.89507200855057E-005</v>
      </c>
      <c r="B398" s="265" t="str">
        <f aca="false">VLOOKUP($C398,01_SINTETICO!$B:$N,13,0)</f>
        <v>11.2.3.10</v>
      </c>
      <c r="C398" s="266" t="n">
        <v>89724</v>
      </c>
      <c r="D398" s="266" t="str">
        <f aca="false">VLOOKUP($C398,01_SINTETICO!$B:$M,2,0)</f>
        <v>JOELHO 90 GRAUS, PVC, SERIE NORMAL, ESGOTO PREDIAL, DN 40 MM, JUNTA SOLDÁVEL, FORNECIDO E INSTALADO EM RAMAL DE DESCARGA OU RAMAL DE ESGOTO SANITÁRIO. AF_08/2022</v>
      </c>
      <c r="E398" s="266" t="str">
        <f aca="false">VLOOKUP($B398,01_SINTETICO!$A:$M,4,0)</f>
        <v>SER.CG</v>
      </c>
      <c r="F398" s="267" t="str">
        <f aca="false">VLOOKUP($B398,01_SINTETICO!$A:$M,5,0)</f>
        <v>UN</v>
      </c>
      <c r="G398" s="267" t="n">
        <f aca="true">SUMIFS(INDIRECT("'01_SINTETICO'!F7:F995"),INDIRECT("'01_SINTETICO'!B7:B995"),$C398)</f>
        <v>59</v>
      </c>
      <c r="H398" s="268" t="n">
        <f aca="false">VLOOKUP($C398,01_SINTETICO!$B:$M,6,0)*$G398*(1+BDI_DIF)</f>
        <v>387.141610495926</v>
      </c>
      <c r="I398" s="268" t="n">
        <f aca="false">VLOOKUP($C398,01_SINTETICO!$B:$M,7,0)*$G398*(1+BDI_MDO)</f>
        <v>325.579122743759</v>
      </c>
      <c r="J398" s="269" t="n">
        <f aca="false">SUM(H398:I398)</f>
        <v>712.720733239686</v>
      </c>
      <c r="K398" s="270" t="n">
        <f aca="false">J398/SUM($J$7:$J$749)</f>
        <v>7.89507200855057E-005</v>
      </c>
      <c r="L398" s="271" t="n">
        <f aca="false">K398+L397</f>
        <v>0.994318652109377</v>
      </c>
    </row>
    <row r="399" customFormat="false" ht="38.25" hidden="false" customHeight="false" outlineLevel="0" collapsed="false">
      <c r="A399" s="264" t="n">
        <f aca="false">K399</f>
        <v>7.61116758635094E-005</v>
      </c>
      <c r="B399" s="265" t="str">
        <f aca="false">VLOOKUP($C399,01_SINTETICO!$B:$N,13,0)</f>
        <v>3.2.2.5.1.1</v>
      </c>
      <c r="C399" s="272" t="n">
        <v>97084</v>
      </c>
      <c r="D399" s="266" t="str">
        <f aca="false">VLOOKUP($C399,01_SINTETICO!$B:$M,2,0)</f>
        <v>COMPACTAÇÃO MECÂNICA DE SOLO PARA EXECUÇÃO DE RADIER, PISO DE CONCRETO OU LAJE SOBRE SOLO, COM COMPACTADOR DE SOLOS TIPO PLACA VIBRATÓRIA. AF_09/2021</v>
      </c>
      <c r="E399" s="272" t="str">
        <f aca="false">VLOOKUP($B399,01_SINTETICO!$A:$M,4,0)</f>
        <v>SER.CG</v>
      </c>
      <c r="F399" s="273" t="str">
        <f aca="false">VLOOKUP($B399,01_SINTETICO!$A:$M,5,0)</f>
        <v>M2</v>
      </c>
      <c r="G399" s="267" t="n">
        <f aca="true">SUMIFS(INDIRECT("'01_SINTETICO'!F7:F995"),INDIRECT("'01_SINTETICO'!B7:B995"),$C399)</f>
        <v>812.59</v>
      </c>
      <c r="H399" s="268" t="n">
        <f aca="false">VLOOKUP($C399,01_SINTETICO!$B:$M,6,0)*$G399*(1+BDI_DIF)</f>
        <v>234.264200832596</v>
      </c>
      <c r="I399" s="268" t="n">
        <f aca="false">VLOOKUP($C399,01_SINTETICO!$B:$M,7,0)*$G399*(1+BDI_MDO)</f>
        <v>452.827308539218</v>
      </c>
      <c r="J399" s="269" t="n">
        <f aca="false">SUM(H399:I399)</f>
        <v>687.091509371814</v>
      </c>
      <c r="K399" s="270" t="n">
        <f aca="false">J399/SUM($J$7:$J$749)</f>
        <v>7.61116758635094E-005</v>
      </c>
      <c r="L399" s="271" t="n">
        <f aca="false">K399+L398</f>
        <v>0.99439476378524</v>
      </c>
    </row>
    <row r="400" customFormat="false" ht="25.5" hidden="false" customHeight="false" outlineLevel="0" collapsed="false">
      <c r="A400" s="264" t="n">
        <f aca="false">K400</f>
        <v>7.54215228435259E-005</v>
      </c>
      <c r="B400" s="265" t="str">
        <f aca="false">VLOOKUP($C400,01_SINTETICO!$B:$N,13,0)</f>
        <v>15.2.2</v>
      </c>
      <c r="C400" s="266" t="s">
        <v>1135</v>
      </c>
      <c r="D400" s="266" t="str">
        <f aca="false">VLOOKUP($C400,01_SINTETICO!$B:$M,2,0)</f>
        <v>PLACA FOTOLUMINESCENTE - 24X12CM.</v>
      </c>
      <c r="E400" s="266" t="str">
        <f aca="false">VLOOKUP($B400,01_SINTETICO!$A:$M,4,0)</f>
        <v>SER.CG</v>
      </c>
      <c r="F400" s="267" t="str">
        <f aca="false">VLOOKUP($B400,01_SINTETICO!$A:$M,5,0)</f>
        <v>UN</v>
      </c>
      <c r="G400" s="267" t="n">
        <f aca="true">SUMIFS(INDIRECT("'01_SINTETICO'!F7:F995"),INDIRECT("'01_SINTETICO'!B7:B995"),$C400)</f>
        <v>35</v>
      </c>
      <c r="H400" s="268" t="n">
        <f aca="false">VLOOKUP($C400,01_SINTETICO!$B:$M,6,0)*$G400*(1+BDI_DIF)</f>
        <v>562.841450911698</v>
      </c>
      <c r="I400" s="268" t="n">
        <f aca="false">VLOOKUP($C400,01_SINTETICO!$B:$M,7,0)*$G400*(1+BDI_MDO)</f>
        <v>118.019762322</v>
      </c>
      <c r="J400" s="269" t="n">
        <f aca="false">SUM(H400:I400)</f>
        <v>680.861213233698</v>
      </c>
      <c r="K400" s="270" t="n">
        <f aca="false">J400/SUM($J$7:$J$749)</f>
        <v>7.54215228435259E-005</v>
      </c>
      <c r="L400" s="271" t="n">
        <f aca="false">K400+L399</f>
        <v>0.994470185308084</v>
      </c>
    </row>
    <row r="401" customFormat="false" ht="38.25" hidden="false" customHeight="false" outlineLevel="0" collapsed="false">
      <c r="A401" s="264" t="n">
        <f aca="false">K401</f>
        <v>7.08620537172096E-005</v>
      </c>
      <c r="B401" s="265" t="str">
        <f aca="false">VLOOKUP($C401,01_SINTETICO!$B:$N,13,0)</f>
        <v>11.2.3.32</v>
      </c>
      <c r="C401" s="266" t="n">
        <v>89825</v>
      </c>
      <c r="D401" s="266" t="str">
        <f aca="false">VLOOKUP($C401,01_SINTETICO!$B:$M,2,0)</f>
        <v>TE, PVC, SERIE NORMAL, ESGOTO PREDIAL, DN 50 X 50 MM, JUNTA ELÁSTICA, FORNECIDO E INSTALADO EM PRUMADA DE ESGOTO SANITÁRIO OU VENTILAÇÃO. AF_08/2022</v>
      </c>
      <c r="E401" s="266" t="str">
        <f aca="false">VLOOKUP($B401,01_SINTETICO!$A:$M,4,0)</f>
        <v>SER.CG</v>
      </c>
      <c r="F401" s="267" t="str">
        <f aca="false">VLOOKUP($B401,01_SINTETICO!$A:$M,5,0)</f>
        <v>UN</v>
      </c>
      <c r="G401" s="267" t="n">
        <f aca="true">SUMIFS(INDIRECT("'01_SINTETICO'!F7:F995"),INDIRECT("'01_SINTETICO'!B7:B995"),$C401)</f>
        <v>32</v>
      </c>
      <c r="H401" s="268" t="n">
        <f aca="false">VLOOKUP($C401,01_SINTETICO!$B:$M,6,0)*$G401*(1+BDI_DIF)</f>
        <v>576.158109152069</v>
      </c>
      <c r="I401" s="268" t="n">
        <f aca="false">VLOOKUP($C401,01_SINTETICO!$B:$M,7,0)*$G401*(1+BDI_MDO)</f>
        <v>63.5428945816727</v>
      </c>
      <c r="J401" s="269" t="n">
        <f aca="false">SUM(H401:I401)</f>
        <v>639.701003733741</v>
      </c>
      <c r="K401" s="270" t="n">
        <f aca="false">J401/SUM($J$7:$J$749)</f>
        <v>7.08620537172096E-005</v>
      </c>
      <c r="L401" s="271" t="n">
        <f aca="false">K401+L400</f>
        <v>0.994541047361801</v>
      </c>
    </row>
    <row r="402" customFormat="false" ht="25.5" hidden="false" customHeight="false" outlineLevel="0" collapsed="false">
      <c r="A402" s="264" t="n">
        <f aca="false">K402</f>
        <v>7.05450017393455E-005</v>
      </c>
      <c r="B402" s="265" t="str">
        <f aca="false">VLOOKUP($C402,01_SINTETICO!$B:$N,13,0)</f>
        <v>15.5.2.6</v>
      </c>
      <c r="C402" s="266" t="s">
        <v>1214</v>
      </c>
      <c r="D402" s="266" t="str">
        <f aca="false">VLOOKUP($C402,01_SINTETICO!$B:$M,2,0)</f>
        <v>CABO DE COBRE FLEXÍVEL MULTIPOLAR,3 VIAS, 1,5 MM², ANTI-CHAMA 450/750 V, PARA CIRCUITOS TERMINAIS - FORNECIMENTO E INSTALAÇÃO.</v>
      </c>
      <c r="E402" s="266" t="str">
        <f aca="false">VLOOKUP($B402,01_SINTETICO!$A:$M,4,0)</f>
        <v>SER.CG</v>
      </c>
      <c r="F402" s="267" t="str">
        <f aca="false">VLOOKUP($B402,01_SINTETICO!$A:$M,5,0)</f>
        <v>M</v>
      </c>
      <c r="G402" s="267" t="n">
        <f aca="true">SUMIFS(INDIRECT("'01_SINTETICO'!F7:F995"),INDIRECT("'01_SINTETICO'!B7:B995"),$C402)</f>
        <v>67.5</v>
      </c>
      <c r="H402" s="268" t="n">
        <f aca="false">VLOOKUP($C402,01_SINTETICO!$B:$M,6,0)*$G402*(1+BDI_DIF)</f>
        <v>609.614088099009</v>
      </c>
      <c r="I402" s="268" t="n">
        <f aca="false">VLOOKUP($C402,01_SINTETICO!$B:$M,7,0)*$G402*(1+BDI_MDO)</f>
        <v>27.2247565829382</v>
      </c>
      <c r="J402" s="269" t="n">
        <f aca="false">SUM(H402:I402)</f>
        <v>636.838844681947</v>
      </c>
      <c r="K402" s="270" t="n">
        <f aca="false">J402/SUM($J$7:$J$749)</f>
        <v>7.05450017393455E-005</v>
      </c>
      <c r="L402" s="271" t="n">
        <f aca="false">K402+L401</f>
        <v>0.99461159236354</v>
      </c>
    </row>
    <row r="403" customFormat="false" ht="25.5" hidden="false" customHeight="false" outlineLevel="0" collapsed="false">
      <c r="A403" s="264" t="n">
        <f aca="false">K403</f>
        <v>7.01111794849995E-005</v>
      </c>
      <c r="B403" s="265" t="str">
        <f aca="false">VLOOKUP($C403,01_SINTETICO!$B:$N,13,0)</f>
        <v>8.2.5.4</v>
      </c>
      <c r="C403" s="272" t="s">
        <v>590</v>
      </c>
      <c r="D403" s="266" t="str">
        <f aca="false">VLOOKUP($C403,01_SINTETICO!$B:$M,2,0)</f>
        <v>PLACA INDICATIVA DE PAVIMENTO EM BRAILE INSTALADA EM CORRIMÃO.</v>
      </c>
      <c r="E403" s="272" t="str">
        <f aca="false">VLOOKUP($B403,01_SINTETICO!$A:$M,4,0)</f>
        <v>SER.CG</v>
      </c>
      <c r="F403" s="273" t="str">
        <f aca="false">VLOOKUP($B403,01_SINTETICO!$A:$M,5,0)</f>
        <v>UN</v>
      </c>
      <c r="G403" s="267" t="n">
        <f aca="true">SUMIFS(INDIRECT("'01_SINTETICO'!F7:F995"),INDIRECT("'01_SINTETICO'!B7:B995"),$C403)</f>
        <v>24</v>
      </c>
      <c r="H403" s="268" t="n">
        <f aca="false">VLOOKUP($C403,01_SINTETICO!$B:$M,6,0)*$G403*(1+BDI_DIF)</f>
        <v>551.99471513236</v>
      </c>
      <c r="I403" s="268" t="n">
        <f aca="false">VLOOKUP($C403,01_SINTETICO!$B:$M,7,0)*$G403*(1+BDI_MDO)</f>
        <v>80.9278370208</v>
      </c>
      <c r="J403" s="269" t="n">
        <f aca="false">SUM(H403:I403)</f>
        <v>632.92255215316</v>
      </c>
      <c r="K403" s="270" t="n">
        <f aca="false">J403/SUM($J$7:$J$749)</f>
        <v>7.01111794849995E-005</v>
      </c>
      <c r="L403" s="271" t="n">
        <f aca="false">K403+L402</f>
        <v>0.994681703543025</v>
      </c>
    </row>
    <row r="404" customFormat="false" ht="25.5" hidden="false" customHeight="false" outlineLevel="0" collapsed="false">
      <c r="A404" s="264" t="n">
        <f aca="false">K404</f>
        <v>6.90562193601528E-005</v>
      </c>
      <c r="B404" s="265" t="str">
        <f aca="false">VLOOKUP($C404,01_SINTETICO!$B:$N,13,0)</f>
        <v>14.3.1</v>
      </c>
      <c r="C404" s="266" t="s">
        <v>1104</v>
      </c>
      <c r="D404" s="266" t="str">
        <f aca="false">VLOOKUP($C404,01_SINTETICO!$B:$M,2,0)</f>
        <v>CAIXA DE EQUIPOTENCIALIZAÇÃO, DE SOBREPOR, 5 TERMINAIS - FORNECIMENTO E INSTALACAO.</v>
      </c>
      <c r="E404" s="272" t="str">
        <f aca="false">VLOOKUP($B404,01_SINTETICO!$A:$M,4,0)</f>
        <v>SER.CG</v>
      </c>
      <c r="F404" s="273" t="str">
        <f aca="false">VLOOKUP($B404,01_SINTETICO!$A:$M,5,0)</f>
        <v>UN</v>
      </c>
      <c r="G404" s="267" t="n">
        <f aca="true">SUMIFS(INDIRECT("'01_SINTETICO'!F7:F995"),INDIRECT("'01_SINTETICO'!B7:B995"),$C404)</f>
        <v>2</v>
      </c>
      <c r="H404" s="268" t="n">
        <f aca="false">VLOOKUP($C404,01_SINTETICO!$B:$M,6,0)*$G404*(1+BDI_DIF)</f>
        <v>592.759580445541</v>
      </c>
      <c r="I404" s="268" t="n">
        <f aca="false">VLOOKUP($C404,01_SINTETICO!$B:$M,7,0)*$G404*(1+BDI_MDO)</f>
        <v>30.6394112777069</v>
      </c>
      <c r="J404" s="269" t="n">
        <f aca="false">SUM(H404:I404)</f>
        <v>623.398991723248</v>
      </c>
      <c r="K404" s="270" t="n">
        <f aca="false">J404/SUM($J$7:$J$749)</f>
        <v>6.90562193601528E-005</v>
      </c>
      <c r="L404" s="271" t="n">
        <f aca="false">K404+L403</f>
        <v>0.994750759762385</v>
      </c>
    </row>
    <row r="405" customFormat="false" ht="25.5" hidden="false" customHeight="false" outlineLevel="0" collapsed="false">
      <c r="A405" s="264" t="n">
        <f aca="false">K405</f>
        <v>6.72448188070486E-005</v>
      </c>
      <c r="B405" s="265" t="str">
        <f aca="false">VLOOKUP($C405,01_SINTETICO!$B:$N,13,0)</f>
        <v>11.6.2.14</v>
      </c>
      <c r="C405" s="272" t="n">
        <v>89408</v>
      </c>
      <c r="D405" s="266" t="str">
        <f aca="false">VLOOKUP($C405,01_SINTETICO!$B:$M,2,0)</f>
        <v>JOELHO 90 GRAUS, PVC, SOLDÁVEL, DN 25MM, INSTALADO EM RAMAL DE DISTRIBUIÇÃO DE ÁGUA - FORNECIMENTO E INSTALAÇÃO. AF_06/2022</v>
      </c>
      <c r="E405" s="272" t="str">
        <f aca="false">VLOOKUP($B405,01_SINTETICO!$A:$M,4,0)</f>
        <v>SER.CG</v>
      </c>
      <c r="F405" s="273" t="str">
        <f aca="false">VLOOKUP($B405,01_SINTETICO!$A:$M,5,0)</f>
        <v>UN</v>
      </c>
      <c r="G405" s="267" t="n">
        <f aca="true">SUMIFS(INDIRECT("'01_SINTETICO'!F7:F995"),INDIRECT("'01_SINTETICO'!B7:B995"),$C405)</f>
        <v>63</v>
      </c>
      <c r="H405" s="268" t="n">
        <f aca="false">VLOOKUP($C405,01_SINTETICO!$B:$M,6,0)*$G405*(1+BDI_DIF)</f>
        <v>235.031413708018</v>
      </c>
      <c r="I405" s="268" t="n">
        <f aca="false">VLOOKUP($C405,01_SINTETICO!$B:$M,7,0)*$G405*(1+BDI_MDO)</f>
        <v>372.015317655845</v>
      </c>
      <c r="J405" s="269" t="n">
        <f aca="false">SUM(H405:I405)</f>
        <v>607.046731363863</v>
      </c>
      <c r="K405" s="270" t="n">
        <f aca="false">J405/SUM($J$7:$J$749)</f>
        <v>6.72448188070486E-005</v>
      </c>
      <c r="L405" s="271" t="n">
        <f aca="false">K405+L404</f>
        <v>0.994818004581192</v>
      </c>
    </row>
    <row r="406" customFormat="false" ht="25.5" hidden="false" customHeight="false" outlineLevel="0" collapsed="false">
      <c r="A406" s="264" t="n">
        <f aca="false">K406</f>
        <v>6.6586477999416E-005</v>
      </c>
      <c r="B406" s="265" t="str">
        <f aca="false">VLOOKUP($C406,01_SINTETICO!$B:$N,13,0)</f>
        <v>15.1.1</v>
      </c>
      <c r="C406" s="266" t="n">
        <v>97599</v>
      </c>
      <c r="D406" s="266" t="str">
        <f aca="false">VLOOKUP($C406,01_SINTETICO!$B:$M,2,0)</f>
        <v>LUMINÁRIA DE EMERGÊNCIA, COM 30 LÂMPADAS LED DE 2 W, SEM REATOR - FORNECIMENTO E INSTALAÇÃO. AF_09/2024</v>
      </c>
      <c r="E406" s="266" t="str">
        <f aca="false">VLOOKUP($B406,01_SINTETICO!$A:$M,4,0)</f>
        <v>SER.CG</v>
      </c>
      <c r="F406" s="267" t="str">
        <f aca="false">VLOOKUP($B406,01_SINTETICO!$A:$M,5,0)</f>
        <v>UN</v>
      </c>
      <c r="G406" s="267" t="n">
        <f aca="true">SUMIFS(INDIRECT("'01_SINTETICO'!F7:F995"),INDIRECT("'01_SINTETICO'!B7:B995"),$C406)</f>
        <v>30</v>
      </c>
      <c r="H406" s="268" t="n">
        <f aca="false">VLOOKUP($C406,01_SINTETICO!$B:$M,6,0)*$G406*(1+BDI_DIF)</f>
        <v>459.512506615071</v>
      </c>
      <c r="I406" s="268" t="n">
        <f aca="false">VLOOKUP($C406,01_SINTETICO!$B:$M,7,0)*$G406*(1+BDI_MDO)</f>
        <v>141.591110580493</v>
      </c>
      <c r="J406" s="269" t="n">
        <f aca="false">SUM(H406:I406)</f>
        <v>601.103617195564</v>
      </c>
      <c r="K406" s="270" t="n">
        <f aca="false">J406/SUM($J$7:$J$749)</f>
        <v>6.6586477999416E-005</v>
      </c>
      <c r="L406" s="271" t="n">
        <f aca="false">K406+L405</f>
        <v>0.994884591059192</v>
      </c>
    </row>
    <row r="407" customFormat="false" ht="25.5" hidden="false" customHeight="false" outlineLevel="0" collapsed="false">
      <c r="A407" s="264" t="n">
        <f aca="false">K407</f>
        <v>6.64735147176034E-005</v>
      </c>
      <c r="B407" s="265" t="str">
        <f aca="false">VLOOKUP($C407,01_SINTETICO!$B:$N,13,0)</f>
        <v>14.2.7</v>
      </c>
      <c r="C407" s="266" t="n">
        <v>96973</v>
      </c>
      <c r="D407" s="266" t="str">
        <f aca="false">VLOOKUP($C407,01_SINTETICO!$B:$M,2,0)</f>
        <v>CORDOALHA DE COBRE NU 35 MM², NÃO ENTERRADA, COM ISOLADOR - FORNECIMENTO E INSTALAÇÃO. AF_08/2023</v>
      </c>
      <c r="E407" s="266" t="str">
        <f aca="false">VLOOKUP($B407,01_SINTETICO!$A:$M,4,0)</f>
        <v>SER.CG</v>
      </c>
      <c r="F407" s="267" t="str">
        <f aca="false">VLOOKUP($B407,01_SINTETICO!$A:$M,5,0)</f>
        <v>M</v>
      </c>
      <c r="G407" s="267" t="n">
        <f aca="true">SUMIFS(INDIRECT("'01_SINTETICO'!F7:F995"),INDIRECT("'01_SINTETICO'!B7:B995"),$C407)</f>
        <v>7.18</v>
      </c>
      <c r="H407" s="268" t="n">
        <f aca="false">VLOOKUP($C407,01_SINTETICO!$B:$M,6,0)*$G407*(1+BDI_DIF)</f>
        <v>455.284959705358</v>
      </c>
      <c r="I407" s="268" t="n">
        <f aca="false">VLOOKUP($C407,01_SINTETICO!$B:$M,7,0)*$G407*(1+BDI_MDO)</f>
        <v>144.798891325244</v>
      </c>
      <c r="J407" s="269" t="n">
        <f aca="false">SUM(H407:I407)</f>
        <v>600.083851030601</v>
      </c>
      <c r="K407" s="270" t="n">
        <f aca="false">J407/SUM($J$7:$J$749)</f>
        <v>6.64735147176034E-005</v>
      </c>
      <c r="L407" s="271" t="n">
        <f aca="false">K407+L406</f>
        <v>0.994951064573909</v>
      </c>
    </row>
    <row r="408" customFormat="false" ht="38.25" hidden="false" customHeight="false" outlineLevel="0" collapsed="false">
      <c r="A408" s="264" t="n">
        <f aca="false">K408</f>
        <v>6.62860160996164E-005</v>
      </c>
      <c r="B408" s="265" t="str">
        <f aca="false">VLOOKUP($C408,01_SINTETICO!$B:$N,13,0)</f>
        <v>11.2.3.21</v>
      </c>
      <c r="C408" s="266" t="n">
        <v>89813</v>
      </c>
      <c r="D408" s="266" t="str">
        <f aca="false">VLOOKUP($C408,01_SINTETICO!$B:$M,2,0)</f>
        <v>LUVA SIMPLES, PVC, SERIE NORMAL, ESGOTO PREDIAL, DN 50 MM, JUNTA ELÁSTICA, FORNECIDO E INSTALADO EM PRUMADA DE ESGOTO SANITÁRIO OU VENTILAÇÃO. AF_08/2022</v>
      </c>
      <c r="E408" s="266" t="str">
        <f aca="false">VLOOKUP($B408,01_SINTETICO!$A:$M,4,0)</f>
        <v>SER.CG</v>
      </c>
      <c r="F408" s="267" t="str">
        <f aca="false">VLOOKUP($B408,01_SINTETICO!$A:$M,5,0)</f>
        <v>UN</v>
      </c>
      <c r="G408" s="267" t="n">
        <f aca="true">SUMIFS(INDIRECT("'01_SINTETICO'!F7:F995"),INDIRECT("'01_SINTETICO'!B7:B995"),$C408)</f>
        <v>213</v>
      </c>
      <c r="H408" s="268" t="n">
        <f aca="false">VLOOKUP($C408,01_SINTETICO!$B:$M,6,0)*$G408*(1+BDI_DIF)</f>
        <v>387.375281853839</v>
      </c>
      <c r="I408" s="268" t="n">
        <f aca="false">VLOOKUP($C408,01_SINTETICO!$B:$M,7,0)*$G408*(1+BDI_MDO)</f>
        <v>211.015941771359</v>
      </c>
      <c r="J408" s="269" t="n">
        <f aca="false">SUM(H408:I408)</f>
        <v>598.391223625198</v>
      </c>
      <c r="K408" s="270" t="n">
        <f aca="false">J408/SUM($J$7:$J$749)</f>
        <v>6.62860160996164E-005</v>
      </c>
      <c r="L408" s="271" t="n">
        <f aca="false">K408+L407</f>
        <v>0.995017350590009</v>
      </c>
    </row>
    <row r="409" customFormat="false" ht="38.25" hidden="false" customHeight="false" outlineLevel="0" collapsed="false">
      <c r="A409" s="264" t="n">
        <f aca="false">K409</f>
        <v>6.59335287994431E-005</v>
      </c>
      <c r="B409" s="265" t="str">
        <f aca="false">VLOOKUP($C409,01_SINTETICO!$B:$N,13,0)</f>
        <v>11.2.3.22</v>
      </c>
      <c r="C409" s="272" t="n">
        <v>89817</v>
      </c>
      <c r="D409" s="266" t="str">
        <f aca="false">VLOOKUP($C409,01_SINTETICO!$B:$M,2,0)</f>
        <v>LUVA SIMPLES, PVC, SERIE NORMAL, ESGOTO PREDIAL, DN 75 MM, JUNTA ELÁSTICA, FORNECIDO E INSTALADO EM PRUMADA DE ESGOTO SANITÁRIO OU VENTILAÇÃO. AF_08/2022</v>
      </c>
      <c r="E409" s="272" t="str">
        <f aca="false">VLOOKUP($B409,01_SINTETICO!$A:$M,4,0)</f>
        <v>SER.CG</v>
      </c>
      <c r="F409" s="273" t="str">
        <f aca="false">VLOOKUP($B409,01_SINTETICO!$A:$M,5,0)</f>
        <v>UN</v>
      </c>
      <c r="G409" s="267" t="n">
        <f aca="true">SUMIFS(INDIRECT("'01_SINTETICO'!F7:F995"),INDIRECT("'01_SINTETICO'!B7:B995"),$C409)</f>
        <v>36</v>
      </c>
      <c r="H409" s="268" t="n">
        <f aca="false">VLOOKUP($C409,01_SINTETICO!$B:$M,6,0)*$G409*(1+BDI_DIF)</f>
        <v>464.125884557593</v>
      </c>
      <c r="I409" s="268" t="n">
        <f aca="false">VLOOKUP($C409,01_SINTETICO!$B:$M,7,0)*$G409*(1+BDI_MDO)</f>
        <v>131.083290737138</v>
      </c>
      <c r="J409" s="269" t="n">
        <f aca="false">SUM(H409:I409)</f>
        <v>595.209175294731</v>
      </c>
      <c r="K409" s="270" t="n">
        <f aca="false">J409/SUM($J$7:$J$749)</f>
        <v>6.59335287994431E-005</v>
      </c>
      <c r="L409" s="271" t="n">
        <f aca="false">K409+L408</f>
        <v>0.995083284118808</v>
      </c>
    </row>
    <row r="410" customFormat="false" ht="25.5" hidden="false" customHeight="false" outlineLevel="0" collapsed="false">
      <c r="A410" s="264" t="n">
        <f aca="false">K410</f>
        <v>6.36399462952103E-005</v>
      </c>
      <c r="B410" s="265" t="str">
        <f aca="false">VLOOKUP($C410,01_SINTETICO!$B:$N,13,0)</f>
        <v>15.5.1.3</v>
      </c>
      <c r="C410" s="266" t="s">
        <v>1203</v>
      </c>
      <c r="D410" s="266" t="str">
        <f aca="false">VLOOKUP($C410,01_SINTETICO!$B:$M,2,0)</f>
        <v>SIRENE DE ALARME AUDIOVISUAL ENDEREÇÁVEL - FORNECIMENTO E INSTALAÇÃO.</v>
      </c>
      <c r="E410" s="266" t="str">
        <f aca="false">VLOOKUP($B410,01_SINTETICO!$A:$M,4,0)</f>
        <v>SER.CG</v>
      </c>
      <c r="F410" s="267" t="str">
        <f aca="false">VLOOKUP($B410,01_SINTETICO!$A:$M,5,0)</f>
        <v>un</v>
      </c>
      <c r="G410" s="267" t="n">
        <f aca="true">SUMIFS(INDIRECT("'01_SINTETICO'!F7:F995"),INDIRECT("'01_SINTETICO'!B7:B995"),$C410)</f>
        <v>3</v>
      </c>
      <c r="H410" s="268" t="n">
        <f aca="false">VLOOKUP($C410,01_SINTETICO!$B:$M,6,0)*$G410*(1+BDI_DIF)</f>
        <v>481.523187091071</v>
      </c>
      <c r="I410" s="268" t="n">
        <f aca="false">VLOOKUP($C410,01_SINTETICO!$B:$M,7,0)*$G410*(1+BDI_MDO)</f>
        <v>92.980872374544</v>
      </c>
      <c r="J410" s="269" t="n">
        <f aca="false">SUM(H410:I410)</f>
        <v>574.504059465615</v>
      </c>
      <c r="K410" s="270" t="n">
        <f aca="false">J410/SUM($J$7:$J$749)</f>
        <v>6.36399462952103E-005</v>
      </c>
      <c r="L410" s="271" t="n">
        <f aca="false">K410+L409</f>
        <v>0.995146924065104</v>
      </c>
    </row>
    <row r="411" customFormat="false" ht="25.5" hidden="false" customHeight="false" outlineLevel="0" collapsed="false">
      <c r="A411" s="264" t="n">
        <f aca="false">K411</f>
        <v>6.35724885431621E-005</v>
      </c>
      <c r="B411" s="265" t="str">
        <f aca="false">VLOOKUP($C411,01_SINTETICO!$B:$N,13,0)</f>
        <v>12.3.3.6</v>
      </c>
      <c r="C411" s="272" t="s">
        <v>971</v>
      </c>
      <c r="D411" s="266" t="str">
        <f aca="false">VLOOKUP($C411,01_SINTETICO!$B:$M,2,0)</f>
        <v>DISJUNTOR TRIPOLAR TIPO DIN, CORRENTE NOMINAL DE 63A - FORNECIMENTO E INSTALAÇÃO.</v>
      </c>
      <c r="E411" s="272" t="str">
        <f aca="false">VLOOKUP($B411,01_SINTETICO!$A:$M,4,0)</f>
        <v>SER.CG</v>
      </c>
      <c r="F411" s="273" t="str">
        <f aca="false">VLOOKUP($B411,01_SINTETICO!$A:$M,5,0)</f>
        <v>UN</v>
      </c>
      <c r="G411" s="267" t="n">
        <f aca="true">SUMIFS(INDIRECT("'01_SINTETICO'!F7:F995"),INDIRECT("'01_SINTETICO'!B7:B995"),$C411)</f>
        <v>5</v>
      </c>
      <c r="H411" s="268" t="n">
        <f aca="false">VLOOKUP($C411,01_SINTETICO!$B:$M,6,0)*$G411*(1+BDI_DIF)</f>
        <v>497.992093825158</v>
      </c>
      <c r="I411" s="268" t="n">
        <f aca="false">VLOOKUP($C411,01_SINTETICO!$B:$M,7,0)*$G411*(1+BDI_MDO)</f>
        <v>75.9029966728479</v>
      </c>
      <c r="J411" s="269" t="n">
        <f aca="false">SUM(H411:I411)</f>
        <v>573.895090498006</v>
      </c>
      <c r="K411" s="270" t="n">
        <f aca="false">J411/SUM($J$7:$J$749)</f>
        <v>6.35724885431621E-005</v>
      </c>
      <c r="L411" s="271" t="n">
        <f aca="false">K411+L410</f>
        <v>0.995210496553647</v>
      </c>
    </row>
    <row r="412" customFormat="false" ht="25.5" hidden="false" customHeight="false" outlineLevel="0" collapsed="false">
      <c r="A412" s="264" t="n">
        <f aca="false">K412</f>
        <v>6.19578349874468E-005</v>
      </c>
      <c r="B412" s="265" t="str">
        <f aca="false">VLOOKUP($C412,01_SINTETICO!$B:$N,13,0)</f>
        <v>11.6.2.11</v>
      </c>
      <c r="C412" s="266" t="n">
        <v>89409</v>
      </c>
      <c r="D412" s="266" t="str">
        <f aca="false">VLOOKUP($C412,01_SINTETICO!$B:$M,2,0)</f>
        <v>JOELHO 45 GRAUS, PVC, SOLDÁVEL, DN 25MM, INSTALADO EM RAMAL DE DISTRIBUIÇÃO DE ÁGUA - FORNECIMENTO E INSTALAÇÃO. AF_06/2022</v>
      </c>
      <c r="E412" s="266" t="str">
        <f aca="false">VLOOKUP($B412,01_SINTETICO!$A:$M,4,0)</f>
        <v>SER.CG</v>
      </c>
      <c r="F412" s="267" t="str">
        <f aca="false">VLOOKUP($B412,01_SINTETICO!$A:$M,5,0)</f>
        <v>UN</v>
      </c>
      <c r="G412" s="267" t="n">
        <f aca="true">SUMIFS(INDIRECT("'01_SINTETICO'!F7:F995"),INDIRECT("'01_SINTETICO'!B7:B995"),$C412)</f>
        <v>51</v>
      </c>
      <c r="H412" s="268" t="n">
        <f aca="false">VLOOKUP($C412,01_SINTETICO!$B:$M,6,0)*$G412*(1+BDI_DIF)</f>
        <v>258.163689331729</v>
      </c>
      <c r="I412" s="268" t="n">
        <f aca="false">VLOOKUP($C412,01_SINTETICO!$B:$M,7,0)*$G412*(1+BDI_MDO)</f>
        <v>301.155257149969</v>
      </c>
      <c r="J412" s="269" t="n">
        <f aca="false">SUM(H412:I412)</f>
        <v>559.318946481699</v>
      </c>
      <c r="K412" s="270" t="n">
        <f aca="false">J412/SUM($J$7:$J$749)</f>
        <v>6.19578349874468E-005</v>
      </c>
      <c r="L412" s="271" t="n">
        <f aca="false">K412+L411</f>
        <v>0.995272454388634</v>
      </c>
    </row>
    <row r="413" customFormat="false" ht="25.5" hidden="false" customHeight="false" outlineLevel="0" collapsed="false">
      <c r="A413" s="264" t="n">
        <f aca="false">K413</f>
        <v>6.17091878660794E-005</v>
      </c>
      <c r="B413" s="265" t="str">
        <f aca="false">VLOOKUP($C413,01_SINTETICO!$B:$N,13,0)</f>
        <v>18.1.6</v>
      </c>
      <c r="C413" s="272" t="n">
        <v>99818</v>
      </c>
      <c r="D413" s="266" t="str">
        <f aca="false">VLOOKUP($C413,01_SINTETICO!$B:$M,2,0)</f>
        <v>LIMPEZA DE BACIA SANITÁRIA, BIDÊ OU MICTÓRIO EM LOUÇA, INCLUSIVE METAIS CORRESPONDENTES. AF_04/2019</v>
      </c>
      <c r="E413" s="272" t="str">
        <f aca="false">VLOOKUP($B413,01_SINTETICO!$A:$M,4,0)</f>
        <v>SER.CG</v>
      </c>
      <c r="F413" s="273" t="str">
        <f aca="false">VLOOKUP($B413,01_SINTETICO!$A:$M,5,0)</f>
        <v>UN</v>
      </c>
      <c r="G413" s="267" t="n">
        <f aca="true">SUMIFS(INDIRECT("'01_SINTETICO'!F7:F995"),INDIRECT("'01_SINTETICO'!B7:B995"),$C413)</f>
        <v>86</v>
      </c>
      <c r="H413" s="268" t="n">
        <f aca="false">VLOOKUP($C413,01_SINTETICO!$B:$M,6,0)*$G413*(1+BDI_DIF)</f>
        <v>377.279628385697</v>
      </c>
      <c r="I413" s="268" t="n">
        <f aca="false">VLOOKUP($C413,01_SINTETICO!$B:$M,7,0)*$G413*(1+BDI_MDO)</f>
        <v>179.794677914544</v>
      </c>
      <c r="J413" s="269" t="n">
        <f aca="false">SUM(H413:I413)</f>
        <v>557.074306300241</v>
      </c>
      <c r="K413" s="270" t="n">
        <f aca="false">J413/SUM($J$7:$J$749)</f>
        <v>6.17091878660794E-005</v>
      </c>
      <c r="L413" s="271" t="n">
        <f aca="false">K413+L412</f>
        <v>0.9953341635765</v>
      </c>
    </row>
    <row r="414" customFormat="false" ht="38.25" hidden="false" customHeight="false" outlineLevel="0" collapsed="false">
      <c r="A414" s="264" t="n">
        <f aca="false">K414</f>
        <v>5.90811737514081E-005</v>
      </c>
      <c r="B414" s="265" t="str">
        <f aca="false">VLOOKUP($C414,01_SINTETICO!$B:$N,13,0)</f>
        <v>15.4.2.6</v>
      </c>
      <c r="C414" s="272" t="n">
        <v>92377</v>
      </c>
      <c r="D414" s="266" t="str">
        <f aca="false">VLOOKUP($C414,01_SINTETICO!$B:$M,2,0)</f>
        <v>NIPLE, EM FERRO GALVANIZADO, DN 65 (2 1/2"), CONEXÃO ROSQUEADA, INSTALADO EM REDE DE ALIMENTAÇÃO PARA HIDRANTE - FORNECIMENTO E INSTALAÇÃO. AF_10/2020</v>
      </c>
      <c r="E414" s="272" t="str">
        <f aca="false">VLOOKUP($B414,01_SINTETICO!$A:$M,4,0)</f>
        <v>SER.CG</v>
      </c>
      <c r="F414" s="273" t="str">
        <f aca="false">VLOOKUP($B414,01_SINTETICO!$A:$M,5,0)</f>
        <v>UN</v>
      </c>
      <c r="G414" s="267" t="n">
        <f aca="true">SUMIFS(INDIRECT("'01_SINTETICO'!F7:F995"),INDIRECT("'01_SINTETICO'!B7:B995"),$C414)</f>
        <v>12</v>
      </c>
      <c r="H414" s="268" t="n">
        <f aca="false">VLOOKUP($C414,01_SINTETICO!$B:$M,6,0)*$G414*(1+BDI_DIF)</f>
        <v>149.58998721943</v>
      </c>
      <c r="I414" s="268" t="n">
        <f aca="false">VLOOKUP($C414,01_SINTETICO!$B:$M,7,0)*$G414*(1+BDI_MDO)</f>
        <v>383.760151084063</v>
      </c>
      <c r="J414" s="269" t="n">
        <f aca="false">SUM(H414:I414)</f>
        <v>533.350138303493</v>
      </c>
      <c r="K414" s="270" t="n">
        <f aca="false">J414/SUM($J$7:$J$749)</f>
        <v>5.90811737514081E-005</v>
      </c>
      <c r="L414" s="271" t="n">
        <f aca="false">K414+L413</f>
        <v>0.995393244750252</v>
      </c>
    </row>
    <row r="415" customFormat="false" ht="38.25" hidden="false" customHeight="false" outlineLevel="0" collapsed="false">
      <c r="A415" s="264" t="n">
        <f aca="false">K415</f>
        <v>5.84192741687131E-005</v>
      </c>
      <c r="B415" s="265" t="str">
        <f aca="false">VLOOKUP($C415,01_SINTETICO!$B:$N,13,0)</f>
        <v>3.2.3.4.3.1</v>
      </c>
      <c r="C415" s="266" t="n">
        <v>92508</v>
      </c>
      <c r="D415" s="266" t="str">
        <f aca="false">VLOOKUP($C415,01_SINTETICO!$B:$M,2,0)</f>
        <v>MONTAGEM E DESMONTAGEM DE FÔRMA DE LAJE MACIÇA, PÉ-DIREITO DUPLO, EM CHAPA DE MADEIRA COMPENSADA RESINADA, 2 UTILIZAÇÕES. AF_09/2020</v>
      </c>
      <c r="E415" s="266" t="str">
        <f aca="false">VLOOKUP($B415,01_SINTETICO!$A:$M,4,0)</f>
        <v>SER.CG</v>
      </c>
      <c r="F415" s="267" t="str">
        <f aca="false">VLOOKUP($B415,01_SINTETICO!$A:$M,5,0)</f>
        <v>M2</v>
      </c>
      <c r="G415" s="267" t="n">
        <f aca="true">SUMIFS(INDIRECT("'01_SINTETICO'!F7:F995"),INDIRECT("'01_SINTETICO'!B7:B995"),$C415)</f>
        <v>3.94</v>
      </c>
      <c r="H415" s="268" t="n">
        <f aca="false">VLOOKUP($C415,01_SINTETICO!$B:$M,6,0)*$G415*(1+BDI_DIF)</f>
        <v>388.944547637871</v>
      </c>
      <c r="I415" s="268" t="n">
        <f aca="false">VLOOKUP($C415,01_SINTETICO!$B:$M,7,0)*$G415*(1+BDI_MDO)</f>
        <v>138.430349966127</v>
      </c>
      <c r="J415" s="269" t="n">
        <f aca="false">SUM(H415:I415)</f>
        <v>527.374897603998</v>
      </c>
      <c r="K415" s="270" t="n">
        <f aca="false">J415/SUM($J$7:$J$749)</f>
        <v>5.84192741687131E-005</v>
      </c>
      <c r="L415" s="271" t="n">
        <f aca="false">K415+L414</f>
        <v>0.99545166402442</v>
      </c>
    </row>
    <row r="416" customFormat="false" ht="38.25" hidden="false" customHeight="false" outlineLevel="0" collapsed="false">
      <c r="A416" s="264" t="n">
        <f aca="false">K416</f>
        <v>5.76355012040229E-005</v>
      </c>
      <c r="B416" s="265" t="str">
        <f aca="false">VLOOKUP($C416,01_SINTETICO!$B:$N,13,0)</f>
        <v>15.4.2.12</v>
      </c>
      <c r="C416" s="272" t="n">
        <v>92896</v>
      </c>
      <c r="D416" s="266" t="str">
        <f aca="false">VLOOKUP($C416,01_SINTETICO!$B:$M,2,0)</f>
        <v>UNIÃO, EM FERRO GALVANIZADO, DN 65 (2 1/2"), CONEXÃO ROSQUEADA, INSTALADO EM REDE DE ALIMENTAÇÃO PARA HIDRANTE - FORNECIMENTO E INSTALAÇÃO. AF_10/2020</v>
      </c>
      <c r="E416" s="272" t="str">
        <f aca="false">VLOOKUP($B416,01_SINTETICO!$A:$M,4,0)</f>
        <v>SER.CG</v>
      </c>
      <c r="F416" s="273" t="str">
        <f aca="false">VLOOKUP($B416,01_SINTETICO!$A:$M,5,0)</f>
        <v>UN</v>
      </c>
      <c r="G416" s="267" t="n">
        <f aca="true">SUMIFS(INDIRECT("'01_SINTETICO'!F7:F995"),INDIRECT("'01_SINTETICO'!B7:B995"),$C416)</f>
        <v>2</v>
      </c>
      <c r="H416" s="268" t="n">
        <f aca="false">VLOOKUP($C416,01_SINTETICO!$B:$M,6,0)*$G416*(1+BDI_DIF)</f>
        <v>456.339430407308</v>
      </c>
      <c r="I416" s="268" t="n">
        <f aca="false">VLOOKUP($C416,01_SINTETICO!$B:$M,7,0)*$G416*(1+BDI_MDO)</f>
        <v>63.9600251806771</v>
      </c>
      <c r="J416" s="269" t="n">
        <f aca="false">SUM(H416:I416)</f>
        <v>520.299455587985</v>
      </c>
      <c r="K416" s="270" t="n">
        <f aca="false">J416/SUM($J$7:$J$749)</f>
        <v>5.76355012040229E-005</v>
      </c>
      <c r="L416" s="271" t="n">
        <f aca="false">K416+L415</f>
        <v>0.995509299525624</v>
      </c>
    </row>
    <row r="417" customFormat="false" ht="38.25" hidden="false" customHeight="false" outlineLevel="0" collapsed="false">
      <c r="A417" s="264" t="n">
        <f aca="false">K417</f>
        <v>5.76248403007376E-005</v>
      </c>
      <c r="B417" s="265" t="str">
        <f aca="false">VLOOKUP($C417,01_SINTETICO!$B:$N,13,0)</f>
        <v>15.4.2.3</v>
      </c>
      <c r="C417" s="266" t="n">
        <v>92635</v>
      </c>
      <c r="D417" s="266" t="str">
        <f aca="false">VLOOKUP($C417,01_SINTETICO!$B:$M,2,0)</f>
        <v>JOELHO 45 GRAUS, EM FERRO GALVANIZADO, CONEXÃO ROSQUEADA, DN 80 (3"), INSTALADO EM REDE DE ALIMENTAÇÃO PARA HIDRANTE - FORNECIMENTO E INSTALAÇÃO. AF_10/2020</v>
      </c>
      <c r="E417" s="266" t="str">
        <f aca="false">VLOOKUP($B417,01_SINTETICO!$A:$M,4,0)</f>
        <v>SER.CG</v>
      </c>
      <c r="F417" s="267" t="str">
        <f aca="false">VLOOKUP($B417,01_SINTETICO!$A:$M,5,0)</f>
        <v>UN</v>
      </c>
      <c r="G417" s="267" t="n">
        <f aca="true">SUMIFS(INDIRECT("'01_SINTETICO'!F7:F995"),INDIRECT("'01_SINTETICO'!B7:B995"),$C417)</f>
        <v>2</v>
      </c>
      <c r="H417" s="268" t="n">
        <f aca="false">VLOOKUP($C417,01_SINTETICO!$B:$M,6,0)*$G417*(1+BDI_DIF)</f>
        <v>412.270672721872</v>
      </c>
      <c r="I417" s="268" t="n">
        <f aca="false">VLOOKUP($C417,01_SINTETICO!$B:$M,7,0)*$G417*(1+BDI_MDO)</f>
        <v>107.932542492393</v>
      </c>
      <c r="J417" s="269" t="n">
        <f aca="false">SUM(H417:I417)</f>
        <v>520.203215214265</v>
      </c>
      <c r="K417" s="270" t="n">
        <f aca="false">J417/SUM($J$7:$J$749)</f>
        <v>5.76248403007376E-005</v>
      </c>
      <c r="L417" s="271" t="n">
        <f aca="false">K417+L416</f>
        <v>0.995566924365925</v>
      </c>
    </row>
    <row r="418" customFormat="false" ht="38.25" hidden="false" customHeight="false" outlineLevel="0" collapsed="false">
      <c r="A418" s="264" t="n">
        <f aca="false">K418</f>
        <v>5.65818600215134E-005</v>
      </c>
      <c r="B418" s="265" t="str">
        <f aca="false">VLOOKUP($C418,01_SINTETICO!$B:$N,13,0)</f>
        <v>11.2.3.3</v>
      </c>
      <c r="C418" s="272" t="n">
        <v>89728</v>
      </c>
      <c r="D418" s="266" t="str">
        <f aca="false">VLOOKUP($C418,01_SINTETICO!$B:$M,2,0)</f>
        <v>CURVA CURTA 90 GRAUS, PVC, SERIE NORMAL, ESGOTO PREDIAL, DN 40 MM, JUNTA SOLDÁVEL, FORNECIDO E INSTALADO EM RAMAL DE DESCARGA OU RAMAL DE ESGOTO SANITÁRIO. AF_08/2022</v>
      </c>
      <c r="E418" s="272" t="str">
        <f aca="false">VLOOKUP($B418,01_SINTETICO!$A:$M,4,0)</f>
        <v>SER.CG</v>
      </c>
      <c r="F418" s="273" t="str">
        <f aca="false">VLOOKUP($B418,01_SINTETICO!$A:$M,5,0)</f>
        <v>UN</v>
      </c>
      <c r="G418" s="267" t="n">
        <f aca="true">SUMIFS(INDIRECT("'01_SINTETICO'!F7:F995"),INDIRECT("'01_SINTETICO'!B7:B995"),$C418)</f>
        <v>33</v>
      </c>
      <c r="H418" s="268" t="n">
        <f aca="false">VLOOKUP($C418,01_SINTETICO!$B:$M,6,0)*$G418*(1+BDI_DIF)</f>
        <v>328.684224667014</v>
      </c>
      <c r="I418" s="268" t="n">
        <f aca="false">VLOOKUP($C418,01_SINTETICO!$B:$M,7,0)*$G418*(1+BDI_MDO)</f>
        <v>182.103577127865</v>
      </c>
      <c r="J418" s="269" t="n">
        <f aca="false">SUM(H418:I418)</f>
        <v>510.78780179488</v>
      </c>
      <c r="K418" s="270" t="n">
        <f aca="false">J418/SUM($J$7:$J$749)</f>
        <v>5.65818600215134E-005</v>
      </c>
      <c r="L418" s="271" t="n">
        <f aca="false">K418+L417</f>
        <v>0.995623506225947</v>
      </c>
    </row>
    <row r="419" customFormat="false" ht="38.25" hidden="false" customHeight="false" outlineLevel="0" collapsed="false">
      <c r="A419" s="264" t="n">
        <f aca="false">K419</f>
        <v>5.62188013874471E-005</v>
      </c>
      <c r="B419" s="265" t="str">
        <f aca="false">VLOOKUP($C419,01_SINTETICO!$B:$N,13,0)</f>
        <v>11.6.3.1</v>
      </c>
      <c r="C419" s="272" t="n">
        <v>89366</v>
      </c>
      <c r="D419" s="266" t="str">
        <f aca="false">VLOOKUP($C419,01_SINTETICO!$B:$M,2,0)</f>
        <v>JOELHO 90 GRAUS COM BUCHA DE LATÃO, PVC, SOLDÁVEL, DN 25MM, X 3/4 INSTALADO EM RAMAL OU SUB-RAMAL DE ÁGUA - FORNECIMENTO E INSTALAÇÃO. AF_06/2022</v>
      </c>
      <c r="E419" s="272" t="str">
        <f aca="false">VLOOKUP($B419,01_SINTETICO!$A:$M,4,0)</f>
        <v>SER.CG</v>
      </c>
      <c r="F419" s="273" t="str">
        <f aca="false">VLOOKUP($B419,01_SINTETICO!$A:$M,5,0)</f>
        <v>UN</v>
      </c>
      <c r="G419" s="267" t="n">
        <f aca="true">SUMIFS(INDIRECT("'01_SINTETICO'!F7:F995"),INDIRECT("'01_SINTETICO'!B7:B995"),$C419)</f>
        <v>31</v>
      </c>
      <c r="H419" s="268" t="n">
        <f aca="false">VLOOKUP($C419,01_SINTETICO!$B:$M,6,0)*$G419*(1+BDI_DIF)</f>
        <v>392.318548059385</v>
      </c>
      <c r="I419" s="268" t="n">
        <f aca="false">VLOOKUP($C419,01_SINTETICO!$B:$M,7,0)*$G419*(1+BDI_MDO)</f>
        <v>115.191773611178</v>
      </c>
      <c r="J419" s="269" t="n">
        <f aca="false">SUM(H419:I419)</f>
        <v>507.510321670563</v>
      </c>
      <c r="K419" s="270" t="n">
        <f aca="false">J419/SUM($J$7:$J$749)</f>
        <v>5.62188013874471E-005</v>
      </c>
      <c r="L419" s="271" t="n">
        <f aca="false">K419+L418</f>
        <v>0.995679725027334</v>
      </c>
    </row>
    <row r="420" customFormat="false" ht="38.25" hidden="false" customHeight="false" outlineLevel="0" collapsed="false">
      <c r="A420" s="264" t="n">
        <f aca="false">K420</f>
        <v>5.5708514968432E-005</v>
      </c>
      <c r="B420" s="265" t="str">
        <f aca="false">VLOOKUP($C420,01_SINTETICO!$B:$N,13,0)</f>
        <v>11.2.3.12</v>
      </c>
      <c r="C420" s="266" t="n">
        <v>89805</v>
      </c>
      <c r="D420" s="266" t="str">
        <f aca="false">VLOOKUP($C420,01_SINTETICO!$B:$M,2,0)</f>
        <v>JOELHO 90 GRAUS, PVC, SERIE NORMAL, ESGOTO PREDIAL, DN 75 MM, JUNTA ELÁSTICA, FORNECIDO E INSTALADO EM PRUMADA DE ESGOTO SANITÁRIO OU VENTILAÇÃO. AF_08/2022</v>
      </c>
      <c r="E420" s="266" t="str">
        <f aca="false">VLOOKUP($B420,01_SINTETICO!$A:$M,4,0)</f>
        <v>SER.CG</v>
      </c>
      <c r="F420" s="267" t="str">
        <f aca="false">VLOOKUP($B420,01_SINTETICO!$A:$M,5,0)</f>
        <v>UN</v>
      </c>
      <c r="G420" s="267" t="n">
        <f aca="true">SUMIFS(INDIRECT("'01_SINTETICO'!F7:F995"),INDIRECT("'01_SINTETICO'!B7:B995"),$C420)</f>
        <v>21</v>
      </c>
      <c r="H420" s="268" t="n">
        <f aca="false">VLOOKUP($C420,01_SINTETICO!$B:$M,6,0)*$G420*(1+BDI_DIF)</f>
        <v>388.205876175489</v>
      </c>
      <c r="I420" s="268" t="n">
        <f aca="false">VLOOKUP($C420,01_SINTETICO!$B:$M,7,0)*$G420*(1+BDI_MDO)</f>
        <v>114.697879394996</v>
      </c>
      <c r="J420" s="269" t="n">
        <f aca="false">SUM(H420:I420)</f>
        <v>502.903755570484</v>
      </c>
      <c r="K420" s="270" t="n">
        <f aca="false">J420/SUM($J$7:$J$749)</f>
        <v>5.5708514968432E-005</v>
      </c>
      <c r="L420" s="271" t="n">
        <f aca="false">K420+L419</f>
        <v>0.995735433542302</v>
      </c>
    </row>
    <row r="421" customFormat="false" ht="38.25" hidden="false" customHeight="false" outlineLevel="0" collapsed="false">
      <c r="A421" s="264" t="n">
        <f aca="false">K421</f>
        <v>5.46713967812416E-005</v>
      </c>
      <c r="B421" s="265" t="str">
        <f aca="false">VLOOKUP($C421,01_SINTETICO!$B:$N,13,0)</f>
        <v>11.6.3.3</v>
      </c>
      <c r="C421" s="272" t="n">
        <v>89396</v>
      </c>
      <c r="D421" s="266" t="str">
        <f aca="false">VLOOKUP($C421,01_SINTETICO!$B:$M,2,0)</f>
        <v>TÊ COM BUCHA DE LATÃO NA BOLSA CENTRAL, PVC, SOLDÁVEL, DN 25MM X 1/2 , INSTALADO EM RAMAL OU SUB-RAMAL DE ÁGUA - FORNECIMENTO E INSTALAÇÃO. AF_06/2022</v>
      </c>
      <c r="E421" s="272" t="str">
        <f aca="false">VLOOKUP($B421,01_SINTETICO!$A:$M,4,0)</f>
        <v>SER.CG</v>
      </c>
      <c r="F421" s="273" t="str">
        <f aca="false">VLOOKUP($B421,01_SINTETICO!$A:$M,5,0)</f>
        <v>UN</v>
      </c>
      <c r="G421" s="267" t="n">
        <f aca="true">SUMIFS(INDIRECT("'01_SINTETICO'!F7:F995"),INDIRECT("'01_SINTETICO'!B7:B995"),$C421)</f>
        <v>24</v>
      </c>
      <c r="H421" s="268" t="n">
        <f aca="false">VLOOKUP($C421,01_SINTETICO!$B:$M,6,0)*$G421*(1+BDI_DIF)</f>
        <v>383.450928010696</v>
      </c>
      <c r="I421" s="268" t="n">
        <f aca="false">VLOOKUP($C421,01_SINTETICO!$B:$M,7,0)*$G421*(1+BDI_MDO)</f>
        <v>110.090333664483</v>
      </c>
      <c r="J421" s="269" t="n">
        <f aca="false">SUM(H421:I421)</f>
        <v>493.541261675178</v>
      </c>
      <c r="K421" s="270" t="n">
        <f aca="false">J421/SUM($J$7:$J$749)</f>
        <v>5.46713967812416E-005</v>
      </c>
      <c r="L421" s="271" t="n">
        <f aca="false">K421+L420</f>
        <v>0.995790104939084</v>
      </c>
    </row>
    <row r="422" customFormat="false" ht="25.5" hidden="false" customHeight="false" outlineLevel="0" collapsed="false">
      <c r="A422" s="264" t="n">
        <f aca="false">K422</f>
        <v>5.3478646607753E-005</v>
      </c>
      <c r="B422" s="265" t="str">
        <f aca="false">VLOOKUP($C422,01_SINTETICO!$B:$N,13,0)</f>
        <v>11.6.2.18</v>
      </c>
      <c r="C422" s="266" t="n">
        <v>103995</v>
      </c>
      <c r="D422" s="266" t="str">
        <f aca="false">VLOOKUP($C422,01_SINTETICO!$B:$M,2,0)</f>
        <v>LUVA, PVC, SOLDÁVEL, DN 50MM, INSTALADO EM RAMAL DE DISTRIBUIÇÃO DE ÁGUA - FORNECIMENTO E INSTALAÇÃO. AF_06/2022</v>
      </c>
      <c r="E422" s="266" t="str">
        <f aca="false">VLOOKUP($B422,01_SINTETICO!$A:$M,4,0)</f>
        <v>SER.CG</v>
      </c>
      <c r="F422" s="267" t="str">
        <f aca="false">VLOOKUP($B422,01_SINTETICO!$A:$M,5,0)</f>
        <v>UN</v>
      </c>
      <c r="G422" s="267" t="n">
        <f aca="true">SUMIFS(INDIRECT("'01_SINTETICO'!F7:F995"),INDIRECT("'01_SINTETICO'!B7:B995"),$C422)</f>
        <v>30</v>
      </c>
      <c r="H422" s="268" t="n">
        <f aca="false">VLOOKUP($C422,01_SINTETICO!$B:$M,6,0)*$G422*(1+BDI_DIF)</f>
        <v>283.333245961122</v>
      </c>
      <c r="I422" s="268" t="n">
        <f aca="false">VLOOKUP($C422,01_SINTETICO!$B:$M,7,0)*$G422*(1+BDI_MDO)</f>
        <v>199.440567648986</v>
      </c>
      <c r="J422" s="269" t="n">
        <f aca="false">SUM(H422:I422)</f>
        <v>482.773813610108</v>
      </c>
      <c r="K422" s="270" t="n">
        <f aca="false">J422/SUM($J$7:$J$749)</f>
        <v>5.3478646607753E-005</v>
      </c>
      <c r="L422" s="271" t="n">
        <f aca="false">K422+L421</f>
        <v>0.995843583585691</v>
      </c>
    </row>
    <row r="423" customFormat="false" ht="38.25" hidden="false" customHeight="false" outlineLevel="0" collapsed="false">
      <c r="A423" s="264" t="n">
        <f aca="false">K423</f>
        <v>5.34266924848051E-005</v>
      </c>
      <c r="B423" s="265" t="str">
        <f aca="false">VLOOKUP($C423,01_SINTETICO!$B:$N,13,0)</f>
        <v>11.2.3.7</v>
      </c>
      <c r="C423" s="272" t="n">
        <v>89802</v>
      </c>
      <c r="D423" s="266" t="str">
        <f aca="false">VLOOKUP($C423,01_SINTETICO!$B:$M,2,0)</f>
        <v>JOELHO 45 GRAUS, PVC, SERIE NORMAL, ESGOTO PREDIAL, DN 50 MM, JUNTA ELÁSTICA, FORNECIDO E INSTALADO EM PRUMADA DE ESGOTO SANITÁRIO OU VENTILAÇÃO. AF_08/2022</v>
      </c>
      <c r="E423" s="272" t="str">
        <f aca="false">VLOOKUP($B423,01_SINTETICO!$A:$M,4,0)</f>
        <v>SER.CG</v>
      </c>
      <c r="F423" s="273" t="str">
        <f aca="false">VLOOKUP($B423,01_SINTETICO!$A:$M,5,0)</f>
        <v>UN</v>
      </c>
      <c r="G423" s="267" t="n">
        <f aca="true">SUMIFS(INDIRECT("'01_SINTETICO'!F7:F995"),INDIRECT("'01_SINTETICO'!B7:B995"),$C423)</f>
        <v>59</v>
      </c>
      <c r="H423" s="268" t="n">
        <f aca="false">VLOOKUP($C423,01_SINTETICO!$B:$M,6,0)*$G423*(1+BDI_DIF)</f>
        <v>394.372803008536</v>
      </c>
      <c r="I423" s="268" t="n">
        <f aca="false">VLOOKUP($C423,01_SINTETICO!$B:$M,7,0)*$G423*(1+BDI_MDO)</f>
        <v>87.9319992922122</v>
      </c>
      <c r="J423" s="269" t="n">
        <f aca="false">SUM(H423:I423)</f>
        <v>482.304802300748</v>
      </c>
      <c r="K423" s="270" t="n">
        <f aca="false">J423/SUM($J$7:$J$749)</f>
        <v>5.34266924848051E-005</v>
      </c>
      <c r="L423" s="271" t="n">
        <f aca="false">K423+L422</f>
        <v>0.995897010278176</v>
      </c>
    </row>
    <row r="424" customFormat="false" ht="25.5" hidden="false" customHeight="false" outlineLevel="0" collapsed="false">
      <c r="A424" s="264" t="n">
        <f aca="false">K424</f>
        <v>5.32244291532093E-005</v>
      </c>
      <c r="B424" s="265" t="str">
        <f aca="false">VLOOKUP($C424,01_SINTETICO!$B:$N,13,0)</f>
        <v>11.2.3.13</v>
      </c>
      <c r="C424" s="266" t="s">
        <v>713</v>
      </c>
      <c r="D424" s="266" t="str">
        <f aca="false">VLOOKUP($C424,01_SINTETICO!$B:$M,2,0)</f>
        <v>JOELHO 90 GRAUS, PVC, SERIE NORMAL, ESGOTO PREDIAL, 40 MM - 1.1/2", COM ANEL PARA ESGOTO SECUNDÁRIO, FORNECIDO E INSTALADO.</v>
      </c>
      <c r="E424" s="266" t="str">
        <f aca="false">VLOOKUP($B424,01_SINTETICO!$A:$M,4,0)</f>
        <v>SER.CG</v>
      </c>
      <c r="F424" s="267" t="str">
        <f aca="false">VLOOKUP($B424,01_SINTETICO!$A:$M,5,0)</f>
        <v>UN</v>
      </c>
      <c r="G424" s="267" t="n">
        <f aca="true">SUMIFS(INDIRECT("'01_SINTETICO'!F7:F995"),INDIRECT("'01_SINTETICO'!B7:B995"),$C424)</f>
        <v>30</v>
      </c>
      <c r="H424" s="268" t="n">
        <f aca="false">VLOOKUP($C424,01_SINTETICO!$B:$M,6,0)*$G424*(1+BDI_DIF)</f>
        <v>314.93018125231</v>
      </c>
      <c r="I424" s="268" t="n">
        <f aca="false">VLOOKUP($C424,01_SINTETICO!$B:$M,7,0)*$G424*(1+BDI_MDO)</f>
        <v>165.548706479878</v>
      </c>
      <c r="J424" s="269" t="n">
        <f aca="false">SUM(H424:I424)</f>
        <v>480.478887732187</v>
      </c>
      <c r="K424" s="270" t="n">
        <f aca="false">J424/SUM($J$7:$J$749)</f>
        <v>5.32244291532093E-005</v>
      </c>
      <c r="L424" s="271" t="n">
        <f aca="false">K424+L423</f>
        <v>0.995950234707329</v>
      </c>
    </row>
    <row r="425" customFormat="false" ht="25.5" hidden="false" customHeight="false" outlineLevel="0" collapsed="false">
      <c r="A425" s="264" t="n">
        <f aca="false">K425</f>
        <v>5.30798529313995E-005</v>
      </c>
      <c r="B425" s="265" t="str">
        <f aca="false">VLOOKUP($C425,01_SINTETICO!$B:$N,13,0)</f>
        <v>2.1.2.3</v>
      </c>
      <c r="C425" s="272" t="n">
        <v>97663</v>
      </c>
      <c r="D425" s="266" t="str">
        <f aca="false">VLOOKUP($C425,01_SINTETICO!$B:$M,2,0)</f>
        <v>REMOÇÃO DE LOUÇAS, DE FORMA MANUAL, SEM REAPROVEITAMENTO. AF_09/2023</v>
      </c>
      <c r="E425" s="272" t="str">
        <f aca="false">VLOOKUP($B425,01_SINTETICO!$A:$M,4,0)</f>
        <v>SER.CG</v>
      </c>
      <c r="F425" s="273" t="str">
        <f aca="false">VLOOKUP($B425,01_SINTETICO!$A:$M,5,0)</f>
        <v>UN</v>
      </c>
      <c r="G425" s="267" t="n">
        <f aca="true">SUMIFS(INDIRECT("'01_SINTETICO'!F7:F995"),INDIRECT("'01_SINTETICO'!B7:B995"),$C425)</f>
        <v>32</v>
      </c>
      <c r="H425" s="268" t="n">
        <f aca="false">VLOOKUP($C425,01_SINTETICO!$B:$M,6,0)*$G425*(1+BDI_DIF)</f>
        <v>136.591976033471</v>
      </c>
      <c r="I425" s="268" t="n">
        <f aca="false">VLOOKUP($C425,01_SINTETICO!$B:$M,7,0)*$G425*(1+BDI_MDO)</f>
        <v>342.581762477712</v>
      </c>
      <c r="J425" s="269" t="n">
        <f aca="false">SUM(H425:I425)</f>
        <v>479.173738511184</v>
      </c>
      <c r="K425" s="270" t="n">
        <f aca="false">J425/SUM($J$7:$J$749)</f>
        <v>5.30798529313995E-005</v>
      </c>
      <c r="L425" s="271" t="n">
        <f aca="false">K425+L424</f>
        <v>0.996003314560261</v>
      </c>
    </row>
    <row r="426" customFormat="false" ht="38.25" hidden="false" customHeight="false" outlineLevel="0" collapsed="false">
      <c r="A426" s="264" t="n">
        <f aca="false">K426</f>
        <v>5.29578996834844E-005</v>
      </c>
      <c r="B426" s="265" t="str">
        <f aca="false">VLOOKUP($C426,01_SINTETICO!$B:$N,13,0)</f>
        <v>15.4.2.2</v>
      </c>
      <c r="C426" s="266" t="n">
        <v>92636</v>
      </c>
      <c r="D426" s="266" t="str">
        <f aca="false">VLOOKUP($C426,01_SINTETICO!$B:$M,2,0)</f>
        <v>JOELHO 90 GRAUS, EM FERRO GALVANIZADO, CONEXÃO ROSQUEADA, DN 80 (3"), INSTALADO EM REDE DE ALIMENTAÇÃO PARA HIDRANTE - FORNECIMENTO E INSTALAÇÃO. AF_10/2020</v>
      </c>
      <c r="E426" s="266" t="str">
        <f aca="false">VLOOKUP($B426,01_SINTETICO!$A:$M,4,0)</f>
        <v>SER.CG</v>
      </c>
      <c r="F426" s="267" t="str">
        <f aca="false">VLOOKUP($B426,01_SINTETICO!$A:$M,5,0)</f>
        <v>UN</v>
      </c>
      <c r="G426" s="267" t="n">
        <f aca="true">SUMIFS(INDIRECT("'01_SINTETICO'!F7:F995"),INDIRECT("'01_SINTETICO'!B7:B995"),$C426)</f>
        <v>2</v>
      </c>
      <c r="H426" s="268" t="n">
        <f aca="false">VLOOKUP($C426,01_SINTETICO!$B:$M,6,0)*$G426*(1+BDI_DIF)</f>
        <v>370.140273719654</v>
      </c>
      <c r="I426" s="268" t="n">
        <f aca="false">VLOOKUP($C426,01_SINTETICO!$B:$M,7,0)*$G426*(1+BDI_MDO)</f>
        <v>107.932542492393</v>
      </c>
      <c r="J426" s="269" t="n">
        <f aca="false">SUM(H426:I426)</f>
        <v>478.072816212047</v>
      </c>
      <c r="K426" s="270" t="n">
        <f aca="false">J426/SUM($J$7:$J$749)</f>
        <v>5.29578996834844E-005</v>
      </c>
      <c r="L426" s="271" t="n">
        <f aca="false">K426+L425</f>
        <v>0.996056272459944</v>
      </c>
    </row>
    <row r="427" customFormat="false" ht="25.5" hidden="false" customHeight="false" outlineLevel="0" collapsed="false">
      <c r="A427" s="264" t="n">
        <f aca="false">K427</f>
        <v>5.29219518463946E-005</v>
      </c>
      <c r="B427" s="265" t="str">
        <f aca="false">VLOOKUP($C427,01_SINTETICO!$B:$N,13,0)</f>
        <v>3.2.3.2.3</v>
      </c>
      <c r="C427" s="272" t="n">
        <v>96523</v>
      </c>
      <c r="D427" s="266" t="str">
        <f aca="false">VLOOKUP($C427,01_SINTETICO!$B:$M,2,0)</f>
        <v>ESCAVAÇÃO MANUAL PARA BLOCO DE COROAMENTO OU SAPATA (INCLUINDO ESCAVAÇÃO PARA COLOCAÇÃO DE FÔRMAS). AF_01/2024</v>
      </c>
      <c r="E427" s="272" t="str">
        <f aca="false">VLOOKUP($B427,01_SINTETICO!$A:$M,4,0)</f>
        <v>SER.CG</v>
      </c>
      <c r="F427" s="273" t="str">
        <f aca="false">VLOOKUP($B427,01_SINTETICO!$A:$M,5,0)</f>
        <v>M3</v>
      </c>
      <c r="G427" s="267" t="n">
        <f aca="true">SUMIFS(INDIRECT("'01_SINTETICO'!F7:F995"),INDIRECT("'01_SINTETICO'!B7:B995"),$C427)</f>
        <v>4.22</v>
      </c>
      <c r="H427" s="268" t="n">
        <f aca="false">VLOOKUP($C427,01_SINTETICO!$B:$M,6,0)*$G427*(1+BDI_DIF)</f>
        <v>148.022034425941</v>
      </c>
      <c r="I427" s="268" t="n">
        <f aca="false">VLOOKUP($C427,01_SINTETICO!$B:$M,7,0)*$G427*(1+BDI_MDO)</f>
        <v>329.726265824994</v>
      </c>
      <c r="J427" s="269" t="n">
        <f aca="false">SUM(H427:I427)</f>
        <v>477.748300250935</v>
      </c>
      <c r="K427" s="270" t="n">
        <f aca="false">J427/SUM($J$7:$J$749)</f>
        <v>5.29219518463946E-005</v>
      </c>
      <c r="L427" s="271" t="n">
        <f aca="false">K427+L426</f>
        <v>0.996109194411791</v>
      </c>
    </row>
    <row r="428" customFormat="false" ht="25.5" hidden="false" customHeight="false" outlineLevel="0" collapsed="false">
      <c r="A428" s="264" t="n">
        <f aca="false">K428</f>
        <v>5.29071397049626E-005</v>
      </c>
      <c r="B428" s="265" t="str">
        <f aca="false">VLOOKUP($C428,01_SINTETICO!$B:$N,13,0)</f>
        <v>12.3.1.1.13</v>
      </c>
      <c r="C428" s="266" t="s">
        <v>958</v>
      </c>
      <c r="D428" s="266" t="str">
        <f aca="false">VLOOKUP($C428,01_SINTETICO!$B:$M,2,0)</f>
        <v>TOMADA USB MÉDIA DE EMBUTIR (1 MÓDULO), 2A, INCLUINDO SUPORTE E PLACA - FORNECIMENTO E INSTALAÇÃO.</v>
      </c>
      <c r="E428" s="266" t="str">
        <f aca="false">VLOOKUP($B428,01_SINTETICO!$A:$M,4,0)</f>
        <v>SER.CG</v>
      </c>
      <c r="F428" s="267" t="str">
        <f aca="false">VLOOKUP($B428,01_SINTETICO!$A:$M,5,0)</f>
        <v>UN</v>
      </c>
      <c r="G428" s="267" t="n">
        <f aca="true">SUMIFS(INDIRECT("'01_SINTETICO'!F7:F995"),INDIRECT("'01_SINTETICO'!B7:B995"),$C428)</f>
        <v>5</v>
      </c>
      <c r="H428" s="268" t="n">
        <f aca="false">VLOOKUP($C428,01_SINTETICO!$B:$M,6,0)*$G428*(1+BDI_DIF)</f>
        <v>379.099136826121</v>
      </c>
      <c r="I428" s="268" t="n">
        <f aca="false">VLOOKUP($C428,01_SINTETICO!$B:$M,7,0)*$G428*(1+BDI_MDO)</f>
        <v>98.515448111124</v>
      </c>
      <c r="J428" s="269" t="n">
        <f aca="false">SUM(H428:I428)</f>
        <v>477.614584937245</v>
      </c>
      <c r="K428" s="270" t="n">
        <f aca="false">J428/SUM($J$7:$J$749)</f>
        <v>5.29071397049626E-005</v>
      </c>
      <c r="L428" s="271" t="n">
        <f aca="false">K428+L427</f>
        <v>0.996162101551496</v>
      </c>
    </row>
    <row r="429" customFormat="false" ht="25.5" hidden="false" customHeight="false" outlineLevel="0" collapsed="false">
      <c r="A429" s="264" t="n">
        <f aca="false">K429</f>
        <v>5.27327645932387E-005</v>
      </c>
      <c r="B429" s="265" t="str">
        <f aca="false">VLOOKUP($C429,01_SINTETICO!$B:$N,13,0)</f>
        <v>15.5.1.2</v>
      </c>
      <c r="C429" s="272" t="s">
        <v>1201</v>
      </c>
      <c r="D429" s="266" t="str">
        <f aca="false">VLOOKUP($C429,01_SINTETICO!$B:$M,2,0)</f>
        <v>ACIONADOR MANUAL, BOTOEIRA "APERTE AQUI", ENDEREÇÁVEL - FORNECIMENTO E INSTALAÇÃO.</v>
      </c>
      <c r="E429" s="272" t="str">
        <f aca="false">VLOOKUP($B429,01_SINTETICO!$A:$M,4,0)</f>
        <v>SER.CG</v>
      </c>
      <c r="F429" s="273" t="str">
        <f aca="false">VLOOKUP($B429,01_SINTETICO!$A:$M,5,0)</f>
        <v>UN</v>
      </c>
      <c r="G429" s="267" t="n">
        <f aca="true">SUMIFS(INDIRECT("'01_SINTETICO'!F7:F995"),INDIRECT("'01_SINTETICO'!B7:B995"),$C429)</f>
        <v>3</v>
      </c>
      <c r="H429" s="268" t="n">
        <f aca="false">VLOOKUP($C429,01_SINTETICO!$B:$M,6,0)*$G429*(1+BDI_MAT)</f>
        <v>409.62552</v>
      </c>
      <c r="I429" s="268" t="n">
        <f aca="false">VLOOKUP($C429,01_SINTETICO!$B:$M,7,0)*$G429*(1+BDI_MDO)</f>
        <v>66.41490883896</v>
      </c>
      <c r="J429" s="269" t="n">
        <f aca="false">SUM(H429:I429)</f>
        <v>476.04042883896</v>
      </c>
      <c r="K429" s="270" t="n">
        <f aca="false">J429/SUM($J$7:$J$749)</f>
        <v>5.27327645932387E-005</v>
      </c>
      <c r="L429" s="271" t="n">
        <f aca="false">K429+L428</f>
        <v>0.996214834316089</v>
      </c>
    </row>
    <row r="430" customFormat="false" ht="25.5" hidden="false" customHeight="false" outlineLevel="0" collapsed="false">
      <c r="A430" s="264" t="n">
        <f aca="false">K430</f>
        <v>5.1641339819516E-005</v>
      </c>
      <c r="B430" s="265" t="str">
        <f aca="false">VLOOKUP($C430,01_SINTETICO!$B:$N,13,0)</f>
        <v>11.1.3.4</v>
      </c>
      <c r="C430" s="272" t="n">
        <v>89481</v>
      </c>
      <c r="D430" s="266" t="str">
        <f aca="false">VLOOKUP($C430,01_SINTETICO!$B:$M,2,0)</f>
        <v>JOELHO 90 GRAUS, PVC, SOLDÁVEL, DN 25MM, INSTALADO EM PRUMADA DE ÁGUA - FORNECIMENTO E INSTALAÇÃO. AF_06/2022</v>
      </c>
      <c r="E430" s="272" t="str">
        <f aca="false">VLOOKUP($B430,01_SINTETICO!$A:$M,4,0)</f>
        <v>SER.CG</v>
      </c>
      <c r="F430" s="273" t="str">
        <f aca="false">VLOOKUP($B430,01_SINTETICO!$A:$M,5,0)</f>
        <v>UN</v>
      </c>
      <c r="G430" s="267" t="n">
        <f aca="true">SUMIFS(INDIRECT("'01_SINTETICO'!F7:F995"),INDIRECT("'01_SINTETICO'!B7:B995"),$C430)</f>
        <v>75</v>
      </c>
      <c r="H430" s="268" t="n">
        <f aca="false">VLOOKUP($C430,01_SINTETICO!$B:$M,6,0)*$G430*(1+BDI_DIF)</f>
        <v>236.11409096128</v>
      </c>
      <c r="I430" s="268" t="n">
        <f aca="false">VLOOKUP($C430,01_SINTETICO!$B:$M,7,0)*$G430*(1+BDI_MDO)</f>
        <v>230.073596013373</v>
      </c>
      <c r="J430" s="269" t="n">
        <f aca="false">SUM(H430:I430)</f>
        <v>466.187686974654</v>
      </c>
      <c r="K430" s="270" t="n">
        <f aca="false">J430/SUM($J$7:$J$749)</f>
        <v>5.1641339819516E-005</v>
      </c>
      <c r="L430" s="271" t="n">
        <f aca="false">K430+L429</f>
        <v>0.996266475655908</v>
      </c>
    </row>
    <row r="431" customFormat="false" ht="38.25" hidden="false" customHeight="false" outlineLevel="0" collapsed="false">
      <c r="A431" s="264" t="n">
        <f aca="false">K431</f>
        <v>5.1486887618414E-005</v>
      </c>
      <c r="B431" s="265" t="str">
        <f aca="false">VLOOKUP($C431,01_SINTETICO!$B:$N,13,0)</f>
        <v>11.3.1.9</v>
      </c>
      <c r="C431" s="266" t="n">
        <v>89714</v>
      </c>
      <c r="D431" s="266" t="str">
        <f aca="false">VLOOKUP($C431,01_SINTETICO!$B:$M,2,0)</f>
        <v>TUBO PVC, SERIE NORMAL, ESGOTO PREDIAL, DN 100 MM, FORNECIDO E INSTALADO EM RAMAL DE DESCARGA OU RAMAL DE ESGOTO SANITÁRIO. AF_08/2022</v>
      </c>
      <c r="E431" s="266" t="str">
        <f aca="false">VLOOKUP($B431,01_SINTETICO!$A:$M,4,0)</f>
        <v>SER.CG</v>
      </c>
      <c r="F431" s="267" t="str">
        <f aca="false">VLOOKUP($B431,01_SINTETICO!$A:$M,5,0)</f>
        <v>M</v>
      </c>
      <c r="G431" s="267" t="n">
        <f aca="true">SUMIFS(INDIRECT("'01_SINTETICO'!F7:F995"),INDIRECT("'01_SINTETICO'!B7:B995"),$C431)</f>
        <v>10.2</v>
      </c>
      <c r="H431" s="268" t="n">
        <f aca="false">VLOOKUP($C431,01_SINTETICO!$B:$M,6,0)*$G431*(1+BDI_DIF)</f>
        <v>267.834742627844</v>
      </c>
      <c r="I431" s="268" t="n">
        <f aca="false">VLOOKUP($C431,01_SINTETICO!$B:$M,7,0)*$G431*(1+BDI_MDO)</f>
        <v>196.95864058491</v>
      </c>
      <c r="J431" s="269" t="n">
        <f aca="false">SUM(H431:I431)</f>
        <v>464.793383212754</v>
      </c>
      <c r="K431" s="270" t="n">
        <f aca="false">J431/SUM($J$7:$J$749)</f>
        <v>5.1486887618414E-005</v>
      </c>
      <c r="L431" s="271" t="n">
        <f aca="false">K431+L430</f>
        <v>0.996317962543527</v>
      </c>
    </row>
    <row r="432" customFormat="false" ht="25.5" hidden="false" customHeight="false" outlineLevel="0" collapsed="false">
      <c r="A432" s="264" t="n">
        <f aca="false">K432</f>
        <v>5.00107406878534E-005</v>
      </c>
      <c r="B432" s="265" t="str">
        <f aca="false">VLOOKUP($C432,01_SINTETICO!$B:$N,13,0)</f>
        <v>11.1.1.3</v>
      </c>
      <c r="C432" s="266" t="n">
        <v>89987</v>
      </c>
      <c r="D432" s="266" t="str">
        <f aca="false">VLOOKUP($C432,01_SINTETICO!$B:$M,2,0)</f>
        <v>REGISTRO DE GAVETA BRUTO, LATÃO, ROSCÁVEL, 3/4", COM ACABAMENTO E CANOPLA CROMADOS - FORNECIMENTO E INSTALAÇÃO. AF_08/2021</v>
      </c>
      <c r="E432" s="266" t="str">
        <f aca="false">VLOOKUP($B432,01_SINTETICO!$A:$M,4,0)</f>
        <v>SER.CG</v>
      </c>
      <c r="F432" s="267" t="str">
        <f aca="false">VLOOKUP($B432,01_SINTETICO!$A:$M,5,0)</f>
        <v>UN</v>
      </c>
      <c r="G432" s="267" t="n">
        <f aca="true">SUMIFS(INDIRECT("'01_SINTETICO'!F7:F995"),INDIRECT("'01_SINTETICO'!B7:B995"),$C432)</f>
        <v>34</v>
      </c>
      <c r="H432" s="268" t="n">
        <f aca="false">VLOOKUP($C432,01_SINTETICO!$B:$M,6,0)*$G432*(1+BDI_DIF)</f>
        <v>124.680532226808</v>
      </c>
      <c r="I432" s="268" t="n">
        <f aca="false">VLOOKUP($C432,01_SINTETICO!$B:$M,7,0)*$G432*(1+BDI_MDO)</f>
        <v>326.78706343671</v>
      </c>
      <c r="J432" s="269" t="n">
        <f aca="false">SUM(H432:I432)</f>
        <v>451.467595663517</v>
      </c>
      <c r="K432" s="270" t="n">
        <f aca="false">J432/SUM($J$7:$J$749)</f>
        <v>5.00107406878534E-005</v>
      </c>
      <c r="L432" s="271" t="n">
        <f aca="false">K432+L431</f>
        <v>0.996367973284215</v>
      </c>
    </row>
    <row r="433" customFormat="false" ht="25.5" hidden="false" customHeight="false" outlineLevel="0" collapsed="false">
      <c r="A433" s="264" t="n">
        <f aca="false">K433</f>
        <v>4.87217048953785E-005</v>
      </c>
      <c r="B433" s="265" t="str">
        <f aca="false">VLOOKUP($C433,01_SINTETICO!$B:$N,13,0)</f>
        <v>3.2.2.5.1.5</v>
      </c>
      <c r="C433" s="266" t="n">
        <v>97116</v>
      </c>
      <c r="D433" s="266" t="str">
        <f aca="false">VLOOKUP($C433,01_SINTETICO!$B:$M,2,0)</f>
        <v>BARRAS DE TRANSFERÊNCIA, AÇO CA-25 DE 16,0 MM, PARA EXECUÇÃO DE PAVIMENTO DE CONCRETO - FORNECIMENTO E INSTALAÇÃO. AF_04/2022</v>
      </c>
      <c r="E433" s="266" t="str">
        <f aca="false">VLOOKUP($B433,01_SINTETICO!$A:$M,4,0)</f>
        <v>SER.CG</v>
      </c>
      <c r="F433" s="267" t="str">
        <f aca="false">VLOOKUP($B433,01_SINTETICO!$A:$M,5,0)</f>
        <v>KG</v>
      </c>
      <c r="G433" s="267" t="n">
        <f aca="true">SUMIFS(INDIRECT("'01_SINTETICO'!F7:F995"),INDIRECT("'01_SINTETICO'!B7:B995"),$C433)</f>
        <v>17.05</v>
      </c>
      <c r="H433" s="268" t="n">
        <f aca="false">VLOOKUP($C433,01_SINTETICO!$B:$M,6,0)*$G433*(1+BDI_DIF)</f>
        <v>284.972521473792</v>
      </c>
      <c r="I433" s="268" t="n">
        <f aca="false">VLOOKUP($C433,01_SINTETICO!$B:$M,7,0)*$G433*(1+BDI_MDO)</f>
        <v>154.858416104912</v>
      </c>
      <c r="J433" s="269" t="n">
        <f aca="false">SUM(H433:I433)</f>
        <v>439.830937578703</v>
      </c>
      <c r="K433" s="270" t="n">
        <f aca="false">J433/SUM($J$7:$J$749)</f>
        <v>4.87217048953785E-005</v>
      </c>
      <c r="L433" s="271" t="n">
        <f aca="false">K433+L432</f>
        <v>0.99641669498911</v>
      </c>
    </row>
    <row r="434" customFormat="false" ht="25.5" hidden="false" customHeight="false" outlineLevel="0" collapsed="false">
      <c r="A434" s="264" t="n">
        <f aca="false">K434</f>
        <v>4.71817935314938E-005</v>
      </c>
      <c r="B434" s="265" t="str">
        <f aca="false">VLOOKUP($C434,01_SINTETICO!$B:$N,13,0)</f>
        <v>15.8.2</v>
      </c>
      <c r="C434" s="272" t="n">
        <v>100804</v>
      </c>
      <c r="D434" s="266" t="str">
        <f aca="false">VLOOKUP($C434,01_SINTETICO!$B:$M,2,0)</f>
        <v>TUBO, PEX, MULTICAMADA, DN 20, INSTALADO EM RAMAL INTERNO DE INSTALAÇÕES DE GÁS - FORNECIMENTO E INSTALAÇÃO. AF_01/2020</v>
      </c>
      <c r="E434" s="272" t="str">
        <f aca="false">VLOOKUP($B434,01_SINTETICO!$A:$M,4,0)</f>
        <v>SER.CG</v>
      </c>
      <c r="F434" s="273" t="str">
        <f aca="false">VLOOKUP($B434,01_SINTETICO!$A:$M,5,0)</f>
        <v>M</v>
      </c>
      <c r="G434" s="267" t="n">
        <f aca="true">SUMIFS(INDIRECT("'01_SINTETICO'!F7:F995"),INDIRECT("'01_SINTETICO'!B7:B995"),$C434)</f>
        <v>16.61</v>
      </c>
      <c r="H434" s="268" t="n">
        <f aca="false">VLOOKUP($C434,01_SINTETICO!$B:$M,6,0)*$G434*(1+BDI_DIF)</f>
        <v>303.18943016281</v>
      </c>
      <c r="I434" s="268" t="n">
        <f aca="false">VLOOKUP($C434,01_SINTETICO!$B:$M,7,0)*$G434*(1+BDI_MDO)</f>
        <v>122.740092011406</v>
      </c>
      <c r="J434" s="269" t="n">
        <f aca="false">SUM(H434:I434)</f>
        <v>425.929522174216</v>
      </c>
      <c r="K434" s="270" t="n">
        <f aca="false">J434/SUM($J$7:$J$749)</f>
        <v>4.71817935314938E-005</v>
      </c>
      <c r="L434" s="271" t="n">
        <f aca="false">K434+L433</f>
        <v>0.996463876782642</v>
      </c>
    </row>
    <row r="435" customFormat="false" ht="25.5" hidden="false" customHeight="false" outlineLevel="0" collapsed="false">
      <c r="A435" s="264" t="n">
        <f aca="false">K435</f>
        <v>4.70889683621508E-005</v>
      </c>
      <c r="B435" s="265" t="str">
        <f aca="false">VLOOKUP($C435,01_SINTETICO!$B:$N,13,0)</f>
        <v>10.2.2</v>
      </c>
      <c r="C435" s="266" t="s">
        <v>639</v>
      </c>
      <c r="D435" s="266" t="str">
        <f aca="false">VLOOKUP($C435,01_SINTETICO!$B:$M,2,0)</f>
        <v>ASSENTO SANITÁRIO PARA PCD - FORNECIMENTO E INSTALACAO.</v>
      </c>
      <c r="E435" s="266" t="str">
        <f aca="false">VLOOKUP($B435,01_SINTETICO!$A:$M,4,0)</f>
        <v>SER.CG</v>
      </c>
      <c r="F435" s="267" t="str">
        <f aca="false">VLOOKUP($B435,01_SINTETICO!$A:$M,5,0)</f>
        <v>UN</v>
      </c>
      <c r="G435" s="267" t="n">
        <f aca="true">SUMIFS(INDIRECT("'01_SINTETICO'!F7:F995"),INDIRECT("'01_SINTETICO'!B7:B995"),$C435)</f>
        <v>4</v>
      </c>
      <c r="H435" s="268" t="n">
        <f aca="false">VLOOKUP($C435,01_SINTETICO!$B:$M,6,0)*$G435*(1+BDI_MAT)</f>
        <v>405.704392173867</v>
      </c>
      <c r="I435" s="268" t="n">
        <f aca="false">VLOOKUP($C435,01_SINTETICO!$B:$M,7,0)*$G435*(1+BDI_MDO)</f>
        <v>19.3871588876655</v>
      </c>
      <c r="J435" s="269" t="n">
        <f aca="false">SUM(H435:I435)</f>
        <v>425.091551061532</v>
      </c>
      <c r="K435" s="270" t="n">
        <f aca="false">J435/SUM($J$7:$J$749)</f>
        <v>4.70889683621508E-005</v>
      </c>
      <c r="L435" s="271" t="n">
        <f aca="false">K435+L434</f>
        <v>0.996510965751004</v>
      </c>
    </row>
    <row r="436" customFormat="false" ht="25.5" hidden="false" customHeight="false" outlineLevel="0" collapsed="false">
      <c r="A436" s="264" t="n">
        <f aca="false">K436</f>
        <v>4.59234799124484E-005</v>
      </c>
      <c r="B436" s="265" t="str">
        <f aca="false">VLOOKUP($C436,01_SINTETICO!$B:$N,13,0)</f>
        <v>13.4.1</v>
      </c>
      <c r="C436" s="266" t="s">
        <v>1044</v>
      </c>
      <c r="D436" s="266" t="str">
        <f aca="false">VLOOKUP($C436,01_SINTETICO!$B:$M,2,0)</f>
        <v>CAIXA DE PASSAGEM PARA TELEFONE 20X20CM, DE EMBUTIR - FORNECIMENTO E INSTALACAO.</v>
      </c>
      <c r="E436" s="272" t="str">
        <f aca="false">VLOOKUP($B436,01_SINTETICO!$A:$M,4,0)</f>
        <v>SER.CG</v>
      </c>
      <c r="F436" s="273" t="str">
        <f aca="false">VLOOKUP($B436,01_SINTETICO!$A:$M,5,0)</f>
        <v>UN</v>
      </c>
      <c r="G436" s="267" t="n">
        <f aca="true">SUMIFS(INDIRECT("'01_SINTETICO'!F7:F995"),INDIRECT("'01_SINTETICO'!B7:B995"),$C436)</f>
        <v>4</v>
      </c>
      <c r="H436" s="268" t="n">
        <f aca="false">VLOOKUP($C436,01_SINTETICO!$B:$M,6,0)*$G436*(1+BDI_DIF)</f>
        <v>338.153093241554</v>
      </c>
      <c r="I436" s="268" t="n">
        <f aca="false">VLOOKUP($C436,01_SINTETICO!$B:$M,7,0)*$G436*(1+BDI_MDO)</f>
        <v>76.4171125864624</v>
      </c>
      <c r="J436" s="269" t="n">
        <f aca="false">SUM(H436:I436)</f>
        <v>414.570205828016</v>
      </c>
      <c r="K436" s="270" t="n">
        <f aca="false">J436/SUM($J$7:$J$749)</f>
        <v>4.59234799124484E-005</v>
      </c>
      <c r="L436" s="271" t="n">
        <f aca="false">K436+L435</f>
        <v>0.996556889230916</v>
      </c>
    </row>
    <row r="437" customFormat="false" ht="15" hidden="false" customHeight="false" outlineLevel="0" collapsed="false">
      <c r="A437" s="264" t="n">
        <f aca="false">K437</f>
        <v>4.54261282450335E-005</v>
      </c>
      <c r="B437" s="265" t="str">
        <f aca="false">VLOOKUP($C437,01_SINTETICO!$B:$N,13,0)</f>
        <v>14.1.2</v>
      </c>
      <c r="C437" s="272" t="n">
        <v>104737</v>
      </c>
      <c r="D437" s="266" t="str">
        <f aca="false">VLOOKUP($C437,01_SINTETICO!$B:$M,2,0)</f>
        <v>REATERRO MANUAL DE VALAS, COM PLACA VIBRATÓRIA. AF_08/2023</v>
      </c>
      <c r="E437" s="272" t="str">
        <f aca="false">VLOOKUP($B437,01_SINTETICO!$A:$M,4,0)</f>
        <v>SER.CG</v>
      </c>
      <c r="F437" s="273" t="str">
        <f aca="false">VLOOKUP($B437,01_SINTETICO!$A:$M,5,0)</f>
        <v>M3</v>
      </c>
      <c r="G437" s="267" t="n">
        <f aca="true">SUMIFS(INDIRECT("'01_SINTETICO'!F7:F995"),INDIRECT("'01_SINTETICO'!B7:B995"),$C437)</f>
        <v>15.98</v>
      </c>
      <c r="H437" s="268" t="n">
        <f aca="false">VLOOKUP($C437,01_SINTETICO!$B:$M,6,0)*$G437*(1+BDI_DIF)</f>
        <v>169.886169013929</v>
      </c>
      <c r="I437" s="268" t="n">
        <f aca="false">VLOOKUP($C437,01_SINTETICO!$B:$M,7,0)*$G437*(1+BDI_MDO)</f>
        <v>240.194238054886</v>
      </c>
      <c r="J437" s="269" t="n">
        <f aca="false">SUM(H437:I437)</f>
        <v>410.080407068816</v>
      </c>
      <c r="K437" s="270" t="n">
        <f aca="false">J437/SUM($J$7:$J$749)</f>
        <v>4.54261282450335E-005</v>
      </c>
      <c r="L437" s="271" t="n">
        <f aca="false">K437+L436</f>
        <v>0.996602315359161</v>
      </c>
    </row>
    <row r="438" customFormat="false" ht="25.5" hidden="false" customHeight="false" outlineLevel="0" collapsed="false">
      <c r="A438" s="264" t="n">
        <f aca="false">K438</f>
        <v>4.44410080554391E-005</v>
      </c>
      <c r="B438" s="265" t="str">
        <f aca="false">VLOOKUP($C438,01_SINTETICO!$B:$N,13,0)</f>
        <v>14.2.6</v>
      </c>
      <c r="C438" s="272" t="n">
        <v>96988</v>
      </c>
      <c r="D438" s="266" t="str">
        <f aca="false">VLOOKUP($C438,01_SINTETICO!$B:$M,2,0)</f>
        <v>MASTRO 1 ½", COM 3 METROS, PARA SPDA - FORNECIMENTO E INSTALAÇÃO. AF_08/2023</v>
      </c>
      <c r="E438" s="272" t="str">
        <f aca="false">VLOOKUP($B438,01_SINTETICO!$A:$M,4,0)</f>
        <v>SER.CG</v>
      </c>
      <c r="F438" s="273" t="str">
        <f aca="false">VLOOKUP($B438,01_SINTETICO!$A:$M,5,0)</f>
        <v>UN</v>
      </c>
      <c r="G438" s="267" t="n">
        <f aca="true">SUMIFS(INDIRECT("'01_SINTETICO'!F7:F995"),INDIRECT("'01_SINTETICO'!B7:B995"),$C438)</f>
        <v>2</v>
      </c>
      <c r="H438" s="268" t="n">
        <f aca="false">VLOOKUP($C438,01_SINTETICO!$B:$M,6,0)*$G438*(1+BDI_DIF)</f>
        <v>386.425500152819</v>
      </c>
      <c r="I438" s="268" t="n">
        <f aca="false">VLOOKUP($C438,01_SINTETICO!$B:$M,7,0)*$G438*(1+BDI_MDO)</f>
        <v>14.7618204046062</v>
      </c>
      <c r="J438" s="269" t="n">
        <f aca="false">SUM(H438:I438)</f>
        <v>401.187320557426</v>
      </c>
      <c r="K438" s="270" t="n">
        <f aca="false">J438/SUM($J$7:$J$749)</f>
        <v>4.44410080554391E-005</v>
      </c>
      <c r="L438" s="271" t="n">
        <f aca="false">K438+L437</f>
        <v>0.996646756367217</v>
      </c>
    </row>
    <row r="439" customFormat="false" ht="38.25" hidden="false" customHeight="false" outlineLevel="0" collapsed="false">
      <c r="A439" s="264" t="n">
        <f aca="false">K439</f>
        <v>4.4399275359408E-005</v>
      </c>
      <c r="B439" s="265" t="str">
        <f aca="false">VLOOKUP($C439,01_SINTETICO!$B:$N,13,0)</f>
        <v>11.6.2.4</v>
      </c>
      <c r="C439" s="266" t="n">
        <v>89429</v>
      </c>
      <c r="D439" s="266" t="str">
        <f aca="false">VLOOKUP($C439,01_SINTETICO!$B:$M,2,0)</f>
        <v>ADAPTADOR CURTO COM BOLSA E ROSCA PARA REGISTRO, PVC, SOLDÁVEL, DN 25MM X 3/4 , INSTALADO EM RAMAL DE DISTRIBUIÇÃO DE ÁGUA - FORNECIMENTO E INSTALAÇÃO. AF_06/2022</v>
      </c>
      <c r="E439" s="266" t="str">
        <f aca="false">VLOOKUP($B439,01_SINTETICO!$A:$M,4,0)</f>
        <v>SER.CG</v>
      </c>
      <c r="F439" s="267" t="str">
        <f aca="false">VLOOKUP($B439,01_SINTETICO!$A:$M,5,0)</f>
        <v>UN</v>
      </c>
      <c r="G439" s="267" t="n">
        <f aca="true">SUMIFS(INDIRECT("'01_SINTETICO'!F7:F995"),INDIRECT("'01_SINTETICO'!B7:B995"),$C439)</f>
        <v>60</v>
      </c>
      <c r="H439" s="268" t="n">
        <f aca="false">VLOOKUP($C439,01_SINTETICO!$B:$M,6,0)*$G439*(1+BDI_DIF)</f>
        <v>180.774191312405</v>
      </c>
      <c r="I439" s="268" t="n">
        <f aca="false">VLOOKUP($C439,01_SINTETICO!$B:$M,7,0)*$G439*(1+BDI_MDO)</f>
        <v>220.036390974829</v>
      </c>
      <c r="J439" s="269" t="n">
        <f aca="false">SUM(H439:I439)</f>
        <v>400.810582287235</v>
      </c>
      <c r="K439" s="270" t="n">
        <f aca="false">J439/SUM($J$7:$J$749)</f>
        <v>4.4399275359408E-005</v>
      </c>
      <c r="L439" s="271" t="n">
        <f aca="false">K439+L438</f>
        <v>0.996691155642576</v>
      </c>
    </row>
    <row r="440" customFormat="false" ht="38.25" hidden="false" customHeight="false" outlineLevel="0" collapsed="false">
      <c r="A440" s="264" t="n">
        <f aca="false">K440</f>
        <v>4.43913606209712E-005</v>
      </c>
      <c r="B440" s="265" t="str">
        <f aca="false">VLOOKUP($C440,01_SINTETICO!$B:$N,13,0)</f>
        <v>3.2.3.4.3.3</v>
      </c>
      <c r="C440" s="272" t="s">
        <v>320</v>
      </c>
      <c r="D440" s="266" t="str">
        <f aca="false">VLOOKUP($C440,01_SINTETICO!$B:$M,2,0)</f>
        <v>CONCRETAGEM DE VIGAS E LAJES, FCK=35 MPA, PARA QUALQUER TIPO DE LAJE COM BALDES EM EDIFICAÇÃO TÉRREA - LANÇAMENTO, ADENSAMENTO E ACABAMENTO.</v>
      </c>
      <c r="E440" s="272" t="str">
        <f aca="false">VLOOKUP($B440,01_SINTETICO!$A:$M,4,0)</f>
        <v>SER.CG</v>
      </c>
      <c r="F440" s="273" t="str">
        <f aca="false">VLOOKUP($B440,01_SINTETICO!$A:$M,5,0)</f>
        <v>M3</v>
      </c>
      <c r="G440" s="267" t="n">
        <f aca="true">SUMIFS(INDIRECT("'01_SINTETICO'!F7:F995"),INDIRECT("'01_SINTETICO'!B7:B995"),$C440)</f>
        <v>0.32</v>
      </c>
      <c r="H440" s="268" t="n">
        <f aca="false">VLOOKUP($C440,01_SINTETICO!$B:$M,6,0)*$G440*(1+BDI_DIF)</f>
        <v>315.369968303701</v>
      </c>
      <c r="I440" s="268" t="n">
        <f aca="false">VLOOKUP($C440,01_SINTETICO!$B:$M,7,0)*$G440*(1+BDI_MDO)</f>
        <v>85.3691643732449</v>
      </c>
      <c r="J440" s="269" t="n">
        <f aca="false">SUM(H440:I440)</f>
        <v>400.739132676946</v>
      </c>
      <c r="K440" s="270" t="n">
        <f aca="false">J440/SUM($J$7:$J$749)</f>
        <v>4.43913606209712E-005</v>
      </c>
      <c r="L440" s="271" t="n">
        <f aca="false">K440+L439</f>
        <v>0.996735547003197</v>
      </c>
    </row>
    <row r="441" customFormat="false" ht="38.25" hidden="false" customHeight="false" outlineLevel="0" collapsed="false">
      <c r="A441" s="264" t="n">
        <f aca="false">K441</f>
        <v>4.39910189499774E-005</v>
      </c>
      <c r="B441" s="265" t="str">
        <f aca="false">VLOOKUP($C441,01_SINTETICO!$B:$N,13,0)</f>
        <v>13.6.5</v>
      </c>
      <c r="C441" s="272" t="s">
        <v>1056</v>
      </c>
      <c r="D441" s="266" t="str">
        <f aca="false">VLOOKUP($C441,01_SINTETICO!$B:$M,2,0)</f>
        <v>CURVA HORIZONTAL 45º, PARA ELETROCALHA, LISA OU PERFURADA EM AÇO GALVANIZADO, LARGURA DE 150MM E ALTURA DE 50MM - FORNECIMENTO E INSTALAÇÃO.</v>
      </c>
      <c r="E441" s="272" t="str">
        <f aca="false">VLOOKUP($B441,01_SINTETICO!$A:$M,4,0)</f>
        <v>SER.CG</v>
      </c>
      <c r="F441" s="273" t="str">
        <f aca="false">VLOOKUP($B441,01_SINTETICO!$A:$M,5,0)</f>
        <v>UN</v>
      </c>
      <c r="G441" s="267" t="n">
        <f aca="true">SUMIFS(INDIRECT("'01_SINTETICO'!F7:F995"),INDIRECT("'01_SINTETICO'!B7:B995"),$C441)</f>
        <v>5</v>
      </c>
      <c r="H441" s="268" t="n">
        <f aca="false">VLOOKUP($C441,01_SINTETICO!$B:$M,6,0)*$G441*(1+BDI_MAT)</f>
        <v>289.710037296</v>
      </c>
      <c r="I441" s="268" t="n">
        <f aca="false">VLOOKUP($C441,01_SINTETICO!$B:$M,7,0)*$G441*(1+BDI_MDO)</f>
        <v>107.415045895545</v>
      </c>
      <c r="J441" s="269" t="n">
        <f aca="false">SUM(H441:I441)</f>
        <v>397.125083191545</v>
      </c>
      <c r="K441" s="270" t="n">
        <f aca="false">J441/SUM($J$7:$J$749)</f>
        <v>4.39910189499774E-005</v>
      </c>
      <c r="L441" s="271" t="n">
        <f aca="false">K441+L440</f>
        <v>0.996779538022147</v>
      </c>
    </row>
    <row r="442" customFormat="false" ht="25.5" hidden="false" customHeight="false" outlineLevel="0" collapsed="false">
      <c r="A442" s="264" t="n">
        <f aca="false">K442</f>
        <v>4.26547616085131E-005</v>
      </c>
      <c r="B442" s="265" t="str">
        <f aca="false">VLOOKUP($C442,01_SINTETICO!$B:$N,13,0)</f>
        <v>11.2.3.26</v>
      </c>
      <c r="C442" s="266" t="n">
        <v>89849</v>
      </c>
      <c r="D442" s="266" t="str">
        <f aca="false">VLOOKUP($C442,01_SINTETICO!$B:$M,2,0)</f>
        <v>TUBO PVC, SERIE NORMAL, ESGOTO PREDIAL, DN 150 MM, FORNECIDO E INSTALADO EM SUBCOLETOR AÉREO DE ESGOTO SANITÁRIO. AF_08/2022</v>
      </c>
      <c r="E442" s="266" t="str">
        <f aca="false">VLOOKUP($B442,01_SINTETICO!$A:$M,4,0)</f>
        <v>SER.CG</v>
      </c>
      <c r="F442" s="267" t="str">
        <f aca="false">VLOOKUP($B442,01_SINTETICO!$A:$M,5,0)</f>
        <v>M</v>
      </c>
      <c r="G442" s="267" t="n">
        <f aca="true">SUMIFS(INDIRECT("'01_SINTETICO'!F7:F995"),INDIRECT("'01_SINTETICO'!B7:B995"),$C442)</f>
        <v>5.6</v>
      </c>
      <c r="H442" s="268" t="n">
        <f aca="false">VLOOKUP($C442,01_SINTETICO!$B:$M,6,0)*$G442*(1+BDI_DIF)</f>
        <v>309.290363386478</v>
      </c>
      <c r="I442" s="268" t="n">
        <f aca="false">VLOOKUP($C442,01_SINTETICO!$B:$M,7,0)*$G442*(1+BDI_MDO)</f>
        <v>75.7717733091522</v>
      </c>
      <c r="J442" s="269" t="n">
        <f aca="false">SUM(H442:I442)</f>
        <v>385.06213669563</v>
      </c>
      <c r="K442" s="270" t="n">
        <f aca="false">J442/SUM($J$7:$J$749)</f>
        <v>4.26547616085131E-005</v>
      </c>
      <c r="L442" s="271" t="n">
        <f aca="false">K442+L441</f>
        <v>0.996822192783755</v>
      </c>
    </row>
    <row r="443" customFormat="false" ht="25.5" hidden="false" customHeight="false" outlineLevel="0" collapsed="false">
      <c r="A443" s="264" t="n">
        <f aca="false">K443</f>
        <v>4.23444222135748E-005</v>
      </c>
      <c r="B443" s="265" t="str">
        <f aca="false">VLOOKUP($C443,01_SINTETICO!$B:$N,13,0)</f>
        <v>13.1.2.3</v>
      </c>
      <c r="C443" s="266" t="n">
        <v>98302</v>
      </c>
      <c r="D443" s="266" t="str">
        <f aca="false">VLOOKUP($C443,01_SINTETICO!$B:$M,2,0)</f>
        <v>PATCH PANEL 24 PORTAS, CATEGORIA 6 - FORNECIMENTO E INSTALAÇÃO. AF_11/2019</v>
      </c>
      <c r="E443" s="266" t="str">
        <f aca="false">VLOOKUP($B443,01_SINTETICO!$A:$M,4,0)</f>
        <v>SER.CG</v>
      </c>
      <c r="F443" s="267" t="str">
        <f aca="false">VLOOKUP($B443,01_SINTETICO!$A:$M,5,0)</f>
        <v>UN</v>
      </c>
      <c r="G443" s="267" t="n">
        <f aca="true">SUMIFS(INDIRECT("'01_SINTETICO'!F7:F995"),INDIRECT("'01_SINTETICO'!B7:B995"),$C443)</f>
        <v>1</v>
      </c>
      <c r="H443" s="268" t="n">
        <f aca="false">VLOOKUP($C443,01_SINTETICO!$B:$M,6,0)*$G443*(1+BDI_DIF)</f>
        <v>107.714624741703</v>
      </c>
      <c r="I443" s="268" t="n">
        <f aca="false">VLOOKUP($C443,01_SINTETICO!$B:$M,7,0)*$G443*(1+BDI_MDO)</f>
        <v>274.545950158493</v>
      </c>
      <c r="J443" s="269" t="n">
        <f aca="false">SUM(H443:I443)</f>
        <v>382.260574900196</v>
      </c>
      <c r="K443" s="270" t="n">
        <f aca="false">J443/SUM($J$7:$J$749)</f>
        <v>4.23444222135748E-005</v>
      </c>
      <c r="L443" s="271" t="n">
        <f aca="false">K443+L442</f>
        <v>0.996864537205969</v>
      </c>
    </row>
    <row r="444" customFormat="false" ht="38.25" hidden="false" customHeight="false" outlineLevel="0" collapsed="false">
      <c r="A444" s="264" t="n">
        <f aca="false">K444</f>
        <v>4.11357288857387E-005</v>
      </c>
      <c r="B444" s="265" t="str">
        <f aca="false">VLOOKUP($C444,01_SINTETICO!$B:$N,13,0)</f>
        <v>12.2.3.7</v>
      </c>
      <c r="C444" s="272" t="s">
        <v>930</v>
      </c>
      <c r="D444" s="266" t="str">
        <f aca="false">VLOOKUP($C444,01_SINTETICO!$B:$M,2,0)</f>
        <v>TÊ HORIZONTAL 90º, PARA ELETROCALHA, LISA OU PERFURADA EM AÇO GALVANIZADO, LARGURA DE 50MM E ALTURA DE 50MM - FORNECIMENTO E INSTALAÇÃO.</v>
      </c>
      <c r="E444" s="272" t="str">
        <f aca="false">VLOOKUP($B444,01_SINTETICO!$A:$M,4,0)</f>
        <v>SER.CG</v>
      </c>
      <c r="F444" s="273" t="str">
        <f aca="false">VLOOKUP($B444,01_SINTETICO!$A:$M,5,0)</f>
        <v>UN</v>
      </c>
      <c r="G444" s="267" t="n">
        <f aca="true">SUMIFS(INDIRECT("'01_SINTETICO'!F7:F995"),INDIRECT("'01_SINTETICO'!B7:B995"),$C444)</f>
        <v>6</v>
      </c>
      <c r="H444" s="268" t="n">
        <f aca="false">VLOOKUP($C444,01_SINTETICO!$B:$M,6,0)*$G444*(1+BDI_DIF)</f>
        <v>271.514310434354</v>
      </c>
      <c r="I444" s="268" t="n">
        <f aca="false">VLOOKUP($C444,01_SINTETICO!$B:$M,7,0)*$G444*(1+BDI_MDO)</f>
        <v>99.8348909667247</v>
      </c>
      <c r="J444" s="269" t="n">
        <f aca="false">SUM(H444:I444)</f>
        <v>371.349201401078</v>
      </c>
      <c r="K444" s="270" t="n">
        <f aca="false">J444/SUM($J$7:$J$749)</f>
        <v>4.11357288857387E-005</v>
      </c>
      <c r="L444" s="271" t="n">
        <f aca="false">K444+L443</f>
        <v>0.996905672934855</v>
      </c>
    </row>
    <row r="445" customFormat="false" ht="25.5" hidden="false" customHeight="false" outlineLevel="0" collapsed="false">
      <c r="A445" s="264" t="n">
        <f aca="false">K445</f>
        <v>4.11386028942926E-005</v>
      </c>
      <c r="B445" s="265" t="str">
        <f aca="false">VLOOKUP($C445,01_SINTETICO!$B:$N,13,0)</f>
        <v>8.1.1.2.6</v>
      </c>
      <c r="C445" s="266" t="s">
        <v>521</v>
      </c>
      <c r="D445" s="266" t="str">
        <f aca="false">VLOOKUP($C445,01_SINTETICO!$B:$M,2,0)</f>
        <v>PISO TÁTIL DIRECIONAL, ELEMENTOS EM ABS REVESTIDOS DE INOX - FORNECIMENTO E INSTALAÇÃO</v>
      </c>
      <c r="E445" s="266" t="str">
        <f aca="false">VLOOKUP($B445,01_SINTETICO!$A:$M,4,0)</f>
        <v>SER.CG</v>
      </c>
      <c r="F445" s="267" t="str">
        <f aca="false">VLOOKUP($B445,01_SINTETICO!$A:$M,5,0)</f>
        <v>M</v>
      </c>
      <c r="G445" s="267" t="n">
        <f aca="true">SUMIFS(INDIRECT("'01_SINTETICO'!F7:F995"),INDIRECT("'01_SINTETICO'!B7:B995"),$C445)</f>
        <v>2.25</v>
      </c>
      <c r="H445" s="268" t="n">
        <f aca="false">VLOOKUP($C445,01_SINTETICO!$B:$M,6,0)*$G445*(1+BDI_MAT)</f>
        <v>318.99858765</v>
      </c>
      <c r="I445" s="268" t="n">
        <f aca="false">VLOOKUP($C445,01_SINTETICO!$B:$M,7,0)*$G445*(1+BDI_MDO)</f>
        <v>52.3765586124</v>
      </c>
      <c r="J445" s="269" t="n">
        <f aca="false">SUM(H445:I445)</f>
        <v>371.3751462624</v>
      </c>
      <c r="K445" s="270" t="n">
        <f aca="false">J445/SUM($J$7:$J$749)</f>
        <v>4.11386028942926E-005</v>
      </c>
      <c r="L445" s="271" t="n">
        <f aca="false">K445+L444</f>
        <v>0.996946811537749</v>
      </c>
    </row>
    <row r="446" customFormat="false" ht="25.5" hidden="false" customHeight="false" outlineLevel="0" collapsed="false">
      <c r="A446" s="264" t="n">
        <f aca="false">K446</f>
        <v>4.11386028942926E-005</v>
      </c>
      <c r="B446" s="265" t="str">
        <f aca="false">VLOOKUP($C446,01_SINTETICO!$B:$N,13,0)</f>
        <v>8.1.1.2.6</v>
      </c>
      <c r="C446" s="266" t="s">
        <v>521</v>
      </c>
      <c r="D446" s="266" t="str">
        <f aca="false">VLOOKUP($C446,01_SINTETICO!$B:$M,2,0)</f>
        <v>PISO TÁTIL DIRECIONAL, ELEMENTOS EM ABS REVESTIDOS DE INOX - FORNECIMENTO E INSTALAÇÃO</v>
      </c>
      <c r="E446" s="266" t="str">
        <f aca="false">VLOOKUP($B446,01_SINTETICO!$A:$M,4,0)</f>
        <v>SER.CG</v>
      </c>
      <c r="F446" s="267" t="str">
        <f aca="false">VLOOKUP($B446,01_SINTETICO!$A:$M,5,0)</f>
        <v>M</v>
      </c>
      <c r="G446" s="267" t="n">
        <f aca="true">SUMIFS(INDIRECT("'01_SINTETICO'!F7:F995"),INDIRECT("'01_SINTETICO'!B7:B995"),$C446)</f>
        <v>2.25</v>
      </c>
      <c r="H446" s="268" t="n">
        <f aca="false">VLOOKUP($C446,01_SINTETICO!$B:$M,6,0)*$G446*(1+BDI_MAT)</f>
        <v>318.99858765</v>
      </c>
      <c r="I446" s="268" t="n">
        <f aca="false">VLOOKUP($C446,01_SINTETICO!$B:$M,7,0)*$G446*(1+BDI_MDO)</f>
        <v>52.3765586124</v>
      </c>
      <c r="J446" s="269" t="n">
        <f aca="false">SUM(H446:I446)</f>
        <v>371.3751462624</v>
      </c>
      <c r="K446" s="270" t="n">
        <f aca="false">J446/SUM($J$7:$J$749)</f>
        <v>4.11386028942926E-005</v>
      </c>
      <c r="L446" s="271" t="n">
        <f aca="false">K446+L445</f>
        <v>0.996987950140644</v>
      </c>
    </row>
    <row r="447" customFormat="false" ht="25.5" hidden="false" customHeight="false" outlineLevel="0" collapsed="false">
      <c r="A447" s="264" t="n">
        <f aca="false">K447</f>
        <v>4.06468153141584E-005</v>
      </c>
      <c r="B447" s="265" t="str">
        <f aca="false">VLOOKUP($C447,01_SINTETICO!$B:$N,13,0)</f>
        <v>11.6.1.2</v>
      </c>
      <c r="C447" s="266" t="n">
        <v>94794</v>
      </c>
      <c r="D447" s="266" t="str">
        <f aca="false">VLOOKUP($C447,01_SINTETICO!$B:$M,2,0)</f>
        <v>REGISTRO DE GAVETA BRUTO, LATÃO, ROSCÁVEL, 1 1/2", COM ACABAMENTO E CANOPLA CROMADOS - FORNECIMENTO E INSTALAÇÃO. AF_08/2021</v>
      </c>
      <c r="E447" s="266" t="str">
        <f aca="false">VLOOKUP($B447,01_SINTETICO!$A:$M,4,0)</f>
        <v>SER.CG</v>
      </c>
      <c r="F447" s="267" t="str">
        <f aca="false">VLOOKUP($B447,01_SINTETICO!$A:$M,5,0)</f>
        <v>UN</v>
      </c>
      <c r="G447" s="267" t="n">
        <f aca="true">SUMIFS(INDIRECT("'01_SINTETICO'!F7:F995"),INDIRECT("'01_SINTETICO'!B7:B995"),$C447)</f>
        <v>2</v>
      </c>
      <c r="H447" s="268" t="n">
        <f aca="false">VLOOKUP($C447,01_SINTETICO!$B:$M,6,0)*$G447*(1+BDI_DIF)</f>
        <v>334.408080313853</v>
      </c>
      <c r="I447" s="268" t="n">
        <f aca="false">VLOOKUP($C447,01_SINTETICO!$B:$M,7,0)*$G447*(1+BDI_MDO)</f>
        <v>32.5274965015319</v>
      </c>
      <c r="J447" s="269" t="n">
        <f aca="false">SUM(H447:I447)</f>
        <v>366.935576815385</v>
      </c>
      <c r="K447" s="270" t="n">
        <f aca="false">J447/SUM($J$7:$J$749)</f>
        <v>4.06468153141584E-005</v>
      </c>
      <c r="L447" s="271" t="n">
        <f aca="false">K447+L446</f>
        <v>0.997028596955958</v>
      </c>
    </row>
    <row r="448" customFormat="false" ht="25.5" hidden="false" customHeight="false" outlineLevel="0" collapsed="false">
      <c r="A448" s="264" t="n">
        <f aca="false">K448</f>
        <v>4.02363725358907E-005</v>
      </c>
      <c r="B448" s="265" t="str">
        <f aca="false">VLOOKUP($C448,01_SINTETICO!$B:$N,13,0)</f>
        <v>11.1.1.4</v>
      </c>
      <c r="C448" s="266" t="n">
        <v>94489</v>
      </c>
      <c r="D448" s="266" t="str">
        <f aca="false">VLOOKUP($C448,01_SINTETICO!$B:$M,2,0)</f>
        <v>REGISTRO DE ESFERA, PVC, SOLDÁVEL, COM VOLANTE, DN 25 MM - FORNECIMENTO E INSTALAÇÃO. AF_08/2021</v>
      </c>
      <c r="E448" s="266" t="str">
        <f aca="false">VLOOKUP($B448,01_SINTETICO!$A:$M,4,0)</f>
        <v>SER.CG</v>
      </c>
      <c r="F448" s="267" t="str">
        <f aca="false">VLOOKUP($B448,01_SINTETICO!$A:$M,5,0)</f>
        <v>UN</v>
      </c>
      <c r="G448" s="267" t="n">
        <f aca="true">SUMIFS(INDIRECT("'01_SINTETICO'!F7:F995"),INDIRECT("'01_SINTETICO'!B7:B995"),$C448)</f>
        <v>15</v>
      </c>
      <c r="H448" s="268" t="n">
        <f aca="false">VLOOKUP($C448,01_SINTETICO!$B:$M,6,0)*$G448*(1+BDI_DIF)</f>
        <v>311.414898870807</v>
      </c>
      <c r="I448" s="268" t="n">
        <f aca="false">VLOOKUP($C448,01_SINTETICO!$B:$M,7,0)*$G448*(1+BDI_MDO)</f>
        <v>51.8154415950798</v>
      </c>
      <c r="J448" s="269" t="n">
        <f aca="false">SUM(H448:I448)</f>
        <v>363.230340465887</v>
      </c>
      <c r="K448" s="270" t="n">
        <f aca="false">J448/SUM($J$7:$J$749)</f>
        <v>4.02363725358907E-005</v>
      </c>
      <c r="L448" s="271" t="n">
        <f aca="false">K448+L447</f>
        <v>0.997068833328494</v>
      </c>
    </row>
    <row r="449" customFormat="false" ht="25.5" hidden="false" customHeight="false" outlineLevel="0" collapsed="false">
      <c r="A449" s="264" t="n">
        <f aca="false">K449</f>
        <v>4.01296955189237E-005</v>
      </c>
      <c r="B449" s="265" t="str">
        <f aca="false">VLOOKUP($C449,01_SINTETICO!$B:$N,13,0)</f>
        <v>11.6.2.13</v>
      </c>
      <c r="C449" s="266" t="n">
        <v>89515</v>
      </c>
      <c r="D449" s="266" t="str">
        <f aca="false">VLOOKUP($C449,01_SINTETICO!$B:$M,2,0)</f>
        <v>JOELHO 45 GRAUS, PVC, SOLDÁVEL, DN 75MM, INSTALADO EM PRUMADA DE ÁGUA - FORNECIMENTO E INSTALAÇÃO. AF_06/2022</v>
      </c>
      <c r="E449" s="266" t="str">
        <f aca="false">VLOOKUP($B449,01_SINTETICO!$A:$M,4,0)</f>
        <v>SER.CG</v>
      </c>
      <c r="F449" s="267" t="str">
        <f aca="false">VLOOKUP($B449,01_SINTETICO!$A:$M,5,0)</f>
        <v>UN</v>
      </c>
      <c r="G449" s="267" t="n">
        <f aca="true">SUMIFS(INDIRECT("'01_SINTETICO'!F7:F995"),INDIRECT("'01_SINTETICO'!B7:B995"),$C449)</f>
        <v>4</v>
      </c>
      <c r="H449" s="268" t="n">
        <f aca="false">VLOOKUP($C449,01_SINTETICO!$B:$M,6,0)*$G449*(1+BDI_DIF)</f>
        <v>330.165647326318</v>
      </c>
      <c r="I449" s="268" t="n">
        <f aca="false">VLOOKUP($C449,01_SINTETICO!$B:$M,7,0)*$G449*(1+BDI_MDO)</f>
        <v>32.1016756817148</v>
      </c>
      <c r="J449" s="269" t="n">
        <f aca="false">SUM(H449:I449)</f>
        <v>362.267323008032</v>
      </c>
      <c r="K449" s="270" t="n">
        <f aca="false">J449/SUM($J$7:$J$749)</f>
        <v>4.01296955189237E-005</v>
      </c>
      <c r="L449" s="271" t="n">
        <f aca="false">K449+L448</f>
        <v>0.997108963024012</v>
      </c>
    </row>
    <row r="450" customFormat="false" ht="38.25" hidden="false" customHeight="false" outlineLevel="0" collapsed="false">
      <c r="A450" s="264" t="n">
        <f aca="false">K450</f>
        <v>4.00350395823687E-005</v>
      </c>
      <c r="B450" s="265" t="str">
        <f aca="false">VLOOKUP($C450,01_SINTETICO!$B:$N,13,0)</f>
        <v>11.3.1.5</v>
      </c>
      <c r="C450" s="266" t="n">
        <v>89731</v>
      </c>
      <c r="D450" s="266" t="str">
        <f aca="false">VLOOKUP($C450,01_SINTETICO!$B:$M,2,0)</f>
        <v>JOELHO 90 GRAUS, PVC, SERIE NORMAL, ESGOTO PREDIAL, DN 50 MM, JUNTA ELÁSTICA, FORNECIDO E INSTALADO EM RAMAL DE DESCARGA OU RAMAL DE ESGOTO SANITÁRIO. AF_08/2022</v>
      </c>
      <c r="E450" s="266" t="str">
        <f aca="false">VLOOKUP($B450,01_SINTETICO!$A:$M,4,0)</f>
        <v>SER.CG</v>
      </c>
      <c r="F450" s="267" t="str">
        <f aca="false">VLOOKUP($B450,01_SINTETICO!$A:$M,5,0)</f>
        <v>UN</v>
      </c>
      <c r="G450" s="267" t="n">
        <f aca="true">SUMIFS(INDIRECT("'01_SINTETICO'!F7:F995"),INDIRECT("'01_SINTETICO'!B7:B995"),$C450)</f>
        <v>21</v>
      </c>
      <c r="H450" s="268" t="n">
        <f aca="false">VLOOKUP($C450,01_SINTETICO!$B:$M,6,0)*$G450*(1+BDI_DIF)</f>
        <v>235.582772548241</v>
      </c>
      <c r="I450" s="268" t="n">
        <f aca="false">VLOOKUP($C450,01_SINTETICO!$B:$M,7,0)*$G450*(1+BDI_MDO)</f>
        <v>125.830052255926</v>
      </c>
      <c r="J450" s="269" t="n">
        <f aca="false">SUM(H450:I450)</f>
        <v>361.412824804166</v>
      </c>
      <c r="K450" s="270" t="n">
        <f aca="false">J450/SUM($J$7:$J$749)</f>
        <v>4.00350395823687E-005</v>
      </c>
      <c r="L450" s="271" t="n">
        <f aca="false">K450+L449</f>
        <v>0.997148998063595</v>
      </c>
    </row>
    <row r="451" customFormat="false" ht="25.5" hidden="false" customHeight="false" outlineLevel="0" collapsed="false">
      <c r="A451" s="264" t="n">
        <f aca="false">K451</f>
        <v>3.87582713008869E-005</v>
      </c>
      <c r="B451" s="265" t="str">
        <f aca="false">VLOOKUP($C451,01_SINTETICO!$B:$N,13,0)</f>
        <v>14.2.4</v>
      </c>
      <c r="C451" s="272" t="n">
        <v>96989</v>
      </c>
      <c r="D451" s="266" t="str">
        <f aca="false">VLOOKUP($C451,01_SINTETICO!$B:$M,2,0)</f>
        <v>CAPTOR TIPO FRANKLIN PARA SPDA - FORNECIMENTO E INSTALAÇÃO. AF_08/2023</v>
      </c>
      <c r="E451" s="272" t="str">
        <f aca="false">VLOOKUP($B451,01_SINTETICO!$A:$M,4,0)</f>
        <v>SER.CG</v>
      </c>
      <c r="F451" s="273" t="str">
        <f aca="false">VLOOKUP($B451,01_SINTETICO!$A:$M,5,0)</f>
        <v>UN</v>
      </c>
      <c r="G451" s="267" t="n">
        <f aca="true">SUMIFS(INDIRECT("'01_SINTETICO'!F7:F995"),INDIRECT("'01_SINTETICO'!B7:B995"),$C451)</f>
        <v>2</v>
      </c>
      <c r="H451" s="268" t="n">
        <f aca="false">VLOOKUP($C451,01_SINTETICO!$B:$M,6,0)*$G451*(1+BDI_MAT)</f>
        <v>337.9676482976</v>
      </c>
      <c r="I451" s="268" t="n">
        <f aca="false">VLOOKUP($C451,01_SINTETICO!$B:$M,7,0)*$G451*(1+BDI_MDO)</f>
        <v>11.9192623062987</v>
      </c>
      <c r="J451" s="269" t="n">
        <f aca="false">SUM(H451:I451)</f>
        <v>349.886910603899</v>
      </c>
      <c r="K451" s="270" t="n">
        <f aca="false">J451/SUM($J$7:$J$749)</f>
        <v>3.87582713008869E-005</v>
      </c>
      <c r="L451" s="271" t="n">
        <f aca="false">K451+L450</f>
        <v>0.997187756334896</v>
      </c>
    </row>
    <row r="452" customFormat="false" ht="38.25" hidden="false" customHeight="false" outlineLevel="0" collapsed="false">
      <c r="A452" s="264" t="n">
        <f aca="false">K452</f>
        <v>3.8301057500504E-005</v>
      </c>
      <c r="B452" s="265" t="str">
        <f aca="false">VLOOKUP($C452,01_SINTETICO!$B:$N,13,0)</f>
        <v>11.6.3.2</v>
      </c>
      <c r="C452" s="266" t="n">
        <v>90373</v>
      </c>
      <c r="D452" s="266" t="str">
        <f aca="false">VLOOKUP($C452,01_SINTETICO!$B:$M,2,0)</f>
        <v>JOELHO 90 GRAUS COM BUCHA DE LATÃO, PVC, SOLDÁVEL, DN 25MM, X 1/2 INSTALADO EM RAMAL OU SUB-RAMAL DE ÁGUA - FORNECIMENTO E INSTALAÇÃO. AF_06/2022</v>
      </c>
      <c r="E452" s="266" t="str">
        <f aca="false">VLOOKUP($B452,01_SINTETICO!$A:$M,4,0)</f>
        <v>SER.CG</v>
      </c>
      <c r="F452" s="267" t="str">
        <f aca="false">VLOOKUP($B452,01_SINTETICO!$A:$M,5,0)</f>
        <v>UN</v>
      </c>
      <c r="G452" s="267" t="n">
        <f aca="true">SUMIFS(INDIRECT("'01_SINTETICO'!F7:F995"),INDIRECT("'01_SINTETICO'!B7:B995"),$C452)</f>
        <v>27</v>
      </c>
      <c r="H452" s="268" t="n">
        <f aca="false">VLOOKUP($C452,01_SINTETICO!$B:$M,6,0)*$G452*(1+BDI_DIF)</f>
        <v>252.799880573326</v>
      </c>
      <c r="I452" s="268" t="n">
        <f aca="false">VLOOKUP($C452,01_SINTETICO!$B:$M,7,0)*$G452*(1+BDI_MDO)</f>
        <v>92.9595723620003</v>
      </c>
      <c r="J452" s="269" t="n">
        <f aca="false">SUM(H452:I452)</f>
        <v>345.759452935326</v>
      </c>
      <c r="K452" s="270" t="n">
        <f aca="false">J452/SUM($J$7:$J$749)</f>
        <v>3.8301057500504E-005</v>
      </c>
      <c r="L452" s="271" t="n">
        <f aca="false">K452+L451</f>
        <v>0.997226057392396</v>
      </c>
    </row>
    <row r="453" customFormat="false" ht="15" hidden="false" customHeight="false" outlineLevel="0" collapsed="false">
      <c r="A453" s="264" t="n">
        <f aca="false">K453</f>
        <v>3.77266350406484E-005</v>
      </c>
      <c r="B453" s="265" t="str">
        <f aca="false">VLOOKUP($C453,01_SINTETICO!$B:$N,13,0)</f>
        <v>8.2.6.1</v>
      </c>
      <c r="C453" s="266" t="n">
        <v>100717</v>
      </c>
      <c r="D453" s="266" t="str">
        <f aca="false">VLOOKUP($C453,01_SINTETICO!$B:$M,2,0)</f>
        <v>LIXAMENTO MANUAL EM SUPERFÍCIES METÁLICAS EM OBRA. AF_01/2020</v>
      </c>
      <c r="E453" s="266" t="str">
        <f aca="false">VLOOKUP($B453,01_SINTETICO!$A:$M,4,0)</f>
        <v>SER.CG</v>
      </c>
      <c r="F453" s="267" t="str">
        <f aca="false">VLOOKUP($B453,01_SINTETICO!$A:$M,5,0)</f>
        <v>M2</v>
      </c>
      <c r="G453" s="267" t="n">
        <f aca="true">SUMIFS(INDIRECT("'01_SINTETICO'!F7:F995"),INDIRECT("'01_SINTETICO'!B7:B995"),$C453)</f>
        <v>28.27</v>
      </c>
      <c r="H453" s="268" t="n">
        <f aca="false">VLOOKUP($C453,01_SINTETICO!$B:$M,6,0)*$G453*(1+BDI_MAT)</f>
        <v>119.755013522848</v>
      </c>
      <c r="I453" s="268" t="n">
        <f aca="false">VLOOKUP($C453,01_SINTETICO!$B:$M,7,0)*$G453*(1+BDI_MDO)</f>
        <v>220.818890802736</v>
      </c>
      <c r="J453" s="269" t="n">
        <f aca="false">SUM(H453:I453)</f>
        <v>340.573904325584</v>
      </c>
      <c r="K453" s="270" t="n">
        <f aca="false">J453/SUM($J$7:$J$749)</f>
        <v>3.77266350406484E-005</v>
      </c>
      <c r="L453" s="271" t="n">
        <f aca="false">K453+L452</f>
        <v>0.997263784027437</v>
      </c>
    </row>
    <row r="454" customFormat="false" ht="25.5" hidden="false" customHeight="false" outlineLevel="0" collapsed="false">
      <c r="A454" s="264" t="n">
        <f aca="false">K454</f>
        <v>3.7392913694328E-005</v>
      </c>
      <c r="B454" s="265" t="str">
        <f aca="false">VLOOKUP($C454,01_SINTETICO!$B:$N,13,0)</f>
        <v>8.1.1.2.2</v>
      </c>
      <c r="C454" s="266" t="n">
        <v>102513</v>
      </c>
      <c r="D454" s="266" t="str">
        <f aca="false">VLOOKUP($C454,01_SINTETICO!$B:$M,2,0)</f>
        <v>PINTURA DE SÍMBOLOS E TEXTOS COM TINTA ACRÍLICA, DEMARCAÇÃO COM FITA ADESIVA E APLICAÇÃO COM ROLO. AF_05/2021</v>
      </c>
      <c r="E454" s="266" t="str">
        <f aca="false">VLOOKUP($B454,01_SINTETICO!$A:$M,4,0)</f>
        <v>SER.CG</v>
      </c>
      <c r="F454" s="267" t="str">
        <f aca="false">VLOOKUP($B454,01_SINTETICO!$A:$M,5,0)</f>
        <v>M2</v>
      </c>
      <c r="G454" s="267" t="n">
        <f aca="true">SUMIFS(INDIRECT("'01_SINTETICO'!F7:F995"),INDIRECT("'01_SINTETICO'!B7:B995"),$C454)</f>
        <v>5.76</v>
      </c>
      <c r="H454" s="268" t="n">
        <f aca="false">VLOOKUP($C454,01_SINTETICO!$B:$M,6,0)*$G454*(1+BDI_DIF)</f>
        <v>154.067270928524</v>
      </c>
      <c r="I454" s="268" t="n">
        <f aca="false">VLOOKUP($C454,01_SINTETICO!$B:$M,7,0)*$G454*(1+BDI_MDO)</f>
        <v>183.493993076748</v>
      </c>
      <c r="J454" s="269" t="n">
        <f aca="false">SUM(H454:I454)</f>
        <v>337.561264005272</v>
      </c>
      <c r="K454" s="270" t="n">
        <f aca="false">J454/SUM($J$7:$J$749)</f>
        <v>3.7392913694328E-005</v>
      </c>
      <c r="L454" s="271" t="n">
        <f aca="false">K454+L453</f>
        <v>0.997301176941131</v>
      </c>
    </row>
    <row r="455" customFormat="false" ht="38.25" hidden="false" customHeight="false" outlineLevel="0" collapsed="false">
      <c r="A455" s="264" t="n">
        <f aca="false">K455</f>
        <v>3.69968425622917E-005</v>
      </c>
      <c r="B455" s="265" t="str">
        <f aca="false">VLOOKUP($C455,01_SINTETICO!$B:$N,13,0)</f>
        <v>11.6.2.9</v>
      </c>
      <c r="C455" s="272" t="n">
        <v>103999</v>
      </c>
      <c r="D455" s="266" t="str">
        <f aca="false">VLOOKUP($C455,01_SINTETICO!$B:$M,2,0)</f>
        <v>BUCHA DE REDUÇÃO, LONGA, PVC, SOLDÁVEL, DN 50 X 25 MM, INSTALADO EM RAMAL DE DISTRIBUIÇÃO DE ÁGUA - FORNECIMENTO E INSTALAÇÃO. AF_06/2022</v>
      </c>
      <c r="E455" s="272" t="str">
        <f aca="false">VLOOKUP($B455,01_SINTETICO!$A:$M,4,0)</f>
        <v>SER.CG</v>
      </c>
      <c r="F455" s="273" t="str">
        <f aca="false">VLOOKUP($B455,01_SINTETICO!$A:$M,5,0)</f>
        <v>UN</v>
      </c>
      <c r="G455" s="267" t="n">
        <f aca="true">SUMIFS(INDIRECT("'01_SINTETICO'!F7:F995"),INDIRECT("'01_SINTETICO'!B7:B995"),$C455)</f>
        <v>30</v>
      </c>
      <c r="H455" s="268" t="n">
        <f aca="false">VLOOKUP($C455,01_SINTETICO!$B:$M,6,0)*$G455*(1+BDI_DIF)</f>
        <v>271.103608967283</v>
      </c>
      <c r="I455" s="268" t="n">
        <f aca="false">VLOOKUP($C455,01_SINTETICO!$B:$M,7,0)*$G455*(1+BDI_MDO)</f>
        <v>62.8821574702121</v>
      </c>
      <c r="J455" s="269" t="n">
        <f aca="false">SUM(H455:I455)</f>
        <v>333.985766437495</v>
      </c>
      <c r="K455" s="270" t="n">
        <f aca="false">J455/SUM($J$7:$J$749)</f>
        <v>3.69968425622917E-005</v>
      </c>
      <c r="L455" s="271" t="n">
        <f aca="false">K455+L454</f>
        <v>0.997338173783693</v>
      </c>
    </row>
    <row r="456" customFormat="false" ht="38.25" hidden="false" customHeight="false" outlineLevel="0" collapsed="false">
      <c r="A456" s="264" t="n">
        <f aca="false">K456</f>
        <v>3.66904469476158E-005</v>
      </c>
      <c r="B456" s="265" t="str">
        <f aca="false">VLOOKUP($C456,01_SINTETICO!$B:$N,13,0)</f>
        <v>11.2.3.19</v>
      </c>
      <c r="C456" s="266" t="n">
        <v>89830</v>
      </c>
      <c r="D456" s="266" t="str">
        <f aca="false">VLOOKUP($C456,01_SINTETICO!$B:$M,2,0)</f>
        <v>JUNÇÃO SIMPLES, PVC, SERIE NORMAL, ESGOTO PREDIAL, DN 75 X 75 MM, JUNTA ELÁSTICA, FORNECIDO E INSTALADO EM PRUMADA DE ESGOTO SANITÁRIO OU VENTILAÇÃO. AF_08/2022</v>
      </c>
      <c r="E456" s="266" t="str">
        <f aca="false">VLOOKUP($B456,01_SINTETICO!$A:$M,4,0)</f>
        <v>SER.CG</v>
      </c>
      <c r="F456" s="267" t="str">
        <f aca="false">VLOOKUP($B456,01_SINTETICO!$A:$M,5,0)</f>
        <v>UN</v>
      </c>
      <c r="G456" s="267" t="n">
        <f aca="true">SUMIFS(INDIRECT("'01_SINTETICO'!F7:F995"),INDIRECT("'01_SINTETICO'!B7:B995"),$C456)</f>
        <v>8</v>
      </c>
      <c r="H456" s="268" t="n">
        <f aca="false">VLOOKUP($C456,01_SINTETICO!$B:$M,6,0)*$G456*(1+BDI_DIF)</f>
        <v>272.960566446474</v>
      </c>
      <c r="I456" s="268" t="n">
        <f aca="false">VLOOKUP($C456,01_SINTETICO!$B:$M,7,0)*$G456*(1+BDI_MDO)</f>
        <v>58.2592403276168</v>
      </c>
      <c r="J456" s="269" t="n">
        <f aca="false">SUM(H456:I456)</f>
        <v>331.219806774091</v>
      </c>
      <c r="K456" s="270" t="n">
        <f aca="false">J456/SUM($J$7:$J$749)</f>
        <v>3.66904469476158E-005</v>
      </c>
      <c r="L456" s="271" t="n">
        <f aca="false">K456+L455</f>
        <v>0.997374864230641</v>
      </c>
    </row>
    <row r="457" customFormat="false" ht="38.25" hidden="false" customHeight="false" outlineLevel="0" collapsed="false">
      <c r="A457" s="264" t="n">
        <f aca="false">K457</f>
        <v>3.64990675962054E-005</v>
      </c>
      <c r="B457" s="265" t="str">
        <f aca="false">VLOOKUP($C457,01_SINTETICO!$B:$N,13,0)</f>
        <v>13.6.4</v>
      </c>
      <c r="C457" s="266" t="s">
        <v>1054</v>
      </c>
      <c r="D457" s="266" t="str">
        <f aca="false">VLOOKUP($C457,01_SINTETICO!$B:$M,2,0)</f>
        <v>CURVA HORIZONTAL 90º, PARA ELETROCALHA, LISA OU PERFURADA EM AÇO GALVANIZADO, LARGURA DE 150MM E ALTURA DE 50MM - FORNECIMENTO E INSTALAÇÃO.</v>
      </c>
      <c r="E457" s="266" t="str">
        <f aca="false">VLOOKUP($B457,01_SINTETICO!$A:$M,4,0)</f>
        <v>SER.CG</v>
      </c>
      <c r="F457" s="267" t="str">
        <f aca="false">VLOOKUP($B457,01_SINTETICO!$A:$M,5,0)</f>
        <v>UN</v>
      </c>
      <c r="G457" s="267" t="n">
        <f aca="true">SUMIFS(INDIRECT("'01_SINTETICO'!F7:F995"),INDIRECT("'01_SINTETICO'!B7:B995"),$C457)</f>
        <v>5</v>
      </c>
      <c r="H457" s="268" t="n">
        <f aca="false">VLOOKUP($C457,01_SINTETICO!$B:$M,6,0)*$G457*(1+BDI_DIF)</f>
        <v>222.077100490947</v>
      </c>
      <c r="I457" s="268" t="n">
        <f aca="false">VLOOKUP($C457,01_SINTETICO!$B:$M,7,0)*$G457*(1+BDI_MDO)</f>
        <v>107.415045895545</v>
      </c>
      <c r="J457" s="269" t="n">
        <f aca="false">SUM(H457:I457)</f>
        <v>329.492146386492</v>
      </c>
      <c r="K457" s="270" t="n">
        <f aca="false">J457/SUM($J$7:$J$749)</f>
        <v>3.64990675962054E-005</v>
      </c>
      <c r="L457" s="271" t="n">
        <f aca="false">K457+L456</f>
        <v>0.997411363298237</v>
      </c>
    </row>
    <row r="458" customFormat="false" ht="25.5" hidden="false" customHeight="false" outlineLevel="0" collapsed="false">
      <c r="A458" s="264" t="n">
        <f aca="false">K458</f>
        <v>3.63745186495175E-005</v>
      </c>
      <c r="B458" s="265" t="str">
        <f aca="false">VLOOKUP($C458,01_SINTETICO!$B:$N,13,0)</f>
        <v>14.4.1</v>
      </c>
      <c r="C458" s="272" t="n">
        <v>98111</v>
      </c>
      <c r="D458" s="266" t="str">
        <f aca="false">VLOOKUP($C458,01_SINTETICO!$B:$M,2,0)</f>
        <v>CAIXA DE INSPEÇÃO PARA ATERRAMENTO, CIRCULAR, EM POLIETILENO, DIÂMETRO INTERNO = 0,3 M. AF_12/2020</v>
      </c>
      <c r="E458" s="272" t="str">
        <f aca="false">VLOOKUP($B458,01_SINTETICO!$A:$M,4,0)</f>
        <v>SER.CG</v>
      </c>
      <c r="F458" s="273" t="str">
        <f aca="false">VLOOKUP($B458,01_SINTETICO!$A:$M,5,0)</f>
        <v>UN</v>
      </c>
      <c r="G458" s="267" t="n">
        <f aca="true">SUMIFS(INDIRECT("'01_SINTETICO'!F7:F995"),INDIRECT("'01_SINTETICO'!B7:B995"),$C458)</f>
        <v>5</v>
      </c>
      <c r="H458" s="268" t="n">
        <f aca="false">VLOOKUP($C458,01_SINTETICO!$B:$M,6,0)*$G458*(1+BDI_DIF)</f>
        <v>293.438796136539</v>
      </c>
      <c r="I458" s="268" t="n">
        <f aca="false">VLOOKUP($C458,01_SINTETICO!$B:$M,7,0)*$G458*(1+BDI_MDO)</f>
        <v>34.9289955067469</v>
      </c>
      <c r="J458" s="269" t="n">
        <f aca="false">SUM(H458:I458)</f>
        <v>328.367791643286</v>
      </c>
      <c r="K458" s="270" t="n">
        <f aca="false">J458/SUM($J$7:$J$749)</f>
        <v>3.63745186495175E-005</v>
      </c>
      <c r="L458" s="271" t="n">
        <f aca="false">K458+L457</f>
        <v>0.997447737816887</v>
      </c>
    </row>
    <row r="459" customFormat="false" ht="25.5" hidden="false" customHeight="false" outlineLevel="0" collapsed="false">
      <c r="A459" s="264" t="n">
        <f aca="false">K459</f>
        <v>3.63463144657803E-005</v>
      </c>
      <c r="B459" s="265" t="str">
        <f aca="false">VLOOKUP($C459,01_SINTETICO!$B:$N,13,0)</f>
        <v>8.2.5.1</v>
      </c>
      <c r="C459" s="266" t="s">
        <v>584</v>
      </c>
      <c r="D459" s="266" t="str">
        <f aca="false">VLOOKUP($C459,01_SINTETICO!$B:$M,2,0)</f>
        <v>PLACA DE SINALIZAÇÃO EM ACRÍLICO PARA PORTA DE BANHEIRO, COM SIMBOLOGIA DE BANHEIRO UNISEX, ACESSÍVEL E OSTOMIZADO.</v>
      </c>
      <c r="E459" s="266" t="str">
        <f aca="false">VLOOKUP($B459,01_SINTETICO!$A:$M,4,0)</f>
        <v>SER.CG</v>
      </c>
      <c r="F459" s="267" t="str">
        <f aca="false">VLOOKUP($B459,01_SINTETICO!$A:$M,5,0)</f>
        <v>UN</v>
      </c>
      <c r="G459" s="267" t="n">
        <f aca="true">SUMIFS(INDIRECT("'01_SINTETICO'!F7:F995"),INDIRECT("'01_SINTETICO'!B7:B995"),$C459)</f>
        <v>4</v>
      </c>
      <c r="H459" s="268" t="n">
        <f aca="false">VLOOKUP($C459,01_SINTETICO!$B:$M,6,0)*$G459*(1+BDI_MAT)</f>
        <v>314.625208</v>
      </c>
      <c r="I459" s="268" t="n">
        <f aca="false">VLOOKUP($C459,01_SINTETICO!$B:$M,7,0)*$G459*(1+BDI_MDO)</f>
        <v>13.4879728368</v>
      </c>
      <c r="J459" s="269" t="n">
        <f aca="false">SUM(H459:I459)</f>
        <v>328.1131808368</v>
      </c>
      <c r="K459" s="270" t="n">
        <f aca="false">J459/SUM($J$7:$J$749)</f>
        <v>3.63463144657803E-005</v>
      </c>
      <c r="L459" s="271" t="n">
        <f aca="false">K459+L458</f>
        <v>0.997484084131353</v>
      </c>
    </row>
    <row r="460" customFormat="false" ht="38.25" hidden="false" customHeight="false" outlineLevel="0" collapsed="false">
      <c r="A460" s="264" t="n">
        <f aca="false">K460</f>
        <v>3.62332648559201E-005</v>
      </c>
      <c r="B460" s="265" t="str">
        <f aca="false">VLOOKUP($C460,01_SINTETICO!$B:$N,13,0)</f>
        <v>12.1.1.1</v>
      </c>
      <c r="C460" s="266" t="n">
        <v>101560</v>
      </c>
      <c r="D460" s="266" t="str">
        <f aca="false">VLOOKUP($C460,01_SINTETICO!$B:$M,2,0)</f>
        <v>CABO DE COBRE FLEXÍVEL ISOLADO, 10 MM², 0,6/1,0 KV, PARA REDE AÉREA DE DISTRIBUIÇÃO DE ENERGIA ELÉTRICA DE BAIXA TENSÃO - FORNECIMENTO E INSTALAÇÃO. AF_07/2020</v>
      </c>
      <c r="E460" s="266" t="str">
        <f aca="false">VLOOKUP($B460,01_SINTETICO!$A:$M,4,0)</f>
        <v>SER.CG</v>
      </c>
      <c r="F460" s="267" t="str">
        <f aca="false">VLOOKUP($B460,01_SINTETICO!$A:$M,5,0)</f>
        <v>M</v>
      </c>
      <c r="G460" s="267" t="n">
        <f aca="true">SUMIFS(INDIRECT("'01_SINTETICO'!F7:F995"),INDIRECT("'01_SINTETICO'!B7:B995"),$C460)</f>
        <v>25</v>
      </c>
      <c r="H460" s="268" t="n">
        <f aca="false">VLOOKUP($C460,01_SINTETICO!$B:$M,6,0)*$G460*(1+BDI_MAT)</f>
        <v>325.15394687</v>
      </c>
      <c r="I460" s="268" t="n">
        <f aca="false">VLOOKUP($C460,01_SINTETICO!$B:$M,7,0)*$G460*(1+BDI_MDO)</f>
        <v>1.9386884829246</v>
      </c>
      <c r="J460" s="269" t="n">
        <f aca="false">SUM(H460:I460)</f>
        <v>327.092635352925</v>
      </c>
      <c r="K460" s="270" t="n">
        <f aca="false">J460/SUM($J$7:$J$749)</f>
        <v>3.62332648559201E-005</v>
      </c>
      <c r="L460" s="271" t="n">
        <f aca="false">K460+L459</f>
        <v>0.997520317396208</v>
      </c>
    </row>
    <row r="461" customFormat="false" ht="25.5" hidden="false" customHeight="false" outlineLevel="0" collapsed="false">
      <c r="A461" s="264" t="n">
        <f aca="false">K461</f>
        <v>3.59488508345396E-005</v>
      </c>
      <c r="B461" s="265" t="str">
        <f aca="false">VLOOKUP($C461,01_SINTETICO!$B:$N,13,0)</f>
        <v>3.2.3.4.2.2</v>
      </c>
      <c r="C461" s="266" t="n">
        <v>91603</v>
      </c>
      <c r="D461" s="266" t="str">
        <f aca="false">VLOOKUP($C461,01_SINTETICO!$B:$M,2,0)</f>
        <v>ARMAÇÃO DO SISTEMA DE PAREDES DE CONCRETO, EXECUTADA COMO REFORÇO, VERGALHÃO DE 10,0 MM DE DIÂMETRO. AF_12/2024</v>
      </c>
      <c r="E461" s="266" t="str">
        <f aca="false">VLOOKUP($B461,01_SINTETICO!$A:$M,4,0)</f>
        <v>SER.CG</v>
      </c>
      <c r="F461" s="267" t="str">
        <f aca="false">VLOOKUP($B461,01_SINTETICO!$A:$M,5,0)</f>
        <v>KG</v>
      </c>
      <c r="G461" s="267" t="n">
        <f aca="true">SUMIFS(INDIRECT("'01_SINTETICO'!F7:F995"),INDIRECT("'01_SINTETICO'!B7:B995"),$C461)</f>
        <v>27.33</v>
      </c>
      <c r="H461" s="268" t="n">
        <f aca="false">VLOOKUP($C461,01_SINTETICO!$B:$M,6,0)*$G461*(1+BDI_MAT)</f>
        <v>300.112366319612</v>
      </c>
      <c r="I461" s="268" t="n">
        <f aca="false">VLOOKUP($C461,01_SINTETICO!$B:$M,7,0)*$G461*(1+BDI_MDO)</f>
        <v>24.4127462844071</v>
      </c>
      <c r="J461" s="269" t="n">
        <f aca="false">SUM(H461:I461)</f>
        <v>324.525112604019</v>
      </c>
      <c r="K461" s="270" t="n">
        <f aca="false">J461/SUM($J$7:$J$749)</f>
        <v>3.59488508345396E-005</v>
      </c>
      <c r="L461" s="271" t="n">
        <f aca="false">K461+L460</f>
        <v>0.997556266247043</v>
      </c>
    </row>
    <row r="462" customFormat="false" ht="38.25" hidden="false" customHeight="false" outlineLevel="0" collapsed="false">
      <c r="A462" s="264" t="n">
        <f aca="false">K462</f>
        <v>3.57028990985206E-005</v>
      </c>
      <c r="B462" s="265" t="str">
        <f aca="false">VLOOKUP($C462,01_SINTETICO!$B:$N,13,0)</f>
        <v>11.2.3.6</v>
      </c>
      <c r="C462" s="266" t="n">
        <v>89726</v>
      </c>
      <c r="D462" s="266" t="str">
        <f aca="false">VLOOKUP($C462,01_SINTETICO!$B:$M,2,0)</f>
        <v>JOELHO 45 GRAUS, PVC, SERIE NORMAL, ESGOTO PREDIAL, DN 40 MM, JUNTA SOLDÁVEL, FORNECIDO E INSTALADO EM RAMAL DE DESCARGA OU RAMAL DE ESGOTO SANITÁRIO. AF_08/2022</v>
      </c>
      <c r="E462" s="266" t="str">
        <f aca="false">VLOOKUP($B462,01_SINTETICO!$A:$M,4,0)</f>
        <v>SER.CG</v>
      </c>
      <c r="F462" s="267" t="str">
        <f aca="false">VLOOKUP($B462,01_SINTETICO!$A:$M,5,0)</f>
        <v>UN</v>
      </c>
      <c r="G462" s="267" t="n">
        <f aca="true">SUMIFS(INDIRECT("'01_SINTETICO'!F7:F995"),INDIRECT("'01_SINTETICO'!B7:B995"),$C462)</f>
        <v>27</v>
      </c>
      <c r="H462" s="268" t="n">
        <f aca="false">VLOOKUP($C462,01_SINTETICO!$B:$M,6,0)*$G462*(1+BDI_MAT)</f>
        <v>173.3109689466</v>
      </c>
      <c r="I462" s="268" t="n">
        <f aca="false">VLOOKUP($C462,01_SINTETICO!$B:$M,7,0)*$G462*(1+BDI_MDO)</f>
        <v>148.99383583189</v>
      </c>
      <c r="J462" s="269" t="n">
        <f aca="false">SUM(H462:I462)</f>
        <v>322.30480477849</v>
      </c>
      <c r="K462" s="270" t="n">
        <f aca="false">J462/SUM($J$7:$J$749)</f>
        <v>3.57028990985206E-005</v>
      </c>
      <c r="L462" s="271" t="n">
        <f aca="false">K462+L461</f>
        <v>0.997591969146142</v>
      </c>
    </row>
    <row r="463" customFormat="false" ht="25.5" hidden="false" customHeight="false" outlineLevel="0" collapsed="false">
      <c r="A463" s="264" t="n">
        <f aca="false">K463</f>
        <v>3.49432077920802E-005</v>
      </c>
      <c r="B463" s="265" t="str">
        <f aca="false">VLOOKUP($C463,01_SINTETICO!$B:$N,13,0)</f>
        <v>3.2.1.4.7</v>
      </c>
      <c r="C463" s="266" t="n">
        <v>104918</v>
      </c>
      <c r="D463" s="266" t="str">
        <f aca="false">VLOOKUP($C463,01_SINTETICO!$B:$M,2,0)</f>
        <v>ARMAÇÃO DE SAPATA ISOLADA, VIGA BALDRAME E SAPATA CORRIDA UTILIZANDO AÇO CA-50 DE 8 MM - MONTAGEM. AF_01/2024</v>
      </c>
      <c r="E463" s="266" t="str">
        <f aca="false">VLOOKUP($B463,01_SINTETICO!$A:$M,4,0)</f>
        <v>SER.CG</v>
      </c>
      <c r="F463" s="267" t="str">
        <f aca="false">VLOOKUP($B463,01_SINTETICO!$A:$M,5,0)</f>
        <v>KG</v>
      </c>
      <c r="G463" s="267" t="n">
        <f aca="true">SUMIFS(INDIRECT("'01_SINTETICO'!F7:F995"),INDIRECT("'01_SINTETICO'!B7:B995"),$C463)</f>
        <v>18.73</v>
      </c>
      <c r="H463" s="268" t="n">
        <f aca="false">VLOOKUP($C463,01_SINTETICO!$B:$M,6,0)*$G463*(1+BDI_MAT)</f>
        <v>244.393576271144</v>
      </c>
      <c r="I463" s="268" t="n">
        <f aca="false">VLOOKUP($C463,01_SINTETICO!$B:$M,7,0)*$G463*(1+BDI_MDO)</f>
        <v>71.053181558875</v>
      </c>
      <c r="J463" s="269" t="n">
        <f aca="false">SUM(H463:I463)</f>
        <v>315.446757830019</v>
      </c>
      <c r="K463" s="270" t="n">
        <f aca="false">J463/SUM($J$7:$J$749)</f>
        <v>3.49432077920802E-005</v>
      </c>
      <c r="L463" s="271" t="n">
        <f aca="false">K463+L462</f>
        <v>0.997626912353934</v>
      </c>
    </row>
    <row r="464" customFormat="false" ht="25.5" hidden="false" customHeight="false" outlineLevel="0" collapsed="false">
      <c r="A464" s="264" t="n">
        <f aca="false">K464</f>
        <v>3.3223607970566E-005</v>
      </c>
      <c r="B464" s="265" t="str">
        <f aca="false">VLOOKUP($C464,01_SINTETICO!$B:$N,13,0)</f>
        <v>15.3.1</v>
      </c>
      <c r="C464" s="266" t="s">
        <v>1153</v>
      </c>
      <c r="D464" s="266" t="str">
        <f aca="false">VLOOKUP($C464,01_SINTETICO!$B:$M,2,0)</f>
        <v>ABRIGO PARA EXTINTOR EXTERNO - FORNECIMENTO E INSTALAÇÃO.</v>
      </c>
      <c r="E464" s="266" t="str">
        <f aca="false">VLOOKUP($B464,01_SINTETICO!$A:$M,4,0)</f>
        <v>SER.CG</v>
      </c>
      <c r="F464" s="267" t="str">
        <f aca="false">VLOOKUP($B464,01_SINTETICO!$A:$M,5,0)</f>
        <v>UN</v>
      </c>
      <c r="G464" s="267" t="n">
        <f aca="true">SUMIFS(INDIRECT("'01_SINTETICO'!F7:F995"),INDIRECT("'01_SINTETICO'!B7:B995"),$C464)</f>
        <v>1</v>
      </c>
      <c r="H464" s="268" t="n">
        <f aca="false">VLOOKUP($C464,01_SINTETICO!$B:$M,6,0)*$G464*(1+BDI_MAT)</f>
        <v>289.807240933333</v>
      </c>
      <c r="I464" s="268" t="n">
        <f aca="false">VLOOKUP($C464,01_SINTETICO!$B:$M,7,0)*$G464*(1+BDI_MDO)</f>
        <v>10.1159796276</v>
      </c>
      <c r="J464" s="269" t="n">
        <f aca="false">SUM(H464:I464)</f>
        <v>299.923220560933</v>
      </c>
      <c r="K464" s="270" t="n">
        <f aca="false">J464/SUM($J$7:$J$749)</f>
        <v>3.3223607970566E-005</v>
      </c>
      <c r="L464" s="271" t="n">
        <f aca="false">K464+L463</f>
        <v>0.997660135961904</v>
      </c>
    </row>
    <row r="465" customFormat="false" ht="25.5" hidden="false" customHeight="false" outlineLevel="0" collapsed="false">
      <c r="A465" s="264" t="n">
        <f aca="false">K465</f>
        <v>3.2843055665147E-005</v>
      </c>
      <c r="B465" s="265" t="str">
        <f aca="false">VLOOKUP($C465,01_SINTETICO!$B:$N,13,0)</f>
        <v>14.2.3</v>
      </c>
      <c r="C465" s="266" t="s">
        <v>1096</v>
      </c>
      <c r="D465" s="266" t="str">
        <f aca="false">VLOOKUP($C465,01_SINTETICO!$B:$M,2,0)</f>
        <v>CURVA 90° VERTICAL DE FITA DE ALUMÍNIO 70 MM² PARA SPDA - FORNECIMENTO E INSTALAÇÃO.</v>
      </c>
      <c r="E465" s="266" t="str">
        <f aca="false">VLOOKUP($B465,01_SINTETICO!$A:$M,4,0)</f>
        <v>SER.CG</v>
      </c>
      <c r="F465" s="267" t="str">
        <f aca="false">VLOOKUP($B465,01_SINTETICO!$A:$M,5,0)</f>
        <v>UN</v>
      </c>
      <c r="G465" s="267" t="n">
        <f aca="true">SUMIFS(INDIRECT("'01_SINTETICO'!F7:F995"),INDIRECT("'01_SINTETICO'!B7:B995"),$C465)</f>
        <v>6</v>
      </c>
      <c r="H465" s="268" t="n">
        <f aca="false">VLOOKUP($C465,01_SINTETICO!$B:$M,6,0)*$G465*(1+BDI_MAT)</f>
        <v>156.4586240496</v>
      </c>
      <c r="I465" s="268" t="n">
        <f aca="false">VLOOKUP($C465,01_SINTETICO!$B:$M,7,0)*$G465*(1+BDI_MDO)</f>
        <v>140.029193796063</v>
      </c>
      <c r="J465" s="269" t="n">
        <f aca="false">SUM(H465:I465)</f>
        <v>296.487817845663</v>
      </c>
      <c r="K465" s="270" t="n">
        <f aca="false">J465/SUM($J$7:$J$749)</f>
        <v>3.2843055665147E-005</v>
      </c>
      <c r="L465" s="271" t="n">
        <f aca="false">K465+L464</f>
        <v>0.997692979017569</v>
      </c>
    </row>
    <row r="466" customFormat="false" ht="54.75" hidden="false" customHeight="true" outlineLevel="0" collapsed="false">
      <c r="A466" s="264" t="n">
        <f aca="false">K466</f>
        <v>3.27994142699516E-005</v>
      </c>
      <c r="B466" s="265" t="str">
        <f aca="false">VLOOKUP($C466,01_SINTETICO!$B:$N,13,0)</f>
        <v>14.2.5</v>
      </c>
      <c r="C466" s="272" t="n">
        <v>96987</v>
      </c>
      <c r="D466" s="266" t="str">
        <f aca="false">VLOOKUP($C466,01_SINTETICO!$B:$M,2,0)</f>
        <v>BASE METÁLICA PARA MASTRO 1 ½" PARA SPDA - FORNECIMENTO E INSTALAÇÃO. AF_08/2023</v>
      </c>
      <c r="E466" s="272" t="str">
        <f aca="false">VLOOKUP($B466,01_SINTETICO!$A:$M,4,0)</f>
        <v>SER.CG</v>
      </c>
      <c r="F466" s="273" t="str">
        <f aca="false">VLOOKUP($B466,01_SINTETICO!$A:$M,5,0)</f>
        <v>UN</v>
      </c>
      <c r="G466" s="267" t="n">
        <f aca="true">SUMIFS(INDIRECT("'01_SINTETICO'!F7:F995"),INDIRECT("'01_SINTETICO'!B7:B995"),$C466)</f>
        <v>2</v>
      </c>
      <c r="H466" s="268" t="n">
        <f aca="false">VLOOKUP($C466,01_SINTETICO!$B:$M,6,0)*$G466*(1+BDI_MAT)</f>
        <v>191.5036505208</v>
      </c>
      <c r="I466" s="268" t="n">
        <f aca="false">VLOOKUP($C466,01_SINTETICO!$B:$M,7,0)*$G466*(1+BDI_MDO)</f>
        <v>104.590198439594</v>
      </c>
      <c r="J466" s="269" t="n">
        <f aca="false">SUM(H466:I466)</f>
        <v>296.093848960394</v>
      </c>
      <c r="K466" s="270" t="n">
        <f aca="false">J466/SUM($J$7:$J$749)</f>
        <v>3.27994142699516E-005</v>
      </c>
      <c r="L466" s="271" t="n">
        <f aca="false">K466+L465</f>
        <v>0.997725778431839</v>
      </c>
    </row>
    <row r="467" customFormat="false" ht="25.5" hidden="false" customHeight="false" outlineLevel="0" collapsed="false">
      <c r="A467" s="264" t="n">
        <f aca="false">K467</f>
        <v>3.19346545845041E-005</v>
      </c>
      <c r="B467" s="265" t="str">
        <f aca="false">VLOOKUP($C467,01_SINTETICO!$B:$N,13,0)</f>
        <v>2.1.1.2</v>
      </c>
      <c r="C467" s="266" t="n">
        <v>104796</v>
      </c>
      <c r="D467" s="266" t="str">
        <f aca="false">VLOOKUP($C467,01_SINTETICO!$B:$M,2,0)</f>
        <v>DEMOLIÇÃO DE GUIAS, SARJETAS OU SARJETÕES, DE FORMA MECANIZADA, SEM REAPROVEITAMENTO. AF_09/2023</v>
      </c>
      <c r="E467" s="266" t="str">
        <f aca="false">VLOOKUP($B467,01_SINTETICO!$A:$M,4,0)</f>
        <v>SER.CG</v>
      </c>
      <c r="F467" s="267" t="str">
        <f aca="false">VLOOKUP($B467,01_SINTETICO!$A:$M,5,0)</f>
        <v>M</v>
      </c>
      <c r="G467" s="267" t="n">
        <f aca="true">SUMIFS(INDIRECT("'01_SINTETICO'!F7:F995"),INDIRECT("'01_SINTETICO'!B7:B995"),$C467)</f>
        <v>16.78</v>
      </c>
      <c r="H467" s="268" t="n">
        <f aca="false">VLOOKUP($C467,01_SINTETICO!$B:$M,6,0)*$G467*(1+BDI_MAT)</f>
        <v>138.226352699078</v>
      </c>
      <c r="I467" s="268" t="n">
        <f aca="false">VLOOKUP($C467,01_SINTETICO!$B:$M,7,0)*$G467*(1+BDI_MDO)</f>
        <v>150.06095369374</v>
      </c>
      <c r="J467" s="269" t="n">
        <f aca="false">SUM(H467:I467)</f>
        <v>288.287306392819</v>
      </c>
      <c r="K467" s="270" t="n">
        <f aca="false">J467/SUM($J$7:$J$749)</f>
        <v>3.19346545845041E-005</v>
      </c>
      <c r="L467" s="271" t="n">
        <f aca="false">K467+L466</f>
        <v>0.997757713086424</v>
      </c>
    </row>
    <row r="468" customFormat="false" ht="38.25" hidden="false" customHeight="false" outlineLevel="0" collapsed="false">
      <c r="A468" s="264" t="n">
        <f aca="false">K468</f>
        <v>3.15520713837775E-005</v>
      </c>
      <c r="B468" s="265" t="str">
        <f aca="false">VLOOKUP($C468,01_SINTETICO!$B:$N,13,0)</f>
        <v>11.2.3.8</v>
      </c>
      <c r="C468" s="266" t="n">
        <v>89806</v>
      </c>
      <c r="D468" s="266" t="str">
        <f aca="false">VLOOKUP($C468,01_SINTETICO!$B:$M,2,0)</f>
        <v>JOELHO 45 GRAUS, PVC, SERIE NORMAL, ESGOTO PREDIAL, DN 75 MM, JUNTA ELÁSTICA, FORNECIDO E INSTALADO EM PRUMADA DE ESGOTO SANITÁRIO OU VENTILAÇÃO. AF_08/2022</v>
      </c>
      <c r="E468" s="266" t="str">
        <f aca="false">VLOOKUP($B468,01_SINTETICO!$A:$M,4,0)</f>
        <v>SER.CG</v>
      </c>
      <c r="F468" s="267" t="str">
        <f aca="false">VLOOKUP($B468,01_SINTETICO!$A:$M,5,0)</f>
        <v>UN</v>
      </c>
      <c r="G468" s="267" t="n">
        <f aca="true">SUMIFS(INDIRECT("'01_SINTETICO'!F7:F995"),INDIRECT("'01_SINTETICO'!B7:B995"),$C468)</f>
        <v>11</v>
      </c>
      <c r="H468" s="268" t="n">
        <f aca="false">VLOOKUP($C468,01_SINTETICO!$B:$M,6,0)*$G468*(1+BDI_MAT)</f>
        <v>224.7537283596</v>
      </c>
      <c r="I468" s="268" t="n">
        <f aca="false">VLOOKUP($C468,01_SINTETICO!$B:$M,7,0)*$G468*(1+BDI_MDO)</f>
        <v>60.0798415878548</v>
      </c>
      <c r="J468" s="269" t="n">
        <f aca="false">SUM(H468:I468)</f>
        <v>284.833569947455</v>
      </c>
      <c r="K468" s="270" t="n">
        <f aca="false">J468/SUM($J$7:$J$749)</f>
        <v>3.15520713837775E-005</v>
      </c>
      <c r="L468" s="271" t="n">
        <f aca="false">K468+L467</f>
        <v>0.997789265157807</v>
      </c>
    </row>
    <row r="469" customFormat="false" ht="25.5" hidden="false" customHeight="false" outlineLevel="0" collapsed="false">
      <c r="A469" s="264" t="n">
        <f aca="false">K469</f>
        <v>3.14431331234175E-005</v>
      </c>
      <c r="B469" s="265" t="str">
        <f aca="false">VLOOKUP($C469,01_SINTETICO!$B:$N,13,0)</f>
        <v>12.5.4</v>
      </c>
      <c r="C469" s="266" t="s">
        <v>993</v>
      </c>
      <c r="D469" s="266" t="str">
        <f aca="false">VLOOKUP($C469,01_SINTETICO!$B:$M,2,0)</f>
        <v>LUMINÁRIA TIPO PLAFON CIRCULAR, DE SOBREPOR, COM LED DE 12 W, 4000 K - FORNECIMENTO E INSTALAÇÃO.</v>
      </c>
      <c r="E469" s="266" t="str">
        <f aca="false">VLOOKUP($B469,01_SINTETICO!$A:$M,4,0)</f>
        <v>SER.CG</v>
      </c>
      <c r="F469" s="267" t="str">
        <f aca="false">VLOOKUP($B469,01_SINTETICO!$A:$M,5,0)</f>
        <v>UN</v>
      </c>
      <c r="G469" s="267" t="n">
        <f aca="true">SUMIFS(INDIRECT("'01_SINTETICO'!F7:F995"),INDIRECT("'01_SINTETICO'!B7:B995"),$C469)</f>
        <v>9</v>
      </c>
      <c r="H469" s="268" t="n">
        <f aca="false">VLOOKUP($C469,01_SINTETICO!$B:$M,6,0)*$G469*(1+BDI_MAT)</f>
        <v>143.787413985602</v>
      </c>
      <c r="I469" s="268" t="n">
        <f aca="false">VLOOKUP($C469,01_SINTETICO!$B:$M,7,0)*$G469*(1+BDI_MDO)</f>
        <v>140.062725326672</v>
      </c>
      <c r="J469" s="269" t="n">
        <f aca="false">SUM(H469:I469)</f>
        <v>283.850139312275</v>
      </c>
      <c r="K469" s="270" t="n">
        <f aca="false">J469/SUM($J$7:$J$749)</f>
        <v>3.14431331234175E-005</v>
      </c>
      <c r="L469" s="271" t="n">
        <f aca="false">K469+L468</f>
        <v>0.997820708290931</v>
      </c>
    </row>
    <row r="470" customFormat="false" ht="38.25" hidden="false" customHeight="false" outlineLevel="0" collapsed="false">
      <c r="A470" s="264" t="n">
        <f aca="false">K470</f>
        <v>3.0198319008427E-005</v>
      </c>
      <c r="B470" s="265" t="str">
        <f aca="false">VLOOKUP($C470,01_SINTETICO!$B:$N,13,0)</f>
        <v>3.2.3.5.2</v>
      </c>
      <c r="C470" s="266" t="n">
        <v>101964</v>
      </c>
      <c r="D470" s="266" t="str">
        <f aca="false">VLOOKUP($C470,01_SINTETICO!$B:$M,2,0)</f>
        <v>LAJE PRÉ-MOLDADA UNIDIRECIONAL, BIAPOIADA, PARA FORRO, ENCHIMENTO EM CERÂMICA, VIGOTA CONVENCIONAL, ALTURA TOTAL DA LAJE (ENCHIMENTO+CAPA) = (8+3). AF_11/2020</v>
      </c>
      <c r="E470" s="266" t="str">
        <f aca="false">VLOOKUP($B470,01_SINTETICO!$A:$M,4,0)</f>
        <v>SER.CG</v>
      </c>
      <c r="F470" s="267" t="str">
        <f aca="false">VLOOKUP($B470,01_SINTETICO!$A:$M,5,0)</f>
        <v>M2</v>
      </c>
      <c r="G470" s="267" t="n">
        <f aca="true">SUMIFS(INDIRECT("'01_SINTETICO'!F7:F995"),INDIRECT("'01_SINTETICO'!B7:B995"),$C470)</f>
        <v>1.39</v>
      </c>
      <c r="H470" s="268" t="n">
        <f aca="false">VLOOKUP($C470,01_SINTETICO!$B:$M,6,0)*$G470*(1+BDI_MAT)</f>
        <v>230.306256208236</v>
      </c>
      <c r="I470" s="268" t="n">
        <f aca="false">VLOOKUP($C470,01_SINTETICO!$B:$M,7,0)*$G470*(1+BDI_MDO)</f>
        <v>42.306432352199</v>
      </c>
      <c r="J470" s="269" t="n">
        <f aca="false">SUM(H470:I470)</f>
        <v>272.612688560435</v>
      </c>
      <c r="K470" s="270" t="n">
        <f aca="false">J470/SUM($J$7:$J$749)</f>
        <v>3.0198319008427E-005</v>
      </c>
      <c r="L470" s="271" t="n">
        <f aca="false">K470+L469</f>
        <v>0.997850906609939</v>
      </c>
    </row>
    <row r="471" customFormat="false" ht="25.5" hidden="false" customHeight="false" outlineLevel="0" collapsed="false">
      <c r="A471" s="264" t="n">
        <f aca="false">K471</f>
        <v>2.99741536334646E-005</v>
      </c>
      <c r="B471" s="265" t="str">
        <f aca="false">VLOOKUP($C471,01_SINTETICO!$B:$N,13,0)</f>
        <v>11.6.2.30</v>
      </c>
      <c r="C471" s="266" t="n">
        <v>89630</v>
      </c>
      <c r="D471" s="266" t="str">
        <f aca="false">VLOOKUP($C471,01_SINTETICO!$B:$M,2,0)</f>
        <v>TE DE REDUÇÃO, PVC, SOLDÁVEL, DN 75MM X 50MM, INSTALADO EM PRUMADA DE ÁGUA - FORNECIMENTO E INSTALAÇÃO. AF_06/2022</v>
      </c>
      <c r="E471" s="266" t="str">
        <f aca="false">VLOOKUP($B471,01_SINTETICO!$A:$M,4,0)</f>
        <v>SER.CG</v>
      </c>
      <c r="F471" s="267" t="str">
        <f aca="false">VLOOKUP($B471,01_SINTETICO!$A:$M,5,0)</f>
        <v>UN</v>
      </c>
      <c r="G471" s="267" t="n">
        <f aca="true">SUMIFS(INDIRECT("'01_SINTETICO'!F7:F995"),INDIRECT("'01_SINTETICO'!B7:B995"),$C471)</f>
        <v>4</v>
      </c>
      <c r="H471" s="268" t="n">
        <f aca="false">VLOOKUP($C471,01_SINTETICO!$B:$M,6,0)*$G471*(1+BDI_MAT)</f>
        <v>248.7872223488</v>
      </c>
      <c r="I471" s="268" t="n">
        <f aca="false">VLOOKUP($C471,01_SINTETICO!$B:$M,7,0)*$G471*(1+BDI_MDO)</f>
        <v>21.8018328586128</v>
      </c>
      <c r="J471" s="269" t="n">
        <f aca="false">SUM(H471:I471)</f>
        <v>270.589055207413</v>
      </c>
      <c r="K471" s="270" t="n">
        <f aca="false">J471/SUM($J$7:$J$749)</f>
        <v>2.99741536334646E-005</v>
      </c>
      <c r="L471" s="271" t="n">
        <f aca="false">K471+L470</f>
        <v>0.997880880763573</v>
      </c>
    </row>
    <row r="472" customFormat="false" ht="25.5" hidden="false" customHeight="false" outlineLevel="0" collapsed="false">
      <c r="A472" s="264" t="n">
        <f aca="false">K472</f>
        <v>2.9478846950868E-005</v>
      </c>
      <c r="B472" s="265" t="str">
        <f aca="false">VLOOKUP($C472,01_SINTETICO!$B:$N,13,0)</f>
        <v>8.2.5.2</v>
      </c>
      <c r="C472" s="266" t="s">
        <v>586</v>
      </c>
      <c r="D472" s="266" t="str">
        <f aca="false">VLOOKUP($C472,01_SINTETICO!$B:$M,2,0)</f>
        <v>PLACA DE SINALIZAÇÃO TATIL EM ALTO RELEVO COM BRAILE, EM ACRÍLICO, 20X10 CM, FIXADA EM PAREDE.</v>
      </c>
      <c r="E472" s="266" t="str">
        <f aca="false">VLOOKUP($B472,01_SINTETICO!$A:$M,4,0)</f>
        <v>SER.CG</v>
      </c>
      <c r="F472" s="267" t="str">
        <f aca="false">VLOOKUP($B472,01_SINTETICO!$A:$M,5,0)</f>
        <v>UN</v>
      </c>
      <c r="G472" s="267" t="n">
        <f aca="true">SUMIFS(INDIRECT("'01_SINTETICO'!F7:F995"),INDIRECT("'01_SINTETICO'!B7:B995"),$C472)</f>
        <v>4</v>
      </c>
      <c r="H472" s="268" t="n">
        <f aca="false">VLOOKUP($C472,01_SINTETICO!$B:$M,6,0)*$G472*(1+BDI_MAT)</f>
        <v>252.629744533333</v>
      </c>
      <c r="I472" s="268" t="n">
        <f aca="false">VLOOKUP($C472,01_SINTETICO!$B:$M,7,0)*$G472*(1+BDI_MDO)</f>
        <v>13.4879728368</v>
      </c>
      <c r="J472" s="269" t="n">
        <f aca="false">SUM(H472:I472)</f>
        <v>266.117717370133</v>
      </c>
      <c r="K472" s="270" t="n">
        <f aca="false">J472/SUM($J$7:$J$749)</f>
        <v>2.9478846950868E-005</v>
      </c>
      <c r="L472" s="271" t="n">
        <f aca="false">K472+L471</f>
        <v>0.997910359610524</v>
      </c>
    </row>
    <row r="473" customFormat="false" ht="38.25" hidden="false" customHeight="false" outlineLevel="0" collapsed="false">
      <c r="A473" s="264" t="n">
        <f aca="false">K473</f>
        <v>2.88177610755736E-005</v>
      </c>
      <c r="B473" s="265" t="str">
        <f aca="false">VLOOKUP($C473,01_SINTETICO!$B:$N,13,0)</f>
        <v>13.6.3</v>
      </c>
      <c r="C473" s="272" t="s">
        <v>1052</v>
      </c>
      <c r="D473" s="266" t="str">
        <f aca="false">VLOOKUP($C473,01_SINTETICO!$B:$M,2,0)</f>
        <v>CURVA DE INVERSÃO 90º, PARA ELETROCALHA, LISA OU PERFURADA EM AÇO GALVANIZADO, LARGURA DE 150MM E ALTURA DE 50MM - FORNECIMENTO E INSTALAÇÃO.</v>
      </c>
      <c r="E473" s="272" t="str">
        <f aca="false">VLOOKUP($B473,01_SINTETICO!$A:$M,4,0)</f>
        <v>SER.CG</v>
      </c>
      <c r="F473" s="273" t="str">
        <f aca="false">VLOOKUP($B473,01_SINTETICO!$A:$M,5,0)</f>
        <v>UN</v>
      </c>
      <c r="G473" s="267" t="n">
        <f aca="true">SUMIFS(INDIRECT("'01_SINTETICO'!F7:F995"),INDIRECT("'01_SINTETICO'!B7:B995"),$C473)</f>
        <v>3</v>
      </c>
      <c r="H473" s="268" t="n">
        <f aca="false">VLOOKUP($C473,01_SINTETICO!$B:$M,6,0)*$G473*(1+BDI_MAT)</f>
        <v>234.6243114368</v>
      </c>
      <c r="I473" s="268" t="n">
        <f aca="false">VLOOKUP($C473,01_SINTETICO!$B:$M,7,0)*$G473*(1+BDI_MDO)</f>
        <v>25.5255109063606</v>
      </c>
      <c r="J473" s="269" t="n">
        <f aca="false">SUM(H473:I473)</f>
        <v>260.149822343161</v>
      </c>
      <c r="K473" s="270" t="n">
        <f aca="false">J473/SUM($J$7:$J$749)</f>
        <v>2.88177610755736E-005</v>
      </c>
      <c r="L473" s="271" t="n">
        <f aca="false">K473+L472</f>
        <v>0.997939177371599</v>
      </c>
    </row>
    <row r="474" customFormat="false" ht="25.5" hidden="false" customHeight="false" outlineLevel="0" collapsed="false">
      <c r="A474" s="264" t="n">
        <f aca="false">K474</f>
        <v>2.8452307526573E-005</v>
      </c>
      <c r="B474" s="265" t="str">
        <f aca="false">VLOOKUP($C474,01_SINTETICO!$B:$N,13,0)</f>
        <v>12.3.1.1.12</v>
      </c>
      <c r="C474" s="266" t="n">
        <v>91997</v>
      </c>
      <c r="D474" s="266" t="str">
        <f aca="false">VLOOKUP($C474,01_SINTETICO!$B:$M,2,0)</f>
        <v>TOMADA MÉDIA DE EMBUTIR (1 MÓDULO), 2P+T 20 A, INCLUINDO SUPORTE E PLACA - FORNECIMENTO E INSTALAÇÃO. AF_03/2023</v>
      </c>
      <c r="E474" s="266" t="str">
        <f aca="false">VLOOKUP($B474,01_SINTETICO!$A:$M,4,0)</f>
        <v>SER.CG</v>
      </c>
      <c r="F474" s="267" t="str">
        <f aca="false">VLOOKUP($B474,01_SINTETICO!$A:$M,5,0)</f>
        <v>UN</v>
      </c>
      <c r="G474" s="267" t="n">
        <f aca="true">SUMIFS(INDIRECT("'01_SINTETICO'!F7:F995"),INDIRECT("'01_SINTETICO'!B7:B995"),$C474)</f>
        <v>6</v>
      </c>
      <c r="H474" s="268" t="n">
        <f aca="false">VLOOKUP($C474,01_SINTETICO!$B:$M,6,0)*$G474*(1+BDI_MAT)</f>
        <v>138.6321846</v>
      </c>
      <c r="I474" s="268" t="n">
        <f aca="false">VLOOKUP($C474,01_SINTETICO!$B:$M,7,0)*$G474*(1+BDI_MDO)</f>
        <v>118.218537733349</v>
      </c>
      <c r="J474" s="269" t="n">
        <f aca="false">SUM(H474:I474)</f>
        <v>256.850722333349</v>
      </c>
      <c r="K474" s="270" t="n">
        <f aca="false">J474/SUM($J$7:$J$749)</f>
        <v>2.8452307526573E-005</v>
      </c>
      <c r="L474" s="271" t="n">
        <f aca="false">K474+L473</f>
        <v>0.997967629679126</v>
      </c>
    </row>
    <row r="475" customFormat="false" ht="25.5" hidden="false" customHeight="false" outlineLevel="0" collapsed="false">
      <c r="A475" s="264" t="n">
        <f aca="false">K475</f>
        <v>2.72655908369596E-005</v>
      </c>
      <c r="B475" s="265" t="str">
        <f aca="false">VLOOKUP($C475,01_SINTETICO!$B:$N,13,0)</f>
        <v>12.3.1.1.2</v>
      </c>
      <c r="C475" s="266" t="n">
        <v>91979</v>
      </c>
      <c r="D475" s="266" t="str">
        <f aca="false">VLOOKUP($C475,01_SINTETICO!$B:$M,2,0)</f>
        <v>INTERRUPTOR INTERMEDIÁRIO (1 MÓDULO), 10A/250V, INCLUINDO SUPORTE E PLACA - FORNECIMENTO E INSTALAÇÃO. AF_03/2023</v>
      </c>
      <c r="E475" s="266" t="str">
        <f aca="false">VLOOKUP($B475,01_SINTETICO!$A:$M,4,0)</f>
        <v>SER.CG</v>
      </c>
      <c r="F475" s="267" t="str">
        <f aca="false">VLOOKUP($B475,01_SINTETICO!$A:$M,5,0)</f>
        <v>UN</v>
      </c>
      <c r="G475" s="267" t="n">
        <f aca="true">SUMIFS(INDIRECT("'01_SINTETICO'!F7:F995"),INDIRECT("'01_SINTETICO'!B7:B995"),$C475)</f>
        <v>5</v>
      </c>
      <c r="H475" s="268" t="n">
        <f aca="false">VLOOKUP($C475,01_SINTETICO!$B:$M,6,0)*$G475*(1+BDI_MAT)</f>
        <v>175.2753344</v>
      </c>
      <c r="I475" s="268" t="n">
        <f aca="false">VLOOKUP($C475,01_SINTETICO!$B:$M,7,0)*$G475*(1+BDI_MDO)</f>
        <v>70.862406617244</v>
      </c>
      <c r="J475" s="269" t="n">
        <f aca="false">SUM(H475:I475)</f>
        <v>246.137741017244</v>
      </c>
      <c r="K475" s="270" t="n">
        <f aca="false">J475/SUM($J$7:$J$749)</f>
        <v>2.72655908369596E-005</v>
      </c>
      <c r="L475" s="271" t="n">
        <f aca="false">K475+L474</f>
        <v>0.997994895269963</v>
      </c>
    </row>
    <row r="476" customFormat="false" ht="25.5" hidden="false" customHeight="false" outlineLevel="0" collapsed="false">
      <c r="A476" s="264" t="n">
        <f aca="false">K476</f>
        <v>2.71306558441853E-005</v>
      </c>
      <c r="B476" s="265" t="str">
        <f aca="false">VLOOKUP($C476,01_SINTETICO!$B:$N,13,0)</f>
        <v>16.1.3.2.17</v>
      </c>
      <c r="C476" s="266" t="n">
        <v>89869</v>
      </c>
      <c r="D476" s="266" t="str">
        <f aca="false">VLOOKUP($C476,01_SINTETICO!$B:$M,2,0)</f>
        <v>TE, PVC, SOLDÁVEL, DN 25MM, INSTALADO EM DRENO DE AR-CONDICIONADO - FORNECIMENTO E INSTALAÇÃO. AF_08/2022</v>
      </c>
      <c r="E476" s="266" t="str">
        <f aca="false">VLOOKUP($B476,01_SINTETICO!$A:$M,4,0)</f>
        <v>SER.CG</v>
      </c>
      <c r="F476" s="267" t="str">
        <f aca="false">VLOOKUP($B476,01_SINTETICO!$A:$M,5,0)</f>
        <v>UN</v>
      </c>
      <c r="G476" s="267" t="n">
        <f aca="true">SUMIFS(INDIRECT("'01_SINTETICO'!F7:F995"),INDIRECT("'01_SINTETICO'!B7:B995"),$C476)</f>
        <v>21</v>
      </c>
      <c r="H476" s="268" t="n">
        <f aca="false">VLOOKUP($C476,01_SINTETICO!$B:$M,6,0)*$G476*(1+BDI_MAT)</f>
        <v>110.4210796332</v>
      </c>
      <c r="I476" s="268" t="n">
        <f aca="false">VLOOKUP($C476,01_SINTETICO!$B:$M,7,0)*$G476*(1+BDI_MDO)</f>
        <v>134.498547516486</v>
      </c>
      <c r="J476" s="269" t="n">
        <f aca="false">SUM(H476:I476)</f>
        <v>244.919627149686</v>
      </c>
      <c r="K476" s="270" t="n">
        <f aca="false">J476/SUM($J$7:$J$749)</f>
        <v>2.71306558441853E-005</v>
      </c>
      <c r="L476" s="271" t="n">
        <f aca="false">K476+L475</f>
        <v>0.998022025925807</v>
      </c>
    </row>
    <row r="477" customFormat="false" ht="25.5" hidden="false" customHeight="false" outlineLevel="0" collapsed="false">
      <c r="A477" s="264" t="n">
        <f aca="false">K477</f>
        <v>2.57661585012563E-005</v>
      </c>
      <c r="B477" s="265" t="str">
        <f aca="false">VLOOKUP($C477,01_SINTETICO!$B:$N,13,0)</f>
        <v>16.1.3.2.10</v>
      </c>
      <c r="C477" s="272" t="n">
        <v>89497</v>
      </c>
      <c r="D477" s="266" t="str">
        <f aca="false">VLOOKUP($C477,01_SINTETICO!$B:$M,2,0)</f>
        <v>JOELHO 90 GRAUS, PVC, SOLDÁVEL, DN 40MM, INSTALADO EM PRUMADA DE ÁGUA - FORNECIMENTO E INSTALAÇÃO. AF_06/2022</v>
      </c>
      <c r="E477" s="272" t="str">
        <f aca="false">VLOOKUP($B477,01_SINTETICO!$A:$M,4,0)</f>
        <v>SER.CG</v>
      </c>
      <c r="F477" s="273" t="str">
        <f aca="false">VLOOKUP($B477,01_SINTETICO!$A:$M,5,0)</f>
        <v>UN</v>
      </c>
      <c r="G477" s="267" t="n">
        <f aca="true">SUMIFS(INDIRECT("'01_SINTETICO'!F7:F995"),INDIRECT("'01_SINTETICO'!B7:B995"),$C477)</f>
        <v>15</v>
      </c>
      <c r="H477" s="268" t="n">
        <f aca="false">VLOOKUP($C477,01_SINTETICO!$B:$M,6,0)*$G477*(1+BDI_MAT)</f>
        <v>164.361787575</v>
      </c>
      <c r="I477" s="268" t="n">
        <f aca="false">VLOOKUP($C477,01_SINTETICO!$B:$M,7,0)*$G477*(1+BDI_MDO)</f>
        <v>68.2399589308787</v>
      </c>
      <c r="J477" s="269" t="n">
        <f aca="false">SUM(H477:I477)</f>
        <v>232.601746505879</v>
      </c>
      <c r="K477" s="270" t="n">
        <f aca="false">J477/SUM($J$7:$J$749)</f>
        <v>2.57661585012563E-005</v>
      </c>
      <c r="L477" s="271" t="n">
        <f aca="false">K477+L476</f>
        <v>0.998047792084308</v>
      </c>
    </row>
    <row r="478" customFormat="false" ht="38.25" hidden="false" customHeight="false" outlineLevel="0" collapsed="false">
      <c r="A478" s="264" t="n">
        <f aca="false">K478</f>
        <v>2.51525842757122E-005</v>
      </c>
      <c r="B478" s="265" t="str">
        <f aca="false">VLOOKUP($C478,01_SINTETICO!$B:$N,13,0)</f>
        <v>12.1.1.3</v>
      </c>
      <c r="C478" s="266" t="n">
        <v>92984</v>
      </c>
      <c r="D478" s="266" t="str">
        <f aca="false">VLOOKUP($C478,01_SINTETICO!$B:$M,2,0)</f>
        <v>CABO DE COBRE FLEXÍVEL ISOLADO, 25 MM², ANTI-CHAMA 0,6/1,0 KV, PARA REDE ENTERRADA DE DISTRIBUIÇÃO DE ENERGIA ELÉTRICA - FORNECIMENTO E INSTALAÇÃO. AF_12/2021</v>
      </c>
      <c r="E478" s="266" t="str">
        <f aca="false">VLOOKUP($B478,01_SINTETICO!$A:$M,4,0)</f>
        <v>SER.CG</v>
      </c>
      <c r="F478" s="267" t="str">
        <f aca="false">VLOOKUP($B478,01_SINTETICO!$A:$M,5,0)</f>
        <v>M</v>
      </c>
      <c r="G478" s="267" t="n">
        <f aca="true">SUMIFS(INDIRECT("'01_SINTETICO'!F7:F995"),INDIRECT("'01_SINTETICO'!B7:B995"),$C478)</f>
        <v>60</v>
      </c>
      <c r="H478" s="268" t="n">
        <f aca="false">VLOOKUP($C478,01_SINTETICO!$B:$M,6,0)*$G478*(1+BDI_DIF)</f>
        <v>65.541700452948</v>
      </c>
      <c r="I478" s="268" t="n">
        <f aca="false">VLOOKUP($C478,01_SINTETICO!$B:$M,7,0)*$G478*(1+BDI_MDO)</f>
        <v>161.521058296351</v>
      </c>
      <c r="J478" s="269" t="n">
        <f aca="false">SUM(H478:I478)</f>
        <v>227.062758749299</v>
      </c>
      <c r="K478" s="270" t="n">
        <f aca="false">J478/SUM($J$7:$J$749)</f>
        <v>2.51525842757122E-005</v>
      </c>
      <c r="L478" s="271" t="n">
        <f aca="false">K478+L477</f>
        <v>0.998072944668584</v>
      </c>
    </row>
    <row r="479" customFormat="false" ht="38.25" hidden="false" customHeight="false" outlineLevel="0" collapsed="false">
      <c r="A479" s="264" t="n">
        <f aca="false">K479</f>
        <v>2.49419901939239E-005</v>
      </c>
      <c r="B479" s="265" t="str">
        <f aca="false">VLOOKUP($C479,01_SINTETICO!$B:$N,13,0)</f>
        <v>12.2.3.1</v>
      </c>
      <c r="C479" s="272" t="s">
        <v>918</v>
      </c>
      <c r="D479" s="266" t="str">
        <f aca="false">VLOOKUP($C479,01_SINTETICO!$B:$M,2,0)</f>
        <v>CURVA HORIZONTAL 45º PARA ELETROCALHA, LISA OU PERFURADA EM AÇO GALVANIZADO, LARGURA DE 100MM E ALTURA DE 50MM - FORNECIMENTO E INSTALAÇÃO.</v>
      </c>
      <c r="E479" s="272" t="str">
        <f aca="false">VLOOKUP($B479,01_SINTETICO!$A:$M,4,0)</f>
        <v>SER.CG</v>
      </c>
      <c r="F479" s="273" t="str">
        <f aca="false">VLOOKUP($B479,01_SINTETICO!$A:$M,5,0)</f>
        <v>UN</v>
      </c>
      <c r="G479" s="267" t="n">
        <f aca="true">SUMIFS(INDIRECT("'01_SINTETICO'!F7:F995"),INDIRECT("'01_SINTETICO'!B7:B995"),$C479)</f>
        <v>4</v>
      </c>
      <c r="H479" s="268" t="n">
        <f aca="false">VLOOKUP($C479,01_SINTETICO!$B:$M,6,0)*$G479*(1+BDI_MAT)</f>
        <v>157.241325621333</v>
      </c>
      <c r="I479" s="268" t="n">
        <f aca="false">VLOOKUP($C479,01_SINTETICO!$B:$M,7,0)*$G479*(1+BDI_MDO)</f>
        <v>67.9203134393098</v>
      </c>
      <c r="J479" s="269" t="n">
        <f aca="false">SUM(H479:I479)</f>
        <v>225.161639060643</v>
      </c>
      <c r="K479" s="270" t="n">
        <f aca="false">J479/SUM($J$7:$J$749)</f>
        <v>2.49419901939239E-005</v>
      </c>
      <c r="L479" s="271" t="n">
        <f aca="false">K479+L478</f>
        <v>0.998097886658778</v>
      </c>
    </row>
    <row r="480" customFormat="false" ht="25.5" hidden="false" customHeight="false" outlineLevel="0" collapsed="false">
      <c r="A480" s="264" t="n">
        <f aca="false">K480</f>
        <v>2.46832359794275E-005</v>
      </c>
      <c r="B480" s="265" t="str">
        <f aca="false">VLOOKUP($C480,01_SINTETICO!$B:$N,13,0)</f>
        <v>11.3.2.1</v>
      </c>
      <c r="C480" s="266" t="n">
        <v>98102</v>
      </c>
      <c r="D480" s="266" t="str">
        <f aca="false">VLOOKUP($C480,01_SINTETICO!$B:$M,2,0)</f>
        <v>CAIXA DE GORDURA SIMPLES, CIRCULAR, EM CONCRETO PRÉ-MOLDADO, DIÂMETRO INTERNO = 0,4 M, ALTURA INTERNA = 0,4 M. AF_12/2020</v>
      </c>
      <c r="E480" s="266" t="str">
        <f aca="false">VLOOKUP($B480,01_SINTETICO!$A:$M,4,0)</f>
        <v>SER.CG</v>
      </c>
      <c r="F480" s="267" t="str">
        <f aca="false">VLOOKUP($B480,01_SINTETICO!$A:$M,5,0)</f>
        <v>UN</v>
      </c>
      <c r="G480" s="267" t="n">
        <f aca="true">SUMIFS(INDIRECT("'01_SINTETICO'!F7:F995"),INDIRECT("'01_SINTETICO'!B7:B995"),$C480)</f>
        <v>1</v>
      </c>
      <c r="H480" s="268" t="n">
        <f aca="false">VLOOKUP($C480,01_SINTETICO!$B:$M,6,0)*$G480*(1+BDI_MAT)</f>
        <v>219.435960320866</v>
      </c>
      <c r="I480" s="268" t="n">
        <f aca="false">VLOOKUP($C480,01_SINTETICO!$B:$M,7,0)*$G480*(1+BDI_MDO)</f>
        <v>3.38979765743876</v>
      </c>
      <c r="J480" s="269" t="n">
        <f aca="false">SUM(H480:I480)</f>
        <v>222.825757978305</v>
      </c>
      <c r="K480" s="270" t="n">
        <f aca="false">J480/SUM($J$7:$J$749)</f>
        <v>2.46832359794275E-005</v>
      </c>
      <c r="L480" s="271" t="n">
        <f aca="false">K480+L479</f>
        <v>0.998122569894757</v>
      </c>
    </row>
    <row r="481" customFormat="false" ht="25.5" hidden="false" customHeight="false" outlineLevel="0" collapsed="false">
      <c r="A481" s="264" t="n">
        <f aca="false">K481</f>
        <v>2.39522722687944E-005</v>
      </c>
      <c r="B481" s="265" t="str">
        <f aca="false">VLOOKUP($C481,01_SINTETICO!$B:$N,13,0)</f>
        <v>3.2.3.5.1</v>
      </c>
      <c r="C481" s="266" t="n">
        <v>103076</v>
      </c>
      <c r="D481" s="266" t="str">
        <f aca="false">VLOOKUP($C481,01_SINTETICO!$B:$M,2,0)</f>
        <v>EXECUÇÃO DE LAJE SOBRE SOLO, ESPESSURA DE 10 CM, FCK = 30 MPA, COM USO DE FORMAS EM MADEIRA SERRADA. AF_09/2021</v>
      </c>
      <c r="E481" s="266" t="str">
        <f aca="false">VLOOKUP($B481,01_SINTETICO!$A:$M,4,0)</f>
        <v>SER.CG</v>
      </c>
      <c r="F481" s="267" t="str">
        <f aca="false">VLOOKUP($B481,01_SINTETICO!$A:$M,5,0)</f>
        <v>M2</v>
      </c>
      <c r="G481" s="267" t="n">
        <f aca="true">SUMIFS(INDIRECT("'01_SINTETICO'!F7:F995"),INDIRECT("'01_SINTETICO'!B7:B995"),$C481)</f>
        <v>1.2</v>
      </c>
      <c r="H481" s="268" t="n">
        <f aca="false">VLOOKUP($C481,01_SINTETICO!$B:$M,6,0)*$G481*(1+BDI_MAT)</f>
        <v>198.917006498652</v>
      </c>
      <c r="I481" s="268" t="n">
        <f aca="false">VLOOKUP($C481,01_SINTETICO!$B:$M,7,0)*$G481*(1+BDI_MDO)</f>
        <v>17.3100403944367</v>
      </c>
      <c r="J481" s="269" t="n">
        <f aca="false">SUM(H481:I481)</f>
        <v>216.227046893089</v>
      </c>
      <c r="K481" s="270" t="n">
        <f aca="false">J481/SUM($J$7:$J$749)</f>
        <v>2.39522722687944E-005</v>
      </c>
      <c r="L481" s="271" t="n">
        <f aca="false">K481+L480</f>
        <v>0.998146522167026</v>
      </c>
    </row>
    <row r="482" customFormat="false" ht="25.5" hidden="false" customHeight="false" outlineLevel="0" collapsed="false">
      <c r="A482" s="264" t="n">
        <f aca="false">K482</f>
        <v>2.37480127923718E-005</v>
      </c>
      <c r="B482" s="265" t="str">
        <f aca="false">VLOOKUP($C482,01_SINTETICO!$B:$N,13,0)</f>
        <v>12.5.7</v>
      </c>
      <c r="C482" s="266" t="s">
        <v>999</v>
      </c>
      <c r="D482" s="266" t="str">
        <f aca="false">VLOOKUP($C482,01_SINTETICO!$B:$M,2,0)</f>
        <v>REFLETOR DE SOBREPOR, LED 50 W, 6500 K - FORNECIMENTO E INSTALAÇÃO.</v>
      </c>
      <c r="E482" s="266" t="str">
        <f aca="false">VLOOKUP($B482,01_SINTETICO!$A:$M,4,0)</f>
        <v>SER.CG</v>
      </c>
      <c r="F482" s="267" t="str">
        <f aca="false">VLOOKUP($B482,01_SINTETICO!$A:$M,5,0)</f>
        <v>UN</v>
      </c>
      <c r="G482" s="267" t="n">
        <f aca="true">SUMIFS(INDIRECT("'01_SINTETICO'!F7:F995"),INDIRECT("'01_SINTETICO'!B7:B995"),$C482)</f>
        <v>4</v>
      </c>
      <c r="H482" s="268" t="n">
        <f aca="false">VLOOKUP($C482,01_SINTETICO!$B:$M,6,0)*$G482*(1+BDI_MAT)</f>
        <v>149.9361795712</v>
      </c>
      <c r="I482" s="268" t="n">
        <f aca="false">VLOOKUP($C482,01_SINTETICO!$B:$M,7,0)*$G482*(1+BDI_MDO)</f>
        <v>64.4469327301663</v>
      </c>
      <c r="J482" s="269" t="n">
        <f aca="false">SUM(H482:I482)</f>
        <v>214.383112301366</v>
      </c>
      <c r="K482" s="270" t="n">
        <f aca="false">J482/SUM($J$7:$J$749)</f>
        <v>2.37480127923718E-005</v>
      </c>
      <c r="L482" s="271" t="n">
        <f aca="false">K482+L481</f>
        <v>0.998170270179818</v>
      </c>
    </row>
    <row r="483" customFormat="false" ht="25.5" hidden="false" customHeight="false" outlineLevel="0" collapsed="false">
      <c r="A483" s="264" t="n">
        <f aca="false">K483</f>
        <v>2.31602874655336E-005</v>
      </c>
      <c r="B483" s="265" t="str">
        <f aca="false">VLOOKUP($C483,01_SINTETICO!$B:$N,13,0)</f>
        <v>12.3.3.3</v>
      </c>
      <c r="C483" s="266" t="n">
        <v>93655</v>
      </c>
      <c r="D483" s="266" t="str">
        <f aca="false">VLOOKUP($C483,01_SINTETICO!$B:$M,2,0)</f>
        <v>DISJUNTOR MONOPOLAR TIPO DIN, CORRENTE NOMINAL DE 20A - FORNECIMENTO E INSTALAÇÃO. AF_10/2020</v>
      </c>
      <c r="E483" s="266" t="str">
        <f aca="false">VLOOKUP($B483,01_SINTETICO!$A:$M,4,0)</f>
        <v>SER.CG</v>
      </c>
      <c r="F483" s="267" t="str">
        <f aca="false">VLOOKUP($B483,01_SINTETICO!$A:$M,5,0)</f>
        <v>UN</v>
      </c>
      <c r="G483" s="267" t="n">
        <f aca="true">SUMIFS(INDIRECT("'01_SINTETICO'!F7:F995"),INDIRECT("'01_SINTETICO'!B7:B995"),$C483)</f>
        <v>13</v>
      </c>
      <c r="H483" s="268" t="n">
        <f aca="false">VLOOKUP($C483,01_SINTETICO!$B:$M,6,0)*$G483*(1+BDI_MAT)</f>
        <v>170.9154666024</v>
      </c>
      <c r="I483" s="268" t="n">
        <f aca="false">VLOOKUP($C483,01_SINTETICO!$B:$M,7,0)*$G483*(1+BDI_MDO)</f>
        <v>38.1620066188664</v>
      </c>
      <c r="J483" s="269" t="n">
        <f aca="false">SUM(H483:I483)</f>
        <v>209.077473221266</v>
      </c>
      <c r="K483" s="270" t="n">
        <f aca="false">J483/SUM($J$7:$J$749)</f>
        <v>2.31602874655336E-005</v>
      </c>
      <c r="L483" s="271" t="n">
        <f aca="false">K483+L482</f>
        <v>0.998193430467284</v>
      </c>
    </row>
    <row r="484" customFormat="false" ht="25.5" hidden="false" customHeight="false" outlineLevel="0" collapsed="false">
      <c r="A484" s="264" t="n">
        <f aca="false">K484</f>
        <v>2.30799373455862E-005</v>
      </c>
      <c r="B484" s="265" t="str">
        <f aca="false">VLOOKUP($C484,01_SINTETICO!$B:$N,13,0)</f>
        <v>3.2.2.5.1.10</v>
      </c>
      <c r="C484" s="274" t="s">
        <v>236</v>
      </c>
      <c r="D484" s="266" t="str">
        <f aca="false">VLOOKUP($C484,01_SINTETICO!$B:$M,2,0)</f>
        <v>JUNTA DE ENCONTRO, PREENCHIMENTO COM EPS E PU.</v>
      </c>
      <c r="E484" s="266" t="str">
        <f aca="false">VLOOKUP($B484,01_SINTETICO!$A:$M,4,0)</f>
        <v>SER.CG</v>
      </c>
      <c r="F484" s="267" t="str">
        <f aca="false">VLOOKUP($B484,01_SINTETICO!$A:$M,5,0)</f>
        <v>M</v>
      </c>
      <c r="G484" s="267" t="n">
        <f aca="true">SUMIFS(INDIRECT("'01_SINTETICO'!F7:F995"),INDIRECT("'01_SINTETICO'!B7:B995"),$C484)</f>
        <v>19.1</v>
      </c>
      <c r="H484" s="268" t="n">
        <f aca="false">VLOOKUP($C484,01_SINTETICO!$B:$M,6,0)*$G484*(1+BDI_MAT)</f>
        <v>82.65033175</v>
      </c>
      <c r="I484" s="268" t="n">
        <f aca="false">VLOOKUP($C484,01_SINTETICO!$B:$M,7,0)*$G484*(1+BDI_MDO)</f>
        <v>125.70178777794</v>
      </c>
      <c r="J484" s="269" t="n">
        <f aca="false">SUM(H484:I484)</f>
        <v>208.35211952794</v>
      </c>
      <c r="K484" s="270" t="n">
        <f aca="false">J484/SUM($J$7:$J$749)</f>
        <v>2.30799373455862E-005</v>
      </c>
      <c r="L484" s="271" t="n">
        <f aca="false">K484+L483</f>
        <v>0.998216510404629</v>
      </c>
    </row>
    <row r="485" customFormat="false" ht="38.25" hidden="false" customHeight="false" outlineLevel="0" collapsed="false">
      <c r="A485" s="264" t="n">
        <f aca="false">K485</f>
        <v>2.29419066218554E-005</v>
      </c>
      <c r="B485" s="265" t="str">
        <f aca="false">VLOOKUP($C485,01_SINTETICO!$B:$N,13,0)</f>
        <v>11.2.3.33</v>
      </c>
      <c r="C485" s="266" t="s">
        <v>739</v>
      </c>
      <c r="D485" s="266" t="str">
        <f aca="false">VLOOKUP($C485,01_SINTETICO!$B:$M,2,0)</f>
        <v>TE, PVC, SERIE NORMAL, ESGOTO PREDIAL, DN 75 X 50 MM, JUNTA ELÁSTICA, FORNECIDO E INSTALADO EM PRUMADA DE ESGOTO SANITÁRIO OU VENTILAÇÃO.</v>
      </c>
      <c r="E485" s="266" t="str">
        <f aca="false">VLOOKUP($B485,01_SINTETICO!$A:$M,4,0)</f>
        <v>SER.CG</v>
      </c>
      <c r="F485" s="267" t="str">
        <f aca="false">VLOOKUP($B485,01_SINTETICO!$A:$M,5,0)</f>
        <v>UN</v>
      </c>
      <c r="G485" s="267" t="n">
        <f aca="true">SUMIFS(INDIRECT("'01_SINTETICO'!F7:F995"),INDIRECT("'01_SINTETICO'!B7:B995"),$C485)</f>
        <v>5</v>
      </c>
      <c r="H485" s="268" t="n">
        <f aca="false">VLOOKUP($C485,01_SINTETICO!$B:$M,6,0)*$G485*(1+BDI_MAT)</f>
        <v>170.694034014667</v>
      </c>
      <c r="I485" s="268" t="n">
        <f aca="false">VLOOKUP($C485,01_SINTETICO!$B:$M,7,0)*$G485*(1+BDI_MDO)</f>
        <v>36.4120252047605</v>
      </c>
      <c r="J485" s="269" t="n">
        <f aca="false">SUM(H485:I485)</f>
        <v>207.106059219427</v>
      </c>
      <c r="K485" s="270" t="n">
        <f aca="false">J485/SUM($J$7:$J$749)</f>
        <v>2.29419066218554E-005</v>
      </c>
      <c r="L485" s="271" t="n">
        <f aca="false">K485+L484</f>
        <v>0.998239452311251</v>
      </c>
    </row>
    <row r="486" customFormat="false" ht="25.5" hidden="false" customHeight="false" outlineLevel="0" collapsed="false">
      <c r="A486" s="264" t="n">
        <f aca="false">K486</f>
        <v>2.24875032312365E-005</v>
      </c>
      <c r="B486" s="265" t="str">
        <f aca="false">VLOOKUP($C486,01_SINTETICO!$B:$N,13,0)</f>
        <v>15.5.1.4</v>
      </c>
      <c r="C486" s="266" t="s">
        <v>1205</v>
      </c>
      <c r="D486" s="266" t="str">
        <f aca="false">VLOOKUP($C486,01_SINTETICO!$B:$M,2,0)</f>
        <v>DETECTOR DE TEMPERATURA TERMOVELOCIMÉTRICO ENDEREÇÁVEL - FORNECEIMENTO E INSTALAÇÃO.</v>
      </c>
      <c r="E486" s="266" t="str">
        <f aca="false">VLOOKUP($B486,01_SINTETICO!$A:$M,4,0)</f>
        <v>SER.CG</v>
      </c>
      <c r="F486" s="267" t="str">
        <f aca="false">VLOOKUP($B486,01_SINTETICO!$A:$M,5,0)</f>
        <v>un</v>
      </c>
      <c r="G486" s="267" t="n">
        <f aca="true">SUMIFS(INDIRECT("'01_SINTETICO'!F7:F995"),INDIRECT("'01_SINTETICO'!B7:B995"),$C486)</f>
        <v>1</v>
      </c>
      <c r="H486" s="268" t="n">
        <f aca="false">VLOOKUP($C486,01_SINTETICO!$B:$M,6,0)*$G486*(1+BDI_MAT)</f>
        <v>180.865669333333</v>
      </c>
      <c r="I486" s="268" t="n">
        <f aca="false">VLOOKUP($C486,01_SINTETICO!$B:$M,7,0)*$G486*(1+BDI_MDO)</f>
        <v>22.13830294632</v>
      </c>
      <c r="J486" s="269" t="n">
        <f aca="false">SUM(H486:I486)</f>
        <v>203.003972279653</v>
      </c>
      <c r="K486" s="270" t="n">
        <f aca="false">J486/SUM($J$7:$J$749)</f>
        <v>2.24875032312365E-005</v>
      </c>
      <c r="L486" s="271" t="n">
        <f aca="false">K486+L485</f>
        <v>0.998261939814483</v>
      </c>
    </row>
    <row r="487" customFormat="false" ht="25.5" hidden="false" customHeight="false" outlineLevel="0" collapsed="false">
      <c r="A487" s="264" t="n">
        <f aca="false">K487</f>
        <v>2.18596939306715E-005</v>
      </c>
      <c r="B487" s="265" t="str">
        <f aca="false">VLOOKUP($C487,01_SINTETICO!$B:$N,13,0)</f>
        <v>15.4.2.14</v>
      </c>
      <c r="C487" s="266" t="n">
        <v>101917</v>
      </c>
      <c r="D487" s="266" t="str">
        <f aca="false">VLOOKUP($C487,01_SINTETICO!$B:$M,2,0)</f>
        <v>MANÔMETRO 0 A 200 PSI (0 A 14 KGF/CM2), D = 50MM - FORNECIMENTO E INSTALAÇÃO. AF_10/2020</v>
      </c>
      <c r="E487" s="266" t="str">
        <f aca="false">VLOOKUP($B487,01_SINTETICO!$A:$M,4,0)</f>
        <v>SER.CG</v>
      </c>
      <c r="F487" s="267" t="str">
        <f aca="false">VLOOKUP($B487,01_SINTETICO!$A:$M,5,0)</f>
        <v>UN</v>
      </c>
      <c r="G487" s="267" t="n">
        <f aca="true">SUMIFS(INDIRECT("'01_SINTETICO'!F7:F995"),INDIRECT("'01_SINTETICO'!B7:B995"),$C487)</f>
        <v>1</v>
      </c>
      <c r="H487" s="268" t="n">
        <f aca="false">VLOOKUP($C487,01_SINTETICO!$B:$M,6,0)*$G487*(1+BDI_MAT)</f>
        <v>175.214493672</v>
      </c>
      <c r="I487" s="268" t="n">
        <f aca="false">VLOOKUP($C487,01_SINTETICO!$B:$M,7,0)*$G487*(1+BDI_MDO)</f>
        <v>22.1219849540329</v>
      </c>
      <c r="J487" s="269" t="n">
        <f aca="false">SUM(H487:I487)</f>
        <v>197.336478626033</v>
      </c>
      <c r="K487" s="270" t="n">
        <f aca="false">J487/SUM($J$7:$J$749)</f>
        <v>2.18596939306715E-005</v>
      </c>
      <c r="L487" s="271" t="n">
        <f aca="false">K487+L486</f>
        <v>0.998283799508413</v>
      </c>
    </row>
    <row r="488" customFormat="false" ht="38.25" hidden="false" customHeight="false" outlineLevel="0" collapsed="false">
      <c r="A488" s="264" t="n">
        <f aca="false">K488</f>
        <v>2.18066207508841E-005</v>
      </c>
      <c r="B488" s="265" t="str">
        <f aca="false">VLOOKUP($C488,01_SINTETICO!$B:$N,13,0)</f>
        <v>12.2.3.6</v>
      </c>
      <c r="C488" s="266" t="s">
        <v>928</v>
      </c>
      <c r="D488" s="266" t="str">
        <f aca="false">VLOOKUP($C488,01_SINTETICO!$B:$M,2,0)</f>
        <v>TÊ HORIZONTAL 90º, PARA ELETROCALHA, LISA OU PERFURADA EM AÇO GALVANIZADO, LARGURA DE 100MM E ALTURA DE 50MM - FORNECIMENTO E INSTALAÇÃO.</v>
      </c>
      <c r="E488" s="266" t="str">
        <f aca="false">VLOOKUP($B488,01_SINTETICO!$A:$M,4,0)</f>
        <v>SER.CG</v>
      </c>
      <c r="F488" s="267" t="str">
        <f aca="false">VLOOKUP($B488,01_SINTETICO!$A:$M,5,0)</f>
        <v>UN</v>
      </c>
      <c r="G488" s="267" t="n">
        <f aca="true">SUMIFS(INDIRECT("'01_SINTETICO'!F7:F995"),INDIRECT("'01_SINTETICO'!B7:B995"),$C488)</f>
        <v>2</v>
      </c>
      <c r="H488" s="268" t="n">
        <f aca="false">VLOOKUP($C488,01_SINTETICO!$B:$M,6,0)*$G488*(1+BDI_MAT)</f>
        <v>151.580107942933</v>
      </c>
      <c r="I488" s="268" t="n">
        <f aca="false">VLOOKUP($C488,01_SINTETICO!$B:$M,7,0)*$G488*(1+BDI_MDO)</f>
        <v>45.2772571858137</v>
      </c>
      <c r="J488" s="269" t="n">
        <f aca="false">SUM(H488:I488)</f>
        <v>196.857365128747</v>
      </c>
      <c r="K488" s="270" t="n">
        <f aca="false">J488/SUM($J$7:$J$749)</f>
        <v>2.18066207508841E-005</v>
      </c>
      <c r="L488" s="271" t="n">
        <f aca="false">K488+L487</f>
        <v>0.998305606129164</v>
      </c>
    </row>
    <row r="489" customFormat="false" ht="38.25" hidden="false" customHeight="false" outlineLevel="0" collapsed="false">
      <c r="A489" s="264" t="n">
        <f aca="false">K489</f>
        <v>2.13086148375621E-005</v>
      </c>
      <c r="B489" s="265" t="str">
        <f aca="false">VLOOKUP($C489,01_SINTETICO!$B:$N,13,0)</f>
        <v>16.1.3.2.4</v>
      </c>
      <c r="C489" s="266" t="n">
        <v>105234</v>
      </c>
      <c r="D489" s="266" t="str">
        <f aca="false">VLOOKUP($C489,01_SINTETICO!$B:$M,2,0)</f>
        <v>BUCHA DE REDUÇÃO PVC, SOLDÁVEL, LONGA, DN 50 X 25 MM, INSTALADO EM RESERVAÇÃO PREDIAL DE ÁGUA - FORNECIMENTO E INSTALAÇÃO. AF_04/2024</v>
      </c>
      <c r="E489" s="266" t="str">
        <f aca="false">VLOOKUP($B489,01_SINTETICO!$A:$M,4,0)</f>
        <v>SER.CG</v>
      </c>
      <c r="F489" s="267" t="str">
        <f aca="false">VLOOKUP($B489,01_SINTETICO!$A:$M,5,0)</f>
        <v>UN</v>
      </c>
      <c r="G489" s="267" t="n">
        <f aca="true">SUMIFS(INDIRECT("'01_SINTETICO'!F7:F995"),INDIRECT("'01_SINTETICO'!B7:B995"),$C489)</f>
        <v>17</v>
      </c>
      <c r="H489" s="268" t="n">
        <f aca="false">VLOOKUP($C489,01_SINTETICO!$B:$M,6,0)*$G489*(1+BDI_MAT)</f>
        <v>143.68338834</v>
      </c>
      <c r="I489" s="268" t="n">
        <f aca="false">VLOOKUP($C489,01_SINTETICO!$B:$M,7,0)*$G489*(1+BDI_MDO)</f>
        <v>48.6782718817341</v>
      </c>
      <c r="J489" s="269" t="n">
        <f aca="false">SUM(H489:I489)</f>
        <v>192.361660221734</v>
      </c>
      <c r="K489" s="270" t="n">
        <f aca="false">J489/SUM($J$7:$J$749)</f>
        <v>2.13086148375621E-005</v>
      </c>
      <c r="L489" s="271" t="n">
        <f aca="false">K489+L488</f>
        <v>0.998326914744002</v>
      </c>
    </row>
    <row r="490" customFormat="false" ht="15" hidden="false" customHeight="false" outlineLevel="0" collapsed="false">
      <c r="A490" s="264" t="n">
        <f aca="false">K490</f>
        <v>1.99988095809194E-005</v>
      </c>
      <c r="B490" s="265" t="str">
        <f aca="false">VLOOKUP($C490,01_SINTETICO!$B:$N,13,0)</f>
        <v>18.1.3</v>
      </c>
      <c r="C490" s="266" t="n">
        <v>99822</v>
      </c>
      <c r="D490" s="266" t="str">
        <f aca="false">VLOOKUP($C490,01_SINTETICO!$B:$M,2,0)</f>
        <v>LIMPEZA DE PORTA DE MADEIRA. AF_04/2019</v>
      </c>
      <c r="E490" s="266" t="str">
        <f aca="false">VLOOKUP($B490,01_SINTETICO!$A:$M,4,0)</f>
        <v>SER.CG</v>
      </c>
      <c r="F490" s="267" t="str">
        <f aca="false">VLOOKUP($B490,01_SINTETICO!$A:$M,5,0)</f>
        <v>M2</v>
      </c>
      <c r="G490" s="267" t="n">
        <f aca="true">SUMIFS(INDIRECT("'01_SINTETICO'!F7:F995"),INDIRECT("'01_SINTETICO'!B7:B995"),$C490)</f>
        <v>449.4</v>
      </c>
      <c r="H490" s="268" t="n">
        <f aca="false">VLOOKUP($C490,01_SINTETICO!$B:$M,6,0)*$G490*(1+BDI_DIF)</f>
        <v>180.537507612302</v>
      </c>
      <c r="I490" s="268" t="n">
        <f aca="false">VLOOKUP($C490,01_SINTETICO!$B:$M,7,0)*$G490*(1+BDI_MDO)</f>
        <v>0</v>
      </c>
      <c r="J490" s="269" t="n">
        <f aca="false">SUM(H490:I490)</f>
        <v>180.537507612302</v>
      </c>
      <c r="K490" s="270" t="n">
        <f aca="false">J490/SUM($J$7:$J$749)</f>
        <v>1.99988095809194E-005</v>
      </c>
      <c r="L490" s="271" t="n">
        <f aca="false">K490+L489</f>
        <v>0.998346913553582</v>
      </c>
    </row>
    <row r="491" customFormat="false" ht="25.5" hidden="false" customHeight="false" outlineLevel="0" collapsed="false">
      <c r="A491" s="264" t="n">
        <f aca="false">K491</f>
        <v>1.9398017515954E-005</v>
      </c>
      <c r="B491" s="265" t="str">
        <f aca="false">VLOOKUP($C491,01_SINTETICO!$B:$N,13,0)</f>
        <v>15.8.3</v>
      </c>
      <c r="C491" s="266" t="n">
        <v>96852</v>
      </c>
      <c r="D491" s="266" t="str">
        <f aca="false">VLOOKUP($C491,01_SINTETICO!$B:$M,2,0)</f>
        <v>JOELHO 90 GRAUS, PARA INSTALAÇÕES EM PEX ÁGUA, DN 20 MM, CONEXÃO POR CRIMPAGEM - FORNECIMENTO E INSTALAÇÃO. AF_02/2023</v>
      </c>
      <c r="E491" s="266" t="str">
        <f aca="false">VLOOKUP($B491,01_SINTETICO!$A:$M,4,0)</f>
        <v>SER.CG</v>
      </c>
      <c r="F491" s="267" t="str">
        <f aca="false">VLOOKUP($B491,01_SINTETICO!$A:$M,5,0)</f>
        <v>UN</v>
      </c>
      <c r="G491" s="267" t="n">
        <f aca="true">SUMIFS(INDIRECT("'01_SINTETICO'!F7:F995"),INDIRECT("'01_SINTETICO'!B7:B995"),$C491)</f>
        <v>7</v>
      </c>
      <c r="H491" s="268" t="n">
        <f aca="false">VLOOKUP($C491,01_SINTETICO!$B:$M,6,0)*$G491*(1+BDI_MAT)</f>
        <v>125.2477406936</v>
      </c>
      <c r="I491" s="268" t="n">
        <f aca="false">VLOOKUP($C491,01_SINTETICO!$B:$M,7,0)*$G491*(1+BDI_MDO)</f>
        <v>49.8661690008747</v>
      </c>
      <c r="J491" s="269" t="n">
        <f aca="false">SUM(H491:I491)</f>
        <v>175.113909694475</v>
      </c>
      <c r="K491" s="270" t="n">
        <f aca="false">J491/SUM($J$7:$J$749)</f>
        <v>1.9398017515954E-005</v>
      </c>
      <c r="L491" s="271" t="n">
        <f aca="false">K491+L490</f>
        <v>0.998366311571098</v>
      </c>
    </row>
    <row r="492" customFormat="false" ht="25.5" hidden="false" customHeight="false" outlineLevel="0" collapsed="false">
      <c r="A492" s="264" t="n">
        <f aca="false">K492</f>
        <v>1.914997637361E-005</v>
      </c>
      <c r="B492" s="265" t="str">
        <f aca="false">VLOOKUP($C492,01_SINTETICO!$B:$N,13,0)</f>
        <v>11.6.1.8</v>
      </c>
      <c r="C492" s="272" t="n">
        <v>99620</v>
      </c>
      <c r="D492" s="266" t="str">
        <f aca="false">VLOOKUP($C492,01_SINTETICO!$B:$M,2,0)</f>
        <v>VÁLVULA DE RETENÇÃO HORIZONTAL, DE BRONZE, ROSCÁVEL, 1" - FORNECIMENTO E INSTALAÇÃO. AF_08/2021</v>
      </c>
      <c r="E492" s="272" t="str">
        <f aca="false">VLOOKUP($B492,01_SINTETICO!$A:$M,4,0)</f>
        <v>SER.CG</v>
      </c>
      <c r="F492" s="273" t="str">
        <f aca="false">VLOOKUP($B492,01_SINTETICO!$A:$M,5,0)</f>
        <v>UN</v>
      </c>
      <c r="G492" s="267" t="n">
        <f aca="true">SUMIFS(INDIRECT("'01_SINTETICO'!F7:F995"),INDIRECT("'01_SINTETICO'!B7:B995"),$C492)</f>
        <v>1</v>
      </c>
      <c r="H492" s="268" t="n">
        <f aca="false">VLOOKUP($C492,01_SINTETICO!$B:$M,6,0)*$G492*(1+BDI_MAT)</f>
        <v>166.4222509824</v>
      </c>
      <c r="I492" s="268" t="n">
        <f aca="false">VLOOKUP($C492,01_SINTETICO!$B:$M,7,0)*$G492*(1+BDI_MDO)</f>
        <v>6.45248895334956</v>
      </c>
      <c r="J492" s="269" t="n">
        <f aca="false">SUM(H492:I492)</f>
        <v>172.87473993575</v>
      </c>
      <c r="K492" s="270" t="n">
        <f aca="false">J492/SUM($J$7:$J$749)</f>
        <v>1.914997637361E-005</v>
      </c>
      <c r="L492" s="271" t="n">
        <f aca="false">K492+L491</f>
        <v>0.998385461547472</v>
      </c>
    </row>
    <row r="493" customFormat="false" ht="38.25" hidden="false" customHeight="false" outlineLevel="0" collapsed="false">
      <c r="A493" s="264" t="n">
        <f aca="false">K493</f>
        <v>1.89444756368336E-005</v>
      </c>
      <c r="B493" s="265" t="str">
        <f aca="false">VLOOKUP($C493,01_SINTETICO!$B:$N,13,0)</f>
        <v>12.3.1.1.7</v>
      </c>
      <c r="C493" s="266" t="n">
        <v>92029</v>
      </c>
      <c r="D493" s="266" t="str">
        <f aca="false">VLOOKUP($C493,01_SINTETICO!$B:$M,2,0)</f>
        <v>INTERRUPTOR PARALELO (1 MÓDULO) COM 1 TOMADA DE EMBUTIR 2P+T 10 A, INCLUINDO SUPORTE E PLACA - FORNECIMENTO E INSTALAÇÃO. AF_03/2023</v>
      </c>
      <c r="E493" s="266" t="str">
        <f aca="false">VLOOKUP($B493,01_SINTETICO!$A:$M,4,0)</f>
        <v>SER.CG</v>
      </c>
      <c r="F493" s="267" t="str">
        <f aca="false">VLOOKUP($B493,01_SINTETICO!$A:$M,5,0)</f>
        <v>UN</v>
      </c>
      <c r="G493" s="267" t="n">
        <f aca="true">SUMIFS(INDIRECT("'01_SINTETICO'!F7:F995"),INDIRECT("'01_SINTETICO'!B7:B995"),$C493)</f>
        <v>3</v>
      </c>
      <c r="H493" s="268" t="n">
        <f aca="false">VLOOKUP($C493,01_SINTETICO!$B:$M,6,0)*$G493*(1+BDI_MAT)</f>
        <v>78.0387276</v>
      </c>
      <c r="I493" s="268" t="n">
        <f aca="false">VLOOKUP($C493,01_SINTETICO!$B:$M,7,0)*$G493*(1+BDI_MDO)</f>
        <v>92.980872374544</v>
      </c>
      <c r="J493" s="269" t="n">
        <f aca="false">SUM(H493:I493)</f>
        <v>171.019599974544</v>
      </c>
      <c r="K493" s="270" t="n">
        <f aca="false">J493/SUM($J$7:$J$749)</f>
        <v>1.89444756368336E-005</v>
      </c>
      <c r="L493" s="271" t="n">
        <f aca="false">K493+L492</f>
        <v>0.998404406023109</v>
      </c>
    </row>
    <row r="494" customFormat="false" ht="38.25" hidden="false" customHeight="false" outlineLevel="0" collapsed="false">
      <c r="A494" s="264" t="n">
        <f aca="false">K494</f>
        <v>1.88788372705506E-005</v>
      </c>
      <c r="B494" s="265" t="str">
        <f aca="false">VLOOKUP($C494,01_SINTETICO!$B:$N,13,0)</f>
        <v>11.2.3.15</v>
      </c>
      <c r="C494" s="266" t="s">
        <v>717</v>
      </c>
      <c r="D494" s="266" t="str">
        <f aca="false">VLOOKUP($C494,01_SINTETICO!$B:$M,2,0)</f>
        <v>JUNÇÃO SIMPLES DE REDUÇÃO, PVC, SERIE NORMAL, ESGOTO PREDIAL, DN 100 X 75 MM, JUNTA ELÁSTICA, FORNECIDO E INSTALADO EM PRUMADA DE ESGOTO SANITÁRIO OU VENTILAÇÃO.</v>
      </c>
      <c r="E494" s="266" t="str">
        <f aca="false">VLOOKUP($B494,01_SINTETICO!$A:$M,4,0)</f>
        <v>SER.CG</v>
      </c>
      <c r="F494" s="267" t="str">
        <f aca="false">VLOOKUP($B494,01_SINTETICO!$A:$M,5,0)</f>
        <v>UN</v>
      </c>
      <c r="G494" s="267" t="n">
        <f aca="true">SUMIFS(INDIRECT("'01_SINTETICO'!F7:F995"),INDIRECT("'01_SINTETICO'!B7:B995"),$C494)</f>
        <v>3</v>
      </c>
      <c r="H494" s="268" t="n">
        <f aca="false">VLOOKUP($C494,01_SINTETICO!$B:$M,6,0)*$G494*(1+BDI_MAT)</f>
        <v>132.6767361432</v>
      </c>
      <c r="I494" s="268" t="n">
        <f aca="false">VLOOKUP($C494,01_SINTETICO!$B:$M,7,0)*$G494*(1+BDI_MDO)</f>
        <v>37.7503192098996</v>
      </c>
      <c r="J494" s="269" t="n">
        <f aca="false">SUM(H494:I494)</f>
        <v>170.4270553531</v>
      </c>
      <c r="K494" s="270" t="n">
        <f aca="false">J494/SUM($J$7:$J$749)</f>
        <v>1.88788372705506E-005</v>
      </c>
      <c r="L494" s="271" t="n">
        <f aca="false">K494+L493</f>
        <v>0.99842328486038</v>
      </c>
    </row>
    <row r="495" customFormat="false" ht="38.25" hidden="false" customHeight="false" outlineLevel="0" collapsed="false">
      <c r="A495" s="264" t="n">
        <f aca="false">K495</f>
        <v>1.8605774024565E-005</v>
      </c>
      <c r="B495" s="265" t="str">
        <f aca="false">VLOOKUP($C495,01_SINTETICO!$B:$N,13,0)</f>
        <v>13.9.6</v>
      </c>
      <c r="C495" s="266" t="s">
        <v>1078</v>
      </c>
      <c r="D495" s="266" t="str">
        <f aca="false">VLOOKUP($C495,01_SINTETICO!$B:$M,2,0)</f>
        <v>CURVA DE INVERSÃO 90º PARA ELETROCALHA, LISA OU PERFURADA EM AÇO GALVANIZADO, LARGURA DE 50MM E ALTURA DE 50MM - FORNECIMENTO E INSTALAÇÃO.</v>
      </c>
      <c r="E495" s="266" t="str">
        <f aca="false">VLOOKUP($B495,01_SINTETICO!$A:$M,4,0)</f>
        <v>SER.CG</v>
      </c>
      <c r="F495" s="267" t="str">
        <f aca="false">VLOOKUP($B495,01_SINTETICO!$A:$M,5,0)</f>
        <v>UN</v>
      </c>
      <c r="G495" s="267" t="n">
        <f aca="true">SUMIFS(INDIRECT("'01_SINTETICO'!F7:F995"),INDIRECT("'01_SINTETICO'!B7:B995"),$C495)</f>
        <v>2</v>
      </c>
      <c r="H495" s="268" t="n">
        <f aca="false">VLOOKUP($C495,01_SINTETICO!$B:$M,6,0)*$G495*(1+BDI_MAT)</f>
        <v>143.007705657067</v>
      </c>
      <c r="I495" s="268" t="n">
        <f aca="false">VLOOKUP($C495,01_SINTETICO!$B:$M,7,0)*$G495*(1+BDI_MDO)</f>
        <v>24.9542950810919</v>
      </c>
      <c r="J495" s="269" t="n">
        <f aca="false">SUM(H495:I495)</f>
        <v>167.962000738159</v>
      </c>
      <c r="K495" s="270" t="n">
        <f aca="false">J495/SUM($J$7:$J$749)</f>
        <v>1.8605774024565E-005</v>
      </c>
      <c r="L495" s="271" t="n">
        <f aca="false">K495+L494</f>
        <v>0.998441890634404</v>
      </c>
    </row>
    <row r="496" customFormat="false" ht="25.5" hidden="false" customHeight="false" outlineLevel="0" collapsed="false">
      <c r="A496" s="264" t="n">
        <f aca="false">K496</f>
        <v>1.85822207586446E-005</v>
      </c>
      <c r="B496" s="265" t="str">
        <f aca="false">VLOOKUP($C496,01_SINTETICO!$B:$N,13,0)</f>
        <v>12.3.1.1.8</v>
      </c>
      <c r="C496" s="266" t="n">
        <v>92023</v>
      </c>
      <c r="D496" s="266" t="str">
        <f aca="false">VLOOKUP($C496,01_SINTETICO!$B:$M,2,0)</f>
        <v>INTERRUPTOR SIMPLES (1 MÓDULO) COM 1 TOMADA DE EMBUTIR 2P+T 10 A, INCLUINDO SUPORTE E PLACA - FORNECIMENTO E INSTALAÇÃO. AF_03/2023</v>
      </c>
      <c r="E496" s="266" t="str">
        <f aca="false">VLOOKUP($B496,01_SINTETICO!$A:$M,4,0)</f>
        <v>SER.CG</v>
      </c>
      <c r="F496" s="267" t="str">
        <f aca="false">VLOOKUP($B496,01_SINTETICO!$A:$M,5,0)</f>
        <v>UN</v>
      </c>
      <c r="G496" s="267" t="n">
        <f aca="true">SUMIFS(INDIRECT("'01_SINTETICO'!F7:F995"),INDIRECT("'01_SINTETICO'!B7:B995"),$C496)</f>
        <v>3</v>
      </c>
      <c r="H496" s="268" t="n">
        <f aca="false">VLOOKUP($C496,01_SINTETICO!$B:$M,6,0)*$G496*(1+BDI_MAT)</f>
        <v>86.191867632</v>
      </c>
      <c r="I496" s="268" t="n">
        <f aca="false">VLOOKUP($C496,01_SINTETICO!$B:$M,7,0)*$G496*(1+BDI_MDO)</f>
        <v>81.5575080542429</v>
      </c>
      <c r="J496" s="269" t="n">
        <f aca="false">SUM(H496:I496)</f>
        <v>167.749375686243</v>
      </c>
      <c r="K496" s="270" t="n">
        <f aca="false">J496/SUM($J$7:$J$749)</f>
        <v>1.85822207586446E-005</v>
      </c>
      <c r="L496" s="271" t="n">
        <f aca="false">K496+L495</f>
        <v>0.998460472855163</v>
      </c>
    </row>
    <row r="497" customFormat="false" ht="38.25" hidden="false" customHeight="false" outlineLevel="0" collapsed="false">
      <c r="A497" s="264" t="n">
        <f aca="false">K497</f>
        <v>1.85069324696129E-005</v>
      </c>
      <c r="B497" s="265" t="str">
        <f aca="false">VLOOKUP($C497,01_SINTETICO!$B:$N,13,0)</f>
        <v>15.4.2.10</v>
      </c>
      <c r="C497" s="272" t="n">
        <v>92936</v>
      </c>
      <c r="D497" s="266" t="str">
        <f aca="false">VLOOKUP($C497,01_SINTETICO!$B:$M,2,0)</f>
        <v>LUVA DE REDUÇÃO, EM FERRO GALVANIZADO, 3" X 2 1/2", CONEXÃO ROSQUEADA, INSTALADO EM REDE DE ALIMENTAÇÃO PARA HIDRANTE - FORNECIMENTO E INSTALAÇÃO. AF_10/2020</v>
      </c>
      <c r="E497" s="272" t="str">
        <f aca="false">VLOOKUP($B497,01_SINTETICO!$A:$M,4,0)</f>
        <v>SER.CG</v>
      </c>
      <c r="F497" s="273" t="str">
        <f aca="false">VLOOKUP($B497,01_SINTETICO!$A:$M,5,0)</f>
        <v>UN</v>
      </c>
      <c r="G497" s="267" t="n">
        <f aca="true">SUMIFS(INDIRECT("'01_SINTETICO'!F7:F995"),INDIRECT("'01_SINTETICO'!B7:B995"),$C497)</f>
        <v>1</v>
      </c>
      <c r="H497" s="268" t="n">
        <f aca="false">VLOOKUP($C497,01_SINTETICO!$B:$M,6,0)*$G497*(1+BDI_MAT)</f>
        <v>152.820558394</v>
      </c>
      <c r="I497" s="268" t="n">
        <f aca="false">VLOOKUP($C497,01_SINTETICO!$B:$M,7,0)*$G497*(1+BDI_MDO)</f>
        <v>14.2491588356146</v>
      </c>
      <c r="J497" s="269" t="n">
        <f aca="false">SUM(H497:I497)</f>
        <v>167.069717229615</v>
      </c>
      <c r="K497" s="270" t="n">
        <f aca="false">J497/SUM($J$7:$J$749)</f>
        <v>1.85069324696129E-005</v>
      </c>
      <c r="L497" s="271" t="n">
        <f aca="false">K497+L496</f>
        <v>0.998478979787632</v>
      </c>
    </row>
    <row r="498" customFormat="false" ht="38.25" hidden="false" customHeight="false" outlineLevel="0" collapsed="false">
      <c r="A498" s="264" t="n">
        <f aca="false">K498</f>
        <v>1.83746240693375E-005</v>
      </c>
      <c r="B498" s="265" t="str">
        <f aca="false">VLOOKUP($C498,01_SINTETICO!$B:$N,13,0)</f>
        <v>11.5.1.5</v>
      </c>
      <c r="C498" s="266" t="n">
        <v>89827</v>
      </c>
      <c r="D498" s="266" t="str">
        <f aca="false">VLOOKUP($C498,01_SINTETICO!$B:$M,2,0)</f>
        <v>JUNÇÃO SIMPLES, PVC, SERIE NORMAL, ESGOTO PREDIAL, DN 50 X 50 MM, JUNTA ELÁSTICA, FORNECIDO E INSTALADO EM PRUMADA DE ESGOTO SANITÁRIO OU VENTILAÇÃO. AF_08/2022</v>
      </c>
      <c r="E498" s="266" t="str">
        <f aca="false">VLOOKUP($B498,01_SINTETICO!$A:$M,4,0)</f>
        <v>SER.CG</v>
      </c>
      <c r="F498" s="267" t="str">
        <f aca="false">VLOOKUP($B498,01_SINTETICO!$A:$M,5,0)</f>
        <v>UN</v>
      </c>
      <c r="G498" s="267" t="n">
        <f aca="true">SUMIFS(INDIRECT("'01_SINTETICO'!F7:F995"),INDIRECT("'01_SINTETICO'!B7:B995"),$C498)</f>
        <v>7</v>
      </c>
      <c r="H498" s="268" t="n">
        <f aca="false">VLOOKUP($C498,01_SINTETICO!$B:$M,6,0)*$G498*(1+BDI_MAT)</f>
        <v>151.9753065068</v>
      </c>
      <c r="I498" s="268" t="n">
        <f aca="false">VLOOKUP($C498,01_SINTETICO!$B:$M,7,0)*$G498*(1+BDI_MDO)</f>
        <v>13.9000081897409</v>
      </c>
      <c r="J498" s="269" t="n">
        <f aca="false">SUM(H498:I498)</f>
        <v>165.875314696541</v>
      </c>
      <c r="K498" s="270" t="n">
        <f aca="false">J498/SUM($J$7:$J$749)</f>
        <v>1.83746240693375E-005</v>
      </c>
      <c r="L498" s="271" t="n">
        <f aca="false">K498+L497</f>
        <v>0.998497354411702</v>
      </c>
    </row>
    <row r="499" customFormat="false" ht="25.5" hidden="false" customHeight="false" outlineLevel="0" collapsed="false">
      <c r="A499" s="264" t="n">
        <f aca="false">K499</f>
        <v>1.82943575636168E-005</v>
      </c>
      <c r="B499" s="265" t="str">
        <f aca="false">VLOOKUP($C499,01_SINTETICO!$B:$N,13,0)</f>
        <v>12.3.3.4</v>
      </c>
      <c r="C499" s="266" t="n">
        <v>93667</v>
      </c>
      <c r="D499" s="266" t="str">
        <f aca="false">VLOOKUP($C499,01_SINTETICO!$B:$M,2,0)</f>
        <v>DISJUNTOR TRIPOLAR TIPO DIN, CORRENTE NOMINAL DE 10A - FORNECIMENTO E INSTALAÇÃO. AF_10/2020</v>
      </c>
      <c r="E499" s="266" t="str">
        <f aca="false">VLOOKUP($B499,01_SINTETICO!$A:$M,4,0)</f>
        <v>SER.CG</v>
      </c>
      <c r="F499" s="267" t="str">
        <f aca="false">VLOOKUP($B499,01_SINTETICO!$A:$M,5,0)</f>
        <v>UN</v>
      </c>
      <c r="G499" s="267" t="n">
        <f aca="true">SUMIFS(INDIRECT("'01_SINTETICO'!F7:F995"),INDIRECT("'01_SINTETICO'!B7:B995"),$C499)</f>
        <v>2</v>
      </c>
      <c r="H499" s="268" t="n">
        <f aca="false">VLOOKUP($C499,01_SINTETICO!$B:$M,6,0)*$G499*(1+BDI_MAT)</f>
        <v>155.80835198</v>
      </c>
      <c r="I499" s="268" t="n">
        <f aca="false">VLOOKUP($C499,01_SINTETICO!$B:$M,7,0)*$G499*(1+BDI_MDO)</f>
        <v>9.34236384334704</v>
      </c>
      <c r="J499" s="269" t="n">
        <f aca="false">SUM(H499:I499)</f>
        <v>165.150715823347</v>
      </c>
      <c r="K499" s="270" t="n">
        <f aca="false">J499/SUM($J$7:$J$749)</f>
        <v>1.82943575636168E-005</v>
      </c>
      <c r="L499" s="271" t="n">
        <f aca="false">K499+L498</f>
        <v>0.998515648769265</v>
      </c>
    </row>
    <row r="500" customFormat="false" ht="38.25" hidden="false" customHeight="false" outlineLevel="0" collapsed="false">
      <c r="A500" s="264" t="n">
        <f aca="false">K500</f>
        <v>1.81413234962178E-005</v>
      </c>
      <c r="B500" s="265" t="str">
        <f aca="false">VLOOKUP($C500,01_SINTETICO!$B:$N,13,0)</f>
        <v>11.2.3.9</v>
      </c>
      <c r="C500" s="266" t="n">
        <v>89809</v>
      </c>
      <c r="D500" s="266" t="str">
        <f aca="false">VLOOKUP($C500,01_SINTETICO!$B:$M,2,0)</f>
        <v>JOELHO 90 GRAUS, PVC, SERIE NORMAL, ESGOTO PREDIAL, DN 100 MM, JUNTA ELÁSTICA, FORNECIDO E INSTALADO EM PRUMADA DE ESGOTO SANITÁRIO OU VENTILAÇÃO. AF_08/2022</v>
      </c>
      <c r="E500" s="266" t="str">
        <f aca="false">VLOOKUP($B500,01_SINTETICO!$A:$M,4,0)</f>
        <v>SER.CG</v>
      </c>
      <c r="F500" s="267" t="str">
        <f aca="false">VLOOKUP($B500,01_SINTETICO!$A:$M,5,0)</f>
        <v>UN</v>
      </c>
      <c r="G500" s="267" t="n">
        <f aca="true">SUMIFS(INDIRECT("'01_SINTETICO'!F7:F995"),INDIRECT("'01_SINTETICO'!B7:B995"),$C500)</f>
        <v>6</v>
      </c>
      <c r="H500" s="268" t="n">
        <f aca="false">VLOOKUP($C500,01_SINTETICO!$B:$M,6,0)*$G500*(1+BDI_MAT)</f>
        <v>107.1437353248</v>
      </c>
      <c r="I500" s="268" t="n">
        <f aca="false">VLOOKUP($C500,01_SINTETICO!$B:$M,7,0)*$G500*(1+BDI_MDO)</f>
        <v>56.6254788148495</v>
      </c>
      <c r="J500" s="269" t="n">
        <f aca="false">SUM(H500:I500)</f>
        <v>163.76921413965</v>
      </c>
      <c r="K500" s="270" t="n">
        <f aca="false">J500/SUM($J$7:$J$749)</f>
        <v>1.81413234962178E-005</v>
      </c>
      <c r="L500" s="271" t="n">
        <f aca="false">K500+L499</f>
        <v>0.998533790092761</v>
      </c>
    </row>
    <row r="501" customFormat="false" ht="25.5" hidden="false" customHeight="false" outlineLevel="0" collapsed="false">
      <c r="A501" s="264" t="n">
        <f aca="false">K501</f>
        <v>1.72851137824096E-005</v>
      </c>
      <c r="B501" s="265" t="str">
        <f aca="false">VLOOKUP($C501,01_SINTETICO!$B:$N,13,0)</f>
        <v>11.1.3.6</v>
      </c>
      <c r="C501" s="274" t="n">
        <v>89617</v>
      </c>
      <c r="D501" s="266" t="str">
        <f aca="false">VLOOKUP($C501,01_SINTETICO!$B:$M,2,0)</f>
        <v>TE, PVC, SOLDÁVEL, DN 25MM, INSTALADO EM PRUMADA DE ÁGUA - FORNECIMENTO E INSTALAÇÃO. AF_06/2022</v>
      </c>
      <c r="E501" s="266" t="str">
        <f aca="false">VLOOKUP($B501,01_SINTETICO!$A:$M,4,0)</f>
        <v>SER.CG</v>
      </c>
      <c r="F501" s="267" t="str">
        <f aca="false">VLOOKUP($B501,01_SINTETICO!$A:$M,5,0)</f>
        <v>UN</v>
      </c>
      <c r="G501" s="267" t="n">
        <f aca="true">SUMIFS(INDIRECT("'01_SINTETICO'!F7:F995"),INDIRECT("'01_SINTETICO'!B7:B995"),$C501)</f>
        <v>18</v>
      </c>
      <c r="H501" s="268" t="n">
        <f aca="false">VLOOKUP($C501,01_SINTETICO!$B:$M,6,0)*$G501*(1+BDI_MAT)</f>
        <v>82.4423756328</v>
      </c>
      <c r="I501" s="268" t="n">
        <f aca="false">VLOOKUP($C501,01_SINTETICO!$B:$M,7,0)*$G501*(1+BDI_MDO)</f>
        <v>73.5974800618417</v>
      </c>
      <c r="J501" s="269" t="n">
        <f aca="false">SUM(H501:I501)</f>
        <v>156.039855694642</v>
      </c>
      <c r="K501" s="270" t="n">
        <f aca="false">J501/SUM($J$7:$J$749)</f>
        <v>1.72851137824096E-005</v>
      </c>
      <c r="L501" s="271" t="n">
        <f aca="false">K501+L500</f>
        <v>0.998551075206544</v>
      </c>
    </row>
    <row r="502" customFormat="false" ht="25.5" hidden="false" customHeight="false" outlineLevel="0" collapsed="false">
      <c r="A502" s="264" t="n">
        <f aca="false">K502</f>
        <v>1.70724362626698E-005</v>
      </c>
      <c r="B502" s="265" t="str">
        <f aca="false">VLOOKUP($C502,01_SINTETICO!$B:$N,13,0)</f>
        <v>13.1.4.1</v>
      </c>
      <c r="C502" s="272" t="s">
        <v>1035</v>
      </c>
      <c r="D502" s="266" t="str">
        <f aca="false">VLOOKUP($C502,01_SINTETICO!$B:$M,2,0)</f>
        <v>DISTRIBUIDOR INTERNO ÓPTICO - D.I.O. PARA 24 FIBRAS MULTIMODO, COM CONCETORES LC - FORNECIMENTO E INSTALAÇÃO.</v>
      </c>
      <c r="E502" s="272" t="str">
        <f aca="false">VLOOKUP($B502,01_SINTETICO!$A:$M,4,0)</f>
        <v>SER.CG</v>
      </c>
      <c r="F502" s="273" t="str">
        <f aca="false">VLOOKUP($B502,01_SINTETICO!$A:$M,5,0)</f>
        <v>UN</v>
      </c>
      <c r="G502" s="267" t="n">
        <f aca="true">SUMIFS(INDIRECT("'01_SINTETICO'!F7:F995"),INDIRECT("'01_SINTETICO'!B7:B995"),$C502)</f>
        <v>1</v>
      </c>
      <c r="H502" s="268" t="n">
        <f aca="false">VLOOKUP($C502,01_SINTETICO!$B:$M,6,0)*$G502*(1+BDI_DIF)</f>
        <v>43.4284132201617</v>
      </c>
      <c r="I502" s="268" t="n">
        <f aca="false">VLOOKUP($C502,01_SINTETICO!$B:$M,7,0)*$G502*(1+BDI_MDO)</f>
        <v>110.6915147316</v>
      </c>
      <c r="J502" s="269" t="n">
        <f aca="false">SUM(H502:I502)</f>
        <v>154.119927951762</v>
      </c>
      <c r="K502" s="270" t="n">
        <f aca="false">J502/SUM($J$7:$J$749)</f>
        <v>1.70724362626698E-005</v>
      </c>
      <c r="L502" s="271" t="n">
        <f aca="false">K502+L501</f>
        <v>0.998568147642807</v>
      </c>
    </row>
    <row r="503" customFormat="false" ht="25.5" hidden="false" customHeight="false" outlineLevel="0" collapsed="false">
      <c r="A503" s="264" t="n">
        <f aca="false">K503</f>
        <v>1.58836405915966E-005</v>
      </c>
      <c r="B503" s="265" t="str">
        <f aca="false">VLOOKUP($C503,01_SINTETICO!$B:$N,13,0)</f>
        <v>11.6.1.4</v>
      </c>
      <c r="C503" s="272" t="n">
        <v>94490</v>
      </c>
      <c r="D503" s="266" t="str">
        <f aca="false">VLOOKUP($C503,01_SINTETICO!$B:$M,2,0)</f>
        <v>REGISTRO DE ESFERA, PVC, SOLDÁVEL, COM VOLANTE, DN 32 MM - FORNECIMENTO E INSTALAÇÃO. AF_08/2021</v>
      </c>
      <c r="E503" s="272" t="str">
        <f aca="false">VLOOKUP($B503,01_SINTETICO!$A:$M,4,0)</f>
        <v>SER.CG</v>
      </c>
      <c r="F503" s="273" t="str">
        <f aca="false">VLOOKUP($B503,01_SINTETICO!$A:$M,5,0)</f>
        <v>UN</v>
      </c>
      <c r="G503" s="267" t="n">
        <f aca="true">SUMIFS(INDIRECT("'01_SINTETICO'!F7:F995"),INDIRECT("'01_SINTETICO'!B7:B995"),$C503)</f>
        <v>4</v>
      </c>
      <c r="H503" s="268" t="n">
        <f aca="false">VLOOKUP($C503,01_SINTETICO!$B:$M,6,0)*$G503*(1+BDI_MAT)</f>
        <v>129.57072772</v>
      </c>
      <c r="I503" s="268" t="n">
        <f aca="false">VLOOKUP($C503,01_SINTETICO!$B:$M,7,0)*$G503*(1+BDI_MDO)</f>
        <v>13.8174510920213</v>
      </c>
      <c r="J503" s="269" t="n">
        <f aca="false">SUM(H503:I503)</f>
        <v>143.388178812021</v>
      </c>
      <c r="K503" s="270" t="n">
        <f aca="false">J503/SUM($J$7:$J$749)</f>
        <v>1.58836405915966E-005</v>
      </c>
      <c r="L503" s="271" t="n">
        <f aca="false">K503+L502</f>
        <v>0.998584031283398</v>
      </c>
    </row>
    <row r="504" customFormat="false" ht="38.25" hidden="false" customHeight="false" outlineLevel="0" collapsed="false">
      <c r="A504" s="264" t="n">
        <f aca="false">K504</f>
        <v>1.5679817859184E-005</v>
      </c>
      <c r="B504" s="265" t="str">
        <f aca="false">VLOOKUP($C504,01_SINTETICO!$B:$N,13,0)</f>
        <v>15.5.2.3</v>
      </c>
      <c r="C504" s="266" t="n">
        <v>91890</v>
      </c>
      <c r="D504" s="266" t="str">
        <f aca="false">VLOOKUP($C504,01_SINTETICO!$B:$M,2,0)</f>
        <v>CURVA 90 GRAUS PARA ELETRODUTO, PVC, ROSCÁVEL, DN 25 MM (3/4"), PARA CIRCUITOS TERMINAIS, INSTALADA EM FORRO - FORNECIMENTO E INSTALAÇÃO. AF_03/2023</v>
      </c>
      <c r="E504" s="266" t="str">
        <f aca="false">VLOOKUP($B504,01_SINTETICO!$A:$M,4,0)</f>
        <v>SER.CG</v>
      </c>
      <c r="F504" s="267" t="str">
        <f aca="false">VLOOKUP($B504,01_SINTETICO!$A:$M,5,0)</f>
        <v>UN</v>
      </c>
      <c r="G504" s="267" t="n">
        <f aca="true">SUMIFS(INDIRECT("'01_SINTETICO'!F7:F995"),INDIRECT("'01_SINTETICO'!B7:B995"),$C504)</f>
        <v>11</v>
      </c>
      <c r="H504" s="268" t="n">
        <f aca="false">VLOOKUP($C504,01_SINTETICO!$B:$M,6,0)*$G504*(1+BDI_MAT)</f>
        <v>41.217397936</v>
      </c>
      <c r="I504" s="268" t="n">
        <f aca="false">VLOOKUP($C504,01_SINTETICO!$B:$M,7,0)*$G504*(1+BDI_MDO)</f>
        <v>100.330788952722</v>
      </c>
      <c r="J504" s="269" t="n">
        <f aca="false">SUM(H504:I504)</f>
        <v>141.548186888722</v>
      </c>
      <c r="K504" s="270" t="n">
        <f aca="false">J504/SUM($J$7:$J$749)</f>
        <v>1.5679817859184E-005</v>
      </c>
      <c r="L504" s="271" t="n">
        <f aca="false">K504+L503</f>
        <v>0.998599711101257</v>
      </c>
    </row>
    <row r="505" customFormat="false" ht="25.5" hidden="false" customHeight="false" outlineLevel="0" collapsed="false">
      <c r="A505" s="264" t="n">
        <f aca="false">K505</f>
        <v>1.52165739074751E-005</v>
      </c>
      <c r="B505" s="265" t="str">
        <f aca="false">VLOOKUP($C505,01_SINTETICO!$B:$N,13,0)</f>
        <v>14.5.2</v>
      </c>
      <c r="C505" s="266" t="s">
        <v>1121</v>
      </c>
      <c r="D505" s="266" t="str">
        <f aca="false">VLOOKUP($C505,01_SINTETICO!$B:$M,2,0)</f>
        <v>DISPOSITIVO DPS CLASSE I, 1 POLO, TENSÃO MÁXIMA DE 275 V, CORRENTE MÁXIMA DE 12,5/60 KA - FORNECIMENTO E INSTALAÇÃO.</v>
      </c>
      <c r="E505" s="266" t="str">
        <f aca="false">VLOOKUP($B505,01_SINTETICO!$A:$M,4,0)</f>
        <v>SER.CG</v>
      </c>
      <c r="F505" s="267" t="str">
        <f aca="false">VLOOKUP($B505,01_SINTETICO!$A:$M,5,0)</f>
        <v>UN</v>
      </c>
      <c r="G505" s="267" t="n">
        <f aca="true">SUMIFS(INDIRECT("'01_SINTETICO'!F7:F995"),INDIRECT("'01_SINTETICO'!B7:B995"),$C505)</f>
        <v>1</v>
      </c>
      <c r="H505" s="268" t="n">
        <f aca="false">VLOOKUP($C505,01_SINTETICO!$B:$M,6,0)*$G505*(1+BDI_MAT)</f>
        <v>134.4307535848</v>
      </c>
      <c r="I505" s="268" t="n">
        <f aca="false">VLOOKUP($C505,01_SINTETICO!$B:$M,7,0)*$G505*(1+BDI_MDO)</f>
        <v>2.93553897068203</v>
      </c>
      <c r="J505" s="269" t="n">
        <f aca="false">SUM(H505:I505)</f>
        <v>137.366292555482</v>
      </c>
      <c r="K505" s="270" t="n">
        <f aca="false">J505/SUM($J$7:$J$749)</f>
        <v>1.52165739074751E-005</v>
      </c>
      <c r="L505" s="271" t="n">
        <f aca="false">K505+L504</f>
        <v>0.998614927675165</v>
      </c>
    </row>
    <row r="506" customFormat="false" ht="25.5" hidden="false" customHeight="false" outlineLevel="0" collapsed="false">
      <c r="A506" s="264" t="n">
        <f aca="false">K506</f>
        <v>1.41507969039331E-005</v>
      </c>
      <c r="B506" s="265" t="str">
        <f aca="false">VLOOKUP($C506,01_SINTETICO!$B:$N,13,0)</f>
        <v>11.6.2.15</v>
      </c>
      <c r="C506" s="266" t="n">
        <v>89413</v>
      </c>
      <c r="D506" s="266" t="str">
        <f aca="false">VLOOKUP($C506,01_SINTETICO!$B:$M,2,0)</f>
        <v>JOELHO 90 GRAUS, PVC, SOLDÁVEL, DN 32MM, INSTALADO EM RAMAL DE DISTRIBUIÇÃO DE ÁGUA - FORNECIMENTO E INSTALAÇÃO. AF_06/2022</v>
      </c>
      <c r="E506" s="266" t="str">
        <f aca="false">VLOOKUP($B506,01_SINTETICO!$A:$M,4,0)</f>
        <v>SER.CG</v>
      </c>
      <c r="F506" s="267" t="str">
        <f aca="false">VLOOKUP($B506,01_SINTETICO!$A:$M,5,0)</f>
        <v>UN</v>
      </c>
      <c r="G506" s="267" t="n">
        <f aca="true">SUMIFS(INDIRECT("'01_SINTETICO'!F7:F995"),INDIRECT("'01_SINTETICO'!B7:B995"),$C506)</f>
        <v>9</v>
      </c>
      <c r="H506" s="268" t="n">
        <f aca="false">VLOOKUP($C506,01_SINTETICO!$B:$M,6,0)*$G506*(1+BDI_MAT)</f>
        <v>64.35426798</v>
      </c>
      <c r="I506" s="268" t="n">
        <f aca="false">VLOOKUP($C506,01_SINTETICO!$B:$M,7,0)*$G506*(1+BDI_MDO)</f>
        <v>63.3908157174523</v>
      </c>
      <c r="J506" s="269" t="n">
        <f aca="false">SUM(H506:I506)</f>
        <v>127.745083697452</v>
      </c>
      <c r="K506" s="270" t="n">
        <f aca="false">J506/SUM($J$7:$J$749)</f>
        <v>1.41507969039331E-005</v>
      </c>
      <c r="L506" s="271" t="n">
        <f aca="false">K506+L505</f>
        <v>0.998629078472069</v>
      </c>
    </row>
    <row r="507" customFormat="false" ht="38.25" hidden="false" customHeight="false" outlineLevel="0" collapsed="false">
      <c r="A507" s="264" t="n">
        <f aca="false">K507</f>
        <v>1.39594280006032E-005</v>
      </c>
      <c r="B507" s="265" t="str">
        <f aca="false">VLOOKUP($C507,01_SINTETICO!$B:$N,13,0)</f>
        <v>12.2.3.4</v>
      </c>
      <c r="C507" s="266" t="s">
        <v>924</v>
      </c>
      <c r="D507" s="266" t="str">
        <f aca="false">VLOOKUP($C507,01_SINTETICO!$B:$M,2,0)</f>
        <v>CURVA HORIZONTAL 90º PARA ELETROCALHA, LISA OU PERFURADA EM AÇO GALVANIZADO, LARGURA DE 50MM E ALTURA DE 50MM - FORNECIMENTO E INSTALAÇÃO.</v>
      </c>
      <c r="E507" s="266" t="str">
        <f aca="false">VLOOKUP($B507,01_SINTETICO!$A:$M,4,0)</f>
        <v>SER.CG</v>
      </c>
      <c r="F507" s="267" t="str">
        <f aca="false">VLOOKUP($B507,01_SINTETICO!$A:$M,5,0)</f>
        <v>UN</v>
      </c>
      <c r="G507" s="267" t="n">
        <f aca="true">SUMIFS(INDIRECT("'01_SINTETICO'!F7:F995"),INDIRECT("'01_SINTETICO'!B7:B995"),$C507)</f>
        <v>2</v>
      </c>
      <c r="H507" s="268" t="n">
        <f aca="false">VLOOKUP($C507,01_SINTETICO!$B:$M,6,0)*$G507*(1+BDI_MAT)</f>
        <v>92.0573609093333</v>
      </c>
      <c r="I507" s="268" t="n">
        <f aca="false">VLOOKUP($C507,01_SINTETICO!$B:$M,7,0)*$G507*(1+BDI_MDO)</f>
        <v>33.9601567196549</v>
      </c>
      <c r="J507" s="269" t="n">
        <f aca="false">SUM(H507:I507)</f>
        <v>126.017517628988</v>
      </c>
      <c r="K507" s="270" t="n">
        <f aca="false">J507/SUM($J$7:$J$749)</f>
        <v>1.39594280006032E-005</v>
      </c>
      <c r="L507" s="271" t="n">
        <f aca="false">K507+L506</f>
        <v>0.998643037900069</v>
      </c>
    </row>
    <row r="508" customFormat="false" ht="25.5" hidden="false" customHeight="false" outlineLevel="0" collapsed="false">
      <c r="A508" s="264" t="n">
        <f aca="false">K508</f>
        <v>1.39420779195011E-005</v>
      </c>
      <c r="B508" s="265" t="str">
        <f aca="false">VLOOKUP($C508,01_SINTETICO!$B:$N,13,0)</f>
        <v>16.1.3.2.18</v>
      </c>
      <c r="C508" s="266" t="n">
        <v>89623</v>
      </c>
      <c r="D508" s="266" t="str">
        <f aca="false">VLOOKUP($C508,01_SINTETICO!$B:$M,2,0)</f>
        <v>TE, PVC, SOLDÁVEL, DN 40MM, INSTALADO EM PRUMADA DE ÁGUA - FORNECIMENTO E INSTALAÇÃO. AF_06/2022</v>
      </c>
      <c r="E508" s="266" t="str">
        <f aca="false">VLOOKUP($B508,01_SINTETICO!$A:$M,4,0)</f>
        <v>SER.CG</v>
      </c>
      <c r="F508" s="267" t="str">
        <f aca="false">VLOOKUP($B508,01_SINTETICO!$A:$M,5,0)</f>
        <v>UN</v>
      </c>
      <c r="G508" s="267" t="n">
        <f aca="true">SUMIFS(INDIRECT("'01_SINTETICO'!F7:F995"),INDIRECT("'01_SINTETICO'!B7:B995"),$C508)</f>
        <v>6</v>
      </c>
      <c r="H508" s="268" t="n">
        <f aca="false">VLOOKUP($C508,01_SINTETICO!$B:$M,6,0)*$G508*(1+BDI_MAT)</f>
        <v>89.3619638736</v>
      </c>
      <c r="I508" s="268" t="n">
        <f aca="false">VLOOKUP($C508,01_SINTETICO!$B:$M,7,0)*$G508*(1+BDI_MDO)</f>
        <v>36.4989274128864</v>
      </c>
      <c r="J508" s="269" t="n">
        <f aca="false">SUM(H508:I508)</f>
        <v>125.860891286486</v>
      </c>
      <c r="K508" s="270" t="n">
        <f aca="false">J508/SUM($J$7:$J$749)</f>
        <v>1.39420779195011E-005</v>
      </c>
      <c r="L508" s="271" t="n">
        <f aca="false">K508+L507</f>
        <v>0.998656979977989</v>
      </c>
    </row>
    <row r="509" customFormat="false" ht="38.25" hidden="false" customHeight="false" outlineLevel="0" collapsed="false">
      <c r="A509" s="264" t="n">
        <f aca="false">K509</f>
        <v>1.39224154000369E-005</v>
      </c>
      <c r="B509" s="265" t="str">
        <f aca="false">VLOOKUP($C509,01_SINTETICO!$B:$N,13,0)</f>
        <v>12.2.2.5</v>
      </c>
      <c r="C509" s="272" t="n">
        <v>97668</v>
      </c>
      <c r="D509" s="266" t="str">
        <f aca="false">VLOOKUP($C509,01_SINTETICO!$B:$M,2,0)</f>
        <v>ELETRODUTO FLEXÍVEL CORRUGADO, PEAD, DN 63 (2"), PARA REDE ENTERRADA DE DISTRIBUIÇÃO DE ENERGIA ELÉTRICA - FORNECIMENTO E INSTALAÇÃO. AF_12/2021</v>
      </c>
      <c r="E509" s="272" t="str">
        <f aca="false">VLOOKUP($B509,01_SINTETICO!$A:$M,4,0)</f>
        <v>SER.CG</v>
      </c>
      <c r="F509" s="273" t="str">
        <f aca="false">VLOOKUP($B509,01_SINTETICO!$A:$M,5,0)</f>
        <v>M</v>
      </c>
      <c r="G509" s="267" t="n">
        <f aca="true">SUMIFS(INDIRECT("'01_SINTETICO'!F7:F995"),INDIRECT("'01_SINTETICO'!B7:B995"),$C509)</f>
        <v>10</v>
      </c>
      <c r="H509" s="268" t="n">
        <f aca="false">VLOOKUP($C509,01_SINTETICO!$B:$M,6,0)*$G509*(1+BDI_MAT)</f>
        <v>83.84199704</v>
      </c>
      <c r="I509" s="268" t="n">
        <f aca="false">VLOOKUP($C509,01_SINTETICO!$B:$M,7,0)*$G509*(1+BDI_MDO)</f>
        <v>41.8413925685448</v>
      </c>
      <c r="J509" s="269" t="n">
        <f aca="false">SUM(H509:I509)</f>
        <v>125.683389608545</v>
      </c>
      <c r="K509" s="270" t="n">
        <f aca="false">J509/SUM($J$7:$J$749)</f>
        <v>1.39224154000369E-005</v>
      </c>
      <c r="L509" s="271" t="n">
        <f aca="false">K509+L508</f>
        <v>0.998670902393389</v>
      </c>
    </row>
    <row r="510" customFormat="false" ht="38.25" hidden="false" customHeight="false" outlineLevel="0" collapsed="false">
      <c r="A510" s="264" t="n">
        <f aca="false">K510</f>
        <v>1.35452260718872E-005</v>
      </c>
      <c r="B510" s="265" t="str">
        <f aca="false">VLOOKUP($C510,01_SINTETICO!$B:$N,13,0)</f>
        <v>12.2.3.3</v>
      </c>
      <c r="C510" s="266" t="s">
        <v>922</v>
      </c>
      <c r="D510" s="266" t="str">
        <f aca="false">VLOOKUP($C510,01_SINTETICO!$B:$M,2,0)</f>
        <v>CURVA HORIZONTAL 90º PARA ELETROCALHA, LISA OU PERFURADA EM AÇO GALVANIZADO, LARGURA DE 100MM E ALTURA DE 50MM - FORNECIMENTO E INSTALAÇÃO.</v>
      </c>
      <c r="E510" s="266" t="str">
        <f aca="false">VLOOKUP($B510,01_SINTETICO!$A:$M,4,0)</f>
        <v>SER.CG</v>
      </c>
      <c r="F510" s="267" t="str">
        <f aca="false">VLOOKUP($B510,01_SINTETICO!$A:$M,5,0)</f>
        <v>UN</v>
      </c>
      <c r="G510" s="267" t="n">
        <f aca="true">SUMIFS(INDIRECT("'01_SINTETICO'!F7:F995"),INDIRECT("'01_SINTETICO'!B7:B995"),$C510)</f>
        <v>2</v>
      </c>
      <c r="H510" s="268" t="n">
        <f aca="false">VLOOKUP($C510,01_SINTETICO!$B:$M,6,0)*$G510*(1+BDI_MAT)</f>
        <v>88.3181891573333</v>
      </c>
      <c r="I510" s="268" t="n">
        <f aca="false">VLOOKUP($C510,01_SINTETICO!$B:$M,7,0)*$G510*(1+BDI_MDO)</f>
        <v>33.9601567196549</v>
      </c>
      <c r="J510" s="269" t="n">
        <f aca="false">SUM(H510:I510)</f>
        <v>122.278345876988</v>
      </c>
      <c r="K510" s="270" t="n">
        <f aca="false">J510/SUM($J$7:$J$749)</f>
        <v>1.35452260718872E-005</v>
      </c>
      <c r="L510" s="271" t="n">
        <f aca="false">K510+L509</f>
        <v>0.998684447619461</v>
      </c>
    </row>
    <row r="511" customFormat="false" ht="25.5" hidden="false" customHeight="false" outlineLevel="0" collapsed="false">
      <c r="A511" s="264" t="n">
        <f aca="false">K511</f>
        <v>1.34915032161222E-005</v>
      </c>
      <c r="B511" s="265" t="str">
        <f aca="false">VLOOKUP($C511,01_SINTETICO!$B:$N,13,0)</f>
        <v>16.1.3.2.7</v>
      </c>
      <c r="C511" s="266" t="n">
        <v>103981</v>
      </c>
      <c r="D511" s="266" t="str">
        <f aca="false">VLOOKUP($C511,01_SINTETICO!$B:$M,2,0)</f>
        <v>JOELHO 45 GRAUS, PVC, SOLDÁVEL, DN 40MM, INSTALADO EM RAMAL DE DISTRIBUIÇÃO DE ÁGUA - FORNECIMENTO E INSTALAÇÃO. AF_06/2022</v>
      </c>
      <c r="E511" s="266" t="str">
        <f aca="false">VLOOKUP($B511,01_SINTETICO!$A:$M,4,0)</f>
        <v>SER.CG</v>
      </c>
      <c r="F511" s="267" t="str">
        <f aca="false">VLOOKUP($B511,01_SINTETICO!$A:$M,5,0)</f>
        <v>UN</v>
      </c>
      <c r="G511" s="267" t="n">
        <f aca="true">SUMIFS(INDIRECT("'01_SINTETICO'!F7:F995"),INDIRECT("'01_SINTETICO'!B7:B995"),$C511)</f>
        <v>6</v>
      </c>
      <c r="H511" s="268" t="n">
        <f aca="false">VLOOKUP($C511,01_SINTETICO!$B:$M,6,0)*$G511*(1+BDI_MAT)</f>
        <v>71.737695606</v>
      </c>
      <c r="I511" s="268" t="n">
        <f aca="false">VLOOKUP($C511,01_SINTETICO!$B:$M,7,0)*$G511*(1+BDI_MDO)</f>
        <v>50.0556718805299</v>
      </c>
      <c r="J511" s="269" t="n">
        <f aca="false">SUM(H511:I511)</f>
        <v>121.79336748653</v>
      </c>
      <c r="K511" s="270" t="n">
        <f aca="false">J511/SUM($J$7:$J$749)</f>
        <v>1.34915032161222E-005</v>
      </c>
      <c r="L511" s="271" t="n">
        <f aca="false">K511+L510</f>
        <v>0.998697939122677</v>
      </c>
    </row>
    <row r="512" customFormat="false" ht="25.5" hidden="false" customHeight="false" outlineLevel="0" collapsed="false">
      <c r="A512" s="264" t="n">
        <f aca="false">K512</f>
        <v>1.34241144240466E-005</v>
      </c>
      <c r="B512" s="265" t="str">
        <f aca="false">VLOOKUP($C512,01_SINTETICO!$B:$N,13,0)</f>
        <v>15.8.1</v>
      </c>
      <c r="C512" s="272" t="n">
        <v>95248</v>
      </c>
      <c r="D512" s="266" t="str">
        <f aca="false">VLOOKUP($C512,01_SINTETICO!$B:$M,2,0)</f>
        <v>VÁLVULA DE ESFERA BRUTA, BRONZE, ROSCÁVEL, 1/2" - FORNECIMENTO E INSTALAÇÃO. AF_08/2021</v>
      </c>
      <c r="E512" s="272" t="str">
        <f aca="false">VLOOKUP($B512,01_SINTETICO!$A:$M,4,0)</f>
        <v>SER.CG</v>
      </c>
      <c r="F512" s="273" t="str">
        <f aca="false">VLOOKUP($B512,01_SINTETICO!$A:$M,5,0)</f>
        <v>UN</v>
      </c>
      <c r="G512" s="267" t="n">
        <f aca="true">SUMIFS(INDIRECT("'01_SINTETICO'!F7:F995"),INDIRECT("'01_SINTETICO'!B7:B995"),$C512)</f>
        <v>2</v>
      </c>
      <c r="H512" s="268" t="n">
        <f aca="false">VLOOKUP($C512,01_SINTETICO!$B:$M,6,0)*$G512*(1+BDI_MAT)</f>
        <v>114.9367522848</v>
      </c>
      <c r="I512" s="268" t="n">
        <f aca="false">VLOOKUP($C512,01_SINTETICO!$B:$M,7,0)*$G512*(1+BDI_MDO)</f>
        <v>6.24826876425365</v>
      </c>
      <c r="J512" s="269" t="n">
        <f aca="false">SUM(H512:I512)</f>
        <v>121.185021049054</v>
      </c>
      <c r="K512" s="270" t="n">
        <f aca="false">J512/SUM($J$7:$J$749)</f>
        <v>1.34241144240466E-005</v>
      </c>
      <c r="L512" s="271" t="n">
        <f aca="false">K512+L511</f>
        <v>0.998711363237101</v>
      </c>
    </row>
    <row r="513" customFormat="false" ht="25.5" hidden="false" customHeight="false" outlineLevel="0" collapsed="false">
      <c r="A513" s="264" t="n">
        <f aca="false">K513</f>
        <v>1.33558348922383E-005</v>
      </c>
      <c r="B513" s="265" t="str">
        <f aca="false">VLOOKUP($C513,01_SINTETICO!$B:$N,13,0)</f>
        <v>15.2.6</v>
      </c>
      <c r="C513" s="266" t="s">
        <v>1143</v>
      </c>
      <c r="D513" s="266" t="str">
        <f aca="false">VLOOKUP($C513,01_SINTETICO!$B:$M,2,0)</f>
        <v>PLACA FOTOLUMINESCENTE DE SINALIZAÇÃO EM PVC, COM PICTOGRAMA DE EXTINTOR - 15X15CM.</v>
      </c>
      <c r="E513" s="266" t="str">
        <f aca="false">VLOOKUP($B513,01_SINTETICO!$A:$M,4,0)</f>
        <v>SER.CG</v>
      </c>
      <c r="F513" s="267" t="str">
        <f aca="false">VLOOKUP($B513,01_SINTETICO!$A:$M,5,0)</f>
        <v>UN</v>
      </c>
      <c r="G513" s="267" t="n">
        <f aca="true">SUMIFS(INDIRECT("'01_SINTETICO'!F7:F995"),INDIRECT("'01_SINTETICO'!B7:B995"),$C513)</f>
        <v>7</v>
      </c>
      <c r="H513" s="268" t="n">
        <f aca="false">VLOOKUP($C513,01_SINTETICO!$B:$M,6,0)*$G513*(1+BDI_MAT)</f>
        <v>96.964681072</v>
      </c>
      <c r="I513" s="268" t="n">
        <f aca="false">VLOOKUP($C513,01_SINTETICO!$B:$M,7,0)*$G513*(1+BDI_MDO)</f>
        <v>23.6039524644</v>
      </c>
      <c r="J513" s="269" t="n">
        <f aca="false">SUM(H513:I513)</f>
        <v>120.5686335364</v>
      </c>
      <c r="K513" s="270" t="n">
        <f aca="false">J513/SUM($J$7:$J$749)</f>
        <v>1.33558348922383E-005</v>
      </c>
      <c r="L513" s="271" t="n">
        <f aca="false">K513+L512</f>
        <v>0.998724719071993</v>
      </c>
    </row>
    <row r="514" customFormat="false" ht="38.25" hidden="false" customHeight="false" outlineLevel="0" collapsed="false">
      <c r="A514" s="264" t="n">
        <f aca="false">K514</f>
        <v>1.33342145788857E-005</v>
      </c>
      <c r="B514" s="265" t="str">
        <f aca="false">VLOOKUP($C514,01_SINTETICO!$B:$N,13,0)</f>
        <v>11.6.2.7</v>
      </c>
      <c r="C514" s="266" t="n">
        <v>89595</v>
      </c>
      <c r="D514" s="266" t="str">
        <f aca="false">VLOOKUP($C514,01_SINTETICO!$B:$M,2,0)</f>
        <v>ADAPTADOR CURTO COM BOLSA E ROSCA PARA REGISTRO, PVC, SOLDÁVEL, DN 50MM X 1.1/4 , INSTALADO EM PRUMADA DE ÁGUA - FORNECIMENTO E INSTALAÇÃO. AF_06/2022</v>
      </c>
      <c r="E514" s="266" t="str">
        <f aca="false">VLOOKUP($B514,01_SINTETICO!$A:$M,4,0)</f>
        <v>SER.CG</v>
      </c>
      <c r="F514" s="267" t="str">
        <f aca="false">VLOOKUP($B514,01_SINTETICO!$A:$M,5,0)</f>
        <v>UN</v>
      </c>
      <c r="G514" s="267" t="n">
        <f aca="true">SUMIFS(INDIRECT("'01_SINTETICO'!F7:F995"),INDIRECT("'01_SINTETICO'!B7:B995"),$C514)</f>
        <v>8</v>
      </c>
      <c r="H514" s="268" t="n">
        <f aca="false">VLOOKUP($C514,01_SINTETICO!$B:$M,6,0)*$G514*(1+BDI_MAT)</f>
        <v>110.5711381504</v>
      </c>
      <c r="I514" s="268" t="n">
        <f aca="false">VLOOKUP($C514,01_SINTETICO!$B:$M,7,0)*$G514*(1+BDI_MDO)</f>
        <v>9.80231989464499</v>
      </c>
      <c r="J514" s="269" t="n">
        <f aca="false">SUM(H514:I514)</f>
        <v>120.373458045045</v>
      </c>
      <c r="K514" s="270" t="n">
        <f aca="false">J514/SUM($J$7:$J$749)</f>
        <v>1.33342145788857E-005</v>
      </c>
      <c r="L514" s="271" t="n">
        <f aca="false">K514+L513</f>
        <v>0.998738053286572</v>
      </c>
    </row>
    <row r="515" customFormat="false" ht="25.5" hidden="false" customHeight="false" outlineLevel="0" collapsed="false">
      <c r="A515" s="264" t="n">
        <f aca="false">K515</f>
        <v>1.31279743125514E-005</v>
      </c>
      <c r="B515" s="265" t="str">
        <f aca="false">VLOOKUP($C515,01_SINTETICO!$B:$N,13,0)</f>
        <v>15.4.2.15</v>
      </c>
      <c r="C515" s="274" t="s">
        <v>1180</v>
      </c>
      <c r="D515" s="266" t="str">
        <f aca="false">VLOOKUP($C515,01_SINTETICO!$B:$M,2,0)</f>
        <v>FORNECIMENTO E INSTALAÇÃO DE FLUXOSTATO.</v>
      </c>
      <c r="E515" s="266" t="str">
        <f aca="false">VLOOKUP($B515,01_SINTETICO!$A:$M,4,0)</f>
        <v>SER.CG</v>
      </c>
      <c r="F515" s="267" t="str">
        <f aca="false">VLOOKUP($B515,01_SINTETICO!$A:$M,5,0)</f>
        <v>un</v>
      </c>
      <c r="G515" s="267" t="n">
        <f aca="true">SUMIFS(INDIRECT("'01_SINTETICO'!F7:F995"),INDIRECT("'01_SINTETICO'!B7:B995"),$C515)</f>
        <v>2</v>
      </c>
      <c r="H515" s="268" t="n">
        <f aca="false">VLOOKUP($C515,01_SINTETICO!$B:$M,6,0)*$G515*(1+BDI_DIF)</f>
        <v>31.6094339193962</v>
      </c>
      <c r="I515" s="268" t="n">
        <f aca="false">VLOOKUP($C515,01_SINTETICO!$B:$M,7,0)*$G515*(1+BDI_MDO)</f>
        <v>86.90220812592</v>
      </c>
      <c r="J515" s="269" t="n">
        <f aca="false">SUM(H515:I515)</f>
        <v>118.511642045316</v>
      </c>
      <c r="K515" s="270" t="n">
        <f aca="false">J515/SUM($J$7:$J$749)</f>
        <v>1.31279743125514E-005</v>
      </c>
      <c r="L515" s="271" t="n">
        <f aca="false">K515+L514</f>
        <v>0.998751181260885</v>
      </c>
    </row>
    <row r="516" customFormat="false" ht="38.25" hidden="false" customHeight="false" outlineLevel="0" collapsed="false">
      <c r="A516" s="264" t="n">
        <f aca="false">K516</f>
        <v>1.26110546595214E-005</v>
      </c>
      <c r="B516" s="265" t="str">
        <f aca="false">VLOOKUP($C516,01_SINTETICO!$B:$N,13,0)</f>
        <v>11.5.1.10</v>
      </c>
      <c r="C516" s="266" t="n">
        <v>89549</v>
      </c>
      <c r="D516" s="266" t="str">
        <f aca="false">VLOOKUP($C516,01_SINTETICO!$B:$M,2,0)</f>
        <v>REDUÇÃO EXCÊNTRICA, PVC, SERIE R, ÁGUA PLUVIAL, DN 75 X 50 MM, JUNTA ELÁSTICA, FORNECIDO E INSTALADO EM RAMAL DE ENCAMINHAMENTO. AF_06/2022</v>
      </c>
      <c r="E516" s="266" t="str">
        <f aca="false">VLOOKUP($B516,01_SINTETICO!$A:$M,4,0)</f>
        <v>SER.CG</v>
      </c>
      <c r="F516" s="267" t="str">
        <f aca="false">VLOOKUP($B516,01_SINTETICO!$A:$M,5,0)</f>
        <v>UN</v>
      </c>
      <c r="G516" s="267" t="n">
        <f aca="true">SUMIFS(INDIRECT("'01_SINTETICO'!F7:F995"),INDIRECT("'01_SINTETICO'!B7:B995"),$C516)</f>
        <v>5</v>
      </c>
      <c r="H516" s="268" t="n">
        <f aca="false">VLOOKUP($C516,01_SINTETICO!$B:$M,6,0)*$G516*(1+BDI_MAT)</f>
        <v>102.634810156</v>
      </c>
      <c r="I516" s="268" t="n">
        <f aca="false">VLOOKUP($C516,01_SINTETICO!$B:$M,7,0)*$G516*(1+BDI_MDO)</f>
        <v>11.2103848482437</v>
      </c>
      <c r="J516" s="269" t="n">
        <f aca="false">SUM(H516:I516)</f>
        <v>113.845195004244</v>
      </c>
      <c r="K516" s="270" t="n">
        <f aca="false">J516/SUM($J$7:$J$749)</f>
        <v>1.26110546595214E-005</v>
      </c>
      <c r="L516" s="271" t="n">
        <f aca="false">K516+L515</f>
        <v>0.998763792315544</v>
      </c>
    </row>
    <row r="517" customFormat="false" ht="38.25" hidden="false" customHeight="false" outlineLevel="0" collapsed="false">
      <c r="A517" s="264" t="n">
        <f aca="false">K517</f>
        <v>1.23003683757489E-005</v>
      </c>
      <c r="B517" s="265" t="str">
        <f aca="false">VLOOKUP($C517,01_SINTETICO!$B:$N,13,0)</f>
        <v>11.5.1.11</v>
      </c>
      <c r="C517" s="266" t="n">
        <v>104348</v>
      </c>
      <c r="D517" s="266" t="str">
        <f aca="false">VLOOKUP($C517,01_SINTETICO!$B:$M,2,0)</f>
        <v>TERMINAL DE VENTILAÇÃO, PVC, SÉRIE NORMAL, ESGOTO PREDIAL, DN 50 MM, JUNTA SOLDÁVEL, FORNECIDO E INSTALADO EM PRUMADA DE ESGOTO SANITÁRIO OU VENTILAÇÃO. AF_08/2022</v>
      </c>
      <c r="E517" s="266" t="str">
        <f aca="false">VLOOKUP($B517,01_SINTETICO!$A:$M,4,0)</f>
        <v>SER.CG</v>
      </c>
      <c r="F517" s="267" t="str">
        <f aca="false">VLOOKUP($B517,01_SINTETICO!$A:$M,5,0)</f>
        <v>UN</v>
      </c>
      <c r="G517" s="267" t="n">
        <f aca="true">SUMIFS(INDIRECT("'01_SINTETICO'!F7:F995"),INDIRECT("'01_SINTETICO'!B7:B995"),$C517)</f>
        <v>8</v>
      </c>
      <c r="H517" s="268" t="n">
        <f aca="false">VLOOKUP($C517,01_SINTETICO!$B:$M,6,0)*$G517*(1+BDI_MAT)</f>
        <v>107.0777610096</v>
      </c>
      <c r="I517" s="268" t="n">
        <f aca="false">VLOOKUP($C517,01_SINTETICO!$B:$M,7,0)*$G517*(1+BDI_MDO)</f>
        <v>3.96274069054195</v>
      </c>
      <c r="J517" s="269" t="n">
        <f aca="false">SUM(H517:I517)</f>
        <v>111.040501700142</v>
      </c>
      <c r="K517" s="270" t="n">
        <f aca="false">J517/SUM($J$7:$J$749)</f>
        <v>1.23003683757489E-005</v>
      </c>
      <c r="L517" s="271" t="n">
        <f aca="false">K517+L516</f>
        <v>0.99877609268392</v>
      </c>
    </row>
    <row r="518" customFormat="false" ht="38.25" hidden="false" customHeight="false" outlineLevel="0" collapsed="false">
      <c r="A518" s="264" t="n">
        <f aca="false">K518</f>
        <v>1.18612163553305E-005</v>
      </c>
      <c r="B518" s="265" t="str">
        <f aca="false">VLOOKUP($C518,01_SINTETICO!$B:$N,13,0)</f>
        <v>11.3.1.6</v>
      </c>
      <c r="C518" s="266" t="n">
        <v>89778</v>
      </c>
      <c r="D518" s="266" t="str">
        <f aca="false">VLOOKUP($C518,01_SINTETICO!$B:$M,2,0)</f>
        <v>LUVA SIMPLES, PVC, SERIE NORMAL, ESGOTO PREDIAL, DN 100 MM, JUNTA ELÁSTICA, FORNECIDO E INSTALADO EM RAMAL DE DESCARGA OU RAMAL DE ESGOTO SANITÁRIO. AF_08/2022</v>
      </c>
      <c r="E518" s="266" t="str">
        <f aca="false">VLOOKUP($B518,01_SINTETICO!$A:$M,4,0)</f>
        <v>SER.CG</v>
      </c>
      <c r="F518" s="267" t="str">
        <f aca="false">VLOOKUP($B518,01_SINTETICO!$A:$M,5,0)</f>
        <v>UN</v>
      </c>
      <c r="G518" s="267" t="n">
        <f aca="true">SUMIFS(INDIRECT("'01_SINTETICO'!F7:F995"),INDIRECT("'01_SINTETICO'!B7:B995"),$C518)</f>
        <v>5</v>
      </c>
      <c r="H518" s="268" t="n">
        <f aca="false">VLOOKUP($C518,01_SINTETICO!$B:$M,6,0)*$G518*(1+BDI_MAT)</f>
        <v>79.180486365</v>
      </c>
      <c r="I518" s="268" t="n">
        <f aca="false">VLOOKUP($C518,01_SINTETICO!$B:$M,7,0)*$G518*(1+BDI_MDO)</f>
        <v>27.8956088084203</v>
      </c>
      <c r="J518" s="269" t="n">
        <f aca="false">SUM(H518:I518)</f>
        <v>107.07609517342</v>
      </c>
      <c r="K518" s="270" t="n">
        <f aca="false">J518/SUM($J$7:$J$749)</f>
        <v>1.18612163553305E-005</v>
      </c>
      <c r="L518" s="271" t="n">
        <f aca="false">K518+L517</f>
        <v>0.998787953900275</v>
      </c>
    </row>
    <row r="519" customFormat="false" ht="25.5" hidden="false" customHeight="false" outlineLevel="0" collapsed="false">
      <c r="A519" s="264" t="n">
        <f aca="false">K519</f>
        <v>1.17641993285338E-005</v>
      </c>
      <c r="B519" s="265" t="str">
        <f aca="false">VLOOKUP($C519,01_SINTETICO!$B:$N,13,0)</f>
        <v>8.1.1.2.3</v>
      </c>
      <c r="C519" s="272" t="s">
        <v>515</v>
      </c>
      <c r="D519" s="266" t="str">
        <f aca="false">VLOOKUP($C519,01_SINTETICO!$B:$M,2,0)</f>
        <v>FORNECIMENTO E INSTALAÇÃO DE SINALIZADOR DE DEGRAUS FOTOLUMINESCENTE 7X3 CM.</v>
      </c>
      <c r="E519" s="272" t="str">
        <f aca="false">VLOOKUP($B519,01_SINTETICO!$A:$M,4,0)</f>
        <v>SER.CG</v>
      </c>
      <c r="F519" s="273" t="str">
        <f aca="false">VLOOKUP($B519,01_SINTETICO!$A:$M,5,0)</f>
        <v>UN</v>
      </c>
      <c r="G519" s="267" t="n">
        <f aca="true">SUMIFS(INDIRECT("'01_SINTETICO'!F7:F995"),INDIRECT("'01_SINTETICO'!B7:B995"),$C519)</f>
        <v>8.4</v>
      </c>
      <c r="H519" s="268" t="n">
        <f aca="false">VLOOKUP($C519,01_SINTETICO!$B:$M,6,0)*$G519*(1+BDI_MAT)</f>
        <v>100.36538538432</v>
      </c>
      <c r="I519" s="268" t="n">
        <f aca="false">VLOOKUP($C519,01_SINTETICO!$B:$M,7,0)*$G519*(1+BDI_MDO)</f>
        <v>5.83489704919968</v>
      </c>
      <c r="J519" s="269" t="n">
        <f aca="false">SUM(H519:I519)</f>
        <v>106.20028243352</v>
      </c>
      <c r="K519" s="270" t="n">
        <f aca="false">J519/SUM($J$7:$J$749)</f>
        <v>1.17641993285338E-005</v>
      </c>
      <c r="L519" s="271" t="n">
        <f aca="false">K519+L518</f>
        <v>0.998799718099604</v>
      </c>
    </row>
    <row r="520" customFormat="false" ht="25.5" hidden="false" customHeight="false" outlineLevel="0" collapsed="false">
      <c r="A520" s="264" t="n">
        <f aca="false">K520</f>
        <v>1.1569507342565E-005</v>
      </c>
      <c r="B520" s="265" t="str">
        <f aca="false">VLOOKUP($C520,01_SINTETICO!$B:$N,13,0)</f>
        <v>14.5.1</v>
      </c>
      <c r="C520" s="272" t="s">
        <v>1119</v>
      </c>
      <c r="D520" s="266" t="str">
        <f aca="false">VLOOKUP($C520,01_SINTETICO!$B:$M,2,0)</f>
        <v>DISPOSITIVO DPS CLASSE II, 1 POLO, TENSÃO MÁXIMA DE 275 V, CORRENTE MÁXIMA DE 30 KA - FORNECIMENTO E INSTALAÇÃO.</v>
      </c>
      <c r="E520" s="272" t="str">
        <f aca="false">VLOOKUP($B520,01_SINTETICO!$A:$M,4,0)</f>
        <v>SER.CG</v>
      </c>
      <c r="F520" s="273" t="str">
        <f aca="false">VLOOKUP($B520,01_SINTETICO!$A:$M,5,0)</f>
        <v>UN</v>
      </c>
      <c r="G520" s="267" t="n">
        <f aca="true">SUMIFS(INDIRECT("'01_SINTETICO'!F7:F995"),INDIRECT("'01_SINTETICO'!B7:B995"),$C520)</f>
        <v>1</v>
      </c>
      <c r="H520" s="268" t="n">
        <f aca="false">VLOOKUP($C520,01_SINTETICO!$B:$M,6,0)*$G520*(1+BDI_MAT)</f>
        <v>102.8451810856</v>
      </c>
      <c r="I520" s="268" t="n">
        <f aca="false">VLOOKUP($C520,01_SINTETICO!$B:$M,7,0)*$G520*(1+BDI_MDO)</f>
        <v>1.59753644103425</v>
      </c>
      <c r="J520" s="269" t="n">
        <f aca="false">SUM(H520:I520)</f>
        <v>104.442717526634</v>
      </c>
      <c r="K520" s="270" t="n">
        <f aca="false">J520/SUM($J$7:$J$749)</f>
        <v>1.1569507342565E-005</v>
      </c>
      <c r="L520" s="271" t="n">
        <f aca="false">K520+L519</f>
        <v>0.998811287606947</v>
      </c>
    </row>
    <row r="521" customFormat="false" ht="25.5" hidden="false" customHeight="false" outlineLevel="0" collapsed="false">
      <c r="A521" s="264" t="n">
        <f aca="false">K521</f>
        <v>1.12776030096962E-005</v>
      </c>
      <c r="B521" s="265" t="str">
        <f aca="false">VLOOKUP($C521,01_SINTETICO!$B:$N,13,0)</f>
        <v>11.6.1.5</v>
      </c>
      <c r="C521" s="266" t="n">
        <v>94492</v>
      </c>
      <c r="D521" s="266" t="str">
        <f aca="false">VLOOKUP($C521,01_SINTETICO!$B:$M,2,0)</f>
        <v>REGISTRO DE ESFERA, PVC, SOLDÁVEL, COM VOLANTE, DN 50 MM - FORNECIMENTO E INSTALAÇÃO. AF_08/2021</v>
      </c>
      <c r="E521" s="266" t="str">
        <f aca="false">VLOOKUP($B521,01_SINTETICO!$A:$M,4,0)</f>
        <v>SER.CG</v>
      </c>
      <c r="F521" s="267" t="str">
        <f aca="false">VLOOKUP($B521,01_SINTETICO!$A:$M,5,0)</f>
        <v>UN</v>
      </c>
      <c r="G521" s="267" t="n">
        <f aca="true">SUMIFS(INDIRECT("'01_SINTETICO'!F7:F995"),INDIRECT("'01_SINTETICO'!B7:B995"),$C521)</f>
        <v>2</v>
      </c>
      <c r="H521" s="268" t="n">
        <f aca="false">VLOOKUP($C521,01_SINTETICO!$B:$M,6,0)*$G521*(1+BDI_MAT)</f>
        <v>91.961556464</v>
      </c>
      <c r="I521" s="268" t="n">
        <f aca="false">VLOOKUP($C521,01_SINTETICO!$B:$M,7,0)*$G521*(1+BDI_MDO)</f>
        <v>9.84602018066674</v>
      </c>
      <c r="J521" s="269" t="n">
        <f aca="false">SUM(H521:I521)</f>
        <v>101.807576644667</v>
      </c>
      <c r="K521" s="270" t="n">
        <f aca="false">J521/SUM($J$7:$J$749)</f>
        <v>1.12776030096962E-005</v>
      </c>
      <c r="L521" s="271" t="n">
        <f aca="false">K521+L520</f>
        <v>0.998822565209956</v>
      </c>
    </row>
    <row r="522" customFormat="false" ht="38.25" hidden="false" customHeight="false" outlineLevel="0" collapsed="false">
      <c r="A522" s="264" t="n">
        <f aca="false">K522</f>
        <v>1.10835717465328E-005</v>
      </c>
      <c r="B522" s="265" t="str">
        <f aca="false">VLOOKUP($C522,01_SINTETICO!$B:$N,13,0)</f>
        <v>15.4.2.17</v>
      </c>
      <c r="C522" s="266" t="s">
        <v>1184</v>
      </c>
      <c r="D522" s="266" t="str">
        <f aca="false">VLOOKUP($C522,01_SINTETICO!$B:$M,2,0)</f>
        <v>FLANGE, EM FERRO GALVANIZADO, DN 80 (3"), CONEXÃO ROSQUEADA, INSTALADO EM REDE DE ALIMENTAÇÃO PARA HIDRANTE - FORNECIMENTO E INSTALAÇÃO.</v>
      </c>
      <c r="E522" s="266" t="str">
        <f aca="false">VLOOKUP($B522,01_SINTETICO!$A:$M,4,0)</f>
        <v>SER.CG</v>
      </c>
      <c r="F522" s="267" t="str">
        <f aca="false">VLOOKUP($B522,01_SINTETICO!$A:$M,5,0)</f>
        <v>UN</v>
      </c>
      <c r="G522" s="267" t="n">
        <f aca="true">SUMIFS(INDIRECT("'01_SINTETICO'!F7:F995"),INDIRECT("'01_SINTETICO'!B7:B995"),$C522)</f>
        <v>2</v>
      </c>
      <c r="H522" s="268" t="n">
        <f aca="false">VLOOKUP($C522,01_SINTETICO!$B:$M,6,0)*$G522*(1+BDI_DIF)</f>
        <v>28.1009480269653</v>
      </c>
      <c r="I522" s="268" t="n">
        <f aca="false">VLOOKUP($C522,01_SINTETICO!$B:$M,7,0)*$G522*(1+BDI_MDO)</f>
        <v>71.9550283282618</v>
      </c>
      <c r="J522" s="269" t="n">
        <f aca="false">SUM(H522:I522)</f>
        <v>100.055976355227</v>
      </c>
      <c r="K522" s="270" t="n">
        <f aca="false">J522/SUM($J$7:$J$749)</f>
        <v>1.10835717465328E-005</v>
      </c>
      <c r="L522" s="271" t="n">
        <f aca="false">K522+L521</f>
        <v>0.998833648781703</v>
      </c>
    </row>
    <row r="523" customFormat="false" ht="25.5" hidden="false" customHeight="false" outlineLevel="0" collapsed="false">
      <c r="A523" s="264" t="n">
        <f aca="false">K523</f>
        <v>1.0657779503792E-005</v>
      </c>
      <c r="B523" s="265" t="str">
        <f aca="false">VLOOKUP($C523,01_SINTETICO!$B:$N,13,0)</f>
        <v>11.6.2.10</v>
      </c>
      <c r="C523" s="272" t="n">
        <v>103972</v>
      </c>
      <c r="D523" s="266" t="str">
        <f aca="false">VLOOKUP($C523,01_SINTETICO!$B:$M,2,0)</f>
        <v>BUCHA DE REDUÇÃO, LONGA, PVC, SOLDÁVEL, DN 75 X 50 MM, INSTALADO EM PRUMADA DE ÁGUA - FORNECIMENTO E INSTALAÇÃO. AF_06/2022</v>
      </c>
      <c r="E523" s="272" t="str">
        <f aca="false">VLOOKUP($B523,01_SINTETICO!$A:$M,4,0)</f>
        <v>SER.CG</v>
      </c>
      <c r="F523" s="273" t="str">
        <f aca="false">VLOOKUP($B523,01_SINTETICO!$A:$M,5,0)</f>
        <v>UN</v>
      </c>
      <c r="G523" s="267" t="n">
        <f aca="true">SUMIFS(INDIRECT("'01_SINTETICO'!F7:F995"),INDIRECT("'01_SINTETICO'!B7:B995"),$C523)</f>
        <v>3</v>
      </c>
      <c r="H523" s="268" t="n">
        <f aca="false">VLOOKUP($C523,01_SINTETICO!$B:$M,6,0)*$G523*(1+BDI_MAT)</f>
        <v>88.064040807</v>
      </c>
      <c r="I523" s="268" t="n">
        <f aca="false">VLOOKUP($C523,01_SINTETICO!$B:$M,7,0)*$G523*(1+BDI_MDO)</f>
        <v>8.14813324819362</v>
      </c>
      <c r="J523" s="269" t="n">
        <f aca="false">SUM(H523:I523)</f>
        <v>96.2121740551936</v>
      </c>
      <c r="K523" s="270" t="n">
        <f aca="false">J523/SUM($J$7:$J$749)</f>
        <v>1.0657779503792E-005</v>
      </c>
      <c r="L523" s="271" t="n">
        <f aca="false">K523+L522</f>
        <v>0.998844306561206</v>
      </c>
    </row>
    <row r="524" customFormat="false" ht="25.5" hidden="false" customHeight="false" outlineLevel="0" collapsed="false">
      <c r="A524" s="264" t="n">
        <f aca="false">K524</f>
        <v>1.05862788053078E-005</v>
      </c>
      <c r="B524" s="265" t="str">
        <f aca="false">VLOOKUP($C524,01_SINTETICO!$B:$N,13,0)</f>
        <v>12.3.1.1.10</v>
      </c>
      <c r="C524" s="272" t="n">
        <v>92013</v>
      </c>
      <c r="D524" s="266" t="str">
        <f aca="false">VLOOKUP($C524,01_SINTETICO!$B:$M,2,0)</f>
        <v>TOMADA MÉDIA DE EMBUTIR (3 MÓDULOS), 2P+T 20 A, INCLUINDO SUPORTE E PLACA - FORNECIMENTO E INSTALAÇÃO. AF_03/2023</v>
      </c>
      <c r="E524" s="272" t="str">
        <f aca="false">VLOOKUP($B524,01_SINTETICO!$A:$M,4,0)</f>
        <v>SER.CG</v>
      </c>
      <c r="F524" s="273" t="str">
        <f aca="false">VLOOKUP($B524,01_SINTETICO!$A:$M,5,0)</f>
        <v>UN</v>
      </c>
      <c r="G524" s="267" t="n">
        <f aca="true">SUMIFS(INDIRECT("'01_SINTETICO'!F7:F995"),INDIRECT("'01_SINTETICO'!B7:B995"),$C524)</f>
        <v>1</v>
      </c>
      <c r="H524" s="268" t="n">
        <f aca="false">VLOOKUP($C524,01_SINTETICO!$B:$M,6,0)*$G524*(1+BDI_MAT)</f>
        <v>53.32682572</v>
      </c>
      <c r="I524" s="268" t="n">
        <f aca="false">VLOOKUP($C524,01_SINTETICO!$B:$M,7,0)*$G524*(1+BDI_MDO)</f>
        <v>42.2398820215786</v>
      </c>
      <c r="J524" s="269" t="n">
        <f aca="false">SUM(H524:I524)</f>
        <v>95.5667077415786</v>
      </c>
      <c r="K524" s="270" t="n">
        <f aca="false">J524/SUM($J$7:$J$749)</f>
        <v>1.05862788053078E-005</v>
      </c>
      <c r="L524" s="271" t="n">
        <f aca="false">K524+L523</f>
        <v>0.998854892840012</v>
      </c>
    </row>
    <row r="525" customFormat="false" ht="38.25" hidden="false" customHeight="false" outlineLevel="0" collapsed="false">
      <c r="A525" s="264" t="n">
        <f aca="false">K525</f>
        <v>1.04778448701098E-005</v>
      </c>
      <c r="B525" s="265" t="str">
        <f aca="false">VLOOKUP($C525,01_SINTETICO!$B:$N,13,0)</f>
        <v>11.6.2.1</v>
      </c>
      <c r="C525" s="266" t="n">
        <v>94704</v>
      </c>
      <c r="D525" s="266" t="str">
        <f aca="false">VLOOKUP($C525,01_SINTETICO!$B:$M,2,0)</f>
        <v>ADAPTADOR COM FLANGE E ANEL DE VEDAÇÃO, PVC, SOLDÁVEL, DN 32 MM X 1", INSTALADO EM RESERVAÇÃO PREDIAL DE ÁGUA - FORNECIMENTO E INSTALAÇÃO. AF_04/2024</v>
      </c>
      <c r="E525" s="266" t="str">
        <f aca="false">VLOOKUP($B525,01_SINTETICO!$A:$M,4,0)</f>
        <v>SER.CG</v>
      </c>
      <c r="F525" s="267" t="str">
        <f aca="false">VLOOKUP($B525,01_SINTETICO!$A:$M,5,0)</f>
        <v>UN</v>
      </c>
      <c r="G525" s="267" t="n">
        <f aca="true">SUMIFS(INDIRECT("'01_SINTETICO'!F7:F995"),INDIRECT("'01_SINTETICO'!B7:B995"),$C525)</f>
        <v>3</v>
      </c>
      <c r="H525" s="268" t="n">
        <f aca="false">VLOOKUP($C525,01_SINTETICO!$B:$M,6,0)*$G525*(1+BDI_MAT)</f>
        <v>76.6642494318</v>
      </c>
      <c r="I525" s="268" t="n">
        <f aca="false">VLOOKUP($C525,01_SINTETICO!$B:$M,7,0)*$G525*(1+BDI_MDO)</f>
        <v>17.923580425971</v>
      </c>
      <c r="J525" s="269" t="n">
        <f aca="false">SUM(H525:I525)</f>
        <v>94.587829857771</v>
      </c>
      <c r="K525" s="270" t="n">
        <f aca="false">J525/SUM($J$7:$J$749)</f>
        <v>1.04778448701098E-005</v>
      </c>
      <c r="L525" s="271" t="n">
        <f aca="false">K525+L524</f>
        <v>0.998865370684882</v>
      </c>
    </row>
    <row r="526" customFormat="false" ht="25.5" hidden="false" customHeight="false" outlineLevel="0" collapsed="false">
      <c r="A526" s="264" t="n">
        <f aca="false">K526</f>
        <v>1.0328674113395E-005</v>
      </c>
      <c r="B526" s="265" t="str">
        <f aca="false">VLOOKUP($C526,01_SINTETICO!$B:$N,13,0)</f>
        <v>11.6.2.12</v>
      </c>
      <c r="C526" s="274" t="n">
        <v>89502</v>
      </c>
      <c r="D526" s="266" t="str">
        <f aca="false">VLOOKUP($C526,01_SINTETICO!$B:$M,2,0)</f>
        <v>JOELHO 45 GRAUS, PVC, SOLDÁVEL, DN 50MM, INSTALADO EM PRUMADA DE ÁGUA - FORNECIMENTO E INSTALAÇÃO. AF_06/2022</v>
      </c>
      <c r="E526" s="266" t="str">
        <f aca="false">VLOOKUP($B526,01_SINTETICO!$A:$M,4,0)</f>
        <v>SER.CG</v>
      </c>
      <c r="F526" s="267" t="str">
        <f aca="false">VLOOKUP($B526,01_SINTETICO!$A:$M,5,0)</f>
        <v>UN</v>
      </c>
      <c r="G526" s="267" t="n">
        <f aca="true">SUMIFS(INDIRECT("'01_SINTETICO'!F7:F995"),INDIRECT("'01_SINTETICO'!B7:B995"),$C526)</f>
        <v>5</v>
      </c>
      <c r="H526" s="268" t="n">
        <f aca="false">VLOOKUP($C526,01_SINTETICO!$B:$M,6,0)*$G526*(1+BDI_MAT)</f>
        <v>65.628027242</v>
      </c>
      <c r="I526" s="268" t="n">
        <f aca="false">VLOOKUP($C526,01_SINTETICO!$B:$M,7,0)*$G526*(1+BDI_MDO)</f>
        <v>27.6131766320111</v>
      </c>
      <c r="J526" s="269" t="n">
        <f aca="false">SUM(H526:I526)</f>
        <v>93.2412038740111</v>
      </c>
      <c r="K526" s="270" t="n">
        <f aca="false">J526/SUM($J$7:$J$749)</f>
        <v>1.0328674113395E-005</v>
      </c>
      <c r="L526" s="271" t="n">
        <f aca="false">K526+L525</f>
        <v>0.998875699358995</v>
      </c>
    </row>
    <row r="527" customFormat="false" ht="38.25" hidden="false" customHeight="false" outlineLevel="0" collapsed="false">
      <c r="A527" s="264" t="n">
        <f aca="false">K527</f>
        <v>1.01395162378009E-005</v>
      </c>
      <c r="B527" s="265" t="str">
        <f aca="false">VLOOKUP($C527,01_SINTETICO!$B:$N,13,0)</f>
        <v>11.3.1.3</v>
      </c>
      <c r="C527" s="266" t="n">
        <v>89732</v>
      </c>
      <c r="D527" s="266" t="str">
        <f aca="false">VLOOKUP($C527,01_SINTETICO!$B:$M,2,0)</f>
        <v>JOELHO 45 GRAUS, PVC, SERIE NORMAL, ESGOTO PREDIAL, DN 50 MM, JUNTA ELÁSTICA, FORNECIDO E INSTALADO EM RAMAL DE DESCARGA OU RAMAL DE ESGOTO SANITÁRIO. AF_08/2022</v>
      </c>
      <c r="E527" s="266" t="str">
        <f aca="false">VLOOKUP($B527,01_SINTETICO!$A:$M,4,0)</f>
        <v>SER.CG</v>
      </c>
      <c r="F527" s="267" t="str">
        <f aca="false">VLOOKUP($B527,01_SINTETICO!$A:$M,5,0)</f>
        <v>UN</v>
      </c>
      <c r="G527" s="267" t="n">
        <f aca="true">SUMIFS(INDIRECT("'01_SINTETICO'!F7:F995"),INDIRECT("'01_SINTETICO'!B7:B995"),$C527)</f>
        <v>5</v>
      </c>
      <c r="H527" s="268" t="n">
        <f aca="false">VLOOKUP($C527,01_SINTETICO!$B:$M,6,0)*$G527*(1+BDI_MAT)</f>
        <v>61.574061414</v>
      </c>
      <c r="I527" s="268" t="n">
        <f aca="false">VLOOKUP($C527,01_SINTETICO!$B:$M,7,0)*$G527*(1+BDI_MDO)</f>
        <v>29.9595362514109</v>
      </c>
      <c r="J527" s="269" t="n">
        <f aca="false">SUM(H527:I527)</f>
        <v>91.5335976654109</v>
      </c>
      <c r="K527" s="270" t="n">
        <f aca="false">J527/SUM($J$7:$J$749)</f>
        <v>1.01395162378009E-005</v>
      </c>
      <c r="L527" s="271" t="n">
        <f aca="false">K527+L526</f>
        <v>0.998885838875233</v>
      </c>
    </row>
    <row r="528" customFormat="false" ht="38.25" hidden="false" customHeight="false" outlineLevel="0" collapsed="false">
      <c r="A528" s="264" t="n">
        <f aca="false">K528</f>
        <v>9.90392117595368E-006</v>
      </c>
      <c r="B528" s="265" t="str">
        <f aca="false">VLOOKUP($C528,01_SINTETICO!$B:$N,13,0)</f>
        <v>11.3.1.1</v>
      </c>
      <c r="C528" s="272" t="n">
        <v>89803</v>
      </c>
      <c r="D528" s="266" t="str">
        <f aca="false">VLOOKUP($C528,01_SINTETICO!$B:$M,2,0)</f>
        <v>CURVA CURTA 90 GRAUS, PVC, SERIE NORMAL, ESGOTO PREDIAL, DN 50 MM, JUNTA ELÁSTICA, FORNECIDO E INSTALADO EM PRUMADA DE ESGOTO SANITÁRIO OU VENTILAÇÃO. AF_08/2022</v>
      </c>
      <c r="E528" s="272" t="str">
        <f aca="false">VLOOKUP($B528,01_SINTETICO!$A:$M,4,0)</f>
        <v>SER.CG</v>
      </c>
      <c r="F528" s="273" t="str">
        <f aca="false">VLOOKUP($B528,01_SINTETICO!$A:$M,5,0)</f>
        <v>UN</v>
      </c>
      <c r="G528" s="267" t="n">
        <f aca="true">SUMIFS(INDIRECT("'01_SINTETICO'!F7:F995"),INDIRECT("'01_SINTETICO'!B7:B995"),$C528)</f>
        <v>4</v>
      </c>
      <c r="H528" s="268" t="n">
        <f aca="false">VLOOKUP($C528,01_SINTETICO!$B:$M,6,0)*$G528*(1+BDI_MAT)</f>
        <v>83.4452923344</v>
      </c>
      <c r="I528" s="268" t="n">
        <f aca="false">VLOOKUP($C528,01_SINTETICO!$B:$M,7,0)*$G528*(1+BDI_MDO)</f>
        <v>5.96149147743811</v>
      </c>
      <c r="J528" s="269" t="n">
        <f aca="false">SUM(H528:I528)</f>
        <v>89.4067838118381</v>
      </c>
      <c r="K528" s="270" t="n">
        <f aca="false">J528/SUM($J$7:$J$749)</f>
        <v>9.90392117595368E-006</v>
      </c>
      <c r="L528" s="271" t="n">
        <f aca="false">K528+L527</f>
        <v>0.998895742796409</v>
      </c>
    </row>
    <row r="529" customFormat="false" ht="38.25" hidden="false" customHeight="false" outlineLevel="0" collapsed="false">
      <c r="A529" s="264" t="n">
        <f aca="false">K529</f>
        <v>9.51786202671228E-006</v>
      </c>
      <c r="B529" s="265" t="str">
        <f aca="false">VLOOKUP($C529,01_SINTETICO!$B:$N,13,0)</f>
        <v>12.3.1.1.1</v>
      </c>
      <c r="C529" s="266" t="n">
        <v>91963</v>
      </c>
      <c r="D529" s="266" t="str">
        <f aca="false">VLOOKUP($C529,01_SINTETICO!$B:$M,2,0)</f>
        <v>INTERRUPTOR SIMPLES (1 MÓDULO) COM INTERRUPTOR PARALELO (2 MÓDULOS), 10A/250V, INCLUINDO SUPORTE E PLACA - FORNECIMENTO E INSTALAÇÃO. AF_03/2023</v>
      </c>
      <c r="E529" s="266" t="str">
        <f aca="false">VLOOKUP($B529,01_SINTETICO!$A:$M,4,0)</f>
        <v>SER.CG</v>
      </c>
      <c r="F529" s="267" t="str">
        <f aca="false">VLOOKUP($B529,01_SINTETICO!$A:$M,5,0)</f>
        <v>UN</v>
      </c>
      <c r="G529" s="267" t="n">
        <f aca="true">SUMIFS(INDIRECT("'01_SINTETICO'!F7:F995"),INDIRECT("'01_SINTETICO'!B7:B995"),$C529)</f>
        <v>1</v>
      </c>
      <c r="H529" s="268" t="n">
        <f aca="false">VLOOKUP($C529,01_SINTETICO!$B:$M,6,0)*$G529*(1+BDI_MAT)</f>
        <v>47.445298024</v>
      </c>
      <c r="I529" s="268" t="n">
        <f aca="false">VLOOKUP($C529,01_SINTETICO!$B:$M,7,0)*$G529*(1+BDI_MDO)</f>
        <v>38.4763705207042</v>
      </c>
      <c r="J529" s="269" t="n">
        <f aca="false">SUM(H529:I529)</f>
        <v>85.9216685447042</v>
      </c>
      <c r="K529" s="270" t="n">
        <f aca="false">J529/SUM($J$7:$J$749)</f>
        <v>9.51786202671228E-006</v>
      </c>
      <c r="L529" s="271" t="n">
        <f aca="false">K529+L528</f>
        <v>0.998905260658436</v>
      </c>
    </row>
    <row r="530" customFormat="false" ht="38.25" hidden="false" customHeight="false" outlineLevel="0" collapsed="false">
      <c r="A530" s="264" t="n">
        <f aca="false">K530</f>
        <v>9.51786202671228E-006</v>
      </c>
      <c r="B530" s="265" t="str">
        <f aca="false">VLOOKUP($C530,01_SINTETICO!$B:$N,13,0)</f>
        <v>12.3.1.1.1</v>
      </c>
      <c r="C530" s="266" t="n">
        <v>91963</v>
      </c>
      <c r="D530" s="266" t="str">
        <f aca="false">VLOOKUP($C530,01_SINTETICO!$B:$M,2,0)</f>
        <v>INTERRUPTOR SIMPLES (1 MÓDULO) COM INTERRUPTOR PARALELO (2 MÓDULOS), 10A/250V, INCLUINDO SUPORTE E PLACA - FORNECIMENTO E INSTALAÇÃO. AF_03/2023</v>
      </c>
      <c r="E530" s="266" t="str">
        <f aca="false">VLOOKUP($B530,01_SINTETICO!$A:$M,4,0)</f>
        <v>SER.CG</v>
      </c>
      <c r="F530" s="267" t="str">
        <f aca="false">VLOOKUP($B530,01_SINTETICO!$A:$M,5,0)</f>
        <v>UN</v>
      </c>
      <c r="G530" s="267" t="n">
        <f aca="true">SUMIFS(INDIRECT("'01_SINTETICO'!F7:F995"),INDIRECT("'01_SINTETICO'!B7:B995"),$C530)</f>
        <v>1</v>
      </c>
      <c r="H530" s="268" t="n">
        <f aca="false">VLOOKUP($C530,01_SINTETICO!$B:$M,6,0)*$G530*(1+BDI_MAT)</f>
        <v>47.445298024</v>
      </c>
      <c r="I530" s="268" t="n">
        <f aca="false">VLOOKUP($C530,01_SINTETICO!$B:$M,7,0)*$G530*(1+BDI_MDO)</f>
        <v>38.4763705207042</v>
      </c>
      <c r="J530" s="269" t="n">
        <f aca="false">SUM(H530:I530)</f>
        <v>85.9216685447042</v>
      </c>
      <c r="K530" s="270" t="n">
        <f aca="false">J530/SUM($J$7:$J$749)</f>
        <v>9.51786202671228E-006</v>
      </c>
      <c r="L530" s="271" t="n">
        <f aca="false">K530+L529</f>
        <v>0.998914778520463</v>
      </c>
    </row>
    <row r="531" customFormat="false" ht="38.25" hidden="false" customHeight="false" outlineLevel="0" collapsed="false">
      <c r="A531" s="264" t="n">
        <f aca="false">K531</f>
        <v>9.51786202671228E-006</v>
      </c>
      <c r="B531" s="265" t="str">
        <f aca="false">VLOOKUP($C531,01_SINTETICO!$B:$N,13,0)</f>
        <v>12.3.1.1.1</v>
      </c>
      <c r="C531" s="272" t="n">
        <v>91963</v>
      </c>
      <c r="D531" s="266" t="str">
        <f aca="false">VLOOKUP($C531,01_SINTETICO!$B:$M,2,0)</f>
        <v>INTERRUPTOR SIMPLES (1 MÓDULO) COM INTERRUPTOR PARALELO (2 MÓDULOS), 10A/250V, INCLUINDO SUPORTE E PLACA - FORNECIMENTO E INSTALAÇÃO. AF_03/2023</v>
      </c>
      <c r="E531" s="272" t="str">
        <f aca="false">VLOOKUP($B531,01_SINTETICO!$A:$M,4,0)</f>
        <v>SER.CG</v>
      </c>
      <c r="F531" s="273" t="str">
        <f aca="false">VLOOKUP($B531,01_SINTETICO!$A:$M,5,0)</f>
        <v>UN</v>
      </c>
      <c r="G531" s="267" t="n">
        <f aca="true">SUMIFS(INDIRECT("'01_SINTETICO'!F7:F995"),INDIRECT("'01_SINTETICO'!B7:B995"),$C531)</f>
        <v>1</v>
      </c>
      <c r="H531" s="268" t="n">
        <f aca="false">VLOOKUP($C531,01_SINTETICO!$B:$M,6,0)*$G531*(1+BDI_MAT)</f>
        <v>47.445298024</v>
      </c>
      <c r="I531" s="268" t="n">
        <f aca="false">VLOOKUP($C531,01_SINTETICO!$B:$M,7,0)*$G531*(1+BDI_MDO)</f>
        <v>38.4763705207042</v>
      </c>
      <c r="J531" s="269" t="n">
        <f aca="false">SUM(H531:I531)</f>
        <v>85.9216685447042</v>
      </c>
      <c r="K531" s="270" t="n">
        <f aca="false">J531/SUM($J$7:$J$749)</f>
        <v>9.51786202671228E-006</v>
      </c>
      <c r="L531" s="271" t="n">
        <f aca="false">K531+L530</f>
        <v>0.998924296382489</v>
      </c>
    </row>
    <row r="532" customFormat="false" ht="38.25" hidden="false" customHeight="false" outlineLevel="0" collapsed="false">
      <c r="A532" s="264" t="n">
        <f aca="false">K532</f>
        <v>9.51786202671228E-006</v>
      </c>
      <c r="B532" s="265" t="str">
        <f aca="false">VLOOKUP($C532,01_SINTETICO!$B:$N,13,0)</f>
        <v>12.3.1.1.1</v>
      </c>
      <c r="C532" s="272" t="n">
        <v>91963</v>
      </c>
      <c r="D532" s="266" t="str">
        <f aca="false">VLOOKUP($C532,01_SINTETICO!$B:$M,2,0)</f>
        <v>INTERRUPTOR SIMPLES (1 MÓDULO) COM INTERRUPTOR PARALELO (2 MÓDULOS), 10A/250V, INCLUINDO SUPORTE E PLACA - FORNECIMENTO E INSTALAÇÃO. AF_03/2023</v>
      </c>
      <c r="E532" s="272" t="str">
        <f aca="false">VLOOKUP($B532,01_SINTETICO!$A:$M,4,0)</f>
        <v>SER.CG</v>
      </c>
      <c r="F532" s="273" t="str">
        <f aca="false">VLOOKUP($B532,01_SINTETICO!$A:$M,5,0)</f>
        <v>UN</v>
      </c>
      <c r="G532" s="267" t="n">
        <f aca="true">SUMIFS(INDIRECT("'01_SINTETICO'!F7:F995"),INDIRECT("'01_SINTETICO'!B7:B995"),$C532)</f>
        <v>1</v>
      </c>
      <c r="H532" s="268" t="n">
        <f aca="false">VLOOKUP($C532,01_SINTETICO!$B:$M,6,0)*$G532*(1+BDI_MAT)</f>
        <v>47.445298024</v>
      </c>
      <c r="I532" s="268" t="n">
        <f aca="false">VLOOKUP($C532,01_SINTETICO!$B:$M,7,0)*$G532*(1+BDI_MDO)</f>
        <v>38.4763705207042</v>
      </c>
      <c r="J532" s="269" t="n">
        <f aca="false">SUM(H532:I532)</f>
        <v>85.9216685447042</v>
      </c>
      <c r="K532" s="270" t="n">
        <f aca="false">J532/SUM($J$7:$J$749)</f>
        <v>9.51786202671228E-006</v>
      </c>
      <c r="L532" s="271" t="n">
        <f aca="false">K532+L531</f>
        <v>0.998933814244516</v>
      </c>
    </row>
    <row r="533" customFormat="false" ht="38.25" hidden="false" customHeight="false" outlineLevel="0" collapsed="false">
      <c r="A533" s="264" t="n">
        <f aca="false">K533</f>
        <v>9.39670392136839E-006</v>
      </c>
      <c r="B533" s="265" t="str">
        <f aca="false">VLOOKUP($C533,01_SINTETICO!$B:$N,13,0)</f>
        <v>11.5.1.12</v>
      </c>
      <c r="C533" s="266" t="n">
        <v>104351</v>
      </c>
      <c r="D533" s="266" t="str">
        <f aca="false">VLOOKUP($C533,01_SINTETICO!$B:$M,2,0)</f>
        <v>TERMINAL DE VENTILAÇÃO, PVC, SÉRIE NORMAL, ESGOTO PREDIAL, DN 75 MM, JUNTA SOLDÁVEL, FORNECIDO E INSTALADO EM PRUMADA DE ESGOTO SANITÁRIO OU VENTILAÇÃO. AF_08/2022</v>
      </c>
      <c r="E533" s="266" t="str">
        <f aca="false">VLOOKUP($B533,01_SINTETICO!$A:$M,4,0)</f>
        <v>SER.CG</v>
      </c>
      <c r="F533" s="267" t="str">
        <f aca="false">VLOOKUP($B533,01_SINTETICO!$A:$M,5,0)</f>
        <v>UN</v>
      </c>
      <c r="G533" s="267" t="n">
        <f aca="true">SUMIFS(INDIRECT("'01_SINTETICO'!F7:F995"),INDIRECT("'01_SINTETICO'!B7:B995"),$C533)</f>
        <v>3</v>
      </c>
      <c r="H533" s="268" t="n">
        <f aca="false">VLOOKUP($C533,01_SINTETICO!$B:$M,6,0)*$G533*(1+BDI_MAT)</f>
        <v>79.366120545</v>
      </c>
      <c r="I533" s="268" t="n">
        <f aca="false">VLOOKUP($C533,01_SINTETICO!$B:$M,7,0)*$G533*(1+BDI_MDO)</f>
        <v>5.46180378071407</v>
      </c>
      <c r="J533" s="269" t="n">
        <f aca="false">SUM(H533:I533)</f>
        <v>84.8279243257141</v>
      </c>
      <c r="K533" s="270" t="n">
        <f aca="false">J533/SUM($J$7:$J$749)</f>
        <v>9.39670392136839E-006</v>
      </c>
      <c r="L533" s="271" t="n">
        <f aca="false">K533+L532</f>
        <v>0.998943210948437</v>
      </c>
    </row>
    <row r="534" customFormat="false" ht="38.25" hidden="false" customHeight="false" outlineLevel="0" collapsed="false">
      <c r="A534" s="264" t="n">
        <f aca="false">K534</f>
        <v>9.39670392136839E-006</v>
      </c>
      <c r="B534" s="265" t="str">
        <f aca="false">VLOOKUP($C534,01_SINTETICO!$B:$N,13,0)</f>
        <v>11.5.1.12</v>
      </c>
      <c r="C534" s="266" t="n">
        <v>104351</v>
      </c>
      <c r="D534" s="266" t="str">
        <f aca="false">VLOOKUP($C534,01_SINTETICO!$B:$M,2,0)</f>
        <v>TERMINAL DE VENTILAÇÃO, PVC, SÉRIE NORMAL, ESGOTO PREDIAL, DN 75 MM, JUNTA SOLDÁVEL, FORNECIDO E INSTALADO EM PRUMADA DE ESGOTO SANITÁRIO OU VENTILAÇÃO. AF_08/2022</v>
      </c>
      <c r="E534" s="266" t="str">
        <f aca="false">VLOOKUP($B534,01_SINTETICO!$A:$M,4,0)</f>
        <v>SER.CG</v>
      </c>
      <c r="F534" s="267" t="str">
        <f aca="false">VLOOKUP($B534,01_SINTETICO!$A:$M,5,0)</f>
        <v>UN</v>
      </c>
      <c r="G534" s="267" t="n">
        <f aca="true">SUMIFS(INDIRECT("'01_SINTETICO'!F7:F995"),INDIRECT("'01_SINTETICO'!B7:B995"),$C534)</f>
        <v>3</v>
      </c>
      <c r="H534" s="268" t="n">
        <f aca="false">VLOOKUP($C534,01_SINTETICO!$B:$M,6,0)*$G534*(1+BDI_MAT)</f>
        <v>79.366120545</v>
      </c>
      <c r="I534" s="268" t="n">
        <f aca="false">VLOOKUP($C534,01_SINTETICO!$B:$M,7,0)*$G534*(1+BDI_MDO)</f>
        <v>5.46180378071407</v>
      </c>
      <c r="J534" s="269" t="n">
        <f aca="false">SUM(H534:I534)</f>
        <v>84.8279243257141</v>
      </c>
      <c r="K534" s="270" t="n">
        <f aca="false">J534/SUM($J$7:$J$749)</f>
        <v>9.39670392136839E-006</v>
      </c>
      <c r="L534" s="271" t="n">
        <f aca="false">K534+L533</f>
        <v>0.998952607652359</v>
      </c>
    </row>
    <row r="535" customFormat="false" ht="38.25" hidden="false" customHeight="false" outlineLevel="0" collapsed="false">
      <c r="A535" s="264" t="n">
        <f aca="false">K535</f>
        <v>9.39670392136839E-006</v>
      </c>
      <c r="B535" s="265" t="str">
        <f aca="false">VLOOKUP($C535,01_SINTETICO!$B:$N,13,0)</f>
        <v>11.5.1.12</v>
      </c>
      <c r="C535" s="272" t="n">
        <v>104351</v>
      </c>
      <c r="D535" s="266" t="str">
        <f aca="false">VLOOKUP($C535,01_SINTETICO!$B:$M,2,0)</f>
        <v>TERMINAL DE VENTILAÇÃO, PVC, SÉRIE NORMAL, ESGOTO PREDIAL, DN 75 MM, JUNTA SOLDÁVEL, FORNECIDO E INSTALADO EM PRUMADA DE ESGOTO SANITÁRIO OU VENTILAÇÃO. AF_08/2022</v>
      </c>
      <c r="E535" s="272" t="str">
        <f aca="false">VLOOKUP($B535,01_SINTETICO!$A:$M,4,0)</f>
        <v>SER.CG</v>
      </c>
      <c r="F535" s="273" t="str">
        <f aca="false">VLOOKUP($B535,01_SINTETICO!$A:$M,5,0)</f>
        <v>UN</v>
      </c>
      <c r="G535" s="267" t="n">
        <f aca="true">SUMIFS(INDIRECT("'01_SINTETICO'!F7:F995"),INDIRECT("'01_SINTETICO'!B7:B995"),$C535)</f>
        <v>3</v>
      </c>
      <c r="H535" s="268" t="n">
        <f aca="false">VLOOKUP($C535,01_SINTETICO!$B:$M,6,0)*$G535*(1+BDI_MAT)</f>
        <v>79.366120545</v>
      </c>
      <c r="I535" s="268" t="n">
        <f aca="false">VLOOKUP($C535,01_SINTETICO!$B:$M,7,0)*$G535*(1+BDI_MDO)</f>
        <v>5.46180378071407</v>
      </c>
      <c r="J535" s="269" t="n">
        <f aca="false">SUM(H535:I535)</f>
        <v>84.8279243257141</v>
      </c>
      <c r="K535" s="270" t="n">
        <f aca="false">J535/SUM($J$7:$J$749)</f>
        <v>9.39670392136839E-006</v>
      </c>
      <c r="L535" s="271" t="n">
        <f aca="false">K535+L534</f>
        <v>0.99896200435628</v>
      </c>
    </row>
    <row r="536" customFormat="false" ht="38.25" hidden="false" customHeight="false" outlineLevel="0" collapsed="false">
      <c r="A536" s="264" t="n">
        <f aca="false">K536</f>
        <v>9.39670392136839E-006</v>
      </c>
      <c r="B536" s="265" t="str">
        <f aca="false">VLOOKUP($C536,01_SINTETICO!$B:$N,13,0)</f>
        <v>11.5.1.12</v>
      </c>
      <c r="C536" s="266" t="n">
        <v>104351</v>
      </c>
      <c r="D536" s="266" t="str">
        <f aca="false">VLOOKUP($C536,01_SINTETICO!$B:$M,2,0)</f>
        <v>TERMINAL DE VENTILAÇÃO, PVC, SÉRIE NORMAL, ESGOTO PREDIAL, DN 75 MM, JUNTA SOLDÁVEL, FORNECIDO E INSTALADO EM PRUMADA DE ESGOTO SANITÁRIO OU VENTILAÇÃO. AF_08/2022</v>
      </c>
      <c r="E536" s="266" t="str">
        <f aca="false">VLOOKUP($B536,01_SINTETICO!$A:$M,4,0)</f>
        <v>SER.CG</v>
      </c>
      <c r="F536" s="267" t="str">
        <f aca="false">VLOOKUP($B536,01_SINTETICO!$A:$M,5,0)</f>
        <v>UN</v>
      </c>
      <c r="G536" s="267" t="n">
        <f aca="true">SUMIFS(INDIRECT("'01_SINTETICO'!F7:F995"),INDIRECT("'01_SINTETICO'!B7:B995"),$C536)</f>
        <v>3</v>
      </c>
      <c r="H536" s="268" t="n">
        <f aca="false">VLOOKUP($C536,01_SINTETICO!$B:$M,6,0)*$G536*(1+BDI_MAT)</f>
        <v>79.366120545</v>
      </c>
      <c r="I536" s="268" t="n">
        <f aca="false">VLOOKUP($C536,01_SINTETICO!$B:$M,7,0)*$G536*(1+BDI_MDO)</f>
        <v>5.46180378071407</v>
      </c>
      <c r="J536" s="269" t="n">
        <f aca="false">SUM(H536:I536)</f>
        <v>84.8279243257141</v>
      </c>
      <c r="K536" s="270" t="n">
        <f aca="false">J536/SUM($J$7:$J$749)</f>
        <v>9.39670392136839E-006</v>
      </c>
      <c r="L536" s="271" t="n">
        <f aca="false">K536+L535</f>
        <v>0.998971401060202</v>
      </c>
    </row>
    <row r="537" customFormat="false" ht="38.25" hidden="false" customHeight="false" outlineLevel="0" collapsed="false">
      <c r="A537" s="264" t="n">
        <f aca="false">K537</f>
        <v>9.29946895865072E-006</v>
      </c>
      <c r="B537" s="265" t="str">
        <f aca="false">VLOOKUP($C537,01_SINTETICO!$B:$N,13,0)</f>
        <v>11.2.3.23</v>
      </c>
      <c r="C537" s="272" t="s">
        <v>727</v>
      </c>
      <c r="D537" s="266" t="str">
        <f aca="false">VLOOKUP($C537,01_SINTETICO!$B:$M,2,0)</f>
        <v>REDUÇÃO EXCÊNTRICA, PVC, SERIE NORMAL, ESGOTO, DN 100 X 50 MM, JUNTA ELÁSTICA, FORNECIDO E INSTALADO EM PRUMADA DE ESGOTO SANITÁRIO OU VENTILAÇÃO.</v>
      </c>
      <c r="E537" s="272" t="str">
        <f aca="false">VLOOKUP($B537,01_SINTETICO!$A:$M,4,0)</f>
        <v>SER.CG</v>
      </c>
      <c r="F537" s="273" t="str">
        <f aca="false">VLOOKUP($B537,01_SINTETICO!$A:$M,5,0)</f>
        <v>UN</v>
      </c>
      <c r="G537" s="267" t="n">
        <f aca="true">SUMIFS(INDIRECT("'01_SINTETICO'!F7:F995"),INDIRECT("'01_SINTETICO'!B7:B995"),$C537)</f>
        <v>4</v>
      </c>
      <c r="H537" s="268" t="n">
        <f aca="false">VLOOKUP($C537,01_SINTETICO!$B:$M,6,0)*$G537*(1+BDI_MAT)</f>
        <v>71.0364760608</v>
      </c>
      <c r="I537" s="268" t="n">
        <f aca="false">VLOOKUP($C537,01_SINTETICO!$B:$M,7,0)*$G537*(1+BDI_MDO)</f>
        <v>12.9136681275117</v>
      </c>
      <c r="J537" s="269" t="n">
        <f aca="false">SUM(H537:I537)</f>
        <v>83.9501441883117</v>
      </c>
      <c r="K537" s="270" t="n">
        <f aca="false">J537/SUM($J$7:$J$749)</f>
        <v>9.29946895865072E-006</v>
      </c>
      <c r="L537" s="271" t="n">
        <f aca="false">K537+L536</f>
        <v>0.99898070052916</v>
      </c>
    </row>
    <row r="538" customFormat="false" ht="25.5" hidden="false" customHeight="false" outlineLevel="0" collapsed="false">
      <c r="A538" s="264" t="n">
        <f aca="false">K538</f>
        <v>9.11393608082623E-006</v>
      </c>
      <c r="B538" s="265" t="str">
        <f aca="false">VLOOKUP($C538,01_SINTETICO!$B:$N,13,0)</f>
        <v>15.4.2.11</v>
      </c>
      <c r="C538" s="272" t="n">
        <v>99624</v>
      </c>
      <c r="D538" s="266" t="str">
        <f aca="false">VLOOKUP($C538,01_SINTETICO!$B:$M,2,0)</f>
        <v>VÁLVULA DE RETENÇÃO HORIZONTAL, DE BRONZE, ROSCÁVEL, 2 1/2" - FORNECIMENTO E INSTALAÇÃO. AF_08/2021</v>
      </c>
      <c r="E538" s="272" t="str">
        <f aca="false">VLOOKUP($B538,01_SINTETICO!$A:$M,4,0)</f>
        <v>SER.CG</v>
      </c>
      <c r="F538" s="273" t="str">
        <f aca="false">VLOOKUP($B538,01_SINTETICO!$A:$M,5,0)</f>
        <v>UN</v>
      </c>
      <c r="G538" s="267" t="n">
        <f aca="true">SUMIFS(INDIRECT("'01_SINTETICO'!F7:F995"),INDIRECT("'01_SINTETICO'!B7:B995"),$C538)</f>
        <v>3</v>
      </c>
      <c r="H538" s="268" t="n">
        <f aca="false">VLOOKUP($C538,01_SINTETICO!$B:$M,6,0)*$G538*(1+BDI_DIF)</f>
        <v>23.0166466095522</v>
      </c>
      <c r="I538" s="268" t="n">
        <f aca="false">VLOOKUP($C538,01_SINTETICO!$B:$M,7,0)*$G538*(1+BDI_MDO)</f>
        <v>59.2586157210649</v>
      </c>
      <c r="J538" s="269" t="n">
        <f aca="false">SUM(H538:I538)</f>
        <v>82.2752623306171</v>
      </c>
      <c r="K538" s="270" t="n">
        <f aca="false">J538/SUM($J$7:$J$749)</f>
        <v>9.11393608082623E-006</v>
      </c>
      <c r="L538" s="271" t="n">
        <f aca="false">K538+L537</f>
        <v>0.998989814465241</v>
      </c>
    </row>
    <row r="539" customFormat="false" ht="25.5" hidden="false" customHeight="false" outlineLevel="0" collapsed="false">
      <c r="A539" s="264" t="n">
        <f aca="false">K539</f>
        <v>8.94040353353582E-006</v>
      </c>
      <c r="B539" s="265" t="str">
        <f aca="false">VLOOKUP($C539,01_SINTETICO!$B:$N,13,0)</f>
        <v>15.2.5</v>
      </c>
      <c r="C539" s="266" t="s">
        <v>1141</v>
      </c>
      <c r="D539" s="266" t="str">
        <f aca="false">VLOOKUP($C539,01_SINTETICO!$B:$M,2,0)</f>
        <v>PLACA FOTOLUMINESCENTE - 60X30CM.</v>
      </c>
      <c r="E539" s="266" t="str">
        <f aca="false">VLOOKUP($B539,01_SINTETICO!$A:$M,4,0)</f>
        <v>SER.CG</v>
      </c>
      <c r="F539" s="267" t="str">
        <f aca="false">VLOOKUP($B539,01_SINTETICO!$A:$M,5,0)</f>
        <v>UN</v>
      </c>
      <c r="G539" s="267" t="n">
        <f aca="true">SUMIFS(INDIRECT("'01_SINTETICO'!F7:F995"),INDIRECT("'01_SINTETICO'!B7:B995"),$C539)</f>
        <v>1</v>
      </c>
      <c r="H539" s="268" t="n">
        <f aca="false">VLOOKUP($C539,01_SINTETICO!$B:$M,6,0)*$G539*(1+BDI_MAT)</f>
        <v>77.3367192</v>
      </c>
      <c r="I539" s="268" t="n">
        <f aca="false">VLOOKUP($C539,01_SINTETICO!$B:$M,7,0)*$G539*(1+BDI_MDO)</f>
        <v>3.3719932092</v>
      </c>
      <c r="J539" s="269" t="n">
        <f aca="false">SUM(H539:I539)</f>
        <v>80.7087124092</v>
      </c>
      <c r="K539" s="270" t="n">
        <f aca="false">J539/SUM($J$7:$J$749)</f>
        <v>8.94040353353582E-006</v>
      </c>
      <c r="L539" s="271" t="n">
        <f aca="false">K539+L538</f>
        <v>0.998998754868775</v>
      </c>
    </row>
    <row r="540" customFormat="false" ht="25.5" hidden="false" customHeight="false" outlineLevel="0" collapsed="false">
      <c r="A540" s="264" t="n">
        <f aca="false">K540</f>
        <v>8.94040353353582E-006</v>
      </c>
      <c r="B540" s="265" t="str">
        <f aca="false">VLOOKUP($C540,01_SINTETICO!$B:$N,13,0)</f>
        <v>15.2.5</v>
      </c>
      <c r="C540" s="272" t="s">
        <v>1141</v>
      </c>
      <c r="D540" s="266" t="str">
        <f aca="false">VLOOKUP($C540,01_SINTETICO!$B:$M,2,0)</f>
        <v>PLACA FOTOLUMINESCENTE - 60X30CM.</v>
      </c>
      <c r="E540" s="272" t="str">
        <f aca="false">VLOOKUP($B540,01_SINTETICO!$A:$M,4,0)</f>
        <v>SER.CG</v>
      </c>
      <c r="F540" s="273" t="str">
        <f aca="false">VLOOKUP($B540,01_SINTETICO!$A:$M,5,0)</f>
        <v>UN</v>
      </c>
      <c r="G540" s="267" t="n">
        <f aca="true">SUMIFS(INDIRECT("'01_SINTETICO'!F7:F995"),INDIRECT("'01_SINTETICO'!B7:B995"),$C540)</f>
        <v>1</v>
      </c>
      <c r="H540" s="268" t="n">
        <f aca="false">VLOOKUP($C540,01_SINTETICO!$B:$M,6,0)*$G540*(1+BDI_MAT)</f>
        <v>77.3367192</v>
      </c>
      <c r="I540" s="268" t="n">
        <f aca="false">VLOOKUP($C540,01_SINTETICO!$B:$M,7,0)*$G540*(1+BDI_MDO)</f>
        <v>3.3719932092</v>
      </c>
      <c r="J540" s="269" t="n">
        <f aca="false">SUM(H540:I540)</f>
        <v>80.7087124092</v>
      </c>
      <c r="K540" s="270" t="n">
        <f aca="false">J540/SUM($J$7:$J$749)</f>
        <v>8.94040353353582E-006</v>
      </c>
      <c r="L540" s="271" t="n">
        <f aca="false">K540+L539</f>
        <v>0.999007695272308</v>
      </c>
    </row>
    <row r="541" customFormat="false" ht="25.5" hidden="false" customHeight="false" outlineLevel="0" collapsed="false">
      <c r="A541" s="264" t="n">
        <f aca="false">K541</f>
        <v>8.94040353353582E-006</v>
      </c>
      <c r="B541" s="265" t="str">
        <f aca="false">VLOOKUP($C541,01_SINTETICO!$B:$N,13,0)</f>
        <v>15.2.5</v>
      </c>
      <c r="C541" s="266" t="s">
        <v>1141</v>
      </c>
      <c r="D541" s="266" t="str">
        <f aca="false">VLOOKUP($C541,01_SINTETICO!$B:$M,2,0)</f>
        <v>PLACA FOTOLUMINESCENTE - 60X30CM.</v>
      </c>
      <c r="E541" s="266" t="str">
        <f aca="false">VLOOKUP($B541,01_SINTETICO!$A:$M,4,0)</f>
        <v>SER.CG</v>
      </c>
      <c r="F541" s="267" t="str">
        <f aca="false">VLOOKUP($B541,01_SINTETICO!$A:$M,5,0)</f>
        <v>UN</v>
      </c>
      <c r="G541" s="267" t="n">
        <f aca="true">SUMIFS(INDIRECT("'01_SINTETICO'!F7:F995"),INDIRECT("'01_SINTETICO'!B7:B995"),$C541)</f>
        <v>1</v>
      </c>
      <c r="H541" s="268" t="n">
        <f aca="false">VLOOKUP($C541,01_SINTETICO!$B:$M,6,0)*$G541*(1+BDI_MAT)</f>
        <v>77.3367192</v>
      </c>
      <c r="I541" s="268" t="n">
        <f aca="false">VLOOKUP($C541,01_SINTETICO!$B:$M,7,0)*$G541*(1+BDI_MDO)</f>
        <v>3.3719932092</v>
      </c>
      <c r="J541" s="269" t="n">
        <f aca="false">SUM(H541:I541)</f>
        <v>80.7087124092</v>
      </c>
      <c r="K541" s="270" t="n">
        <f aca="false">J541/SUM($J$7:$J$749)</f>
        <v>8.94040353353582E-006</v>
      </c>
      <c r="L541" s="271" t="n">
        <f aca="false">K541+L540</f>
        <v>0.999016635675842</v>
      </c>
    </row>
    <row r="542" customFormat="false" ht="25.5" hidden="false" customHeight="false" outlineLevel="0" collapsed="false">
      <c r="A542" s="264" t="n">
        <f aca="false">K542</f>
        <v>8.94040353353582E-006</v>
      </c>
      <c r="B542" s="265" t="str">
        <f aca="false">VLOOKUP($C542,01_SINTETICO!$B:$N,13,0)</f>
        <v>15.2.5</v>
      </c>
      <c r="C542" s="266" t="s">
        <v>1141</v>
      </c>
      <c r="D542" s="266" t="str">
        <f aca="false">VLOOKUP($C542,01_SINTETICO!$B:$M,2,0)</f>
        <v>PLACA FOTOLUMINESCENTE - 60X30CM.</v>
      </c>
      <c r="E542" s="266" t="str">
        <f aca="false">VLOOKUP($B542,01_SINTETICO!$A:$M,4,0)</f>
        <v>SER.CG</v>
      </c>
      <c r="F542" s="267" t="str">
        <f aca="false">VLOOKUP($B542,01_SINTETICO!$A:$M,5,0)</f>
        <v>UN</v>
      </c>
      <c r="G542" s="267" t="n">
        <f aca="true">SUMIFS(INDIRECT("'01_SINTETICO'!F7:F995"),INDIRECT("'01_SINTETICO'!B7:B995"),$C542)</f>
        <v>1</v>
      </c>
      <c r="H542" s="268" t="n">
        <f aca="false">VLOOKUP($C542,01_SINTETICO!$B:$M,6,0)*$G542*(1+BDI_MAT)</f>
        <v>77.3367192</v>
      </c>
      <c r="I542" s="268" t="n">
        <f aca="false">VLOOKUP($C542,01_SINTETICO!$B:$M,7,0)*$G542*(1+BDI_MDO)</f>
        <v>3.3719932092</v>
      </c>
      <c r="J542" s="269" t="n">
        <f aca="false">SUM(H542:I542)</f>
        <v>80.7087124092</v>
      </c>
      <c r="K542" s="270" t="n">
        <f aca="false">J542/SUM($J$7:$J$749)</f>
        <v>8.94040353353582E-006</v>
      </c>
      <c r="L542" s="271" t="n">
        <f aca="false">K542+L541</f>
        <v>0.999025576079375</v>
      </c>
    </row>
    <row r="543" customFormat="false" ht="25.5" hidden="false" customHeight="false" outlineLevel="0" collapsed="false">
      <c r="A543" s="264" t="n">
        <f aca="false">K543</f>
        <v>8.67011342246388E-006</v>
      </c>
      <c r="B543" s="265" t="str">
        <f aca="false">VLOOKUP($C543,01_SINTETICO!$B:$N,13,0)</f>
        <v>15.2.9</v>
      </c>
      <c r="C543" s="266" t="s">
        <v>1149</v>
      </c>
      <c r="D543" s="266" t="str">
        <f aca="false">VLOOKUP($C543,01_SINTETICO!$B:$M,2,0)</f>
        <v>PLACA FOTOLUMINESCENTE DE SINALIZAÇÃO EM PVC, COM PICTOGRAMAS DE HIDRANTE - 20X20CM.</v>
      </c>
      <c r="E543" s="266" t="str">
        <f aca="false">VLOOKUP($B543,01_SINTETICO!$A:$M,4,0)</f>
        <v>SER.CG</v>
      </c>
      <c r="F543" s="267" t="str">
        <f aca="false">VLOOKUP($B543,01_SINTETICO!$A:$M,5,0)</f>
        <v>UN</v>
      </c>
      <c r="G543" s="267" t="n">
        <f aca="true">SUMIFS(INDIRECT("'01_SINTETICO'!F7:F995"),INDIRECT("'01_SINTETICO'!B7:B995"),$C543)</f>
        <v>3</v>
      </c>
      <c r="H543" s="268" t="n">
        <f aca="false">VLOOKUP($C543,01_SINTETICO!$B:$M,6,0)*$G543*(1+BDI_MAT)</f>
        <v>68.1527124</v>
      </c>
      <c r="I543" s="268" t="n">
        <f aca="false">VLOOKUP($C543,01_SINTETICO!$B:$M,7,0)*$G543*(1+BDI_MDO)</f>
        <v>10.1159796276</v>
      </c>
      <c r="J543" s="269" t="n">
        <f aca="false">SUM(H543:I543)</f>
        <v>78.2686920276</v>
      </c>
      <c r="K543" s="270" t="n">
        <f aca="false">J543/SUM($J$7:$J$749)</f>
        <v>8.67011342246388E-006</v>
      </c>
      <c r="L543" s="271" t="n">
        <f aca="false">K543+L542</f>
        <v>0.999034246192798</v>
      </c>
    </row>
    <row r="544" customFormat="false" ht="25.5" hidden="false" customHeight="false" outlineLevel="0" collapsed="false">
      <c r="A544" s="264" t="n">
        <f aca="false">K544</f>
        <v>8.67011342246388E-006</v>
      </c>
      <c r="B544" s="265" t="str">
        <f aca="false">VLOOKUP($C544,01_SINTETICO!$B:$N,13,0)</f>
        <v>15.2.9</v>
      </c>
      <c r="C544" s="272" t="s">
        <v>1149</v>
      </c>
      <c r="D544" s="266" t="str">
        <f aca="false">VLOOKUP($C544,01_SINTETICO!$B:$M,2,0)</f>
        <v>PLACA FOTOLUMINESCENTE DE SINALIZAÇÃO EM PVC, COM PICTOGRAMAS DE HIDRANTE - 20X20CM.</v>
      </c>
      <c r="E544" s="272" t="str">
        <f aca="false">VLOOKUP($B544,01_SINTETICO!$A:$M,4,0)</f>
        <v>SER.CG</v>
      </c>
      <c r="F544" s="273" t="str">
        <f aca="false">VLOOKUP($B544,01_SINTETICO!$A:$M,5,0)</f>
        <v>UN</v>
      </c>
      <c r="G544" s="267" t="n">
        <f aca="true">SUMIFS(INDIRECT("'01_SINTETICO'!F7:F995"),INDIRECT("'01_SINTETICO'!B7:B995"),$C544)</f>
        <v>3</v>
      </c>
      <c r="H544" s="268" t="n">
        <f aca="false">VLOOKUP($C544,01_SINTETICO!$B:$M,6,0)*$G544*(1+BDI_MAT)</f>
        <v>68.1527124</v>
      </c>
      <c r="I544" s="268" t="n">
        <f aca="false">VLOOKUP($C544,01_SINTETICO!$B:$M,7,0)*$G544*(1+BDI_MDO)</f>
        <v>10.1159796276</v>
      </c>
      <c r="J544" s="269" t="n">
        <f aca="false">SUM(H544:I544)</f>
        <v>78.2686920276</v>
      </c>
      <c r="K544" s="270" t="n">
        <f aca="false">J544/SUM($J$7:$J$749)</f>
        <v>8.67011342246388E-006</v>
      </c>
      <c r="L544" s="271" t="n">
        <f aca="false">K544+L543</f>
        <v>0.99904291630622</v>
      </c>
    </row>
    <row r="545" customFormat="false" ht="25.5" hidden="false" customHeight="false" outlineLevel="0" collapsed="false">
      <c r="A545" s="264" t="n">
        <f aca="false">K545</f>
        <v>8.67011342246388E-006</v>
      </c>
      <c r="B545" s="265" t="str">
        <f aca="false">VLOOKUP($C545,01_SINTETICO!$B:$N,13,0)</f>
        <v>15.2.9</v>
      </c>
      <c r="C545" s="272" t="s">
        <v>1149</v>
      </c>
      <c r="D545" s="266" t="str">
        <f aca="false">VLOOKUP($C545,01_SINTETICO!$B:$M,2,0)</f>
        <v>PLACA FOTOLUMINESCENTE DE SINALIZAÇÃO EM PVC, COM PICTOGRAMAS DE HIDRANTE - 20X20CM.</v>
      </c>
      <c r="E545" s="272" t="str">
        <f aca="false">VLOOKUP($B545,01_SINTETICO!$A:$M,4,0)</f>
        <v>SER.CG</v>
      </c>
      <c r="F545" s="273" t="str">
        <f aca="false">VLOOKUP($B545,01_SINTETICO!$A:$M,5,0)</f>
        <v>UN</v>
      </c>
      <c r="G545" s="267" t="n">
        <f aca="true">SUMIFS(INDIRECT("'01_SINTETICO'!F7:F995"),INDIRECT("'01_SINTETICO'!B7:B995"),$C545)</f>
        <v>3</v>
      </c>
      <c r="H545" s="268" t="n">
        <f aca="false">VLOOKUP($C545,01_SINTETICO!$B:$M,6,0)*$G545*(1+BDI_MAT)</f>
        <v>68.1527124</v>
      </c>
      <c r="I545" s="268" t="n">
        <f aca="false">VLOOKUP($C545,01_SINTETICO!$B:$M,7,0)*$G545*(1+BDI_MDO)</f>
        <v>10.1159796276</v>
      </c>
      <c r="J545" s="269" t="n">
        <f aca="false">SUM(H545:I545)</f>
        <v>78.2686920276</v>
      </c>
      <c r="K545" s="270" t="n">
        <f aca="false">J545/SUM($J$7:$J$749)</f>
        <v>8.67011342246388E-006</v>
      </c>
      <c r="L545" s="271" t="n">
        <f aca="false">K545+L544</f>
        <v>0.999051586419643</v>
      </c>
    </row>
    <row r="546" customFormat="false" ht="25.5" hidden="false" customHeight="false" outlineLevel="0" collapsed="false">
      <c r="A546" s="264" t="n">
        <f aca="false">K546</f>
        <v>8.67011342246388E-006</v>
      </c>
      <c r="B546" s="265" t="str">
        <f aca="false">VLOOKUP($C546,01_SINTETICO!$B:$N,13,0)</f>
        <v>15.2.9</v>
      </c>
      <c r="C546" s="266" t="s">
        <v>1149</v>
      </c>
      <c r="D546" s="266" t="str">
        <f aca="false">VLOOKUP($C546,01_SINTETICO!$B:$M,2,0)</f>
        <v>PLACA FOTOLUMINESCENTE DE SINALIZAÇÃO EM PVC, COM PICTOGRAMAS DE HIDRANTE - 20X20CM.</v>
      </c>
      <c r="E546" s="266" t="str">
        <f aca="false">VLOOKUP($B546,01_SINTETICO!$A:$M,4,0)</f>
        <v>SER.CG</v>
      </c>
      <c r="F546" s="267" t="str">
        <f aca="false">VLOOKUP($B546,01_SINTETICO!$A:$M,5,0)</f>
        <v>UN</v>
      </c>
      <c r="G546" s="267" t="n">
        <f aca="true">SUMIFS(INDIRECT("'01_SINTETICO'!F7:F995"),INDIRECT("'01_SINTETICO'!B7:B995"),$C546)</f>
        <v>3</v>
      </c>
      <c r="H546" s="268" t="n">
        <f aca="false">VLOOKUP($C546,01_SINTETICO!$B:$M,6,0)*$G546*(1+BDI_MAT)</f>
        <v>68.1527124</v>
      </c>
      <c r="I546" s="268" t="n">
        <f aca="false">VLOOKUP($C546,01_SINTETICO!$B:$M,7,0)*$G546*(1+BDI_MDO)</f>
        <v>10.1159796276</v>
      </c>
      <c r="J546" s="269" t="n">
        <f aca="false">SUM(H546:I546)</f>
        <v>78.2686920276</v>
      </c>
      <c r="K546" s="270" t="n">
        <f aca="false">J546/SUM($J$7:$J$749)</f>
        <v>8.67011342246388E-006</v>
      </c>
      <c r="L546" s="271" t="n">
        <f aca="false">K546+L545</f>
        <v>0.999060256533065</v>
      </c>
    </row>
    <row r="547" customFormat="false" ht="25.5" hidden="false" customHeight="false" outlineLevel="0" collapsed="false">
      <c r="A547" s="264" t="n">
        <f aca="false">K547</f>
        <v>8.62281362415504E-006</v>
      </c>
      <c r="B547" s="265" t="str">
        <f aca="false">VLOOKUP($C547,01_SINTETICO!$B:$N,13,0)</f>
        <v>15.2.7</v>
      </c>
      <c r="C547" s="272" t="s">
        <v>1145</v>
      </c>
      <c r="D547" s="266" t="str">
        <f aca="false">VLOOKUP($C547,01_SINTETICO!$B:$M,2,0)</f>
        <v>PLACA FOTOLUMINESCENTE DE SINALIZAÇÃO EM PVC, COM PICTOGRAMA DE ALARME - 20X20CM.</v>
      </c>
      <c r="E547" s="272" t="str">
        <f aca="false">VLOOKUP($B547,01_SINTETICO!$A:$M,4,0)</f>
        <v>SER.CG</v>
      </c>
      <c r="F547" s="273" t="str">
        <f aca="false">VLOOKUP($B547,01_SINTETICO!$A:$M,5,0)</f>
        <v>UN</v>
      </c>
      <c r="G547" s="267" t="n">
        <f aca="true">SUMIFS(INDIRECT("'01_SINTETICO'!F7:F995"),INDIRECT("'01_SINTETICO'!B7:B995"),$C547)</f>
        <v>3</v>
      </c>
      <c r="H547" s="268" t="n">
        <f aca="false">VLOOKUP($C547,01_SINTETICO!$B:$M,6,0)*$G547*(1+BDI_MAT)</f>
        <v>67.7257176</v>
      </c>
      <c r="I547" s="268" t="n">
        <f aca="false">VLOOKUP($C547,01_SINTETICO!$B:$M,7,0)*$G547*(1+BDI_MDO)</f>
        <v>10.1159796276</v>
      </c>
      <c r="J547" s="269" t="n">
        <f aca="false">SUM(H547:I547)</f>
        <v>77.8416972276</v>
      </c>
      <c r="K547" s="270" t="n">
        <f aca="false">J547/SUM($J$7:$J$749)</f>
        <v>8.62281362415504E-006</v>
      </c>
      <c r="L547" s="271" t="n">
        <f aca="false">K547+L546</f>
        <v>0.999068879346689</v>
      </c>
    </row>
    <row r="548" customFormat="false" ht="25.5" hidden="false" customHeight="false" outlineLevel="0" collapsed="false">
      <c r="A548" s="264" t="n">
        <f aca="false">K548</f>
        <v>8.62281362415504E-006</v>
      </c>
      <c r="B548" s="265" t="str">
        <f aca="false">VLOOKUP($C548,01_SINTETICO!$B:$N,13,0)</f>
        <v>15.2.7</v>
      </c>
      <c r="C548" s="266" t="s">
        <v>1145</v>
      </c>
      <c r="D548" s="266" t="str">
        <f aca="false">VLOOKUP($C548,01_SINTETICO!$B:$M,2,0)</f>
        <v>PLACA FOTOLUMINESCENTE DE SINALIZAÇÃO EM PVC, COM PICTOGRAMA DE ALARME - 20X20CM.</v>
      </c>
      <c r="E548" s="266" t="str">
        <f aca="false">VLOOKUP($B548,01_SINTETICO!$A:$M,4,0)</f>
        <v>SER.CG</v>
      </c>
      <c r="F548" s="267" t="str">
        <f aca="false">VLOOKUP($B548,01_SINTETICO!$A:$M,5,0)</f>
        <v>UN</v>
      </c>
      <c r="G548" s="267" t="n">
        <f aca="true">SUMIFS(INDIRECT("'01_SINTETICO'!F7:F995"),INDIRECT("'01_SINTETICO'!B7:B995"),$C548)</f>
        <v>3</v>
      </c>
      <c r="H548" s="268" t="n">
        <f aca="false">VLOOKUP($C548,01_SINTETICO!$B:$M,6,0)*$G548*(1+BDI_MAT)</f>
        <v>67.7257176</v>
      </c>
      <c r="I548" s="268" t="n">
        <f aca="false">VLOOKUP($C548,01_SINTETICO!$B:$M,7,0)*$G548*(1+BDI_MDO)</f>
        <v>10.1159796276</v>
      </c>
      <c r="J548" s="269" t="n">
        <f aca="false">SUM(H548:I548)</f>
        <v>77.8416972276</v>
      </c>
      <c r="K548" s="270" t="n">
        <f aca="false">J548/SUM($J$7:$J$749)</f>
        <v>8.62281362415504E-006</v>
      </c>
      <c r="L548" s="271" t="n">
        <f aca="false">K548+L547</f>
        <v>0.999077502160313</v>
      </c>
    </row>
    <row r="549" customFormat="false" ht="25.5" hidden="false" customHeight="false" outlineLevel="0" collapsed="false">
      <c r="A549" s="264" t="n">
        <f aca="false">K549</f>
        <v>8.62281362415504E-006</v>
      </c>
      <c r="B549" s="265" t="str">
        <f aca="false">VLOOKUP($C549,01_SINTETICO!$B:$N,13,0)</f>
        <v>15.2.7</v>
      </c>
      <c r="C549" s="272" t="s">
        <v>1145</v>
      </c>
      <c r="D549" s="266" t="str">
        <f aca="false">VLOOKUP($C549,01_SINTETICO!$B:$M,2,0)</f>
        <v>PLACA FOTOLUMINESCENTE DE SINALIZAÇÃO EM PVC, COM PICTOGRAMA DE ALARME - 20X20CM.</v>
      </c>
      <c r="E549" s="272" t="str">
        <f aca="false">VLOOKUP($B549,01_SINTETICO!$A:$M,4,0)</f>
        <v>SER.CG</v>
      </c>
      <c r="F549" s="273" t="str">
        <f aca="false">VLOOKUP($B549,01_SINTETICO!$A:$M,5,0)</f>
        <v>UN</v>
      </c>
      <c r="G549" s="267" t="n">
        <f aca="true">SUMIFS(INDIRECT("'01_SINTETICO'!F7:F995"),INDIRECT("'01_SINTETICO'!B7:B995"),$C549)</f>
        <v>3</v>
      </c>
      <c r="H549" s="268" t="n">
        <f aca="false">VLOOKUP($C549,01_SINTETICO!$B:$M,6,0)*$G549*(1+BDI_MAT)</f>
        <v>67.7257176</v>
      </c>
      <c r="I549" s="268" t="n">
        <f aca="false">VLOOKUP($C549,01_SINTETICO!$B:$M,7,0)*$G549*(1+BDI_MDO)</f>
        <v>10.1159796276</v>
      </c>
      <c r="J549" s="269" t="n">
        <f aca="false">SUM(H549:I549)</f>
        <v>77.8416972276</v>
      </c>
      <c r="K549" s="270" t="n">
        <f aca="false">J549/SUM($J$7:$J$749)</f>
        <v>8.62281362415504E-006</v>
      </c>
      <c r="L549" s="271" t="n">
        <f aca="false">K549+L548</f>
        <v>0.999086124973937</v>
      </c>
    </row>
    <row r="550" customFormat="false" ht="25.5" hidden="false" customHeight="false" outlineLevel="0" collapsed="false">
      <c r="A550" s="264" t="n">
        <f aca="false">K550</f>
        <v>8.62281362415504E-006</v>
      </c>
      <c r="B550" s="265" t="str">
        <f aca="false">VLOOKUP($C550,01_SINTETICO!$B:$N,13,0)</f>
        <v>15.2.7</v>
      </c>
      <c r="C550" s="266" t="s">
        <v>1145</v>
      </c>
      <c r="D550" s="266" t="str">
        <f aca="false">VLOOKUP($C550,01_SINTETICO!$B:$M,2,0)</f>
        <v>PLACA FOTOLUMINESCENTE DE SINALIZAÇÃO EM PVC, COM PICTOGRAMA DE ALARME - 20X20CM.</v>
      </c>
      <c r="E550" s="266" t="str">
        <f aca="false">VLOOKUP($B550,01_SINTETICO!$A:$M,4,0)</f>
        <v>SER.CG</v>
      </c>
      <c r="F550" s="267" t="str">
        <f aca="false">VLOOKUP($B550,01_SINTETICO!$A:$M,5,0)</f>
        <v>UN</v>
      </c>
      <c r="G550" s="267" t="n">
        <f aca="true">SUMIFS(INDIRECT("'01_SINTETICO'!F7:F995"),INDIRECT("'01_SINTETICO'!B7:B995"),$C550)</f>
        <v>3</v>
      </c>
      <c r="H550" s="268" t="n">
        <f aca="false">VLOOKUP($C550,01_SINTETICO!$B:$M,6,0)*$G550*(1+BDI_MAT)</f>
        <v>67.7257176</v>
      </c>
      <c r="I550" s="268" t="n">
        <f aca="false">VLOOKUP($C550,01_SINTETICO!$B:$M,7,0)*$G550*(1+BDI_MDO)</f>
        <v>10.1159796276</v>
      </c>
      <c r="J550" s="269" t="n">
        <f aca="false">SUM(H550:I550)</f>
        <v>77.8416972276</v>
      </c>
      <c r="K550" s="270" t="n">
        <f aca="false">J550/SUM($J$7:$J$749)</f>
        <v>8.62281362415504E-006</v>
      </c>
      <c r="L550" s="271" t="n">
        <f aca="false">K550+L549</f>
        <v>0.999094747787562</v>
      </c>
    </row>
    <row r="551" customFormat="false" ht="25.5" hidden="false" customHeight="false" outlineLevel="0" collapsed="false">
      <c r="A551" s="264" t="n">
        <f aca="false">K551</f>
        <v>8.59568686438527E-006</v>
      </c>
      <c r="B551" s="265" t="str">
        <f aca="false">VLOOKUP($C551,01_SINTETICO!$B:$N,13,0)</f>
        <v>16.1.3.2.14</v>
      </c>
      <c r="C551" s="266" t="n">
        <v>89868</v>
      </c>
      <c r="D551" s="266" t="str">
        <f aca="false">VLOOKUP($C551,01_SINTETICO!$B:$M,2,0)</f>
        <v>LUVA, PVC, SOLDÁVEL, DN 25MM, INSTALADO EM DRENO DE AR-CONDICIONADO - FORNECIMENTO E INSTALAÇÃO. AF_08/2022</v>
      </c>
      <c r="E551" s="266" t="str">
        <f aca="false">VLOOKUP($B551,01_SINTETICO!$A:$M,4,0)</f>
        <v>SER.CG</v>
      </c>
      <c r="F551" s="267" t="str">
        <f aca="false">VLOOKUP($B551,01_SINTETICO!$A:$M,5,0)</f>
        <v>UN</v>
      </c>
      <c r="G551" s="267" t="n">
        <f aca="true">SUMIFS(INDIRECT("'01_SINTETICO'!F7:F995"),INDIRECT("'01_SINTETICO'!B7:B995"),$C551)</f>
        <v>13</v>
      </c>
      <c r="H551" s="268" t="n">
        <f aca="false">VLOOKUP($C551,01_SINTETICO!$B:$M,6,0)*$G551*(1+BDI_MAT)</f>
        <v>35.9663099692</v>
      </c>
      <c r="I551" s="268" t="n">
        <f aca="false">VLOOKUP($C551,01_SINTETICO!$B:$M,7,0)*$G551*(1+BDI_MDO)</f>
        <v>41.630502802722</v>
      </c>
      <c r="J551" s="269" t="n">
        <f aca="false">SUM(H551:I551)</f>
        <v>77.596812771922</v>
      </c>
      <c r="K551" s="270" t="n">
        <f aca="false">J551/SUM($J$7:$J$749)</f>
        <v>8.59568686438527E-006</v>
      </c>
      <c r="L551" s="271" t="n">
        <f aca="false">K551+L550</f>
        <v>0.999103343474426</v>
      </c>
    </row>
    <row r="552" customFormat="false" ht="25.5" hidden="false" customHeight="false" outlineLevel="0" collapsed="false">
      <c r="A552" s="264" t="n">
        <f aca="false">K552</f>
        <v>8.59568686438527E-006</v>
      </c>
      <c r="B552" s="265" t="str">
        <f aca="false">VLOOKUP($C552,01_SINTETICO!$B:$N,13,0)</f>
        <v>16.1.3.2.14</v>
      </c>
      <c r="C552" s="266" t="n">
        <v>89868</v>
      </c>
      <c r="D552" s="266" t="str">
        <f aca="false">VLOOKUP($C552,01_SINTETICO!$B:$M,2,0)</f>
        <v>LUVA, PVC, SOLDÁVEL, DN 25MM, INSTALADO EM DRENO DE AR-CONDICIONADO - FORNECIMENTO E INSTALAÇÃO. AF_08/2022</v>
      </c>
      <c r="E552" s="266" t="str">
        <f aca="false">VLOOKUP($B552,01_SINTETICO!$A:$M,4,0)</f>
        <v>SER.CG</v>
      </c>
      <c r="F552" s="267" t="str">
        <f aca="false">VLOOKUP($B552,01_SINTETICO!$A:$M,5,0)</f>
        <v>UN</v>
      </c>
      <c r="G552" s="267" t="n">
        <f aca="true">SUMIFS(INDIRECT("'01_SINTETICO'!F7:F995"),INDIRECT("'01_SINTETICO'!B7:B995"),$C552)</f>
        <v>13</v>
      </c>
      <c r="H552" s="268" t="n">
        <f aca="false">VLOOKUP($C552,01_SINTETICO!$B:$M,6,0)*$G552*(1+BDI_MAT)</f>
        <v>35.9663099692</v>
      </c>
      <c r="I552" s="268" t="n">
        <f aca="false">VLOOKUP($C552,01_SINTETICO!$B:$M,7,0)*$G552*(1+BDI_MDO)</f>
        <v>41.630502802722</v>
      </c>
      <c r="J552" s="269" t="n">
        <f aca="false">SUM(H552:I552)</f>
        <v>77.596812771922</v>
      </c>
      <c r="K552" s="270" t="n">
        <f aca="false">J552/SUM($J$7:$J$749)</f>
        <v>8.59568686438527E-006</v>
      </c>
      <c r="L552" s="271" t="n">
        <f aca="false">K552+L551</f>
        <v>0.99911193916129</v>
      </c>
    </row>
    <row r="553" customFormat="false" ht="25.5" hidden="false" customHeight="false" outlineLevel="0" collapsed="false">
      <c r="A553" s="264" t="n">
        <f aca="false">K553</f>
        <v>8.59568686438527E-006</v>
      </c>
      <c r="B553" s="265" t="str">
        <f aca="false">VLOOKUP($C553,01_SINTETICO!$B:$N,13,0)</f>
        <v>16.1.3.2.14</v>
      </c>
      <c r="C553" s="266" t="n">
        <v>89868</v>
      </c>
      <c r="D553" s="266" t="str">
        <f aca="false">VLOOKUP($C553,01_SINTETICO!$B:$M,2,0)</f>
        <v>LUVA, PVC, SOLDÁVEL, DN 25MM, INSTALADO EM DRENO DE AR-CONDICIONADO - FORNECIMENTO E INSTALAÇÃO. AF_08/2022</v>
      </c>
      <c r="E553" s="266" t="str">
        <f aca="false">VLOOKUP($B553,01_SINTETICO!$A:$M,4,0)</f>
        <v>SER.CG</v>
      </c>
      <c r="F553" s="267" t="str">
        <f aca="false">VLOOKUP($B553,01_SINTETICO!$A:$M,5,0)</f>
        <v>UN</v>
      </c>
      <c r="G553" s="267" t="n">
        <f aca="true">SUMIFS(INDIRECT("'01_SINTETICO'!F7:F995"),INDIRECT("'01_SINTETICO'!B7:B995"),$C553)</f>
        <v>13</v>
      </c>
      <c r="H553" s="268" t="n">
        <f aca="false">VLOOKUP($C553,01_SINTETICO!$B:$M,6,0)*$G553*(1+BDI_MAT)</f>
        <v>35.9663099692</v>
      </c>
      <c r="I553" s="268" t="n">
        <f aca="false">VLOOKUP($C553,01_SINTETICO!$B:$M,7,0)*$G553*(1+BDI_MDO)</f>
        <v>41.630502802722</v>
      </c>
      <c r="J553" s="269" t="n">
        <f aca="false">SUM(H553:I553)</f>
        <v>77.596812771922</v>
      </c>
      <c r="K553" s="270" t="n">
        <f aca="false">J553/SUM($J$7:$J$749)</f>
        <v>8.59568686438527E-006</v>
      </c>
      <c r="L553" s="271" t="n">
        <f aca="false">K553+L552</f>
        <v>0.999120534848155</v>
      </c>
    </row>
    <row r="554" customFormat="false" ht="25.5" hidden="false" customHeight="false" outlineLevel="0" collapsed="false">
      <c r="A554" s="264" t="n">
        <f aca="false">K554</f>
        <v>8.59568686438527E-006</v>
      </c>
      <c r="B554" s="265" t="str">
        <f aca="false">VLOOKUP($C554,01_SINTETICO!$B:$N,13,0)</f>
        <v>16.1.3.2.14</v>
      </c>
      <c r="C554" s="272" t="n">
        <v>89868</v>
      </c>
      <c r="D554" s="266" t="str">
        <f aca="false">VLOOKUP($C554,01_SINTETICO!$B:$M,2,0)</f>
        <v>LUVA, PVC, SOLDÁVEL, DN 25MM, INSTALADO EM DRENO DE AR-CONDICIONADO - FORNECIMENTO E INSTALAÇÃO. AF_08/2022</v>
      </c>
      <c r="E554" s="272" t="str">
        <f aca="false">VLOOKUP($B554,01_SINTETICO!$A:$M,4,0)</f>
        <v>SER.CG</v>
      </c>
      <c r="F554" s="273" t="str">
        <f aca="false">VLOOKUP($B554,01_SINTETICO!$A:$M,5,0)</f>
        <v>UN</v>
      </c>
      <c r="G554" s="267" t="n">
        <f aca="true">SUMIFS(INDIRECT("'01_SINTETICO'!F7:F995"),INDIRECT("'01_SINTETICO'!B7:B995"),$C554)</f>
        <v>13</v>
      </c>
      <c r="H554" s="268" t="n">
        <f aca="false">VLOOKUP($C554,01_SINTETICO!$B:$M,6,0)*$G554*(1+BDI_MAT)</f>
        <v>35.9663099692</v>
      </c>
      <c r="I554" s="268" t="n">
        <f aca="false">VLOOKUP($C554,01_SINTETICO!$B:$M,7,0)*$G554*(1+BDI_MDO)</f>
        <v>41.630502802722</v>
      </c>
      <c r="J554" s="269" t="n">
        <f aca="false">SUM(H554:I554)</f>
        <v>77.596812771922</v>
      </c>
      <c r="K554" s="270" t="n">
        <f aca="false">J554/SUM($J$7:$J$749)</f>
        <v>8.59568686438527E-006</v>
      </c>
      <c r="L554" s="271" t="n">
        <f aca="false">K554+L553</f>
        <v>0.999129130535019</v>
      </c>
    </row>
    <row r="555" customFormat="false" ht="38.25" hidden="false" customHeight="false" outlineLevel="0" collapsed="false">
      <c r="A555" s="264" t="n">
        <f aca="false">K555</f>
        <v>8.22924878415648E-006</v>
      </c>
      <c r="B555" s="265" t="str">
        <f aca="false">VLOOKUP($C555,01_SINTETICO!$B:$N,13,0)</f>
        <v>11.6.2.2</v>
      </c>
      <c r="C555" s="266" t="n">
        <v>94706</v>
      </c>
      <c r="D555" s="266" t="str">
        <f aca="false">VLOOKUP($C555,01_SINTETICO!$B:$M,2,0)</f>
        <v>ADAPTADOR COM FLANGE E ANEL DE VEDAÇÃO, PVC, SOLDÁVEL, DN 50 MM X 1 1/2", INSTALADO EM RESERVAÇÃO PREDIAL DE ÁGUA - FORNECIMENTO E INSTALAÇÃO. AF_04/2024</v>
      </c>
      <c r="E555" s="266" t="str">
        <f aca="false">VLOOKUP($B555,01_SINTETICO!$A:$M,4,0)</f>
        <v>SER.CG</v>
      </c>
      <c r="F555" s="267" t="str">
        <f aca="false">VLOOKUP($B555,01_SINTETICO!$A:$M,5,0)</f>
        <v>UN</v>
      </c>
      <c r="G555" s="267" t="n">
        <f aca="true">SUMIFS(INDIRECT("'01_SINTETICO'!F7:F995"),INDIRECT("'01_SINTETICO'!B7:B995"),$C555)</f>
        <v>2</v>
      </c>
      <c r="H555" s="268" t="n">
        <f aca="false">VLOOKUP($C555,01_SINTETICO!$B:$M,6,0)*$G555*(1+BDI_MAT)</f>
        <v>69.2224574064</v>
      </c>
      <c r="I555" s="268" t="n">
        <f aca="false">VLOOKUP($C555,01_SINTETICO!$B:$M,7,0)*$G555*(1+BDI_MDO)</f>
        <v>5.06636758599629</v>
      </c>
      <c r="J555" s="269" t="n">
        <f aca="false">SUM(H555:I555)</f>
        <v>74.2888249923963</v>
      </c>
      <c r="K555" s="270" t="n">
        <f aca="false">J555/SUM($J$7:$J$749)</f>
        <v>8.22924878415648E-006</v>
      </c>
      <c r="L555" s="271" t="n">
        <f aca="false">K555+L554</f>
        <v>0.999137359783803</v>
      </c>
    </row>
    <row r="556" customFormat="false" ht="38.25" hidden="false" customHeight="false" outlineLevel="0" collapsed="false">
      <c r="A556" s="264" t="n">
        <f aca="false">K556</f>
        <v>8.22924878415648E-006</v>
      </c>
      <c r="B556" s="265" t="str">
        <f aca="false">VLOOKUP($C556,01_SINTETICO!$B:$N,13,0)</f>
        <v>11.6.2.2</v>
      </c>
      <c r="C556" s="266" t="n">
        <v>94706</v>
      </c>
      <c r="D556" s="266" t="str">
        <f aca="false">VLOOKUP($C556,01_SINTETICO!$B:$M,2,0)</f>
        <v>ADAPTADOR COM FLANGE E ANEL DE VEDAÇÃO, PVC, SOLDÁVEL, DN 50 MM X 1 1/2", INSTALADO EM RESERVAÇÃO PREDIAL DE ÁGUA - FORNECIMENTO E INSTALAÇÃO. AF_04/2024</v>
      </c>
      <c r="E556" s="266" t="str">
        <f aca="false">VLOOKUP($B556,01_SINTETICO!$A:$M,4,0)</f>
        <v>SER.CG</v>
      </c>
      <c r="F556" s="267" t="str">
        <f aca="false">VLOOKUP($B556,01_SINTETICO!$A:$M,5,0)</f>
        <v>UN</v>
      </c>
      <c r="G556" s="267" t="n">
        <f aca="true">SUMIFS(INDIRECT("'01_SINTETICO'!F7:F995"),INDIRECT("'01_SINTETICO'!B7:B995"),$C556)</f>
        <v>2</v>
      </c>
      <c r="H556" s="268" t="n">
        <f aca="false">VLOOKUP($C556,01_SINTETICO!$B:$M,6,0)*$G556*(1+BDI_MAT)</f>
        <v>69.2224574064</v>
      </c>
      <c r="I556" s="268" t="n">
        <f aca="false">VLOOKUP($C556,01_SINTETICO!$B:$M,7,0)*$G556*(1+BDI_MDO)</f>
        <v>5.06636758599629</v>
      </c>
      <c r="J556" s="269" t="n">
        <f aca="false">SUM(H556:I556)</f>
        <v>74.2888249923963</v>
      </c>
      <c r="K556" s="270" t="n">
        <f aca="false">J556/SUM($J$7:$J$749)</f>
        <v>8.22924878415648E-006</v>
      </c>
      <c r="L556" s="271" t="n">
        <f aca="false">K556+L555</f>
        <v>0.999145589032587</v>
      </c>
    </row>
    <row r="557" customFormat="false" ht="38.25" hidden="false" customHeight="false" outlineLevel="0" collapsed="false">
      <c r="A557" s="264" t="n">
        <f aca="false">K557</f>
        <v>8.22924878415648E-006</v>
      </c>
      <c r="B557" s="265" t="str">
        <f aca="false">VLOOKUP($C557,01_SINTETICO!$B:$N,13,0)</f>
        <v>11.6.2.2</v>
      </c>
      <c r="C557" s="274" t="n">
        <v>94706</v>
      </c>
      <c r="D557" s="266" t="str">
        <f aca="false">VLOOKUP($C557,01_SINTETICO!$B:$M,2,0)</f>
        <v>ADAPTADOR COM FLANGE E ANEL DE VEDAÇÃO, PVC, SOLDÁVEL, DN 50 MM X 1 1/2", INSTALADO EM RESERVAÇÃO PREDIAL DE ÁGUA - FORNECIMENTO E INSTALAÇÃO. AF_04/2024</v>
      </c>
      <c r="E557" s="266" t="str">
        <f aca="false">VLOOKUP($B557,01_SINTETICO!$A:$M,4,0)</f>
        <v>SER.CG</v>
      </c>
      <c r="F557" s="267" t="str">
        <f aca="false">VLOOKUP($B557,01_SINTETICO!$A:$M,5,0)</f>
        <v>UN</v>
      </c>
      <c r="G557" s="267" t="n">
        <f aca="true">SUMIFS(INDIRECT("'01_SINTETICO'!F7:F995"),INDIRECT("'01_SINTETICO'!B7:B995"),$C557)</f>
        <v>2</v>
      </c>
      <c r="H557" s="268" t="n">
        <f aca="false">VLOOKUP($C557,01_SINTETICO!$B:$M,6,0)*$G557*(1+BDI_MAT)</f>
        <v>69.2224574064</v>
      </c>
      <c r="I557" s="268" t="n">
        <f aca="false">VLOOKUP($C557,01_SINTETICO!$B:$M,7,0)*$G557*(1+BDI_MDO)</f>
        <v>5.06636758599629</v>
      </c>
      <c r="J557" s="269" t="n">
        <f aca="false">SUM(H557:I557)</f>
        <v>74.2888249923963</v>
      </c>
      <c r="K557" s="270" t="n">
        <f aca="false">J557/SUM($J$7:$J$749)</f>
        <v>8.22924878415648E-006</v>
      </c>
      <c r="L557" s="271" t="n">
        <f aca="false">K557+L556</f>
        <v>0.999153818281372</v>
      </c>
    </row>
    <row r="558" customFormat="false" ht="38.25" hidden="false" customHeight="false" outlineLevel="0" collapsed="false">
      <c r="A558" s="264" t="n">
        <f aca="false">K558</f>
        <v>8.22924878415648E-006</v>
      </c>
      <c r="B558" s="265" t="str">
        <f aca="false">VLOOKUP($C558,01_SINTETICO!$B:$N,13,0)</f>
        <v>11.6.2.2</v>
      </c>
      <c r="C558" s="266" t="n">
        <v>94706</v>
      </c>
      <c r="D558" s="266" t="str">
        <f aca="false">VLOOKUP($C558,01_SINTETICO!$B:$M,2,0)</f>
        <v>ADAPTADOR COM FLANGE E ANEL DE VEDAÇÃO, PVC, SOLDÁVEL, DN 50 MM X 1 1/2", INSTALADO EM RESERVAÇÃO PREDIAL DE ÁGUA - FORNECIMENTO E INSTALAÇÃO. AF_04/2024</v>
      </c>
      <c r="E558" s="266" t="str">
        <f aca="false">VLOOKUP($B558,01_SINTETICO!$A:$M,4,0)</f>
        <v>SER.CG</v>
      </c>
      <c r="F558" s="267" t="str">
        <f aca="false">VLOOKUP($B558,01_SINTETICO!$A:$M,5,0)</f>
        <v>UN</v>
      </c>
      <c r="G558" s="267" t="n">
        <f aca="true">SUMIFS(INDIRECT("'01_SINTETICO'!F7:F995"),INDIRECT("'01_SINTETICO'!B7:B995"),$C558)</f>
        <v>2</v>
      </c>
      <c r="H558" s="268" t="n">
        <f aca="false">VLOOKUP($C558,01_SINTETICO!$B:$M,6,0)*$G558*(1+BDI_MAT)</f>
        <v>69.2224574064</v>
      </c>
      <c r="I558" s="268" t="n">
        <f aca="false">VLOOKUP($C558,01_SINTETICO!$B:$M,7,0)*$G558*(1+BDI_MDO)</f>
        <v>5.06636758599629</v>
      </c>
      <c r="J558" s="269" t="n">
        <f aca="false">SUM(H558:I558)</f>
        <v>74.2888249923963</v>
      </c>
      <c r="K558" s="270" t="n">
        <f aca="false">J558/SUM($J$7:$J$749)</f>
        <v>8.22924878415648E-006</v>
      </c>
      <c r="L558" s="271" t="n">
        <f aca="false">K558+L557</f>
        <v>0.999162047530156</v>
      </c>
    </row>
    <row r="559" customFormat="false" ht="38.25" hidden="false" customHeight="false" outlineLevel="0" collapsed="false">
      <c r="A559" s="264" t="n">
        <f aca="false">K559</f>
        <v>8.02406139782233E-006</v>
      </c>
      <c r="B559" s="265" t="str">
        <f aca="false">VLOOKUP($C559,01_SINTETICO!$B:$N,13,0)</f>
        <v>12.2.2.3</v>
      </c>
      <c r="C559" s="266" t="n">
        <v>97667</v>
      </c>
      <c r="D559" s="266" t="str">
        <f aca="false">VLOOKUP($C559,01_SINTETICO!$B:$M,2,0)</f>
        <v>ELETRODUTO FLEXÍVEL CORRUGADO, PEAD, DN 50 (1 1/2"), PARA REDE ENTERRADA DE DISTRIBUIÇÃO DE ENERGIA ELÉTRICA - FORNECIMENTO E INSTALAÇÃO. AF_12/2021</v>
      </c>
      <c r="E559" s="266" t="str">
        <f aca="false">VLOOKUP($B559,01_SINTETICO!$A:$M,4,0)</f>
        <v>SER.CG</v>
      </c>
      <c r="F559" s="267" t="str">
        <f aca="false">VLOOKUP($B559,01_SINTETICO!$A:$M,5,0)</f>
        <v>M</v>
      </c>
      <c r="G559" s="267" t="n">
        <f aca="true">SUMIFS(INDIRECT("'01_SINTETICO'!F7:F995"),INDIRECT("'01_SINTETICO'!B7:B995"),$C559)</f>
        <v>10</v>
      </c>
      <c r="H559" s="268" t="n">
        <f aca="false">VLOOKUP($C559,01_SINTETICO!$B:$M,6,0)*$G559*(1+BDI_MAT)</f>
        <v>60.652271312</v>
      </c>
      <c r="I559" s="268" t="n">
        <f aca="false">VLOOKUP($C559,01_SINTETICO!$B:$M,7,0)*$G559*(1+BDI_MDO)</f>
        <v>11.784242462953</v>
      </c>
      <c r="J559" s="269" t="n">
        <f aca="false">SUM(H559:I559)</f>
        <v>72.436513774953</v>
      </c>
      <c r="K559" s="270" t="n">
        <f aca="false">J559/SUM($J$7:$J$749)</f>
        <v>8.02406139782233E-006</v>
      </c>
      <c r="L559" s="271" t="n">
        <f aca="false">K559+L558</f>
        <v>0.999170071591553</v>
      </c>
    </row>
    <row r="560" customFormat="false" ht="38.25" hidden="false" customHeight="false" outlineLevel="0" collapsed="false">
      <c r="A560" s="264" t="n">
        <f aca="false">K560</f>
        <v>7.83876769668158E-006</v>
      </c>
      <c r="B560" s="265" t="str">
        <f aca="false">VLOOKUP($C560,01_SINTETICO!$B:$N,13,0)</f>
        <v>11.1.3.2</v>
      </c>
      <c r="C560" s="266" t="n">
        <v>89383</v>
      </c>
      <c r="D560" s="266" t="str">
        <f aca="false">VLOOKUP($C560,01_SINTETICO!$B:$M,2,0)</f>
        <v>ADAPTADOR CURTO COM BOLSA E ROSCA PARA REGISTRO, PVC, SOLDÁVEL, DN 25MM X 3/4 , INSTALADO EM RAMAL OU SUB-RAMAL DE ÁGUA - FORNECIMENTO E INSTALAÇÃO. AF_06/2022</v>
      </c>
      <c r="E560" s="266" t="str">
        <f aca="false">VLOOKUP($B560,01_SINTETICO!$A:$M,4,0)</f>
        <v>SER.CG</v>
      </c>
      <c r="F560" s="267" t="str">
        <f aca="false">VLOOKUP($B560,01_SINTETICO!$A:$M,5,0)</f>
        <v>UN</v>
      </c>
      <c r="G560" s="267" t="n">
        <f aca="true">SUMIFS(INDIRECT("'01_SINTETICO'!F7:F995"),INDIRECT("'01_SINTETICO'!B7:B995"),$C560)</f>
        <v>9</v>
      </c>
      <c r="H560" s="268" t="n">
        <f aca="false">VLOOKUP($C560,01_SINTETICO!$B:$M,6,0)*$G560*(1+BDI_MAT)</f>
        <v>33.847733052</v>
      </c>
      <c r="I560" s="268" t="n">
        <f aca="false">VLOOKUP($C560,01_SINTETICO!$B:$M,7,0)*$G560*(1+BDI_MDO)</f>
        <v>36.9160580118908</v>
      </c>
      <c r="J560" s="269" t="n">
        <f aca="false">SUM(H560:I560)</f>
        <v>70.7637910638908</v>
      </c>
      <c r="K560" s="270" t="n">
        <f aca="false">J560/SUM($J$7:$J$749)</f>
        <v>7.83876769668158E-006</v>
      </c>
      <c r="L560" s="271" t="n">
        <f aca="false">K560+L559</f>
        <v>0.99917791035925</v>
      </c>
    </row>
    <row r="561" customFormat="false" ht="38.25" hidden="false" customHeight="false" outlineLevel="0" collapsed="false">
      <c r="A561" s="264" t="n">
        <f aca="false">K561</f>
        <v>7.83876769668158E-006</v>
      </c>
      <c r="B561" s="265" t="str">
        <f aca="false">VLOOKUP($C561,01_SINTETICO!$B:$N,13,0)</f>
        <v>11.1.3.2</v>
      </c>
      <c r="C561" s="266" t="n">
        <v>89383</v>
      </c>
      <c r="D561" s="266" t="str">
        <f aca="false">VLOOKUP($C561,01_SINTETICO!$B:$M,2,0)</f>
        <v>ADAPTADOR CURTO COM BOLSA E ROSCA PARA REGISTRO, PVC, SOLDÁVEL, DN 25MM X 3/4 , INSTALADO EM RAMAL OU SUB-RAMAL DE ÁGUA - FORNECIMENTO E INSTALAÇÃO. AF_06/2022</v>
      </c>
      <c r="E561" s="266" t="str">
        <f aca="false">VLOOKUP($B561,01_SINTETICO!$A:$M,4,0)</f>
        <v>SER.CG</v>
      </c>
      <c r="F561" s="267" t="str">
        <f aca="false">VLOOKUP($B561,01_SINTETICO!$A:$M,5,0)</f>
        <v>UN</v>
      </c>
      <c r="G561" s="267" t="n">
        <f aca="true">SUMIFS(INDIRECT("'01_SINTETICO'!F7:F995"),INDIRECT("'01_SINTETICO'!B7:B995"),$C561)</f>
        <v>9</v>
      </c>
      <c r="H561" s="268" t="n">
        <f aca="false">VLOOKUP($C561,01_SINTETICO!$B:$M,6,0)*$G561*(1+BDI_MAT)</f>
        <v>33.847733052</v>
      </c>
      <c r="I561" s="268" t="n">
        <f aca="false">VLOOKUP($C561,01_SINTETICO!$B:$M,7,0)*$G561*(1+BDI_MDO)</f>
        <v>36.9160580118908</v>
      </c>
      <c r="J561" s="269" t="n">
        <f aca="false">SUM(H561:I561)</f>
        <v>70.7637910638908</v>
      </c>
      <c r="K561" s="270" t="n">
        <f aca="false">J561/SUM($J$7:$J$749)</f>
        <v>7.83876769668158E-006</v>
      </c>
      <c r="L561" s="271" t="n">
        <f aca="false">K561+L560</f>
        <v>0.999185749126947</v>
      </c>
    </row>
    <row r="562" customFormat="false" ht="38.25" hidden="false" customHeight="false" outlineLevel="0" collapsed="false">
      <c r="A562" s="264" t="n">
        <f aca="false">K562</f>
        <v>7.83876769668158E-006</v>
      </c>
      <c r="B562" s="265" t="str">
        <f aca="false">VLOOKUP($C562,01_SINTETICO!$B:$N,13,0)</f>
        <v>11.1.3.2</v>
      </c>
      <c r="C562" s="266" t="n">
        <v>89383</v>
      </c>
      <c r="D562" s="266" t="str">
        <f aca="false">VLOOKUP($C562,01_SINTETICO!$B:$M,2,0)</f>
        <v>ADAPTADOR CURTO COM BOLSA E ROSCA PARA REGISTRO, PVC, SOLDÁVEL, DN 25MM X 3/4 , INSTALADO EM RAMAL OU SUB-RAMAL DE ÁGUA - FORNECIMENTO E INSTALAÇÃO. AF_06/2022</v>
      </c>
      <c r="E562" s="266" t="str">
        <f aca="false">VLOOKUP($B562,01_SINTETICO!$A:$M,4,0)</f>
        <v>SER.CG</v>
      </c>
      <c r="F562" s="267" t="str">
        <f aca="false">VLOOKUP($B562,01_SINTETICO!$A:$M,5,0)</f>
        <v>UN</v>
      </c>
      <c r="G562" s="267" t="n">
        <f aca="true">SUMIFS(INDIRECT("'01_SINTETICO'!F7:F995"),INDIRECT("'01_SINTETICO'!B7:B995"),$C562)</f>
        <v>9</v>
      </c>
      <c r="H562" s="268" t="n">
        <f aca="false">VLOOKUP($C562,01_SINTETICO!$B:$M,6,0)*$G562*(1+BDI_MAT)</f>
        <v>33.847733052</v>
      </c>
      <c r="I562" s="268" t="n">
        <f aca="false">VLOOKUP($C562,01_SINTETICO!$B:$M,7,0)*$G562*(1+BDI_MDO)</f>
        <v>36.9160580118908</v>
      </c>
      <c r="J562" s="269" t="n">
        <f aca="false">SUM(H562:I562)</f>
        <v>70.7637910638908</v>
      </c>
      <c r="K562" s="270" t="n">
        <f aca="false">J562/SUM($J$7:$J$749)</f>
        <v>7.83876769668158E-006</v>
      </c>
      <c r="L562" s="271" t="n">
        <f aca="false">K562+L561</f>
        <v>0.999193587894644</v>
      </c>
    </row>
    <row r="563" customFormat="false" ht="38.25" hidden="false" customHeight="false" outlineLevel="0" collapsed="false">
      <c r="A563" s="264" t="n">
        <f aca="false">K563</f>
        <v>7.83876769668158E-006</v>
      </c>
      <c r="B563" s="265" t="str">
        <f aca="false">VLOOKUP($C563,01_SINTETICO!$B:$N,13,0)</f>
        <v>11.1.3.2</v>
      </c>
      <c r="C563" s="266" t="n">
        <v>89383</v>
      </c>
      <c r="D563" s="266" t="str">
        <f aca="false">VLOOKUP($C563,01_SINTETICO!$B:$M,2,0)</f>
        <v>ADAPTADOR CURTO COM BOLSA E ROSCA PARA REGISTRO, PVC, SOLDÁVEL, DN 25MM X 3/4 , INSTALADO EM RAMAL OU SUB-RAMAL DE ÁGUA - FORNECIMENTO E INSTALAÇÃO. AF_06/2022</v>
      </c>
      <c r="E563" s="266" t="str">
        <f aca="false">VLOOKUP($B563,01_SINTETICO!$A:$M,4,0)</f>
        <v>SER.CG</v>
      </c>
      <c r="F563" s="267" t="str">
        <f aca="false">VLOOKUP($B563,01_SINTETICO!$A:$M,5,0)</f>
        <v>UN</v>
      </c>
      <c r="G563" s="267" t="n">
        <f aca="true">SUMIFS(INDIRECT("'01_SINTETICO'!F7:F995"),INDIRECT("'01_SINTETICO'!B7:B995"),$C563)</f>
        <v>9</v>
      </c>
      <c r="H563" s="268" t="n">
        <f aca="false">VLOOKUP($C563,01_SINTETICO!$B:$M,6,0)*$G563*(1+BDI_MAT)</f>
        <v>33.847733052</v>
      </c>
      <c r="I563" s="268" t="n">
        <f aca="false">VLOOKUP($C563,01_SINTETICO!$B:$M,7,0)*$G563*(1+BDI_MDO)</f>
        <v>36.9160580118908</v>
      </c>
      <c r="J563" s="269" t="n">
        <f aca="false">SUM(H563:I563)</f>
        <v>70.7637910638908</v>
      </c>
      <c r="K563" s="270" t="n">
        <f aca="false">J563/SUM($J$7:$J$749)</f>
        <v>7.83876769668158E-006</v>
      </c>
      <c r="L563" s="271" t="n">
        <f aca="false">K563+L562</f>
        <v>0.99920142666234</v>
      </c>
    </row>
    <row r="564" customFormat="false" ht="15" hidden="false" customHeight="false" outlineLevel="0" collapsed="false">
      <c r="A564" s="264" t="n">
        <f aca="false">K564</f>
        <v>7.63850984304129E-006</v>
      </c>
      <c r="B564" s="265" t="str">
        <f aca="false">VLOOKUP($C564,01_SINTETICO!$B:$N,13,0)</f>
        <v>3.2.3.3.7</v>
      </c>
      <c r="C564" s="272" t="n">
        <v>97082</v>
      </c>
      <c r="D564" s="266" t="str">
        <f aca="false">VLOOKUP($C564,01_SINTETICO!$B:$M,2,0)</f>
        <v>ESCAVAÇÃO MANUAL DE VIGA DE BORDA PARA RADIER. AF_09/2021</v>
      </c>
      <c r="E564" s="272" t="str">
        <f aca="false">VLOOKUP($B564,01_SINTETICO!$A:$M,4,0)</f>
        <v>SER.CG</v>
      </c>
      <c r="F564" s="273" t="str">
        <f aca="false">VLOOKUP($B564,01_SINTETICO!$A:$M,5,0)</f>
        <v>M3</v>
      </c>
      <c r="G564" s="267" t="n">
        <f aca="true">SUMIFS(INDIRECT("'01_SINTETICO'!F7:F995"),INDIRECT("'01_SINTETICO'!B7:B995"),$C564)</f>
        <v>0.92</v>
      </c>
      <c r="H564" s="268" t="n">
        <f aca="false">VLOOKUP($C564,01_SINTETICO!$B:$M,6,0)*$G564*(1+BDI_MAT)</f>
        <v>23.91154668672</v>
      </c>
      <c r="I564" s="268" t="n">
        <f aca="false">VLOOKUP($C564,01_SINTETICO!$B:$M,7,0)*$G564*(1+BDI_MDO)</f>
        <v>45.0444340857773</v>
      </c>
      <c r="J564" s="269" t="n">
        <f aca="false">SUM(H564:I564)</f>
        <v>68.9559807724973</v>
      </c>
      <c r="K564" s="270" t="n">
        <f aca="false">J564/SUM($J$7:$J$749)</f>
        <v>7.63850984304129E-006</v>
      </c>
      <c r="L564" s="271" t="n">
        <f aca="false">K564+L563</f>
        <v>0.999209065172184</v>
      </c>
    </row>
    <row r="565" customFormat="false" ht="15" hidden="false" customHeight="false" outlineLevel="0" collapsed="false">
      <c r="A565" s="264" t="n">
        <f aca="false">K565</f>
        <v>7.63850984304129E-006</v>
      </c>
      <c r="B565" s="265" t="str">
        <f aca="false">VLOOKUP($C565,01_SINTETICO!$B:$N,13,0)</f>
        <v>3.2.3.3.7</v>
      </c>
      <c r="C565" s="266" t="n">
        <v>97082</v>
      </c>
      <c r="D565" s="266" t="str">
        <f aca="false">VLOOKUP($C565,01_SINTETICO!$B:$M,2,0)</f>
        <v>ESCAVAÇÃO MANUAL DE VIGA DE BORDA PARA RADIER. AF_09/2021</v>
      </c>
      <c r="E565" s="266" t="str">
        <f aca="false">VLOOKUP($B565,01_SINTETICO!$A:$M,4,0)</f>
        <v>SER.CG</v>
      </c>
      <c r="F565" s="267" t="str">
        <f aca="false">VLOOKUP($B565,01_SINTETICO!$A:$M,5,0)</f>
        <v>M3</v>
      </c>
      <c r="G565" s="267" t="n">
        <f aca="true">SUMIFS(INDIRECT("'01_SINTETICO'!F7:F995"),INDIRECT("'01_SINTETICO'!B7:B995"),$C565)</f>
        <v>0.92</v>
      </c>
      <c r="H565" s="268" t="n">
        <f aca="false">VLOOKUP($C565,01_SINTETICO!$B:$M,6,0)*$G565*(1+BDI_MAT)</f>
        <v>23.91154668672</v>
      </c>
      <c r="I565" s="268" t="n">
        <f aca="false">VLOOKUP($C565,01_SINTETICO!$B:$M,7,0)*$G565*(1+BDI_MDO)</f>
        <v>45.0444340857773</v>
      </c>
      <c r="J565" s="269" t="n">
        <f aca="false">SUM(H565:I565)</f>
        <v>68.9559807724973</v>
      </c>
      <c r="K565" s="270" t="n">
        <f aca="false">J565/SUM($J$7:$J$749)</f>
        <v>7.63850984304129E-006</v>
      </c>
      <c r="L565" s="271" t="n">
        <f aca="false">K565+L564</f>
        <v>0.999216703682027</v>
      </c>
    </row>
    <row r="566" customFormat="false" ht="15" hidden="false" customHeight="false" outlineLevel="0" collapsed="false">
      <c r="A566" s="264" t="n">
        <f aca="false">K566</f>
        <v>7.63850984304129E-006</v>
      </c>
      <c r="B566" s="265" t="str">
        <f aca="false">VLOOKUP($C566,01_SINTETICO!$B:$N,13,0)</f>
        <v>3.2.3.3.7</v>
      </c>
      <c r="C566" s="272" t="n">
        <v>97082</v>
      </c>
      <c r="D566" s="266" t="str">
        <f aca="false">VLOOKUP($C566,01_SINTETICO!$B:$M,2,0)</f>
        <v>ESCAVAÇÃO MANUAL DE VIGA DE BORDA PARA RADIER. AF_09/2021</v>
      </c>
      <c r="E566" s="272" t="str">
        <f aca="false">VLOOKUP($B566,01_SINTETICO!$A:$M,4,0)</f>
        <v>SER.CG</v>
      </c>
      <c r="F566" s="273" t="str">
        <f aca="false">VLOOKUP($B566,01_SINTETICO!$A:$M,5,0)</f>
        <v>M3</v>
      </c>
      <c r="G566" s="267" t="n">
        <f aca="true">SUMIFS(INDIRECT("'01_SINTETICO'!F7:F995"),INDIRECT("'01_SINTETICO'!B7:B995"),$C566)</f>
        <v>0.92</v>
      </c>
      <c r="H566" s="268" t="n">
        <f aca="false">VLOOKUP($C566,01_SINTETICO!$B:$M,6,0)*$G566*(1+BDI_MAT)</f>
        <v>23.91154668672</v>
      </c>
      <c r="I566" s="268" t="n">
        <f aca="false">VLOOKUP($C566,01_SINTETICO!$B:$M,7,0)*$G566*(1+BDI_MDO)</f>
        <v>45.0444340857773</v>
      </c>
      <c r="J566" s="269" t="n">
        <f aca="false">SUM(H566:I566)</f>
        <v>68.9559807724973</v>
      </c>
      <c r="K566" s="270" t="n">
        <f aca="false">J566/SUM($J$7:$J$749)</f>
        <v>7.63850984304129E-006</v>
      </c>
      <c r="L566" s="271" t="n">
        <f aca="false">K566+L565</f>
        <v>0.99922434219187</v>
      </c>
    </row>
    <row r="567" customFormat="false" ht="15" hidden="false" customHeight="false" outlineLevel="0" collapsed="false">
      <c r="A567" s="264" t="n">
        <f aca="false">K567</f>
        <v>7.63850984304129E-006</v>
      </c>
      <c r="B567" s="265" t="str">
        <f aca="false">VLOOKUP($C567,01_SINTETICO!$B:$N,13,0)</f>
        <v>3.2.3.3.7</v>
      </c>
      <c r="C567" s="266" t="n">
        <v>97082</v>
      </c>
      <c r="D567" s="266" t="str">
        <f aca="false">VLOOKUP($C567,01_SINTETICO!$B:$M,2,0)</f>
        <v>ESCAVAÇÃO MANUAL DE VIGA DE BORDA PARA RADIER. AF_09/2021</v>
      </c>
      <c r="E567" s="266" t="str">
        <f aca="false">VLOOKUP($B567,01_SINTETICO!$A:$M,4,0)</f>
        <v>SER.CG</v>
      </c>
      <c r="F567" s="267" t="str">
        <f aca="false">VLOOKUP($B567,01_SINTETICO!$A:$M,5,0)</f>
        <v>M3</v>
      </c>
      <c r="G567" s="267" t="n">
        <f aca="true">SUMIFS(INDIRECT("'01_SINTETICO'!F7:F995"),INDIRECT("'01_SINTETICO'!B7:B995"),$C567)</f>
        <v>0.92</v>
      </c>
      <c r="H567" s="268" t="n">
        <f aca="false">VLOOKUP($C567,01_SINTETICO!$B:$M,6,0)*$G567*(1+BDI_MAT)</f>
        <v>23.91154668672</v>
      </c>
      <c r="I567" s="268" t="n">
        <f aca="false">VLOOKUP($C567,01_SINTETICO!$B:$M,7,0)*$G567*(1+BDI_MDO)</f>
        <v>45.0444340857773</v>
      </c>
      <c r="J567" s="269" t="n">
        <f aca="false">SUM(H567:I567)</f>
        <v>68.9559807724973</v>
      </c>
      <c r="K567" s="270" t="n">
        <f aca="false">J567/SUM($J$7:$J$749)</f>
        <v>7.63850984304129E-006</v>
      </c>
      <c r="L567" s="271" t="n">
        <f aca="false">K567+L566</f>
        <v>0.999231980701713</v>
      </c>
    </row>
    <row r="568" customFormat="false" ht="38.25" hidden="false" customHeight="false" outlineLevel="0" collapsed="false">
      <c r="A568" s="264" t="n">
        <f aca="false">K568</f>
        <v>7.51802659859782E-006</v>
      </c>
      <c r="B568" s="265" t="str">
        <f aca="false">VLOOKUP($C568,01_SINTETICO!$B:$N,13,0)</f>
        <v>11.2.3.16</v>
      </c>
      <c r="C568" s="266" t="s">
        <v>719</v>
      </c>
      <c r="D568" s="266" t="str">
        <f aca="false">VLOOKUP($C568,01_SINTETICO!$B:$M,2,0)</f>
        <v>JUNÇÃO SIMPLES DE REDUÇÃO, PVC, SERIE NORMAL, ESGOTO PREDIAL, DN 75 X 50 MM, JUNTA ELÁSTICA, FORNECIDO E INSTALADO EM PRUMADA DE ESGOTO SANITÁRIO OU VENTILAÇÃO.</v>
      </c>
      <c r="E568" s="266" t="str">
        <f aca="false">VLOOKUP($B568,01_SINTETICO!$A:$M,4,0)</f>
        <v>SER.CG</v>
      </c>
      <c r="F568" s="267" t="str">
        <f aca="false">VLOOKUP($B568,01_SINTETICO!$A:$M,5,0)</f>
        <v>UN</v>
      </c>
      <c r="G568" s="267" t="n">
        <f aca="true">SUMIFS(INDIRECT("'01_SINTETICO'!F7:F995"),INDIRECT("'01_SINTETICO'!B7:B995"),$C568)</f>
        <v>2</v>
      </c>
      <c r="H568" s="268" t="n">
        <f aca="false">VLOOKUP($C568,01_SINTETICO!$B:$M,6,0)*$G568*(1+BDI_MAT)</f>
        <v>53.3035187194667</v>
      </c>
      <c r="I568" s="268" t="n">
        <f aca="false">VLOOKUP($C568,01_SINTETICO!$B:$M,7,0)*$G568*(1+BDI_MDO)</f>
        <v>14.5648100819042</v>
      </c>
      <c r="J568" s="269" t="n">
        <f aca="false">SUM(H568:I568)</f>
        <v>67.8683288013709</v>
      </c>
      <c r="K568" s="270" t="n">
        <f aca="false">J568/SUM($J$7:$J$749)</f>
        <v>7.51802659859782E-006</v>
      </c>
      <c r="L568" s="271" t="n">
        <f aca="false">K568+L567</f>
        <v>0.999239498728311</v>
      </c>
    </row>
    <row r="569" customFormat="false" ht="38.25" hidden="false" customHeight="false" outlineLevel="0" collapsed="false">
      <c r="A569" s="264" t="n">
        <f aca="false">K569</f>
        <v>7.51802659859782E-006</v>
      </c>
      <c r="B569" s="265" t="str">
        <f aca="false">VLOOKUP($C569,01_SINTETICO!$B:$N,13,0)</f>
        <v>11.2.3.16</v>
      </c>
      <c r="C569" s="266" t="s">
        <v>719</v>
      </c>
      <c r="D569" s="266" t="str">
        <f aca="false">VLOOKUP($C569,01_SINTETICO!$B:$M,2,0)</f>
        <v>JUNÇÃO SIMPLES DE REDUÇÃO, PVC, SERIE NORMAL, ESGOTO PREDIAL, DN 75 X 50 MM, JUNTA ELÁSTICA, FORNECIDO E INSTALADO EM PRUMADA DE ESGOTO SANITÁRIO OU VENTILAÇÃO.</v>
      </c>
      <c r="E569" s="266" t="str">
        <f aca="false">VLOOKUP($B569,01_SINTETICO!$A:$M,4,0)</f>
        <v>SER.CG</v>
      </c>
      <c r="F569" s="267" t="str">
        <f aca="false">VLOOKUP($B569,01_SINTETICO!$A:$M,5,0)</f>
        <v>UN</v>
      </c>
      <c r="G569" s="267" t="n">
        <f aca="true">SUMIFS(INDIRECT("'01_SINTETICO'!F7:F995"),INDIRECT("'01_SINTETICO'!B7:B995"),$C569)</f>
        <v>2</v>
      </c>
      <c r="H569" s="268" t="n">
        <f aca="false">VLOOKUP($C569,01_SINTETICO!$B:$M,6,0)*$G569*(1+BDI_MAT)</f>
        <v>53.3035187194667</v>
      </c>
      <c r="I569" s="268" t="n">
        <f aca="false">VLOOKUP($C569,01_SINTETICO!$B:$M,7,0)*$G569*(1+BDI_MDO)</f>
        <v>14.5648100819042</v>
      </c>
      <c r="J569" s="269" t="n">
        <f aca="false">SUM(H569:I569)</f>
        <v>67.8683288013709</v>
      </c>
      <c r="K569" s="270" t="n">
        <f aca="false">J569/SUM($J$7:$J$749)</f>
        <v>7.51802659859782E-006</v>
      </c>
      <c r="L569" s="271" t="n">
        <f aca="false">K569+L568</f>
        <v>0.99924701675491</v>
      </c>
    </row>
    <row r="570" customFormat="false" ht="38.25" hidden="false" customHeight="false" outlineLevel="0" collapsed="false">
      <c r="A570" s="264" t="n">
        <f aca="false">K570</f>
        <v>7.51802659859782E-006</v>
      </c>
      <c r="B570" s="265" t="str">
        <f aca="false">VLOOKUP($C570,01_SINTETICO!$B:$N,13,0)</f>
        <v>11.2.3.16</v>
      </c>
      <c r="C570" s="266" t="s">
        <v>719</v>
      </c>
      <c r="D570" s="266" t="str">
        <f aca="false">VLOOKUP($C570,01_SINTETICO!$B:$M,2,0)</f>
        <v>JUNÇÃO SIMPLES DE REDUÇÃO, PVC, SERIE NORMAL, ESGOTO PREDIAL, DN 75 X 50 MM, JUNTA ELÁSTICA, FORNECIDO E INSTALADO EM PRUMADA DE ESGOTO SANITÁRIO OU VENTILAÇÃO.</v>
      </c>
      <c r="E570" s="266" t="str">
        <f aca="false">VLOOKUP($B570,01_SINTETICO!$A:$M,4,0)</f>
        <v>SER.CG</v>
      </c>
      <c r="F570" s="267" t="str">
        <f aca="false">VLOOKUP($B570,01_SINTETICO!$A:$M,5,0)</f>
        <v>UN</v>
      </c>
      <c r="G570" s="267" t="n">
        <f aca="true">SUMIFS(INDIRECT("'01_SINTETICO'!F7:F995"),INDIRECT("'01_SINTETICO'!B7:B995"),$C570)</f>
        <v>2</v>
      </c>
      <c r="H570" s="268" t="n">
        <f aca="false">VLOOKUP($C570,01_SINTETICO!$B:$M,6,0)*$G570*(1+BDI_MAT)</f>
        <v>53.3035187194667</v>
      </c>
      <c r="I570" s="268" t="n">
        <f aca="false">VLOOKUP($C570,01_SINTETICO!$B:$M,7,0)*$G570*(1+BDI_MDO)</f>
        <v>14.5648100819042</v>
      </c>
      <c r="J570" s="269" t="n">
        <f aca="false">SUM(H570:I570)</f>
        <v>67.8683288013709</v>
      </c>
      <c r="K570" s="270" t="n">
        <f aca="false">J570/SUM($J$7:$J$749)</f>
        <v>7.51802659859782E-006</v>
      </c>
      <c r="L570" s="271" t="n">
        <f aca="false">K570+L569</f>
        <v>0.999254534781509</v>
      </c>
    </row>
    <row r="571" customFormat="false" ht="38.25" hidden="false" customHeight="false" outlineLevel="0" collapsed="false">
      <c r="A571" s="264" t="n">
        <f aca="false">K571</f>
        <v>7.51802659859782E-006</v>
      </c>
      <c r="B571" s="265" t="str">
        <f aca="false">VLOOKUP($C571,01_SINTETICO!$B:$N,13,0)</f>
        <v>11.2.3.16</v>
      </c>
      <c r="C571" s="274" t="s">
        <v>719</v>
      </c>
      <c r="D571" s="266" t="str">
        <f aca="false">VLOOKUP($C571,01_SINTETICO!$B:$M,2,0)</f>
        <v>JUNÇÃO SIMPLES DE REDUÇÃO, PVC, SERIE NORMAL, ESGOTO PREDIAL, DN 75 X 50 MM, JUNTA ELÁSTICA, FORNECIDO E INSTALADO EM PRUMADA DE ESGOTO SANITÁRIO OU VENTILAÇÃO.</v>
      </c>
      <c r="E571" s="266" t="str">
        <f aca="false">VLOOKUP($B571,01_SINTETICO!$A:$M,4,0)</f>
        <v>SER.CG</v>
      </c>
      <c r="F571" s="267" t="str">
        <f aca="false">VLOOKUP($B571,01_SINTETICO!$A:$M,5,0)</f>
        <v>UN</v>
      </c>
      <c r="G571" s="267" t="n">
        <f aca="true">SUMIFS(INDIRECT("'01_SINTETICO'!F7:F995"),INDIRECT("'01_SINTETICO'!B7:B995"),$C571)</f>
        <v>2</v>
      </c>
      <c r="H571" s="268" t="n">
        <f aca="false">VLOOKUP($C571,01_SINTETICO!$B:$M,6,0)*$G571*(1+BDI_MAT)</f>
        <v>53.3035187194667</v>
      </c>
      <c r="I571" s="268" t="n">
        <f aca="false">VLOOKUP($C571,01_SINTETICO!$B:$M,7,0)*$G571*(1+BDI_MDO)</f>
        <v>14.5648100819042</v>
      </c>
      <c r="J571" s="269" t="n">
        <f aca="false">SUM(H571:I571)</f>
        <v>67.8683288013709</v>
      </c>
      <c r="K571" s="270" t="n">
        <f aca="false">J571/SUM($J$7:$J$749)</f>
        <v>7.51802659859782E-006</v>
      </c>
      <c r="L571" s="271" t="n">
        <f aca="false">K571+L570</f>
        <v>0.999262052808107</v>
      </c>
    </row>
    <row r="572" customFormat="false" ht="38.25" hidden="false" customHeight="false" outlineLevel="0" collapsed="false">
      <c r="A572" s="264" t="n">
        <f aca="false">K572</f>
        <v>7.51802659859782E-006</v>
      </c>
      <c r="B572" s="265" t="str">
        <f aca="false">VLOOKUP($C572,01_SINTETICO!$B:$N,13,0)</f>
        <v>11.2.3.16</v>
      </c>
      <c r="C572" s="266" t="s">
        <v>719</v>
      </c>
      <c r="D572" s="266" t="str">
        <f aca="false">VLOOKUP($C572,01_SINTETICO!$B:$M,2,0)</f>
        <v>JUNÇÃO SIMPLES DE REDUÇÃO, PVC, SERIE NORMAL, ESGOTO PREDIAL, DN 75 X 50 MM, JUNTA ELÁSTICA, FORNECIDO E INSTALADO EM PRUMADA DE ESGOTO SANITÁRIO OU VENTILAÇÃO.</v>
      </c>
      <c r="E572" s="266" t="str">
        <f aca="false">VLOOKUP($B572,01_SINTETICO!$A:$M,4,0)</f>
        <v>SER.CG</v>
      </c>
      <c r="F572" s="267" t="str">
        <f aca="false">VLOOKUP($B572,01_SINTETICO!$A:$M,5,0)</f>
        <v>UN</v>
      </c>
      <c r="G572" s="267" t="n">
        <f aca="true">SUMIFS(INDIRECT("'01_SINTETICO'!F7:F995"),INDIRECT("'01_SINTETICO'!B7:B995"),$C572)</f>
        <v>2</v>
      </c>
      <c r="H572" s="268" t="n">
        <f aca="false">VLOOKUP($C572,01_SINTETICO!$B:$M,6,0)*$G572*(1+BDI_MAT)</f>
        <v>53.3035187194667</v>
      </c>
      <c r="I572" s="268" t="n">
        <f aca="false">VLOOKUP($C572,01_SINTETICO!$B:$M,7,0)*$G572*(1+BDI_MDO)</f>
        <v>14.5648100819042</v>
      </c>
      <c r="J572" s="269" t="n">
        <f aca="false">SUM(H572:I572)</f>
        <v>67.8683288013709</v>
      </c>
      <c r="K572" s="270" t="n">
        <f aca="false">J572/SUM($J$7:$J$749)</f>
        <v>7.51802659859782E-006</v>
      </c>
      <c r="L572" s="271" t="n">
        <f aca="false">K572+L571</f>
        <v>0.999269570834706</v>
      </c>
    </row>
    <row r="573" customFormat="false" ht="38.25" hidden="false" customHeight="false" outlineLevel="0" collapsed="false">
      <c r="A573" s="264" t="n">
        <f aca="false">K573</f>
        <v>7.19981416535462E-006</v>
      </c>
      <c r="B573" s="265" t="str">
        <f aca="false">VLOOKUP($C573,01_SINTETICO!$B:$N,13,0)</f>
        <v>12.1.1.4</v>
      </c>
      <c r="C573" s="272" t="n">
        <v>92986</v>
      </c>
      <c r="D573" s="266" t="str">
        <f aca="false">VLOOKUP($C573,01_SINTETICO!$B:$M,2,0)</f>
        <v>CABO DE COBRE FLEXÍVEL ISOLADO, 35 MM², ANTI-CHAMA 0,6/1,0 KV, PARA REDE ENTERRADA DE DISTRIBUIÇÃO DE ENERGIA ELÉTRICA - FORNECIMENTO E INSTALAÇÃO. AF_12/2021</v>
      </c>
      <c r="E573" s="272" t="str">
        <f aca="false">VLOOKUP($B573,01_SINTETICO!$A:$M,4,0)</f>
        <v>SER.CG</v>
      </c>
      <c r="F573" s="273" t="str">
        <f aca="false">VLOOKUP($B573,01_SINTETICO!$A:$M,5,0)</f>
        <v>M</v>
      </c>
      <c r="G573" s="267" t="n">
        <f aca="true">SUMIFS(INDIRECT("'01_SINTETICO'!F7:F995"),INDIRECT("'01_SINTETICO'!B7:B995"),$C573)</f>
        <v>15</v>
      </c>
      <c r="H573" s="268" t="n">
        <f aca="false">VLOOKUP($C573,01_SINTETICO!$B:$M,6,0)*$G573*(1+BDI_DIF)</f>
        <v>18.7045023791936</v>
      </c>
      <c r="I573" s="268" t="n">
        <f aca="false">VLOOKUP($C573,01_SINTETICO!$B:$M,7,0)*$G573*(1+BDI_MDO)</f>
        <v>46.2911914607551</v>
      </c>
      <c r="J573" s="269" t="n">
        <f aca="false">SUM(H573:I573)</f>
        <v>64.9956938399487</v>
      </c>
      <c r="K573" s="270" t="n">
        <f aca="false">J573/SUM($J$7:$J$749)</f>
        <v>7.19981416535462E-006</v>
      </c>
      <c r="L573" s="271" t="n">
        <f aca="false">K573+L572</f>
        <v>0.999276770648871</v>
      </c>
    </row>
    <row r="574" customFormat="false" ht="38.25" hidden="false" customHeight="false" outlineLevel="0" collapsed="false">
      <c r="A574" s="264" t="n">
        <f aca="false">K574</f>
        <v>6.82897450506794E-006</v>
      </c>
      <c r="B574" s="265" t="str">
        <f aca="false">VLOOKUP($C574,01_SINTETICO!$B:$N,13,0)</f>
        <v>*16.2.2.2</v>
      </c>
      <c r="C574" s="266" t="s">
        <v>1311</v>
      </c>
      <c r="D574" s="266" t="str">
        <f aca="false">VLOOKUP($C574,01_SINTETICO!$B:$M,2,0)</f>
        <v>GABINETE DE VENTILAÇÃO PARA SISTEMA DE RENOVAÇÃO DE AR, VAZÃO MÁXIMA 218 M3/H, MODELO FH125 - G4/M5. REF. SICFLUX, OU SIMILAR - FORNECIMENTO E INSTALAÇÃO.</v>
      </c>
      <c r="E574" s="266" t="str">
        <f aca="false">VLOOKUP($B574,01_SINTETICO!$A:$M,4,0)</f>
        <v>SER.CG</v>
      </c>
      <c r="F574" s="267" t="str">
        <f aca="false">VLOOKUP($B574,01_SINTETICO!$A:$M,5,0)</f>
        <v>UN</v>
      </c>
      <c r="G574" s="267" t="n">
        <f aca="true">SUMIFS(INDIRECT("'01_SINTETICO'!F7:F995"),INDIRECT("'01_SINTETICO'!B7:B995"),$C574)</f>
        <v>1</v>
      </c>
      <c r="H574" s="268" t="n">
        <f aca="false">VLOOKUP($C574,01_SINTETICO!$B:$M,6,0)*$G574*(1+BDI_DIF)</f>
        <v>17.3713652880647</v>
      </c>
      <c r="I574" s="268" t="n">
        <f aca="false">VLOOKUP($C574,01_SINTETICO!$B:$M,7,0)*$G574*(1+BDI_MDO)</f>
        <v>44.27660589264</v>
      </c>
      <c r="J574" s="269" t="n">
        <f aca="false">SUM(H574:I574)</f>
        <v>61.6479711807047</v>
      </c>
      <c r="K574" s="270" t="n">
        <f aca="false">J574/SUM($J$7:$J$749)</f>
        <v>6.82897450506794E-006</v>
      </c>
      <c r="L574" s="271" t="n">
        <f aca="false">K574+L573</f>
        <v>0.999283599623376</v>
      </c>
    </row>
    <row r="575" customFormat="false" ht="25.5" hidden="false" customHeight="false" outlineLevel="0" collapsed="false">
      <c r="A575" s="264" t="n">
        <f aca="false">K575</f>
        <v>6.64285427539318E-006</v>
      </c>
      <c r="B575" s="265" t="str">
        <f aca="false">VLOOKUP($C575,01_SINTETICO!$B:$N,13,0)</f>
        <v>12.2.1.4</v>
      </c>
      <c r="C575" s="266" t="n">
        <v>92868</v>
      </c>
      <c r="D575" s="266" t="str">
        <f aca="false">VLOOKUP($C575,01_SINTETICO!$B:$M,2,0)</f>
        <v>CAIXA RETANGULAR 4" X 2" MÉDIA (1,30 M DO PISO), METÁLICA, INSTALADA EM PAREDE - FORNECIMENTO E INSTALAÇÃO. AF_03/2023</v>
      </c>
      <c r="E575" s="266" t="str">
        <f aca="false">VLOOKUP($B575,01_SINTETICO!$A:$M,4,0)</f>
        <v>SER.CG</v>
      </c>
      <c r="F575" s="267" t="str">
        <f aca="false">VLOOKUP($B575,01_SINTETICO!$A:$M,5,0)</f>
        <v>UN</v>
      </c>
      <c r="G575" s="267" t="n">
        <f aca="true">SUMIFS(INDIRECT("'01_SINTETICO'!F7:F995"),INDIRECT("'01_SINTETICO'!B7:B995"),$C575)</f>
        <v>3</v>
      </c>
      <c r="H575" s="268" t="n">
        <f aca="false">VLOOKUP($C575,01_SINTETICO!$B:$M,6,0)*$G575*(1+BDI_MAT)</f>
        <v>20.924187356844</v>
      </c>
      <c r="I575" s="268" t="n">
        <f aca="false">VLOOKUP($C575,01_SINTETICO!$B:$M,7,0)*$G575*(1+BDI_MDO)</f>
        <v>39.0435996986131</v>
      </c>
      <c r="J575" s="269" t="n">
        <f aca="false">SUM(H575:I575)</f>
        <v>59.9677870554571</v>
      </c>
      <c r="K575" s="270" t="n">
        <f aca="false">J575/SUM($J$7:$J$749)</f>
        <v>6.64285427539318E-006</v>
      </c>
      <c r="L575" s="271" t="n">
        <f aca="false">K575+L574</f>
        <v>0.999290242477652</v>
      </c>
    </row>
    <row r="576" customFormat="false" ht="25.5" hidden="false" customHeight="false" outlineLevel="0" collapsed="false">
      <c r="A576" s="264" t="n">
        <f aca="false">K576</f>
        <v>6.64285427539318E-006</v>
      </c>
      <c r="B576" s="265" t="str">
        <f aca="false">VLOOKUP($C576,01_SINTETICO!$B:$N,13,0)</f>
        <v>12.2.1.4</v>
      </c>
      <c r="C576" s="266" t="n">
        <v>92868</v>
      </c>
      <c r="D576" s="266" t="str">
        <f aca="false">VLOOKUP($C576,01_SINTETICO!$B:$M,2,0)</f>
        <v>CAIXA RETANGULAR 4" X 2" MÉDIA (1,30 M DO PISO), METÁLICA, INSTALADA EM PAREDE - FORNECIMENTO E INSTALAÇÃO. AF_03/2023</v>
      </c>
      <c r="E576" s="266" t="str">
        <f aca="false">VLOOKUP($B576,01_SINTETICO!$A:$M,4,0)</f>
        <v>SER.CG</v>
      </c>
      <c r="F576" s="267" t="str">
        <f aca="false">VLOOKUP($B576,01_SINTETICO!$A:$M,5,0)</f>
        <v>UN</v>
      </c>
      <c r="G576" s="267" t="n">
        <f aca="true">SUMIFS(INDIRECT("'01_SINTETICO'!F7:F995"),INDIRECT("'01_SINTETICO'!B7:B995"),$C576)</f>
        <v>3</v>
      </c>
      <c r="H576" s="268" t="n">
        <f aca="false">VLOOKUP($C576,01_SINTETICO!$B:$M,6,0)*$G576*(1+BDI_MAT)</f>
        <v>20.924187356844</v>
      </c>
      <c r="I576" s="268" t="n">
        <f aca="false">VLOOKUP($C576,01_SINTETICO!$B:$M,7,0)*$G576*(1+BDI_MDO)</f>
        <v>39.0435996986131</v>
      </c>
      <c r="J576" s="269" t="n">
        <f aca="false">SUM(H576:I576)</f>
        <v>59.9677870554571</v>
      </c>
      <c r="K576" s="270" t="n">
        <f aca="false">J576/SUM($J$7:$J$749)</f>
        <v>6.64285427539318E-006</v>
      </c>
      <c r="L576" s="271" t="n">
        <f aca="false">K576+L575</f>
        <v>0.999296885331927</v>
      </c>
    </row>
    <row r="577" customFormat="false" ht="25.5" hidden="false" customHeight="false" outlineLevel="0" collapsed="false">
      <c r="A577" s="264" t="n">
        <f aca="false">K577</f>
        <v>6.64285427539318E-006</v>
      </c>
      <c r="B577" s="265" t="str">
        <f aca="false">VLOOKUP($C577,01_SINTETICO!$B:$N,13,0)</f>
        <v>12.2.1.4</v>
      </c>
      <c r="C577" s="266" t="n">
        <v>92868</v>
      </c>
      <c r="D577" s="266" t="str">
        <f aca="false">VLOOKUP($C577,01_SINTETICO!$B:$M,2,0)</f>
        <v>CAIXA RETANGULAR 4" X 2" MÉDIA (1,30 M DO PISO), METÁLICA, INSTALADA EM PAREDE - FORNECIMENTO E INSTALAÇÃO. AF_03/2023</v>
      </c>
      <c r="E577" s="266" t="str">
        <f aca="false">VLOOKUP($B577,01_SINTETICO!$A:$M,4,0)</f>
        <v>SER.CG</v>
      </c>
      <c r="F577" s="267" t="str">
        <f aca="false">VLOOKUP($B577,01_SINTETICO!$A:$M,5,0)</f>
        <v>UN</v>
      </c>
      <c r="G577" s="267" t="n">
        <f aca="true">SUMIFS(INDIRECT("'01_SINTETICO'!F7:F995"),INDIRECT("'01_SINTETICO'!B7:B995"),$C577)</f>
        <v>3</v>
      </c>
      <c r="H577" s="268" t="n">
        <f aca="false">VLOOKUP($C577,01_SINTETICO!$B:$M,6,0)*$G577*(1+BDI_MAT)</f>
        <v>20.924187356844</v>
      </c>
      <c r="I577" s="268" t="n">
        <f aca="false">VLOOKUP($C577,01_SINTETICO!$B:$M,7,0)*$G577*(1+BDI_MDO)</f>
        <v>39.0435996986131</v>
      </c>
      <c r="J577" s="269" t="n">
        <f aca="false">SUM(H577:I577)</f>
        <v>59.9677870554571</v>
      </c>
      <c r="K577" s="270" t="n">
        <f aca="false">J577/SUM($J$7:$J$749)</f>
        <v>6.64285427539318E-006</v>
      </c>
      <c r="L577" s="271" t="n">
        <f aca="false">K577+L576</f>
        <v>0.999303528186202</v>
      </c>
    </row>
    <row r="578" customFormat="false" ht="25.5" hidden="false" customHeight="false" outlineLevel="0" collapsed="false">
      <c r="A578" s="264" t="n">
        <f aca="false">K578</f>
        <v>6.43491884556475E-006</v>
      </c>
      <c r="B578" s="265" t="str">
        <f aca="false">VLOOKUP($C578,01_SINTETICO!$B:$N,13,0)</f>
        <v>16.1.3.2.2</v>
      </c>
      <c r="C578" s="266" t="n">
        <v>103958</v>
      </c>
      <c r="D578" s="266" t="str">
        <f aca="false">VLOOKUP($C578,01_SINTETICO!$B:$M,2,0)</f>
        <v>BUCHA DE REDUÇÃO, CURTA, PVC, SOLDÁVEL, DN 50 X 40 MM, INSTALADO EM PRUMADA DE ÁGUA - FORNECIMENTO E INSTALAÇÃO. AF_06/2022</v>
      </c>
      <c r="E578" s="266" t="str">
        <f aca="false">VLOOKUP($B578,01_SINTETICO!$A:$M,4,0)</f>
        <v>SER.CG</v>
      </c>
      <c r="F578" s="267" t="str">
        <f aca="false">VLOOKUP($B578,01_SINTETICO!$A:$M,5,0)</f>
        <v>UN</v>
      </c>
      <c r="G578" s="267" t="n">
        <f aca="true">SUMIFS(INDIRECT("'01_SINTETICO'!F7:F995"),INDIRECT("'01_SINTETICO'!B7:B995"),$C578)</f>
        <v>5</v>
      </c>
      <c r="H578" s="268" t="n">
        <f aca="false">VLOOKUP($C578,01_SINTETICO!$B:$M,6,0)*$G578*(1+BDI_MAT)</f>
        <v>41.340267499</v>
      </c>
      <c r="I578" s="268" t="n">
        <f aca="false">VLOOKUP($C578,01_SINTETICO!$B:$M,7,0)*$G578*(1+BDI_MDO)</f>
        <v>16.7504006162711</v>
      </c>
      <c r="J578" s="269" t="n">
        <f aca="false">SUM(H578:I578)</f>
        <v>58.0906681152711</v>
      </c>
      <c r="K578" s="270" t="n">
        <f aca="false">J578/SUM($J$7:$J$749)</f>
        <v>6.43491884556475E-006</v>
      </c>
      <c r="L578" s="271" t="n">
        <f aca="false">K578+L577</f>
        <v>0.999309963105048</v>
      </c>
    </row>
    <row r="579" customFormat="false" ht="25.5" hidden="false" customHeight="false" outlineLevel="0" collapsed="false">
      <c r="A579" s="264" t="n">
        <f aca="false">K579</f>
        <v>6.43491884556475E-006</v>
      </c>
      <c r="B579" s="265" t="str">
        <f aca="false">VLOOKUP($C579,01_SINTETICO!$B:$N,13,0)</f>
        <v>16.1.3.2.2</v>
      </c>
      <c r="C579" s="266" t="n">
        <v>103958</v>
      </c>
      <c r="D579" s="266" t="str">
        <f aca="false">VLOOKUP($C579,01_SINTETICO!$B:$M,2,0)</f>
        <v>BUCHA DE REDUÇÃO, CURTA, PVC, SOLDÁVEL, DN 50 X 40 MM, INSTALADO EM PRUMADA DE ÁGUA - FORNECIMENTO E INSTALAÇÃO. AF_06/2022</v>
      </c>
      <c r="E579" s="266" t="str">
        <f aca="false">VLOOKUP($B579,01_SINTETICO!$A:$M,4,0)</f>
        <v>SER.CG</v>
      </c>
      <c r="F579" s="267" t="str">
        <f aca="false">VLOOKUP($B579,01_SINTETICO!$A:$M,5,0)</f>
        <v>UN</v>
      </c>
      <c r="G579" s="267" t="n">
        <f aca="true">SUMIFS(INDIRECT("'01_SINTETICO'!F7:F995"),INDIRECT("'01_SINTETICO'!B7:B995"),$C579)</f>
        <v>5</v>
      </c>
      <c r="H579" s="268" t="n">
        <f aca="false">VLOOKUP($C579,01_SINTETICO!$B:$M,6,0)*$G579*(1+BDI_MAT)</f>
        <v>41.340267499</v>
      </c>
      <c r="I579" s="268" t="n">
        <f aca="false">VLOOKUP($C579,01_SINTETICO!$B:$M,7,0)*$G579*(1+BDI_MDO)</f>
        <v>16.7504006162711</v>
      </c>
      <c r="J579" s="269" t="n">
        <f aca="false">SUM(H579:I579)</f>
        <v>58.0906681152711</v>
      </c>
      <c r="K579" s="270" t="n">
        <f aca="false">J579/SUM($J$7:$J$749)</f>
        <v>6.43491884556475E-006</v>
      </c>
      <c r="L579" s="271" t="n">
        <f aca="false">K579+L578</f>
        <v>0.999316398023894</v>
      </c>
    </row>
    <row r="580" customFormat="false" ht="25.5" hidden="false" customHeight="false" outlineLevel="0" collapsed="false">
      <c r="A580" s="264" t="n">
        <f aca="false">K580</f>
        <v>6.43491884556475E-006</v>
      </c>
      <c r="B580" s="265" t="str">
        <f aca="false">VLOOKUP($C580,01_SINTETICO!$B:$N,13,0)</f>
        <v>16.1.3.2.2</v>
      </c>
      <c r="C580" s="266" t="n">
        <v>103958</v>
      </c>
      <c r="D580" s="266" t="str">
        <f aca="false">VLOOKUP($C580,01_SINTETICO!$B:$M,2,0)</f>
        <v>BUCHA DE REDUÇÃO, CURTA, PVC, SOLDÁVEL, DN 50 X 40 MM, INSTALADO EM PRUMADA DE ÁGUA - FORNECIMENTO E INSTALAÇÃO. AF_06/2022</v>
      </c>
      <c r="E580" s="266" t="str">
        <f aca="false">VLOOKUP($B580,01_SINTETICO!$A:$M,4,0)</f>
        <v>SER.CG</v>
      </c>
      <c r="F580" s="267" t="str">
        <f aca="false">VLOOKUP($B580,01_SINTETICO!$A:$M,5,0)</f>
        <v>UN</v>
      </c>
      <c r="G580" s="267" t="n">
        <f aca="true">SUMIFS(INDIRECT("'01_SINTETICO'!F7:F995"),INDIRECT("'01_SINTETICO'!B7:B995"),$C580)</f>
        <v>5</v>
      </c>
      <c r="H580" s="268" t="n">
        <f aca="false">VLOOKUP($C580,01_SINTETICO!$B:$M,6,0)*$G580*(1+BDI_MAT)</f>
        <v>41.340267499</v>
      </c>
      <c r="I580" s="268" t="n">
        <f aca="false">VLOOKUP($C580,01_SINTETICO!$B:$M,7,0)*$G580*(1+BDI_MDO)</f>
        <v>16.7504006162711</v>
      </c>
      <c r="J580" s="269" t="n">
        <f aca="false">SUM(H580:I580)</f>
        <v>58.0906681152711</v>
      </c>
      <c r="K580" s="270" t="n">
        <f aca="false">J580/SUM($J$7:$J$749)</f>
        <v>6.43491884556475E-006</v>
      </c>
      <c r="L580" s="271" t="n">
        <f aca="false">K580+L579</f>
        <v>0.999322832942739</v>
      </c>
    </row>
    <row r="581" customFormat="false" ht="25.5" hidden="false" customHeight="false" outlineLevel="0" collapsed="false">
      <c r="A581" s="264" t="n">
        <f aca="false">K581</f>
        <v>6.43491884556475E-006</v>
      </c>
      <c r="B581" s="265" t="str">
        <f aca="false">VLOOKUP($C581,01_SINTETICO!$B:$N,13,0)</f>
        <v>16.1.3.2.2</v>
      </c>
      <c r="C581" s="266" t="n">
        <v>103958</v>
      </c>
      <c r="D581" s="266" t="str">
        <f aca="false">VLOOKUP($C581,01_SINTETICO!$B:$M,2,0)</f>
        <v>BUCHA DE REDUÇÃO, CURTA, PVC, SOLDÁVEL, DN 50 X 40 MM, INSTALADO EM PRUMADA DE ÁGUA - FORNECIMENTO E INSTALAÇÃO. AF_06/2022</v>
      </c>
      <c r="E581" s="266" t="str">
        <f aca="false">VLOOKUP($B581,01_SINTETICO!$A:$M,4,0)</f>
        <v>SER.CG</v>
      </c>
      <c r="F581" s="267" t="str">
        <f aca="false">VLOOKUP($B581,01_SINTETICO!$A:$M,5,0)</f>
        <v>UN</v>
      </c>
      <c r="G581" s="267" t="n">
        <f aca="true">SUMIFS(INDIRECT("'01_SINTETICO'!F7:F995"),INDIRECT("'01_SINTETICO'!B7:B995"),$C581)</f>
        <v>5</v>
      </c>
      <c r="H581" s="268" t="n">
        <f aca="false">VLOOKUP($C581,01_SINTETICO!$B:$M,6,0)*$G581*(1+BDI_MAT)</f>
        <v>41.340267499</v>
      </c>
      <c r="I581" s="268" t="n">
        <f aca="false">VLOOKUP($C581,01_SINTETICO!$B:$M,7,0)*$G581*(1+BDI_MDO)</f>
        <v>16.7504006162711</v>
      </c>
      <c r="J581" s="269" t="n">
        <f aca="false">SUM(H581:I581)</f>
        <v>58.0906681152711</v>
      </c>
      <c r="K581" s="270" t="n">
        <f aca="false">J581/SUM($J$7:$J$749)</f>
        <v>6.43491884556475E-006</v>
      </c>
      <c r="L581" s="271" t="n">
        <f aca="false">K581+L580</f>
        <v>0.999329267861585</v>
      </c>
    </row>
    <row r="582" customFormat="false" ht="25.5" hidden="false" customHeight="false" outlineLevel="0" collapsed="false">
      <c r="A582" s="264" t="n">
        <f aca="false">K582</f>
        <v>6.29713563055529E-006</v>
      </c>
      <c r="B582" s="265" t="str">
        <f aca="false">VLOOKUP($C582,01_SINTETICO!$B:$N,13,0)</f>
        <v>8.2.5.3</v>
      </c>
      <c r="C582" s="266" t="s">
        <v>588</v>
      </c>
      <c r="D582" s="266" t="str">
        <f aca="false">VLOOKUP($C582,01_SINTETICO!$B:$M,2,0)</f>
        <v>PLACA INDICATIVA DE PAVIMENTO EM ALTO RELEVO, FIXADA EM PAREDE.</v>
      </c>
      <c r="E582" s="266" t="str">
        <f aca="false">VLOOKUP($B582,01_SINTETICO!$A:$M,4,0)</f>
        <v>SER.CG</v>
      </c>
      <c r="F582" s="267" t="str">
        <f aca="false">VLOOKUP($B582,01_SINTETICO!$A:$M,5,0)</f>
        <v>UN</v>
      </c>
      <c r="G582" s="267" t="n">
        <f aca="true">SUMIFS(INDIRECT("'01_SINTETICO'!F7:F995"),INDIRECT("'01_SINTETICO'!B7:B995"),$C582)</f>
        <v>4</v>
      </c>
      <c r="H582" s="268" t="n">
        <f aca="false">VLOOKUP($C582,01_SINTETICO!$B:$M,6,0)*$G582*(1+BDI_MAT)</f>
        <v>43.3588693333333</v>
      </c>
      <c r="I582" s="268" t="n">
        <f aca="false">VLOOKUP($C582,01_SINTETICO!$B:$M,7,0)*$G582*(1+BDI_MDO)</f>
        <v>13.4879728368</v>
      </c>
      <c r="J582" s="269" t="n">
        <f aca="false">SUM(H582:I582)</f>
        <v>56.8468421701333</v>
      </c>
      <c r="K582" s="270" t="n">
        <f aca="false">J582/SUM($J$7:$J$749)</f>
        <v>6.29713563055529E-006</v>
      </c>
      <c r="L582" s="271" t="n">
        <f aca="false">K582+L581</f>
        <v>0.999335564997215</v>
      </c>
    </row>
    <row r="583" customFormat="false" ht="25.5" hidden="false" customHeight="false" outlineLevel="0" collapsed="false">
      <c r="A583" s="264" t="n">
        <f aca="false">K583</f>
        <v>6.29713563055529E-006</v>
      </c>
      <c r="B583" s="265" t="str">
        <f aca="false">VLOOKUP($C583,01_SINTETICO!$B:$N,13,0)</f>
        <v>8.2.5.3</v>
      </c>
      <c r="C583" s="266" t="s">
        <v>588</v>
      </c>
      <c r="D583" s="266" t="str">
        <f aca="false">VLOOKUP($C583,01_SINTETICO!$B:$M,2,0)</f>
        <v>PLACA INDICATIVA DE PAVIMENTO EM ALTO RELEVO, FIXADA EM PAREDE.</v>
      </c>
      <c r="E583" s="266" t="str">
        <f aca="false">VLOOKUP($B583,01_SINTETICO!$A:$M,4,0)</f>
        <v>SER.CG</v>
      </c>
      <c r="F583" s="267" t="str">
        <f aca="false">VLOOKUP($B583,01_SINTETICO!$A:$M,5,0)</f>
        <v>UN</v>
      </c>
      <c r="G583" s="267" t="n">
        <f aca="true">SUMIFS(INDIRECT("'01_SINTETICO'!F7:F995"),INDIRECT("'01_SINTETICO'!B7:B995"),$C583)</f>
        <v>4</v>
      </c>
      <c r="H583" s="268" t="n">
        <f aca="false">VLOOKUP($C583,01_SINTETICO!$B:$M,6,0)*$G583*(1+BDI_MAT)</f>
        <v>43.3588693333333</v>
      </c>
      <c r="I583" s="268" t="n">
        <f aca="false">VLOOKUP($C583,01_SINTETICO!$B:$M,7,0)*$G583*(1+BDI_MDO)</f>
        <v>13.4879728368</v>
      </c>
      <c r="J583" s="269" t="n">
        <f aca="false">SUM(H583:I583)</f>
        <v>56.8468421701333</v>
      </c>
      <c r="K583" s="270" t="n">
        <f aca="false">J583/SUM($J$7:$J$749)</f>
        <v>6.29713563055529E-006</v>
      </c>
      <c r="L583" s="271" t="n">
        <f aca="false">K583+L582</f>
        <v>0.999341862132846</v>
      </c>
    </row>
    <row r="584" customFormat="false" ht="38.25" hidden="false" customHeight="false" outlineLevel="0" collapsed="false">
      <c r="A584" s="264" t="n">
        <f aca="false">K584</f>
        <v>6.09180863591242E-006</v>
      </c>
      <c r="B584" s="265" t="str">
        <f aca="false">VLOOKUP($C584,01_SINTETICO!$B:$N,13,0)</f>
        <v>11.2.3.31</v>
      </c>
      <c r="C584" s="266" t="n">
        <v>104354</v>
      </c>
      <c r="D584" s="266" t="str">
        <f aca="false">VLOOKUP($C584,01_SINTETICO!$B:$M,2,0)</f>
        <v>TE, PVC, SÉRIE NORMAL, ESGOTO PREDIAL, DN 100 X 75 MM, JUNTA ELÁSTICA, FORNECIDO E INSTALADO EM PRUMADA DE ESGOTO SANITÁRIO OU VENTILAÇÃO. AF_08/2022</v>
      </c>
      <c r="E584" s="266" t="str">
        <f aca="false">VLOOKUP($B584,01_SINTETICO!$A:$M,4,0)</f>
        <v>SER.CG</v>
      </c>
      <c r="F584" s="267" t="str">
        <f aca="false">VLOOKUP($B584,01_SINTETICO!$A:$M,5,0)</f>
        <v>UN</v>
      </c>
      <c r="G584" s="267" t="n">
        <f aca="true">SUMIFS(INDIRECT("'01_SINTETICO'!F7:F995"),INDIRECT("'01_SINTETICO'!B7:B995"),$C584)</f>
        <v>1</v>
      </c>
      <c r="H584" s="268" t="n">
        <f aca="false">VLOOKUP($C584,01_SINTETICO!$B:$M,6,0)*$G584*(1+BDI_MAT)</f>
        <v>44.1782908496</v>
      </c>
      <c r="I584" s="268" t="n">
        <f aca="false">VLOOKUP($C584,01_SINTETICO!$B:$M,7,0)*$G584*(1+BDI_MDO)</f>
        <v>10.8149798012707</v>
      </c>
      <c r="J584" s="269" t="n">
        <f aca="false">SUM(H584:I584)</f>
        <v>54.9932706508707</v>
      </c>
      <c r="K584" s="270" t="n">
        <f aca="false">J584/SUM($J$7:$J$749)</f>
        <v>6.09180863591242E-006</v>
      </c>
      <c r="L584" s="271" t="n">
        <f aca="false">K584+L583</f>
        <v>0.999347953941482</v>
      </c>
    </row>
    <row r="585" customFormat="false" ht="38.25" hidden="false" customHeight="false" outlineLevel="0" collapsed="false">
      <c r="A585" s="264" t="n">
        <f aca="false">K585</f>
        <v>6.09180863591242E-006</v>
      </c>
      <c r="B585" s="265" t="str">
        <f aca="false">VLOOKUP($C585,01_SINTETICO!$B:$N,13,0)</f>
        <v>11.2.3.31</v>
      </c>
      <c r="C585" s="266" t="n">
        <v>104354</v>
      </c>
      <c r="D585" s="266" t="str">
        <f aca="false">VLOOKUP($C585,01_SINTETICO!$B:$M,2,0)</f>
        <v>TE, PVC, SÉRIE NORMAL, ESGOTO PREDIAL, DN 100 X 75 MM, JUNTA ELÁSTICA, FORNECIDO E INSTALADO EM PRUMADA DE ESGOTO SANITÁRIO OU VENTILAÇÃO. AF_08/2022</v>
      </c>
      <c r="E585" s="266" t="str">
        <f aca="false">VLOOKUP($B585,01_SINTETICO!$A:$M,4,0)</f>
        <v>SER.CG</v>
      </c>
      <c r="F585" s="267" t="str">
        <f aca="false">VLOOKUP($B585,01_SINTETICO!$A:$M,5,0)</f>
        <v>UN</v>
      </c>
      <c r="G585" s="267" t="n">
        <f aca="true">SUMIFS(INDIRECT("'01_SINTETICO'!F7:F995"),INDIRECT("'01_SINTETICO'!B7:B995"),$C585)</f>
        <v>1</v>
      </c>
      <c r="H585" s="268" t="n">
        <f aca="false">VLOOKUP($C585,01_SINTETICO!$B:$M,6,0)*$G585*(1+BDI_MAT)</f>
        <v>44.1782908496</v>
      </c>
      <c r="I585" s="268" t="n">
        <f aca="false">VLOOKUP($C585,01_SINTETICO!$B:$M,7,0)*$G585*(1+BDI_MDO)</f>
        <v>10.8149798012707</v>
      </c>
      <c r="J585" s="269" t="n">
        <f aca="false">SUM(H585:I585)</f>
        <v>54.9932706508707</v>
      </c>
      <c r="K585" s="270" t="n">
        <f aca="false">J585/SUM($J$7:$J$749)</f>
        <v>6.09180863591242E-006</v>
      </c>
      <c r="L585" s="271" t="n">
        <f aca="false">K585+L584</f>
        <v>0.999354045750118</v>
      </c>
    </row>
    <row r="586" customFormat="false" ht="38.25" hidden="false" customHeight="false" outlineLevel="0" collapsed="false">
      <c r="A586" s="264" t="n">
        <f aca="false">K586</f>
        <v>6.09180863591242E-006</v>
      </c>
      <c r="B586" s="265" t="str">
        <f aca="false">VLOOKUP($C586,01_SINTETICO!$B:$N,13,0)</f>
        <v>11.2.3.31</v>
      </c>
      <c r="C586" s="266" t="n">
        <v>104354</v>
      </c>
      <c r="D586" s="266" t="str">
        <f aca="false">VLOOKUP($C586,01_SINTETICO!$B:$M,2,0)</f>
        <v>TE, PVC, SÉRIE NORMAL, ESGOTO PREDIAL, DN 100 X 75 MM, JUNTA ELÁSTICA, FORNECIDO E INSTALADO EM PRUMADA DE ESGOTO SANITÁRIO OU VENTILAÇÃO. AF_08/2022</v>
      </c>
      <c r="E586" s="266" t="str">
        <f aca="false">VLOOKUP($B586,01_SINTETICO!$A:$M,4,0)</f>
        <v>SER.CG</v>
      </c>
      <c r="F586" s="267" t="str">
        <f aca="false">VLOOKUP($B586,01_SINTETICO!$A:$M,5,0)</f>
        <v>UN</v>
      </c>
      <c r="G586" s="267" t="n">
        <f aca="true">SUMIFS(INDIRECT("'01_SINTETICO'!F7:F995"),INDIRECT("'01_SINTETICO'!B7:B995"),$C586)</f>
        <v>1</v>
      </c>
      <c r="H586" s="268" t="n">
        <f aca="false">VLOOKUP($C586,01_SINTETICO!$B:$M,6,0)*$G586*(1+BDI_MAT)</f>
        <v>44.1782908496</v>
      </c>
      <c r="I586" s="268" t="n">
        <f aca="false">VLOOKUP($C586,01_SINTETICO!$B:$M,7,0)*$G586*(1+BDI_MDO)</f>
        <v>10.8149798012707</v>
      </c>
      <c r="J586" s="269" t="n">
        <f aca="false">SUM(H586:I586)</f>
        <v>54.9932706508707</v>
      </c>
      <c r="K586" s="270" t="n">
        <f aca="false">J586/SUM($J$7:$J$749)</f>
        <v>6.09180863591242E-006</v>
      </c>
      <c r="L586" s="271" t="n">
        <f aca="false">K586+L585</f>
        <v>0.999360137558753</v>
      </c>
    </row>
    <row r="587" customFormat="false" ht="38.25" hidden="false" customHeight="false" outlineLevel="0" collapsed="false">
      <c r="A587" s="264" t="n">
        <f aca="false">K587</f>
        <v>6.09180863591242E-006</v>
      </c>
      <c r="B587" s="265" t="str">
        <f aca="false">VLOOKUP($C587,01_SINTETICO!$B:$N,13,0)</f>
        <v>11.2.3.31</v>
      </c>
      <c r="C587" s="272" t="n">
        <v>104354</v>
      </c>
      <c r="D587" s="266" t="str">
        <f aca="false">VLOOKUP($C587,01_SINTETICO!$B:$M,2,0)</f>
        <v>TE, PVC, SÉRIE NORMAL, ESGOTO PREDIAL, DN 100 X 75 MM, JUNTA ELÁSTICA, FORNECIDO E INSTALADO EM PRUMADA DE ESGOTO SANITÁRIO OU VENTILAÇÃO. AF_08/2022</v>
      </c>
      <c r="E587" s="272" t="str">
        <f aca="false">VLOOKUP($B587,01_SINTETICO!$A:$M,4,0)</f>
        <v>SER.CG</v>
      </c>
      <c r="F587" s="273" t="str">
        <f aca="false">VLOOKUP($B587,01_SINTETICO!$A:$M,5,0)</f>
        <v>UN</v>
      </c>
      <c r="G587" s="267" t="n">
        <f aca="true">SUMIFS(INDIRECT("'01_SINTETICO'!F7:F995"),INDIRECT("'01_SINTETICO'!B7:B995"),$C587)</f>
        <v>1</v>
      </c>
      <c r="H587" s="268" t="n">
        <f aca="false">VLOOKUP($C587,01_SINTETICO!$B:$M,6,0)*$G587*(1+BDI_MAT)</f>
        <v>44.1782908496</v>
      </c>
      <c r="I587" s="268" t="n">
        <f aca="false">VLOOKUP($C587,01_SINTETICO!$B:$M,7,0)*$G587*(1+BDI_MDO)</f>
        <v>10.8149798012707</v>
      </c>
      <c r="J587" s="269" t="n">
        <f aca="false">SUM(H587:I587)</f>
        <v>54.9932706508707</v>
      </c>
      <c r="K587" s="270" t="n">
        <f aca="false">J587/SUM($J$7:$J$749)</f>
        <v>6.09180863591242E-006</v>
      </c>
      <c r="L587" s="271" t="n">
        <f aca="false">K587+L586</f>
        <v>0.999366229367389</v>
      </c>
    </row>
    <row r="588" customFormat="false" ht="25.5" hidden="false" customHeight="false" outlineLevel="0" collapsed="false">
      <c r="A588" s="264" t="n">
        <f aca="false">K588</f>
        <v>6.07595738721749E-006</v>
      </c>
      <c r="B588" s="265" t="str">
        <f aca="false">VLOOKUP($C588,01_SINTETICO!$B:$N,13,0)</f>
        <v>15.4.2.16</v>
      </c>
      <c r="C588" s="266" t="s">
        <v>1182</v>
      </c>
      <c r="D588" s="266" t="str">
        <f aca="false">VLOOKUP($C588,01_SINTETICO!$B:$M,2,0)</f>
        <v>VÁLVULA REDUTORA DE PRESSÃO 2 1/2", INSTALADO EM REDE DE ALIMENTAÇÃO PARA HIDRANTE - FORNECIMENTO E INSTALAÇÃO.</v>
      </c>
      <c r="E588" s="266" t="str">
        <f aca="false">VLOOKUP($B588,01_SINTETICO!$A:$M,4,0)</f>
        <v>SER.CG</v>
      </c>
      <c r="F588" s="267" t="str">
        <f aca="false">VLOOKUP($B588,01_SINTETICO!$A:$M,5,0)</f>
        <v>UN</v>
      </c>
      <c r="G588" s="267" t="n">
        <f aca="true">SUMIFS(INDIRECT("'01_SINTETICO'!F7:F995"),INDIRECT("'01_SINTETICO'!B7:B995"),$C588)</f>
        <v>2</v>
      </c>
      <c r="H588" s="268" t="n">
        <f aca="false">VLOOKUP($C588,01_SINTETICO!$B:$M,6,0)*$G588*(1+BDI_DIF)</f>
        <v>15.3444310730348</v>
      </c>
      <c r="I588" s="268" t="n">
        <f aca="false">VLOOKUP($C588,01_SINTETICO!$B:$M,7,0)*$G588*(1+BDI_MDO)</f>
        <v>39.5057438140432</v>
      </c>
      <c r="J588" s="269" t="n">
        <f aca="false">SUM(H588:I588)</f>
        <v>54.8501748870781</v>
      </c>
      <c r="K588" s="270" t="n">
        <f aca="false">J588/SUM($J$7:$J$749)</f>
        <v>6.07595738721749E-006</v>
      </c>
      <c r="L588" s="271" t="n">
        <f aca="false">K588+L587</f>
        <v>0.999372305324777</v>
      </c>
    </row>
    <row r="589" customFormat="false" ht="38.25" hidden="false" customHeight="false" outlineLevel="0" collapsed="false">
      <c r="A589" s="264" t="n">
        <f aca="false">K589</f>
        <v>6.04946751163039E-006</v>
      </c>
      <c r="B589" s="265" t="str">
        <f aca="false">VLOOKUP($C589,01_SINTETICO!$B:$N,13,0)</f>
        <v>12.2.3.5</v>
      </c>
      <c r="C589" s="266" t="s">
        <v>926</v>
      </c>
      <c r="D589" s="266" t="str">
        <f aca="false">VLOOKUP($C589,01_SINTETICO!$B:$M,2,0)</f>
        <v>CURVA VERTICAL INTERNA 90º PARA ELETROCALHA, LISA OU PERFURADA EM AÇO GALVANIZADO, LARGURA DE 100MM E ALTURA DE 50MM - FORNECIMENTO E INSTALAÇÃO.</v>
      </c>
      <c r="E589" s="266" t="str">
        <f aca="false">VLOOKUP($B589,01_SINTETICO!$A:$M,4,0)</f>
        <v>SER.CG</v>
      </c>
      <c r="F589" s="267" t="str">
        <f aca="false">VLOOKUP($B589,01_SINTETICO!$A:$M,5,0)</f>
        <v>UN</v>
      </c>
      <c r="G589" s="267" t="n">
        <f aca="true">SUMIFS(INDIRECT("'01_SINTETICO'!F7:F995"),INDIRECT("'01_SINTETICO'!B7:B995"),$C589)</f>
        <v>1</v>
      </c>
      <c r="H589" s="268" t="n">
        <f aca="false">VLOOKUP($C589,01_SINTETICO!$B:$M,6,0)*$G589*(1+BDI_MAT)</f>
        <v>47.8859550493333</v>
      </c>
      <c r="I589" s="268" t="n">
        <f aca="false">VLOOKUP($C589,01_SINTETICO!$B:$M,7,0)*$G589*(1+BDI_MDO)</f>
        <v>6.72508479842628</v>
      </c>
      <c r="J589" s="269" t="n">
        <f aca="false">SUM(H589:I589)</f>
        <v>54.6110398477596</v>
      </c>
      <c r="K589" s="270" t="n">
        <f aca="false">J589/SUM($J$7:$J$749)</f>
        <v>6.04946751163039E-006</v>
      </c>
      <c r="L589" s="271" t="n">
        <f aca="false">K589+L588</f>
        <v>0.999378354792288</v>
      </c>
    </row>
    <row r="590" customFormat="false" ht="38.25" hidden="false" customHeight="false" outlineLevel="0" collapsed="false">
      <c r="A590" s="264" t="n">
        <f aca="false">K590</f>
        <v>6.04946751163039E-006</v>
      </c>
      <c r="B590" s="265" t="str">
        <f aca="false">VLOOKUP($C590,01_SINTETICO!$B:$N,13,0)</f>
        <v>12.2.3.5</v>
      </c>
      <c r="C590" s="266" t="s">
        <v>926</v>
      </c>
      <c r="D590" s="266" t="str">
        <f aca="false">VLOOKUP($C590,01_SINTETICO!$B:$M,2,0)</f>
        <v>CURVA VERTICAL INTERNA 90º PARA ELETROCALHA, LISA OU PERFURADA EM AÇO GALVANIZADO, LARGURA DE 100MM E ALTURA DE 50MM - FORNECIMENTO E INSTALAÇÃO.</v>
      </c>
      <c r="E590" s="272" t="str">
        <f aca="false">VLOOKUP($B590,01_SINTETICO!$A:$M,4,0)</f>
        <v>SER.CG</v>
      </c>
      <c r="F590" s="273" t="str">
        <f aca="false">VLOOKUP($B590,01_SINTETICO!$A:$M,5,0)</f>
        <v>UN</v>
      </c>
      <c r="G590" s="267" t="n">
        <f aca="true">SUMIFS(INDIRECT("'01_SINTETICO'!F7:F995"),INDIRECT("'01_SINTETICO'!B7:B995"),$C590)</f>
        <v>1</v>
      </c>
      <c r="H590" s="268" t="n">
        <f aca="false">VLOOKUP($C590,01_SINTETICO!$B:$M,6,0)*$G590*(1+BDI_MAT)</f>
        <v>47.8859550493333</v>
      </c>
      <c r="I590" s="268" t="n">
        <f aca="false">VLOOKUP($C590,01_SINTETICO!$B:$M,7,0)*$G590*(1+BDI_MDO)</f>
        <v>6.72508479842628</v>
      </c>
      <c r="J590" s="269" t="n">
        <f aca="false">SUM(H590:I590)</f>
        <v>54.6110398477596</v>
      </c>
      <c r="K590" s="270" t="n">
        <f aca="false">J590/SUM($J$7:$J$749)</f>
        <v>6.04946751163039E-006</v>
      </c>
      <c r="L590" s="271" t="n">
        <f aca="false">K590+L589</f>
        <v>0.9993844042598</v>
      </c>
    </row>
    <row r="591" customFormat="false" ht="38.25" hidden="false" customHeight="false" outlineLevel="0" collapsed="false">
      <c r="A591" s="264" t="n">
        <f aca="false">K591</f>
        <v>6.04946751163039E-006</v>
      </c>
      <c r="B591" s="265" t="str">
        <f aca="false">VLOOKUP($C591,01_SINTETICO!$B:$N,13,0)</f>
        <v>12.2.3.5</v>
      </c>
      <c r="C591" s="266" t="s">
        <v>926</v>
      </c>
      <c r="D591" s="266" t="str">
        <f aca="false">VLOOKUP($C591,01_SINTETICO!$B:$M,2,0)</f>
        <v>CURVA VERTICAL INTERNA 90º PARA ELETROCALHA, LISA OU PERFURADA EM AÇO GALVANIZADO, LARGURA DE 100MM E ALTURA DE 50MM - FORNECIMENTO E INSTALAÇÃO.</v>
      </c>
      <c r="E591" s="266" t="str">
        <f aca="false">VLOOKUP($B591,01_SINTETICO!$A:$M,4,0)</f>
        <v>SER.CG</v>
      </c>
      <c r="F591" s="267" t="str">
        <f aca="false">VLOOKUP($B591,01_SINTETICO!$A:$M,5,0)</f>
        <v>UN</v>
      </c>
      <c r="G591" s="267" t="n">
        <f aca="true">SUMIFS(INDIRECT("'01_SINTETICO'!F7:F995"),INDIRECT("'01_SINTETICO'!B7:B995"),$C591)</f>
        <v>1</v>
      </c>
      <c r="H591" s="268" t="n">
        <f aca="false">VLOOKUP($C591,01_SINTETICO!$B:$M,6,0)*$G591*(1+BDI_MAT)</f>
        <v>47.8859550493333</v>
      </c>
      <c r="I591" s="268" t="n">
        <f aca="false">VLOOKUP($C591,01_SINTETICO!$B:$M,7,0)*$G591*(1+BDI_MDO)</f>
        <v>6.72508479842628</v>
      </c>
      <c r="J591" s="269" t="n">
        <f aca="false">SUM(H591:I591)</f>
        <v>54.6110398477596</v>
      </c>
      <c r="K591" s="270" t="n">
        <f aca="false">J591/SUM($J$7:$J$749)</f>
        <v>6.04946751163039E-006</v>
      </c>
      <c r="L591" s="271" t="n">
        <f aca="false">K591+L590</f>
        <v>0.999390453727311</v>
      </c>
    </row>
    <row r="592" customFormat="false" ht="38.25" hidden="false" customHeight="false" outlineLevel="0" collapsed="false">
      <c r="A592" s="264" t="n">
        <f aca="false">K592</f>
        <v>6.04946751163039E-006</v>
      </c>
      <c r="B592" s="265" t="str">
        <f aca="false">VLOOKUP($C592,01_SINTETICO!$B:$N,13,0)</f>
        <v>12.2.3.5</v>
      </c>
      <c r="C592" s="266" t="s">
        <v>926</v>
      </c>
      <c r="D592" s="266" t="str">
        <f aca="false">VLOOKUP($C592,01_SINTETICO!$B:$M,2,0)</f>
        <v>CURVA VERTICAL INTERNA 90º PARA ELETROCALHA, LISA OU PERFURADA EM AÇO GALVANIZADO, LARGURA DE 100MM E ALTURA DE 50MM - FORNECIMENTO E INSTALAÇÃO.</v>
      </c>
      <c r="E592" s="266" t="str">
        <f aca="false">VLOOKUP($B592,01_SINTETICO!$A:$M,4,0)</f>
        <v>SER.CG</v>
      </c>
      <c r="F592" s="267" t="str">
        <f aca="false">VLOOKUP($B592,01_SINTETICO!$A:$M,5,0)</f>
        <v>UN</v>
      </c>
      <c r="G592" s="267" t="n">
        <f aca="true">SUMIFS(INDIRECT("'01_SINTETICO'!F7:F995"),INDIRECT("'01_SINTETICO'!B7:B995"),$C592)</f>
        <v>1</v>
      </c>
      <c r="H592" s="268" t="n">
        <f aca="false">VLOOKUP($C592,01_SINTETICO!$B:$M,6,0)*$G592*(1+BDI_MAT)</f>
        <v>47.8859550493333</v>
      </c>
      <c r="I592" s="268" t="n">
        <f aca="false">VLOOKUP($C592,01_SINTETICO!$B:$M,7,0)*$G592*(1+BDI_MDO)</f>
        <v>6.72508479842628</v>
      </c>
      <c r="J592" s="269" t="n">
        <f aca="false">SUM(H592:I592)</f>
        <v>54.6110398477596</v>
      </c>
      <c r="K592" s="270" t="n">
        <f aca="false">J592/SUM($J$7:$J$749)</f>
        <v>6.04946751163039E-006</v>
      </c>
      <c r="L592" s="271" t="n">
        <f aca="false">K592+L591</f>
        <v>0.999396503194823</v>
      </c>
    </row>
    <row r="593" customFormat="false" ht="38.25" hidden="false" customHeight="false" outlineLevel="0" collapsed="false">
      <c r="A593" s="264" t="n">
        <f aca="false">K593</f>
        <v>5.99046633249042E-006</v>
      </c>
      <c r="B593" s="265" t="str">
        <f aca="false">VLOOKUP($C593,01_SINTETICO!$B:$N,13,0)</f>
        <v>12.2.3.2</v>
      </c>
      <c r="C593" s="266" t="s">
        <v>920</v>
      </c>
      <c r="D593" s="266" t="str">
        <f aca="false">VLOOKUP($C593,01_SINTETICO!$B:$M,2,0)</f>
        <v>CURVA HORIZONTAL 45º PARA ELETROCALHA, LISA OU PERFURADA EM AÇO GALVANIZADO, LARGURA DE 50MM E ALTURA DE 50MM - FORNECIMENTO E INSTALAÇÃO.</v>
      </c>
      <c r="E593" s="266" t="str">
        <f aca="false">VLOOKUP($B593,01_SINTETICO!$A:$M,4,0)</f>
        <v>SER.CG</v>
      </c>
      <c r="F593" s="267" t="str">
        <f aca="false">VLOOKUP($B593,01_SINTETICO!$A:$M,5,0)</f>
        <v>UN</v>
      </c>
      <c r="G593" s="267" t="n">
        <f aca="true">SUMIFS(INDIRECT("'01_SINTETICO'!F7:F995"),INDIRECT("'01_SINTETICO'!B7:B995"),$C593)</f>
        <v>1</v>
      </c>
      <c r="H593" s="268" t="n">
        <f aca="false">VLOOKUP($C593,01_SINTETICO!$B:$M,6,0)*$G593*(1+BDI_MAT)</f>
        <v>37.098333494</v>
      </c>
      <c r="I593" s="268" t="n">
        <f aca="false">VLOOKUP($C593,01_SINTETICO!$B:$M,7,0)*$G593*(1+BDI_MDO)</f>
        <v>16.9800783598274</v>
      </c>
      <c r="J593" s="269" t="n">
        <f aca="false">SUM(H593:I593)</f>
        <v>54.0784118538275</v>
      </c>
      <c r="K593" s="270" t="n">
        <f aca="false">J593/SUM($J$7:$J$749)</f>
        <v>5.99046633249042E-006</v>
      </c>
      <c r="L593" s="271" t="n">
        <f aca="false">K593+L592</f>
        <v>0.999402493661155</v>
      </c>
    </row>
    <row r="594" customFormat="false" ht="38.25" hidden="false" customHeight="false" outlineLevel="0" collapsed="false">
      <c r="A594" s="264" t="n">
        <f aca="false">K594</f>
        <v>5.99046633249042E-006</v>
      </c>
      <c r="B594" s="265" t="str">
        <f aca="false">VLOOKUP($C594,01_SINTETICO!$B:$N,13,0)</f>
        <v>12.2.3.2</v>
      </c>
      <c r="C594" s="266" t="s">
        <v>920</v>
      </c>
      <c r="D594" s="266" t="str">
        <f aca="false">VLOOKUP($C594,01_SINTETICO!$B:$M,2,0)</f>
        <v>CURVA HORIZONTAL 45º PARA ELETROCALHA, LISA OU PERFURADA EM AÇO GALVANIZADO, LARGURA DE 50MM E ALTURA DE 50MM - FORNECIMENTO E INSTALAÇÃO.</v>
      </c>
      <c r="E594" s="266" t="str">
        <f aca="false">VLOOKUP($B594,01_SINTETICO!$A:$M,4,0)</f>
        <v>SER.CG</v>
      </c>
      <c r="F594" s="267" t="str">
        <f aca="false">VLOOKUP($B594,01_SINTETICO!$A:$M,5,0)</f>
        <v>UN</v>
      </c>
      <c r="G594" s="267" t="n">
        <f aca="true">SUMIFS(INDIRECT("'01_SINTETICO'!F7:F995"),INDIRECT("'01_SINTETICO'!B7:B995"),$C594)</f>
        <v>1</v>
      </c>
      <c r="H594" s="268" t="n">
        <f aca="false">VLOOKUP($C594,01_SINTETICO!$B:$M,6,0)*$G594*(1+BDI_MAT)</f>
        <v>37.098333494</v>
      </c>
      <c r="I594" s="268" t="n">
        <f aca="false">VLOOKUP($C594,01_SINTETICO!$B:$M,7,0)*$G594*(1+BDI_MDO)</f>
        <v>16.9800783598274</v>
      </c>
      <c r="J594" s="269" t="n">
        <f aca="false">SUM(H594:I594)</f>
        <v>54.0784118538275</v>
      </c>
      <c r="K594" s="270" t="n">
        <f aca="false">J594/SUM($J$7:$J$749)</f>
        <v>5.99046633249042E-006</v>
      </c>
      <c r="L594" s="271" t="n">
        <f aca="false">K594+L593</f>
        <v>0.999408484127488</v>
      </c>
    </row>
    <row r="595" customFormat="false" ht="38.25" hidden="false" customHeight="false" outlineLevel="0" collapsed="false">
      <c r="A595" s="264" t="n">
        <f aca="false">K595</f>
        <v>5.85469085258646E-006</v>
      </c>
      <c r="B595" s="265" t="str">
        <f aca="false">VLOOKUP($C595,01_SINTETICO!$B:$N,13,0)</f>
        <v>12.3.1.1.5</v>
      </c>
      <c r="C595" s="266" t="n">
        <v>91957</v>
      </c>
      <c r="D595" s="266" t="str">
        <f aca="false">VLOOKUP($C595,01_SINTETICO!$B:$M,2,0)</f>
        <v>INTERRUPTOR SIMPLES (1 MÓDULO) COM INTERRUPTOR PARALELO (1 MÓDULO), 10A/250V, INCLUINDO SUPORTE E PLACA - FORNECIMENTO E INSTALAÇÃO. AF_03/2023</v>
      </c>
      <c r="E595" s="266" t="str">
        <f aca="false">VLOOKUP($B595,01_SINTETICO!$A:$M,4,0)</f>
        <v>SER.CG</v>
      </c>
      <c r="F595" s="267" t="str">
        <f aca="false">VLOOKUP($B595,01_SINTETICO!$A:$M,5,0)</f>
        <v>UN</v>
      </c>
      <c r="G595" s="267" t="n">
        <f aca="true">SUMIFS(INDIRECT("'01_SINTETICO'!F7:F995"),INDIRECT("'01_SINTETICO'!B7:B995"),$C595)</f>
        <v>1</v>
      </c>
      <c r="H595" s="268" t="n">
        <f aca="false">VLOOKUP($C595,01_SINTETICO!$B:$M,6,0)*$G595*(1+BDI_MAT)</f>
        <v>25.666874544</v>
      </c>
      <c r="I595" s="268" t="n">
        <f aca="false">VLOOKUP($C595,01_SINTETICO!$B:$M,7,0)*$G595*(1+BDI_MDO)</f>
        <v>27.185836018081</v>
      </c>
      <c r="J595" s="269" t="n">
        <f aca="false">SUM(H595:I595)</f>
        <v>52.852710562081</v>
      </c>
      <c r="K595" s="270" t="n">
        <f aca="false">J595/SUM($J$7:$J$749)</f>
        <v>5.85469085258646E-006</v>
      </c>
      <c r="L595" s="271" t="n">
        <f aca="false">K595+L594</f>
        <v>0.999414338818341</v>
      </c>
    </row>
    <row r="596" customFormat="false" ht="38.25" hidden="false" customHeight="false" outlineLevel="0" collapsed="false">
      <c r="A596" s="264" t="n">
        <f aca="false">K596</f>
        <v>5.85469085258646E-006</v>
      </c>
      <c r="B596" s="265" t="str">
        <f aca="false">VLOOKUP($C596,01_SINTETICO!$B:$N,13,0)</f>
        <v>12.3.1.1.5</v>
      </c>
      <c r="C596" s="272" t="n">
        <v>91957</v>
      </c>
      <c r="D596" s="266" t="str">
        <f aca="false">VLOOKUP($C596,01_SINTETICO!$B:$M,2,0)</f>
        <v>INTERRUPTOR SIMPLES (1 MÓDULO) COM INTERRUPTOR PARALELO (1 MÓDULO), 10A/250V, INCLUINDO SUPORTE E PLACA - FORNECIMENTO E INSTALAÇÃO. AF_03/2023</v>
      </c>
      <c r="E596" s="272" t="str">
        <f aca="false">VLOOKUP($B596,01_SINTETICO!$A:$M,4,0)</f>
        <v>SER.CG</v>
      </c>
      <c r="F596" s="273" t="str">
        <f aca="false">VLOOKUP($B596,01_SINTETICO!$A:$M,5,0)</f>
        <v>UN</v>
      </c>
      <c r="G596" s="267" t="n">
        <f aca="true">SUMIFS(INDIRECT("'01_SINTETICO'!F7:F995"),INDIRECT("'01_SINTETICO'!B7:B995"),$C596)</f>
        <v>1</v>
      </c>
      <c r="H596" s="268" t="n">
        <f aca="false">VLOOKUP($C596,01_SINTETICO!$B:$M,6,0)*$G596*(1+BDI_MAT)</f>
        <v>25.666874544</v>
      </c>
      <c r="I596" s="268" t="n">
        <f aca="false">VLOOKUP($C596,01_SINTETICO!$B:$M,7,0)*$G596*(1+BDI_MDO)</f>
        <v>27.185836018081</v>
      </c>
      <c r="J596" s="269" t="n">
        <f aca="false">SUM(H596:I596)</f>
        <v>52.852710562081</v>
      </c>
      <c r="K596" s="270" t="n">
        <f aca="false">J596/SUM($J$7:$J$749)</f>
        <v>5.85469085258646E-006</v>
      </c>
      <c r="L596" s="271" t="n">
        <f aca="false">K596+L595</f>
        <v>0.999420193509193</v>
      </c>
    </row>
    <row r="597" customFormat="false" ht="38.25" hidden="false" customHeight="false" outlineLevel="0" collapsed="false">
      <c r="A597" s="264" t="n">
        <f aca="false">K597</f>
        <v>5.85469085258646E-006</v>
      </c>
      <c r="B597" s="265" t="str">
        <f aca="false">VLOOKUP($C597,01_SINTETICO!$B:$N,13,0)</f>
        <v>12.3.1.1.5</v>
      </c>
      <c r="C597" s="272" t="n">
        <v>91957</v>
      </c>
      <c r="D597" s="266" t="str">
        <f aca="false">VLOOKUP($C597,01_SINTETICO!$B:$M,2,0)</f>
        <v>INTERRUPTOR SIMPLES (1 MÓDULO) COM INTERRUPTOR PARALELO (1 MÓDULO), 10A/250V, INCLUINDO SUPORTE E PLACA - FORNECIMENTO E INSTALAÇÃO. AF_03/2023</v>
      </c>
      <c r="E597" s="272" t="str">
        <f aca="false">VLOOKUP($B597,01_SINTETICO!$A:$M,4,0)</f>
        <v>SER.CG</v>
      </c>
      <c r="F597" s="273" t="str">
        <f aca="false">VLOOKUP($B597,01_SINTETICO!$A:$M,5,0)</f>
        <v>UN</v>
      </c>
      <c r="G597" s="267" t="n">
        <f aca="true">SUMIFS(INDIRECT("'01_SINTETICO'!F7:F995"),INDIRECT("'01_SINTETICO'!B7:B995"),$C597)</f>
        <v>1</v>
      </c>
      <c r="H597" s="268" t="n">
        <f aca="false">VLOOKUP($C597,01_SINTETICO!$B:$M,6,0)*$G597*(1+BDI_MAT)</f>
        <v>25.666874544</v>
      </c>
      <c r="I597" s="268" t="n">
        <f aca="false">VLOOKUP($C597,01_SINTETICO!$B:$M,7,0)*$G597*(1+BDI_MDO)</f>
        <v>27.185836018081</v>
      </c>
      <c r="J597" s="269" t="n">
        <f aca="false">SUM(H597:I597)</f>
        <v>52.852710562081</v>
      </c>
      <c r="K597" s="270" t="n">
        <f aca="false">J597/SUM($J$7:$J$749)</f>
        <v>5.85469085258646E-006</v>
      </c>
      <c r="L597" s="271" t="n">
        <f aca="false">K597+L596</f>
        <v>0.999426048200046</v>
      </c>
    </row>
    <row r="598" customFormat="false" ht="38.25" hidden="false" customHeight="false" outlineLevel="0" collapsed="false">
      <c r="A598" s="264" t="n">
        <f aca="false">K598</f>
        <v>5.85469085258646E-006</v>
      </c>
      <c r="B598" s="265" t="str">
        <f aca="false">VLOOKUP($C598,01_SINTETICO!$B:$N,13,0)</f>
        <v>12.3.1.1.5</v>
      </c>
      <c r="C598" s="266" t="n">
        <v>91957</v>
      </c>
      <c r="D598" s="266" t="str">
        <f aca="false">VLOOKUP($C598,01_SINTETICO!$B:$M,2,0)</f>
        <v>INTERRUPTOR SIMPLES (1 MÓDULO) COM INTERRUPTOR PARALELO (1 MÓDULO), 10A/250V, INCLUINDO SUPORTE E PLACA - FORNECIMENTO E INSTALAÇÃO. AF_03/2023</v>
      </c>
      <c r="E598" s="266" t="str">
        <f aca="false">VLOOKUP($B598,01_SINTETICO!$A:$M,4,0)</f>
        <v>SER.CG</v>
      </c>
      <c r="F598" s="267" t="str">
        <f aca="false">VLOOKUP($B598,01_SINTETICO!$A:$M,5,0)</f>
        <v>UN</v>
      </c>
      <c r="G598" s="267" t="n">
        <f aca="true">SUMIFS(INDIRECT("'01_SINTETICO'!F7:F995"),INDIRECT("'01_SINTETICO'!B7:B995"),$C598)</f>
        <v>1</v>
      </c>
      <c r="H598" s="268" t="n">
        <f aca="false">VLOOKUP($C598,01_SINTETICO!$B:$M,6,0)*$G598*(1+BDI_MAT)</f>
        <v>25.666874544</v>
      </c>
      <c r="I598" s="268" t="n">
        <f aca="false">VLOOKUP($C598,01_SINTETICO!$B:$M,7,0)*$G598*(1+BDI_MDO)</f>
        <v>27.185836018081</v>
      </c>
      <c r="J598" s="269" t="n">
        <f aca="false">SUM(H598:I598)</f>
        <v>52.852710562081</v>
      </c>
      <c r="K598" s="270" t="n">
        <f aca="false">J598/SUM($J$7:$J$749)</f>
        <v>5.85469085258646E-006</v>
      </c>
      <c r="L598" s="271" t="n">
        <f aca="false">K598+L597</f>
        <v>0.999431902890898</v>
      </c>
    </row>
    <row r="599" customFormat="false" ht="25.5" hidden="false" customHeight="false" outlineLevel="0" collapsed="false">
      <c r="A599" s="264" t="n">
        <f aca="false">K599</f>
        <v>5.69071225226985E-006</v>
      </c>
      <c r="B599" s="265" t="str">
        <f aca="false">VLOOKUP($C599,01_SINTETICO!$B:$N,13,0)</f>
        <v>11.6.2.29</v>
      </c>
      <c r="C599" s="266" t="n">
        <v>104006</v>
      </c>
      <c r="D599" s="266" t="str">
        <f aca="false">VLOOKUP($C599,01_SINTETICO!$B:$M,2,0)</f>
        <v>TÊ DE REDUÇÃO, PVC, SOLDÁVEL, DN 50MM X 25MM, INSTALADO EM RAMAL DE DISTRIBUIÇÃO DE ÁGUA - FORNECIMENTO E INSTALAÇÃO. AF_06/2022</v>
      </c>
      <c r="E599" s="266" t="str">
        <f aca="false">VLOOKUP($B599,01_SINTETICO!$A:$M,4,0)</f>
        <v>SER.CG</v>
      </c>
      <c r="F599" s="267" t="str">
        <f aca="false">VLOOKUP($B599,01_SINTETICO!$A:$M,5,0)</f>
        <v>UN</v>
      </c>
      <c r="G599" s="267" t="n">
        <f aca="true">SUMIFS(INDIRECT("'01_SINTETICO'!F7:F995"),INDIRECT("'01_SINTETICO'!B7:B995"),$C599)</f>
        <v>2</v>
      </c>
      <c r="H599" s="268" t="n">
        <f aca="false">VLOOKUP($C599,01_SINTETICO!$B:$M,6,0)*$G599*(1+BDI_MAT)</f>
        <v>39.243367202</v>
      </c>
      <c r="I599" s="268" t="n">
        <f aca="false">VLOOKUP($C599,01_SINTETICO!$B:$M,7,0)*$G599*(1+BDI_MDO)</f>
        <v>12.1290408609182</v>
      </c>
      <c r="J599" s="269" t="n">
        <f aca="false">SUM(H599:I599)</f>
        <v>51.3724080629182</v>
      </c>
      <c r="K599" s="270" t="n">
        <f aca="false">J599/SUM($J$7:$J$749)</f>
        <v>5.69071225226985E-006</v>
      </c>
      <c r="L599" s="271" t="n">
        <f aca="false">K599+L598</f>
        <v>0.999437593603151</v>
      </c>
    </row>
    <row r="600" customFormat="false" ht="25.5" hidden="false" customHeight="false" outlineLevel="0" collapsed="false">
      <c r="A600" s="264" t="n">
        <f aca="false">K600</f>
        <v>5.69071225226985E-006</v>
      </c>
      <c r="B600" s="265" t="str">
        <f aca="false">VLOOKUP($C600,01_SINTETICO!$B:$N,13,0)</f>
        <v>11.6.2.29</v>
      </c>
      <c r="C600" s="272" t="n">
        <v>104006</v>
      </c>
      <c r="D600" s="266" t="str">
        <f aca="false">VLOOKUP($C600,01_SINTETICO!$B:$M,2,0)</f>
        <v>TÊ DE REDUÇÃO, PVC, SOLDÁVEL, DN 50MM X 25MM, INSTALADO EM RAMAL DE DISTRIBUIÇÃO DE ÁGUA - FORNECIMENTO E INSTALAÇÃO. AF_06/2022</v>
      </c>
      <c r="E600" s="272" t="str">
        <f aca="false">VLOOKUP($B600,01_SINTETICO!$A:$M,4,0)</f>
        <v>SER.CG</v>
      </c>
      <c r="F600" s="273" t="str">
        <f aca="false">VLOOKUP($B600,01_SINTETICO!$A:$M,5,0)</f>
        <v>UN</v>
      </c>
      <c r="G600" s="267" t="n">
        <f aca="true">SUMIFS(INDIRECT("'01_SINTETICO'!F7:F995"),INDIRECT("'01_SINTETICO'!B7:B995"),$C600)</f>
        <v>2</v>
      </c>
      <c r="H600" s="268" t="n">
        <f aca="false">VLOOKUP($C600,01_SINTETICO!$B:$M,6,0)*$G600*(1+BDI_MAT)</f>
        <v>39.243367202</v>
      </c>
      <c r="I600" s="268" t="n">
        <f aca="false">VLOOKUP($C600,01_SINTETICO!$B:$M,7,0)*$G600*(1+BDI_MDO)</f>
        <v>12.1290408609182</v>
      </c>
      <c r="J600" s="269" t="n">
        <f aca="false">SUM(H600:I600)</f>
        <v>51.3724080629182</v>
      </c>
      <c r="K600" s="270" t="n">
        <f aca="false">J600/SUM($J$7:$J$749)</f>
        <v>5.69071225226985E-006</v>
      </c>
      <c r="L600" s="271" t="n">
        <f aca="false">K600+L599</f>
        <v>0.999443284315403</v>
      </c>
    </row>
    <row r="601" customFormat="false" ht="25.5" hidden="false" customHeight="false" outlineLevel="0" collapsed="false">
      <c r="A601" s="264" t="n">
        <f aca="false">K601</f>
        <v>5.69071225226985E-006</v>
      </c>
      <c r="B601" s="265" t="str">
        <f aca="false">VLOOKUP($C601,01_SINTETICO!$B:$N,13,0)</f>
        <v>11.6.2.29</v>
      </c>
      <c r="C601" s="266" t="n">
        <v>104006</v>
      </c>
      <c r="D601" s="266" t="str">
        <f aca="false">VLOOKUP($C601,01_SINTETICO!$B:$M,2,0)</f>
        <v>TÊ DE REDUÇÃO, PVC, SOLDÁVEL, DN 50MM X 25MM, INSTALADO EM RAMAL DE DISTRIBUIÇÃO DE ÁGUA - FORNECIMENTO E INSTALAÇÃO. AF_06/2022</v>
      </c>
      <c r="E601" s="266" t="str">
        <f aca="false">VLOOKUP($B601,01_SINTETICO!$A:$M,4,0)</f>
        <v>SER.CG</v>
      </c>
      <c r="F601" s="267" t="str">
        <f aca="false">VLOOKUP($B601,01_SINTETICO!$A:$M,5,0)</f>
        <v>UN</v>
      </c>
      <c r="G601" s="267" t="n">
        <f aca="true">SUMIFS(INDIRECT("'01_SINTETICO'!F7:F995"),INDIRECT("'01_SINTETICO'!B7:B995"),$C601)</f>
        <v>2</v>
      </c>
      <c r="H601" s="268" t="n">
        <f aca="false">VLOOKUP($C601,01_SINTETICO!$B:$M,6,0)*$G601*(1+BDI_MAT)</f>
        <v>39.243367202</v>
      </c>
      <c r="I601" s="268" t="n">
        <f aca="false">VLOOKUP($C601,01_SINTETICO!$B:$M,7,0)*$G601*(1+BDI_MDO)</f>
        <v>12.1290408609182</v>
      </c>
      <c r="J601" s="269" t="n">
        <f aca="false">SUM(H601:I601)</f>
        <v>51.3724080629182</v>
      </c>
      <c r="K601" s="270" t="n">
        <f aca="false">J601/SUM($J$7:$J$749)</f>
        <v>5.69071225226985E-006</v>
      </c>
      <c r="L601" s="271" t="n">
        <f aca="false">K601+L600</f>
        <v>0.999448975027655</v>
      </c>
    </row>
    <row r="602" customFormat="false" ht="25.5" hidden="false" customHeight="false" outlineLevel="0" collapsed="false">
      <c r="A602" s="264" t="n">
        <f aca="false">K602</f>
        <v>5.69071225226985E-006</v>
      </c>
      <c r="B602" s="265" t="str">
        <f aca="false">VLOOKUP($C602,01_SINTETICO!$B:$N,13,0)</f>
        <v>11.6.2.29</v>
      </c>
      <c r="C602" s="272" t="n">
        <v>104006</v>
      </c>
      <c r="D602" s="266" t="str">
        <f aca="false">VLOOKUP($C602,01_SINTETICO!$B:$M,2,0)</f>
        <v>TÊ DE REDUÇÃO, PVC, SOLDÁVEL, DN 50MM X 25MM, INSTALADO EM RAMAL DE DISTRIBUIÇÃO DE ÁGUA - FORNECIMENTO E INSTALAÇÃO. AF_06/2022</v>
      </c>
      <c r="E602" s="272" t="str">
        <f aca="false">VLOOKUP($B602,01_SINTETICO!$A:$M,4,0)</f>
        <v>SER.CG</v>
      </c>
      <c r="F602" s="273" t="str">
        <f aca="false">VLOOKUP($B602,01_SINTETICO!$A:$M,5,0)</f>
        <v>UN</v>
      </c>
      <c r="G602" s="267" t="n">
        <f aca="true">SUMIFS(INDIRECT("'01_SINTETICO'!F7:F995"),INDIRECT("'01_SINTETICO'!B7:B995"),$C602)</f>
        <v>2</v>
      </c>
      <c r="H602" s="268" t="n">
        <f aca="false">VLOOKUP($C602,01_SINTETICO!$B:$M,6,0)*$G602*(1+BDI_MAT)</f>
        <v>39.243367202</v>
      </c>
      <c r="I602" s="268" t="n">
        <f aca="false">VLOOKUP($C602,01_SINTETICO!$B:$M,7,0)*$G602*(1+BDI_MDO)</f>
        <v>12.1290408609182</v>
      </c>
      <c r="J602" s="269" t="n">
        <f aca="false">SUM(H602:I602)</f>
        <v>51.3724080629182</v>
      </c>
      <c r="K602" s="270" t="n">
        <f aca="false">J602/SUM($J$7:$J$749)</f>
        <v>5.69071225226985E-006</v>
      </c>
      <c r="L602" s="271" t="n">
        <f aca="false">K602+L601</f>
        <v>0.999454665739908</v>
      </c>
    </row>
    <row r="603" customFormat="false" ht="25.5" hidden="false" customHeight="false" outlineLevel="0" collapsed="false">
      <c r="A603" s="264" t="n">
        <f aca="false">K603</f>
        <v>5.61257536119216E-006</v>
      </c>
      <c r="B603" s="265" t="str">
        <f aca="false">VLOOKUP($C603,01_SINTETICO!$B:$N,13,0)</f>
        <v>15.2.3</v>
      </c>
      <c r="C603" s="266" t="s">
        <v>1137</v>
      </c>
      <c r="D603" s="266" t="str">
        <f aca="false">VLOOKUP($C603,01_SINTETICO!$B:$M,2,0)</f>
        <v>PLACA FOTOLUMINESCENTE - 30X15CM.</v>
      </c>
      <c r="E603" s="266" t="str">
        <f aca="false">VLOOKUP($B603,01_SINTETICO!$A:$M,4,0)</f>
        <v>SER.CG</v>
      </c>
      <c r="F603" s="267" t="str">
        <f aca="false">VLOOKUP($B603,01_SINTETICO!$A:$M,5,0)</f>
        <v>UN</v>
      </c>
      <c r="G603" s="267" t="n">
        <f aca="true">SUMIFS(INDIRECT("'01_SINTETICO'!F7:F995"),INDIRECT("'01_SINTETICO'!B7:B995"),$C603)</f>
        <v>2</v>
      </c>
      <c r="H603" s="268" t="n">
        <f aca="false">VLOOKUP($C603,01_SINTETICO!$B:$M,6,0)*$G603*(1+BDI_MAT)</f>
        <v>50.6670341</v>
      </c>
      <c r="I603" s="268" t="n">
        <f aca="false">VLOOKUP($C603,01_SINTETICO!$B:$M,7,0)*$G603*(1+BDI_MDO)</f>
        <v>0</v>
      </c>
      <c r="J603" s="269" t="n">
        <f aca="false">SUM(H603:I603)</f>
        <v>50.6670341</v>
      </c>
      <c r="K603" s="270" t="n">
        <f aca="false">J603/SUM($J$7:$J$749)</f>
        <v>5.61257536119216E-006</v>
      </c>
      <c r="L603" s="271" t="n">
        <f aca="false">K603+L602</f>
        <v>0.999460278315269</v>
      </c>
    </row>
    <row r="604" customFormat="false" ht="25.5" hidden="false" customHeight="false" outlineLevel="0" collapsed="false">
      <c r="A604" s="264" t="n">
        <f aca="false">K604</f>
        <v>5.61257536119216E-006</v>
      </c>
      <c r="B604" s="265" t="str">
        <f aca="false">VLOOKUP($C604,01_SINTETICO!$B:$N,13,0)</f>
        <v>15.2.3</v>
      </c>
      <c r="C604" s="266" t="s">
        <v>1137</v>
      </c>
      <c r="D604" s="266" t="str">
        <f aca="false">VLOOKUP($C604,01_SINTETICO!$B:$M,2,0)</f>
        <v>PLACA FOTOLUMINESCENTE - 30X15CM.</v>
      </c>
      <c r="E604" s="266" t="str">
        <f aca="false">VLOOKUP($B604,01_SINTETICO!$A:$M,4,0)</f>
        <v>SER.CG</v>
      </c>
      <c r="F604" s="267" t="str">
        <f aca="false">VLOOKUP($B604,01_SINTETICO!$A:$M,5,0)</f>
        <v>UN</v>
      </c>
      <c r="G604" s="267" t="n">
        <f aca="true">SUMIFS(INDIRECT("'01_SINTETICO'!F7:F995"),INDIRECT("'01_SINTETICO'!B7:B995"),$C604)</f>
        <v>2</v>
      </c>
      <c r="H604" s="268" t="n">
        <f aca="false">VLOOKUP($C604,01_SINTETICO!$B:$M,6,0)*$G604*(1+BDI_MAT)</f>
        <v>50.6670341</v>
      </c>
      <c r="I604" s="268" t="n">
        <f aca="false">VLOOKUP($C604,01_SINTETICO!$B:$M,7,0)*$G604*(1+BDI_MDO)</f>
        <v>0</v>
      </c>
      <c r="J604" s="269" t="n">
        <f aca="false">SUM(H604:I604)</f>
        <v>50.6670341</v>
      </c>
      <c r="K604" s="270" t="n">
        <f aca="false">J604/SUM($J$7:$J$749)</f>
        <v>5.61257536119216E-006</v>
      </c>
      <c r="L604" s="271" t="n">
        <f aca="false">K604+L603</f>
        <v>0.99946589089063</v>
      </c>
    </row>
    <row r="605" customFormat="false" ht="25.5" hidden="false" customHeight="false" outlineLevel="0" collapsed="false">
      <c r="A605" s="264" t="n">
        <f aca="false">K605</f>
        <v>5.61257536119216E-006</v>
      </c>
      <c r="B605" s="265" t="str">
        <f aca="false">VLOOKUP($C605,01_SINTETICO!$B:$N,13,0)</f>
        <v>15.2.3</v>
      </c>
      <c r="C605" s="272" t="s">
        <v>1137</v>
      </c>
      <c r="D605" s="266" t="str">
        <f aca="false">VLOOKUP($C605,01_SINTETICO!$B:$M,2,0)</f>
        <v>PLACA FOTOLUMINESCENTE - 30X15CM.</v>
      </c>
      <c r="E605" s="272" t="str">
        <f aca="false">VLOOKUP($B605,01_SINTETICO!$A:$M,4,0)</f>
        <v>SER.CG</v>
      </c>
      <c r="F605" s="273" t="str">
        <f aca="false">VLOOKUP($B605,01_SINTETICO!$A:$M,5,0)</f>
        <v>UN</v>
      </c>
      <c r="G605" s="267" t="n">
        <f aca="true">SUMIFS(INDIRECT("'01_SINTETICO'!F7:F995"),INDIRECT("'01_SINTETICO'!B7:B995"),$C605)</f>
        <v>2</v>
      </c>
      <c r="H605" s="268" t="n">
        <f aca="false">VLOOKUP($C605,01_SINTETICO!$B:$M,6,0)*$G605*(1+BDI_MAT)</f>
        <v>50.6670341</v>
      </c>
      <c r="I605" s="268" t="n">
        <f aca="false">VLOOKUP($C605,01_SINTETICO!$B:$M,7,0)*$G605*(1+BDI_MDO)</f>
        <v>0</v>
      </c>
      <c r="J605" s="269" t="n">
        <f aca="false">SUM(H605:I605)</f>
        <v>50.6670341</v>
      </c>
      <c r="K605" s="270" t="n">
        <f aca="false">J605/SUM($J$7:$J$749)</f>
        <v>5.61257536119216E-006</v>
      </c>
      <c r="L605" s="271" t="n">
        <f aca="false">K605+L604</f>
        <v>0.999471503465991</v>
      </c>
    </row>
    <row r="606" customFormat="false" ht="25.5" hidden="false" customHeight="false" outlineLevel="0" collapsed="false">
      <c r="A606" s="264" t="n">
        <f aca="false">K606</f>
        <v>5.61257536119216E-006</v>
      </c>
      <c r="B606" s="265" t="str">
        <f aca="false">VLOOKUP($C606,01_SINTETICO!$B:$N,13,0)</f>
        <v>15.2.3</v>
      </c>
      <c r="C606" s="266" t="s">
        <v>1137</v>
      </c>
      <c r="D606" s="266" t="str">
        <f aca="false">VLOOKUP($C606,01_SINTETICO!$B:$M,2,0)</f>
        <v>PLACA FOTOLUMINESCENTE - 30X15CM.</v>
      </c>
      <c r="E606" s="266" t="str">
        <f aca="false">VLOOKUP($B606,01_SINTETICO!$A:$M,4,0)</f>
        <v>SER.CG</v>
      </c>
      <c r="F606" s="267" t="str">
        <f aca="false">VLOOKUP($B606,01_SINTETICO!$A:$M,5,0)</f>
        <v>UN</v>
      </c>
      <c r="G606" s="267" t="n">
        <f aca="true">SUMIFS(INDIRECT("'01_SINTETICO'!F7:F995"),INDIRECT("'01_SINTETICO'!B7:B995"),$C606)</f>
        <v>2</v>
      </c>
      <c r="H606" s="268" t="n">
        <f aca="false">VLOOKUP($C606,01_SINTETICO!$B:$M,6,0)*$G606*(1+BDI_MAT)</f>
        <v>50.6670341</v>
      </c>
      <c r="I606" s="268" t="n">
        <f aca="false">VLOOKUP($C606,01_SINTETICO!$B:$M,7,0)*$G606*(1+BDI_MDO)</f>
        <v>0</v>
      </c>
      <c r="J606" s="269" t="n">
        <f aca="false">SUM(H606:I606)</f>
        <v>50.6670341</v>
      </c>
      <c r="K606" s="270" t="n">
        <f aca="false">J606/SUM($J$7:$J$749)</f>
        <v>5.61257536119216E-006</v>
      </c>
      <c r="L606" s="271" t="n">
        <f aca="false">K606+L605</f>
        <v>0.999477116041353</v>
      </c>
    </row>
    <row r="607" customFormat="false" ht="25.5" hidden="false" customHeight="false" outlineLevel="0" collapsed="false">
      <c r="A607" s="264" t="n">
        <f aca="false">K607</f>
        <v>5.48406412297193E-006</v>
      </c>
      <c r="B607" s="265" t="str">
        <f aca="false">VLOOKUP($C607,01_SINTETICO!$B:$N,13,0)</f>
        <v>11.4.4.16</v>
      </c>
      <c r="C607" s="272" t="n">
        <v>89511</v>
      </c>
      <c r="D607" s="266" t="str">
        <f aca="false">VLOOKUP($C607,01_SINTETICO!$B:$M,2,0)</f>
        <v>TUBO PVC, SÉRIE R, ÁGUA PLUVIAL, DN 75 MM, FORNECIDO E INSTALADO EM RAMAL DE ENCAMINHAMENTO. AF_06/2022</v>
      </c>
      <c r="E607" s="272" t="str">
        <f aca="false">VLOOKUP($B607,01_SINTETICO!$A:$M,4,0)</f>
        <v>SER.CG</v>
      </c>
      <c r="F607" s="273" t="str">
        <f aca="false">VLOOKUP($B607,01_SINTETICO!$A:$M,5,0)</f>
        <v>M</v>
      </c>
      <c r="G607" s="267" t="n">
        <f aca="true">SUMIFS(INDIRECT("'01_SINTETICO'!F7:F995"),INDIRECT("'01_SINTETICO'!B7:B995"),$C607)</f>
        <v>2.8</v>
      </c>
      <c r="H607" s="268" t="n">
        <f aca="false">VLOOKUP($C607,01_SINTETICO!$B:$M,6,0)*$G607*(1+BDI_MAT)</f>
        <v>13.7501275604</v>
      </c>
      <c r="I607" s="268" t="n">
        <f aca="false">VLOOKUP($C607,01_SINTETICO!$B:$M,7,0)*$G607*(1+BDI_MDO)</f>
        <v>35.756782555491</v>
      </c>
      <c r="J607" s="269" t="n">
        <f aca="false">SUM(H607:I607)</f>
        <v>49.506910115891</v>
      </c>
      <c r="K607" s="270" t="n">
        <f aca="false">J607/SUM($J$7:$J$749)</f>
        <v>5.48406412297193E-006</v>
      </c>
      <c r="L607" s="271" t="n">
        <f aca="false">K607+L606</f>
        <v>0.999482600105475</v>
      </c>
    </row>
    <row r="608" customFormat="false" ht="38.25" hidden="false" customHeight="false" outlineLevel="0" collapsed="false">
      <c r="A608" s="264" t="n">
        <f aca="false">K608</f>
        <v>5.42800376026762E-006</v>
      </c>
      <c r="B608" s="265" t="str">
        <f aca="false">VLOOKUP($C608,01_SINTETICO!$B:$N,13,0)</f>
        <v>11.2.3.4</v>
      </c>
      <c r="C608" s="272" t="n">
        <v>89742</v>
      </c>
      <c r="D608" s="266" t="str">
        <f aca="false">VLOOKUP($C608,01_SINTETICO!$B:$M,2,0)</f>
        <v>CURVA CURTA 90 GRAUS, PVC, SERIE NORMAL, ESGOTO PREDIAL, DN 75 MM, JUNTA ELÁSTICA, FORNECIDO E INSTALADO EM RAMAL DE DESCARGA OU RAMAL DE ESGOTO SANITÁRIO. AF_08/2022</v>
      </c>
      <c r="E608" s="272" t="str">
        <f aca="false">VLOOKUP($B608,01_SINTETICO!$A:$M,4,0)</f>
        <v>SER.CG</v>
      </c>
      <c r="F608" s="273" t="str">
        <f aca="false">VLOOKUP($B608,01_SINTETICO!$A:$M,5,0)</f>
        <v>UN</v>
      </c>
      <c r="G608" s="267" t="n">
        <f aca="true">SUMIFS(INDIRECT("'01_SINTETICO'!F7:F995"),INDIRECT("'01_SINTETICO'!B7:B995"),$C608)</f>
        <v>1</v>
      </c>
      <c r="H608" s="268" t="n">
        <f aca="false">VLOOKUP($C608,01_SINTETICO!$B:$M,6,0)*$G608*(1+BDI_MAT)</f>
        <v>41.8227076944</v>
      </c>
      <c r="I608" s="268" t="n">
        <f aca="false">VLOOKUP($C608,01_SINTETICO!$B:$M,7,0)*$G608*(1+BDI_MDO)</f>
        <v>7.17812239120099</v>
      </c>
      <c r="J608" s="269" t="n">
        <f aca="false">SUM(H608:I608)</f>
        <v>49.000830085601</v>
      </c>
      <c r="K608" s="270" t="n">
        <f aca="false">J608/SUM($J$7:$J$749)</f>
        <v>5.42800376026762E-006</v>
      </c>
      <c r="L608" s="271" t="n">
        <f aca="false">K608+L607</f>
        <v>0.999488028109236</v>
      </c>
    </row>
    <row r="609" customFormat="false" ht="38.25" hidden="false" customHeight="false" outlineLevel="0" collapsed="false">
      <c r="A609" s="264" t="n">
        <f aca="false">K609</f>
        <v>5.42800376026762E-006</v>
      </c>
      <c r="B609" s="265" t="str">
        <f aca="false">VLOOKUP($C609,01_SINTETICO!$B:$N,13,0)</f>
        <v>11.2.3.4</v>
      </c>
      <c r="C609" s="266" t="n">
        <v>89742</v>
      </c>
      <c r="D609" s="266" t="str">
        <f aca="false">VLOOKUP($C609,01_SINTETICO!$B:$M,2,0)</f>
        <v>CURVA CURTA 90 GRAUS, PVC, SERIE NORMAL, ESGOTO PREDIAL, DN 75 MM, JUNTA ELÁSTICA, FORNECIDO E INSTALADO EM RAMAL DE DESCARGA OU RAMAL DE ESGOTO SANITÁRIO. AF_08/2022</v>
      </c>
      <c r="E609" s="266" t="str">
        <f aca="false">VLOOKUP($B609,01_SINTETICO!$A:$M,4,0)</f>
        <v>SER.CG</v>
      </c>
      <c r="F609" s="267" t="str">
        <f aca="false">VLOOKUP($B609,01_SINTETICO!$A:$M,5,0)</f>
        <v>UN</v>
      </c>
      <c r="G609" s="267" t="n">
        <f aca="true">SUMIFS(INDIRECT("'01_SINTETICO'!F7:F995"),INDIRECT("'01_SINTETICO'!B7:B995"),$C609)</f>
        <v>1</v>
      </c>
      <c r="H609" s="268" t="n">
        <f aca="false">VLOOKUP($C609,01_SINTETICO!$B:$M,6,0)*$G609*(1+BDI_MAT)</f>
        <v>41.8227076944</v>
      </c>
      <c r="I609" s="268" t="n">
        <f aca="false">VLOOKUP($C609,01_SINTETICO!$B:$M,7,0)*$G609*(1+BDI_MDO)</f>
        <v>7.17812239120099</v>
      </c>
      <c r="J609" s="269" t="n">
        <f aca="false">SUM(H609:I609)</f>
        <v>49.000830085601</v>
      </c>
      <c r="K609" s="270" t="n">
        <f aca="false">J609/SUM($J$7:$J$749)</f>
        <v>5.42800376026762E-006</v>
      </c>
      <c r="L609" s="271" t="n">
        <f aca="false">K609+L608</f>
        <v>0.999493456112996</v>
      </c>
    </row>
    <row r="610" customFormat="false" ht="38.25" hidden="false" customHeight="false" outlineLevel="0" collapsed="false">
      <c r="A610" s="264" t="n">
        <f aca="false">K610</f>
        <v>5.42800376026762E-006</v>
      </c>
      <c r="B610" s="265" t="str">
        <f aca="false">VLOOKUP($C610,01_SINTETICO!$B:$N,13,0)</f>
        <v>11.2.3.4</v>
      </c>
      <c r="C610" s="266" t="n">
        <v>89742</v>
      </c>
      <c r="D610" s="266" t="str">
        <f aca="false">VLOOKUP($C610,01_SINTETICO!$B:$M,2,0)</f>
        <v>CURVA CURTA 90 GRAUS, PVC, SERIE NORMAL, ESGOTO PREDIAL, DN 75 MM, JUNTA ELÁSTICA, FORNECIDO E INSTALADO EM RAMAL DE DESCARGA OU RAMAL DE ESGOTO SANITÁRIO. AF_08/2022</v>
      </c>
      <c r="E610" s="266" t="str">
        <f aca="false">VLOOKUP($B610,01_SINTETICO!$A:$M,4,0)</f>
        <v>SER.CG</v>
      </c>
      <c r="F610" s="267" t="str">
        <f aca="false">VLOOKUP($B610,01_SINTETICO!$A:$M,5,0)</f>
        <v>UN</v>
      </c>
      <c r="G610" s="267" t="n">
        <f aca="true">SUMIFS(INDIRECT("'01_SINTETICO'!F7:F995"),INDIRECT("'01_SINTETICO'!B7:B995"),$C610)</f>
        <v>1</v>
      </c>
      <c r="H610" s="268" t="n">
        <f aca="false">VLOOKUP($C610,01_SINTETICO!$B:$M,6,0)*$G610*(1+BDI_MAT)</f>
        <v>41.8227076944</v>
      </c>
      <c r="I610" s="268" t="n">
        <f aca="false">VLOOKUP($C610,01_SINTETICO!$B:$M,7,0)*$G610*(1+BDI_MDO)</f>
        <v>7.17812239120099</v>
      </c>
      <c r="J610" s="269" t="n">
        <f aca="false">SUM(H610:I610)</f>
        <v>49.000830085601</v>
      </c>
      <c r="K610" s="270" t="n">
        <f aca="false">J610/SUM($J$7:$J$749)</f>
        <v>5.42800376026762E-006</v>
      </c>
      <c r="L610" s="271" t="n">
        <f aca="false">K610+L609</f>
        <v>0.999498884116756</v>
      </c>
    </row>
    <row r="611" customFormat="false" ht="38.25" hidden="false" customHeight="false" outlineLevel="0" collapsed="false">
      <c r="A611" s="264" t="n">
        <f aca="false">K611</f>
        <v>5.42800376026762E-006</v>
      </c>
      <c r="B611" s="265" t="str">
        <f aca="false">VLOOKUP($C611,01_SINTETICO!$B:$N,13,0)</f>
        <v>11.2.3.4</v>
      </c>
      <c r="C611" s="266" t="n">
        <v>89742</v>
      </c>
      <c r="D611" s="266" t="str">
        <f aca="false">VLOOKUP($C611,01_SINTETICO!$B:$M,2,0)</f>
        <v>CURVA CURTA 90 GRAUS, PVC, SERIE NORMAL, ESGOTO PREDIAL, DN 75 MM, JUNTA ELÁSTICA, FORNECIDO E INSTALADO EM RAMAL DE DESCARGA OU RAMAL DE ESGOTO SANITÁRIO. AF_08/2022</v>
      </c>
      <c r="E611" s="266" t="str">
        <f aca="false">VLOOKUP($B611,01_SINTETICO!$A:$M,4,0)</f>
        <v>SER.CG</v>
      </c>
      <c r="F611" s="267" t="str">
        <f aca="false">VLOOKUP($B611,01_SINTETICO!$A:$M,5,0)</f>
        <v>UN</v>
      </c>
      <c r="G611" s="267" t="n">
        <f aca="true">SUMIFS(INDIRECT("'01_SINTETICO'!F7:F995"),INDIRECT("'01_SINTETICO'!B7:B995"),$C611)</f>
        <v>1</v>
      </c>
      <c r="H611" s="268" t="n">
        <f aca="false">VLOOKUP($C611,01_SINTETICO!$B:$M,6,0)*$G611*(1+BDI_MAT)</f>
        <v>41.8227076944</v>
      </c>
      <c r="I611" s="268" t="n">
        <f aca="false">VLOOKUP($C611,01_SINTETICO!$B:$M,7,0)*$G611*(1+BDI_MDO)</f>
        <v>7.17812239120099</v>
      </c>
      <c r="J611" s="269" t="n">
        <f aca="false">SUM(H611:I611)</f>
        <v>49.000830085601</v>
      </c>
      <c r="K611" s="270" t="n">
        <f aca="false">J611/SUM($J$7:$J$749)</f>
        <v>5.42800376026762E-006</v>
      </c>
      <c r="L611" s="271" t="n">
        <f aca="false">K611+L610</f>
        <v>0.999504312120516</v>
      </c>
    </row>
    <row r="612" customFormat="false" ht="38.25" hidden="false" customHeight="false" outlineLevel="0" collapsed="false">
      <c r="A612" s="264" t="n">
        <f aca="false">K612</f>
        <v>5.37166074480132E-006</v>
      </c>
      <c r="B612" s="265" t="str">
        <f aca="false">VLOOKUP($C612,01_SINTETICO!$B:$N,13,0)</f>
        <v>11.2.3.18</v>
      </c>
      <c r="C612" s="266" t="n">
        <v>89783</v>
      </c>
      <c r="D612" s="266" t="str">
        <f aca="false">VLOOKUP($C612,01_SINTETICO!$B:$M,2,0)</f>
        <v>JUNÇÃO SIMPLES, PVC, SERIE NORMAL, ESGOTO PREDIAL, DN 40 MM, JUNTA SOLDÁVEL, FORNECIDO E INSTALADO EM RAMAL DE DESCARGA OU RAMAL DE ESGOTO SANITÁRIO. AF_08/2022</v>
      </c>
      <c r="E612" s="266" t="str">
        <f aca="false">VLOOKUP($B612,01_SINTETICO!$A:$M,4,0)</f>
        <v>SER.CG</v>
      </c>
      <c r="F612" s="267" t="str">
        <f aca="false">VLOOKUP($B612,01_SINTETICO!$A:$M,5,0)</f>
        <v>UN</v>
      </c>
      <c r="G612" s="267" t="n">
        <f aca="true">SUMIFS(INDIRECT("'01_SINTETICO'!F7:F995"),INDIRECT("'01_SINTETICO'!B7:B995"),$C612)</f>
        <v>3</v>
      </c>
      <c r="H612" s="268" t="n">
        <f aca="false">VLOOKUP($C612,01_SINTETICO!$B:$M,6,0)*$G612*(1+BDI_MAT)</f>
        <v>26.4233826786</v>
      </c>
      <c r="I612" s="268" t="n">
        <f aca="false">VLOOKUP($C612,01_SINTETICO!$B:$M,7,0)*$G612*(1+BDI_MDO)</f>
        <v>22.0688157535774</v>
      </c>
      <c r="J612" s="269" t="n">
        <f aca="false">SUM(H612:I612)</f>
        <v>48.4921984321774</v>
      </c>
      <c r="K612" s="270" t="n">
        <f aca="false">J612/SUM($J$7:$J$749)</f>
        <v>5.37166074480132E-006</v>
      </c>
      <c r="L612" s="271" t="n">
        <f aca="false">K612+L611</f>
        <v>0.999509683781261</v>
      </c>
    </row>
    <row r="613" customFormat="false" ht="38.25" hidden="false" customHeight="false" outlineLevel="0" collapsed="false">
      <c r="A613" s="264" t="n">
        <f aca="false">K613</f>
        <v>5.37166074480132E-006</v>
      </c>
      <c r="B613" s="265" t="str">
        <f aca="false">VLOOKUP($C613,01_SINTETICO!$B:$N,13,0)</f>
        <v>11.2.3.18</v>
      </c>
      <c r="C613" s="272" t="n">
        <v>89783</v>
      </c>
      <c r="D613" s="266" t="str">
        <f aca="false">VLOOKUP($C613,01_SINTETICO!$B:$M,2,0)</f>
        <v>JUNÇÃO SIMPLES, PVC, SERIE NORMAL, ESGOTO PREDIAL, DN 40 MM, JUNTA SOLDÁVEL, FORNECIDO E INSTALADO EM RAMAL DE DESCARGA OU RAMAL DE ESGOTO SANITÁRIO. AF_08/2022</v>
      </c>
      <c r="E613" s="272" t="str">
        <f aca="false">VLOOKUP($B613,01_SINTETICO!$A:$M,4,0)</f>
        <v>SER.CG</v>
      </c>
      <c r="F613" s="273" t="str">
        <f aca="false">VLOOKUP($B613,01_SINTETICO!$A:$M,5,0)</f>
        <v>UN</v>
      </c>
      <c r="G613" s="267" t="n">
        <f aca="true">SUMIFS(INDIRECT("'01_SINTETICO'!F7:F995"),INDIRECT("'01_SINTETICO'!B7:B995"),$C613)</f>
        <v>3</v>
      </c>
      <c r="H613" s="268" t="n">
        <f aca="false">VLOOKUP($C613,01_SINTETICO!$B:$M,6,0)*$G613*(1+BDI_MAT)</f>
        <v>26.4233826786</v>
      </c>
      <c r="I613" s="268" t="n">
        <f aca="false">VLOOKUP($C613,01_SINTETICO!$B:$M,7,0)*$G613*(1+BDI_MDO)</f>
        <v>22.0688157535774</v>
      </c>
      <c r="J613" s="269" t="n">
        <f aca="false">SUM(H613:I613)</f>
        <v>48.4921984321774</v>
      </c>
      <c r="K613" s="270" t="n">
        <f aca="false">J613/SUM($J$7:$J$749)</f>
        <v>5.37166074480132E-006</v>
      </c>
      <c r="L613" s="271" t="n">
        <f aca="false">K613+L612</f>
        <v>0.999515055442006</v>
      </c>
    </row>
    <row r="614" customFormat="false" ht="38.25" hidden="false" customHeight="false" outlineLevel="0" collapsed="false">
      <c r="A614" s="264" t="n">
        <f aca="false">K614</f>
        <v>5.37166074480132E-006</v>
      </c>
      <c r="B614" s="265" t="str">
        <f aca="false">VLOOKUP($C614,01_SINTETICO!$B:$N,13,0)</f>
        <v>11.2.3.18</v>
      </c>
      <c r="C614" s="272" t="n">
        <v>89783</v>
      </c>
      <c r="D614" s="266" t="str">
        <f aca="false">VLOOKUP($C614,01_SINTETICO!$B:$M,2,0)</f>
        <v>JUNÇÃO SIMPLES, PVC, SERIE NORMAL, ESGOTO PREDIAL, DN 40 MM, JUNTA SOLDÁVEL, FORNECIDO E INSTALADO EM RAMAL DE DESCARGA OU RAMAL DE ESGOTO SANITÁRIO. AF_08/2022</v>
      </c>
      <c r="E614" s="272" t="str">
        <f aca="false">VLOOKUP($B614,01_SINTETICO!$A:$M,4,0)</f>
        <v>SER.CG</v>
      </c>
      <c r="F614" s="273" t="str">
        <f aca="false">VLOOKUP($B614,01_SINTETICO!$A:$M,5,0)</f>
        <v>UN</v>
      </c>
      <c r="G614" s="267" t="n">
        <f aca="true">SUMIFS(INDIRECT("'01_SINTETICO'!F7:F995"),INDIRECT("'01_SINTETICO'!B7:B995"),$C614)</f>
        <v>3</v>
      </c>
      <c r="H614" s="268" t="n">
        <f aca="false">VLOOKUP($C614,01_SINTETICO!$B:$M,6,0)*$G614*(1+BDI_MAT)</f>
        <v>26.4233826786</v>
      </c>
      <c r="I614" s="268" t="n">
        <f aca="false">VLOOKUP($C614,01_SINTETICO!$B:$M,7,0)*$G614*(1+BDI_MDO)</f>
        <v>22.0688157535774</v>
      </c>
      <c r="J614" s="269" t="n">
        <f aca="false">SUM(H614:I614)</f>
        <v>48.4921984321774</v>
      </c>
      <c r="K614" s="270" t="n">
        <f aca="false">J614/SUM($J$7:$J$749)</f>
        <v>5.37166074480132E-006</v>
      </c>
      <c r="L614" s="271" t="n">
        <f aca="false">K614+L613</f>
        <v>0.999520427102751</v>
      </c>
    </row>
    <row r="615" customFormat="false" ht="38.25" hidden="false" customHeight="false" outlineLevel="0" collapsed="false">
      <c r="A615" s="264" t="n">
        <f aca="false">K615</f>
        <v>5.37166074480132E-006</v>
      </c>
      <c r="B615" s="265" t="str">
        <f aca="false">VLOOKUP($C615,01_SINTETICO!$B:$N,13,0)</f>
        <v>11.2.3.18</v>
      </c>
      <c r="C615" s="272" t="n">
        <v>89783</v>
      </c>
      <c r="D615" s="266" t="str">
        <f aca="false">VLOOKUP($C615,01_SINTETICO!$B:$M,2,0)</f>
        <v>JUNÇÃO SIMPLES, PVC, SERIE NORMAL, ESGOTO PREDIAL, DN 40 MM, JUNTA SOLDÁVEL, FORNECIDO E INSTALADO EM RAMAL DE DESCARGA OU RAMAL DE ESGOTO SANITÁRIO. AF_08/2022</v>
      </c>
      <c r="E615" s="272" t="str">
        <f aca="false">VLOOKUP($B615,01_SINTETICO!$A:$M,4,0)</f>
        <v>SER.CG</v>
      </c>
      <c r="F615" s="273" t="str">
        <f aca="false">VLOOKUP($B615,01_SINTETICO!$A:$M,5,0)</f>
        <v>UN</v>
      </c>
      <c r="G615" s="267" t="n">
        <f aca="true">SUMIFS(INDIRECT("'01_SINTETICO'!F7:F995"),INDIRECT("'01_SINTETICO'!B7:B995"),$C615)</f>
        <v>3</v>
      </c>
      <c r="H615" s="268" t="n">
        <f aca="false">VLOOKUP($C615,01_SINTETICO!$B:$M,6,0)*$G615*(1+BDI_MAT)</f>
        <v>26.4233826786</v>
      </c>
      <c r="I615" s="268" t="n">
        <f aca="false">VLOOKUP($C615,01_SINTETICO!$B:$M,7,0)*$G615*(1+BDI_MDO)</f>
        <v>22.0688157535774</v>
      </c>
      <c r="J615" s="269" t="n">
        <f aca="false">SUM(H615:I615)</f>
        <v>48.4921984321774</v>
      </c>
      <c r="K615" s="270" t="n">
        <f aca="false">J615/SUM($J$7:$J$749)</f>
        <v>5.37166074480132E-006</v>
      </c>
      <c r="L615" s="271" t="n">
        <f aca="false">K615+L614</f>
        <v>0.999525798763496</v>
      </c>
    </row>
    <row r="616" customFormat="false" ht="25.5" hidden="false" customHeight="false" outlineLevel="0" collapsed="false">
      <c r="A616" s="264" t="n">
        <f aca="false">K616</f>
        <v>5.32609724769439E-006</v>
      </c>
      <c r="B616" s="265" t="str">
        <f aca="false">VLOOKUP($C616,01_SINTETICO!$B:$N,13,0)</f>
        <v>11.6.4.1</v>
      </c>
      <c r="C616" s="266" t="s">
        <v>871</v>
      </c>
      <c r="D616" s="266" t="str">
        <f aca="false">VLOOKUP($C616,01_SINTETICO!$B:$M,2,0)</f>
        <v>PRESSURIZADOR ULTRA PRESS UP 725 - FORNECIMENTO E INSTALAÇÃO.</v>
      </c>
      <c r="E616" s="266" t="n">
        <f aca="false">VLOOKUP($B616,01_SINTETICO!$A:$M,4,0)</f>
        <v>0</v>
      </c>
      <c r="F616" s="267" t="n">
        <f aca="false">VLOOKUP($B616,01_SINTETICO!$A:$M,5,0)</f>
        <v>0</v>
      </c>
      <c r="G616" s="267" t="n">
        <f aca="true">SUMIFS(INDIRECT("'01_SINTETICO'!F7:F995"),INDIRECT("'01_SINTETICO'!B7:B995"),$C616)</f>
        <v>1</v>
      </c>
      <c r="H616" s="268" t="n">
        <f aca="false">VLOOKUP($C616,01_SINTETICO!$B:$M,6,0)*$G616*(1+BDI_MAT)</f>
        <v>13.159642</v>
      </c>
      <c r="I616" s="268" t="n">
        <f aca="false">VLOOKUP($C616,01_SINTETICO!$B:$M,7,0)*$G616*(1+BDI_MDO)</f>
        <v>34.9212359397</v>
      </c>
      <c r="J616" s="269" t="n">
        <f aca="false">SUM(H616:I616)</f>
        <v>48.0808779397</v>
      </c>
      <c r="K616" s="270" t="n">
        <f aca="false">J616/SUM($J$7:$J$749)</f>
        <v>5.32609724769439E-006</v>
      </c>
      <c r="L616" s="271" t="n">
        <f aca="false">K616+L615</f>
        <v>0.999531124860743</v>
      </c>
    </row>
    <row r="617" customFormat="false" ht="38.25" hidden="false" customHeight="false" outlineLevel="0" collapsed="false">
      <c r="A617" s="264" t="n">
        <f aca="false">K617</f>
        <v>5.31482644225353E-006</v>
      </c>
      <c r="B617" s="265" t="str">
        <f aca="false">VLOOKUP($C617,01_SINTETICO!$B:$N,13,0)</f>
        <v>11.2.3.30</v>
      </c>
      <c r="C617" s="266" t="n">
        <v>104352</v>
      </c>
      <c r="D617" s="266" t="str">
        <f aca="false">VLOOKUP($C617,01_SINTETICO!$B:$M,2,0)</f>
        <v>TE, PVC, SÉRIE NORMAL, ESGOTO PREDIAL, DN 100 X 50 MM, JUNTA ELÁSTICA, FORNECIDO E INSTALADO EM PRUMADA DE ESGOTO SANITÁRIO OU VENTILAÇÃO. AF_08/2022</v>
      </c>
      <c r="E617" s="266" t="str">
        <f aca="false">VLOOKUP($B617,01_SINTETICO!$A:$M,4,0)</f>
        <v>SER.CG</v>
      </c>
      <c r="F617" s="267" t="str">
        <f aca="false">VLOOKUP($B617,01_SINTETICO!$A:$M,5,0)</f>
        <v>UN</v>
      </c>
      <c r="G617" s="267" t="n">
        <f aca="true">SUMIFS(INDIRECT("'01_SINTETICO'!F7:F995"),INDIRECT("'01_SINTETICO'!B7:B995"),$C617)</f>
        <v>1</v>
      </c>
      <c r="H617" s="268" t="n">
        <f aca="false">VLOOKUP($C617,01_SINTETICO!$B:$M,6,0)*$G617*(1+BDI_MAT)</f>
        <v>38.9282667512</v>
      </c>
      <c r="I617" s="268" t="n">
        <f aca="false">VLOOKUP($C617,01_SINTETICO!$B:$M,7,0)*$G617*(1+BDI_MDO)</f>
        <v>9.05086497631457</v>
      </c>
      <c r="J617" s="269" t="n">
        <f aca="false">SUM(H617:I617)</f>
        <v>47.9791317275146</v>
      </c>
      <c r="K617" s="270" t="n">
        <f aca="false">J617/SUM($J$7:$J$749)</f>
        <v>5.31482644225353E-006</v>
      </c>
      <c r="L617" s="271" t="n">
        <f aca="false">K617+L616</f>
        <v>0.999536439687186</v>
      </c>
    </row>
    <row r="618" customFormat="false" ht="38.25" hidden="false" customHeight="false" outlineLevel="0" collapsed="false">
      <c r="A618" s="264" t="n">
        <f aca="false">K618</f>
        <v>5.31482644225353E-006</v>
      </c>
      <c r="B618" s="265" t="str">
        <f aca="false">VLOOKUP($C618,01_SINTETICO!$B:$N,13,0)</f>
        <v>11.2.3.30</v>
      </c>
      <c r="C618" s="266" t="n">
        <v>104352</v>
      </c>
      <c r="D618" s="266" t="str">
        <f aca="false">VLOOKUP($C618,01_SINTETICO!$B:$M,2,0)</f>
        <v>TE, PVC, SÉRIE NORMAL, ESGOTO PREDIAL, DN 100 X 50 MM, JUNTA ELÁSTICA, FORNECIDO E INSTALADO EM PRUMADA DE ESGOTO SANITÁRIO OU VENTILAÇÃO. AF_08/2022</v>
      </c>
      <c r="E618" s="266" t="str">
        <f aca="false">VLOOKUP($B618,01_SINTETICO!$A:$M,4,0)</f>
        <v>SER.CG</v>
      </c>
      <c r="F618" s="267" t="str">
        <f aca="false">VLOOKUP($B618,01_SINTETICO!$A:$M,5,0)</f>
        <v>UN</v>
      </c>
      <c r="G618" s="267" t="n">
        <f aca="true">SUMIFS(INDIRECT("'01_SINTETICO'!F7:F995"),INDIRECT("'01_SINTETICO'!B7:B995"),$C618)</f>
        <v>1</v>
      </c>
      <c r="H618" s="268" t="n">
        <f aca="false">VLOOKUP($C618,01_SINTETICO!$B:$M,6,0)*$G618*(1+BDI_MAT)</f>
        <v>38.9282667512</v>
      </c>
      <c r="I618" s="268" t="n">
        <f aca="false">VLOOKUP($C618,01_SINTETICO!$B:$M,7,0)*$G618*(1+BDI_MDO)</f>
        <v>9.05086497631457</v>
      </c>
      <c r="J618" s="269" t="n">
        <f aca="false">SUM(H618:I618)</f>
        <v>47.9791317275146</v>
      </c>
      <c r="K618" s="270" t="n">
        <f aca="false">J618/SUM($J$7:$J$749)</f>
        <v>5.31482644225353E-006</v>
      </c>
      <c r="L618" s="271" t="n">
        <f aca="false">K618+L617</f>
        <v>0.999541754513628</v>
      </c>
    </row>
    <row r="619" customFormat="false" ht="38.25" hidden="false" customHeight="false" outlineLevel="0" collapsed="false">
      <c r="A619" s="264" t="n">
        <f aca="false">K619</f>
        <v>5.31482644225353E-006</v>
      </c>
      <c r="B619" s="265" t="str">
        <f aca="false">VLOOKUP($C619,01_SINTETICO!$B:$N,13,0)</f>
        <v>11.2.3.30</v>
      </c>
      <c r="C619" s="272" t="n">
        <v>104352</v>
      </c>
      <c r="D619" s="266" t="str">
        <f aca="false">VLOOKUP($C619,01_SINTETICO!$B:$M,2,0)</f>
        <v>TE, PVC, SÉRIE NORMAL, ESGOTO PREDIAL, DN 100 X 50 MM, JUNTA ELÁSTICA, FORNECIDO E INSTALADO EM PRUMADA DE ESGOTO SANITÁRIO OU VENTILAÇÃO. AF_08/2022</v>
      </c>
      <c r="E619" s="272" t="str">
        <f aca="false">VLOOKUP($B619,01_SINTETICO!$A:$M,4,0)</f>
        <v>SER.CG</v>
      </c>
      <c r="F619" s="273" t="str">
        <f aca="false">VLOOKUP($B619,01_SINTETICO!$A:$M,5,0)</f>
        <v>UN</v>
      </c>
      <c r="G619" s="267" t="n">
        <f aca="true">SUMIFS(INDIRECT("'01_SINTETICO'!F7:F995"),INDIRECT("'01_SINTETICO'!B7:B995"),$C619)</f>
        <v>1</v>
      </c>
      <c r="H619" s="268" t="n">
        <f aca="false">VLOOKUP($C619,01_SINTETICO!$B:$M,6,0)*$G619*(1+BDI_MAT)</f>
        <v>38.9282667512</v>
      </c>
      <c r="I619" s="268" t="n">
        <f aca="false">VLOOKUP($C619,01_SINTETICO!$B:$M,7,0)*$G619*(1+BDI_MDO)</f>
        <v>9.05086497631457</v>
      </c>
      <c r="J619" s="269" t="n">
        <f aca="false">SUM(H619:I619)</f>
        <v>47.9791317275146</v>
      </c>
      <c r="K619" s="270" t="n">
        <f aca="false">J619/SUM($J$7:$J$749)</f>
        <v>5.31482644225353E-006</v>
      </c>
      <c r="L619" s="271" t="n">
        <f aca="false">K619+L618</f>
        <v>0.99954706934007</v>
      </c>
    </row>
    <row r="620" customFormat="false" ht="38.25" hidden="false" customHeight="false" outlineLevel="0" collapsed="false">
      <c r="A620" s="264" t="n">
        <f aca="false">K620</f>
        <v>5.31482644225353E-006</v>
      </c>
      <c r="B620" s="265" t="str">
        <f aca="false">VLOOKUP($C620,01_SINTETICO!$B:$N,13,0)</f>
        <v>11.2.3.30</v>
      </c>
      <c r="C620" s="272" t="n">
        <v>104352</v>
      </c>
      <c r="D620" s="266" t="str">
        <f aca="false">VLOOKUP($C620,01_SINTETICO!$B:$M,2,0)</f>
        <v>TE, PVC, SÉRIE NORMAL, ESGOTO PREDIAL, DN 100 X 50 MM, JUNTA ELÁSTICA, FORNECIDO E INSTALADO EM PRUMADA DE ESGOTO SANITÁRIO OU VENTILAÇÃO. AF_08/2022</v>
      </c>
      <c r="E620" s="272" t="str">
        <f aca="false">VLOOKUP($B620,01_SINTETICO!$A:$M,4,0)</f>
        <v>SER.CG</v>
      </c>
      <c r="F620" s="273" t="str">
        <f aca="false">VLOOKUP($B620,01_SINTETICO!$A:$M,5,0)</f>
        <v>UN</v>
      </c>
      <c r="G620" s="267" t="n">
        <f aca="true">SUMIFS(INDIRECT("'01_SINTETICO'!F7:F995"),INDIRECT("'01_SINTETICO'!B7:B995"),$C620)</f>
        <v>1</v>
      </c>
      <c r="H620" s="268" t="n">
        <f aca="false">VLOOKUP($C620,01_SINTETICO!$B:$M,6,0)*$G620*(1+BDI_MAT)</f>
        <v>38.9282667512</v>
      </c>
      <c r="I620" s="268" t="n">
        <f aca="false">VLOOKUP($C620,01_SINTETICO!$B:$M,7,0)*$G620*(1+BDI_MDO)</f>
        <v>9.05086497631457</v>
      </c>
      <c r="J620" s="269" t="n">
        <f aca="false">SUM(H620:I620)</f>
        <v>47.9791317275146</v>
      </c>
      <c r="K620" s="270" t="n">
        <f aca="false">J620/SUM($J$7:$J$749)</f>
        <v>5.31482644225353E-006</v>
      </c>
      <c r="L620" s="271" t="n">
        <f aca="false">K620+L619</f>
        <v>0.999552384166512</v>
      </c>
    </row>
    <row r="621" customFormat="false" ht="38.25" hidden="false" customHeight="false" outlineLevel="0" collapsed="false">
      <c r="A621" s="264" t="n">
        <f aca="false">K621</f>
        <v>5.19747562099675E-006</v>
      </c>
      <c r="B621" s="265" t="str">
        <f aca="false">VLOOKUP($C621,01_SINTETICO!$B:$N,13,0)</f>
        <v>11.1.3.1</v>
      </c>
      <c r="C621" s="274" t="n">
        <v>94703</v>
      </c>
      <c r="D621" s="266" t="str">
        <f aca="false">VLOOKUP($C621,01_SINTETICO!$B:$M,2,0)</f>
        <v>ADAPTADOR COM FLANGE E ANEL DE VEDAÇÃO, PVC, SOLDÁVEL, DN 25 MM X 3/4", INSTALADO EM RESERVAÇÃO PREDIAL DE ÁGUA - FORNECIMENTO E INSTALAÇÃO. AF_04/2024</v>
      </c>
      <c r="E621" s="266" t="str">
        <f aca="false">VLOOKUP($B621,01_SINTETICO!$A:$M,4,0)</f>
        <v>SER.CG</v>
      </c>
      <c r="F621" s="267" t="str">
        <f aca="false">VLOOKUP($B621,01_SINTETICO!$A:$M,5,0)</f>
        <v>UN</v>
      </c>
      <c r="G621" s="267" t="n">
        <f aca="true">SUMIFS(INDIRECT("'01_SINTETICO'!F7:F995"),INDIRECT("'01_SINTETICO'!B7:B995"),$C621)</f>
        <v>2</v>
      </c>
      <c r="H621" s="268" t="n">
        <f aca="false">VLOOKUP($C621,01_SINTETICO!$B:$M,6,0)*$G621*(1+BDI_MAT)</f>
        <v>35.292241986</v>
      </c>
      <c r="I621" s="268" t="n">
        <f aca="false">VLOOKUP($C621,01_SINTETICO!$B:$M,7,0)*$G621*(1+BDI_MDO)</f>
        <v>11.6275154472481</v>
      </c>
      <c r="J621" s="269" t="n">
        <f aca="false">SUM(H621:I621)</f>
        <v>46.9197574332481</v>
      </c>
      <c r="K621" s="270" t="n">
        <f aca="false">J621/SUM($J$7:$J$749)</f>
        <v>5.19747562099675E-006</v>
      </c>
      <c r="L621" s="271" t="n">
        <f aca="false">K621+L620</f>
        <v>0.999557581642133</v>
      </c>
    </row>
    <row r="622" customFormat="false" ht="38.25" hidden="false" customHeight="false" outlineLevel="0" collapsed="false">
      <c r="A622" s="264" t="n">
        <f aca="false">K622</f>
        <v>5.19747562099675E-006</v>
      </c>
      <c r="B622" s="265" t="str">
        <f aca="false">VLOOKUP($C622,01_SINTETICO!$B:$N,13,0)</f>
        <v>11.1.3.1</v>
      </c>
      <c r="C622" s="266" t="n">
        <v>94703</v>
      </c>
      <c r="D622" s="266" t="str">
        <f aca="false">VLOOKUP($C622,01_SINTETICO!$B:$M,2,0)</f>
        <v>ADAPTADOR COM FLANGE E ANEL DE VEDAÇÃO, PVC, SOLDÁVEL, DN 25 MM X 3/4", INSTALADO EM RESERVAÇÃO PREDIAL DE ÁGUA - FORNECIMENTO E INSTALAÇÃO. AF_04/2024</v>
      </c>
      <c r="E622" s="266" t="str">
        <f aca="false">VLOOKUP($B622,01_SINTETICO!$A:$M,4,0)</f>
        <v>SER.CG</v>
      </c>
      <c r="F622" s="267" t="str">
        <f aca="false">VLOOKUP($B622,01_SINTETICO!$A:$M,5,0)</f>
        <v>UN</v>
      </c>
      <c r="G622" s="267" t="n">
        <f aca="true">SUMIFS(INDIRECT("'01_SINTETICO'!F7:F995"),INDIRECT("'01_SINTETICO'!B7:B995"),$C622)</f>
        <v>2</v>
      </c>
      <c r="H622" s="268" t="n">
        <f aca="false">VLOOKUP($C622,01_SINTETICO!$B:$M,6,0)*$G622*(1+BDI_MAT)</f>
        <v>35.292241986</v>
      </c>
      <c r="I622" s="268" t="n">
        <f aca="false">VLOOKUP($C622,01_SINTETICO!$B:$M,7,0)*$G622*(1+BDI_MDO)</f>
        <v>11.6275154472481</v>
      </c>
      <c r="J622" s="269" t="n">
        <f aca="false">SUM(H622:I622)</f>
        <v>46.9197574332481</v>
      </c>
      <c r="K622" s="270" t="n">
        <f aca="false">J622/SUM($J$7:$J$749)</f>
        <v>5.19747562099675E-006</v>
      </c>
      <c r="L622" s="271" t="n">
        <f aca="false">K622+L621</f>
        <v>0.999562779117754</v>
      </c>
    </row>
    <row r="623" customFormat="false" ht="38.25" hidden="false" customHeight="false" outlineLevel="0" collapsed="false">
      <c r="A623" s="264" t="n">
        <f aca="false">K623</f>
        <v>5.19747562099675E-006</v>
      </c>
      <c r="B623" s="265" t="str">
        <f aca="false">VLOOKUP($C623,01_SINTETICO!$B:$N,13,0)</f>
        <v>11.1.3.1</v>
      </c>
      <c r="C623" s="272" t="n">
        <v>94703</v>
      </c>
      <c r="D623" s="266" t="str">
        <f aca="false">VLOOKUP($C623,01_SINTETICO!$B:$M,2,0)</f>
        <v>ADAPTADOR COM FLANGE E ANEL DE VEDAÇÃO, PVC, SOLDÁVEL, DN 25 MM X 3/4", INSTALADO EM RESERVAÇÃO PREDIAL DE ÁGUA - FORNECIMENTO E INSTALAÇÃO. AF_04/2024</v>
      </c>
      <c r="E623" s="272" t="str">
        <f aca="false">VLOOKUP($B623,01_SINTETICO!$A:$M,4,0)</f>
        <v>SER.CG</v>
      </c>
      <c r="F623" s="273" t="str">
        <f aca="false">VLOOKUP($B623,01_SINTETICO!$A:$M,5,0)</f>
        <v>UN</v>
      </c>
      <c r="G623" s="267" t="n">
        <f aca="true">SUMIFS(INDIRECT("'01_SINTETICO'!F7:F995"),INDIRECT("'01_SINTETICO'!B7:B995"),$C623)</f>
        <v>2</v>
      </c>
      <c r="H623" s="268" t="n">
        <f aca="false">VLOOKUP($C623,01_SINTETICO!$B:$M,6,0)*$G623*(1+BDI_MAT)</f>
        <v>35.292241986</v>
      </c>
      <c r="I623" s="268" t="n">
        <f aca="false">VLOOKUP($C623,01_SINTETICO!$B:$M,7,0)*$G623*(1+BDI_MDO)</f>
        <v>11.6275154472481</v>
      </c>
      <c r="J623" s="269" t="n">
        <f aca="false">SUM(H623:I623)</f>
        <v>46.9197574332481</v>
      </c>
      <c r="K623" s="270" t="n">
        <f aca="false">J623/SUM($J$7:$J$749)</f>
        <v>5.19747562099675E-006</v>
      </c>
      <c r="L623" s="271" t="n">
        <f aca="false">K623+L622</f>
        <v>0.999567976593375</v>
      </c>
    </row>
    <row r="624" customFormat="false" ht="38.25" hidden="false" customHeight="false" outlineLevel="0" collapsed="false">
      <c r="A624" s="264" t="n">
        <f aca="false">K624</f>
        <v>5.19747562099675E-006</v>
      </c>
      <c r="B624" s="265" t="str">
        <f aca="false">VLOOKUP($C624,01_SINTETICO!$B:$N,13,0)</f>
        <v>11.1.3.1</v>
      </c>
      <c r="C624" s="272" t="n">
        <v>94703</v>
      </c>
      <c r="D624" s="266" t="str">
        <f aca="false">VLOOKUP($C624,01_SINTETICO!$B:$M,2,0)</f>
        <v>ADAPTADOR COM FLANGE E ANEL DE VEDAÇÃO, PVC, SOLDÁVEL, DN 25 MM X 3/4", INSTALADO EM RESERVAÇÃO PREDIAL DE ÁGUA - FORNECIMENTO E INSTALAÇÃO. AF_04/2024</v>
      </c>
      <c r="E624" s="272" t="str">
        <f aca="false">VLOOKUP($B624,01_SINTETICO!$A:$M,4,0)</f>
        <v>SER.CG</v>
      </c>
      <c r="F624" s="273" t="str">
        <f aca="false">VLOOKUP($B624,01_SINTETICO!$A:$M,5,0)</f>
        <v>UN</v>
      </c>
      <c r="G624" s="267" t="n">
        <f aca="true">SUMIFS(INDIRECT("'01_SINTETICO'!F7:F995"),INDIRECT("'01_SINTETICO'!B7:B995"),$C624)</f>
        <v>2</v>
      </c>
      <c r="H624" s="268" t="n">
        <f aca="false">VLOOKUP($C624,01_SINTETICO!$B:$M,6,0)*$G624*(1+BDI_MAT)</f>
        <v>35.292241986</v>
      </c>
      <c r="I624" s="268" t="n">
        <f aca="false">VLOOKUP($C624,01_SINTETICO!$B:$M,7,0)*$G624*(1+BDI_MDO)</f>
        <v>11.6275154472481</v>
      </c>
      <c r="J624" s="269" t="n">
        <f aca="false">SUM(H624:I624)</f>
        <v>46.9197574332481</v>
      </c>
      <c r="K624" s="270" t="n">
        <f aca="false">J624/SUM($J$7:$J$749)</f>
        <v>5.19747562099675E-006</v>
      </c>
      <c r="L624" s="271" t="n">
        <f aca="false">K624+L623</f>
        <v>0.999573174068996</v>
      </c>
    </row>
    <row r="625" customFormat="false" ht="38.25" hidden="false" customHeight="false" outlineLevel="0" collapsed="false">
      <c r="A625" s="264" t="n">
        <f aca="false">K625</f>
        <v>5.12433499207772E-006</v>
      </c>
      <c r="B625" s="265" t="str">
        <f aca="false">VLOOKUP($C625,01_SINTETICO!$B:$N,13,0)</f>
        <v>11.6.3.4</v>
      </c>
      <c r="C625" s="272" t="n">
        <v>90374</v>
      </c>
      <c r="D625" s="266" t="str">
        <f aca="false">VLOOKUP($C625,01_SINTETICO!$B:$M,2,0)</f>
        <v>TÊ COM BUCHA DE LATÃO NA BOLSA CENTRAL, PVC, SOLDÁVEL, DN 25MM X 3/4 , INSTALADO EM RAMAL OU SUB-RAMAL DE ÁGUA - FORNECIMENTO E INSTALAÇÃO. AF_06/2022</v>
      </c>
      <c r="E625" s="272" t="str">
        <f aca="false">VLOOKUP($B625,01_SINTETICO!$A:$M,4,0)</f>
        <v>SER.CG</v>
      </c>
      <c r="F625" s="273" t="str">
        <f aca="false">VLOOKUP($B625,01_SINTETICO!$A:$M,5,0)</f>
        <v>UN</v>
      </c>
      <c r="G625" s="267" t="n">
        <f aca="true">SUMIFS(INDIRECT("'01_SINTETICO'!F7:F995"),INDIRECT("'01_SINTETICO'!B7:B995"),$C625)</f>
        <v>2</v>
      </c>
      <c r="H625" s="268" t="n">
        <f aca="false">VLOOKUP($C625,01_SINTETICO!$B:$M,6,0)*$G625*(1+BDI_MAT)</f>
        <v>36.3557654128</v>
      </c>
      <c r="I625" s="268" t="n">
        <f aca="false">VLOOKUP($C625,01_SINTETICO!$B:$M,7,0)*$G625*(1+BDI_MDO)</f>
        <v>9.90372137799766</v>
      </c>
      <c r="J625" s="269" t="n">
        <f aca="false">SUM(H625:I625)</f>
        <v>46.2594867907977</v>
      </c>
      <c r="K625" s="270" t="n">
        <f aca="false">J625/SUM($J$7:$J$749)</f>
        <v>5.12433499207772E-006</v>
      </c>
      <c r="L625" s="271" t="n">
        <f aca="false">K625+L624</f>
        <v>0.999578298403988</v>
      </c>
    </row>
    <row r="626" customFormat="false" ht="38.25" hidden="false" customHeight="false" outlineLevel="0" collapsed="false">
      <c r="A626" s="264" t="n">
        <f aca="false">K626</f>
        <v>5.12433499207772E-006</v>
      </c>
      <c r="B626" s="265" t="str">
        <f aca="false">VLOOKUP($C626,01_SINTETICO!$B:$N,13,0)</f>
        <v>11.6.3.4</v>
      </c>
      <c r="C626" s="272" t="n">
        <v>90374</v>
      </c>
      <c r="D626" s="266" t="str">
        <f aca="false">VLOOKUP($C626,01_SINTETICO!$B:$M,2,0)</f>
        <v>TÊ COM BUCHA DE LATÃO NA BOLSA CENTRAL, PVC, SOLDÁVEL, DN 25MM X 3/4 , INSTALADO EM RAMAL OU SUB-RAMAL DE ÁGUA - FORNECIMENTO E INSTALAÇÃO. AF_06/2022</v>
      </c>
      <c r="E626" s="272" t="str">
        <f aca="false">VLOOKUP($B626,01_SINTETICO!$A:$M,4,0)</f>
        <v>SER.CG</v>
      </c>
      <c r="F626" s="273" t="str">
        <f aca="false">VLOOKUP($B626,01_SINTETICO!$A:$M,5,0)</f>
        <v>UN</v>
      </c>
      <c r="G626" s="267" t="n">
        <f aca="true">SUMIFS(INDIRECT("'01_SINTETICO'!F7:F995"),INDIRECT("'01_SINTETICO'!B7:B995"),$C626)</f>
        <v>2</v>
      </c>
      <c r="H626" s="268" t="n">
        <f aca="false">VLOOKUP($C626,01_SINTETICO!$B:$M,6,0)*$G626*(1+BDI_MAT)</f>
        <v>36.3557654128</v>
      </c>
      <c r="I626" s="268" t="n">
        <f aca="false">VLOOKUP($C626,01_SINTETICO!$B:$M,7,0)*$G626*(1+BDI_MDO)</f>
        <v>9.90372137799766</v>
      </c>
      <c r="J626" s="269" t="n">
        <f aca="false">SUM(H626:I626)</f>
        <v>46.2594867907977</v>
      </c>
      <c r="K626" s="270" t="n">
        <f aca="false">J626/SUM($J$7:$J$749)</f>
        <v>5.12433499207772E-006</v>
      </c>
      <c r="L626" s="271" t="n">
        <f aca="false">K626+L625</f>
        <v>0.999583422738981</v>
      </c>
    </row>
    <row r="627" customFormat="false" ht="38.25" hidden="false" customHeight="false" outlineLevel="0" collapsed="false">
      <c r="A627" s="264" t="n">
        <f aca="false">K627</f>
        <v>5.12433499207772E-006</v>
      </c>
      <c r="B627" s="265" t="str">
        <f aca="false">VLOOKUP($C627,01_SINTETICO!$B:$N,13,0)</f>
        <v>11.6.3.4</v>
      </c>
      <c r="C627" s="266" t="n">
        <v>90374</v>
      </c>
      <c r="D627" s="266" t="str">
        <f aca="false">VLOOKUP($C627,01_SINTETICO!$B:$M,2,0)</f>
        <v>TÊ COM BUCHA DE LATÃO NA BOLSA CENTRAL, PVC, SOLDÁVEL, DN 25MM X 3/4 , INSTALADO EM RAMAL OU SUB-RAMAL DE ÁGUA - FORNECIMENTO E INSTALAÇÃO. AF_06/2022</v>
      </c>
      <c r="E627" s="266" t="str">
        <f aca="false">VLOOKUP($B627,01_SINTETICO!$A:$M,4,0)</f>
        <v>SER.CG</v>
      </c>
      <c r="F627" s="267" t="str">
        <f aca="false">VLOOKUP($B627,01_SINTETICO!$A:$M,5,0)</f>
        <v>UN</v>
      </c>
      <c r="G627" s="267" t="n">
        <f aca="true">SUMIFS(INDIRECT("'01_SINTETICO'!F7:F995"),INDIRECT("'01_SINTETICO'!B7:B995"),$C627)</f>
        <v>2</v>
      </c>
      <c r="H627" s="268" t="n">
        <f aca="false">VLOOKUP($C627,01_SINTETICO!$B:$M,6,0)*$G627*(1+BDI_MAT)</f>
        <v>36.3557654128</v>
      </c>
      <c r="I627" s="268" t="n">
        <f aca="false">VLOOKUP($C627,01_SINTETICO!$B:$M,7,0)*$G627*(1+BDI_MDO)</f>
        <v>9.90372137799766</v>
      </c>
      <c r="J627" s="269" t="n">
        <f aca="false">SUM(H627:I627)</f>
        <v>46.2594867907977</v>
      </c>
      <c r="K627" s="270" t="n">
        <f aca="false">J627/SUM($J$7:$J$749)</f>
        <v>5.12433499207772E-006</v>
      </c>
      <c r="L627" s="271" t="n">
        <f aca="false">K627+L626</f>
        <v>0.999588547073973</v>
      </c>
    </row>
    <row r="628" customFormat="false" ht="38.25" hidden="false" customHeight="false" outlineLevel="0" collapsed="false">
      <c r="A628" s="264" t="n">
        <f aca="false">K628</f>
        <v>5.12433499207772E-006</v>
      </c>
      <c r="B628" s="265" t="str">
        <f aca="false">VLOOKUP($C628,01_SINTETICO!$B:$N,13,0)</f>
        <v>11.6.3.4</v>
      </c>
      <c r="C628" s="266" t="n">
        <v>90374</v>
      </c>
      <c r="D628" s="266" t="str">
        <f aca="false">VLOOKUP($C628,01_SINTETICO!$B:$M,2,0)</f>
        <v>TÊ COM BUCHA DE LATÃO NA BOLSA CENTRAL, PVC, SOLDÁVEL, DN 25MM X 3/4 , INSTALADO EM RAMAL OU SUB-RAMAL DE ÁGUA - FORNECIMENTO E INSTALAÇÃO. AF_06/2022</v>
      </c>
      <c r="E628" s="266" t="str">
        <f aca="false">VLOOKUP($B628,01_SINTETICO!$A:$M,4,0)</f>
        <v>SER.CG</v>
      </c>
      <c r="F628" s="267" t="str">
        <f aca="false">VLOOKUP($B628,01_SINTETICO!$A:$M,5,0)</f>
        <v>UN</v>
      </c>
      <c r="G628" s="267" t="n">
        <f aca="true">SUMIFS(INDIRECT("'01_SINTETICO'!F7:F995"),INDIRECT("'01_SINTETICO'!B7:B995"),$C628)</f>
        <v>2</v>
      </c>
      <c r="H628" s="268" t="n">
        <f aca="false">VLOOKUP($C628,01_SINTETICO!$B:$M,6,0)*$G628*(1+BDI_MAT)</f>
        <v>36.3557654128</v>
      </c>
      <c r="I628" s="268" t="n">
        <f aca="false">VLOOKUP($C628,01_SINTETICO!$B:$M,7,0)*$G628*(1+BDI_MDO)</f>
        <v>9.90372137799766</v>
      </c>
      <c r="J628" s="269" t="n">
        <f aca="false">SUM(H628:I628)</f>
        <v>46.2594867907977</v>
      </c>
      <c r="K628" s="270" t="n">
        <f aca="false">J628/SUM($J$7:$J$749)</f>
        <v>5.12433499207772E-006</v>
      </c>
      <c r="L628" s="271" t="n">
        <f aca="false">K628+L627</f>
        <v>0.999593671408965</v>
      </c>
    </row>
    <row r="629" customFormat="false" ht="38.25" hidden="false" customHeight="false" outlineLevel="0" collapsed="false">
      <c r="A629" s="264" t="n">
        <f aca="false">K629</f>
        <v>5.05076236210832E-006</v>
      </c>
      <c r="B629" s="265" t="str">
        <f aca="false">VLOOKUP($C629,01_SINTETICO!$B:$N,13,0)</f>
        <v>15.8.4</v>
      </c>
      <c r="C629" s="266" t="n">
        <v>96827</v>
      </c>
      <c r="D629" s="266" t="str">
        <f aca="false">VLOOKUP($C629,01_SINTETICO!$B:$M,2,0)</f>
        <v>CONEXÃO FIXA, ROSCA FÊMEA, PARA INSTALAÇÕES EM PEX ÁGUA, DN 20MM X 1/2", CONEXÃO POR CRIMPAGEM - FORNECIMENTO E INSTALAÇÃO. AF_02/2023</v>
      </c>
      <c r="E629" s="266" t="str">
        <f aca="false">VLOOKUP($B629,01_SINTETICO!$A:$M,4,0)</f>
        <v>SER.CG</v>
      </c>
      <c r="F629" s="267" t="str">
        <f aca="false">VLOOKUP($B629,01_SINTETICO!$A:$M,5,0)</f>
        <v>UN</v>
      </c>
      <c r="G629" s="267" t="n">
        <f aca="true">SUMIFS(INDIRECT("'01_SINTETICO'!F7:F995"),INDIRECT("'01_SINTETICO'!B7:B995"),$C629)</f>
        <v>2</v>
      </c>
      <c r="H629" s="268" t="n">
        <f aca="false">VLOOKUP($C629,01_SINTETICO!$B:$M,6,0)*$G629*(1+BDI_MAT)</f>
        <v>31.2173148144</v>
      </c>
      <c r="I629" s="268" t="n">
        <f aca="false">VLOOKUP($C629,01_SINTETICO!$B:$M,7,0)*$G629*(1+BDI_MDO)</f>
        <v>14.3780014821783</v>
      </c>
      <c r="J629" s="269" t="n">
        <f aca="false">SUM(H629:I629)</f>
        <v>45.5953162965783</v>
      </c>
      <c r="K629" s="270" t="n">
        <f aca="false">J629/SUM($J$7:$J$749)</f>
        <v>5.05076236210832E-006</v>
      </c>
      <c r="L629" s="271" t="n">
        <f aca="false">K629+L628</f>
        <v>0.999598722171327</v>
      </c>
    </row>
    <row r="630" customFormat="false" ht="38.25" hidden="false" customHeight="false" outlineLevel="0" collapsed="false">
      <c r="A630" s="264" t="n">
        <f aca="false">K630</f>
        <v>5.05076236210832E-006</v>
      </c>
      <c r="B630" s="265" t="str">
        <f aca="false">VLOOKUP($C630,01_SINTETICO!$B:$N,13,0)</f>
        <v>15.8.4</v>
      </c>
      <c r="C630" s="266" t="n">
        <v>96827</v>
      </c>
      <c r="D630" s="266" t="str">
        <f aca="false">VLOOKUP($C630,01_SINTETICO!$B:$M,2,0)</f>
        <v>CONEXÃO FIXA, ROSCA FÊMEA, PARA INSTALAÇÕES EM PEX ÁGUA, DN 20MM X 1/2", CONEXÃO POR CRIMPAGEM - FORNECIMENTO E INSTALAÇÃO. AF_02/2023</v>
      </c>
      <c r="E630" s="266" t="str">
        <f aca="false">VLOOKUP($B630,01_SINTETICO!$A:$M,4,0)</f>
        <v>SER.CG</v>
      </c>
      <c r="F630" s="267" t="str">
        <f aca="false">VLOOKUP($B630,01_SINTETICO!$A:$M,5,0)</f>
        <v>UN</v>
      </c>
      <c r="G630" s="267" t="n">
        <f aca="true">SUMIFS(INDIRECT("'01_SINTETICO'!F7:F995"),INDIRECT("'01_SINTETICO'!B7:B995"),$C630)</f>
        <v>2</v>
      </c>
      <c r="H630" s="268" t="n">
        <f aca="false">VLOOKUP($C630,01_SINTETICO!$B:$M,6,0)*$G630*(1+BDI_MAT)</f>
        <v>31.2173148144</v>
      </c>
      <c r="I630" s="268" t="n">
        <f aca="false">VLOOKUP($C630,01_SINTETICO!$B:$M,7,0)*$G630*(1+BDI_MDO)</f>
        <v>14.3780014821783</v>
      </c>
      <c r="J630" s="269" t="n">
        <f aca="false">SUM(H630:I630)</f>
        <v>45.5953162965783</v>
      </c>
      <c r="K630" s="270" t="n">
        <f aca="false">J630/SUM($J$7:$J$749)</f>
        <v>5.05076236210832E-006</v>
      </c>
      <c r="L630" s="271" t="n">
        <f aca="false">K630+L629</f>
        <v>0.999603772933689</v>
      </c>
    </row>
    <row r="631" customFormat="false" ht="38.25" hidden="false" customHeight="false" outlineLevel="0" collapsed="false">
      <c r="A631" s="264" t="n">
        <f aca="false">K631</f>
        <v>5.05076236210832E-006</v>
      </c>
      <c r="B631" s="265" t="str">
        <f aca="false">VLOOKUP($C631,01_SINTETICO!$B:$N,13,0)</f>
        <v>15.8.4</v>
      </c>
      <c r="C631" s="266" t="n">
        <v>96827</v>
      </c>
      <c r="D631" s="266" t="str">
        <f aca="false">VLOOKUP($C631,01_SINTETICO!$B:$M,2,0)</f>
        <v>CONEXÃO FIXA, ROSCA FÊMEA, PARA INSTALAÇÕES EM PEX ÁGUA, DN 20MM X 1/2", CONEXÃO POR CRIMPAGEM - FORNECIMENTO E INSTALAÇÃO. AF_02/2023</v>
      </c>
      <c r="E631" s="266" t="str">
        <f aca="false">VLOOKUP($B631,01_SINTETICO!$A:$M,4,0)</f>
        <v>SER.CG</v>
      </c>
      <c r="F631" s="267" t="str">
        <f aca="false">VLOOKUP($B631,01_SINTETICO!$A:$M,5,0)</f>
        <v>UN</v>
      </c>
      <c r="G631" s="267" t="n">
        <f aca="true">SUMIFS(INDIRECT("'01_SINTETICO'!F7:F995"),INDIRECT("'01_SINTETICO'!B7:B995"),$C631)</f>
        <v>2</v>
      </c>
      <c r="H631" s="268" t="n">
        <f aca="false">VLOOKUP($C631,01_SINTETICO!$B:$M,6,0)*$G631*(1+BDI_MAT)</f>
        <v>31.2173148144</v>
      </c>
      <c r="I631" s="268" t="n">
        <f aca="false">VLOOKUP($C631,01_SINTETICO!$B:$M,7,0)*$G631*(1+BDI_MDO)</f>
        <v>14.3780014821783</v>
      </c>
      <c r="J631" s="269" t="n">
        <f aca="false">SUM(H631:I631)</f>
        <v>45.5953162965783</v>
      </c>
      <c r="K631" s="270" t="n">
        <f aca="false">J631/SUM($J$7:$J$749)</f>
        <v>5.05076236210832E-006</v>
      </c>
      <c r="L631" s="271" t="n">
        <f aca="false">K631+L630</f>
        <v>0.999608823696051</v>
      </c>
    </row>
    <row r="632" customFormat="false" ht="38.25" hidden="false" customHeight="false" outlineLevel="0" collapsed="false">
      <c r="A632" s="264" t="n">
        <f aca="false">K632</f>
        <v>5.05076236210832E-006</v>
      </c>
      <c r="B632" s="265" t="str">
        <f aca="false">VLOOKUP($C632,01_SINTETICO!$B:$N,13,0)</f>
        <v>15.8.4</v>
      </c>
      <c r="C632" s="274" t="n">
        <v>96827</v>
      </c>
      <c r="D632" s="266" t="str">
        <f aca="false">VLOOKUP($C632,01_SINTETICO!$B:$M,2,0)</f>
        <v>CONEXÃO FIXA, ROSCA FÊMEA, PARA INSTALAÇÕES EM PEX ÁGUA, DN 20MM X 1/2", CONEXÃO POR CRIMPAGEM - FORNECIMENTO E INSTALAÇÃO. AF_02/2023</v>
      </c>
      <c r="E632" s="266" t="str">
        <f aca="false">VLOOKUP($B632,01_SINTETICO!$A:$M,4,0)</f>
        <v>SER.CG</v>
      </c>
      <c r="F632" s="267" t="str">
        <f aca="false">VLOOKUP($B632,01_SINTETICO!$A:$M,5,0)</f>
        <v>UN</v>
      </c>
      <c r="G632" s="267" t="n">
        <f aca="true">SUMIFS(INDIRECT("'01_SINTETICO'!F7:F995"),INDIRECT("'01_SINTETICO'!B7:B995"),$C632)</f>
        <v>2</v>
      </c>
      <c r="H632" s="268" t="n">
        <f aca="false">VLOOKUP($C632,01_SINTETICO!$B:$M,6,0)*$G632*(1+BDI_MAT)</f>
        <v>31.2173148144</v>
      </c>
      <c r="I632" s="268" t="n">
        <f aca="false">VLOOKUP($C632,01_SINTETICO!$B:$M,7,0)*$G632*(1+BDI_MDO)</f>
        <v>14.3780014821783</v>
      </c>
      <c r="J632" s="269" t="n">
        <f aca="false">SUM(H632:I632)</f>
        <v>45.5953162965783</v>
      </c>
      <c r="K632" s="270" t="n">
        <f aca="false">J632/SUM($J$7:$J$749)</f>
        <v>5.05076236210832E-006</v>
      </c>
      <c r="L632" s="271" t="n">
        <f aca="false">K632+L631</f>
        <v>0.999613874458413</v>
      </c>
    </row>
    <row r="633" customFormat="false" ht="38.25" hidden="false" customHeight="false" outlineLevel="0" collapsed="false">
      <c r="A633" s="264" t="n">
        <f aca="false">K633</f>
        <v>4.8617844915088E-006</v>
      </c>
      <c r="B633" s="265" t="str">
        <f aca="false">VLOOKUP($C633,01_SINTETICO!$B:$N,13,0)</f>
        <v>11.5.1.16</v>
      </c>
      <c r="C633" s="272" t="n">
        <v>89829</v>
      </c>
      <c r="D633" s="266" t="str">
        <f aca="false">VLOOKUP($C633,01_SINTETICO!$B:$M,2,0)</f>
        <v>TE, PVC, SERIE NORMAL, ESGOTO PREDIAL, DN 75 X 75 MM, JUNTA ELÁSTICA, FORNECIDO E INSTALADO EM PRUMADA DE ESGOTO SANITÁRIO OU VENTILAÇÃO. AF_08/2022</v>
      </c>
      <c r="E633" s="272" t="str">
        <f aca="false">VLOOKUP($B633,01_SINTETICO!$A:$M,4,0)</f>
        <v>SER.CG</v>
      </c>
      <c r="F633" s="273" t="str">
        <f aca="false">VLOOKUP($B633,01_SINTETICO!$A:$M,5,0)</f>
        <v>UN</v>
      </c>
      <c r="G633" s="267" t="n">
        <f aca="true">SUMIFS(INDIRECT("'01_SINTETICO'!F7:F995"),INDIRECT("'01_SINTETICO'!B7:B995"),$C633)</f>
        <v>1</v>
      </c>
      <c r="H633" s="268" t="n">
        <f aca="false">VLOOKUP($C633,01_SINTETICO!$B:$M,6,0)*$G633*(1+BDI_MAT)</f>
        <v>36.6069300264</v>
      </c>
      <c r="I633" s="268" t="n">
        <f aca="false">VLOOKUP($C633,01_SINTETICO!$B:$M,7,0)*$G633*(1+BDI_MDO)</f>
        <v>7.2824050409521</v>
      </c>
      <c r="J633" s="269" t="n">
        <f aca="false">SUM(H633:I633)</f>
        <v>43.8893350673521</v>
      </c>
      <c r="K633" s="270" t="n">
        <f aca="false">J633/SUM($J$7:$J$749)</f>
        <v>4.8617844915088E-006</v>
      </c>
      <c r="L633" s="271" t="n">
        <f aca="false">K633+L632</f>
        <v>0.999618736242905</v>
      </c>
    </row>
    <row r="634" customFormat="false" ht="38.25" hidden="false" customHeight="false" outlineLevel="0" collapsed="false">
      <c r="A634" s="264" t="n">
        <f aca="false">K634</f>
        <v>4.8617844915088E-006</v>
      </c>
      <c r="B634" s="265" t="str">
        <f aca="false">VLOOKUP($C634,01_SINTETICO!$B:$N,13,0)</f>
        <v>11.5.1.16</v>
      </c>
      <c r="C634" s="266" t="n">
        <v>89829</v>
      </c>
      <c r="D634" s="266" t="str">
        <f aca="false">VLOOKUP($C634,01_SINTETICO!$B:$M,2,0)</f>
        <v>TE, PVC, SERIE NORMAL, ESGOTO PREDIAL, DN 75 X 75 MM, JUNTA ELÁSTICA, FORNECIDO E INSTALADO EM PRUMADA DE ESGOTO SANITÁRIO OU VENTILAÇÃO. AF_08/2022</v>
      </c>
      <c r="E634" s="266" t="str">
        <f aca="false">VLOOKUP($B634,01_SINTETICO!$A:$M,4,0)</f>
        <v>SER.CG</v>
      </c>
      <c r="F634" s="267" t="str">
        <f aca="false">VLOOKUP($B634,01_SINTETICO!$A:$M,5,0)</f>
        <v>UN</v>
      </c>
      <c r="G634" s="267" t="n">
        <f aca="true">SUMIFS(INDIRECT("'01_SINTETICO'!F7:F995"),INDIRECT("'01_SINTETICO'!B7:B995"),$C634)</f>
        <v>1</v>
      </c>
      <c r="H634" s="268" t="n">
        <f aca="false">VLOOKUP($C634,01_SINTETICO!$B:$M,6,0)*$G634*(1+BDI_MAT)</f>
        <v>36.6069300264</v>
      </c>
      <c r="I634" s="268" t="n">
        <f aca="false">VLOOKUP($C634,01_SINTETICO!$B:$M,7,0)*$G634*(1+BDI_MDO)</f>
        <v>7.2824050409521</v>
      </c>
      <c r="J634" s="269" t="n">
        <f aca="false">SUM(H634:I634)</f>
        <v>43.8893350673521</v>
      </c>
      <c r="K634" s="270" t="n">
        <f aca="false">J634/SUM($J$7:$J$749)</f>
        <v>4.8617844915088E-006</v>
      </c>
      <c r="L634" s="271" t="n">
        <f aca="false">K634+L633</f>
        <v>0.999623598027396</v>
      </c>
    </row>
    <row r="635" customFormat="false" ht="38.25" hidden="false" customHeight="false" outlineLevel="0" collapsed="false">
      <c r="A635" s="264" t="n">
        <f aca="false">K635</f>
        <v>4.8617844915088E-006</v>
      </c>
      <c r="B635" s="265" t="str">
        <f aca="false">VLOOKUP($C635,01_SINTETICO!$B:$N,13,0)</f>
        <v>11.5.1.16</v>
      </c>
      <c r="C635" s="272" t="n">
        <v>89829</v>
      </c>
      <c r="D635" s="266" t="str">
        <f aca="false">VLOOKUP($C635,01_SINTETICO!$B:$M,2,0)</f>
        <v>TE, PVC, SERIE NORMAL, ESGOTO PREDIAL, DN 75 X 75 MM, JUNTA ELÁSTICA, FORNECIDO E INSTALADO EM PRUMADA DE ESGOTO SANITÁRIO OU VENTILAÇÃO. AF_08/2022</v>
      </c>
      <c r="E635" s="272" t="str">
        <f aca="false">VLOOKUP($B635,01_SINTETICO!$A:$M,4,0)</f>
        <v>SER.CG</v>
      </c>
      <c r="F635" s="273" t="str">
        <f aca="false">VLOOKUP($B635,01_SINTETICO!$A:$M,5,0)</f>
        <v>UN</v>
      </c>
      <c r="G635" s="267" t="n">
        <f aca="true">SUMIFS(INDIRECT("'01_SINTETICO'!F7:F995"),INDIRECT("'01_SINTETICO'!B7:B995"),$C635)</f>
        <v>1</v>
      </c>
      <c r="H635" s="268" t="n">
        <f aca="false">VLOOKUP($C635,01_SINTETICO!$B:$M,6,0)*$G635*(1+BDI_MAT)</f>
        <v>36.6069300264</v>
      </c>
      <c r="I635" s="268" t="n">
        <f aca="false">VLOOKUP($C635,01_SINTETICO!$B:$M,7,0)*$G635*(1+BDI_MDO)</f>
        <v>7.2824050409521</v>
      </c>
      <c r="J635" s="269" t="n">
        <f aca="false">SUM(H635:I635)</f>
        <v>43.8893350673521</v>
      </c>
      <c r="K635" s="270" t="n">
        <f aca="false">J635/SUM($J$7:$J$749)</f>
        <v>4.8617844915088E-006</v>
      </c>
      <c r="L635" s="271" t="n">
        <f aca="false">K635+L634</f>
        <v>0.999628459811888</v>
      </c>
    </row>
    <row r="636" customFormat="false" ht="38.25" hidden="false" customHeight="false" outlineLevel="0" collapsed="false">
      <c r="A636" s="264" t="n">
        <f aca="false">K636</f>
        <v>4.8617844915088E-006</v>
      </c>
      <c r="B636" s="265" t="str">
        <f aca="false">VLOOKUP($C636,01_SINTETICO!$B:$N,13,0)</f>
        <v>11.5.1.16</v>
      </c>
      <c r="C636" s="266" t="n">
        <v>89829</v>
      </c>
      <c r="D636" s="266" t="str">
        <f aca="false">VLOOKUP($C636,01_SINTETICO!$B:$M,2,0)</f>
        <v>TE, PVC, SERIE NORMAL, ESGOTO PREDIAL, DN 75 X 75 MM, JUNTA ELÁSTICA, FORNECIDO E INSTALADO EM PRUMADA DE ESGOTO SANITÁRIO OU VENTILAÇÃO. AF_08/2022</v>
      </c>
      <c r="E636" s="266" t="str">
        <f aca="false">VLOOKUP($B636,01_SINTETICO!$A:$M,4,0)</f>
        <v>SER.CG</v>
      </c>
      <c r="F636" s="267" t="str">
        <f aca="false">VLOOKUP($B636,01_SINTETICO!$A:$M,5,0)</f>
        <v>UN</v>
      </c>
      <c r="G636" s="267" t="n">
        <f aca="true">SUMIFS(INDIRECT("'01_SINTETICO'!F7:F995"),INDIRECT("'01_SINTETICO'!B7:B995"),$C636)</f>
        <v>1</v>
      </c>
      <c r="H636" s="268" t="n">
        <f aca="false">VLOOKUP($C636,01_SINTETICO!$B:$M,6,0)*$G636*(1+BDI_MAT)</f>
        <v>36.6069300264</v>
      </c>
      <c r="I636" s="268" t="n">
        <f aca="false">VLOOKUP($C636,01_SINTETICO!$B:$M,7,0)*$G636*(1+BDI_MDO)</f>
        <v>7.2824050409521</v>
      </c>
      <c r="J636" s="269" t="n">
        <f aca="false">SUM(H636:I636)</f>
        <v>43.8893350673521</v>
      </c>
      <c r="K636" s="270" t="n">
        <f aca="false">J636/SUM($J$7:$J$749)</f>
        <v>4.8617844915088E-006</v>
      </c>
      <c r="L636" s="271" t="n">
        <f aca="false">K636+L635</f>
        <v>0.999633321596379</v>
      </c>
    </row>
    <row r="637" customFormat="false" ht="25.5" hidden="false" customHeight="false" outlineLevel="0" collapsed="false">
      <c r="A637" s="264" t="n">
        <f aca="false">K637</f>
        <v>4.85517217590294E-006</v>
      </c>
      <c r="B637" s="265" t="str">
        <f aca="false">VLOOKUP($C637,01_SINTETICO!$B:$N,13,0)</f>
        <v>11.1.3.3</v>
      </c>
      <c r="C637" s="272" t="n">
        <v>89485</v>
      </c>
      <c r="D637" s="266" t="str">
        <f aca="false">VLOOKUP($C637,01_SINTETICO!$B:$M,2,0)</f>
        <v>JOELHO 45 GRAUS, PVC, SOLDÁVEL, DN 25MM, INSTALADO EM PRUMADA DE ÁGUA - FORNECIMENTO E INSTALAÇÃO. AF_06/2022</v>
      </c>
      <c r="E637" s="272" t="str">
        <f aca="false">VLOOKUP($B637,01_SINTETICO!$A:$M,4,0)</f>
        <v>SER.CG</v>
      </c>
      <c r="F637" s="273" t="str">
        <f aca="false">VLOOKUP($B637,01_SINTETICO!$A:$M,5,0)</f>
        <v>UN</v>
      </c>
      <c r="G637" s="267" t="n">
        <f aca="true">SUMIFS(INDIRECT("'01_SINTETICO'!F7:F995"),INDIRECT("'01_SINTETICO'!B7:B995"),$C637)</f>
        <v>6</v>
      </c>
      <c r="H637" s="268" t="n">
        <f aca="false">VLOOKUP($C637,01_SINTETICO!$B:$M,6,0)*$G637*(1+BDI_MAT)</f>
        <v>25.4237552844</v>
      </c>
      <c r="I637" s="268" t="n">
        <f aca="false">VLOOKUP($C637,01_SINTETICO!$B:$M,7,0)*$G637*(1+BDI_MDO)</f>
        <v>18.4058876810699</v>
      </c>
      <c r="J637" s="269" t="n">
        <f aca="false">SUM(H637:I637)</f>
        <v>43.8296429654699</v>
      </c>
      <c r="K637" s="270" t="n">
        <f aca="false">J637/SUM($J$7:$J$749)</f>
        <v>4.85517217590294E-006</v>
      </c>
      <c r="L637" s="271" t="n">
        <f aca="false">K637+L636</f>
        <v>0.999638176768555</v>
      </c>
    </row>
    <row r="638" customFormat="false" ht="25.5" hidden="false" customHeight="false" outlineLevel="0" collapsed="false">
      <c r="A638" s="264" t="n">
        <f aca="false">K638</f>
        <v>4.85517217590294E-006</v>
      </c>
      <c r="B638" s="265" t="str">
        <f aca="false">VLOOKUP($C638,01_SINTETICO!$B:$N,13,0)</f>
        <v>11.1.3.3</v>
      </c>
      <c r="C638" s="272" t="n">
        <v>89485</v>
      </c>
      <c r="D638" s="266" t="str">
        <f aca="false">VLOOKUP($C638,01_SINTETICO!$B:$M,2,0)</f>
        <v>JOELHO 45 GRAUS, PVC, SOLDÁVEL, DN 25MM, INSTALADO EM PRUMADA DE ÁGUA - FORNECIMENTO E INSTALAÇÃO. AF_06/2022</v>
      </c>
      <c r="E638" s="272" t="str">
        <f aca="false">VLOOKUP($B638,01_SINTETICO!$A:$M,4,0)</f>
        <v>SER.CG</v>
      </c>
      <c r="F638" s="273" t="str">
        <f aca="false">VLOOKUP($B638,01_SINTETICO!$A:$M,5,0)</f>
        <v>UN</v>
      </c>
      <c r="G638" s="267" t="n">
        <f aca="true">SUMIFS(INDIRECT("'01_SINTETICO'!F7:F995"),INDIRECT("'01_SINTETICO'!B7:B995"),$C638)</f>
        <v>6</v>
      </c>
      <c r="H638" s="268" t="n">
        <f aca="false">VLOOKUP($C638,01_SINTETICO!$B:$M,6,0)*$G638*(1+BDI_MAT)</f>
        <v>25.4237552844</v>
      </c>
      <c r="I638" s="268" t="n">
        <f aca="false">VLOOKUP($C638,01_SINTETICO!$B:$M,7,0)*$G638*(1+BDI_MDO)</f>
        <v>18.4058876810699</v>
      </c>
      <c r="J638" s="269" t="n">
        <f aca="false">SUM(H638:I638)</f>
        <v>43.8296429654699</v>
      </c>
      <c r="K638" s="270" t="n">
        <f aca="false">J638/SUM($J$7:$J$749)</f>
        <v>4.85517217590294E-006</v>
      </c>
      <c r="L638" s="271" t="n">
        <f aca="false">K638+L637</f>
        <v>0.999643031940731</v>
      </c>
    </row>
    <row r="639" customFormat="false" ht="25.5" hidden="false" customHeight="false" outlineLevel="0" collapsed="false">
      <c r="A639" s="264" t="n">
        <f aca="false">K639</f>
        <v>4.85517217590294E-006</v>
      </c>
      <c r="B639" s="265" t="str">
        <f aca="false">VLOOKUP($C639,01_SINTETICO!$B:$N,13,0)</f>
        <v>11.1.3.3</v>
      </c>
      <c r="C639" s="266" t="n">
        <v>89485</v>
      </c>
      <c r="D639" s="266" t="str">
        <f aca="false">VLOOKUP($C639,01_SINTETICO!$B:$M,2,0)</f>
        <v>JOELHO 45 GRAUS, PVC, SOLDÁVEL, DN 25MM, INSTALADO EM PRUMADA DE ÁGUA - FORNECIMENTO E INSTALAÇÃO. AF_06/2022</v>
      </c>
      <c r="E639" s="266" t="str">
        <f aca="false">VLOOKUP($B639,01_SINTETICO!$A:$M,4,0)</f>
        <v>SER.CG</v>
      </c>
      <c r="F639" s="267" t="str">
        <f aca="false">VLOOKUP($B639,01_SINTETICO!$A:$M,5,0)</f>
        <v>UN</v>
      </c>
      <c r="G639" s="267" t="n">
        <f aca="true">SUMIFS(INDIRECT("'01_SINTETICO'!F7:F995"),INDIRECT("'01_SINTETICO'!B7:B995"),$C639)</f>
        <v>6</v>
      </c>
      <c r="H639" s="268" t="n">
        <f aca="false">VLOOKUP($C639,01_SINTETICO!$B:$M,6,0)*$G639*(1+BDI_MAT)</f>
        <v>25.4237552844</v>
      </c>
      <c r="I639" s="268" t="n">
        <f aca="false">VLOOKUP($C639,01_SINTETICO!$B:$M,7,0)*$G639*(1+BDI_MDO)</f>
        <v>18.4058876810699</v>
      </c>
      <c r="J639" s="269" t="n">
        <f aca="false">SUM(H639:I639)</f>
        <v>43.8296429654699</v>
      </c>
      <c r="K639" s="270" t="n">
        <f aca="false">J639/SUM($J$7:$J$749)</f>
        <v>4.85517217590294E-006</v>
      </c>
      <c r="L639" s="271" t="n">
        <f aca="false">K639+L638</f>
        <v>0.999647887112907</v>
      </c>
    </row>
    <row r="640" customFormat="false" ht="25.5" hidden="false" customHeight="false" outlineLevel="0" collapsed="false">
      <c r="A640" s="264" t="n">
        <f aca="false">K640</f>
        <v>4.85517217590294E-006</v>
      </c>
      <c r="B640" s="265" t="str">
        <f aca="false">VLOOKUP($C640,01_SINTETICO!$B:$N,13,0)</f>
        <v>11.1.3.3</v>
      </c>
      <c r="C640" s="272" t="n">
        <v>89485</v>
      </c>
      <c r="D640" s="266" t="str">
        <f aca="false">VLOOKUP($C640,01_SINTETICO!$B:$M,2,0)</f>
        <v>JOELHO 45 GRAUS, PVC, SOLDÁVEL, DN 25MM, INSTALADO EM PRUMADA DE ÁGUA - FORNECIMENTO E INSTALAÇÃO. AF_06/2022</v>
      </c>
      <c r="E640" s="272" t="str">
        <f aca="false">VLOOKUP($B640,01_SINTETICO!$A:$M,4,0)</f>
        <v>SER.CG</v>
      </c>
      <c r="F640" s="273" t="str">
        <f aca="false">VLOOKUP($B640,01_SINTETICO!$A:$M,5,0)</f>
        <v>UN</v>
      </c>
      <c r="G640" s="267" t="n">
        <f aca="true">SUMIFS(INDIRECT("'01_SINTETICO'!F7:F995"),INDIRECT("'01_SINTETICO'!B7:B995"),$C640)</f>
        <v>6</v>
      </c>
      <c r="H640" s="268" t="n">
        <f aca="false">VLOOKUP($C640,01_SINTETICO!$B:$M,6,0)*$G640*(1+BDI_MAT)</f>
        <v>25.4237552844</v>
      </c>
      <c r="I640" s="268" t="n">
        <f aca="false">VLOOKUP($C640,01_SINTETICO!$B:$M,7,0)*$G640*(1+BDI_MDO)</f>
        <v>18.4058876810699</v>
      </c>
      <c r="J640" s="269" t="n">
        <f aca="false">SUM(H640:I640)</f>
        <v>43.8296429654699</v>
      </c>
      <c r="K640" s="270" t="n">
        <f aca="false">J640/SUM($J$7:$J$749)</f>
        <v>4.85517217590294E-006</v>
      </c>
      <c r="L640" s="271" t="n">
        <f aca="false">K640+L639</f>
        <v>0.999652742285083</v>
      </c>
    </row>
    <row r="641" customFormat="false" ht="25.5" hidden="false" customHeight="false" outlineLevel="0" collapsed="false">
      <c r="A641" s="264" t="n">
        <f aca="false">K641</f>
        <v>4.66649927771662E-006</v>
      </c>
      <c r="B641" s="265" t="str">
        <f aca="false">VLOOKUP($C641,01_SINTETICO!$B:$N,13,0)</f>
        <v>16.1.3.2.16</v>
      </c>
      <c r="C641" s="266" t="n">
        <v>89624</v>
      </c>
      <c r="D641" s="266" t="str">
        <f aca="false">VLOOKUP($C641,01_SINTETICO!$B:$M,2,0)</f>
        <v>TÊ DE REDUÇÃO, PVC, SOLDÁVEL, DN 40MM X 32MM, INSTALADO EM PRUMADA DE ÁGUA - FORNECIMENTO E INSTALAÇÃO. AF_06/2022</v>
      </c>
      <c r="E641" s="272" t="str">
        <f aca="false">VLOOKUP($B641,01_SINTETICO!$A:$M,4,0)</f>
        <v>SER.CG</v>
      </c>
      <c r="F641" s="273" t="str">
        <f aca="false">VLOOKUP($B641,01_SINTETICO!$A:$M,5,0)</f>
        <v>UN</v>
      </c>
      <c r="G641" s="267" t="n">
        <f aca="true">SUMIFS(INDIRECT("'01_SINTETICO'!F7:F995"),INDIRECT("'01_SINTETICO'!B7:B995"),$C641)</f>
        <v>2</v>
      </c>
      <c r="H641" s="268" t="n">
        <f aca="false">VLOOKUP($C641,01_SINTETICO!$B:$M,6,0)*$G641*(1+BDI_MAT)</f>
        <v>31.0290028704</v>
      </c>
      <c r="I641" s="268" t="n">
        <f aca="false">VLOOKUP($C641,01_SINTETICO!$B:$M,7,0)*$G641*(1+BDI_MDO)</f>
        <v>11.09741197768</v>
      </c>
      <c r="J641" s="269" t="n">
        <f aca="false">SUM(H641:I641)</f>
        <v>42.12641484808</v>
      </c>
      <c r="K641" s="270" t="n">
        <f aca="false">J641/SUM($J$7:$J$749)</f>
        <v>4.66649927771662E-006</v>
      </c>
      <c r="L641" s="271" t="n">
        <f aca="false">K641+L640</f>
        <v>0.999657408784361</v>
      </c>
    </row>
    <row r="642" customFormat="false" ht="25.5" hidden="false" customHeight="false" outlineLevel="0" collapsed="false">
      <c r="A642" s="264" t="n">
        <f aca="false">K642</f>
        <v>4.66649927771662E-006</v>
      </c>
      <c r="B642" s="265" t="str">
        <f aca="false">VLOOKUP($C642,01_SINTETICO!$B:$N,13,0)</f>
        <v>16.1.3.2.16</v>
      </c>
      <c r="C642" s="266" t="n">
        <v>89624</v>
      </c>
      <c r="D642" s="266" t="str">
        <f aca="false">VLOOKUP($C642,01_SINTETICO!$B:$M,2,0)</f>
        <v>TÊ DE REDUÇÃO, PVC, SOLDÁVEL, DN 40MM X 32MM, INSTALADO EM PRUMADA DE ÁGUA - FORNECIMENTO E INSTALAÇÃO. AF_06/2022</v>
      </c>
      <c r="E642" s="266" t="str">
        <f aca="false">VLOOKUP($B642,01_SINTETICO!$A:$M,4,0)</f>
        <v>SER.CG</v>
      </c>
      <c r="F642" s="267" t="str">
        <f aca="false">VLOOKUP($B642,01_SINTETICO!$A:$M,5,0)</f>
        <v>UN</v>
      </c>
      <c r="G642" s="267" t="n">
        <f aca="true">SUMIFS(INDIRECT("'01_SINTETICO'!F7:F995"),INDIRECT("'01_SINTETICO'!B7:B995"),$C642)</f>
        <v>2</v>
      </c>
      <c r="H642" s="268" t="n">
        <f aca="false">VLOOKUP($C642,01_SINTETICO!$B:$M,6,0)*$G642*(1+BDI_MAT)</f>
        <v>31.0290028704</v>
      </c>
      <c r="I642" s="268" t="n">
        <f aca="false">VLOOKUP($C642,01_SINTETICO!$B:$M,7,0)*$G642*(1+BDI_MDO)</f>
        <v>11.09741197768</v>
      </c>
      <c r="J642" s="269" t="n">
        <f aca="false">SUM(H642:I642)</f>
        <v>42.12641484808</v>
      </c>
      <c r="K642" s="270" t="n">
        <f aca="false">J642/SUM($J$7:$J$749)</f>
        <v>4.66649927771662E-006</v>
      </c>
      <c r="L642" s="271" t="n">
        <f aca="false">K642+L641</f>
        <v>0.999662075283638</v>
      </c>
    </row>
    <row r="643" customFormat="false" ht="25.5" hidden="false" customHeight="false" outlineLevel="0" collapsed="false">
      <c r="A643" s="264" t="n">
        <f aca="false">K643</f>
        <v>4.66649927771662E-006</v>
      </c>
      <c r="B643" s="265" t="str">
        <f aca="false">VLOOKUP($C643,01_SINTETICO!$B:$N,13,0)</f>
        <v>16.1.3.2.16</v>
      </c>
      <c r="C643" s="266" t="n">
        <v>89624</v>
      </c>
      <c r="D643" s="266" t="str">
        <f aca="false">VLOOKUP($C643,01_SINTETICO!$B:$M,2,0)</f>
        <v>TÊ DE REDUÇÃO, PVC, SOLDÁVEL, DN 40MM X 32MM, INSTALADO EM PRUMADA DE ÁGUA - FORNECIMENTO E INSTALAÇÃO. AF_06/2022</v>
      </c>
      <c r="E643" s="266" t="str">
        <f aca="false">VLOOKUP($B643,01_SINTETICO!$A:$M,4,0)</f>
        <v>SER.CG</v>
      </c>
      <c r="F643" s="267" t="str">
        <f aca="false">VLOOKUP($B643,01_SINTETICO!$A:$M,5,0)</f>
        <v>UN</v>
      </c>
      <c r="G643" s="267" t="n">
        <f aca="true">SUMIFS(INDIRECT("'01_SINTETICO'!F7:F995"),INDIRECT("'01_SINTETICO'!B7:B995"),$C643)</f>
        <v>2</v>
      </c>
      <c r="H643" s="268" t="n">
        <f aca="false">VLOOKUP($C643,01_SINTETICO!$B:$M,6,0)*$G643*(1+BDI_MAT)</f>
        <v>31.0290028704</v>
      </c>
      <c r="I643" s="268" t="n">
        <f aca="false">VLOOKUP($C643,01_SINTETICO!$B:$M,7,0)*$G643*(1+BDI_MDO)</f>
        <v>11.09741197768</v>
      </c>
      <c r="J643" s="269" t="n">
        <f aca="false">SUM(H643:I643)</f>
        <v>42.12641484808</v>
      </c>
      <c r="K643" s="270" t="n">
        <f aca="false">J643/SUM($J$7:$J$749)</f>
        <v>4.66649927771662E-006</v>
      </c>
      <c r="L643" s="271" t="n">
        <f aca="false">K643+L642</f>
        <v>0.999666741782916</v>
      </c>
    </row>
    <row r="644" customFormat="false" ht="25.5" hidden="false" customHeight="false" outlineLevel="0" collapsed="false">
      <c r="A644" s="264" t="n">
        <f aca="false">K644</f>
        <v>4.66649927771662E-006</v>
      </c>
      <c r="B644" s="265" t="str">
        <f aca="false">VLOOKUP($C644,01_SINTETICO!$B:$N,13,0)</f>
        <v>16.1.3.2.16</v>
      </c>
      <c r="C644" s="272" t="n">
        <v>89624</v>
      </c>
      <c r="D644" s="266" t="str">
        <f aca="false">VLOOKUP($C644,01_SINTETICO!$B:$M,2,0)</f>
        <v>TÊ DE REDUÇÃO, PVC, SOLDÁVEL, DN 40MM X 32MM, INSTALADO EM PRUMADA DE ÁGUA - FORNECIMENTO E INSTALAÇÃO. AF_06/2022</v>
      </c>
      <c r="E644" s="272" t="str">
        <f aca="false">VLOOKUP($B644,01_SINTETICO!$A:$M,4,0)</f>
        <v>SER.CG</v>
      </c>
      <c r="F644" s="273" t="str">
        <f aca="false">VLOOKUP($B644,01_SINTETICO!$A:$M,5,0)</f>
        <v>UN</v>
      </c>
      <c r="G644" s="267" t="n">
        <f aca="true">SUMIFS(INDIRECT("'01_SINTETICO'!F7:F995"),INDIRECT("'01_SINTETICO'!B7:B995"),$C644)</f>
        <v>2</v>
      </c>
      <c r="H644" s="268" t="n">
        <f aca="false">VLOOKUP($C644,01_SINTETICO!$B:$M,6,0)*$G644*(1+BDI_MAT)</f>
        <v>31.0290028704</v>
      </c>
      <c r="I644" s="268" t="n">
        <f aca="false">VLOOKUP($C644,01_SINTETICO!$B:$M,7,0)*$G644*(1+BDI_MDO)</f>
        <v>11.09741197768</v>
      </c>
      <c r="J644" s="269" t="n">
        <f aca="false">SUM(H644:I644)</f>
        <v>42.12641484808</v>
      </c>
      <c r="K644" s="270" t="n">
        <f aca="false">J644/SUM($J$7:$J$749)</f>
        <v>4.66649927771662E-006</v>
      </c>
      <c r="L644" s="271" t="n">
        <f aca="false">K644+L643</f>
        <v>0.999671408282194</v>
      </c>
    </row>
    <row r="645" customFormat="false" ht="38.25" hidden="false" customHeight="false" outlineLevel="0" collapsed="false">
      <c r="A645" s="264" t="n">
        <f aca="false">K645</f>
        <v>4.57970071475484E-006</v>
      </c>
      <c r="B645" s="265" t="str">
        <f aca="false">VLOOKUP($C645,01_SINTETICO!$B:$N,13,0)</f>
        <v>11.6.2.6</v>
      </c>
      <c r="C645" s="266" t="n">
        <v>89596</v>
      </c>
      <c r="D645" s="266" t="str">
        <f aca="false">VLOOKUP($C645,01_SINTETICO!$B:$M,2,0)</f>
        <v>ADAPTADOR CURTO COM BOLSA E ROSCA PARA REGISTRO, PVC, SOLDÁVEL, DN 50MM X 1.1/2 , INSTALADO EM PRUMADA DE ÁGUA - FORNECIMENTO E INSTALAÇÃO. AF_06/2022</v>
      </c>
      <c r="E645" s="266" t="str">
        <f aca="false">VLOOKUP($B645,01_SINTETICO!$A:$M,4,0)</f>
        <v>SER.CG</v>
      </c>
      <c r="F645" s="267" t="str">
        <f aca="false">VLOOKUP($B645,01_SINTETICO!$A:$M,5,0)</f>
        <v>UN</v>
      </c>
      <c r="G645" s="267" t="n">
        <f aca="true">SUMIFS(INDIRECT("'01_SINTETICO'!F7:F995"),INDIRECT("'01_SINTETICO'!B7:B995"),$C645)</f>
        <v>4</v>
      </c>
      <c r="H645" s="268" t="n">
        <f aca="false">VLOOKUP($C645,01_SINTETICO!$B:$M,6,0)*$G645*(1+BDI_MAT)</f>
        <v>36.283364464</v>
      </c>
      <c r="I645" s="268" t="n">
        <f aca="false">VLOOKUP($C645,01_SINTETICO!$B:$M,7,0)*$G645*(1+BDI_MDO)</f>
        <v>5.05948393438488</v>
      </c>
      <c r="J645" s="269" t="n">
        <f aca="false">SUM(H645:I645)</f>
        <v>41.3428483983849</v>
      </c>
      <c r="K645" s="270" t="n">
        <f aca="false">J645/SUM($J$7:$J$749)</f>
        <v>4.57970071475484E-006</v>
      </c>
      <c r="L645" s="271" t="n">
        <f aca="false">K645+L644</f>
        <v>0.999675987982908</v>
      </c>
    </row>
    <row r="646" customFormat="false" ht="38.25" hidden="false" customHeight="false" outlineLevel="0" collapsed="false">
      <c r="A646" s="264" t="n">
        <f aca="false">K646</f>
        <v>4.57970071475484E-006</v>
      </c>
      <c r="B646" s="265" t="str">
        <f aca="false">VLOOKUP($C646,01_SINTETICO!$B:$N,13,0)</f>
        <v>11.6.2.6</v>
      </c>
      <c r="C646" s="272" t="n">
        <v>89596</v>
      </c>
      <c r="D646" s="266" t="str">
        <f aca="false">VLOOKUP($C646,01_SINTETICO!$B:$M,2,0)</f>
        <v>ADAPTADOR CURTO COM BOLSA E ROSCA PARA REGISTRO, PVC, SOLDÁVEL, DN 50MM X 1.1/2 , INSTALADO EM PRUMADA DE ÁGUA - FORNECIMENTO E INSTALAÇÃO. AF_06/2022</v>
      </c>
      <c r="E646" s="272" t="str">
        <f aca="false">VLOOKUP($B646,01_SINTETICO!$A:$M,4,0)</f>
        <v>SER.CG</v>
      </c>
      <c r="F646" s="273" t="str">
        <f aca="false">VLOOKUP($B646,01_SINTETICO!$A:$M,5,0)</f>
        <v>UN</v>
      </c>
      <c r="G646" s="267" t="n">
        <f aca="true">SUMIFS(INDIRECT("'01_SINTETICO'!F7:F995"),INDIRECT("'01_SINTETICO'!B7:B995"),$C646)</f>
        <v>4</v>
      </c>
      <c r="H646" s="268" t="n">
        <f aca="false">VLOOKUP($C646,01_SINTETICO!$B:$M,6,0)*$G646*(1+BDI_MAT)</f>
        <v>36.283364464</v>
      </c>
      <c r="I646" s="268" t="n">
        <f aca="false">VLOOKUP($C646,01_SINTETICO!$B:$M,7,0)*$G646*(1+BDI_MDO)</f>
        <v>5.05948393438488</v>
      </c>
      <c r="J646" s="269" t="n">
        <f aca="false">SUM(H646:I646)</f>
        <v>41.3428483983849</v>
      </c>
      <c r="K646" s="270" t="n">
        <f aca="false">J646/SUM($J$7:$J$749)</f>
        <v>4.57970071475484E-006</v>
      </c>
      <c r="L646" s="271" t="n">
        <f aca="false">K646+L645</f>
        <v>0.999680567683623</v>
      </c>
    </row>
    <row r="647" customFormat="false" ht="38.25" hidden="false" customHeight="false" outlineLevel="0" collapsed="false">
      <c r="A647" s="264" t="n">
        <f aca="false">K647</f>
        <v>4.57970071475484E-006</v>
      </c>
      <c r="B647" s="265" t="str">
        <f aca="false">VLOOKUP($C647,01_SINTETICO!$B:$N,13,0)</f>
        <v>11.6.2.6</v>
      </c>
      <c r="C647" s="266" t="n">
        <v>89596</v>
      </c>
      <c r="D647" s="266" t="str">
        <f aca="false">VLOOKUP($C647,01_SINTETICO!$B:$M,2,0)</f>
        <v>ADAPTADOR CURTO COM BOLSA E ROSCA PARA REGISTRO, PVC, SOLDÁVEL, DN 50MM X 1.1/2 , INSTALADO EM PRUMADA DE ÁGUA - FORNECIMENTO E INSTALAÇÃO. AF_06/2022</v>
      </c>
      <c r="E647" s="266" t="str">
        <f aca="false">VLOOKUP($B647,01_SINTETICO!$A:$M,4,0)</f>
        <v>SER.CG</v>
      </c>
      <c r="F647" s="267" t="str">
        <f aca="false">VLOOKUP($B647,01_SINTETICO!$A:$M,5,0)</f>
        <v>UN</v>
      </c>
      <c r="G647" s="267" t="n">
        <f aca="true">SUMIFS(INDIRECT("'01_SINTETICO'!F7:F995"),INDIRECT("'01_SINTETICO'!B7:B995"),$C647)</f>
        <v>4</v>
      </c>
      <c r="H647" s="268" t="n">
        <f aca="false">VLOOKUP($C647,01_SINTETICO!$B:$M,6,0)*$G647*(1+BDI_MAT)</f>
        <v>36.283364464</v>
      </c>
      <c r="I647" s="268" t="n">
        <f aca="false">VLOOKUP($C647,01_SINTETICO!$B:$M,7,0)*$G647*(1+BDI_MDO)</f>
        <v>5.05948393438488</v>
      </c>
      <c r="J647" s="269" t="n">
        <f aca="false">SUM(H647:I647)</f>
        <v>41.3428483983849</v>
      </c>
      <c r="K647" s="270" t="n">
        <f aca="false">J647/SUM($J$7:$J$749)</f>
        <v>4.57970071475484E-006</v>
      </c>
      <c r="L647" s="271" t="n">
        <f aca="false">K647+L646</f>
        <v>0.999685147384338</v>
      </c>
    </row>
    <row r="648" customFormat="false" ht="38.25" hidden="false" customHeight="false" outlineLevel="0" collapsed="false">
      <c r="A648" s="264" t="n">
        <f aca="false">K648</f>
        <v>4.57970071475484E-006</v>
      </c>
      <c r="B648" s="265" t="str">
        <f aca="false">VLOOKUP($C648,01_SINTETICO!$B:$N,13,0)</f>
        <v>11.6.2.6</v>
      </c>
      <c r="C648" s="266" t="n">
        <v>89596</v>
      </c>
      <c r="D648" s="266" t="str">
        <f aca="false">VLOOKUP($C648,01_SINTETICO!$B:$M,2,0)</f>
        <v>ADAPTADOR CURTO COM BOLSA E ROSCA PARA REGISTRO, PVC, SOLDÁVEL, DN 50MM X 1.1/2 , INSTALADO EM PRUMADA DE ÁGUA - FORNECIMENTO E INSTALAÇÃO. AF_06/2022</v>
      </c>
      <c r="E648" s="266" t="str">
        <f aca="false">VLOOKUP($B648,01_SINTETICO!$A:$M,4,0)</f>
        <v>SER.CG</v>
      </c>
      <c r="F648" s="267" t="str">
        <f aca="false">VLOOKUP($B648,01_SINTETICO!$A:$M,5,0)</f>
        <v>UN</v>
      </c>
      <c r="G648" s="267" t="n">
        <f aca="true">SUMIFS(INDIRECT("'01_SINTETICO'!F7:F995"),INDIRECT("'01_SINTETICO'!B7:B995"),$C648)</f>
        <v>4</v>
      </c>
      <c r="H648" s="268" t="n">
        <f aca="false">VLOOKUP($C648,01_SINTETICO!$B:$M,6,0)*$G648*(1+BDI_MAT)</f>
        <v>36.283364464</v>
      </c>
      <c r="I648" s="268" t="n">
        <f aca="false">VLOOKUP($C648,01_SINTETICO!$B:$M,7,0)*$G648*(1+BDI_MDO)</f>
        <v>5.05948393438488</v>
      </c>
      <c r="J648" s="269" t="n">
        <f aca="false">SUM(H648:I648)</f>
        <v>41.3428483983849</v>
      </c>
      <c r="K648" s="270" t="n">
        <f aca="false">J648/SUM($J$7:$J$749)</f>
        <v>4.57970071475484E-006</v>
      </c>
      <c r="L648" s="271" t="n">
        <f aca="false">K648+L647</f>
        <v>0.999689727085053</v>
      </c>
    </row>
    <row r="649" customFormat="false" ht="25.5" hidden="false" customHeight="false" outlineLevel="0" collapsed="false">
      <c r="A649" s="264" t="n">
        <f aca="false">K649</f>
        <v>4.54667324721063E-006</v>
      </c>
      <c r="B649" s="265" t="str">
        <f aca="false">VLOOKUP($C649,01_SINTETICO!$B:$N,13,0)</f>
        <v>15.2.1</v>
      </c>
      <c r="C649" s="266" t="s">
        <v>1133</v>
      </c>
      <c r="D649" s="266" t="str">
        <f aca="false">VLOOKUP($C649,01_SINTETICO!$B:$M,2,0)</f>
        <v>PLACA FOTOLUMINESCENTE - 15X20CM.</v>
      </c>
      <c r="E649" s="266" t="str">
        <f aca="false">VLOOKUP($B649,01_SINTETICO!$A:$M,4,0)</f>
        <v>SER.CG</v>
      </c>
      <c r="F649" s="267" t="str">
        <f aca="false">VLOOKUP($B649,01_SINTETICO!$A:$M,5,0)</f>
        <v>UN</v>
      </c>
      <c r="G649" s="267" t="n">
        <f aca="true">SUMIFS(INDIRECT("'01_SINTETICO'!F7:F995"),INDIRECT("'01_SINTETICO'!B7:B995"),$C649)</f>
        <v>2</v>
      </c>
      <c r="H649" s="268" t="n">
        <f aca="false">VLOOKUP($C649,01_SINTETICO!$B:$M,6,0)*$G649*(1+BDI_MAT)</f>
        <v>34.3007094</v>
      </c>
      <c r="I649" s="268" t="n">
        <f aca="false">VLOOKUP($C649,01_SINTETICO!$B:$M,7,0)*$G649*(1+BDI_MDO)</f>
        <v>6.7439864184</v>
      </c>
      <c r="J649" s="269" t="n">
        <f aca="false">SUM(H649:I649)</f>
        <v>41.0446958184</v>
      </c>
      <c r="K649" s="270" t="n">
        <f aca="false">J649/SUM($J$7:$J$749)</f>
        <v>4.54667324721063E-006</v>
      </c>
      <c r="L649" s="271" t="n">
        <f aca="false">K649+L648</f>
        <v>0.9996942737583</v>
      </c>
    </row>
    <row r="650" customFormat="false" ht="25.5" hidden="false" customHeight="false" outlineLevel="0" collapsed="false">
      <c r="A650" s="264" t="n">
        <f aca="false">K650</f>
        <v>4.54667324721063E-006</v>
      </c>
      <c r="B650" s="265" t="str">
        <f aca="false">VLOOKUP($C650,01_SINTETICO!$B:$N,13,0)</f>
        <v>15.2.1</v>
      </c>
      <c r="C650" s="272" t="s">
        <v>1133</v>
      </c>
      <c r="D650" s="266" t="str">
        <f aca="false">VLOOKUP($C650,01_SINTETICO!$B:$M,2,0)</f>
        <v>PLACA FOTOLUMINESCENTE - 15X20CM.</v>
      </c>
      <c r="E650" s="272" t="str">
        <f aca="false">VLOOKUP($B650,01_SINTETICO!$A:$M,4,0)</f>
        <v>SER.CG</v>
      </c>
      <c r="F650" s="273" t="str">
        <f aca="false">VLOOKUP($B650,01_SINTETICO!$A:$M,5,0)</f>
        <v>UN</v>
      </c>
      <c r="G650" s="267" t="n">
        <f aca="true">SUMIFS(INDIRECT("'01_SINTETICO'!F7:F995"),INDIRECT("'01_SINTETICO'!B7:B995"),$C650)</f>
        <v>2</v>
      </c>
      <c r="H650" s="268" t="n">
        <f aca="false">VLOOKUP($C650,01_SINTETICO!$B:$M,6,0)*$G650*(1+BDI_MAT)</f>
        <v>34.3007094</v>
      </c>
      <c r="I650" s="268" t="n">
        <f aca="false">VLOOKUP($C650,01_SINTETICO!$B:$M,7,0)*$G650*(1+BDI_MDO)</f>
        <v>6.7439864184</v>
      </c>
      <c r="J650" s="269" t="n">
        <f aca="false">SUM(H650:I650)</f>
        <v>41.0446958184</v>
      </c>
      <c r="K650" s="270" t="n">
        <f aca="false">J650/SUM($J$7:$J$749)</f>
        <v>4.54667324721063E-006</v>
      </c>
      <c r="L650" s="271" t="n">
        <f aca="false">K650+L649</f>
        <v>0.999698820431547</v>
      </c>
    </row>
    <row r="651" customFormat="false" ht="25.5" hidden="false" customHeight="false" outlineLevel="0" collapsed="false">
      <c r="A651" s="264" t="n">
        <f aca="false">K651</f>
        <v>4.54667324721063E-006</v>
      </c>
      <c r="B651" s="265" t="str">
        <f aca="false">VLOOKUP($C651,01_SINTETICO!$B:$N,13,0)</f>
        <v>15.2.1</v>
      </c>
      <c r="C651" s="266" t="s">
        <v>1133</v>
      </c>
      <c r="D651" s="266" t="str">
        <f aca="false">VLOOKUP($C651,01_SINTETICO!$B:$M,2,0)</f>
        <v>PLACA FOTOLUMINESCENTE - 15X20CM.</v>
      </c>
      <c r="E651" s="266" t="str">
        <f aca="false">VLOOKUP($B651,01_SINTETICO!$A:$M,4,0)</f>
        <v>SER.CG</v>
      </c>
      <c r="F651" s="267" t="str">
        <f aca="false">VLOOKUP($B651,01_SINTETICO!$A:$M,5,0)</f>
        <v>UN</v>
      </c>
      <c r="G651" s="267" t="n">
        <f aca="true">SUMIFS(INDIRECT("'01_SINTETICO'!F7:F995"),INDIRECT("'01_SINTETICO'!B7:B995"),$C651)</f>
        <v>2</v>
      </c>
      <c r="H651" s="268" t="n">
        <f aca="false">VLOOKUP($C651,01_SINTETICO!$B:$M,6,0)*$G651*(1+BDI_MAT)</f>
        <v>34.3007094</v>
      </c>
      <c r="I651" s="268" t="n">
        <f aca="false">VLOOKUP($C651,01_SINTETICO!$B:$M,7,0)*$G651*(1+BDI_MDO)</f>
        <v>6.7439864184</v>
      </c>
      <c r="J651" s="269" t="n">
        <f aca="false">SUM(H651:I651)</f>
        <v>41.0446958184</v>
      </c>
      <c r="K651" s="270" t="n">
        <f aca="false">J651/SUM($J$7:$J$749)</f>
        <v>4.54667324721063E-006</v>
      </c>
      <c r="L651" s="271" t="n">
        <f aca="false">K651+L650</f>
        <v>0.999703367104794</v>
      </c>
    </row>
    <row r="652" customFormat="false" ht="25.5" hidden="false" customHeight="false" outlineLevel="0" collapsed="false">
      <c r="A652" s="264" t="n">
        <f aca="false">K652</f>
        <v>4.54667324721063E-006</v>
      </c>
      <c r="B652" s="265" t="str">
        <f aca="false">VLOOKUP($C652,01_SINTETICO!$B:$N,13,0)</f>
        <v>15.2.1</v>
      </c>
      <c r="C652" s="266" t="s">
        <v>1133</v>
      </c>
      <c r="D652" s="266" t="str">
        <f aca="false">VLOOKUP($C652,01_SINTETICO!$B:$M,2,0)</f>
        <v>PLACA FOTOLUMINESCENTE - 15X20CM.</v>
      </c>
      <c r="E652" s="266" t="str">
        <f aca="false">VLOOKUP($B652,01_SINTETICO!$A:$M,4,0)</f>
        <v>SER.CG</v>
      </c>
      <c r="F652" s="267" t="str">
        <f aca="false">VLOOKUP($B652,01_SINTETICO!$A:$M,5,0)</f>
        <v>UN</v>
      </c>
      <c r="G652" s="267" t="n">
        <f aca="true">SUMIFS(INDIRECT("'01_SINTETICO'!F7:F995"),INDIRECT("'01_SINTETICO'!B7:B995"),$C652)</f>
        <v>2</v>
      </c>
      <c r="H652" s="268" t="n">
        <f aca="false">VLOOKUP($C652,01_SINTETICO!$B:$M,6,0)*$G652*(1+BDI_MAT)</f>
        <v>34.3007094</v>
      </c>
      <c r="I652" s="268" t="n">
        <f aca="false">VLOOKUP($C652,01_SINTETICO!$B:$M,7,0)*$G652*(1+BDI_MDO)</f>
        <v>6.7439864184</v>
      </c>
      <c r="J652" s="269" t="n">
        <f aca="false">SUM(H652:I652)</f>
        <v>41.0446958184</v>
      </c>
      <c r="K652" s="270" t="n">
        <f aca="false">J652/SUM($J$7:$J$749)</f>
        <v>4.54667324721063E-006</v>
      </c>
      <c r="L652" s="271" t="n">
        <f aca="false">K652+L651</f>
        <v>0.999707913778042</v>
      </c>
    </row>
    <row r="653" customFormat="false" ht="25.5" hidden="false" customHeight="false" outlineLevel="0" collapsed="false">
      <c r="A653" s="264" t="n">
        <f aca="false">K653</f>
        <v>4.53425883307675E-006</v>
      </c>
      <c r="B653" s="265" t="str">
        <f aca="false">VLOOKUP($C653,01_SINTETICO!$B:$N,13,0)</f>
        <v>11.6.2.31</v>
      </c>
      <c r="C653" s="266" t="n">
        <v>89552</v>
      </c>
      <c r="D653" s="266" t="str">
        <f aca="false">VLOOKUP($C653,01_SINTETICO!$B:$M,2,0)</f>
        <v>UNIÃO, PVC, SOLDÁVEL, DN 32MM, INSTALADO EM PRUMADA DE ÁGUA - FORNECIMENTO E INSTALAÇÃO. AF_06/2022</v>
      </c>
      <c r="E653" s="266" t="str">
        <f aca="false">VLOOKUP($B653,01_SINTETICO!$A:$M,4,0)</f>
        <v>SER.CG</v>
      </c>
      <c r="F653" s="267" t="str">
        <f aca="false">VLOOKUP($B653,01_SINTETICO!$A:$M,5,0)</f>
        <v>UN</v>
      </c>
      <c r="G653" s="267" t="n">
        <f aca="true">SUMIFS(INDIRECT("'01_SINTETICO'!F7:F995"),INDIRECT("'01_SINTETICO'!B7:B995"),$C653)</f>
        <v>2</v>
      </c>
      <c r="H653" s="268" t="n">
        <f aca="false">VLOOKUP($C653,01_SINTETICO!$B:$M,6,0)*$G653*(1+BDI_MAT)</f>
        <v>37.9043018596</v>
      </c>
      <c r="I653" s="268" t="n">
        <f aca="false">VLOOKUP($C653,01_SINTETICO!$B:$M,7,0)*$G653*(1+BDI_MDO)</f>
        <v>3.02832391897438</v>
      </c>
      <c r="J653" s="269" t="n">
        <f aca="false">SUM(H653:I653)</f>
        <v>40.9326257785744</v>
      </c>
      <c r="K653" s="270" t="n">
        <f aca="false">J653/SUM($J$7:$J$749)</f>
        <v>4.53425883307675E-006</v>
      </c>
      <c r="L653" s="271" t="n">
        <f aca="false">K653+L652</f>
        <v>0.999712448036875</v>
      </c>
    </row>
    <row r="654" customFormat="false" ht="25.5" hidden="false" customHeight="false" outlineLevel="0" collapsed="false">
      <c r="A654" s="264" t="n">
        <f aca="false">K654</f>
        <v>4.53425883307675E-006</v>
      </c>
      <c r="B654" s="265" t="str">
        <f aca="false">VLOOKUP($C654,01_SINTETICO!$B:$N,13,0)</f>
        <v>11.6.2.31</v>
      </c>
      <c r="C654" s="266" t="n">
        <v>89552</v>
      </c>
      <c r="D654" s="266" t="str">
        <f aca="false">VLOOKUP($C654,01_SINTETICO!$B:$M,2,0)</f>
        <v>UNIÃO, PVC, SOLDÁVEL, DN 32MM, INSTALADO EM PRUMADA DE ÁGUA - FORNECIMENTO E INSTALAÇÃO. AF_06/2022</v>
      </c>
      <c r="E654" s="266" t="str">
        <f aca="false">VLOOKUP($B654,01_SINTETICO!$A:$M,4,0)</f>
        <v>SER.CG</v>
      </c>
      <c r="F654" s="267" t="str">
        <f aca="false">VLOOKUP($B654,01_SINTETICO!$A:$M,5,0)</f>
        <v>UN</v>
      </c>
      <c r="G654" s="267" t="n">
        <f aca="true">SUMIFS(INDIRECT("'01_SINTETICO'!F7:F995"),INDIRECT("'01_SINTETICO'!B7:B995"),$C654)</f>
        <v>2</v>
      </c>
      <c r="H654" s="268" t="n">
        <f aca="false">VLOOKUP($C654,01_SINTETICO!$B:$M,6,0)*$G654*(1+BDI_MAT)</f>
        <v>37.9043018596</v>
      </c>
      <c r="I654" s="268" t="n">
        <f aca="false">VLOOKUP($C654,01_SINTETICO!$B:$M,7,0)*$G654*(1+BDI_MDO)</f>
        <v>3.02832391897438</v>
      </c>
      <c r="J654" s="269" t="n">
        <f aca="false">SUM(H654:I654)</f>
        <v>40.9326257785744</v>
      </c>
      <c r="K654" s="270" t="n">
        <f aca="false">J654/SUM($J$7:$J$749)</f>
        <v>4.53425883307675E-006</v>
      </c>
      <c r="L654" s="271" t="n">
        <f aca="false">K654+L653</f>
        <v>0.999716982295708</v>
      </c>
    </row>
    <row r="655" customFormat="false" ht="25.5" hidden="false" customHeight="false" outlineLevel="0" collapsed="false">
      <c r="A655" s="264" t="n">
        <f aca="false">K655</f>
        <v>4.53425883307675E-006</v>
      </c>
      <c r="B655" s="265" t="str">
        <f aca="false">VLOOKUP($C655,01_SINTETICO!$B:$N,13,0)</f>
        <v>11.6.2.31</v>
      </c>
      <c r="C655" s="266" t="n">
        <v>89552</v>
      </c>
      <c r="D655" s="266" t="str">
        <f aca="false">VLOOKUP($C655,01_SINTETICO!$B:$M,2,0)</f>
        <v>UNIÃO, PVC, SOLDÁVEL, DN 32MM, INSTALADO EM PRUMADA DE ÁGUA - FORNECIMENTO E INSTALAÇÃO. AF_06/2022</v>
      </c>
      <c r="E655" s="266" t="str">
        <f aca="false">VLOOKUP($B655,01_SINTETICO!$A:$M,4,0)</f>
        <v>SER.CG</v>
      </c>
      <c r="F655" s="267" t="str">
        <f aca="false">VLOOKUP($B655,01_SINTETICO!$A:$M,5,0)</f>
        <v>UN</v>
      </c>
      <c r="G655" s="267" t="n">
        <f aca="true">SUMIFS(INDIRECT("'01_SINTETICO'!F7:F995"),INDIRECT("'01_SINTETICO'!B7:B995"),$C655)</f>
        <v>2</v>
      </c>
      <c r="H655" s="268" t="n">
        <f aca="false">VLOOKUP($C655,01_SINTETICO!$B:$M,6,0)*$G655*(1+BDI_MAT)</f>
        <v>37.9043018596</v>
      </c>
      <c r="I655" s="268" t="n">
        <f aca="false">VLOOKUP($C655,01_SINTETICO!$B:$M,7,0)*$G655*(1+BDI_MDO)</f>
        <v>3.02832391897438</v>
      </c>
      <c r="J655" s="269" t="n">
        <f aca="false">SUM(H655:I655)</f>
        <v>40.9326257785744</v>
      </c>
      <c r="K655" s="270" t="n">
        <f aca="false">J655/SUM($J$7:$J$749)</f>
        <v>4.53425883307675E-006</v>
      </c>
      <c r="L655" s="271" t="n">
        <f aca="false">K655+L654</f>
        <v>0.999721516554541</v>
      </c>
    </row>
    <row r="656" customFormat="false" ht="25.5" hidden="false" customHeight="false" outlineLevel="0" collapsed="false">
      <c r="A656" s="264" t="n">
        <f aca="false">K656</f>
        <v>4.53425883307675E-006</v>
      </c>
      <c r="B656" s="265" t="str">
        <f aca="false">VLOOKUP($C656,01_SINTETICO!$B:$N,13,0)</f>
        <v>11.6.2.31</v>
      </c>
      <c r="C656" s="266" t="n">
        <v>89552</v>
      </c>
      <c r="D656" s="266" t="str">
        <f aca="false">VLOOKUP($C656,01_SINTETICO!$B:$M,2,0)</f>
        <v>UNIÃO, PVC, SOLDÁVEL, DN 32MM, INSTALADO EM PRUMADA DE ÁGUA - FORNECIMENTO E INSTALAÇÃO. AF_06/2022</v>
      </c>
      <c r="E656" s="266" t="str">
        <f aca="false">VLOOKUP($B656,01_SINTETICO!$A:$M,4,0)</f>
        <v>SER.CG</v>
      </c>
      <c r="F656" s="267" t="str">
        <f aca="false">VLOOKUP($B656,01_SINTETICO!$A:$M,5,0)</f>
        <v>UN</v>
      </c>
      <c r="G656" s="267" t="n">
        <f aca="true">SUMIFS(INDIRECT("'01_SINTETICO'!F7:F995"),INDIRECT("'01_SINTETICO'!B7:B995"),$C656)</f>
        <v>2</v>
      </c>
      <c r="H656" s="268" t="n">
        <f aca="false">VLOOKUP($C656,01_SINTETICO!$B:$M,6,0)*$G656*(1+BDI_MAT)</f>
        <v>37.9043018596</v>
      </c>
      <c r="I656" s="268" t="n">
        <f aca="false">VLOOKUP($C656,01_SINTETICO!$B:$M,7,0)*$G656*(1+BDI_MDO)</f>
        <v>3.02832391897438</v>
      </c>
      <c r="J656" s="269" t="n">
        <f aca="false">SUM(H656:I656)</f>
        <v>40.9326257785744</v>
      </c>
      <c r="K656" s="270" t="n">
        <f aca="false">J656/SUM($J$7:$J$749)</f>
        <v>4.53425883307675E-006</v>
      </c>
      <c r="L656" s="271" t="n">
        <f aca="false">K656+L655</f>
        <v>0.999726050813374</v>
      </c>
    </row>
    <row r="657" customFormat="false" ht="25.5" hidden="false" customHeight="false" outlineLevel="0" collapsed="false">
      <c r="A657" s="264" t="n">
        <f aca="false">K657</f>
        <v>4.40923516751497E-006</v>
      </c>
      <c r="B657" s="265" t="str">
        <f aca="false">VLOOKUP($C657,01_SINTETICO!$B:$N,13,0)</f>
        <v>12.3.3.2</v>
      </c>
      <c r="C657" s="266" t="n">
        <v>93654</v>
      </c>
      <c r="D657" s="266" t="str">
        <f aca="false">VLOOKUP($C657,01_SINTETICO!$B:$M,2,0)</f>
        <v>DISJUNTOR MONOPOLAR TIPO DIN, CORRENTE NOMINAL DE 16A - FORNECIMENTO E INSTALAÇÃO. AF_10/2020</v>
      </c>
      <c r="E657" s="266" t="str">
        <f aca="false">VLOOKUP($B657,01_SINTETICO!$A:$M,4,0)</f>
        <v>SER.CG</v>
      </c>
      <c r="F657" s="267" t="str">
        <f aca="false">VLOOKUP($B657,01_SINTETICO!$A:$M,5,0)</f>
        <v>UN</v>
      </c>
      <c r="G657" s="267" t="n">
        <f aca="true">SUMIFS(INDIRECT("'01_SINTETICO'!F7:F995"),INDIRECT("'01_SINTETICO'!B7:B995"),$C657)</f>
        <v>3</v>
      </c>
      <c r="H657" s="268" t="n">
        <f aca="false">VLOOKUP($C657,01_SINTETICO!$B:$M,6,0)*$G657*(1+BDI_MAT)</f>
        <v>37.2998340288</v>
      </c>
      <c r="I657" s="268" t="n">
        <f aca="false">VLOOKUP($C657,01_SINTETICO!$B:$M,7,0)*$G657*(1+BDI_MDO)</f>
        <v>2.5041515233775</v>
      </c>
      <c r="J657" s="269" t="n">
        <f aca="false">SUM(H657:I657)</f>
        <v>39.8039855521775</v>
      </c>
      <c r="K657" s="270" t="n">
        <f aca="false">J657/SUM($J$7:$J$749)</f>
        <v>4.40923516751497E-006</v>
      </c>
      <c r="L657" s="271" t="n">
        <f aca="false">K657+L656</f>
        <v>0.999730460048541</v>
      </c>
    </row>
    <row r="658" customFormat="false" ht="25.5" hidden="false" customHeight="false" outlineLevel="0" collapsed="false">
      <c r="A658" s="264" t="n">
        <f aca="false">K658</f>
        <v>4.40923516751497E-006</v>
      </c>
      <c r="B658" s="265" t="str">
        <f aca="false">VLOOKUP($C658,01_SINTETICO!$B:$N,13,0)</f>
        <v>12.3.3.2</v>
      </c>
      <c r="C658" s="272" t="n">
        <v>93654</v>
      </c>
      <c r="D658" s="266" t="str">
        <f aca="false">VLOOKUP($C658,01_SINTETICO!$B:$M,2,0)</f>
        <v>DISJUNTOR MONOPOLAR TIPO DIN, CORRENTE NOMINAL DE 16A - FORNECIMENTO E INSTALAÇÃO. AF_10/2020</v>
      </c>
      <c r="E658" s="272" t="str">
        <f aca="false">VLOOKUP($B658,01_SINTETICO!$A:$M,4,0)</f>
        <v>SER.CG</v>
      </c>
      <c r="F658" s="273" t="str">
        <f aca="false">VLOOKUP($B658,01_SINTETICO!$A:$M,5,0)</f>
        <v>UN</v>
      </c>
      <c r="G658" s="267" t="n">
        <f aca="true">SUMIFS(INDIRECT("'01_SINTETICO'!F7:F995"),INDIRECT("'01_SINTETICO'!B7:B995"),$C658)</f>
        <v>3</v>
      </c>
      <c r="H658" s="268" t="n">
        <f aca="false">VLOOKUP($C658,01_SINTETICO!$B:$M,6,0)*$G658*(1+BDI_MAT)</f>
        <v>37.2998340288</v>
      </c>
      <c r="I658" s="268" t="n">
        <f aca="false">VLOOKUP($C658,01_SINTETICO!$B:$M,7,0)*$G658*(1+BDI_MDO)</f>
        <v>2.5041515233775</v>
      </c>
      <c r="J658" s="269" t="n">
        <f aca="false">SUM(H658:I658)</f>
        <v>39.8039855521775</v>
      </c>
      <c r="K658" s="270" t="n">
        <f aca="false">J658/SUM($J$7:$J$749)</f>
        <v>4.40923516751497E-006</v>
      </c>
      <c r="L658" s="271" t="n">
        <f aca="false">K658+L657</f>
        <v>0.999734869283709</v>
      </c>
    </row>
    <row r="659" customFormat="false" ht="25.5" hidden="false" customHeight="false" outlineLevel="0" collapsed="false">
      <c r="A659" s="264" t="n">
        <f aca="false">K659</f>
        <v>4.40923516751497E-006</v>
      </c>
      <c r="B659" s="265" t="str">
        <f aca="false">VLOOKUP($C659,01_SINTETICO!$B:$N,13,0)</f>
        <v>12.3.3.2</v>
      </c>
      <c r="C659" s="272" t="n">
        <v>93654</v>
      </c>
      <c r="D659" s="266" t="str">
        <f aca="false">VLOOKUP($C659,01_SINTETICO!$B:$M,2,0)</f>
        <v>DISJUNTOR MONOPOLAR TIPO DIN, CORRENTE NOMINAL DE 16A - FORNECIMENTO E INSTALAÇÃO. AF_10/2020</v>
      </c>
      <c r="E659" s="272" t="str">
        <f aca="false">VLOOKUP($B659,01_SINTETICO!$A:$M,4,0)</f>
        <v>SER.CG</v>
      </c>
      <c r="F659" s="273" t="str">
        <f aca="false">VLOOKUP($B659,01_SINTETICO!$A:$M,5,0)</f>
        <v>UN</v>
      </c>
      <c r="G659" s="267" t="n">
        <f aca="true">SUMIFS(INDIRECT("'01_SINTETICO'!F7:F995"),INDIRECT("'01_SINTETICO'!B7:B995"),$C659)</f>
        <v>3</v>
      </c>
      <c r="H659" s="268" t="n">
        <f aca="false">VLOOKUP($C659,01_SINTETICO!$B:$M,6,0)*$G659*(1+BDI_MAT)</f>
        <v>37.2998340288</v>
      </c>
      <c r="I659" s="268" t="n">
        <f aca="false">VLOOKUP($C659,01_SINTETICO!$B:$M,7,0)*$G659*(1+BDI_MDO)</f>
        <v>2.5041515233775</v>
      </c>
      <c r="J659" s="269" t="n">
        <f aca="false">SUM(H659:I659)</f>
        <v>39.8039855521775</v>
      </c>
      <c r="K659" s="270" t="n">
        <f aca="false">J659/SUM($J$7:$J$749)</f>
        <v>4.40923516751497E-006</v>
      </c>
      <c r="L659" s="271" t="n">
        <f aca="false">K659+L658</f>
        <v>0.999739278518876</v>
      </c>
    </row>
    <row r="660" customFormat="false" ht="25.5" hidden="false" customHeight="false" outlineLevel="0" collapsed="false">
      <c r="A660" s="264" t="n">
        <f aca="false">K660</f>
        <v>4.40923516751497E-006</v>
      </c>
      <c r="B660" s="265" t="str">
        <f aca="false">VLOOKUP($C660,01_SINTETICO!$B:$N,13,0)</f>
        <v>12.3.3.2</v>
      </c>
      <c r="C660" s="272" t="n">
        <v>93654</v>
      </c>
      <c r="D660" s="266" t="str">
        <f aca="false">VLOOKUP($C660,01_SINTETICO!$B:$M,2,0)</f>
        <v>DISJUNTOR MONOPOLAR TIPO DIN, CORRENTE NOMINAL DE 16A - FORNECIMENTO E INSTALAÇÃO. AF_10/2020</v>
      </c>
      <c r="E660" s="272" t="str">
        <f aca="false">VLOOKUP($B660,01_SINTETICO!$A:$M,4,0)</f>
        <v>SER.CG</v>
      </c>
      <c r="F660" s="273" t="str">
        <f aca="false">VLOOKUP($B660,01_SINTETICO!$A:$M,5,0)</f>
        <v>UN</v>
      </c>
      <c r="G660" s="267" t="n">
        <f aca="true">SUMIFS(INDIRECT("'01_SINTETICO'!F7:F995"),INDIRECT("'01_SINTETICO'!B7:B995"),$C660)</f>
        <v>3</v>
      </c>
      <c r="H660" s="268" t="n">
        <f aca="false">VLOOKUP($C660,01_SINTETICO!$B:$M,6,0)*$G660*(1+BDI_MAT)</f>
        <v>37.2998340288</v>
      </c>
      <c r="I660" s="268" t="n">
        <f aca="false">VLOOKUP($C660,01_SINTETICO!$B:$M,7,0)*$G660*(1+BDI_MDO)</f>
        <v>2.5041515233775</v>
      </c>
      <c r="J660" s="269" t="n">
        <f aca="false">SUM(H660:I660)</f>
        <v>39.8039855521775</v>
      </c>
      <c r="K660" s="270" t="n">
        <f aca="false">J660/SUM($J$7:$J$749)</f>
        <v>4.40923516751497E-006</v>
      </c>
      <c r="L660" s="271" t="n">
        <f aca="false">K660+L659</f>
        <v>0.999743687754044</v>
      </c>
    </row>
    <row r="661" customFormat="false" ht="25.5" hidden="false" customHeight="false" outlineLevel="0" collapsed="false">
      <c r="A661" s="264" t="n">
        <f aca="false">K661</f>
        <v>4.3076956042586E-006</v>
      </c>
      <c r="B661" s="265" t="str">
        <f aca="false">VLOOKUP($C661,01_SINTETICO!$B:$N,13,0)</f>
        <v>15.2.4</v>
      </c>
      <c r="C661" s="272" t="s">
        <v>1139</v>
      </c>
      <c r="D661" s="266" t="str">
        <f aca="false">VLOOKUP($C661,01_SINTETICO!$B:$M,2,0)</f>
        <v>PLACA FOTOLUMINESCENTE - 40X20CM.</v>
      </c>
      <c r="E661" s="272" t="str">
        <f aca="false">VLOOKUP($B661,01_SINTETICO!$A:$M,4,0)</f>
        <v>SER.CG</v>
      </c>
      <c r="F661" s="273" t="str">
        <f aca="false">VLOOKUP($B661,01_SINTETICO!$A:$M,5,0)</f>
        <v>UN</v>
      </c>
      <c r="G661" s="267" t="n">
        <f aca="true">SUMIFS(INDIRECT("'01_SINTETICO'!F7:F995"),INDIRECT("'01_SINTETICO'!B7:B995"),$C661)</f>
        <v>1</v>
      </c>
      <c r="H661" s="268" t="n">
        <f aca="false">VLOOKUP($C661,01_SINTETICO!$B:$M,6,0)*$G661*(1+BDI_MAT)</f>
        <v>35.5153528</v>
      </c>
      <c r="I661" s="268" t="n">
        <f aca="false">VLOOKUP($C661,01_SINTETICO!$B:$M,7,0)*$G661*(1+BDI_MDO)</f>
        <v>3.3719932092</v>
      </c>
      <c r="J661" s="269" t="n">
        <f aca="false">SUM(H661:I661)</f>
        <v>38.8873460092</v>
      </c>
      <c r="K661" s="270" t="n">
        <f aca="false">J661/SUM($J$7:$J$749)</f>
        <v>4.3076956042586E-006</v>
      </c>
      <c r="L661" s="271" t="n">
        <f aca="false">K661+L660</f>
        <v>0.999747995449648</v>
      </c>
    </row>
    <row r="662" customFormat="false" ht="25.5" hidden="false" customHeight="false" outlineLevel="0" collapsed="false">
      <c r="A662" s="264" t="n">
        <f aca="false">K662</f>
        <v>4.3076956042586E-006</v>
      </c>
      <c r="B662" s="265" t="str">
        <f aca="false">VLOOKUP($C662,01_SINTETICO!$B:$N,13,0)</f>
        <v>15.2.4</v>
      </c>
      <c r="C662" s="272" t="s">
        <v>1139</v>
      </c>
      <c r="D662" s="266" t="str">
        <f aca="false">VLOOKUP($C662,01_SINTETICO!$B:$M,2,0)</f>
        <v>PLACA FOTOLUMINESCENTE - 40X20CM.</v>
      </c>
      <c r="E662" s="272" t="str">
        <f aca="false">VLOOKUP($B662,01_SINTETICO!$A:$M,4,0)</f>
        <v>SER.CG</v>
      </c>
      <c r="F662" s="273" t="str">
        <f aca="false">VLOOKUP($B662,01_SINTETICO!$A:$M,5,0)</f>
        <v>UN</v>
      </c>
      <c r="G662" s="267" t="n">
        <f aca="true">SUMIFS(INDIRECT("'01_SINTETICO'!F7:F995"),INDIRECT("'01_SINTETICO'!B7:B995"),$C662)</f>
        <v>1</v>
      </c>
      <c r="H662" s="268" t="n">
        <f aca="false">VLOOKUP($C662,01_SINTETICO!$B:$M,6,0)*$G662*(1+BDI_MAT)</f>
        <v>35.5153528</v>
      </c>
      <c r="I662" s="268" t="n">
        <f aca="false">VLOOKUP($C662,01_SINTETICO!$B:$M,7,0)*$G662*(1+BDI_MDO)</f>
        <v>3.3719932092</v>
      </c>
      <c r="J662" s="269" t="n">
        <f aca="false">SUM(H662:I662)</f>
        <v>38.8873460092</v>
      </c>
      <c r="K662" s="270" t="n">
        <f aca="false">J662/SUM($J$7:$J$749)</f>
        <v>4.3076956042586E-006</v>
      </c>
      <c r="L662" s="271" t="n">
        <f aca="false">K662+L661</f>
        <v>0.999752303145252</v>
      </c>
    </row>
    <row r="663" customFormat="false" ht="25.5" hidden="false" customHeight="false" outlineLevel="0" collapsed="false">
      <c r="A663" s="264" t="n">
        <f aca="false">K663</f>
        <v>4.3076956042586E-006</v>
      </c>
      <c r="B663" s="265" t="str">
        <f aca="false">VLOOKUP($C663,01_SINTETICO!$B:$N,13,0)</f>
        <v>15.2.4</v>
      </c>
      <c r="C663" s="266" t="s">
        <v>1139</v>
      </c>
      <c r="D663" s="266" t="str">
        <f aca="false">VLOOKUP($C663,01_SINTETICO!$B:$M,2,0)</f>
        <v>PLACA FOTOLUMINESCENTE - 40X20CM.</v>
      </c>
      <c r="E663" s="266" t="str">
        <f aca="false">VLOOKUP($B663,01_SINTETICO!$A:$M,4,0)</f>
        <v>SER.CG</v>
      </c>
      <c r="F663" s="267" t="str">
        <f aca="false">VLOOKUP($B663,01_SINTETICO!$A:$M,5,0)</f>
        <v>UN</v>
      </c>
      <c r="G663" s="267" t="n">
        <f aca="true">SUMIFS(INDIRECT("'01_SINTETICO'!F7:F995"),INDIRECT("'01_SINTETICO'!B7:B995"),$C663)</f>
        <v>1</v>
      </c>
      <c r="H663" s="268" t="n">
        <f aca="false">VLOOKUP($C663,01_SINTETICO!$B:$M,6,0)*$G663*(1+BDI_MAT)</f>
        <v>35.5153528</v>
      </c>
      <c r="I663" s="268" t="n">
        <f aca="false">VLOOKUP($C663,01_SINTETICO!$B:$M,7,0)*$G663*(1+BDI_MDO)</f>
        <v>3.3719932092</v>
      </c>
      <c r="J663" s="269" t="n">
        <f aca="false">SUM(H663:I663)</f>
        <v>38.8873460092</v>
      </c>
      <c r="K663" s="270" t="n">
        <f aca="false">J663/SUM($J$7:$J$749)</f>
        <v>4.3076956042586E-006</v>
      </c>
      <c r="L663" s="271" t="n">
        <f aca="false">K663+L662</f>
        <v>0.999756610840857</v>
      </c>
    </row>
    <row r="664" customFormat="false" ht="25.5" hidden="false" customHeight="false" outlineLevel="0" collapsed="false">
      <c r="A664" s="264" t="n">
        <f aca="false">K664</f>
        <v>4.3076956042586E-006</v>
      </c>
      <c r="B664" s="265" t="str">
        <f aca="false">VLOOKUP($C664,01_SINTETICO!$B:$N,13,0)</f>
        <v>15.2.4</v>
      </c>
      <c r="C664" s="266" t="s">
        <v>1139</v>
      </c>
      <c r="D664" s="266" t="str">
        <f aca="false">VLOOKUP($C664,01_SINTETICO!$B:$M,2,0)</f>
        <v>PLACA FOTOLUMINESCENTE - 40X20CM.</v>
      </c>
      <c r="E664" s="266" t="str">
        <f aca="false">VLOOKUP($B664,01_SINTETICO!$A:$M,4,0)</f>
        <v>SER.CG</v>
      </c>
      <c r="F664" s="267" t="str">
        <f aca="false">VLOOKUP($B664,01_SINTETICO!$A:$M,5,0)</f>
        <v>UN</v>
      </c>
      <c r="G664" s="267" t="n">
        <f aca="true">SUMIFS(INDIRECT("'01_SINTETICO'!F7:F995"),INDIRECT("'01_SINTETICO'!B7:B995"),$C664)</f>
        <v>1</v>
      </c>
      <c r="H664" s="268" t="n">
        <f aca="false">VLOOKUP($C664,01_SINTETICO!$B:$M,6,0)*$G664*(1+BDI_MAT)</f>
        <v>35.5153528</v>
      </c>
      <c r="I664" s="268" t="n">
        <f aca="false">VLOOKUP($C664,01_SINTETICO!$B:$M,7,0)*$G664*(1+BDI_MDO)</f>
        <v>3.3719932092</v>
      </c>
      <c r="J664" s="269" t="n">
        <f aca="false">SUM(H664:I664)</f>
        <v>38.8873460092</v>
      </c>
      <c r="K664" s="270" t="n">
        <f aca="false">J664/SUM($J$7:$J$749)</f>
        <v>4.3076956042586E-006</v>
      </c>
      <c r="L664" s="271" t="n">
        <f aca="false">K664+L663</f>
        <v>0.999760918536461</v>
      </c>
    </row>
    <row r="665" customFormat="false" ht="38.25" hidden="false" customHeight="false" outlineLevel="0" collapsed="false">
      <c r="A665" s="264" t="n">
        <f aca="false">K665</f>
        <v>4.27164142429493E-006</v>
      </c>
      <c r="B665" s="265" t="str">
        <f aca="false">VLOOKUP($C665,01_SINTETICO!$B:$N,13,0)</f>
        <v>11.4.4.12</v>
      </c>
      <c r="C665" s="266" t="n">
        <v>89557</v>
      </c>
      <c r="D665" s="266" t="str">
        <f aca="false">VLOOKUP($C665,01_SINTETICO!$B:$M,2,0)</f>
        <v>REDUÇÃO EXCÊNTRICA, PVC, SERIE R, ÁGUA PLUVIAL, DN 100 X 75 MM, JUNTA ELÁSTICA, FORNECIDO E INSTALADO EM RAMAL DE ENCAMINHAMENTO. AF_06/2022</v>
      </c>
      <c r="E665" s="266" t="str">
        <f aca="false">VLOOKUP($B665,01_SINTETICO!$A:$M,4,0)</f>
        <v>SER.CG</v>
      </c>
      <c r="F665" s="267" t="str">
        <f aca="false">VLOOKUP($B665,01_SINTETICO!$A:$M,5,0)</f>
        <v>UN</v>
      </c>
      <c r="G665" s="267" t="n">
        <f aca="true">SUMIFS(INDIRECT("'01_SINTETICO'!F7:F995"),INDIRECT("'01_SINTETICO'!B7:B995"),$C665)</f>
        <v>1</v>
      </c>
      <c r="H665" s="268" t="n">
        <f aca="false">VLOOKUP($C665,01_SINTETICO!$B:$M,6,0)*$G665*(1+BDI_MAT)</f>
        <v>35.3334530152</v>
      </c>
      <c r="I665" s="268" t="n">
        <f aca="false">VLOOKUP($C665,01_SINTETICO!$B:$M,7,0)*$G665*(1+BDI_MDO)</f>
        <v>3.22841703187793</v>
      </c>
      <c r="J665" s="269" t="n">
        <f aca="false">SUM(H665:I665)</f>
        <v>38.5618700470779</v>
      </c>
      <c r="K665" s="270" t="n">
        <f aca="false">J665/SUM($J$7:$J$749)</f>
        <v>4.27164142429493E-006</v>
      </c>
      <c r="L665" s="271" t="n">
        <f aca="false">K665+L664</f>
        <v>0.999765190177885</v>
      </c>
    </row>
    <row r="666" customFormat="false" ht="38.25" hidden="false" customHeight="false" outlineLevel="0" collapsed="false">
      <c r="A666" s="264" t="n">
        <f aca="false">K666</f>
        <v>4.27164142429493E-006</v>
      </c>
      <c r="B666" s="265" t="str">
        <f aca="false">VLOOKUP($C666,01_SINTETICO!$B:$N,13,0)</f>
        <v>11.4.4.12</v>
      </c>
      <c r="C666" s="266" t="n">
        <v>89557</v>
      </c>
      <c r="D666" s="266" t="str">
        <f aca="false">VLOOKUP($C666,01_SINTETICO!$B:$M,2,0)</f>
        <v>REDUÇÃO EXCÊNTRICA, PVC, SERIE R, ÁGUA PLUVIAL, DN 100 X 75 MM, JUNTA ELÁSTICA, FORNECIDO E INSTALADO EM RAMAL DE ENCAMINHAMENTO. AF_06/2022</v>
      </c>
      <c r="E666" s="266" t="str">
        <f aca="false">VLOOKUP($B666,01_SINTETICO!$A:$M,4,0)</f>
        <v>SER.CG</v>
      </c>
      <c r="F666" s="267" t="str">
        <f aca="false">VLOOKUP($B666,01_SINTETICO!$A:$M,5,0)</f>
        <v>UN</v>
      </c>
      <c r="G666" s="267" t="n">
        <f aca="true">SUMIFS(INDIRECT("'01_SINTETICO'!F7:F995"),INDIRECT("'01_SINTETICO'!B7:B995"),$C666)</f>
        <v>1</v>
      </c>
      <c r="H666" s="268" t="n">
        <f aca="false">VLOOKUP($C666,01_SINTETICO!$B:$M,6,0)*$G666*(1+BDI_MAT)</f>
        <v>35.3334530152</v>
      </c>
      <c r="I666" s="268" t="n">
        <f aca="false">VLOOKUP($C666,01_SINTETICO!$B:$M,7,0)*$G666*(1+BDI_MDO)</f>
        <v>3.22841703187793</v>
      </c>
      <c r="J666" s="269" t="n">
        <f aca="false">SUM(H666:I666)</f>
        <v>38.5618700470779</v>
      </c>
      <c r="K666" s="270" t="n">
        <f aca="false">J666/SUM($J$7:$J$749)</f>
        <v>4.27164142429493E-006</v>
      </c>
      <c r="L666" s="271" t="n">
        <f aca="false">K666+L665</f>
        <v>0.999769461819309</v>
      </c>
    </row>
    <row r="667" customFormat="false" ht="38.25" hidden="false" customHeight="false" outlineLevel="0" collapsed="false">
      <c r="A667" s="264" t="n">
        <f aca="false">K667</f>
        <v>4.27164142429493E-006</v>
      </c>
      <c r="B667" s="265" t="str">
        <f aca="false">VLOOKUP($C667,01_SINTETICO!$B:$N,13,0)</f>
        <v>11.4.4.12</v>
      </c>
      <c r="C667" s="266" t="n">
        <v>89557</v>
      </c>
      <c r="D667" s="266" t="str">
        <f aca="false">VLOOKUP($C667,01_SINTETICO!$B:$M,2,0)</f>
        <v>REDUÇÃO EXCÊNTRICA, PVC, SERIE R, ÁGUA PLUVIAL, DN 100 X 75 MM, JUNTA ELÁSTICA, FORNECIDO E INSTALADO EM RAMAL DE ENCAMINHAMENTO. AF_06/2022</v>
      </c>
      <c r="E667" s="266" t="str">
        <f aca="false">VLOOKUP($B667,01_SINTETICO!$A:$M,4,0)</f>
        <v>SER.CG</v>
      </c>
      <c r="F667" s="267" t="str">
        <f aca="false">VLOOKUP($B667,01_SINTETICO!$A:$M,5,0)</f>
        <v>UN</v>
      </c>
      <c r="G667" s="267" t="n">
        <f aca="true">SUMIFS(INDIRECT("'01_SINTETICO'!F7:F995"),INDIRECT("'01_SINTETICO'!B7:B995"),$C667)</f>
        <v>1</v>
      </c>
      <c r="H667" s="268" t="n">
        <f aca="false">VLOOKUP($C667,01_SINTETICO!$B:$M,6,0)*$G667*(1+BDI_MAT)</f>
        <v>35.3334530152</v>
      </c>
      <c r="I667" s="268" t="n">
        <f aca="false">VLOOKUP($C667,01_SINTETICO!$B:$M,7,0)*$G667*(1+BDI_MDO)</f>
        <v>3.22841703187793</v>
      </c>
      <c r="J667" s="269" t="n">
        <f aca="false">SUM(H667:I667)</f>
        <v>38.5618700470779</v>
      </c>
      <c r="K667" s="270" t="n">
        <f aca="false">J667/SUM($J$7:$J$749)</f>
        <v>4.27164142429493E-006</v>
      </c>
      <c r="L667" s="271" t="n">
        <f aca="false">K667+L666</f>
        <v>0.999773733460734</v>
      </c>
    </row>
    <row r="668" customFormat="false" ht="38.25" hidden="false" customHeight="false" outlineLevel="0" collapsed="false">
      <c r="A668" s="264" t="n">
        <f aca="false">K668</f>
        <v>4.27164142429493E-006</v>
      </c>
      <c r="B668" s="265" t="str">
        <f aca="false">VLOOKUP($C668,01_SINTETICO!$B:$N,13,0)</f>
        <v>11.4.4.12</v>
      </c>
      <c r="C668" s="266" t="n">
        <v>89557</v>
      </c>
      <c r="D668" s="266" t="str">
        <f aca="false">VLOOKUP($C668,01_SINTETICO!$B:$M,2,0)</f>
        <v>REDUÇÃO EXCÊNTRICA, PVC, SERIE R, ÁGUA PLUVIAL, DN 100 X 75 MM, JUNTA ELÁSTICA, FORNECIDO E INSTALADO EM RAMAL DE ENCAMINHAMENTO. AF_06/2022</v>
      </c>
      <c r="E668" s="266" t="str">
        <f aca="false">VLOOKUP($B668,01_SINTETICO!$A:$M,4,0)</f>
        <v>SER.CG</v>
      </c>
      <c r="F668" s="267" t="str">
        <f aca="false">VLOOKUP($B668,01_SINTETICO!$A:$M,5,0)</f>
        <v>UN</v>
      </c>
      <c r="G668" s="267" t="n">
        <f aca="true">SUMIFS(INDIRECT("'01_SINTETICO'!F7:F995"),INDIRECT("'01_SINTETICO'!B7:B995"),$C668)</f>
        <v>1</v>
      </c>
      <c r="H668" s="268" t="n">
        <f aca="false">VLOOKUP($C668,01_SINTETICO!$B:$M,6,0)*$G668*(1+BDI_MAT)</f>
        <v>35.3334530152</v>
      </c>
      <c r="I668" s="268" t="n">
        <f aca="false">VLOOKUP($C668,01_SINTETICO!$B:$M,7,0)*$G668*(1+BDI_MDO)</f>
        <v>3.22841703187793</v>
      </c>
      <c r="J668" s="269" t="n">
        <f aca="false">SUM(H668:I668)</f>
        <v>38.5618700470779</v>
      </c>
      <c r="K668" s="270" t="n">
        <f aca="false">J668/SUM($J$7:$J$749)</f>
        <v>4.27164142429493E-006</v>
      </c>
      <c r="L668" s="271" t="n">
        <f aca="false">K668+L667</f>
        <v>0.999778005102158</v>
      </c>
    </row>
    <row r="669" customFormat="false" ht="38.25" hidden="false" customHeight="false" outlineLevel="0" collapsed="false">
      <c r="A669" s="264" t="n">
        <f aca="false">K669</f>
        <v>4.2347820334776E-006</v>
      </c>
      <c r="B669" s="265" t="str">
        <f aca="false">VLOOKUP($C669,01_SINTETICO!$B:$N,13,0)</f>
        <v>11.2.3.1</v>
      </c>
      <c r="C669" s="272" t="n">
        <v>104341</v>
      </c>
      <c r="D669" s="266" t="str">
        <f aca="false">VLOOKUP($C669,01_SINTETICO!$B:$M,2,0)</f>
        <v>BUCHA DE REDUÇÃO LONGA, PVC, SÉRIE NORMAL, ESGOTO PREDIAL, DN 50 X 40 MM, JUNTA SOLDÁVEL E ELÁSTICA, FORNECIDO E INSTALADO EM RAMAL DE DESCARGA OU RAMAL DE ESGOTO SANITÁRIO. AF_08/2022</v>
      </c>
      <c r="E669" s="272" t="str">
        <f aca="false">VLOOKUP($B669,01_SINTETICO!$A:$M,4,0)</f>
        <v>SER.CG</v>
      </c>
      <c r="F669" s="273" t="str">
        <f aca="false">VLOOKUP($B669,01_SINTETICO!$A:$M,5,0)</f>
        <v>UN</v>
      </c>
      <c r="G669" s="267" t="n">
        <f aca="true">SUMIFS(INDIRECT("'01_SINTETICO'!F7:F995"),INDIRECT("'01_SINTETICO'!B7:B995"),$C669)</f>
        <v>3</v>
      </c>
      <c r="H669" s="268" t="n">
        <f aca="false">VLOOKUP($C669,01_SINTETICO!$B:$M,6,0)*$G669*(1+BDI_MAT)</f>
        <v>26.7254453136</v>
      </c>
      <c r="I669" s="268" t="n">
        <f aca="false">VLOOKUP($C669,01_SINTETICO!$B:$M,7,0)*$G669*(1+BDI_MDO)</f>
        <v>11.5036798006687</v>
      </c>
      <c r="J669" s="269" t="n">
        <f aca="false">SUM(H669:I669)</f>
        <v>38.2291251142687</v>
      </c>
      <c r="K669" s="270" t="n">
        <f aca="false">J669/SUM($J$7:$J$749)</f>
        <v>4.2347820334776E-006</v>
      </c>
      <c r="L669" s="271" t="n">
        <f aca="false">K669+L668</f>
        <v>0.999782239884191</v>
      </c>
    </row>
    <row r="670" customFormat="false" ht="38.25" hidden="false" customHeight="false" outlineLevel="0" collapsed="false">
      <c r="A670" s="264" t="n">
        <f aca="false">K670</f>
        <v>4.2347820334776E-006</v>
      </c>
      <c r="B670" s="265" t="str">
        <f aca="false">VLOOKUP($C670,01_SINTETICO!$B:$N,13,0)</f>
        <v>11.2.3.1</v>
      </c>
      <c r="C670" s="272" t="n">
        <v>104341</v>
      </c>
      <c r="D670" s="266" t="str">
        <f aca="false">VLOOKUP($C670,01_SINTETICO!$B:$M,2,0)</f>
        <v>BUCHA DE REDUÇÃO LONGA, PVC, SÉRIE NORMAL, ESGOTO PREDIAL, DN 50 X 40 MM, JUNTA SOLDÁVEL E ELÁSTICA, FORNECIDO E INSTALADO EM RAMAL DE DESCARGA OU RAMAL DE ESGOTO SANITÁRIO. AF_08/2022</v>
      </c>
      <c r="E670" s="272" t="str">
        <f aca="false">VLOOKUP($B670,01_SINTETICO!$A:$M,4,0)</f>
        <v>SER.CG</v>
      </c>
      <c r="F670" s="273" t="str">
        <f aca="false">VLOOKUP($B670,01_SINTETICO!$A:$M,5,0)</f>
        <v>UN</v>
      </c>
      <c r="G670" s="267" t="n">
        <f aca="true">SUMIFS(INDIRECT("'01_SINTETICO'!F7:F995"),INDIRECT("'01_SINTETICO'!B7:B995"),$C670)</f>
        <v>3</v>
      </c>
      <c r="H670" s="268" t="n">
        <f aca="false">VLOOKUP($C670,01_SINTETICO!$B:$M,6,0)*$G670*(1+BDI_MAT)</f>
        <v>26.7254453136</v>
      </c>
      <c r="I670" s="268" t="n">
        <f aca="false">VLOOKUP($C670,01_SINTETICO!$B:$M,7,0)*$G670*(1+BDI_MDO)</f>
        <v>11.5036798006687</v>
      </c>
      <c r="J670" s="269" t="n">
        <f aca="false">SUM(H670:I670)</f>
        <v>38.2291251142687</v>
      </c>
      <c r="K670" s="270" t="n">
        <f aca="false">J670/SUM($J$7:$J$749)</f>
        <v>4.2347820334776E-006</v>
      </c>
      <c r="L670" s="271" t="n">
        <f aca="false">K670+L669</f>
        <v>0.999786474666225</v>
      </c>
    </row>
    <row r="671" customFormat="false" ht="38.25" hidden="false" customHeight="false" outlineLevel="0" collapsed="false">
      <c r="A671" s="264" t="n">
        <f aca="false">K671</f>
        <v>4.2347820334776E-006</v>
      </c>
      <c r="B671" s="265" t="str">
        <f aca="false">VLOOKUP($C671,01_SINTETICO!$B:$N,13,0)</f>
        <v>11.2.3.1</v>
      </c>
      <c r="C671" s="272" t="n">
        <v>104341</v>
      </c>
      <c r="D671" s="266" t="str">
        <f aca="false">VLOOKUP($C671,01_SINTETICO!$B:$M,2,0)</f>
        <v>BUCHA DE REDUÇÃO LONGA, PVC, SÉRIE NORMAL, ESGOTO PREDIAL, DN 50 X 40 MM, JUNTA SOLDÁVEL E ELÁSTICA, FORNECIDO E INSTALADO EM RAMAL DE DESCARGA OU RAMAL DE ESGOTO SANITÁRIO. AF_08/2022</v>
      </c>
      <c r="E671" s="272" t="str">
        <f aca="false">VLOOKUP($B671,01_SINTETICO!$A:$M,4,0)</f>
        <v>SER.CG</v>
      </c>
      <c r="F671" s="273" t="str">
        <f aca="false">VLOOKUP($B671,01_SINTETICO!$A:$M,5,0)</f>
        <v>UN</v>
      </c>
      <c r="G671" s="267" t="n">
        <f aca="true">SUMIFS(INDIRECT("'01_SINTETICO'!F7:F995"),INDIRECT("'01_SINTETICO'!B7:B995"),$C671)</f>
        <v>3</v>
      </c>
      <c r="H671" s="268" t="n">
        <f aca="false">VLOOKUP($C671,01_SINTETICO!$B:$M,6,0)*$G671*(1+BDI_MAT)</f>
        <v>26.7254453136</v>
      </c>
      <c r="I671" s="268" t="n">
        <f aca="false">VLOOKUP($C671,01_SINTETICO!$B:$M,7,0)*$G671*(1+BDI_MDO)</f>
        <v>11.5036798006687</v>
      </c>
      <c r="J671" s="269" t="n">
        <f aca="false">SUM(H671:I671)</f>
        <v>38.2291251142687</v>
      </c>
      <c r="K671" s="270" t="n">
        <f aca="false">J671/SUM($J$7:$J$749)</f>
        <v>4.2347820334776E-006</v>
      </c>
      <c r="L671" s="271" t="n">
        <f aca="false">K671+L670</f>
        <v>0.999790709448258</v>
      </c>
    </row>
    <row r="672" customFormat="false" ht="38.25" hidden="false" customHeight="false" outlineLevel="0" collapsed="false">
      <c r="A672" s="264" t="n">
        <f aca="false">K672</f>
        <v>4.2347820334776E-006</v>
      </c>
      <c r="B672" s="265" t="str">
        <f aca="false">VLOOKUP($C672,01_SINTETICO!$B:$N,13,0)</f>
        <v>11.2.3.1</v>
      </c>
      <c r="C672" s="266" t="n">
        <v>104341</v>
      </c>
      <c r="D672" s="266" t="str">
        <f aca="false">VLOOKUP($C672,01_SINTETICO!$B:$M,2,0)</f>
        <v>BUCHA DE REDUÇÃO LONGA, PVC, SÉRIE NORMAL, ESGOTO PREDIAL, DN 50 X 40 MM, JUNTA SOLDÁVEL E ELÁSTICA, FORNECIDO E INSTALADO EM RAMAL DE DESCARGA OU RAMAL DE ESGOTO SANITÁRIO. AF_08/2022</v>
      </c>
      <c r="E672" s="266" t="str">
        <f aca="false">VLOOKUP($B672,01_SINTETICO!$A:$M,4,0)</f>
        <v>SER.CG</v>
      </c>
      <c r="F672" s="267" t="str">
        <f aca="false">VLOOKUP($B672,01_SINTETICO!$A:$M,5,0)</f>
        <v>UN</v>
      </c>
      <c r="G672" s="267" t="n">
        <f aca="true">SUMIFS(INDIRECT("'01_SINTETICO'!F7:F995"),INDIRECT("'01_SINTETICO'!B7:B995"),$C672)</f>
        <v>3</v>
      </c>
      <c r="H672" s="268" t="n">
        <f aca="false">VLOOKUP($C672,01_SINTETICO!$B:$M,6,0)*$G672*(1+BDI_MAT)</f>
        <v>26.7254453136</v>
      </c>
      <c r="I672" s="268" t="n">
        <f aca="false">VLOOKUP($C672,01_SINTETICO!$B:$M,7,0)*$G672*(1+BDI_MDO)</f>
        <v>11.5036798006687</v>
      </c>
      <c r="J672" s="269" t="n">
        <f aca="false">SUM(H672:I672)</f>
        <v>38.2291251142687</v>
      </c>
      <c r="K672" s="270" t="n">
        <f aca="false">J672/SUM($J$7:$J$749)</f>
        <v>4.2347820334776E-006</v>
      </c>
      <c r="L672" s="271" t="n">
        <f aca="false">K672+L671</f>
        <v>0.999794944230292</v>
      </c>
    </row>
    <row r="673" customFormat="false" ht="38.25" hidden="false" customHeight="false" outlineLevel="0" collapsed="false">
      <c r="A673" s="264" t="n">
        <f aca="false">K673</f>
        <v>4.05595595412981E-006</v>
      </c>
      <c r="B673" s="265" t="str">
        <f aca="false">VLOOKUP($C673,01_SINTETICO!$B:$N,13,0)</f>
        <v>11.4.4.3</v>
      </c>
      <c r="C673" s="266" t="n">
        <v>89524</v>
      </c>
      <c r="D673" s="266" t="str">
        <f aca="false">VLOOKUP($C673,01_SINTETICO!$B:$M,2,0)</f>
        <v>JOELHO 45 GRAUS, PVC, SERIE R, ÁGUA PLUVIAL, DN 75 MM, JUNTA ELÁSTICA, FORNECIDO E INSTALADO EM RAMAL DE ENCAMINHAMENTO. AF_06/2022</v>
      </c>
      <c r="E673" s="266" t="str">
        <f aca="false">VLOOKUP($B673,01_SINTETICO!$A:$M,4,0)</f>
        <v>SER.CG</v>
      </c>
      <c r="F673" s="267" t="str">
        <f aca="false">VLOOKUP($B673,01_SINTETICO!$A:$M,5,0)</f>
        <v>UN</v>
      </c>
      <c r="G673" s="267" t="n">
        <f aca="true">SUMIFS(INDIRECT("'01_SINTETICO'!F7:F995"),INDIRECT("'01_SINTETICO'!B7:B995"),$C673)</f>
        <v>1</v>
      </c>
      <c r="H673" s="268" t="n">
        <f aca="false">VLOOKUP($C673,01_SINTETICO!$B:$M,6,0)*$G673*(1+BDI_MAT)</f>
        <v>32.526039402</v>
      </c>
      <c r="I673" s="268" t="n">
        <f aca="false">VLOOKUP($C673,01_SINTETICO!$B:$M,7,0)*$G673*(1+BDI_MDO)</f>
        <v>4.08874889232454</v>
      </c>
      <c r="J673" s="269" t="n">
        <f aca="false">SUM(H673:I673)</f>
        <v>36.6147882943245</v>
      </c>
      <c r="K673" s="270" t="n">
        <f aca="false">J673/SUM($J$7:$J$749)</f>
        <v>4.05595595412981E-006</v>
      </c>
      <c r="L673" s="271" t="n">
        <f aca="false">K673+L672</f>
        <v>0.999799000186246</v>
      </c>
    </row>
    <row r="674" customFormat="false" ht="38.25" hidden="false" customHeight="false" outlineLevel="0" collapsed="false">
      <c r="A674" s="264" t="n">
        <f aca="false">K674</f>
        <v>4.05595595412981E-006</v>
      </c>
      <c r="B674" s="265" t="str">
        <f aca="false">VLOOKUP($C674,01_SINTETICO!$B:$N,13,0)</f>
        <v>11.4.4.3</v>
      </c>
      <c r="C674" s="272" t="n">
        <v>89524</v>
      </c>
      <c r="D674" s="266" t="str">
        <f aca="false">VLOOKUP($C674,01_SINTETICO!$B:$M,2,0)</f>
        <v>JOELHO 45 GRAUS, PVC, SERIE R, ÁGUA PLUVIAL, DN 75 MM, JUNTA ELÁSTICA, FORNECIDO E INSTALADO EM RAMAL DE ENCAMINHAMENTO. AF_06/2022</v>
      </c>
      <c r="E674" s="272" t="str">
        <f aca="false">VLOOKUP($B674,01_SINTETICO!$A:$M,4,0)</f>
        <v>SER.CG</v>
      </c>
      <c r="F674" s="273" t="str">
        <f aca="false">VLOOKUP($B674,01_SINTETICO!$A:$M,5,0)</f>
        <v>UN</v>
      </c>
      <c r="G674" s="267" t="n">
        <f aca="true">SUMIFS(INDIRECT("'01_SINTETICO'!F7:F995"),INDIRECT("'01_SINTETICO'!B7:B995"),$C674)</f>
        <v>1</v>
      </c>
      <c r="H674" s="268" t="n">
        <f aca="false">VLOOKUP($C674,01_SINTETICO!$B:$M,6,0)*$G674*(1+BDI_MAT)</f>
        <v>32.526039402</v>
      </c>
      <c r="I674" s="268" t="n">
        <f aca="false">VLOOKUP($C674,01_SINTETICO!$B:$M,7,0)*$G674*(1+BDI_MDO)</f>
        <v>4.08874889232454</v>
      </c>
      <c r="J674" s="269" t="n">
        <f aca="false">SUM(H674:I674)</f>
        <v>36.6147882943245</v>
      </c>
      <c r="K674" s="270" t="n">
        <f aca="false">J674/SUM($J$7:$J$749)</f>
        <v>4.05595595412981E-006</v>
      </c>
      <c r="L674" s="271" t="n">
        <f aca="false">K674+L673</f>
        <v>0.9998030561422</v>
      </c>
    </row>
    <row r="675" customFormat="false" ht="38.25" hidden="false" customHeight="false" outlineLevel="0" collapsed="false">
      <c r="A675" s="264" t="n">
        <f aca="false">K675</f>
        <v>4.05595595412981E-006</v>
      </c>
      <c r="B675" s="265" t="str">
        <f aca="false">VLOOKUP($C675,01_SINTETICO!$B:$N,13,0)</f>
        <v>11.4.4.3</v>
      </c>
      <c r="C675" s="272" t="n">
        <v>89524</v>
      </c>
      <c r="D675" s="266" t="str">
        <f aca="false">VLOOKUP($C675,01_SINTETICO!$B:$M,2,0)</f>
        <v>JOELHO 45 GRAUS, PVC, SERIE R, ÁGUA PLUVIAL, DN 75 MM, JUNTA ELÁSTICA, FORNECIDO E INSTALADO EM RAMAL DE ENCAMINHAMENTO. AF_06/2022</v>
      </c>
      <c r="E675" s="272" t="str">
        <f aca="false">VLOOKUP($B675,01_SINTETICO!$A:$M,4,0)</f>
        <v>SER.CG</v>
      </c>
      <c r="F675" s="273" t="str">
        <f aca="false">VLOOKUP($B675,01_SINTETICO!$A:$M,5,0)</f>
        <v>UN</v>
      </c>
      <c r="G675" s="267" t="n">
        <f aca="true">SUMIFS(INDIRECT("'01_SINTETICO'!F7:F995"),INDIRECT("'01_SINTETICO'!B7:B995"),$C675)</f>
        <v>1</v>
      </c>
      <c r="H675" s="268" t="n">
        <f aca="false">VLOOKUP($C675,01_SINTETICO!$B:$M,6,0)*$G675*(1+BDI_MAT)</f>
        <v>32.526039402</v>
      </c>
      <c r="I675" s="268" t="n">
        <f aca="false">VLOOKUP($C675,01_SINTETICO!$B:$M,7,0)*$G675*(1+BDI_MDO)</f>
        <v>4.08874889232454</v>
      </c>
      <c r="J675" s="269" t="n">
        <f aca="false">SUM(H675:I675)</f>
        <v>36.6147882943245</v>
      </c>
      <c r="K675" s="270" t="n">
        <f aca="false">J675/SUM($J$7:$J$749)</f>
        <v>4.05595595412981E-006</v>
      </c>
      <c r="L675" s="271" t="n">
        <f aca="false">K675+L674</f>
        <v>0.999807112098154</v>
      </c>
    </row>
    <row r="676" customFormat="false" ht="38.25" hidden="false" customHeight="false" outlineLevel="0" collapsed="false">
      <c r="A676" s="264" t="n">
        <f aca="false">K676</f>
        <v>4.05595595412981E-006</v>
      </c>
      <c r="B676" s="265" t="str">
        <f aca="false">VLOOKUP($C676,01_SINTETICO!$B:$N,13,0)</f>
        <v>11.4.4.3</v>
      </c>
      <c r="C676" s="266" t="n">
        <v>89524</v>
      </c>
      <c r="D676" s="266" t="str">
        <f aca="false">VLOOKUP($C676,01_SINTETICO!$B:$M,2,0)</f>
        <v>JOELHO 45 GRAUS, PVC, SERIE R, ÁGUA PLUVIAL, DN 75 MM, JUNTA ELÁSTICA, FORNECIDO E INSTALADO EM RAMAL DE ENCAMINHAMENTO. AF_06/2022</v>
      </c>
      <c r="E676" s="266" t="str">
        <f aca="false">VLOOKUP($B676,01_SINTETICO!$A:$M,4,0)</f>
        <v>SER.CG</v>
      </c>
      <c r="F676" s="267" t="str">
        <f aca="false">VLOOKUP($B676,01_SINTETICO!$A:$M,5,0)</f>
        <v>UN</v>
      </c>
      <c r="G676" s="267" t="n">
        <f aca="true">SUMIFS(INDIRECT("'01_SINTETICO'!F7:F995"),INDIRECT("'01_SINTETICO'!B7:B995"),$C676)</f>
        <v>1</v>
      </c>
      <c r="H676" s="268" t="n">
        <f aca="false">VLOOKUP($C676,01_SINTETICO!$B:$M,6,0)*$G676*(1+BDI_MAT)</f>
        <v>32.526039402</v>
      </c>
      <c r="I676" s="268" t="n">
        <f aca="false">VLOOKUP($C676,01_SINTETICO!$B:$M,7,0)*$G676*(1+BDI_MDO)</f>
        <v>4.08874889232454</v>
      </c>
      <c r="J676" s="269" t="n">
        <f aca="false">SUM(H676:I676)</f>
        <v>36.6147882943245</v>
      </c>
      <c r="K676" s="270" t="n">
        <f aca="false">J676/SUM($J$7:$J$749)</f>
        <v>4.05595595412981E-006</v>
      </c>
      <c r="L676" s="271" t="n">
        <f aca="false">K676+L675</f>
        <v>0.999811168054108</v>
      </c>
    </row>
    <row r="677" customFormat="false" ht="25.5" hidden="false" customHeight="false" outlineLevel="0" collapsed="false">
      <c r="A677" s="264" t="n">
        <f aca="false">K677</f>
        <v>4.02977974980092E-006</v>
      </c>
      <c r="B677" s="265" t="str">
        <f aca="false">VLOOKUP($C677,01_SINTETICO!$B:$N,13,0)</f>
        <v>11.6.2.19</v>
      </c>
      <c r="C677" s="272" t="n">
        <v>89611</v>
      </c>
      <c r="D677" s="266" t="str">
        <f aca="false">VLOOKUP($C677,01_SINTETICO!$B:$M,2,0)</f>
        <v>LUVA, PVC, SOLDÁVEL, DN 75MM, INSTALADO EM PRUMADA DE ÁGUA - FORNECIMENTO E INSTALAÇÃO. AF_06/2022</v>
      </c>
      <c r="E677" s="272" t="str">
        <f aca="false">VLOOKUP($B677,01_SINTETICO!$A:$M,4,0)</f>
        <v>SER.CG</v>
      </c>
      <c r="F677" s="273" t="str">
        <f aca="false">VLOOKUP($B677,01_SINTETICO!$A:$M,5,0)</f>
        <v>UN</v>
      </c>
      <c r="G677" s="267" t="n">
        <f aca="true">SUMIFS(INDIRECT("'01_SINTETICO'!F7:F995"),INDIRECT("'01_SINTETICO'!B7:B995"),$C677)</f>
        <v>1</v>
      </c>
      <c r="H677" s="268" t="n">
        <f aca="false">VLOOKUP($C677,01_SINTETICO!$B:$M,6,0)*$G677*(1+BDI_MAT)</f>
        <v>31.0600697576</v>
      </c>
      <c r="I677" s="268" t="n">
        <f aca="false">VLOOKUP($C677,01_SINTETICO!$B:$M,7,0)*$G677*(1+BDI_MDO)</f>
        <v>5.3184151373063</v>
      </c>
      <c r="J677" s="269" t="n">
        <f aca="false">SUM(H677:I677)</f>
        <v>36.3784848949063</v>
      </c>
      <c r="K677" s="270" t="n">
        <f aca="false">J677/SUM($J$7:$J$749)</f>
        <v>4.02977974980092E-006</v>
      </c>
      <c r="L677" s="271" t="n">
        <f aca="false">K677+L676</f>
        <v>0.999815197833858</v>
      </c>
    </row>
    <row r="678" customFormat="false" ht="25.5" hidden="false" customHeight="false" outlineLevel="0" collapsed="false">
      <c r="A678" s="264" t="n">
        <f aca="false">K678</f>
        <v>4.02977974980092E-006</v>
      </c>
      <c r="B678" s="265" t="str">
        <f aca="false">VLOOKUP($C678,01_SINTETICO!$B:$N,13,0)</f>
        <v>11.6.2.19</v>
      </c>
      <c r="C678" s="272" t="n">
        <v>89611</v>
      </c>
      <c r="D678" s="266" t="str">
        <f aca="false">VLOOKUP($C678,01_SINTETICO!$B:$M,2,0)</f>
        <v>LUVA, PVC, SOLDÁVEL, DN 75MM, INSTALADO EM PRUMADA DE ÁGUA - FORNECIMENTO E INSTALAÇÃO. AF_06/2022</v>
      </c>
      <c r="E678" s="272" t="str">
        <f aca="false">VLOOKUP($B678,01_SINTETICO!$A:$M,4,0)</f>
        <v>SER.CG</v>
      </c>
      <c r="F678" s="273" t="str">
        <f aca="false">VLOOKUP($B678,01_SINTETICO!$A:$M,5,0)</f>
        <v>UN</v>
      </c>
      <c r="G678" s="267" t="n">
        <f aca="true">SUMIFS(INDIRECT("'01_SINTETICO'!F7:F995"),INDIRECT("'01_SINTETICO'!B7:B995"),$C678)</f>
        <v>1</v>
      </c>
      <c r="H678" s="268" t="n">
        <f aca="false">VLOOKUP($C678,01_SINTETICO!$B:$M,6,0)*$G678*(1+BDI_MAT)</f>
        <v>31.0600697576</v>
      </c>
      <c r="I678" s="268" t="n">
        <f aca="false">VLOOKUP($C678,01_SINTETICO!$B:$M,7,0)*$G678*(1+BDI_MDO)</f>
        <v>5.3184151373063</v>
      </c>
      <c r="J678" s="269" t="n">
        <f aca="false">SUM(H678:I678)</f>
        <v>36.3784848949063</v>
      </c>
      <c r="K678" s="270" t="n">
        <f aca="false">J678/SUM($J$7:$J$749)</f>
        <v>4.02977974980092E-006</v>
      </c>
      <c r="L678" s="271" t="n">
        <f aca="false">K678+L677</f>
        <v>0.999819227613608</v>
      </c>
    </row>
    <row r="679" customFormat="false" ht="25.5" hidden="false" customHeight="false" outlineLevel="0" collapsed="false">
      <c r="A679" s="264" t="n">
        <f aca="false">K679</f>
        <v>4.02977974980092E-006</v>
      </c>
      <c r="B679" s="265" t="str">
        <f aca="false">VLOOKUP($C679,01_SINTETICO!$B:$N,13,0)</f>
        <v>11.6.2.19</v>
      </c>
      <c r="C679" s="266" t="n">
        <v>89611</v>
      </c>
      <c r="D679" s="266" t="str">
        <f aca="false">VLOOKUP($C679,01_SINTETICO!$B:$M,2,0)</f>
        <v>LUVA, PVC, SOLDÁVEL, DN 75MM, INSTALADO EM PRUMADA DE ÁGUA - FORNECIMENTO E INSTALAÇÃO. AF_06/2022</v>
      </c>
      <c r="E679" s="266" t="str">
        <f aca="false">VLOOKUP($B679,01_SINTETICO!$A:$M,4,0)</f>
        <v>SER.CG</v>
      </c>
      <c r="F679" s="267" t="str">
        <f aca="false">VLOOKUP($B679,01_SINTETICO!$A:$M,5,0)</f>
        <v>UN</v>
      </c>
      <c r="G679" s="267" t="n">
        <f aca="true">SUMIFS(INDIRECT("'01_SINTETICO'!F7:F995"),INDIRECT("'01_SINTETICO'!B7:B995"),$C679)</f>
        <v>1</v>
      </c>
      <c r="H679" s="268" t="n">
        <f aca="false">VLOOKUP($C679,01_SINTETICO!$B:$M,6,0)*$G679*(1+BDI_MAT)</f>
        <v>31.0600697576</v>
      </c>
      <c r="I679" s="268" t="n">
        <f aca="false">VLOOKUP($C679,01_SINTETICO!$B:$M,7,0)*$G679*(1+BDI_MDO)</f>
        <v>5.3184151373063</v>
      </c>
      <c r="J679" s="269" t="n">
        <f aca="false">SUM(H679:I679)</f>
        <v>36.3784848949063</v>
      </c>
      <c r="K679" s="270" t="n">
        <f aca="false">J679/SUM($J$7:$J$749)</f>
        <v>4.02977974980092E-006</v>
      </c>
      <c r="L679" s="271" t="n">
        <f aca="false">K679+L678</f>
        <v>0.999823257393357</v>
      </c>
    </row>
    <row r="680" customFormat="false" ht="25.5" hidden="false" customHeight="false" outlineLevel="0" collapsed="false">
      <c r="A680" s="264" t="n">
        <f aca="false">K680</f>
        <v>4.02977974980092E-006</v>
      </c>
      <c r="B680" s="265" t="str">
        <f aca="false">VLOOKUP($C680,01_SINTETICO!$B:$N,13,0)</f>
        <v>11.6.2.19</v>
      </c>
      <c r="C680" s="266" t="n">
        <v>89611</v>
      </c>
      <c r="D680" s="266" t="str">
        <f aca="false">VLOOKUP($C680,01_SINTETICO!$B:$M,2,0)</f>
        <v>LUVA, PVC, SOLDÁVEL, DN 75MM, INSTALADO EM PRUMADA DE ÁGUA - FORNECIMENTO E INSTALAÇÃO. AF_06/2022</v>
      </c>
      <c r="E680" s="266" t="str">
        <f aca="false">VLOOKUP($B680,01_SINTETICO!$A:$M,4,0)</f>
        <v>SER.CG</v>
      </c>
      <c r="F680" s="267" t="str">
        <f aca="false">VLOOKUP($B680,01_SINTETICO!$A:$M,5,0)</f>
        <v>UN</v>
      </c>
      <c r="G680" s="267" t="n">
        <f aca="true">SUMIFS(INDIRECT("'01_SINTETICO'!F7:F995"),INDIRECT("'01_SINTETICO'!B7:B995"),$C680)</f>
        <v>1</v>
      </c>
      <c r="H680" s="268" t="n">
        <f aca="false">VLOOKUP($C680,01_SINTETICO!$B:$M,6,0)*$G680*(1+BDI_MAT)</f>
        <v>31.0600697576</v>
      </c>
      <c r="I680" s="268" t="n">
        <f aca="false">VLOOKUP($C680,01_SINTETICO!$B:$M,7,0)*$G680*(1+BDI_MDO)</f>
        <v>5.3184151373063</v>
      </c>
      <c r="J680" s="269" t="n">
        <f aca="false">SUM(H680:I680)</f>
        <v>36.3784848949063</v>
      </c>
      <c r="K680" s="270" t="n">
        <f aca="false">J680/SUM($J$7:$J$749)</f>
        <v>4.02977974980092E-006</v>
      </c>
      <c r="L680" s="271" t="n">
        <f aca="false">K680+L679</f>
        <v>0.999827287173107</v>
      </c>
    </row>
    <row r="681" customFormat="false" ht="38.25" hidden="false" customHeight="false" outlineLevel="0" collapsed="false">
      <c r="A681" s="264" t="n">
        <f aca="false">K681</f>
        <v>4.02893326129137E-006</v>
      </c>
      <c r="B681" s="265" t="str">
        <f aca="false">VLOOKUP($C681,01_SINTETICO!$B:$N,13,0)</f>
        <v>15.8.5</v>
      </c>
      <c r="C681" s="266" t="n">
        <v>92692</v>
      </c>
      <c r="D681" s="266" t="str">
        <f aca="false">VLOOKUP($C681,01_SINTETICO!$B:$M,2,0)</f>
        <v>NIPLE, EM FERRO GALVANIZADO, CONEXÃO ROSQUEADA, DN 15 (1/2"), INSTALADO EM RAMAIS E SUB-RAMAIS DE GÁS - FORNECIMENTO E INSTALAÇÃO. AF_10/2020</v>
      </c>
      <c r="E681" s="266" t="str">
        <f aca="false">VLOOKUP($B681,01_SINTETICO!$A:$M,4,0)</f>
        <v>SER.CG</v>
      </c>
      <c r="F681" s="267" t="str">
        <f aca="false">VLOOKUP($B681,01_SINTETICO!$A:$M,5,0)</f>
        <v>UN</v>
      </c>
      <c r="G681" s="267" t="n">
        <f aca="true">SUMIFS(INDIRECT("'01_SINTETICO'!F7:F995"),INDIRECT("'01_SINTETICO'!B7:B995"),$C681)</f>
        <v>2</v>
      </c>
      <c r="H681" s="268" t="n">
        <f aca="false">VLOOKUP($C681,01_SINTETICO!$B:$M,6,0)*$G681*(1+BDI_MAT)</f>
        <v>21.336761288</v>
      </c>
      <c r="I681" s="268" t="n">
        <f aca="false">VLOOKUP($C681,01_SINTETICO!$B:$M,7,0)*$G681*(1+BDI_MDO)</f>
        <v>15.0340820057842</v>
      </c>
      <c r="J681" s="269" t="n">
        <f aca="false">SUM(H681:I681)</f>
        <v>36.3708432937842</v>
      </c>
      <c r="K681" s="270" t="n">
        <f aca="false">J681/SUM($J$7:$J$749)</f>
        <v>4.02893326129137E-006</v>
      </c>
      <c r="L681" s="271" t="n">
        <f aca="false">K681+L680</f>
        <v>0.999831316106369</v>
      </c>
    </row>
    <row r="682" customFormat="false" ht="38.25" hidden="false" customHeight="false" outlineLevel="0" collapsed="false">
      <c r="A682" s="264" t="n">
        <f aca="false">K682</f>
        <v>4.02893326129137E-006</v>
      </c>
      <c r="B682" s="265" t="str">
        <f aca="false">VLOOKUP($C682,01_SINTETICO!$B:$N,13,0)</f>
        <v>15.8.5</v>
      </c>
      <c r="C682" s="272" t="n">
        <v>92692</v>
      </c>
      <c r="D682" s="266" t="str">
        <f aca="false">VLOOKUP($C682,01_SINTETICO!$B:$M,2,0)</f>
        <v>NIPLE, EM FERRO GALVANIZADO, CONEXÃO ROSQUEADA, DN 15 (1/2"), INSTALADO EM RAMAIS E SUB-RAMAIS DE GÁS - FORNECIMENTO E INSTALAÇÃO. AF_10/2020</v>
      </c>
      <c r="E682" s="272" t="str">
        <f aca="false">VLOOKUP($B682,01_SINTETICO!$A:$M,4,0)</f>
        <v>SER.CG</v>
      </c>
      <c r="F682" s="273" t="str">
        <f aca="false">VLOOKUP($B682,01_SINTETICO!$A:$M,5,0)</f>
        <v>UN</v>
      </c>
      <c r="G682" s="267" t="n">
        <f aca="true">SUMIFS(INDIRECT("'01_SINTETICO'!F7:F995"),INDIRECT("'01_SINTETICO'!B7:B995"),$C682)</f>
        <v>2</v>
      </c>
      <c r="H682" s="268" t="n">
        <f aca="false">VLOOKUP($C682,01_SINTETICO!$B:$M,6,0)*$G682*(1+BDI_MAT)</f>
        <v>21.336761288</v>
      </c>
      <c r="I682" s="268" t="n">
        <f aca="false">VLOOKUP($C682,01_SINTETICO!$B:$M,7,0)*$G682*(1+BDI_MDO)</f>
        <v>15.0340820057842</v>
      </c>
      <c r="J682" s="269" t="n">
        <f aca="false">SUM(H682:I682)</f>
        <v>36.3708432937842</v>
      </c>
      <c r="K682" s="270" t="n">
        <f aca="false">J682/SUM($J$7:$J$749)</f>
        <v>4.02893326129137E-006</v>
      </c>
      <c r="L682" s="271" t="n">
        <f aca="false">K682+L681</f>
        <v>0.99983534503963</v>
      </c>
    </row>
    <row r="683" customFormat="false" ht="38.25" hidden="false" customHeight="false" outlineLevel="0" collapsed="false">
      <c r="A683" s="264" t="n">
        <f aca="false">K683</f>
        <v>4.02893326129137E-006</v>
      </c>
      <c r="B683" s="265" t="str">
        <f aca="false">VLOOKUP($C683,01_SINTETICO!$B:$N,13,0)</f>
        <v>15.8.5</v>
      </c>
      <c r="C683" s="266" t="n">
        <v>92692</v>
      </c>
      <c r="D683" s="266" t="str">
        <f aca="false">VLOOKUP($C683,01_SINTETICO!$B:$M,2,0)</f>
        <v>NIPLE, EM FERRO GALVANIZADO, CONEXÃO ROSQUEADA, DN 15 (1/2"), INSTALADO EM RAMAIS E SUB-RAMAIS DE GÁS - FORNECIMENTO E INSTALAÇÃO. AF_10/2020</v>
      </c>
      <c r="E683" s="266" t="str">
        <f aca="false">VLOOKUP($B683,01_SINTETICO!$A:$M,4,0)</f>
        <v>SER.CG</v>
      </c>
      <c r="F683" s="267" t="str">
        <f aca="false">VLOOKUP($B683,01_SINTETICO!$A:$M,5,0)</f>
        <v>UN</v>
      </c>
      <c r="G683" s="267" t="n">
        <f aca="true">SUMIFS(INDIRECT("'01_SINTETICO'!F7:F995"),INDIRECT("'01_SINTETICO'!B7:B995"),$C683)</f>
        <v>2</v>
      </c>
      <c r="H683" s="268" t="n">
        <f aca="false">VLOOKUP($C683,01_SINTETICO!$B:$M,6,0)*$G683*(1+BDI_MAT)</f>
        <v>21.336761288</v>
      </c>
      <c r="I683" s="268" t="n">
        <f aca="false">VLOOKUP($C683,01_SINTETICO!$B:$M,7,0)*$G683*(1+BDI_MDO)</f>
        <v>15.0340820057842</v>
      </c>
      <c r="J683" s="269" t="n">
        <f aca="false">SUM(H683:I683)</f>
        <v>36.3708432937842</v>
      </c>
      <c r="K683" s="270" t="n">
        <f aca="false">J683/SUM($J$7:$J$749)</f>
        <v>4.02893326129137E-006</v>
      </c>
      <c r="L683" s="271" t="n">
        <f aca="false">K683+L682</f>
        <v>0.999839373972891</v>
      </c>
    </row>
    <row r="684" customFormat="false" ht="38.25" hidden="false" customHeight="false" outlineLevel="0" collapsed="false">
      <c r="A684" s="264" t="n">
        <f aca="false">K684</f>
        <v>4.02893326129137E-006</v>
      </c>
      <c r="B684" s="265" t="str">
        <f aca="false">VLOOKUP($C684,01_SINTETICO!$B:$N,13,0)</f>
        <v>15.8.5</v>
      </c>
      <c r="C684" s="274" t="n">
        <v>92692</v>
      </c>
      <c r="D684" s="266" t="str">
        <f aca="false">VLOOKUP($C684,01_SINTETICO!$B:$M,2,0)</f>
        <v>NIPLE, EM FERRO GALVANIZADO, CONEXÃO ROSQUEADA, DN 15 (1/2"), INSTALADO EM RAMAIS E SUB-RAMAIS DE GÁS - FORNECIMENTO E INSTALAÇÃO. AF_10/2020</v>
      </c>
      <c r="E684" s="266" t="str">
        <f aca="false">VLOOKUP($B684,01_SINTETICO!$A:$M,4,0)</f>
        <v>SER.CG</v>
      </c>
      <c r="F684" s="267" t="str">
        <f aca="false">VLOOKUP($B684,01_SINTETICO!$A:$M,5,0)</f>
        <v>UN</v>
      </c>
      <c r="G684" s="267" t="n">
        <f aca="true">SUMIFS(INDIRECT("'01_SINTETICO'!F7:F995"),INDIRECT("'01_SINTETICO'!B7:B995"),$C684)</f>
        <v>2</v>
      </c>
      <c r="H684" s="268" t="n">
        <f aca="false">VLOOKUP($C684,01_SINTETICO!$B:$M,6,0)*$G684*(1+BDI_MAT)</f>
        <v>21.336761288</v>
      </c>
      <c r="I684" s="268" t="n">
        <f aca="false">VLOOKUP($C684,01_SINTETICO!$B:$M,7,0)*$G684*(1+BDI_MDO)</f>
        <v>15.0340820057842</v>
      </c>
      <c r="J684" s="269" t="n">
        <f aca="false">SUM(H684:I684)</f>
        <v>36.3708432937842</v>
      </c>
      <c r="K684" s="270" t="n">
        <f aca="false">J684/SUM($J$7:$J$749)</f>
        <v>4.02893326129137E-006</v>
      </c>
      <c r="L684" s="271" t="n">
        <f aca="false">K684+L683</f>
        <v>0.999843402906153</v>
      </c>
    </row>
    <row r="685" customFormat="false" ht="38.25" hidden="false" customHeight="false" outlineLevel="0" collapsed="false">
      <c r="A685" s="264" t="n">
        <f aca="false">K685</f>
        <v>3.72250101899417E-006</v>
      </c>
      <c r="B685" s="265" t="str">
        <f aca="false">VLOOKUP($C685,01_SINTETICO!$B:$N,13,0)</f>
        <v>11.3.1.2</v>
      </c>
      <c r="C685" s="266" t="n">
        <v>89746</v>
      </c>
      <c r="D685" s="266" t="str">
        <f aca="false">VLOOKUP($C685,01_SINTETICO!$B:$M,2,0)</f>
        <v>JOELHO 45 GRAUS, PVC, SERIE NORMAL, ESGOTO PREDIAL, DN 100 MM, JUNTA ELÁSTICA, FORNECIDO E INSTALADO EM RAMAL DE DESCARGA OU RAMAL DE ESGOTO SANITÁRIO. AF_08/2022</v>
      </c>
      <c r="E685" s="266" t="str">
        <f aca="false">VLOOKUP($B685,01_SINTETICO!$A:$M,4,0)</f>
        <v>SER.CG</v>
      </c>
      <c r="F685" s="267" t="str">
        <f aca="false">VLOOKUP($B685,01_SINTETICO!$A:$M,5,0)</f>
        <v>UN</v>
      </c>
      <c r="G685" s="267" t="n">
        <f aca="true">SUMIFS(INDIRECT("'01_SINTETICO'!F7:F995"),INDIRECT("'01_SINTETICO'!B7:B995"),$C685)</f>
        <v>1</v>
      </c>
      <c r="H685" s="268" t="n">
        <f aca="false">VLOOKUP($C685,01_SINTETICO!$B:$M,6,0)*$G685*(1+BDI_MAT)</f>
        <v>25.2358703352</v>
      </c>
      <c r="I685" s="268" t="n">
        <f aca="false">VLOOKUP($C685,01_SINTETICO!$B:$M,7,0)*$G685*(1+BDI_MDO)</f>
        <v>8.3686826425261</v>
      </c>
      <c r="J685" s="269" t="n">
        <f aca="false">SUM(H685:I685)</f>
        <v>33.6045529777261</v>
      </c>
      <c r="K685" s="270" t="n">
        <f aca="false">J685/SUM($J$7:$J$749)</f>
        <v>3.72250101899417E-006</v>
      </c>
      <c r="L685" s="271" t="n">
        <f aca="false">K685+L684</f>
        <v>0.999847125407172</v>
      </c>
    </row>
    <row r="686" customFormat="false" ht="38.25" hidden="false" customHeight="false" outlineLevel="0" collapsed="false">
      <c r="A686" s="264" t="n">
        <f aca="false">K686</f>
        <v>3.72250101899417E-006</v>
      </c>
      <c r="B686" s="265" t="str">
        <f aca="false">VLOOKUP($C686,01_SINTETICO!$B:$N,13,0)</f>
        <v>11.3.1.2</v>
      </c>
      <c r="C686" s="272" t="n">
        <v>89746</v>
      </c>
      <c r="D686" s="266" t="str">
        <f aca="false">VLOOKUP($C686,01_SINTETICO!$B:$M,2,0)</f>
        <v>JOELHO 45 GRAUS, PVC, SERIE NORMAL, ESGOTO PREDIAL, DN 100 MM, JUNTA ELÁSTICA, FORNECIDO E INSTALADO EM RAMAL DE DESCARGA OU RAMAL DE ESGOTO SANITÁRIO. AF_08/2022</v>
      </c>
      <c r="E686" s="272" t="str">
        <f aca="false">VLOOKUP($B686,01_SINTETICO!$A:$M,4,0)</f>
        <v>SER.CG</v>
      </c>
      <c r="F686" s="273" t="str">
        <f aca="false">VLOOKUP($B686,01_SINTETICO!$A:$M,5,0)</f>
        <v>UN</v>
      </c>
      <c r="G686" s="267" t="n">
        <f aca="true">SUMIFS(INDIRECT("'01_SINTETICO'!F7:F995"),INDIRECT("'01_SINTETICO'!B7:B995"),$C686)</f>
        <v>1</v>
      </c>
      <c r="H686" s="268" t="n">
        <f aca="false">VLOOKUP($C686,01_SINTETICO!$B:$M,6,0)*$G686*(1+BDI_MAT)</f>
        <v>25.2358703352</v>
      </c>
      <c r="I686" s="268" t="n">
        <f aca="false">VLOOKUP($C686,01_SINTETICO!$B:$M,7,0)*$G686*(1+BDI_MDO)</f>
        <v>8.3686826425261</v>
      </c>
      <c r="J686" s="269" t="n">
        <f aca="false">SUM(H686:I686)</f>
        <v>33.6045529777261</v>
      </c>
      <c r="K686" s="270" t="n">
        <f aca="false">J686/SUM($J$7:$J$749)</f>
        <v>3.72250101899417E-006</v>
      </c>
      <c r="L686" s="271" t="n">
        <f aca="false">K686+L685</f>
        <v>0.999850847908191</v>
      </c>
    </row>
    <row r="687" customFormat="false" ht="38.25" hidden="false" customHeight="false" outlineLevel="0" collapsed="false">
      <c r="A687" s="264" t="n">
        <f aca="false">K687</f>
        <v>3.72250101899417E-006</v>
      </c>
      <c r="B687" s="265" t="str">
        <f aca="false">VLOOKUP($C687,01_SINTETICO!$B:$N,13,0)</f>
        <v>11.3.1.2</v>
      </c>
      <c r="C687" s="272" t="n">
        <v>89746</v>
      </c>
      <c r="D687" s="266" t="str">
        <f aca="false">VLOOKUP($C687,01_SINTETICO!$B:$M,2,0)</f>
        <v>JOELHO 45 GRAUS, PVC, SERIE NORMAL, ESGOTO PREDIAL, DN 100 MM, JUNTA ELÁSTICA, FORNECIDO E INSTALADO EM RAMAL DE DESCARGA OU RAMAL DE ESGOTO SANITÁRIO. AF_08/2022</v>
      </c>
      <c r="E687" s="272" t="str">
        <f aca="false">VLOOKUP($B687,01_SINTETICO!$A:$M,4,0)</f>
        <v>SER.CG</v>
      </c>
      <c r="F687" s="273" t="str">
        <f aca="false">VLOOKUP($B687,01_SINTETICO!$A:$M,5,0)</f>
        <v>UN</v>
      </c>
      <c r="G687" s="267" t="n">
        <f aca="true">SUMIFS(INDIRECT("'01_SINTETICO'!F7:F995"),INDIRECT("'01_SINTETICO'!B7:B995"),$C687)</f>
        <v>1</v>
      </c>
      <c r="H687" s="268" t="n">
        <f aca="false">VLOOKUP($C687,01_SINTETICO!$B:$M,6,0)*$G687*(1+BDI_MAT)</f>
        <v>25.2358703352</v>
      </c>
      <c r="I687" s="268" t="n">
        <f aca="false">VLOOKUP($C687,01_SINTETICO!$B:$M,7,0)*$G687*(1+BDI_MDO)</f>
        <v>8.3686826425261</v>
      </c>
      <c r="J687" s="269" t="n">
        <f aca="false">SUM(H687:I687)</f>
        <v>33.6045529777261</v>
      </c>
      <c r="K687" s="270" t="n">
        <f aca="false">J687/SUM($J$7:$J$749)</f>
        <v>3.72250101899417E-006</v>
      </c>
      <c r="L687" s="271" t="n">
        <f aca="false">K687+L686</f>
        <v>0.99985457040921</v>
      </c>
    </row>
    <row r="688" customFormat="false" ht="38.25" hidden="false" customHeight="false" outlineLevel="0" collapsed="false">
      <c r="A688" s="264" t="n">
        <f aca="false">K688</f>
        <v>3.72250101899417E-006</v>
      </c>
      <c r="B688" s="265" t="str">
        <f aca="false">VLOOKUP($C688,01_SINTETICO!$B:$N,13,0)</f>
        <v>11.3.1.2</v>
      </c>
      <c r="C688" s="266" t="n">
        <v>89746</v>
      </c>
      <c r="D688" s="266" t="str">
        <f aca="false">VLOOKUP($C688,01_SINTETICO!$B:$M,2,0)</f>
        <v>JOELHO 45 GRAUS, PVC, SERIE NORMAL, ESGOTO PREDIAL, DN 100 MM, JUNTA ELÁSTICA, FORNECIDO E INSTALADO EM RAMAL DE DESCARGA OU RAMAL DE ESGOTO SANITÁRIO. AF_08/2022</v>
      </c>
      <c r="E688" s="266" t="str">
        <f aca="false">VLOOKUP($B688,01_SINTETICO!$A:$M,4,0)</f>
        <v>SER.CG</v>
      </c>
      <c r="F688" s="267" t="str">
        <f aca="false">VLOOKUP($B688,01_SINTETICO!$A:$M,5,0)</f>
        <v>UN</v>
      </c>
      <c r="G688" s="267" t="n">
        <f aca="true">SUMIFS(INDIRECT("'01_SINTETICO'!F7:F995"),INDIRECT("'01_SINTETICO'!B7:B995"),$C688)</f>
        <v>1</v>
      </c>
      <c r="H688" s="268" t="n">
        <f aca="false">VLOOKUP($C688,01_SINTETICO!$B:$M,6,0)*$G688*(1+BDI_MAT)</f>
        <v>25.2358703352</v>
      </c>
      <c r="I688" s="268" t="n">
        <f aca="false">VLOOKUP($C688,01_SINTETICO!$B:$M,7,0)*$G688*(1+BDI_MDO)</f>
        <v>8.3686826425261</v>
      </c>
      <c r="J688" s="269" t="n">
        <f aca="false">SUM(H688:I688)</f>
        <v>33.6045529777261</v>
      </c>
      <c r="K688" s="270" t="n">
        <f aca="false">J688/SUM($J$7:$J$749)</f>
        <v>3.72250101899417E-006</v>
      </c>
      <c r="L688" s="271" t="n">
        <f aca="false">K688+L687</f>
        <v>0.999858292910229</v>
      </c>
    </row>
    <row r="689" customFormat="false" ht="38.25" hidden="false" customHeight="false" outlineLevel="0" collapsed="false">
      <c r="A689" s="264" t="n">
        <f aca="false">K689</f>
        <v>3.58814286874717E-006</v>
      </c>
      <c r="B689" s="265" t="str">
        <f aca="false">VLOOKUP($C689,01_SINTETICO!$B:$N,13,0)</f>
        <v>11.3.1.4</v>
      </c>
      <c r="C689" s="266" t="n">
        <v>89744</v>
      </c>
      <c r="D689" s="266" t="str">
        <f aca="false">VLOOKUP($C689,01_SINTETICO!$B:$M,2,0)</f>
        <v>JOELHO 90 GRAUS, PVC, SERIE NORMAL, ESGOTO PREDIAL, DN 100 MM, JUNTA ELÁSTICA, FORNECIDO E INSTALADO EM RAMAL DE DESCARGA OU RAMAL DE ESGOTO SANITÁRIO. AF_08/2022</v>
      </c>
      <c r="E689" s="266" t="str">
        <f aca="false">VLOOKUP($B689,01_SINTETICO!$A:$M,4,0)</f>
        <v>SER.CG</v>
      </c>
      <c r="F689" s="267" t="str">
        <f aca="false">VLOOKUP($B689,01_SINTETICO!$A:$M,5,0)</f>
        <v>UN</v>
      </c>
      <c r="G689" s="267" t="n">
        <f aca="true">SUMIFS(INDIRECT("'01_SINTETICO'!F7:F995"),INDIRECT("'01_SINTETICO'!B7:B995"),$C689)</f>
        <v>1</v>
      </c>
      <c r="H689" s="268" t="n">
        <f aca="false">VLOOKUP($C689,01_SINTETICO!$B:$M,6,0)*$G689*(1+BDI_MAT)</f>
        <v>24.0229638632</v>
      </c>
      <c r="I689" s="268" t="n">
        <f aca="false">VLOOKUP($C689,01_SINTETICO!$B:$M,7,0)*$G689*(1+BDI_MDO)</f>
        <v>8.3686826425261</v>
      </c>
      <c r="J689" s="269" t="n">
        <f aca="false">SUM(H689:I689)</f>
        <v>32.3916465057261</v>
      </c>
      <c r="K689" s="270" t="n">
        <f aca="false">J689/SUM($J$7:$J$749)</f>
        <v>3.58814286874717E-006</v>
      </c>
      <c r="L689" s="271" t="n">
        <f aca="false">K689+L688</f>
        <v>0.999861881053097</v>
      </c>
    </row>
    <row r="690" customFormat="false" ht="38.25" hidden="false" customHeight="false" outlineLevel="0" collapsed="false">
      <c r="A690" s="264" t="n">
        <f aca="false">K690</f>
        <v>3.58814286874717E-006</v>
      </c>
      <c r="B690" s="265" t="str">
        <f aca="false">VLOOKUP($C690,01_SINTETICO!$B:$N,13,0)</f>
        <v>11.3.1.4</v>
      </c>
      <c r="C690" s="272" t="n">
        <v>89744</v>
      </c>
      <c r="D690" s="266" t="str">
        <f aca="false">VLOOKUP($C690,01_SINTETICO!$B:$M,2,0)</f>
        <v>JOELHO 90 GRAUS, PVC, SERIE NORMAL, ESGOTO PREDIAL, DN 100 MM, JUNTA ELÁSTICA, FORNECIDO E INSTALADO EM RAMAL DE DESCARGA OU RAMAL DE ESGOTO SANITÁRIO. AF_08/2022</v>
      </c>
      <c r="E690" s="272" t="str">
        <f aca="false">VLOOKUP($B690,01_SINTETICO!$A:$M,4,0)</f>
        <v>SER.CG</v>
      </c>
      <c r="F690" s="273" t="str">
        <f aca="false">VLOOKUP($B690,01_SINTETICO!$A:$M,5,0)</f>
        <v>UN</v>
      </c>
      <c r="G690" s="267" t="n">
        <f aca="true">SUMIFS(INDIRECT("'01_SINTETICO'!F7:F995"),INDIRECT("'01_SINTETICO'!B7:B995"),$C690)</f>
        <v>1</v>
      </c>
      <c r="H690" s="268" t="n">
        <f aca="false">VLOOKUP($C690,01_SINTETICO!$B:$M,6,0)*$G690*(1+BDI_MAT)</f>
        <v>24.0229638632</v>
      </c>
      <c r="I690" s="268" t="n">
        <f aca="false">VLOOKUP($C690,01_SINTETICO!$B:$M,7,0)*$G690*(1+BDI_MDO)</f>
        <v>8.3686826425261</v>
      </c>
      <c r="J690" s="269" t="n">
        <f aca="false">SUM(H690:I690)</f>
        <v>32.3916465057261</v>
      </c>
      <c r="K690" s="270" t="n">
        <f aca="false">J690/SUM($J$7:$J$749)</f>
        <v>3.58814286874717E-006</v>
      </c>
      <c r="L690" s="271" t="n">
        <f aca="false">K690+L689</f>
        <v>0.999865469195966</v>
      </c>
    </row>
    <row r="691" customFormat="false" ht="38.25" hidden="false" customHeight="false" outlineLevel="0" collapsed="false">
      <c r="A691" s="264" t="n">
        <f aca="false">K691</f>
        <v>3.58814286874717E-006</v>
      </c>
      <c r="B691" s="265" t="str">
        <f aca="false">VLOOKUP($C691,01_SINTETICO!$B:$N,13,0)</f>
        <v>11.3.1.4</v>
      </c>
      <c r="C691" s="266" t="n">
        <v>89744</v>
      </c>
      <c r="D691" s="266" t="str">
        <f aca="false">VLOOKUP($C691,01_SINTETICO!$B:$M,2,0)</f>
        <v>JOELHO 90 GRAUS, PVC, SERIE NORMAL, ESGOTO PREDIAL, DN 100 MM, JUNTA ELÁSTICA, FORNECIDO E INSTALADO EM RAMAL DE DESCARGA OU RAMAL DE ESGOTO SANITÁRIO. AF_08/2022</v>
      </c>
      <c r="E691" s="266" t="str">
        <f aca="false">VLOOKUP($B691,01_SINTETICO!$A:$M,4,0)</f>
        <v>SER.CG</v>
      </c>
      <c r="F691" s="267" t="str">
        <f aca="false">VLOOKUP($B691,01_SINTETICO!$A:$M,5,0)</f>
        <v>UN</v>
      </c>
      <c r="G691" s="267" t="n">
        <f aca="true">SUMIFS(INDIRECT("'01_SINTETICO'!F7:F995"),INDIRECT("'01_SINTETICO'!B7:B995"),$C691)</f>
        <v>1</v>
      </c>
      <c r="H691" s="268" t="n">
        <f aca="false">VLOOKUP($C691,01_SINTETICO!$B:$M,6,0)*$G691*(1+BDI_MAT)</f>
        <v>24.0229638632</v>
      </c>
      <c r="I691" s="268" t="n">
        <f aca="false">VLOOKUP($C691,01_SINTETICO!$B:$M,7,0)*$G691*(1+BDI_MDO)</f>
        <v>8.3686826425261</v>
      </c>
      <c r="J691" s="269" t="n">
        <f aca="false">SUM(H691:I691)</f>
        <v>32.3916465057261</v>
      </c>
      <c r="K691" s="270" t="n">
        <f aca="false">J691/SUM($J$7:$J$749)</f>
        <v>3.58814286874717E-006</v>
      </c>
      <c r="L691" s="271" t="n">
        <f aca="false">K691+L690</f>
        <v>0.999869057338835</v>
      </c>
    </row>
    <row r="692" customFormat="false" ht="38.25" hidden="false" customHeight="false" outlineLevel="0" collapsed="false">
      <c r="A692" s="264" t="n">
        <f aca="false">K692</f>
        <v>3.58814286874717E-006</v>
      </c>
      <c r="B692" s="265" t="str">
        <f aca="false">VLOOKUP($C692,01_SINTETICO!$B:$N,13,0)</f>
        <v>11.3.1.4</v>
      </c>
      <c r="C692" s="272" t="n">
        <v>89744</v>
      </c>
      <c r="D692" s="266" t="str">
        <f aca="false">VLOOKUP($C692,01_SINTETICO!$B:$M,2,0)</f>
        <v>JOELHO 90 GRAUS, PVC, SERIE NORMAL, ESGOTO PREDIAL, DN 100 MM, JUNTA ELÁSTICA, FORNECIDO E INSTALADO EM RAMAL DE DESCARGA OU RAMAL DE ESGOTO SANITÁRIO. AF_08/2022</v>
      </c>
      <c r="E692" s="272" t="str">
        <f aca="false">VLOOKUP($B692,01_SINTETICO!$A:$M,4,0)</f>
        <v>SER.CG</v>
      </c>
      <c r="F692" s="273" t="str">
        <f aca="false">VLOOKUP($B692,01_SINTETICO!$A:$M,5,0)</f>
        <v>UN</v>
      </c>
      <c r="G692" s="267" t="n">
        <f aca="true">SUMIFS(INDIRECT("'01_SINTETICO'!F7:F995"),INDIRECT("'01_SINTETICO'!B7:B995"),$C692)</f>
        <v>1</v>
      </c>
      <c r="H692" s="268" t="n">
        <f aca="false">VLOOKUP($C692,01_SINTETICO!$B:$M,6,0)*$G692*(1+BDI_MAT)</f>
        <v>24.0229638632</v>
      </c>
      <c r="I692" s="268" t="n">
        <f aca="false">VLOOKUP($C692,01_SINTETICO!$B:$M,7,0)*$G692*(1+BDI_MDO)</f>
        <v>8.3686826425261</v>
      </c>
      <c r="J692" s="269" t="n">
        <f aca="false">SUM(H692:I692)</f>
        <v>32.3916465057261</v>
      </c>
      <c r="K692" s="270" t="n">
        <f aca="false">J692/SUM($J$7:$J$749)</f>
        <v>3.58814286874717E-006</v>
      </c>
      <c r="L692" s="271" t="n">
        <f aca="false">K692+L691</f>
        <v>0.999872645481704</v>
      </c>
    </row>
    <row r="693" customFormat="false" ht="38.25" hidden="false" customHeight="false" outlineLevel="0" collapsed="false">
      <c r="A693" s="264" t="n">
        <f aca="false">K693</f>
        <v>3.53205337130792E-006</v>
      </c>
      <c r="B693" s="265" t="str">
        <f aca="false">VLOOKUP($C693,01_SINTETICO!$B:$N,13,0)</f>
        <v>3.2.3.4.2.3</v>
      </c>
      <c r="C693" s="266" t="s">
        <v>314</v>
      </c>
      <c r="D693" s="266" t="str">
        <f aca="false">VLOOKUP($C693,01_SINTETICO!$B:$M,2,0)</f>
        <v>EXECUÇÃO DE FURO DE Ø12,5MM COM ROFUNDIDADE DE 10CM, E APLICAÇÃO DE ADESIVO ESTRUTURAL, PARA FIXAÇÃO DAS BARRAS DE AÇO Ø10,0MM.</v>
      </c>
      <c r="E693" s="266" t="str">
        <f aca="false">VLOOKUP($B693,01_SINTETICO!$A:$M,4,0)</f>
        <v>SER.CG</v>
      </c>
      <c r="F693" s="267" t="str">
        <f aca="false">VLOOKUP($B693,01_SINTETICO!$A:$M,5,0)</f>
        <v>UN</v>
      </c>
      <c r="G693" s="267" t="n">
        <f aca="true">SUMIFS(INDIRECT("'01_SINTETICO'!F7:F995"),INDIRECT("'01_SINTETICO'!B7:B995"),$C693)</f>
        <v>12</v>
      </c>
      <c r="H693" s="268" t="n">
        <f aca="false">VLOOKUP($C693,01_SINTETICO!$B:$M,6,0)*$G693*(1+BDI_MAT)</f>
        <v>10.4328860072519</v>
      </c>
      <c r="I693" s="268" t="n">
        <f aca="false">VLOOKUP($C693,01_SINTETICO!$B:$M,7,0)*$G693*(1+BDI_MDO)</f>
        <v>21.4524174569079</v>
      </c>
      <c r="J693" s="269" t="n">
        <f aca="false">SUM(H693:I693)</f>
        <v>31.8853034641597</v>
      </c>
      <c r="K693" s="270" t="n">
        <f aca="false">J693/SUM($J$7:$J$749)</f>
        <v>3.53205337130792E-006</v>
      </c>
      <c r="L693" s="271" t="n">
        <f aca="false">K693+L692</f>
        <v>0.999876177535075</v>
      </c>
    </row>
    <row r="694" customFormat="false" ht="38.25" hidden="false" customHeight="false" outlineLevel="0" collapsed="false">
      <c r="A694" s="264" t="n">
        <f aca="false">K694</f>
        <v>3.53205337130792E-006</v>
      </c>
      <c r="B694" s="265" t="str">
        <f aca="false">VLOOKUP($C694,01_SINTETICO!$B:$N,13,0)</f>
        <v>3.2.3.4.2.3</v>
      </c>
      <c r="C694" s="266" t="s">
        <v>314</v>
      </c>
      <c r="D694" s="266" t="str">
        <f aca="false">VLOOKUP($C694,01_SINTETICO!$B:$M,2,0)</f>
        <v>EXECUÇÃO DE FURO DE Ø12,5MM COM ROFUNDIDADE DE 10CM, E APLICAÇÃO DE ADESIVO ESTRUTURAL, PARA FIXAÇÃO DAS BARRAS DE AÇO Ø10,0MM.</v>
      </c>
      <c r="E694" s="266" t="str">
        <f aca="false">VLOOKUP($B694,01_SINTETICO!$A:$M,4,0)</f>
        <v>SER.CG</v>
      </c>
      <c r="F694" s="267" t="str">
        <f aca="false">VLOOKUP($B694,01_SINTETICO!$A:$M,5,0)</f>
        <v>UN</v>
      </c>
      <c r="G694" s="267" t="n">
        <f aca="true">SUMIFS(INDIRECT("'01_SINTETICO'!F7:F995"),INDIRECT("'01_SINTETICO'!B7:B995"),$C694)</f>
        <v>12</v>
      </c>
      <c r="H694" s="268" t="n">
        <f aca="false">VLOOKUP($C694,01_SINTETICO!$B:$M,6,0)*$G694*(1+BDI_MAT)</f>
        <v>10.4328860072519</v>
      </c>
      <c r="I694" s="268" t="n">
        <f aca="false">VLOOKUP($C694,01_SINTETICO!$B:$M,7,0)*$G694*(1+BDI_MDO)</f>
        <v>21.4524174569079</v>
      </c>
      <c r="J694" s="269" t="n">
        <f aca="false">SUM(H694:I694)</f>
        <v>31.8853034641597</v>
      </c>
      <c r="K694" s="270" t="n">
        <f aca="false">J694/SUM($J$7:$J$749)</f>
        <v>3.53205337130792E-006</v>
      </c>
      <c r="L694" s="271" t="n">
        <f aca="false">K694+L693</f>
        <v>0.999879709588446</v>
      </c>
    </row>
    <row r="695" customFormat="false" ht="38.25" hidden="false" customHeight="false" outlineLevel="0" collapsed="false">
      <c r="A695" s="264" t="n">
        <f aca="false">K695</f>
        <v>3.53205337130792E-006</v>
      </c>
      <c r="B695" s="265" t="str">
        <f aca="false">VLOOKUP($C695,01_SINTETICO!$B:$N,13,0)</f>
        <v>3.2.3.4.2.3</v>
      </c>
      <c r="C695" s="266" t="s">
        <v>314</v>
      </c>
      <c r="D695" s="266" t="str">
        <f aca="false">VLOOKUP($C695,01_SINTETICO!$B:$M,2,0)</f>
        <v>EXECUÇÃO DE FURO DE Ø12,5MM COM ROFUNDIDADE DE 10CM, E APLICAÇÃO DE ADESIVO ESTRUTURAL, PARA FIXAÇÃO DAS BARRAS DE AÇO Ø10,0MM.</v>
      </c>
      <c r="E695" s="266" t="str">
        <f aca="false">VLOOKUP($B695,01_SINTETICO!$A:$M,4,0)</f>
        <v>SER.CG</v>
      </c>
      <c r="F695" s="267" t="str">
        <f aca="false">VLOOKUP($B695,01_SINTETICO!$A:$M,5,0)</f>
        <v>UN</v>
      </c>
      <c r="G695" s="267" t="n">
        <f aca="true">SUMIFS(INDIRECT("'01_SINTETICO'!F7:F995"),INDIRECT("'01_SINTETICO'!B7:B995"),$C695)</f>
        <v>12</v>
      </c>
      <c r="H695" s="268" t="n">
        <f aca="false">VLOOKUP($C695,01_SINTETICO!$B:$M,6,0)*$G695*(1+BDI_MAT)</f>
        <v>10.4328860072519</v>
      </c>
      <c r="I695" s="268" t="n">
        <f aca="false">VLOOKUP($C695,01_SINTETICO!$B:$M,7,0)*$G695*(1+BDI_MDO)</f>
        <v>21.4524174569079</v>
      </c>
      <c r="J695" s="269" t="n">
        <f aca="false">SUM(H695:I695)</f>
        <v>31.8853034641597</v>
      </c>
      <c r="K695" s="270" t="n">
        <f aca="false">J695/SUM($J$7:$J$749)</f>
        <v>3.53205337130792E-006</v>
      </c>
      <c r="L695" s="271" t="n">
        <f aca="false">K695+L694</f>
        <v>0.999883241641818</v>
      </c>
    </row>
    <row r="696" customFormat="false" ht="38.25" hidden="false" customHeight="false" outlineLevel="0" collapsed="false">
      <c r="A696" s="264" t="n">
        <f aca="false">K696</f>
        <v>3.53205337130792E-006</v>
      </c>
      <c r="B696" s="265" t="str">
        <f aca="false">VLOOKUP($C696,01_SINTETICO!$B:$N,13,0)</f>
        <v>3.2.3.4.2.3</v>
      </c>
      <c r="C696" s="266" t="s">
        <v>314</v>
      </c>
      <c r="D696" s="266" t="str">
        <f aca="false">VLOOKUP($C696,01_SINTETICO!$B:$M,2,0)</f>
        <v>EXECUÇÃO DE FURO DE Ø12,5MM COM ROFUNDIDADE DE 10CM, E APLICAÇÃO DE ADESIVO ESTRUTURAL, PARA FIXAÇÃO DAS BARRAS DE AÇO Ø10,0MM.</v>
      </c>
      <c r="E696" s="266" t="str">
        <f aca="false">VLOOKUP($B696,01_SINTETICO!$A:$M,4,0)</f>
        <v>SER.CG</v>
      </c>
      <c r="F696" s="267" t="str">
        <f aca="false">VLOOKUP($B696,01_SINTETICO!$A:$M,5,0)</f>
        <v>UN</v>
      </c>
      <c r="G696" s="267" t="n">
        <f aca="true">SUMIFS(INDIRECT("'01_SINTETICO'!F7:F995"),INDIRECT("'01_SINTETICO'!B7:B995"),$C696)</f>
        <v>12</v>
      </c>
      <c r="H696" s="268" t="n">
        <f aca="false">VLOOKUP($C696,01_SINTETICO!$B:$M,6,0)*$G696*(1+BDI_MAT)</f>
        <v>10.4328860072519</v>
      </c>
      <c r="I696" s="268" t="n">
        <f aca="false">VLOOKUP($C696,01_SINTETICO!$B:$M,7,0)*$G696*(1+BDI_MDO)</f>
        <v>21.4524174569079</v>
      </c>
      <c r="J696" s="269" t="n">
        <f aca="false">SUM(H696:I696)</f>
        <v>31.8853034641597</v>
      </c>
      <c r="K696" s="270" t="n">
        <f aca="false">J696/SUM($J$7:$J$749)</f>
        <v>3.53205337130792E-006</v>
      </c>
      <c r="L696" s="271" t="n">
        <f aca="false">K696+L695</f>
        <v>0.999886773695189</v>
      </c>
    </row>
    <row r="697" customFormat="false" ht="25.5" hidden="false" customHeight="false" outlineLevel="0" collapsed="false">
      <c r="A697" s="264" t="n">
        <f aca="false">K697</f>
        <v>3.2797259162733E-006</v>
      </c>
      <c r="B697" s="265" t="str">
        <f aca="false">VLOOKUP($C697,01_SINTETICO!$B:$N,13,0)</f>
        <v>11.6.2.28</v>
      </c>
      <c r="C697" s="272" t="n">
        <v>89622</v>
      </c>
      <c r="D697" s="266" t="str">
        <f aca="false">VLOOKUP($C697,01_SINTETICO!$B:$M,2,0)</f>
        <v>TÊ DE REDUÇÃO, PVC, SOLDÁVEL, DN 32MM X 25MM, INSTALADO EM PRUMADA DE ÁGUA - FORNECIMENTO E INSTALAÇÃO. AF_06/2022</v>
      </c>
      <c r="E697" s="272" t="str">
        <f aca="false">VLOOKUP($B697,01_SINTETICO!$A:$M,4,0)</f>
        <v>SER.CG</v>
      </c>
      <c r="F697" s="273" t="str">
        <f aca="false">VLOOKUP($B697,01_SINTETICO!$A:$M,5,0)</f>
        <v>UN</v>
      </c>
      <c r="G697" s="267" t="n">
        <f aca="true">SUMIFS(INDIRECT("'01_SINTETICO'!F7:F995"),INDIRECT("'01_SINTETICO'!B7:B995"),$C697)</f>
        <v>2</v>
      </c>
      <c r="H697" s="268" t="n">
        <f aca="false">VLOOKUP($C697,01_SINTETICO!$B:$M,6,0)*$G697*(1+BDI_MAT)</f>
        <v>24.1123698196</v>
      </c>
      <c r="I697" s="268" t="n">
        <f aca="false">VLOOKUP($C697,01_SINTETICO!$B:$M,7,0)*$G697*(1+BDI_MDO)</f>
        <v>5.49506957221174</v>
      </c>
      <c r="J697" s="269" t="n">
        <f aca="false">SUM(H697:I697)</f>
        <v>29.6074393918117</v>
      </c>
      <c r="K697" s="270" t="n">
        <f aca="false">J697/SUM($J$7:$J$749)</f>
        <v>3.2797259162733E-006</v>
      </c>
      <c r="L697" s="271" t="n">
        <f aca="false">K697+L696</f>
        <v>0.999890053421105</v>
      </c>
    </row>
    <row r="698" customFormat="false" ht="25.5" hidden="false" customHeight="false" outlineLevel="0" collapsed="false">
      <c r="A698" s="264" t="n">
        <f aca="false">K698</f>
        <v>3.2797259162733E-006</v>
      </c>
      <c r="B698" s="265" t="str">
        <f aca="false">VLOOKUP($C698,01_SINTETICO!$B:$N,13,0)</f>
        <v>11.6.2.28</v>
      </c>
      <c r="C698" s="266" t="n">
        <v>89622</v>
      </c>
      <c r="D698" s="266" t="str">
        <f aca="false">VLOOKUP($C698,01_SINTETICO!$B:$M,2,0)</f>
        <v>TÊ DE REDUÇÃO, PVC, SOLDÁVEL, DN 32MM X 25MM, INSTALADO EM PRUMADA DE ÁGUA - FORNECIMENTO E INSTALAÇÃO. AF_06/2022</v>
      </c>
      <c r="E698" s="266" t="str">
        <f aca="false">VLOOKUP($B698,01_SINTETICO!$A:$M,4,0)</f>
        <v>SER.CG</v>
      </c>
      <c r="F698" s="267" t="str">
        <f aca="false">VLOOKUP($B698,01_SINTETICO!$A:$M,5,0)</f>
        <v>UN</v>
      </c>
      <c r="G698" s="267" t="n">
        <f aca="true">SUMIFS(INDIRECT("'01_SINTETICO'!F7:F995"),INDIRECT("'01_SINTETICO'!B7:B995"),$C698)</f>
        <v>2</v>
      </c>
      <c r="H698" s="268" t="n">
        <f aca="false">VLOOKUP($C698,01_SINTETICO!$B:$M,6,0)*$G698*(1+BDI_MAT)</f>
        <v>24.1123698196</v>
      </c>
      <c r="I698" s="268" t="n">
        <f aca="false">VLOOKUP($C698,01_SINTETICO!$B:$M,7,0)*$G698*(1+BDI_MDO)</f>
        <v>5.49506957221174</v>
      </c>
      <c r="J698" s="269" t="n">
        <f aca="false">SUM(H698:I698)</f>
        <v>29.6074393918117</v>
      </c>
      <c r="K698" s="270" t="n">
        <f aca="false">J698/SUM($J$7:$J$749)</f>
        <v>3.2797259162733E-006</v>
      </c>
      <c r="L698" s="271" t="n">
        <f aca="false">K698+L697</f>
        <v>0.999893333147021</v>
      </c>
    </row>
    <row r="699" customFormat="false" ht="25.5" hidden="false" customHeight="false" outlineLevel="0" collapsed="false">
      <c r="A699" s="264" t="n">
        <f aca="false">K699</f>
        <v>3.2797259162733E-006</v>
      </c>
      <c r="B699" s="265" t="str">
        <f aca="false">VLOOKUP($C699,01_SINTETICO!$B:$N,13,0)</f>
        <v>11.6.2.28</v>
      </c>
      <c r="C699" s="272" t="n">
        <v>89622</v>
      </c>
      <c r="D699" s="266" t="str">
        <f aca="false">VLOOKUP($C699,01_SINTETICO!$B:$M,2,0)</f>
        <v>TÊ DE REDUÇÃO, PVC, SOLDÁVEL, DN 32MM X 25MM, INSTALADO EM PRUMADA DE ÁGUA - FORNECIMENTO E INSTALAÇÃO. AF_06/2022</v>
      </c>
      <c r="E699" s="272" t="str">
        <f aca="false">VLOOKUP($B699,01_SINTETICO!$A:$M,4,0)</f>
        <v>SER.CG</v>
      </c>
      <c r="F699" s="273" t="str">
        <f aca="false">VLOOKUP($B699,01_SINTETICO!$A:$M,5,0)</f>
        <v>UN</v>
      </c>
      <c r="G699" s="267" t="n">
        <f aca="true">SUMIFS(INDIRECT("'01_SINTETICO'!F7:F995"),INDIRECT("'01_SINTETICO'!B7:B995"),$C699)</f>
        <v>2</v>
      </c>
      <c r="H699" s="268" t="n">
        <f aca="false">VLOOKUP($C699,01_SINTETICO!$B:$M,6,0)*$G699*(1+BDI_MAT)</f>
        <v>24.1123698196</v>
      </c>
      <c r="I699" s="268" t="n">
        <f aca="false">VLOOKUP($C699,01_SINTETICO!$B:$M,7,0)*$G699*(1+BDI_MDO)</f>
        <v>5.49506957221174</v>
      </c>
      <c r="J699" s="269" t="n">
        <f aca="false">SUM(H699:I699)</f>
        <v>29.6074393918117</v>
      </c>
      <c r="K699" s="270" t="n">
        <f aca="false">J699/SUM($J$7:$J$749)</f>
        <v>3.2797259162733E-006</v>
      </c>
      <c r="L699" s="271" t="n">
        <f aca="false">K699+L698</f>
        <v>0.999896612872938</v>
      </c>
    </row>
    <row r="700" customFormat="false" ht="25.5" hidden="false" customHeight="false" outlineLevel="0" collapsed="false">
      <c r="A700" s="264" t="n">
        <f aca="false">K700</f>
        <v>3.2797259162733E-006</v>
      </c>
      <c r="B700" s="265" t="str">
        <f aca="false">VLOOKUP($C700,01_SINTETICO!$B:$N,13,0)</f>
        <v>11.6.2.28</v>
      </c>
      <c r="C700" s="272" t="n">
        <v>89622</v>
      </c>
      <c r="D700" s="266" t="str">
        <f aca="false">VLOOKUP($C700,01_SINTETICO!$B:$M,2,0)</f>
        <v>TÊ DE REDUÇÃO, PVC, SOLDÁVEL, DN 32MM X 25MM, INSTALADO EM PRUMADA DE ÁGUA - FORNECIMENTO E INSTALAÇÃO. AF_06/2022</v>
      </c>
      <c r="E700" s="272" t="str">
        <f aca="false">VLOOKUP($B700,01_SINTETICO!$A:$M,4,0)</f>
        <v>SER.CG</v>
      </c>
      <c r="F700" s="273" t="str">
        <f aca="false">VLOOKUP($B700,01_SINTETICO!$A:$M,5,0)</f>
        <v>UN</v>
      </c>
      <c r="G700" s="267" t="n">
        <f aca="true">SUMIFS(INDIRECT("'01_SINTETICO'!F7:F995"),INDIRECT("'01_SINTETICO'!B7:B995"),$C700)</f>
        <v>2</v>
      </c>
      <c r="H700" s="268" t="n">
        <f aca="false">VLOOKUP($C700,01_SINTETICO!$B:$M,6,0)*$G700*(1+BDI_MAT)</f>
        <v>24.1123698196</v>
      </c>
      <c r="I700" s="268" t="n">
        <f aca="false">VLOOKUP($C700,01_SINTETICO!$B:$M,7,0)*$G700*(1+BDI_MDO)</f>
        <v>5.49506957221174</v>
      </c>
      <c r="J700" s="269" t="n">
        <f aca="false">SUM(H700:I700)</f>
        <v>29.6074393918117</v>
      </c>
      <c r="K700" s="270" t="n">
        <f aca="false">J700/SUM($J$7:$J$749)</f>
        <v>3.2797259162733E-006</v>
      </c>
      <c r="L700" s="271" t="n">
        <f aca="false">K700+L699</f>
        <v>0.999899892598854</v>
      </c>
    </row>
    <row r="701" customFormat="false" ht="25.5" hidden="false" customHeight="false" outlineLevel="0" collapsed="false">
      <c r="A701" s="264" t="n">
        <f aca="false">K701</f>
        <v>2.98357741168373E-006</v>
      </c>
      <c r="B701" s="265" t="str">
        <f aca="false">VLOOKUP($C701,01_SINTETICO!$B:$N,13,0)</f>
        <v>11.4.4.11</v>
      </c>
      <c r="C701" s="266" t="n">
        <v>89547</v>
      </c>
      <c r="D701" s="266" t="str">
        <f aca="false">VLOOKUP($C701,01_SINTETICO!$B:$M,2,0)</f>
        <v>LUVA SIMPLES, PVC, SERIE R, ÁGUA PLUVIAL, DN 75 MM, JUNTA ELÁSTICA, FORNECIDO E INSTALADO EM RAMAL DE ENCAMINHAMENTO. AF_06/2022</v>
      </c>
      <c r="E701" s="266" t="str">
        <f aca="false">VLOOKUP($B701,01_SINTETICO!$A:$M,4,0)</f>
        <v>SER.CG</v>
      </c>
      <c r="F701" s="267" t="str">
        <f aca="false">VLOOKUP($B701,01_SINTETICO!$A:$M,5,0)</f>
        <v>UN</v>
      </c>
      <c r="G701" s="267" t="n">
        <f aca="true">SUMIFS(INDIRECT("'01_SINTETICO'!F7:F995"),INDIRECT("'01_SINTETICO'!B7:B995"),$C701)</f>
        <v>1</v>
      </c>
      <c r="H701" s="268" t="n">
        <f aca="false">VLOOKUP($C701,01_SINTETICO!$B:$M,6,0)*$G701*(1+BDI_MAT)</f>
        <v>24.2096003954</v>
      </c>
      <c r="I701" s="268" t="n">
        <f aca="false">VLOOKUP($C701,01_SINTETICO!$B:$M,7,0)*$G701*(1+BDI_MDO)</f>
        <v>2.72438422474759</v>
      </c>
      <c r="J701" s="269" t="n">
        <f aca="false">SUM(H701:I701)</f>
        <v>26.9339846201476</v>
      </c>
      <c r="K701" s="270" t="n">
        <f aca="false">J701/SUM($J$7:$J$749)</f>
        <v>2.98357741168373E-006</v>
      </c>
      <c r="L701" s="271" t="n">
        <f aca="false">K701+L700</f>
        <v>0.999902876176266</v>
      </c>
    </row>
    <row r="702" customFormat="false" ht="25.5" hidden="false" customHeight="false" outlineLevel="0" collapsed="false">
      <c r="A702" s="264" t="n">
        <f aca="false">K702</f>
        <v>2.98357741168373E-006</v>
      </c>
      <c r="B702" s="265" t="str">
        <f aca="false">VLOOKUP($C702,01_SINTETICO!$B:$N,13,0)</f>
        <v>11.4.4.11</v>
      </c>
      <c r="C702" s="272" t="n">
        <v>89547</v>
      </c>
      <c r="D702" s="266" t="str">
        <f aca="false">VLOOKUP($C702,01_SINTETICO!$B:$M,2,0)</f>
        <v>LUVA SIMPLES, PVC, SERIE R, ÁGUA PLUVIAL, DN 75 MM, JUNTA ELÁSTICA, FORNECIDO E INSTALADO EM RAMAL DE ENCAMINHAMENTO. AF_06/2022</v>
      </c>
      <c r="E702" s="272" t="str">
        <f aca="false">VLOOKUP($B702,01_SINTETICO!$A:$M,4,0)</f>
        <v>SER.CG</v>
      </c>
      <c r="F702" s="273" t="str">
        <f aca="false">VLOOKUP($B702,01_SINTETICO!$A:$M,5,0)</f>
        <v>UN</v>
      </c>
      <c r="G702" s="267" t="n">
        <f aca="true">SUMIFS(INDIRECT("'01_SINTETICO'!F7:F995"),INDIRECT("'01_SINTETICO'!B7:B995"),$C702)</f>
        <v>1</v>
      </c>
      <c r="H702" s="268" t="n">
        <f aca="false">VLOOKUP($C702,01_SINTETICO!$B:$M,6,0)*$G702*(1+BDI_MAT)</f>
        <v>24.2096003954</v>
      </c>
      <c r="I702" s="268" t="n">
        <f aca="false">VLOOKUP($C702,01_SINTETICO!$B:$M,7,0)*$G702*(1+BDI_MDO)</f>
        <v>2.72438422474759</v>
      </c>
      <c r="J702" s="269" t="n">
        <f aca="false">SUM(H702:I702)</f>
        <v>26.9339846201476</v>
      </c>
      <c r="K702" s="270" t="n">
        <f aca="false">J702/SUM($J$7:$J$749)</f>
        <v>2.98357741168373E-006</v>
      </c>
      <c r="L702" s="271" t="n">
        <f aca="false">K702+L701</f>
        <v>0.999905859753677</v>
      </c>
    </row>
    <row r="703" customFormat="false" ht="25.5" hidden="false" customHeight="false" outlineLevel="0" collapsed="false">
      <c r="A703" s="264" t="n">
        <f aca="false">K703</f>
        <v>2.98357741168373E-006</v>
      </c>
      <c r="B703" s="265" t="str">
        <f aca="false">VLOOKUP($C703,01_SINTETICO!$B:$N,13,0)</f>
        <v>11.4.4.11</v>
      </c>
      <c r="C703" s="266" t="n">
        <v>89547</v>
      </c>
      <c r="D703" s="266" t="str">
        <f aca="false">VLOOKUP($C703,01_SINTETICO!$B:$M,2,0)</f>
        <v>LUVA SIMPLES, PVC, SERIE R, ÁGUA PLUVIAL, DN 75 MM, JUNTA ELÁSTICA, FORNECIDO E INSTALADO EM RAMAL DE ENCAMINHAMENTO. AF_06/2022</v>
      </c>
      <c r="E703" s="266" t="str">
        <f aca="false">VLOOKUP($B703,01_SINTETICO!$A:$M,4,0)</f>
        <v>SER.CG</v>
      </c>
      <c r="F703" s="267" t="str">
        <f aca="false">VLOOKUP($B703,01_SINTETICO!$A:$M,5,0)</f>
        <v>UN</v>
      </c>
      <c r="G703" s="267" t="n">
        <f aca="true">SUMIFS(INDIRECT("'01_SINTETICO'!F7:F995"),INDIRECT("'01_SINTETICO'!B7:B995"),$C703)</f>
        <v>1</v>
      </c>
      <c r="H703" s="268" t="n">
        <f aca="false">VLOOKUP($C703,01_SINTETICO!$B:$M,6,0)*$G703*(1+BDI_MAT)</f>
        <v>24.2096003954</v>
      </c>
      <c r="I703" s="268" t="n">
        <f aca="false">VLOOKUP($C703,01_SINTETICO!$B:$M,7,0)*$G703*(1+BDI_MDO)</f>
        <v>2.72438422474759</v>
      </c>
      <c r="J703" s="269" t="n">
        <f aca="false">SUM(H703:I703)</f>
        <v>26.9339846201476</v>
      </c>
      <c r="K703" s="270" t="n">
        <f aca="false">J703/SUM($J$7:$J$749)</f>
        <v>2.98357741168373E-006</v>
      </c>
      <c r="L703" s="271" t="n">
        <f aca="false">K703+L702</f>
        <v>0.999908843331089</v>
      </c>
    </row>
    <row r="704" customFormat="false" ht="25.5" hidden="false" customHeight="false" outlineLevel="0" collapsed="false">
      <c r="A704" s="264" t="n">
        <f aca="false">K704</f>
        <v>2.98357741168373E-006</v>
      </c>
      <c r="B704" s="265" t="str">
        <f aca="false">VLOOKUP($C704,01_SINTETICO!$B:$N,13,0)</f>
        <v>11.4.4.11</v>
      </c>
      <c r="C704" s="266" t="n">
        <v>89547</v>
      </c>
      <c r="D704" s="266" t="str">
        <f aca="false">VLOOKUP($C704,01_SINTETICO!$B:$M,2,0)</f>
        <v>LUVA SIMPLES, PVC, SERIE R, ÁGUA PLUVIAL, DN 75 MM, JUNTA ELÁSTICA, FORNECIDO E INSTALADO EM RAMAL DE ENCAMINHAMENTO. AF_06/2022</v>
      </c>
      <c r="E704" s="266" t="str">
        <f aca="false">VLOOKUP($B704,01_SINTETICO!$A:$M,4,0)</f>
        <v>SER.CG</v>
      </c>
      <c r="F704" s="267" t="str">
        <f aca="false">VLOOKUP($B704,01_SINTETICO!$A:$M,5,0)</f>
        <v>UN</v>
      </c>
      <c r="G704" s="267" t="n">
        <f aca="true">SUMIFS(INDIRECT("'01_SINTETICO'!F7:F995"),INDIRECT("'01_SINTETICO'!B7:B995"),$C704)</f>
        <v>1</v>
      </c>
      <c r="H704" s="268" t="n">
        <f aca="false">VLOOKUP($C704,01_SINTETICO!$B:$M,6,0)*$G704*(1+BDI_MAT)</f>
        <v>24.2096003954</v>
      </c>
      <c r="I704" s="268" t="n">
        <f aca="false">VLOOKUP($C704,01_SINTETICO!$B:$M,7,0)*$G704*(1+BDI_MDO)</f>
        <v>2.72438422474759</v>
      </c>
      <c r="J704" s="269" t="n">
        <f aca="false">SUM(H704:I704)</f>
        <v>26.9339846201476</v>
      </c>
      <c r="K704" s="270" t="n">
        <f aca="false">J704/SUM($J$7:$J$749)</f>
        <v>2.98357741168373E-006</v>
      </c>
      <c r="L704" s="271" t="n">
        <f aca="false">K704+L703</f>
        <v>0.999911826908501</v>
      </c>
    </row>
    <row r="705" customFormat="false" ht="38.25" hidden="false" customHeight="false" outlineLevel="0" collapsed="false">
      <c r="A705" s="264" t="n">
        <f aca="false">K705</f>
        <v>2.74575527546169E-006</v>
      </c>
      <c r="B705" s="265" t="str">
        <f aca="false">VLOOKUP($C705,01_SINTETICO!$B:$N,13,0)</f>
        <v>11.2.3.24</v>
      </c>
      <c r="C705" s="272" t="s">
        <v>729</v>
      </c>
      <c r="D705" s="266" t="str">
        <f aca="false">VLOOKUP($C705,01_SINTETICO!$B:$M,2,0)</f>
        <v>REDUÇÃO EXCÊNTRICA, PVC, SERIE NORMAL, ESGOTO, DN 100 X 75 MM, JUNTA ELÁSTICA, FORNECIDO E INSTALADO EM PRUMADA DE ESGOTO SANITÁRIO OU VENTILAÇÃO.</v>
      </c>
      <c r="E705" s="272" t="str">
        <f aca="false">VLOOKUP($B705,01_SINTETICO!$A:$M,4,0)</f>
        <v>SER.CG</v>
      </c>
      <c r="F705" s="273" t="str">
        <f aca="false">VLOOKUP($B705,01_SINTETICO!$A:$M,5,0)</f>
        <v>UN</v>
      </c>
      <c r="G705" s="267" t="n">
        <f aca="true">SUMIFS(INDIRECT("'01_SINTETICO'!F7:F995"),INDIRECT("'01_SINTETICO'!B7:B995"),$C705)</f>
        <v>1</v>
      </c>
      <c r="H705" s="268" t="n">
        <f aca="false">VLOOKUP($C705,01_SINTETICO!$B:$M,6,0)*$G705*(1+BDI_MAT)</f>
        <v>21.5586490152</v>
      </c>
      <c r="I705" s="268" t="n">
        <f aca="false">VLOOKUP($C705,01_SINTETICO!$B:$M,7,0)*$G705*(1+BDI_MDO)</f>
        <v>3.22841703187793</v>
      </c>
      <c r="J705" s="269" t="n">
        <f aca="false">SUM(H705:I705)</f>
        <v>24.7870660470779</v>
      </c>
      <c r="K705" s="270" t="n">
        <f aca="false">J705/SUM($J$7:$J$749)</f>
        <v>2.74575527546169E-006</v>
      </c>
      <c r="L705" s="271" t="n">
        <f aca="false">K705+L704</f>
        <v>0.999914572663776</v>
      </c>
    </row>
    <row r="706" customFormat="false" ht="38.25" hidden="false" customHeight="false" outlineLevel="0" collapsed="false">
      <c r="A706" s="264" t="n">
        <f aca="false">K706</f>
        <v>2.74575527546169E-006</v>
      </c>
      <c r="B706" s="265" t="str">
        <f aca="false">VLOOKUP($C706,01_SINTETICO!$B:$N,13,0)</f>
        <v>11.2.3.24</v>
      </c>
      <c r="C706" s="272" t="s">
        <v>729</v>
      </c>
      <c r="D706" s="266" t="str">
        <f aca="false">VLOOKUP($C706,01_SINTETICO!$B:$M,2,0)</f>
        <v>REDUÇÃO EXCÊNTRICA, PVC, SERIE NORMAL, ESGOTO, DN 100 X 75 MM, JUNTA ELÁSTICA, FORNECIDO E INSTALADO EM PRUMADA DE ESGOTO SANITÁRIO OU VENTILAÇÃO.</v>
      </c>
      <c r="E706" s="272" t="str">
        <f aca="false">VLOOKUP($B706,01_SINTETICO!$A:$M,4,0)</f>
        <v>SER.CG</v>
      </c>
      <c r="F706" s="273" t="str">
        <f aca="false">VLOOKUP($B706,01_SINTETICO!$A:$M,5,0)</f>
        <v>UN</v>
      </c>
      <c r="G706" s="267" t="n">
        <f aca="true">SUMIFS(INDIRECT("'01_SINTETICO'!F7:F995"),INDIRECT("'01_SINTETICO'!B7:B995"),$C706)</f>
        <v>1</v>
      </c>
      <c r="H706" s="268" t="n">
        <f aca="false">VLOOKUP($C706,01_SINTETICO!$B:$M,6,0)*$G706*(1+BDI_MAT)</f>
        <v>21.5586490152</v>
      </c>
      <c r="I706" s="268" t="n">
        <f aca="false">VLOOKUP($C706,01_SINTETICO!$B:$M,7,0)*$G706*(1+BDI_MDO)</f>
        <v>3.22841703187793</v>
      </c>
      <c r="J706" s="269" t="n">
        <f aca="false">SUM(H706:I706)</f>
        <v>24.7870660470779</v>
      </c>
      <c r="K706" s="270" t="n">
        <f aca="false">J706/SUM($J$7:$J$749)</f>
        <v>2.74575527546169E-006</v>
      </c>
      <c r="L706" s="271" t="n">
        <f aca="false">K706+L705</f>
        <v>0.999917318419052</v>
      </c>
    </row>
    <row r="707" customFormat="false" ht="38.25" hidden="false" customHeight="false" outlineLevel="0" collapsed="false">
      <c r="A707" s="264" t="n">
        <f aca="false">K707</f>
        <v>2.74575527546169E-006</v>
      </c>
      <c r="B707" s="265" t="str">
        <f aca="false">VLOOKUP($C707,01_SINTETICO!$B:$N,13,0)</f>
        <v>11.2.3.24</v>
      </c>
      <c r="C707" s="266" t="s">
        <v>729</v>
      </c>
      <c r="D707" s="266" t="str">
        <f aca="false">VLOOKUP($C707,01_SINTETICO!$B:$M,2,0)</f>
        <v>REDUÇÃO EXCÊNTRICA, PVC, SERIE NORMAL, ESGOTO, DN 100 X 75 MM, JUNTA ELÁSTICA, FORNECIDO E INSTALADO EM PRUMADA DE ESGOTO SANITÁRIO OU VENTILAÇÃO.</v>
      </c>
      <c r="E707" s="266" t="str">
        <f aca="false">VLOOKUP($B707,01_SINTETICO!$A:$M,4,0)</f>
        <v>SER.CG</v>
      </c>
      <c r="F707" s="267" t="str">
        <f aca="false">VLOOKUP($B707,01_SINTETICO!$A:$M,5,0)</f>
        <v>UN</v>
      </c>
      <c r="G707" s="267" t="n">
        <f aca="true">SUMIFS(INDIRECT("'01_SINTETICO'!F7:F995"),INDIRECT("'01_SINTETICO'!B7:B995"),$C707)</f>
        <v>1</v>
      </c>
      <c r="H707" s="268" t="n">
        <f aca="false">VLOOKUP($C707,01_SINTETICO!$B:$M,6,0)*$G707*(1+BDI_MAT)</f>
        <v>21.5586490152</v>
      </c>
      <c r="I707" s="268" t="n">
        <f aca="false">VLOOKUP($C707,01_SINTETICO!$B:$M,7,0)*$G707*(1+BDI_MDO)</f>
        <v>3.22841703187793</v>
      </c>
      <c r="J707" s="269" t="n">
        <f aca="false">SUM(H707:I707)</f>
        <v>24.7870660470779</v>
      </c>
      <c r="K707" s="270" t="n">
        <f aca="false">J707/SUM($J$7:$J$749)</f>
        <v>2.74575527546169E-006</v>
      </c>
      <c r="L707" s="271" t="n">
        <f aca="false">K707+L706</f>
        <v>0.999920064174327</v>
      </c>
    </row>
    <row r="708" customFormat="false" ht="38.25" hidden="false" customHeight="false" outlineLevel="0" collapsed="false">
      <c r="A708" s="264" t="n">
        <f aca="false">K708</f>
        <v>2.74575527546169E-006</v>
      </c>
      <c r="B708" s="265" t="str">
        <f aca="false">VLOOKUP($C708,01_SINTETICO!$B:$N,13,0)</f>
        <v>11.2.3.24</v>
      </c>
      <c r="C708" s="266" t="s">
        <v>729</v>
      </c>
      <c r="D708" s="266" t="str">
        <f aca="false">VLOOKUP($C708,01_SINTETICO!$B:$M,2,0)</f>
        <v>REDUÇÃO EXCÊNTRICA, PVC, SERIE NORMAL, ESGOTO, DN 100 X 75 MM, JUNTA ELÁSTICA, FORNECIDO E INSTALADO EM PRUMADA DE ESGOTO SANITÁRIO OU VENTILAÇÃO.</v>
      </c>
      <c r="E708" s="266" t="str">
        <f aca="false">VLOOKUP($B708,01_SINTETICO!$A:$M,4,0)</f>
        <v>SER.CG</v>
      </c>
      <c r="F708" s="267" t="str">
        <f aca="false">VLOOKUP($B708,01_SINTETICO!$A:$M,5,0)</f>
        <v>UN</v>
      </c>
      <c r="G708" s="267" t="n">
        <f aca="true">SUMIFS(INDIRECT("'01_SINTETICO'!F7:F995"),INDIRECT("'01_SINTETICO'!B7:B995"),$C708)</f>
        <v>1</v>
      </c>
      <c r="H708" s="268" t="n">
        <f aca="false">VLOOKUP($C708,01_SINTETICO!$B:$M,6,0)*$G708*(1+BDI_MAT)</f>
        <v>21.5586490152</v>
      </c>
      <c r="I708" s="268" t="n">
        <f aca="false">VLOOKUP($C708,01_SINTETICO!$B:$M,7,0)*$G708*(1+BDI_MDO)</f>
        <v>3.22841703187793</v>
      </c>
      <c r="J708" s="269" t="n">
        <f aca="false">SUM(H708:I708)</f>
        <v>24.7870660470779</v>
      </c>
      <c r="K708" s="270" t="n">
        <f aca="false">J708/SUM($J$7:$J$749)</f>
        <v>2.74575527546169E-006</v>
      </c>
      <c r="L708" s="271" t="n">
        <f aca="false">K708+L707</f>
        <v>0.999922809929603</v>
      </c>
    </row>
    <row r="709" customFormat="false" ht="25.5" hidden="false" customHeight="false" outlineLevel="0" collapsed="false">
      <c r="A709" s="264" t="n">
        <f aca="false">K709</f>
        <v>2.478032518489E-006</v>
      </c>
      <c r="B709" s="265" t="str">
        <f aca="false">VLOOKUP($C709,01_SINTETICO!$B:$N,13,0)</f>
        <v>11.6.2.25</v>
      </c>
      <c r="C709" s="266" t="n">
        <v>89440</v>
      </c>
      <c r="D709" s="266" t="str">
        <f aca="false">VLOOKUP($C709,01_SINTETICO!$B:$M,2,0)</f>
        <v>TE, PVC, SOLDÁVEL, DN 25MM, INSTALADO EM RAMAL DE DISTRIBUIÇÃO DE ÁGUA - FORNECIMENTO E INSTALAÇÃO. AF_06/2022</v>
      </c>
      <c r="E709" s="266" t="str">
        <f aca="false">VLOOKUP($B709,01_SINTETICO!$A:$M,4,0)</f>
        <v>SER.CG</v>
      </c>
      <c r="F709" s="267" t="str">
        <f aca="false">VLOOKUP($B709,01_SINTETICO!$A:$M,5,0)</f>
        <v>UN</v>
      </c>
      <c r="G709" s="267" t="n">
        <f aca="true">SUMIFS(INDIRECT("'01_SINTETICO'!F7:F995"),INDIRECT("'01_SINTETICO'!B7:B995"),$C709)</f>
        <v>2</v>
      </c>
      <c r="H709" s="268" t="n">
        <f aca="false">VLOOKUP($C709,01_SINTETICO!$B:$M,6,0)*$G709*(1+BDI_MAT)</f>
        <v>12.860130478</v>
      </c>
      <c r="I709" s="268" t="n">
        <f aca="false">VLOOKUP($C709,01_SINTETICO!$B:$M,7,0)*$G709*(1+BDI_MDO)</f>
        <v>9.51009175248106</v>
      </c>
      <c r="J709" s="269" t="n">
        <f aca="false">SUM(H709:I709)</f>
        <v>22.3702222304811</v>
      </c>
      <c r="K709" s="270" t="n">
        <f aca="false">J709/SUM($J$7:$J$749)</f>
        <v>2.478032518489E-006</v>
      </c>
      <c r="L709" s="271" t="n">
        <f aca="false">K709+L708</f>
        <v>0.999925287962121</v>
      </c>
    </row>
    <row r="710" customFormat="false" ht="25.5" hidden="false" customHeight="false" outlineLevel="0" collapsed="false">
      <c r="A710" s="264" t="n">
        <f aca="false">K710</f>
        <v>2.478032518489E-006</v>
      </c>
      <c r="B710" s="265" t="str">
        <f aca="false">VLOOKUP($C710,01_SINTETICO!$B:$N,13,0)</f>
        <v>11.6.2.25</v>
      </c>
      <c r="C710" s="266" t="n">
        <v>89440</v>
      </c>
      <c r="D710" s="266" t="str">
        <f aca="false">VLOOKUP($C710,01_SINTETICO!$B:$M,2,0)</f>
        <v>TE, PVC, SOLDÁVEL, DN 25MM, INSTALADO EM RAMAL DE DISTRIBUIÇÃO DE ÁGUA - FORNECIMENTO E INSTALAÇÃO. AF_06/2022</v>
      </c>
      <c r="E710" s="266" t="str">
        <f aca="false">VLOOKUP($B710,01_SINTETICO!$A:$M,4,0)</f>
        <v>SER.CG</v>
      </c>
      <c r="F710" s="267" t="str">
        <f aca="false">VLOOKUP($B710,01_SINTETICO!$A:$M,5,0)</f>
        <v>UN</v>
      </c>
      <c r="G710" s="267" t="n">
        <f aca="true">SUMIFS(INDIRECT("'01_SINTETICO'!F7:F995"),INDIRECT("'01_SINTETICO'!B7:B995"),$C710)</f>
        <v>2</v>
      </c>
      <c r="H710" s="268" t="n">
        <f aca="false">VLOOKUP($C710,01_SINTETICO!$B:$M,6,0)*$G710*(1+BDI_MAT)</f>
        <v>12.860130478</v>
      </c>
      <c r="I710" s="268" t="n">
        <f aca="false">VLOOKUP($C710,01_SINTETICO!$B:$M,7,0)*$G710*(1+BDI_MDO)</f>
        <v>9.51009175248106</v>
      </c>
      <c r="J710" s="269" t="n">
        <f aca="false">SUM(H710:I710)</f>
        <v>22.3702222304811</v>
      </c>
      <c r="K710" s="270" t="n">
        <f aca="false">J710/SUM($J$7:$J$749)</f>
        <v>2.478032518489E-006</v>
      </c>
      <c r="L710" s="271" t="n">
        <f aca="false">K710+L709</f>
        <v>0.99992776599464</v>
      </c>
    </row>
    <row r="711" customFormat="false" ht="25.5" hidden="false" customHeight="false" outlineLevel="0" collapsed="false">
      <c r="A711" s="264" t="n">
        <f aca="false">K711</f>
        <v>2.478032518489E-006</v>
      </c>
      <c r="B711" s="265" t="str">
        <f aca="false">VLOOKUP($C711,01_SINTETICO!$B:$N,13,0)</f>
        <v>11.6.2.25</v>
      </c>
      <c r="C711" s="272" t="n">
        <v>89440</v>
      </c>
      <c r="D711" s="266" t="str">
        <f aca="false">VLOOKUP($C711,01_SINTETICO!$B:$M,2,0)</f>
        <v>TE, PVC, SOLDÁVEL, DN 25MM, INSTALADO EM RAMAL DE DISTRIBUIÇÃO DE ÁGUA - FORNECIMENTO E INSTALAÇÃO. AF_06/2022</v>
      </c>
      <c r="E711" s="272" t="str">
        <f aca="false">VLOOKUP($B711,01_SINTETICO!$A:$M,4,0)</f>
        <v>SER.CG</v>
      </c>
      <c r="F711" s="273" t="str">
        <f aca="false">VLOOKUP($B711,01_SINTETICO!$A:$M,5,0)</f>
        <v>UN</v>
      </c>
      <c r="G711" s="267" t="n">
        <f aca="true">SUMIFS(INDIRECT("'01_SINTETICO'!F7:F995"),INDIRECT("'01_SINTETICO'!B7:B995"),$C711)</f>
        <v>2</v>
      </c>
      <c r="H711" s="268" t="n">
        <f aca="false">VLOOKUP($C711,01_SINTETICO!$B:$M,6,0)*$G711*(1+BDI_MAT)</f>
        <v>12.860130478</v>
      </c>
      <c r="I711" s="268" t="n">
        <f aca="false">VLOOKUP($C711,01_SINTETICO!$B:$M,7,0)*$G711*(1+BDI_MDO)</f>
        <v>9.51009175248106</v>
      </c>
      <c r="J711" s="269" t="n">
        <f aca="false">SUM(H711:I711)</f>
        <v>22.3702222304811</v>
      </c>
      <c r="K711" s="270" t="n">
        <f aca="false">J711/SUM($J$7:$J$749)</f>
        <v>2.478032518489E-006</v>
      </c>
      <c r="L711" s="271" t="n">
        <f aca="false">K711+L710</f>
        <v>0.999930244027158</v>
      </c>
    </row>
    <row r="712" customFormat="false" ht="25.5" hidden="false" customHeight="false" outlineLevel="0" collapsed="false">
      <c r="A712" s="264" t="n">
        <f aca="false">K712</f>
        <v>2.478032518489E-006</v>
      </c>
      <c r="B712" s="265" t="str">
        <f aca="false">VLOOKUP($C712,01_SINTETICO!$B:$N,13,0)</f>
        <v>11.6.2.25</v>
      </c>
      <c r="C712" s="272" t="n">
        <v>89440</v>
      </c>
      <c r="D712" s="266" t="str">
        <f aca="false">VLOOKUP($C712,01_SINTETICO!$B:$M,2,0)</f>
        <v>TE, PVC, SOLDÁVEL, DN 25MM, INSTALADO EM RAMAL DE DISTRIBUIÇÃO DE ÁGUA - FORNECIMENTO E INSTALAÇÃO. AF_06/2022</v>
      </c>
      <c r="E712" s="272" t="str">
        <f aca="false">VLOOKUP($B712,01_SINTETICO!$A:$M,4,0)</f>
        <v>SER.CG</v>
      </c>
      <c r="F712" s="273" t="str">
        <f aca="false">VLOOKUP($B712,01_SINTETICO!$A:$M,5,0)</f>
        <v>UN</v>
      </c>
      <c r="G712" s="267" t="n">
        <f aca="true">SUMIFS(INDIRECT("'01_SINTETICO'!F7:F995"),INDIRECT("'01_SINTETICO'!B7:B995"),$C712)</f>
        <v>2</v>
      </c>
      <c r="H712" s="268" t="n">
        <f aca="false">VLOOKUP($C712,01_SINTETICO!$B:$M,6,0)*$G712*(1+BDI_MAT)</f>
        <v>12.860130478</v>
      </c>
      <c r="I712" s="268" t="n">
        <f aca="false">VLOOKUP($C712,01_SINTETICO!$B:$M,7,0)*$G712*(1+BDI_MDO)</f>
        <v>9.51009175248106</v>
      </c>
      <c r="J712" s="269" t="n">
        <f aca="false">SUM(H712:I712)</f>
        <v>22.3702222304811</v>
      </c>
      <c r="K712" s="270" t="n">
        <f aca="false">J712/SUM($J$7:$J$749)</f>
        <v>2.478032518489E-006</v>
      </c>
      <c r="L712" s="271" t="n">
        <f aca="false">K712+L711</f>
        <v>0.999932722059677</v>
      </c>
    </row>
    <row r="713" customFormat="false" ht="25.5" hidden="false" customHeight="false" outlineLevel="0" collapsed="false">
      <c r="A713" s="264" t="n">
        <f aca="false">K713</f>
        <v>2.3358208181394E-006</v>
      </c>
      <c r="B713" s="265" t="str">
        <f aca="false">VLOOKUP($C713,01_SINTETICO!$B:$N,13,0)</f>
        <v>11.1.1.2</v>
      </c>
      <c r="C713" s="272" t="n">
        <v>103042</v>
      </c>
      <c r="D713" s="266" t="str">
        <f aca="false">VLOOKUP($C713,01_SINTETICO!$B:$M,2,0)</f>
        <v>REGISTRO DE ESFERA, PVC, ROSCÁVEL, COM BORBOLETA, 3/4" - FORNECIMENTO E INSTALAÇÃO. AF_08/2021</v>
      </c>
      <c r="E713" s="272" t="str">
        <f aca="false">VLOOKUP($B713,01_SINTETICO!$A:$M,4,0)</f>
        <v>SER.CG</v>
      </c>
      <c r="F713" s="273" t="str">
        <f aca="false">VLOOKUP($B713,01_SINTETICO!$A:$M,5,0)</f>
        <v>UN</v>
      </c>
      <c r="G713" s="267" t="n">
        <f aca="true">SUMIFS(INDIRECT("'01_SINTETICO'!F7:F995"),INDIRECT("'01_SINTETICO'!B7:B995"),$C713)</f>
        <v>1</v>
      </c>
      <c r="H713" s="268" t="n">
        <f aca="false">VLOOKUP($C713,01_SINTETICO!$B:$M,6,0)*$G713*(1+BDI_MAT)</f>
        <v>16.2981068528</v>
      </c>
      <c r="I713" s="268" t="n">
        <f aca="false">VLOOKUP($C713,01_SINTETICO!$B:$M,7,0)*$G713*(1+BDI_MDO)</f>
        <v>4.78831166773819</v>
      </c>
      <c r="J713" s="269" t="n">
        <f aca="false">SUM(H713:I713)</f>
        <v>21.0864185205382</v>
      </c>
      <c r="K713" s="270" t="n">
        <f aca="false">J713/SUM($J$7:$J$749)</f>
        <v>2.3358208181394E-006</v>
      </c>
      <c r="L713" s="271" t="n">
        <f aca="false">K713+L712</f>
        <v>0.999935057880495</v>
      </c>
    </row>
    <row r="714" customFormat="false" ht="25.5" hidden="false" customHeight="false" outlineLevel="0" collapsed="false">
      <c r="A714" s="264" t="n">
        <f aca="false">K714</f>
        <v>2.3358208181394E-006</v>
      </c>
      <c r="B714" s="265" t="str">
        <f aca="false">VLOOKUP($C714,01_SINTETICO!$B:$N,13,0)</f>
        <v>11.1.1.2</v>
      </c>
      <c r="C714" s="272" t="n">
        <v>103042</v>
      </c>
      <c r="D714" s="266" t="str">
        <f aca="false">VLOOKUP($C714,01_SINTETICO!$B:$M,2,0)</f>
        <v>REGISTRO DE ESFERA, PVC, ROSCÁVEL, COM BORBOLETA, 3/4" - FORNECIMENTO E INSTALAÇÃO. AF_08/2021</v>
      </c>
      <c r="E714" s="272" t="str">
        <f aca="false">VLOOKUP($B714,01_SINTETICO!$A:$M,4,0)</f>
        <v>SER.CG</v>
      </c>
      <c r="F714" s="273" t="str">
        <f aca="false">VLOOKUP($B714,01_SINTETICO!$A:$M,5,0)</f>
        <v>UN</v>
      </c>
      <c r="G714" s="267" t="n">
        <f aca="true">SUMIFS(INDIRECT("'01_SINTETICO'!F7:F995"),INDIRECT("'01_SINTETICO'!B7:B995"),$C714)</f>
        <v>1</v>
      </c>
      <c r="H714" s="268" t="n">
        <f aca="false">VLOOKUP($C714,01_SINTETICO!$B:$M,6,0)*$G714*(1+BDI_MAT)</f>
        <v>16.2981068528</v>
      </c>
      <c r="I714" s="268" t="n">
        <f aca="false">VLOOKUP($C714,01_SINTETICO!$B:$M,7,0)*$G714*(1+BDI_MDO)</f>
        <v>4.78831166773819</v>
      </c>
      <c r="J714" s="269" t="n">
        <f aca="false">SUM(H714:I714)</f>
        <v>21.0864185205382</v>
      </c>
      <c r="K714" s="270" t="n">
        <f aca="false">J714/SUM($J$7:$J$749)</f>
        <v>2.3358208181394E-006</v>
      </c>
      <c r="L714" s="271" t="n">
        <f aca="false">K714+L713</f>
        <v>0.999937393701313</v>
      </c>
    </row>
    <row r="715" customFormat="false" ht="25.5" hidden="false" customHeight="false" outlineLevel="0" collapsed="false">
      <c r="A715" s="264" t="n">
        <f aca="false">K715</f>
        <v>2.3358208181394E-006</v>
      </c>
      <c r="B715" s="265" t="str">
        <f aca="false">VLOOKUP($C715,01_SINTETICO!$B:$N,13,0)</f>
        <v>11.1.1.2</v>
      </c>
      <c r="C715" s="272" t="n">
        <v>103042</v>
      </c>
      <c r="D715" s="266" t="str">
        <f aca="false">VLOOKUP($C715,01_SINTETICO!$B:$M,2,0)</f>
        <v>REGISTRO DE ESFERA, PVC, ROSCÁVEL, COM BORBOLETA, 3/4" - FORNECIMENTO E INSTALAÇÃO. AF_08/2021</v>
      </c>
      <c r="E715" s="272" t="str">
        <f aca="false">VLOOKUP($B715,01_SINTETICO!$A:$M,4,0)</f>
        <v>SER.CG</v>
      </c>
      <c r="F715" s="273" t="str">
        <f aca="false">VLOOKUP($B715,01_SINTETICO!$A:$M,5,0)</f>
        <v>UN</v>
      </c>
      <c r="G715" s="267" t="n">
        <f aca="true">SUMIFS(INDIRECT("'01_SINTETICO'!F7:F995"),INDIRECT("'01_SINTETICO'!B7:B995"),$C715)</f>
        <v>1</v>
      </c>
      <c r="H715" s="268" t="n">
        <f aca="false">VLOOKUP($C715,01_SINTETICO!$B:$M,6,0)*$G715*(1+BDI_MAT)</f>
        <v>16.2981068528</v>
      </c>
      <c r="I715" s="268" t="n">
        <f aca="false">VLOOKUP($C715,01_SINTETICO!$B:$M,7,0)*$G715*(1+BDI_MDO)</f>
        <v>4.78831166773819</v>
      </c>
      <c r="J715" s="269" t="n">
        <f aca="false">SUM(H715:I715)</f>
        <v>21.0864185205382</v>
      </c>
      <c r="K715" s="270" t="n">
        <f aca="false">J715/SUM($J$7:$J$749)</f>
        <v>2.3358208181394E-006</v>
      </c>
      <c r="L715" s="271" t="n">
        <f aca="false">K715+L714</f>
        <v>0.999939729522131</v>
      </c>
    </row>
    <row r="716" customFormat="false" ht="25.5" hidden="false" customHeight="false" outlineLevel="0" collapsed="false">
      <c r="A716" s="264" t="n">
        <f aca="false">K716</f>
        <v>2.3358208181394E-006</v>
      </c>
      <c r="B716" s="265" t="str">
        <f aca="false">VLOOKUP($C716,01_SINTETICO!$B:$N,13,0)</f>
        <v>11.1.1.2</v>
      </c>
      <c r="C716" s="266" t="n">
        <v>103042</v>
      </c>
      <c r="D716" s="266" t="str">
        <f aca="false">VLOOKUP($C716,01_SINTETICO!$B:$M,2,0)</f>
        <v>REGISTRO DE ESFERA, PVC, ROSCÁVEL, COM BORBOLETA, 3/4" - FORNECIMENTO E INSTALAÇÃO. AF_08/2021</v>
      </c>
      <c r="E716" s="266" t="str">
        <f aca="false">VLOOKUP($B716,01_SINTETICO!$A:$M,4,0)</f>
        <v>SER.CG</v>
      </c>
      <c r="F716" s="267" t="str">
        <f aca="false">VLOOKUP($B716,01_SINTETICO!$A:$M,5,0)</f>
        <v>UN</v>
      </c>
      <c r="G716" s="267" t="n">
        <f aca="true">SUMIFS(INDIRECT("'01_SINTETICO'!F7:F995"),INDIRECT("'01_SINTETICO'!B7:B995"),$C716)</f>
        <v>1</v>
      </c>
      <c r="H716" s="268" t="n">
        <f aca="false">VLOOKUP($C716,01_SINTETICO!$B:$M,6,0)*$G716*(1+BDI_MAT)</f>
        <v>16.2981068528</v>
      </c>
      <c r="I716" s="268" t="n">
        <f aca="false">VLOOKUP($C716,01_SINTETICO!$B:$M,7,0)*$G716*(1+BDI_MDO)</f>
        <v>4.78831166773819</v>
      </c>
      <c r="J716" s="269" t="n">
        <f aca="false">SUM(H716:I716)</f>
        <v>21.0864185205382</v>
      </c>
      <c r="K716" s="270" t="n">
        <f aca="false">J716/SUM($J$7:$J$749)</f>
        <v>2.3358208181394E-006</v>
      </c>
      <c r="L716" s="271" t="n">
        <f aca="false">K716+L715</f>
        <v>0.999942065342949</v>
      </c>
    </row>
    <row r="717" customFormat="false" ht="25.5" hidden="false" customHeight="false" outlineLevel="0" collapsed="false">
      <c r="A717" s="264" t="n">
        <f aca="false">K717</f>
        <v>2.24171312404572E-006</v>
      </c>
      <c r="B717" s="265" t="str">
        <f aca="false">VLOOKUP($C717,01_SINTETICO!$B:$N,13,0)</f>
        <v>3.2.2.5.1.8</v>
      </c>
      <c r="C717" s="266" t="n">
        <v>97114</v>
      </c>
      <c r="D717" s="266" t="str">
        <f aca="false">VLOOKUP($C717,01_SINTETICO!$B:$M,2,0)</f>
        <v>EXECUÇÃO DE JUNTAS DE CONTRAÇÃO PARA PAVIMENTOS DE CONCRETO. AF_04/2022</v>
      </c>
      <c r="E717" s="266" t="str">
        <f aca="false">VLOOKUP($B717,01_SINTETICO!$A:$M,4,0)</f>
        <v>SER.CG</v>
      </c>
      <c r="F717" s="267" t="str">
        <f aca="false">VLOOKUP($B717,01_SINTETICO!$A:$M,5,0)</f>
        <v>M</v>
      </c>
      <c r="G717" s="267" t="n">
        <f aca="true">SUMIFS(INDIRECT("'01_SINTETICO'!F7:F995"),INDIRECT("'01_SINTETICO'!B7:B995"),$C717)</f>
        <v>41.6</v>
      </c>
      <c r="H717" s="268" t="n">
        <f aca="false">VLOOKUP($C717,01_SINTETICO!$B:$M,6,0)*$G717*(1+BDI_MAT)</f>
        <v>6.8939627029321</v>
      </c>
      <c r="I717" s="268" t="n">
        <f aca="false">VLOOKUP($C717,01_SINTETICO!$B:$M,7,0)*$G717*(1+BDI_MDO)</f>
        <v>13.3429068246989</v>
      </c>
      <c r="J717" s="269" t="n">
        <f aca="false">SUM(H717:I717)</f>
        <v>20.236869527631</v>
      </c>
      <c r="K717" s="270" t="n">
        <f aca="false">J717/SUM($J$7:$J$749)</f>
        <v>2.24171312404572E-006</v>
      </c>
      <c r="L717" s="271" t="n">
        <f aca="false">K717+L716</f>
        <v>0.999944307056073</v>
      </c>
    </row>
    <row r="718" customFormat="false" ht="25.5" hidden="false" customHeight="false" outlineLevel="0" collapsed="false">
      <c r="A718" s="264" t="n">
        <f aca="false">K718</f>
        <v>2.24171312404572E-006</v>
      </c>
      <c r="B718" s="265" t="str">
        <f aca="false">VLOOKUP($C718,01_SINTETICO!$B:$N,13,0)</f>
        <v>3.2.2.5.1.8</v>
      </c>
      <c r="C718" s="266" t="n">
        <v>97114</v>
      </c>
      <c r="D718" s="266" t="str">
        <f aca="false">VLOOKUP($C718,01_SINTETICO!$B:$M,2,0)</f>
        <v>EXECUÇÃO DE JUNTAS DE CONTRAÇÃO PARA PAVIMENTOS DE CONCRETO. AF_04/2022</v>
      </c>
      <c r="E718" s="266" t="str">
        <f aca="false">VLOOKUP($B718,01_SINTETICO!$A:$M,4,0)</f>
        <v>SER.CG</v>
      </c>
      <c r="F718" s="267" t="str">
        <f aca="false">VLOOKUP($B718,01_SINTETICO!$A:$M,5,0)</f>
        <v>M</v>
      </c>
      <c r="G718" s="267" t="n">
        <f aca="true">SUMIFS(INDIRECT("'01_SINTETICO'!F7:F995"),INDIRECT("'01_SINTETICO'!B7:B995"),$C718)</f>
        <v>41.6</v>
      </c>
      <c r="H718" s="268" t="n">
        <f aca="false">VLOOKUP($C718,01_SINTETICO!$B:$M,6,0)*$G718*(1+BDI_MAT)</f>
        <v>6.8939627029321</v>
      </c>
      <c r="I718" s="268" t="n">
        <f aca="false">VLOOKUP($C718,01_SINTETICO!$B:$M,7,0)*$G718*(1+BDI_MDO)</f>
        <v>13.3429068246989</v>
      </c>
      <c r="J718" s="269" t="n">
        <f aca="false">SUM(H718:I718)</f>
        <v>20.236869527631</v>
      </c>
      <c r="K718" s="270" t="n">
        <f aca="false">J718/SUM($J$7:$J$749)</f>
        <v>2.24171312404572E-006</v>
      </c>
      <c r="L718" s="271" t="n">
        <f aca="false">K718+L717</f>
        <v>0.999946548769197</v>
      </c>
    </row>
    <row r="719" customFormat="false" ht="25.5" hidden="false" customHeight="false" outlineLevel="0" collapsed="false">
      <c r="A719" s="264" t="n">
        <f aca="false">K719</f>
        <v>2.24171312404572E-006</v>
      </c>
      <c r="B719" s="265" t="str">
        <f aca="false">VLOOKUP($C719,01_SINTETICO!$B:$N,13,0)</f>
        <v>3.2.2.5.1.8</v>
      </c>
      <c r="C719" s="266" t="n">
        <v>97114</v>
      </c>
      <c r="D719" s="266" t="str">
        <f aca="false">VLOOKUP($C719,01_SINTETICO!$B:$M,2,0)</f>
        <v>EXECUÇÃO DE JUNTAS DE CONTRAÇÃO PARA PAVIMENTOS DE CONCRETO. AF_04/2022</v>
      </c>
      <c r="E719" s="266" t="str">
        <f aca="false">VLOOKUP($B719,01_SINTETICO!$A:$M,4,0)</f>
        <v>SER.CG</v>
      </c>
      <c r="F719" s="267" t="str">
        <f aca="false">VLOOKUP($B719,01_SINTETICO!$A:$M,5,0)</f>
        <v>M</v>
      </c>
      <c r="G719" s="267" t="n">
        <f aca="true">SUMIFS(INDIRECT("'01_SINTETICO'!F7:F995"),INDIRECT("'01_SINTETICO'!B7:B995"),$C719)</f>
        <v>41.6</v>
      </c>
      <c r="H719" s="268" t="n">
        <f aca="false">VLOOKUP($C719,01_SINTETICO!$B:$M,6,0)*$G719*(1+BDI_MAT)</f>
        <v>6.8939627029321</v>
      </c>
      <c r="I719" s="268" t="n">
        <f aca="false">VLOOKUP($C719,01_SINTETICO!$B:$M,7,0)*$G719*(1+BDI_MDO)</f>
        <v>13.3429068246989</v>
      </c>
      <c r="J719" s="269" t="n">
        <f aca="false">SUM(H719:I719)</f>
        <v>20.236869527631</v>
      </c>
      <c r="K719" s="270" t="n">
        <f aca="false">J719/SUM($J$7:$J$749)</f>
        <v>2.24171312404572E-006</v>
      </c>
      <c r="L719" s="271" t="n">
        <f aca="false">K719+L718</f>
        <v>0.999948790482321</v>
      </c>
    </row>
    <row r="720" customFormat="false" ht="25.5" hidden="false" customHeight="false" outlineLevel="0" collapsed="false">
      <c r="A720" s="264" t="n">
        <f aca="false">K720</f>
        <v>2.24171312404572E-006</v>
      </c>
      <c r="B720" s="265" t="str">
        <f aca="false">VLOOKUP($C720,01_SINTETICO!$B:$N,13,0)</f>
        <v>3.2.2.5.1.8</v>
      </c>
      <c r="C720" s="266" t="n">
        <v>97114</v>
      </c>
      <c r="D720" s="266" t="str">
        <f aca="false">VLOOKUP($C720,01_SINTETICO!$B:$M,2,0)</f>
        <v>EXECUÇÃO DE JUNTAS DE CONTRAÇÃO PARA PAVIMENTOS DE CONCRETO. AF_04/2022</v>
      </c>
      <c r="E720" s="266" t="str">
        <f aca="false">VLOOKUP($B720,01_SINTETICO!$A:$M,4,0)</f>
        <v>SER.CG</v>
      </c>
      <c r="F720" s="267" t="str">
        <f aca="false">VLOOKUP($B720,01_SINTETICO!$A:$M,5,0)</f>
        <v>M</v>
      </c>
      <c r="G720" s="267" t="n">
        <f aca="true">SUMIFS(INDIRECT("'01_SINTETICO'!F7:F995"),INDIRECT("'01_SINTETICO'!B7:B995"),$C720)</f>
        <v>41.6</v>
      </c>
      <c r="H720" s="268" t="n">
        <f aca="false">VLOOKUP($C720,01_SINTETICO!$B:$M,6,0)*$G720*(1+BDI_MAT)</f>
        <v>6.8939627029321</v>
      </c>
      <c r="I720" s="268" t="n">
        <f aca="false">VLOOKUP($C720,01_SINTETICO!$B:$M,7,0)*$G720*(1+BDI_MDO)</f>
        <v>13.3429068246989</v>
      </c>
      <c r="J720" s="269" t="n">
        <f aca="false">SUM(H720:I720)</f>
        <v>20.236869527631</v>
      </c>
      <c r="K720" s="270" t="n">
        <f aca="false">J720/SUM($J$7:$J$749)</f>
        <v>2.24171312404572E-006</v>
      </c>
      <c r="L720" s="271" t="n">
        <f aca="false">K720+L719</f>
        <v>0.999951032195445</v>
      </c>
    </row>
    <row r="721" customFormat="false" ht="25.5" hidden="false" customHeight="false" outlineLevel="0" collapsed="false">
      <c r="A721" s="264" t="n">
        <f aca="false">K721</f>
        <v>2.03735877025997E-006</v>
      </c>
      <c r="B721" s="265" t="str">
        <f aca="false">VLOOKUP($C721,01_SINTETICO!$B:$N,13,0)</f>
        <v>11.1.1.1</v>
      </c>
      <c r="C721" s="266" t="n">
        <v>103046</v>
      </c>
      <c r="D721" s="266" t="str">
        <f aca="false">VLOOKUP($C721,01_SINTETICO!$B:$M,2,0)</f>
        <v>REGISTRO DE PRESSÃO, PVC, ROSCÁVEL, VOLANTE SIMPLES, 3/4" - FORNECIMENTO E INSTALAÇÃO. AF_08/2021</v>
      </c>
      <c r="E721" s="266" t="str">
        <f aca="false">VLOOKUP($B721,01_SINTETICO!$A:$M,4,0)</f>
        <v>SER.CG</v>
      </c>
      <c r="F721" s="267" t="str">
        <f aca="false">VLOOKUP($B721,01_SINTETICO!$A:$M,5,0)</f>
        <v>UN</v>
      </c>
      <c r="G721" s="267" t="n">
        <f aca="true">SUMIFS(INDIRECT("'01_SINTETICO'!F7:F995"),INDIRECT("'01_SINTETICO'!B7:B995"),$C721)</f>
        <v>1</v>
      </c>
      <c r="H721" s="268" t="n">
        <f aca="false">VLOOKUP($C721,01_SINTETICO!$B:$M,6,0)*$G721*(1+BDI_MAT)</f>
        <v>15.50021279</v>
      </c>
      <c r="I721" s="268" t="n">
        <f aca="false">VLOOKUP($C721,01_SINTETICO!$B:$M,7,0)*$G721*(1+BDI_MDO)</f>
        <v>2.89186564879529</v>
      </c>
      <c r="J721" s="269" t="n">
        <f aca="false">SUM(H721:I721)</f>
        <v>18.3920784387953</v>
      </c>
      <c r="K721" s="270" t="n">
        <f aca="false">J721/SUM($J$7:$J$749)</f>
        <v>2.03735877025997E-006</v>
      </c>
      <c r="L721" s="271" t="n">
        <f aca="false">K721+L720</f>
        <v>0.999953069554215</v>
      </c>
    </row>
    <row r="722" customFormat="false" ht="25.5" hidden="false" customHeight="false" outlineLevel="0" collapsed="false">
      <c r="A722" s="264" t="n">
        <f aca="false">K722</f>
        <v>2.03735877025997E-006</v>
      </c>
      <c r="B722" s="265" t="str">
        <f aca="false">VLOOKUP($C722,01_SINTETICO!$B:$N,13,0)</f>
        <v>11.1.1.1</v>
      </c>
      <c r="C722" s="272" t="n">
        <v>103046</v>
      </c>
      <c r="D722" s="266" t="str">
        <f aca="false">VLOOKUP($C722,01_SINTETICO!$B:$M,2,0)</f>
        <v>REGISTRO DE PRESSÃO, PVC, ROSCÁVEL, VOLANTE SIMPLES, 3/4" - FORNECIMENTO E INSTALAÇÃO. AF_08/2021</v>
      </c>
      <c r="E722" s="272" t="str">
        <f aca="false">VLOOKUP($B722,01_SINTETICO!$A:$M,4,0)</f>
        <v>SER.CG</v>
      </c>
      <c r="F722" s="273" t="str">
        <f aca="false">VLOOKUP($B722,01_SINTETICO!$A:$M,5,0)</f>
        <v>UN</v>
      </c>
      <c r="G722" s="267" t="n">
        <f aca="true">SUMIFS(INDIRECT("'01_SINTETICO'!F7:F995"),INDIRECT("'01_SINTETICO'!B7:B995"),$C722)</f>
        <v>1</v>
      </c>
      <c r="H722" s="268" t="n">
        <f aca="false">VLOOKUP($C722,01_SINTETICO!$B:$M,6,0)*$G722*(1+BDI_MAT)</f>
        <v>15.50021279</v>
      </c>
      <c r="I722" s="268" t="n">
        <f aca="false">VLOOKUP($C722,01_SINTETICO!$B:$M,7,0)*$G722*(1+BDI_MDO)</f>
        <v>2.89186564879529</v>
      </c>
      <c r="J722" s="269" t="n">
        <f aca="false">SUM(H722:I722)</f>
        <v>18.3920784387953</v>
      </c>
      <c r="K722" s="270" t="n">
        <f aca="false">J722/SUM($J$7:$J$749)</f>
        <v>2.03735877025997E-006</v>
      </c>
      <c r="L722" s="271" t="n">
        <f aca="false">K722+L721</f>
        <v>0.999955106912986</v>
      </c>
    </row>
    <row r="723" customFormat="false" ht="25.5" hidden="false" customHeight="false" outlineLevel="0" collapsed="false">
      <c r="A723" s="264" t="n">
        <f aca="false">K723</f>
        <v>2.03735877025997E-006</v>
      </c>
      <c r="B723" s="265" t="str">
        <f aca="false">VLOOKUP($C723,01_SINTETICO!$B:$N,13,0)</f>
        <v>11.1.1.1</v>
      </c>
      <c r="C723" s="266" t="n">
        <v>103046</v>
      </c>
      <c r="D723" s="266" t="str">
        <f aca="false">VLOOKUP($C723,01_SINTETICO!$B:$M,2,0)</f>
        <v>REGISTRO DE PRESSÃO, PVC, ROSCÁVEL, VOLANTE SIMPLES, 3/4" - FORNECIMENTO E INSTALAÇÃO. AF_08/2021</v>
      </c>
      <c r="E723" s="266" t="str">
        <f aca="false">VLOOKUP($B723,01_SINTETICO!$A:$M,4,0)</f>
        <v>SER.CG</v>
      </c>
      <c r="F723" s="267" t="str">
        <f aca="false">VLOOKUP($B723,01_SINTETICO!$A:$M,5,0)</f>
        <v>UN</v>
      </c>
      <c r="G723" s="267" t="n">
        <f aca="true">SUMIFS(INDIRECT("'01_SINTETICO'!F7:F995"),INDIRECT("'01_SINTETICO'!B7:B995"),$C723)</f>
        <v>1</v>
      </c>
      <c r="H723" s="268" t="n">
        <f aca="false">VLOOKUP($C723,01_SINTETICO!$B:$M,6,0)*$G723*(1+BDI_MAT)</f>
        <v>15.50021279</v>
      </c>
      <c r="I723" s="268" t="n">
        <f aca="false">VLOOKUP($C723,01_SINTETICO!$B:$M,7,0)*$G723*(1+BDI_MDO)</f>
        <v>2.89186564879529</v>
      </c>
      <c r="J723" s="269" t="n">
        <f aca="false">SUM(H723:I723)</f>
        <v>18.3920784387953</v>
      </c>
      <c r="K723" s="270" t="n">
        <f aca="false">J723/SUM($J$7:$J$749)</f>
        <v>2.03735877025997E-006</v>
      </c>
      <c r="L723" s="271" t="n">
        <f aca="false">K723+L722</f>
        <v>0.999957144271756</v>
      </c>
    </row>
    <row r="724" customFormat="false" ht="25.5" hidden="false" customHeight="false" outlineLevel="0" collapsed="false">
      <c r="A724" s="264" t="n">
        <f aca="false">K724</f>
        <v>2.03735877025997E-006</v>
      </c>
      <c r="B724" s="265" t="str">
        <f aca="false">VLOOKUP($C724,01_SINTETICO!$B:$N,13,0)</f>
        <v>11.1.1.1</v>
      </c>
      <c r="C724" s="266" t="n">
        <v>103046</v>
      </c>
      <c r="D724" s="266" t="str">
        <f aca="false">VLOOKUP($C724,01_SINTETICO!$B:$M,2,0)</f>
        <v>REGISTRO DE PRESSÃO, PVC, ROSCÁVEL, VOLANTE SIMPLES, 3/4" - FORNECIMENTO E INSTALAÇÃO. AF_08/2021</v>
      </c>
      <c r="E724" s="266" t="str">
        <f aca="false">VLOOKUP($B724,01_SINTETICO!$A:$M,4,0)</f>
        <v>SER.CG</v>
      </c>
      <c r="F724" s="267" t="str">
        <f aca="false">VLOOKUP($B724,01_SINTETICO!$A:$M,5,0)</f>
        <v>UN</v>
      </c>
      <c r="G724" s="267" t="n">
        <f aca="true">SUMIFS(INDIRECT("'01_SINTETICO'!F7:F995"),INDIRECT("'01_SINTETICO'!B7:B995"),$C724)</f>
        <v>1</v>
      </c>
      <c r="H724" s="268" t="n">
        <f aca="false">VLOOKUP($C724,01_SINTETICO!$B:$M,6,0)*$G724*(1+BDI_MAT)</f>
        <v>15.50021279</v>
      </c>
      <c r="I724" s="268" t="n">
        <f aca="false">VLOOKUP($C724,01_SINTETICO!$B:$M,7,0)*$G724*(1+BDI_MDO)</f>
        <v>2.89186564879529</v>
      </c>
      <c r="J724" s="269" t="n">
        <f aca="false">SUM(H724:I724)</f>
        <v>18.3920784387953</v>
      </c>
      <c r="K724" s="270" t="n">
        <f aca="false">J724/SUM($J$7:$J$749)</f>
        <v>2.03735877025997E-006</v>
      </c>
      <c r="L724" s="271" t="n">
        <f aca="false">K724+L723</f>
        <v>0.999959181630526</v>
      </c>
    </row>
    <row r="725" customFormat="false" ht="25.5" hidden="false" customHeight="false" outlineLevel="0" collapsed="false">
      <c r="A725" s="264" t="n">
        <f aca="false">K725</f>
        <v>2.03262201721843E-006</v>
      </c>
      <c r="B725" s="265" t="str">
        <f aca="false">VLOOKUP($C725,01_SINTETICO!$B:$N,13,0)</f>
        <v>12.2.1.5</v>
      </c>
      <c r="C725" s="266" t="s">
        <v>904</v>
      </c>
      <c r="D725" s="266" t="str">
        <f aca="false">VLOOKUP($C725,01_SINTETICO!$B:$M,2,0)</f>
        <v>CURVA 90 GRAUS PARA ELETRODUTO, AÇO GALVANIZADO, DN 25 MM (1"), APARENTE - FORNECIMENTO E INSTALAÇÃO.</v>
      </c>
      <c r="E725" s="266" t="str">
        <f aca="false">VLOOKUP($B725,01_SINTETICO!$A:$M,4,0)</f>
        <v>SER.CG</v>
      </c>
      <c r="F725" s="267" t="str">
        <f aca="false">VLOOKUP($B725,01_SINTETICO!$A:$M,5,0)</f>
        <v>UN</v>
      </c>
      <c r="G725" s="267" t="n">
        <f aca="true">SUMIFS(INDIRECT("'01_SINTETICO'!F7:F995"),INDIRECT("'01_SINTETICO'!B7:B995"),$C725)</f>
        <v>1</v>
      </c>
      <c r="H725" s="268" t="n">
        <f aca="false">VLOOKUP($C725,01_SINTETICO!$B:$M,6,0)*$G725*(1+BDI_MAT)</f>
        <v>9.3700221392</v>
      </c>
      <c r="I725" s="268" t="n">
        <f aca="false">VLOOKUP($C725,01_SINTETICO!$B:$M,7,0)*$G725*(1+BDI_MDO)</f>
        <v>8.97929567502739</v>
      </c>
      <c r="J725" s="269" t="n">
        <f aca="false">SUM(H725:I725)</f>
        <v>18.3493178142274</v>
      </c>
      <c r="K725" s="270" t="n">
        <f aca="false">J725/SUM($J$7:$J$749)</f>
        <v>2.03262201721843E-006</v>
      </c>
      <c r="L725" s="271" t="n">
        <f aca="false">K725+L724</f>
        <v>0.999961214252543</v>
      </c>
    </row>
    <row r="726" customFormat="false" ht="25.5" hidden="false" customHeight="false" outlineLevel="0" collapsed="false">
      <c r="A726" s="264" t="n">
        <f aca="false">K726</f>
        <v>2.03262201721843E-006</v>
      </c>
      <c r="B726" s="265" t="str">
        <f aca="false">VLOOKUP($C726,01_SINTETICO!$B:$N,13,0)</f>
        <v>12.2.1.5</v>
      </c>
      <c r="C726" s="272" t="s">
        <v>904</v>
      </c>
      <c r="D726" s="266" t="str">
        <f aca="false">VLOOKUP($C726,01_SINTETICO!$B:$M,2,0)</f>
        <v>CURVA 90 GRAUS PARA ELETRODUTO, AÇO GALVANIZADO, DN 25 MM (1"), APARENTE - FORNECIMENTO E INSTALAÇÃO.</v>
      </c>
      <c r="E726" s="272" t="str">
        <f aca="false">VLOOKUP($B726,01_SINTETICO!$A:$M,4,0)</f>
        <v>SER.CG</v>
      </c>
      <c r="F726" s="273" t="str">
        <f aca="false">VLOOKUP($B726,01_SINTETICO!$A:$M,5,0)</f>
        <v>UN</v>
      </c>
      <c r="G726" s="267" t="n">
        <f aca="true">SUMIFS(INDIRECT("'01_SINTETICO'!F7:F995"),INDIRECT("'01_SINTETICO'!B7:B995"),$C726)</f>
        <v>1</v>
      </c>
      <c r="H726" s="268" t="n">
        <f aca="false">VLOOKUP($C726,01_SINTETICO!$B:$M,6,0)*$G726*(1+BDI_MAT)</f>
        <v>9.3700221392</v>
      </c>
      <c r="I726" s="268" t="n">
        <f aca="false">VLOOKUP($C726,01_SINTETICO!$B:$M,7,0)*$G726*(1+BDI_MDO)</f>
        <v>8.97929567502739</v>
      </c>
      <c r="J726" s="269" t="n">
        <f aca="false">SUM(H726:I726)</f>
        <v>18.3493178142274</v>
      </c>
      <c r="K726" s="270" t="n">
        <f aca="false">J726/SUM($J$7:$J$749)</f>
        <v>2.03262201721843E-006</v>
      </c>
      <c r="L726" s="271" t="n">
        <f aca="false">K726+L725</f>
        <v>0.999963246874561</v>
      </c>
    </row>
    <row r="727" customFormat="false" ht="25.5" hidden="false" customHeight="false" outlineLevel="0" collapsed="false">
      <c r="A727" s="264" t="n">
        <f aca="false">K727</f>
        <v>2.03262201721843E-006</v>
      </c>
      <c r="B727" s="265" t="str">
        <f aca="false">VLOOKUP($C727,01_SINTETICO!$B:$N,13,0)</f>
        <v>12.2.1.5</v>
      </c>
      <c r="C727" s="272" t="s">
        <v>904</v>
      </c>
      <c r="D727" s="266" t="str">
        <f aca="false">VLOOKUP($C727,01_SINTETICO!$B:$M,2,0)</f>
        <v>CURVA 90 GRAUS PARA ELETRODUTO, AÇO GALVANIZADO, DN 25 MM (1"), APARENTE - FORNECIMENTO E INSTALAÇÃO.</v>
      </c>
      <c r="E727" s="272" t="str">
        <f aca="false">VLOOKUP($B727,01_SINTETICO!$A:$M,4,0)</f>
        <v>SER.CG</v>
      </c>
      <c r="F727" s="273" t="str">
        <f aca="false">VLOOKUP($B727,01_SINTETICO!$A:$M,5,0)</f>
        <v>UN</v>
      </c>
      <c r="G727" s="267" t="n">
        <f aca="true">SUMIFS(INDIRECT("'01_SINTETICO'!F7:F995"),INDIRECT("'01_SINTETICO'!B7:B995"),$C727)</f>
        <v>1</v>
      </c>
      <c r="H727" s="268" t="n">
        <f aca="false">VLOOKUP($C727,01_SINTETICO!$B:$M,6,0)*$G727*(1+BDI_MAT)</f>
        <v>9.3700221392</v>
      </c>
      <c r="I727" s="268" t="n">
        <f aca="false">VLOOKUP($C727,01_SINTETICO!$B:$M,7,0)*$G727*(1+BDI_MDO)</f>
        <v>8.97929567502739</v>
      </c>
      <c r="J727" s="269" t="n">
        <f aca="false">SUM(H727:I727)</f>
        <v>18.3493178142274</v>
      </c>
      <c r="K727" s="270" t="n">
        <f aca="false">J727/SUM($J$7:$J$749)</f>
        <v>2.03262201721843E-006</v>
      </c>
      <c r="L727" s="271" t="n">
        <f aca="false">K727+L726</f>
        <v>0.999965279496578</v>
      </c>
    </row>
    <row r="728" customFormat="false" ht="25.5" hidden="false" customHeight="false" outlineLevel="0" collapsed="false">
      <c r="A728" s="264" t="n">
        <f aca="false">K728</f>
        <v>2.03262201721843E-006</v>
      </c>
      <c r="B728" s="265" t="str">
        <f aca="false">VLOOKUP($C728,01_SINTETICO!$B:$N,13,0)</f>
        <v>12.2.1.5</v>
      </c>
      <c r="C728" s="272" t="s">
        <v>904</v>
      </c>
      <c r="D728" s="266" t="str">
        <f aca="false">VLOOKUP($C728,01_SINTETICO!$B:$M,2,0)</f>
        <v>CURVA 90 GRAUS PARA ELETRODUTO, AÇO GALVANIZADO, DN 25 MM (1"), APARENTE - FORNECIMENTO E INSTALAÇÃO.</v>
      </c>
      <c r="E728" s="272" t="str">
        <f aca="false">VLOOKUP($B728,01_SINTETICO!$A:$M,4,0)</f>
        <v>SER.CG</v>
      </c>
      <c r="F728" s="273" t="str">
        <f aca="false">VLOOKUP($B728,01_SINTETICO!$A:$M,5,0)</f>
        <v>UN</v>
      </c>
      <c r="G728" s="267" t="n">
        <f aca="true">SUMIFS(INDIRECT("'01_SINTETICO'!F7:F995"),INDIRECT("'01_SINTETICO'!B7:B995"),$C728)</f>
        <v>1</v>
      </c>
      <c r="H728" s="268" t="n">
        <f aca="false">VLOOKUP($C728,01_SINTETICO!$B:$M,6,0)*$G728*(1+BDI_MAT)</f>
        <v>9.3700221392</v>
      </c>
      <c r="I728" s="268" t="n">
        <f aca="false">VLOOKUP($C728,01_SINTETICO!$B:$M,7,0)*$G728*(1+BDI_MDO)</f>
        <v>8.97929567502739</v>
      </c>
      <c r="J728" s="269" t="n">
        <f aca="false">SUM(H728:I728)</f>
        <v>18.3493178142274</v>
      </c>
      <c r="K728" s="270" t="n">
        <f aca="false">J728/SUM($J$7:$J$749)</f>
        <v>2.03262201721843E-006</v>
      </c>
      <c r="L728" s="271" t="n">
        <f aca="false">K728+L727</f>
        <v>0.999967312118595</v>
      </c>
    </row>
    <row r="729" customFormat="false" ht="25.5" hidden="false" customHeight="false" outlineLevel="0" collapsed="false">
      <c r="A729" s="264" t="n">
        <f aca="false">K729</f>
        <v>1.95164242259081E-006</v>
      </c>
      <c r="B729" s="265" t="str">
        <f aca="false">VLOOKUP($C729,01_SINTETICO!$B:$N,13,0)</f>
        <v>11.6.2.8</v>
      </c>
      <c r="C729" s="266" t="n">
        <v>103957</v>
      </c>
      <c r="D729" s="266" t="str">
        <f aca="false">VLOOKUP($C729,01_SINTETICO!$B:$M,2,0)</f>
        <v>BUCHA DE REDUÇÃO, CURTA, PVC, SOLDÁVEL, DN 32 X 25 MM, INSTALADO EM PRUMADA DE ÁGUA - FORNECIMENTO E INSTALAÇÃO. AF_06/2022</v>
      </c>
      <c r="E729" s="266" t="str">
        <f aca="false">VLOOKUP($B729,01_SINTETICO!$A:$M,4,0)</f>
        <v>SER.CG</v>
      </c>
      <c r="F729" s="267" t="str">
        <f aca="false">VLOOKUP($B729,01_SINTETICO!$A:$M,5,0)</f>
        <v>UN</v>
      </c>
      <c r="G729" s="267" t="n">
        <f aca="true">SUMIFS(INDIRECT("'01_SINTETICO'!F7:F995"),INDIRECT("'01_SINTETICO'!B7:B995"),$C729)</f>
        <v>4</v>
      </c>
      <c r="H729" s="268" t="n">
        <f aca="false">VLOOKUP($C729,01_SINTETICO!$B:$M,6,0)*$G729*(1+BDI_MAT)</f>
        <v>14.0112481488</v>
      </c>
      <c r="I729" s="268" t="n">
        <f aca="false">VLOOKUP($C729,01_SINTETICO!$B:$M,7,0)*$G729*(1+BDI_MDO)</f>
        <v>3.60703344437779</v>
      </c>
      <c r="J729" s="269" t="n">
        <f aca="false">SUM(H729:I729)</f>
        <v>17.6182815931778</v>
      </c>
      <c r="K729" s="270" t="n">
        <f aca="false">J729/SUM($J$7:$J$749)</f>
        <v>1.95164242259081E-006</v>
      </c>
      <c r="L729" s="271" t="n">
        <f aca="false">K729+L728</f>
        <v>0.999969263761018</v>
      </c>
    </row>
    <row r="730" customFormat="false" ht="25.5" hidden="false" customHeight="false" outlineLevel="0" collapsed="false">
      <c r="A730" s="264" t="n">
        <f aca="false">K730</f>
        <v>1.95164242259081E-006</v>
      </c>
      <c r="B730" s="265" t="str">
        <f aca="false">VLOOKUP($C730,01_SINTETICO!$B:$N,13,0)</f>
        <v>11.6.2.8</v>
      </c>
      <c r="C730" s="266" t="n">
        <v>103957</v>
      </c>
      <c r="D730" s="266" t="str">
        <f aca="false">VLOOKUP($C730,01_SINTETICO!$B:$M,2,0)</f>
        <v>BUCHA DE REDUÇÃO, CURTA, PVC, SOLDÁVEL, DN 32 X 25 MM, INSTALADO EM PRUMADA DE ÁGUA - FORNECIMENTO E INSTALAÇÃO. AF_06/2022</v>
      </c>
      <c r="E730" s="266" t="str">
        <f aca="false">VLOOKUP($B730,01_SINTETICO!$A:$M,4,0)</f>
        <v>SER.CG</v>
      </c>
      <c r="F730" s="267" t="str">
        <f aca="false">VLOOKUP($B730,01_SINTETICO!$A:$M,5,0)</f>
        <v>UN</v>
      </c>
      <c r="G730" s="267" t="n">
        <f aca="true">SUMIFS(INDIRECT("'01_SINTETICO'!F7:F995"),INDIRECT("'01_SINTETICO'!B7:B995"),$C730)</f>
        <v>4</v>
      </c>
      <c r="H730" s="268" t="n">
        <f aca="false">VLOOKUP($C730,01_SINTETICO!$B:$M,6,0)*$G730*(1+BDI_MAT)</f>
        <v>14.0112481488</v>
      </c>
      <c r="I730" s="268" t="n">
        <f aca="false">VLOOKUP($C730,01_SINTETICO!$B:$M,7,0)*$G730*(1+BDI_MDO)</f>
        <v>3.60703344437779</v>
      </c>
      <c r="J730" s="269" t="n">
        <f aca="false">SUM(H730:I730)</f>
        <v>17.6182815931778</v>
      </c>
      <c r="K730" s="270" t="n">
        <f aca="false">J730/SUM($J$7:$J$749)</f>
        <v>1.95164242259081E-006</v>
      </c>
      <c r="L730" s="271" t="n">
        <f aca="false">K730+L729</f>
        <v>0.99997121540344</v>
      </c>
    </row>
    <row r="731" customFormat="false" ht="25.5" hidden="false" customHeight="false" outlineLevel="0" collapsed="false">
      <c r="A731" s="264" t="n">
        <f aca="false">K731</f>
        <v>1.95164242259081E-006</v>
      </c>
      <c r="B731" s="265" t="str">
        <f aca="false">VLOOKUP($C731,01_SINTETICO!$B:$N,13,0)</f>
        <v>11.6.2.8</v>
      </c>
      <c r="C731" s="272" t="n">
        <v>103957</v>
      </c>
      <c r="D731" s="266" t="str">
        <f aca="false">VLOOKUP($C731,01_SINTETICO!$B:$M,2,0)</f>
        <v>BUCHA DE REDUÇÃO, CURTA, PVC, SOLDÁVEL, DN 32 X 25 MM, INSTALADO EM PRUMADA DE ÁGUA - FORNECIMENTO E INSTALAÇÃO. AF_06/2022</v>
      </c>
      <c r="E731" s="272" t="str">
        <f aca="false">VLOOKUP($B731,01_SINTETICO!$A:$M,4,0)</f>
        <v>SER.CG</v>
      </c>
      <c r="F731" s="273" t="str">
        <f aca="false">VLOOKUP($B731,01_SINTETICO!$A:$M,5,0)</f>
        <v>UN</v>
      </c>
      <c r="G731" s="267" t="n">
        <f aca="true">SUMIFS(INDIRECT("'01_SINTETICO'!F7:F995"),INDIRECT("'01_SINTETICO'!B7:B995"),$C731)</f>
        <v>4</v>
      </c>
      <c r="H731" s="268" t="n">
        <f aca="false">VLOOKUP($C731,01_SINTETICO!$B:$M,6,0)*$G731*(1+BDI_MAT)</f>
        <v>14.0112481488</v>
      </c>
      <c r="I731" s="268" t="n">
        <f aca="false">VLOOKUP($C731,01_SINTETICO!$B:$M,7,0)*$G731*(1+BDI_MDO)</f>
        <v>3.60703344437779</v>
      </c>
      <c r="J731" s="269" t="n">
        <f aca="false">SUM(H731:I731)</f>
        <v>17.6182815931778</v>
      </c>
      <c r="K731" s="270" t="n">
        <f aca="false">J731/SUM($J$7:$J$749)</f>
        <v>1.95164242259081E-006</v>
      </c>
      <c r="L731" s="271" t="n">
        <f aca="false">K731+L730</f>
        <v>0.999973167045863</v>
      </c>
    </row>
    <row r="732" customFormat="false" ht="25.5" hidden="false" customHeight="false" outlineLevel="0" collapsed="false">
      <c r="A732" s="264" t="n">
        <f aca="false">K732</f>
        <v>1.95164242259081E-006</v>
      </c>
      <c r="B732" s="265" t="str">
        <f aca="false">VLOOKUP($C732,01_SINTETICO!$B:$N,13,0)</f>
        <v>11.6.2.8</v>
      </c>
      <c r="C732" s="266" t="n">
        <v>103957</v>
      </c>
      <c r="D732" s="266" t="str">
        <f aca="false">VLOOKUP($C732,01_SINTETICO!$B:$M,2,0)</f>
        <v>BUCHA DE REDUÇÃO, CURTA, PVC, SOLDÁVEL, DN 32 X 25 MM, INSTALADO EM PRUMADA DE ÁGUA - FORNECIMENTO E INSTALAÇÃO. AF_06/2022</v>
      </c>
      <c r="E732" s="266" t="str">
        <f aca="false">VLOOKUP($B732,01_SINTETICO!$A:$M,4,0)</f>
        <v>SER.CG</v>
      </c>
      <c r="F732" s="267" t="str">
        <f aca="false">VLOOKUP($B732,01_SINTETICO!$A:$M,5,0)</f>
        <v>UN</v>
      </c>
      <c r="G732" s="267" t="n">
        <f aca="true">SUMIFS(INDIRECT("'01_SINTETICO'!F7:F995"),INDIRECT("'01_SINTETICO'!B7:B995"),$C732)</f>
        <v>4</v>
      </c>
      <c r="H732" s="268" t="n">
        <f aca="false">VLOOKUP($C732,01_SINTETICO!$B:$M,6,0)*$G732*(1+BDI_MAT)</f>
        <v>14.0112481488</v>
      </c>
      <c r="I732" s="268" t="n">
        <f aca="false">VLOOKUP($C732,01_SINTETICO!$B:$M,7,0)*$G732*(1+BDI_MDO)</f>
        <v>3.60703344437779</v>
      </c>
      <c r="J732" s="269" t="n">
        <f aca="false">SUM(H732:I732)</f>
        <v>17.6182815931778</v>
      </c>
      <c r="K732" s="270" t="n">
        <f aca="false">J732/SUM($J$7:$J$749)</f>
        <v>1.95164242259081E-006</v>
      </c>
      <c r="L732" s="271" t="n">
        <f aca="false">K732+L731</f>
        <v>0.999975118688285</v>
      </c>
    </row>
    <row r="733" customFormat="false" ht="25.5" hidden="false" customHeight="false" outlineLevel="0" collapsed="false">
      <c r="A733" s="264" t="n">
        <f aca="false">K733</f>
        <v>1.95164242259081E-006</v>
      </c>
      <c r="B733" s="265" t="str">
        <f aca="false">VLOOKUP($C733,01_SINTETICO!$B:$N,13,0)</f>
        <v>11.6.2.8</v>
      </c>
      <c r="C733" s="272" t="n">
        <v>103957</v>
      </c>
      <c r="D733" s="266" t="str">
        <f aca="false">VLOOKUP($C733,01_SINTETICO!$B:$M,2,0)</f>
        <v>BUCHA DE REDUÇÃO, CURTA, PVC, SOLDÁVEL, DN 32 X 25 MM, INSTALADO EM PRUMADA DE ÁGUA - FORNECIMENTO E INSTALAÇÃO. AF_06/2022</v>
      </c>
      <c r="E733" s="272" t="str">
        <f aca="false">VLOOKUP($B733,01_SINTETICO!$A:$M,4,0)</f>
        <v>SER.CG</v>
      </c>
      <c r="F733" s="273" t="str">
        <f aca="false">VLOOKUP($B733,01_SINTETICO!$A:$M,5,0)</f>
        <v>UN</v>
      </c>
      <c r="G733" s="267" t="n">
        <f aca="true">SUMIFS(INDIRECT("'01_SINTETICO'!F7:F995"),INDIRECT("'01_SINTETICO'!B7:B995"),$C733)</f>
        <v>4</v>
      </c>
      <c r="H733" s="268" t="n">
        <f aca="false">VLOOKUP($C733,01_SINTETICO!$B:$M,6,0)*$G733*(1+BDI_MAT)</f>
        <v>14.0112481488</v>
      </c>
      <c r="I733" s="268" t="n">
        <f aca="false">VLOOKUP($C733,01_SINTETICO!$B:$M,7,0)*$G733*(1+BDI_MDO)</f>
        <v>3.60703344437779</v>
      </c>
      <c r="J733" s="269" t="n">
        <f aca="false">SUM(H733:I733)</f>
        <v>17.6182815931778</v>
      </c>
      <c r="K733" s="270" t="n">
        <f aca="false">J733/SUM($J$7:$J$749)</f>
        <v>1.95164242259081E-006</v>
      </c>
      <c r="L733" s="271" t="n">
        <f aca="false">K733+L732</f>
        <v>0.999977070330708</v>
      </c>
    </row>
    <row r="734" customFormat="false" ht="25.5" hidden="false" customHeight="false" outlineLevel="0" collapsed="false">
      <c r="A734" s="264" t="n">
        <f aca="false">K734</f>
        <v>1.82443506073734E-006</v>
      </c>
      <c r="B734" s="265" t="str">
        <f aca="false">VLOOKUP($C734,01_SINTETICO!$B:$N,13,0)</f>
        <v>11.6.2.26</v>
      </c>
      <c r="C734" s="266" t="n">
        <v>89443</v>
      </c>
      <c r="D734" s="266" t="str">
        <f aca="false">VLOOKUP($C734,01_SINTETICO!$B:$M,2,0)</f>
        <v>TE, PVC, SOLDÁVEL, DN 32MM, INSTALADO EM RAMAL DE DISTRIBUIÇÃO DE ÁGUA - FORNECIMENTO E INSTALAÇÃO. AF_06/2022</v>
      </c>
      <c r="E734" s="266" t="str">
        <f aca="false">VLOOKUP($B734,01_SINTETICO!$A:$M,4,0)</f>
        <v>SER.CG</v>
      </c>
      <c r="F734" s="267" t="str">
        <f aca="false">VLOOKUP($B734,01_SINTETICO!$A:$M,5,0)</f>
        <v>UN</v>
      </c>
      <c r="G734" s="267" t="n">
        <f aca="true">SUMIFS(INDIRECT("'01_SINTETICO'!F7:F995"),INDIRECT("'01_SINTETICO'!B7:B995"),$C734)</f>
        <v>1</v>
      </c>
      <c r="H734" s="268" t="n">
        <f aca="false">VLOOKUP($C734,01_SINTETICO!$B:$M,6,0)*$G734*(1+BDI_MAT)</f>
        <v>10.7990374342</v>
      </c>
      <c r="I734" s="268" t="n">
        <f aca="false">VLOOKUP($C734,01_SINTETICO!$B:$M,7,0)*$G734*(1+BDI_MDO)</f>
        <v>5.67089080494249</v>
      </c>
      <c r="J734" s="269" t="n">
        <f aca="false">SUM(H734:I734)</f>
        <v>16.4699282391425</v>
      </c>
      <c r="K734" s="270" t="n">
        <f aca="false">J734/SUM($J$7:$J$749)</f>
        <v>1.82443506073734E-006</v>
      </c>
      <c r="L734" s="271" t="n">
        <f aca="false">K734+L733</f>
        <v>0.999978894765769</v>
      </c>
    </row>
    <row r="735" customFormat="false" ht="25.5" hidden="false" customHeight="false" outlineLevel="0" collapsed="false">
      <c r="A735" s="264" t="n">
        <f aca="false">K735</f>
        <v>1.82443506073734E-006</v>
      </c>
      <c r="B735" s="265" t="str">
        <f aca="false">VLOOKUP($C735,01_SINTETICO!$B:$N,13,0)</f>
        <v>11.6.2.26</v>
      </c>
      <c r="C735" s="272" t="n">
        <v>89443</v>
      </c>
      <c r="D735" s="266" t="str">
        <f aca="false">VLOOKUP($C735,01_SINTETICO!$B:$M,2,0)</f>
        <v>TE, PVC, SOLDÁVEL, DN 32MM, INSTALADO EM RAMAL DE DISTRIBUIÇÃO DE ÁGUA - FORNECIMENTO E INSTALAÇÃO. AF_06/2022</v>
      </c>
      <c r="E735" s="272" t="str">
        <f aca="false">VLOOKUP($B735,01_SINTETICO!$A:$M,4,0)</f>
        <v>SER.CG</v>
      </c>
      <c r="F735" s="273" t="str">
        <f aca="false">VLOOKUP($B735,01_SINTETICO!$A:$M,5,0)</f>
        <v>UN</v>
      </c>
      <c r="G735" s="267" t="n">
        <f aca="true">SUMIFS(INDIRECT("'01_SINTETICO'!F7:F995"),INDIRECT("'01_SINTETICO'!B7:B995"),$C735)</f>
        <v>1</v>
      </c>
      <c r="H735" s="268" t="n">
        <f aca="false">VLOOKUP($C735,01_SINTETICO!$B:$M,6,0)*$G735*(1+BDI_MAT)</f>
        <v>10.7990374342</v>
      </c>
      <c r="I735" s="268" t="n">
        <f aca="false">VLOOKUP($C735,01_SINTETICO!$B:$M,7,0)*$G735*(1+BDI_MDO)</f>
        <v>5.67089080494249</v>
      </c>
      <c r="J735" s="269" t="n">
        <f aca="false">SUM(H735:I735)</f>
        <v>16.4699282391425</v>
      </c>
      <c r="K735" s="270" t="n">
        <f aca="false">J735/SUM($J$7:$J$749)</f>
        <v>1.82443506073734E-006</v>
      </c>
      <c r="L735" s="271" t="n">
        <f aca="false">K735+L734</f>
        <v>0.999980719200829</v>
      </c>
    </row>
    <row r="736" customFormat="false" ht="25.5" hidden="false" customHeight="false" outlineLevel="0" collapsed="false">
      <c r="A736" s="264" t="n">
        <f aca="false">K736</f>
        <v>1.82443506073734E-006</v>
      </c>
      <c r="B736" s="265" t="str">
        <f aca="false">VLOOKUP($C736,01_SINTETICO!$B:$N,13,0)</f>
        <v>11.6.2.26</v>
      </c>
      <c r="C736" s="272" t="n">
        <v>89443</v>
      </c>
      <c r="D736" s="266" t="str">
        <f aca="false">VLOOKUP($C736,01_SINTETICO!$B:$M,2,0)</f>
        <v>TE, PVC, SOLDÁVEL, DN 32MM, INSTALADO EM RAMAL DE DISTRIBUIÇÃO DE ÁGUA - FORNECIMENTO E INSTALAÇÃO. AF_06/2022</v>
      </c>
      <c r="E736" s="272" t="str">
        <f aca="false">VLOOKUP($B736,01_SINTETICO!$A:$M,4,0)</f>
        <v>SER.CG</v>
      </c>
      <c r="F736" s="273" t="str">
        <f aca="false">VLOOKUP($B736,01_SINTETICO!$A:$M,5,0)</f>
        <v>UN</v>
      </c>
      <c r="G736" s="267" t="n">
        <f aca="true">SUMIFS(INDIRECT("'01_SINTETICO'!F7:F995"),INDIRECT("'01_SINTETICO'!B7:B995"),$C736)</f>
        <v>1</v>
      </c>
      <c r="H736" s="268" t="n">
        <f aca="false">VLOOKUP($C736,01_SINTETICO!$B:$M,6,0)*$G736*(1+BDI_MAT)</f>
        <v>10.7990374342</v>
      </c>
      <c r="I736" s="268" t="n">
        <f aca="false">VLOOKUP($C736,01_SINTETICO!$B:$M,7,0)*$G736*(1+BDI_MDO)</f>
        <v>5.67089080494249</v>
      </c>
      <c r="J736" s="269" t="n">
        <f aca="false">SUM(H736:I736)</f>
        <v>16.4699282391425</v>
      </c>
      <c r="K736" s="270" t="n">
        <f aca="false">J736/SUM($J$7:$J$749)</f>
        <v>1.82443506073734E-006</v>
      </c>
      <c r="L736" s="271" t="n">
        <f aca="false">K736+L735</f>
        <v>0.99998254363589</v>
      </c>
    </row>
    <row r="737" customFormat="false" ht="25.5" hidden="false" customHeight="false" outlineLevel="0" collapsed="false">
      <c r="A737" s="264" t="n">
        <f aca="false">K737</f>
        <v>1.82443506073734E-006</v>
      </c>
      <c r="B737" s="265" t="str">
        <f aca="false">VLOOKUP($C737,01_SINTETICO!$B:$N,13,0)</f>
        <v>11.6.2.26</v>
      </c>
      <c r="C737" s="272" t="n">
        <v>89443</v>
      </c>
      <c r="D737" s="266" t="str">
        <f aca="false">VLOOKUP($C737,01_SINTETICO!$B:$M,2,0)</f>
        <v>TE, PVC, SOLDÁVEL, DN 32MM, INSTALADO EM RAMAL DE DISTRIBUIÇÃO DE ÁGUA - FORNECIMENTO E INSTALAÇÃO. AF_06/2022</v>
      </c>
      <c r="E737" s="272" t="str">
        <f aca="false">VLOOKUP($B737,01_SINTETICO!$A:$M,4,0)</f>
        <v>SER.CG</v>
      </c>
      <c r="F737" s="273" t="str">
        <f aca="false">VLOOKUP($B737,01_SINTETICO!$A:$M,5,0)</f>
        <v>UN</v>
      </c>
      <c r="G737" s="267" t="n">
        <f aca="true">SUMIFS(INDIRECT("'01_SINTETICO'!F7:F995"),INDIRECT("'01_SINTETICO'!B7:B995"),$C737)</f>
        <v>1</v>
      </c>
      <c r="H737" s="268" t="n">
        <f aca="false">VLOOKUP($C737,01_SINTETICO!$B:$M,6,0)*$G737*(1+BDI_MAT)</f>
        <v>10.7990374342</v>
      </c>
      <c r="I737" s="268" t="n">
        <f aca="false">VLOOKUP($C737,01_SINTETICO!$B:$M,7,0)*$G737*(1+BDI_MDO)</f>
        <v>5.67089080494249</v>
      </c>
      <c r="J737" s="269" t="n">
        <f aca="false">SUM(H737:I737)</f>
        <v>16.4699282391425</v>
      </c>
      <c r="K737" s="270" t="n">
        <f aca="false">J737/SUM($J$7:$J$749)</f>
        <v>1.82443506073734E-006</v>
      </c>
      <c r="L737" s="271" t="n">
        <f aca="false">K737+L736</f>
        <v>0.999984368070951</v>
      </c>
    </row>
    <row r="738" customFormat="false" ht="25.5" hidden="false" customHeight="false" outlineLevel="0" collapsed="false">
      <c r="A738" s="264" t="n">
        <f aca="false">K738</f>
        <v>1.71543968807072E-006</v>
      </c>
      <c r="B738" s="265" t="str">
        <f aca="false">VLOOKUP($C738,01_SINTETICO!$B:$N,13,0)</f>
        <v>15.2.8</v>
      </c>
      <c r="C738" s="266" t="s">
        <v>1147</v>
      </c>
      <c r="D738" s="266" t="str">
        <f aca="false">VLOOKUP($C738,01_SINTETICO!$B:$M,2,0)</f>
        <v>PLACA FOTOLUMINESCENTE DE SINALIZAÇÃO EM PVC, COM PICTOGRAMA DE ALARME - 20X30CM</v>
      </c>
      <c r="E738" s="266" t="str">
        <f aca="false">VLOOKUP($B738,01_SINTETICO!$A:$M,4,0)</f>
        <v>SER.CG</v>
      </c>
      <c r="F738" s="267" t="str">
        <f aca="false">VLOOKUP($B738,01_SINTETICO!$A:$M,5,0)</f>
        <v>UN</v>
      </c>
      <c r="G738" s="267" t="n">
        <f aca="true">SUMIFS(INDIRECT("'01_SINTETICO'!F7:F995"),INDIRECT("'01_SINTETICO'!B7:B995"),$C738)</f>
        <v>3</v>
      </c>
      <c r="H738" s="268" t="n">
        <f aca="false">VLOOKUP($C738,01_SINTETICO!$B:$M,6,0)*$G738*(1+BDI_MAT)</f>
        <v>5.3700024</v>
      </c>
      <c r="I738" s="268" t="n">
        <f aca="false">VLOOKUP($C738,01_SINTETICO!$B:$M,7,0)*$G738*(1+BDI_MDO)</f>
        <v>10.1159796276</v>
      </c>
      <c r="J738" s="269" t="n">
        <f aca="false">SUM(H738:I738)</f>
        <v>15.4859820276</v>
      </c>
      <c r="K738" s="270" t="n">
        <f aca="false">J738/SUM($J$7:$J$749)</f>
        <v>1.71543968807072E-006</v>
      </c>
      <c r="L738" s="271" t="n">
        <f aca="false">K738+L737</f>
        <v>0.999986083510639</v>
      </c>
    </row>
    <row r="739" customFormat="false" ht="38.25" hidden="false" customHeight="false" outlineLevel="0" collapsed="false">
      <c r="A739" s="264" t="n">
        <f aca="false">K739</f>
        <v>1.5049401451367E-006</v>
      </c>
      <c r="B739" s="265" t="str">
        <f aca="false">VLOOKUP($C739,01_SINTETICO!$B:$N,13,0)</f>
        <v>11.6.2.5</v>
      </c>
      <c r="C739" s="272" t="n">
        <v>89553</v>
      </c>
      <c r="D739" s="266" t="str">
        <f aca="false">VLOOKUP($C739,01_SINTETICO!$B:$M,2,0)</f>
        <v>ADAPTADOR CURTO COM BOLSA E ROSCA PARA REGISTRO, PVC, SOLDÁVEL, DN 32MM X 1 , INSTALADO EM PRUMADA DE ÁGUA - FORNECIMENTO E INSTALAÇÃO. AF_06/2022</v>
      </c>
      <c r="E739" s="272" t="str">
        <f aca="false">VLOOKUP($B739,01_SINTETICO!$A:$M,4,0)</f>
        <v>SER.CG</v>
      </c>
      <c r="F739" s="273" t="str">
        <f aca="false">VLOOKUP($B739,01_SINTETICO!$A:$M,5,0)</f>
        <v>UN</v>
      </c>
      <c r="G739" s="267" t="n">
        <f aca="true">SUMIFS(INDIRECT("'01_SINTETICO'!F7:F995"),INDIRECT("'01_SINTETICO'!B7:B995"),$C739)</f>
        <v>2</v>
      </c>
      <c r="H739" s="268" t="n">
        <f aca="false">VLOOKUP($C739,01_SINTETICO!$B:$M,6,0)*$G739*(1+BDI_MAT)</f>
        <v>9.0320400744</v>
      </c>
      <c r="I739" s="268" t="n">
        <f aca="false">VLOOKUP($C739,01_SINTETICO!$B:$M,7,0)*$G739*(1+BDI_MDO)</f>
        <v>4.55367570579821</v>
      </c>
      <c r="J739" s="269" t="n">
        <f aca="false">SUM(H739:I739)</f>
        <v>13.5857157801982</v>
      </c>
      <c r="K739" s="270" t="n">
        <f aca="false">J739/SUM($J$7:$J$749)</f>
        <v>1.5049401451367E-006</v>
      </c>
      <c r="L739" s="271" t="n">
        <f aca="false">K739+L738</f>
        <v>0.999987588450784</v>
      </c>
    </row>
    <row r="740" customFormat="false" ht="38.25" hidden="false" customHeight="false" outlineLevel="0" collapsed="false">
      <c r="A740" s="264" t="n">
        <f aca="false">K740</f>
        <v>1.5049401451367E-006</v>
      </c>
      <c r="B740" s="265" t="str">
        <f aca="false">VLOOKUP($C740,01_SINTETICO!$B:$N,13,0)</f>
        <v>11.6.2.5</v>
      </c>
      <c r="C740" s="272" t="n">
        <v>89553</v>
      </c>
      <c r="D740" s="266" t="str">
        <f aca="false">VLOOKUP($C740,01_SINTETICO!$B:$M,2,0)</f>
        <v>ADAPTADOR CURTO COM BOLSA E ROSCA PARA REGISTRO, PVC, SOLDÁVEL, DN 32MM X 1 , INSTALADO EM PRUMADA DE ÁGUA - FORNECIMENTO E INSTALAÇÃO. AF_06/2022</v>
      </c>
      <c r="E740" s="272" t="str">
        <f aca="false">VLOOKUP($B740,01_SINTETICO!$A:$M,4,0)</f>
        <v>SER.CG</v>
      </c>
      <c r="F740" s="273" t="str">
        <f aca="false">VLOOKUP($B740,01_SINTETICO!$A:$M,5,0)</f>
        <v>UN</v>
      </c>
      <c r="G740" s="267" t="n">
        <f aca="true">SUMIFS(INDIRECT("'01_SINTETICO'!F7:F995"),INDIRECT("'01_SINTETICO'!B7:B995"),$C740)</f>
        <v>2</v>
      </c>
      <c r="H740" s="268" t="n">
        <f aca="false">VLOOKUP($C740,01_SINTETICO!$B:$M,6,0)*$G740*(1+BDI_MAT)</f>
        <v>9.0320400744</v>
      </c>
      <c r="I740" s="268" t="n">
        <f aca="false">VLOOKUP($C740,01_SINTETICO!$B:$M,7,0)*$G740*(1+BDI_MDO)</f>
        <v>4.55367570579821</v>
      </c>
      <c r="J740" s="269" t="n">
        <f aca="false">SUM(H740:I740)</f>
        <v>13.5857157801982</v>
      </c>
      <c r="K740" s="270" t="n">
        <f aca="false">J740/SUM($J$7:$J$749)</f>
        <v>1.5049401451367E-006</v>
      </c>
      <c r="L740" s="271" t="n">
        <f aca="false">K740+L739</f>
        <v>0.999989093390929</v>
      </c>
    </row>
    <row r="741" customFormat="false" ht="38.25" hidden="false" customHeight="false" outlineLevel="0" collapsed="false">
      <c r="A741" s="264" t="n">
        <f aca="false">K741</f>
        <v>1.5049401451367E-006</v>
      </c>
      <c r="B741" s="265" t="str">
        <f aca="false">VLOOKUP($C741,01_SINTETICO!$B:$N,13,0)</f>
        <v>11.6.2.5</v>
      </c>
      <c r="C741" s="266" t="n">
        <v>89553</v>
      </c>
      <c r="D741" s="266" t="str">
        <f aca="false">VLOOKUP($C741,01_SINTETICO!$B:$M,2,0)</f>
        <v>ADAPTADOR CURTO COM BOLSA E ROSCA PARA REGISTRO, PVC, SOLDÁVEL, DN 32MM X 1 , INSTALADO EM PRUMADA DE ÁGUA - FORNECIMENTO E INSTALAÇÃO. AF_06/2022</v>
      </c>
      <c r="E741" s="266" t="str">
        <f aca="false">VLOOKUP($B741,01_SINTETICO!$A:$M,4,0)</f>
        <v>SER.CG</v>
      </c>
      <c r="F741" s="267" t="str">
        <f aca="false">VLOOKUP($B741,01_SINTETICO!$A:$M,5,0)</f>
        <v>UN</v>
      </c>
      <c r="G741" s="267" t="n">
        <f aca="true">SUMIFS(INDIRECT("'01_SINTETICO'!F7:F995"),INDIRECT("'01_SINTETICO'!B7:B995"),$C741)</f>
        <v>2</v>
      </c>
      <c r="H741" s="268" t="n">
        <f aca="false">VLOOKUP($C741,01_SINTETICO!$B:$M,6,0)*$G741*(1+BDI_MAT)</f>
        <v>9.0320400744</v>
      </c>
      <c r="I741" s="268" t="n">
        <f aca="false">VLOOKUP($C741,01_SINTETICO!$B:$M,7,0)*$G741*(1+BDI_MDO)</f>
        <v>4.55367570579821</v>
      </c>
      <c r="J741" s="269" t="n">
        <f aca="false">SUM(H741:I741)</f>
        <v>13.5857157801982</v>
      </c>
      <c r="K741" s="270" t="n">
        <f aca="false">J741/SUM($J$7:$J$749)</f>
        <v>1.5049401451367E-006</v>
      </c>
      <c r="L741" s="271" t="n">
        <f aca="false">K741+L740</f>
        <v>0.999990598331074</v>
      </c>
    </row>
    <row r="742" customFormat="false" ht="38.25" hidden="false" customHeight="false" outlineLevel="0" collapsed="false">
      <c r="A742" s="264" t="n">
        <f aca="false">K742</f>
        <v>1.5049401451367E-006</v>
      </c>
      <c r="B742" s="265" t="str">
        <f aca="false">VLOOKUP($C742,01_SINTETICO!$B:$N,13,0)</f>
        <v>11.6.2.5</v>
      </c>
      <c r="C742" s="266" t="n">
        <v>89553</v>
      </c>
      <c r="D742" s="266" t="str">
        <f aca="false">VLOOKUP($C742,01_SINTETICO!$B:$M,2,0)</f>
        <v>ADAPTADOR CURTO COM BOLSA E ROSCA PARA REGISTRO, PVC, SOLDÁVEL, DN 32MM X 1 , INSTALADO EM PRUMADA DE ÁGUA - FORNECIMENTO E INSTALAÇÃO. AF_06/2022</v>
      </c>
      <c r="E742" s="266" t="str">
        <f aca="false">VLOOKUP($B742,01_SINTETICO!$A:$M,4,0)</f>
        <v>SER.CG</v>
      </c>
      <c r="F742" s="267" t="str">
        <f aca="false">VLOOKUP($B742,01_SINTETICO!$A:$M,5,0)</f>
        <v>UN</v>
      </c>
      <c r="G742" s="267" t="n">
        <f aca="true">SUMIFS(INDIRECT("'01_SINTETICO'!F7:F995"),INDIRECT("'01_SINTETICO'!B7:B995"),$C742)</f>
        <v>2</v>
      </c>
      <c r="H742" s="268" t="n">
        <f aca="false">VLOOKUP($C742,01_SINTETICO!$B:$M,6,0)*$G742*(1+BDI_MAT)</f>
        <v>9.0320400744</v>
      </c>
      <c r="I742" s="268" t="n">
        <f aca="false">VLOOKUP($C742,01_SINTETICO!$B:$M,7,0)*$G742*(1+BDI_MDO)</f>
        <v>4.55367570579821</v>
      </c>
      <c r="J742" s="269" t="n">
        <f aca="false">SUM(H742:I742)</f>
        <v>13.5857157801982</v>
      </c>
      <c r="K742" s="270" t="n">
        <f aca="false">J742/SUM($J$7:$J$749)</f>
        <v>1.5049401451367E-006</v>
      </c>
      <c r="L742" s="271" t="n">
        <f aca="false">K742+L741</f>
        <v>0.999992103271219</v>
      </c>
    </row>
    <row r="743" customFormat="false" ht="25.5" hidden="false" customHeight="false" outlineLevel="0" collapsed="false">
      <c r="A743" s="264" t="n">
        <f aca="false">K743</f>
        <v>1.28253787215293E-006</v>
      </c>
      <c r="B743" s="265" t="str">
        <f aca="false">VLOOKUP($C743,01_SINTETICO!$B:$N,13,0)</f>
        <v>11.1.2.1</v>
      </c>
      <c r="C743" s="272" t="n">
        <v>89412</v>
      </c>
      <c r="D743" s="266" t="str">
        <f aca="false">VLOOKUP($C743,01_SINTETICO!$B:$M,2,0)</f>
        <v>JOELHO 90 GRAUS, PVC, SOLDÁVEL, DN 25MM, X 3/4 INSTALADO EM RAMAL DE DISTRIBUIÇÃO DE ÁGUA - FORNECIMENTO E INSTALAÇÃO. AF_06/2022</v>
      </c>
      <c r="E743" s="272" t="str">
        <f aca="false">VLOOKUP($B743,01_SINTETICO!$A:$M,4,0)</f>
        <v>SER.CG</v>
      </c>
      <c r="F743" s="273" t="str">
        <f aca="false">VLOOKUP($B743,01_SINTETICO!$A:$M,5,0)</f>
        <v>UN</v>
      </c>
      <c r="G743" s="267" t="n">
        <f aca="true">SUMIFS(INDIRECT("'01_SINTETICO'!F7:F995"),INDIRECT("'01_SINTETICO'!B7:B995"),$C743)</f>
        <v>1</v>
      </c>
      <c r="H743" s="268" t="n">
        <f aca="false">VLOOKUP($C743,01_SINTETICO!$B:$M,6,0)*$G743*(1+BDI_MAT)</f>
        <v>6.077088902</v>
      </c>
      <c r="I743" s="268" t="n">
        <f aca="false">VLOOKUP($C743,01_SINTETICO!$B:$M,7,0)*$G743*(1+BDI_MDO)</f>
        <v>5.50090977437074</v>
      </c>
      <c r="J743" s="269" t="n">
        <f aca="false">SUM(H743:I743)</f>
        <v>11.5779986763707</v>
      </c>
      <c r="K743" s="270" t="n">
        <f aca="false">J743/SUM($J$7:$J$749)</f>
        <v>1.28253787215293E-006</v>
      </c>
      <c r="L743" s="271" t="n">
        <f aca="false">K743+L742</f>
        <v>0.999993385809092</v>
      </c>
    </row>
    <row r="744" customFormat="false" ht="25.5" hidden="false" customHeight="false" outlineLevel="0" collapsed="false">
      <c r="A744" s="264" t="n">
        <f aca="false">K744</f>
        <v>1.28253787215293E-006</v>
      </c>
      <c r="B744" s="265" t="str">
        <f aca="false">VLOOKUP($C744,01_SINTETICO!$B:$N,13,0)</f>
        <v>11.1.2.1</v>
      </c>
      <c r="C744" s="266" t="n">
        <v>89412</v>
      </c>
      <c r="D744" s="266" t="str">
        <f aca="false">VLOOKUP($C744,01_SINTETICO!$B:$M,2,0)</f>
        <v>JOELHO 90 GRAUS, PVC, SOLDÁVEL, DN 25MM, X 3/4 INSTALADO EM RAMAL DE DISTRIBUIÇÃO DE ÁGUA - FORNECIMENTO E INSTALAÇÃO. AF_06/2022</v>
      </c>
      <c r="E744" s="266" t="str">
        <f aca="false">VLOOKUP($B744,01_SINTETICO!$A:$M,4,0)</f>
        <v>SER.CG</v>
      </c>
      <c r="F744" s="267" t="str">
        <f aca="false">VLOOKUP($B744,01_SINTETICO!$A:$M,5,0)</f>
        <v>UN</v>
      </c>
      <c r="G744" s="267" t="n">
        <f aca="true">SUMIFS(INDIRECT("'01_SINTETICO'!F7:F995"),INDIRECT("'01_SINTETICO'!B7:B995"),$C744)</f>
        <v>1</v>
      </c>
      <c r="H744" s="268" t="n">
        <f aca="false">VLOOKUP($C744,01_SINTETICO!$B:$M,6,0)*$G744*(1+BDI_MAT)</f>
        <v>6.077088902</v>
      </c>
      <c r="I744" s="268" t="n">
        <f aca="false">VLOOKUP($C744,01_SINTETICO!$B:$M,7,0)*$G744*(1+BDI_MDO)</f>
        <v>5.50090977437074</v>
      </c>
      <c r="J744" s="269" t="n">
        <f aca="false">SUM(H744:I744)</f>
        <v>11.5779986763707</v>
      </c>
      <c r="K744" s="270" t="n">
        <f aca="false">J744/SUM($J$7:$J$749)</f>
        <v>1.28253787215293E-006</v>
      </c>
      <c r="L744" s="271" t="n">
        <f aca="false">K744+L743</f>
        <v>0.999994668346964</v>
      </c>
    </row>
    <row r="745" customFormat="false" ht="25.5" hidden="false" customHeight="false" outlineLevel="0" collapsed="false">
      <c r="A745" s="264" t="n">
        <f aca="false">K745</f>
        <v>1.28253787215293E-006</v>
      </c>
      <c r="B745" s="265" t="str">
        <f aca="false">VLOOKUP($C745,01_SINTETICO!$B:$N,13,0)</f>
        <v>11.1.2.1</v>
      </c>
      <c r="C745" s="272" t="n">
        <v>89412</v>
      </c>
      <c r="D745" s="266" t="str">
        <f aca="false">VLOOKUP($C745,01_SINTETICO!$B:$M,2,0)</f>
        <v>JOELHO 90 GRAUS, PVC, SOLDÁVEL, DN 25MM, X 3/4 INSTALADO EM RAMAL DE DISTRIBUIÇÃO DE ÁGUA - FORNECIMENTO E INSTALAÇÃO. AF_06/2022</v>
      </c>
      <c r="E745" s="272" t="str">
        <f aca="false">VLOOKUP($B745,01_SINTETICO!$A:$M,4,0)</f>
        <v>SER.CG</v>
      </c>
      <c r="F745" s="273" t="str">
        <f aca="false">VLOOKUP($B745,01_SINTETICO!$A:$M,5,0)</f>
        <v>UN</v>
      </c>
      <c r="G745" s="267" t="n">
        <f aca="true">SUMIFS(INDIRECT("'01_SINTETICO'!F7:F995"),INDIRECT("'01_SINTETICO'!B7:B995"),$C745)</f>
        <v>1</v>
      </c>
      <c r="H745" s="268" t="n">
        <f aca="false">VLOOKUP($C745,01_SINTETICO!$B:$M,6,0)*$G745*(1+BDI_MAT)</f>
        <v>6.077088902</v>
      </c>
      <c r="I745" s="268" t="n">
        <f aca="false">VLOOKUP($C745,01_SINTETICO!$B:$M,7,0)*$G745*(1+BDI_MDO)</f>
        <v>5.50090977437074</v>
      </c>
      <c r="J745" s="269" t="n">
        <f aca="false">SUM(H745:I745)</f>
        <v>11.5779986763707</v>
      </c>
      <c r="K745" s="270" t="n">
        <f aca="false">J745/SUM($J$7:$J$749)</f>
        <v>1.28253787215293E-006</v>
      </c>
      <c r="L745" s="271" t="n">
        <f aca="false">K745+L744</f>
        <v>0.999995950884836</v>
      </c>
    </row>
    <row r="746" customFormat="false" ht="25.5" hidden="false" customHeight="false" outlineLevel="0" collapsed="false">
      <c r="A746" s="264" t="n">
        <f aca="false">K746</f>
        <v>1.28253787215293E-006</v>
      </c>
      <c r="B746" s="265" t="str">
        <f aca="false">VLOOKUP($C746,01_SINTETICO!$B:$N,13,0)</f>
        <v>11.1.2.1</v>
      </c>
      <c r="C746" s="266" t="n">
        <v>89412</v>
      </c>
      <c r="D746" s="266" t="str">
        <f aca="false">VLOOKUP($C746,01_SINTETICO!$B:$M,2,0)</f>
        <v>JOELHO 90 GRAUS, PVC, SOLDÁVEL, DN 25MM, X 3/4 INSTALADO EM RAMAL DE DISTRIBUIÇÃO DE ÁGUA - FORNECIMENTO E INSTALAÇÃO. AF_06/2022</v>
      </c>
      <c r="E746" s="266" t="str">
        <f aca="false">VLOOKUP($B746,01_SINTETICO!$A:$M,4,0)</f>
        <v>SER.CG</v>
      </c>
      <c r="F746" s="267" t="str">
        <f aca="false">VLOOKUP($B746,01_SINTETICO!$A:$M,5,0)</f>
        <v>UN</v>
      </c>
      <c r="G746" s="267" t="n">
        <f aca="true">SUMIFS(INDIRECT("'01_SINTETICO'!F7:F995"),INDIRECT("'01_SINTETICO'!B7:B995"),$C746)</f>
        <v>1</v>
      </c>
      <c r="H746" s="268" t="n">
        <f aca="false">VLOOKUP($C746,01_SINTETICO!$B:$M,6,0)*$G746*(1+BDI_MAT)</f>
        <v>6.077088902</v>
      </c>
      <c r="I746" s="268" t="n">
        <f aca="false">VLOOKUP($C746,01_SINTETICO!$B:$M,7,0)*$G746*(1+BDI_MDO)</f>
        <v>5.50090977437074</v>
      </c>
      <c r="J746" s="269" t="n">
        <f aca="false">SUM(H746:I746)</f>
        <v>11.5779986763707</v>
      </c>
      <c r="K746" s="270" t="n">
        <f aca="false">J746/SUM($J$7:$J$749)</f>
        <v>1.28253787215293E-006</v>
      </c>
      <c r="L746" s="271" t="n">
        <f aca="false">K746+L745</f>
        <v>0.999997233422708</v>
      </c>
    </row>
    <row r="747" customFormat="false" ht="38.25" hidden="false" customHeight="false" outlineLevel="0" collapsed="false">
      <c r="A747" s="264" t="n">
        <f aca="false">K747</f>
        <v>9.22192430124658E-007</v>
      </c>
      <c r="B747" s="265" t="str">
        <f aca="false">VLOOKUP($C747,01_SINTETICO!$B:$N,13,0)</f>
        <v>16.1.3.2.3</v>
      </c>
      <c r="C747" s="266" t="n">
        <v>105233</v>
      </c>
      <c r="D747" s="266" t="str">
        <f aca="false">VLOOKUP($C747,01_SINTETICO!$B:$M,2,0)</f>
        <v>BUCHA DE REDUÇÃO PVC, SOLDÁVEL, LONGA, DN 40 X 25 MM, INSTALADO EM RESERVAÇÃO PREDIAL DE ÁGUA - FORNECIMENTO E INSTALAÇÃO. AF_04/2024</v>
      </c>
      <c r="E747" s="266" t="str">
        <f aca="false">VLOOKUP($B747,01_SINTETICO!$A:$M,4,0)</f>
        <v>SER.CG</v>
      </c>
      <c r="F747" s="267" t="str">
        <f aca="false">VLOOKUP($B747,01_SINTETICO!$A:$M,5,0)</f>
        <v>UN</v>
      </c>
      <c r="G747" s="267" t="n">
        <f aca="true">SUMIFS(INDIRECT("'01_SINTETICO'!F7:F995"),INDIRECT("'01_SINTETICO'!B7:B995"),$C747)</f>
        <v>1</v>
      </c>
      <c r="H747" s="268" t="n">
        <f aca="false">VLOOKUP($C747,01_SINTETICO!$B:$M,6,0)*$G747*(1+BDI_MAT)</f>
        <v>6.0351384722</v>
      </c>
      <c r="I747" s="268" t="n">
        <f aca="false">VLOOKUP($C747,01_SINTETICO!$B:$M,7,0)*$G747*(1+BDI_MDO)</f>
        <v>2.28987318411799</v>
      </c>
      <c r="J747" s="269" t="n">
        <f aca="false">SUM(H747:I747)</f>
        <v>8.32501165631799</v>
      </c>
      <c r="K747" s="270" t="n">
        <f aca="false">J747/SUM($J$7:$J$749)</f>
        <v>9.22192430124658E-007</v>
      </c>
      <c r="L747" s="271" t="n">
        <f aca="false">K747+L746</f>
        <v>0.999998155615138</v>
      </c>
    </row>
    <row r="748" customFormat="false" ht="38.25" hidden="false" customHeight="false" outlineLevel="0" collapsed="false">
      <c r="A748" s="264" t="n">
        <f aca="false">K748</f>
        <v>9.22192430124658E-007</v>
      </c>
      <c r="B748" s="265" t="str">
        <f aca="false">VLOOKUP($C748,01_SINTETICO!$B:$N,13,0)</f>
        <v>16.1.3.2.3</v>
      </c>
      <c r="C748" s="266" t="n">
        <v>105233</v>
      </c>
      <c r="D748" s="266" t="str">
        <f aca="false">VLOOKUP($C748,01_SINTETICO!$B:$M,2,0)</f>
        <v>BUCHA DE REDUÇÃO PVC, SOLDÁVEL, LONGA, DN 40 X 25 MM, INSTALADO EM RESERVAÇÃO PREDIAL DE ÁGUA - FORNECIMENTO E INSTALAÇÃO. AF_04/2024</v>
      </c>
      <c r="E748" s="266" t="str">
        <f aca="false">VLOOKUP($B748,01_SINTETICO!$A:$M,4,0)</f>
        <v>SER.CG</v>
      </c>
      <c r="F748" s="267" t="str">
        <f aca="false">VLOOKUP($B748,01_SINTETICO!$A:$M,5,0)</f>
        <v>UN</v>
      </c>
      <c r="G748" s="267" t="n">
        <f aca="true">SUMIFS(INDIRECT("'01_SINTETICO'!F7:F995"),INDIRECT("'01_SINTETICO'!B7:B995"),$C748)</f>
        <v>1</v>
      </c>
      <c r="H748" s="268" t="n">
        <f aca="false">VLOOKUP($C748,01_SINTETICO!$B:$M,6,0)*$G748*(1+BDI_MAT)</f>
        <v>6.0351384722</v>
      </c>
      <c r="I748" s="268" t="n">
        <f aca="false">VLOOKUP($C748,01_SINTETICO!$B:$M,7,0)*$G748*(1+BDI_MDO)</f>
        <v>2.28987318411799</v>
      </c>
      <c r="J748" s="269" t="n">
        <f aca="false">SUM(H748:I748)</f>
        <v>8.32501165631799</v>
      </c>
      <c r="K748" s="270" t="n">
        <f aca="false">J748/SUM($J$7:$J$749)</f>
        <v>9.22192430124658E-007</v>
      </c>
      <c r="L748" s="271" t="n">
        <f aca="false">K748+L747</f>
        <v>0.999999077807568</v>
      </c>
    </row>
    <row r="749" customFormat="false" ht="38.25" hidden="false" customHeight="false" outlineLevel="0" collapsed="false">
      <c r="A749" s="264" t="n">
        <f aca="false">K749</f>
        <v>9.22192430124658E-007</v>
      </c>
      <c r="B749" s="265" t="str">
        <f aca="false">VLOOKUP($C749,01_SINTETICO!$B:$N,13,0)</f>
        <v>16.1.3.2.3</v>
      </c>
      <c r="C749" s="266" t="n">
        <v>105233</v>
      </c>
      <c r="D749" s="266" t="str">
        <f aca="false">VLOOKUP($C749,01_SINTETICO!$B:$M,2,0)</f>
        <v>BUCHA DE REDUÇÃO PVC, SOLDÁVEL, LONGA, DN 40 X 25 MM, INSTALADO EM RESERVAÇÃO PREDIAL DE ÁGUA - FORNECIMENTO E INSTALAÇÃO. AF_04/2024</v>
      </c>
      <c r="E749" s="266" t="str">
        <f aca="false">VLOOKUP($B749,01_SINTETICO!$A:$M,4,0)</f>
        <v>SER.CG</v>
      </c>
      <c r="F749" s="267" t="str">
        <f aca="false">VLOOKUP($B749,01_SINTETICO!$A:$M,5,0)</f>
        <v>UN</v>
      </c>
      <c r="G749" s="267" t="n">
        <f aca="true">SUMIFS(INDIRECT("'01_SINTETICO'!F7:F995"),INDIRECT("'01_SINTETICO'!B7:B995"),$C749)</f>
        <v>1</v>
      </c>
      <c r="H749" s="268" t="n">
        <f aca="false">VLOOKUP($C749,01_SINTETICO!$B:$M,6,0)*$G749*(1+BDI_MAT)</f>
        <v>6.0351384722</v>
      </c>
      <c r="I749" s="268" t="n">
        <f aca="false">VLOOKUP($C749,01_SINTETICO!$B:$M,7,0)*$G749*(1+BDI_MDO)</f>
        <v>2.28987318411799</v>
      </c>
      <c r="J749" s="269" t="n">
        <f aca="false">SUM(H749:I749)</f>
        <v>8.32501165631799</v>
      </c>
      <c r="K749" s="270" t="n">
        <f aca="false">J749/SUM($J$7:$J$749)</f>
        <v>9.22192430124658E-007</v>
      </c>
      <c r="L749" s="271" t="n">
        <f aca="false">K749+L748</f>
        <v>0.999999999999998</v>
      </c>
    </row>
  </sheetData>
  <autoFilter ref="B6:L749"/>
  <mergeCells count="13">
    <mergeCell ref="C1:D3"/>
    <mergeCell ref="E1:L1"/>
    <mergeCell ref="E2:J3"/>
    <mergeCell ref="K2:L2"/>
    <mergeCell ref="K3:L3"/>
    <mergeCell ref="B4:B5"/>
    <mergeCell ref="C4:C5"/>
    <mergeCell ref="D4:D5"/>
    <mergeCell ref="E4:E5"/>
    <mergeCell ref="F4:F5"/>
    <mergeCell ref="G4:G5"/>
    <mergeCell ref="H4:J4"/>
    <mergeCell ref="K4:L4"/>
  </mergeCells>
  <conditionalFormatting sqref="B7:L749">
    <cfRule type="expression" priority="2" aboveAverage="0" equalAverage="0" bottom="0" percent="0" rank="0" text="" dxfId="0">
      <formula>L$7&lt;50%</formula>
    </cfRule>
    <cfRule type="expression" priority="3" aboveAverage="0" equalAverage="0" bottom="0" percent="0" rank="0" text="" dxfId="1">
      <formula>AND($L7&gt;0.5,$L7&lt;0.8)</formula>
    </cfRule>
    <cfRule type="expression" priority="4" aboveAverage="0" equalAverage="0" bottom="0" percent="0" rank="0" text="" dxfId="2">
      <formula>AND($L7&gt;0,$L7&lt;0.5)</formula>
    </cfRule>
  </conditionalFormatting>
  <printOptions headings="false" gridLines="false" gridLinesSet="true" horizontalCentered="tru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A1:J56"/>
  <sheetViews>
    <sheetView showFormulas="false" showGridLines="true" showRowColHeaders="true" showZeros="true" rightToLeft="false" tabSelected="false" showOutlineSymbols="true" defaultGridColor="true" view="pageBreakPreview" topLeftCell="A1" colorId="64" zoomScale="100" zoomScaleNormal="70" zoomScalePageLayoutView="100" workbookViewId="0">
      <selection pane="topLeft" activeCell="B12" activeCellId="0" sqref="B12"/>
    </sheetView>
  </sheetViews>
  <sheetFormatPr defaultRowHeight="15" zeroHeight="false" outlineLevelRow="0" outlineLevelCol="0"/>
  <cols>
    <col collapsed="false" customWidth="true" hidden="false" outlineLevel="0" max="2" min="1" style="0" width="10.99"/>
    <col collapsed="false" customWidth="true" hidden="false" outlineLevel="0" max="3" min="3" style="0" width="79.57"/>
    <col collapsed="false" customWidth="true" hidden="false" outlineLevel="0" max="6" min="4" style="0" width="10.99"/>
    <col collapsed="false" customWidth="true" hidden="false" outlineLevel="0" max="7" min="7" style="0" width="13.57"/>
    <col collapsed="false" customWidth="true" hidden="false" outlineLevel="0" max="8" min="8" style="0" width="15.86"/>
    <col collapsed="false" customWidth="true" hidden="false" outlineLevel="0" max="9" min="9" style="0" width="8.29"/>
    <col collapsed="false" customWidth="true" hidden="false" outlineLevel="0" max="10" min="10" style="0" width="14.28"/>
    <col collapsed="false" customWidth="true" hidden="false" outlineLevel="0" max="1025" min="11" style="0" width="8.71"/>
  </cols>
  <sheetData>
    <row r="1" customFormat="false" ht="21" hidden="false" customHeight="false" outlineLevel="0" collapsed="false">
      <c r="A1" s="275" t="s">
        <v>3649</v>
      </c>
    </row>
    <row r="3" customFormat="false" ht="15" hidden="false" customHeight="false" outlineLevel="0" collapsed="false">
      <c r="A3" s="31" t="s">
        <v>27</v>
      </c>
      <c r="B3" s="31" t="s">
        <v>28</v>
      </c>
      <c r="C3" s="31" t="s">
        <v>29</v>
      </c>
      <c r="D3" s="31" t="s">
        <v>30</v>
      </c>
      <c r="E3" s="31" t="s">
        <v>31</v>
      </c>
      <c r="F3" s="257" t="s">
        <v>32</v>
      </c>
      <c r="G3" s="36" t="s">
        <v>3650</v>
      </c>
      <c r="H3" s="36"/>
      <c r="I3" s="36"/>
      <c r="J3" s="36"/>
    </row>
    <row r="4" customFormat="false" ht="15" hidden="false" customHeight="false" outlineLevel="0" collapsed="false">
      <c r="A4" s="31"/>
      <c r="B4" s="31"/>
      <c r="C4" s="31"/>
      <c r="D4" s="31"/>
      <c r="E4" s="31"/>
      <c r="F4" s="257"/>
      <c r="G4" s="36"/>
      <c r="H4" s="36"/>
      <c r="I4" s="36"/>
      <c r="J4" s="36"/>
    </row>
    <row r="5" customFormat="false" ht="15" hidden="false" customHeight="false" outlineLevel="0" collapsed="false">
      <c r="A5" s="37" t="s">
        <v>40</v>
      </c>
      <c r="B5" s="37" t="s">
        <v>41</v>
      </c>
      <c r="C5" s="37" t="s">
        <v>42</v>
      </c>
      <c r="D5" s="37" t="s">
        <v>43</v>
      </c>
      <c r="E5" s="37" t="s">
        <v>44</v>
      </c>
      <c r="F5" s="276" t="s">
        <v>45</v>
      </c>
      <c r="G5" s="36" t="s">
        <v>53</v>
      </c>
      <c r="H5" s="36" t="s">
        <v>54</v>
      </c>
      <c r="I5" s="36" t="s">
        <v>55</v>
      </c>
      <c r="J5" s="41" t="s">
        <v>56</v>
      </c>
    </row>
    <row r="6" customFormat="false" ht="15" hidden="false" customHeight="false" outlineLevel="0" collapsed="false">
      <c r="A6" s="43"/>
      <c r="B6" s="43"/>
      <c r="C6" s="44"/>
      <c r="D6" s="45"/>
      <c r="E6" s="45"/>
      <c r="F6" s="277"/>
      <c r="G6" s="278"/>
      <c r="H6" s="279"/>
      <c r="I6" s="278"/>
      <c r="J6" s="278"/>
    </row>
    <row r="7" customFormat="false" ht="15" hidden="false" customHeight="false" outlineLevel="0" collapsed="false">
      <c r="A7" s="43"/>
      <c r="B7" s="43"/>
      <c r="C7" s="44"/>
      <c r="D7" s="45"/>
      <c r="E7" s="45"/>
      <c r="F7" s="277"/>
      <c r="G7" s="278"/>
      <c r="H7" s="279"/>
      <c r="I7" s="278"/>
      <c r="J7" s="278"/>
    </row>
    <row r="8" customFormat="false" ht="15" hidden="false" customHeight="false" outlineLevel="0" collapsed="false">
      <c r="A8" s="43"/>
      <c r="B8" s="43"/>
      <c r="C8" s="44"/>
      <c r="D8" s="45"/>
      <c r="E8" s="45"/>
      <c r="F8" s="277"/>
      <c r="G8" s="278"/>
      <c r="H8" s="279"/>
      <c r="I8" s="278"/>
      <c r="J8" s="278"/>
    </row>
    <row r="9" customFormat="false" ht="15" hidden="false" customHeight="false" outlineLevel="0" collapsed="false">
      <c r="A9" s="43"/>
      <c r="B9" s="43"/>
      <c r="C9" s="44"/>
      <c r="D9" s="45"/>
      <c r="E9" s="45"/>
      <c r="F9" s="277"/>
      <c r="G9" s="278"/>
      <c r="H9" s="279"/>
      <c r="I9" s="278"/>
      <c r="J9" s="278"/>
    </row>
    <row r="10" customFormat="false" ht="15" hidden="false" customHeight="false" outlineLevel="0" collapsed="false">
      <c r="A10" s="43"/>
      <c r="B10" s="43"/>
      <c r="C10" s="44"/>
      <c r="D10" s="45"/>
      <c r="E10" s="45"/>
      <c r="F10" s="277"/>
      <c r="G10" s="278"/>
      <c r="H10" s="279"/>
      <c r="I10" s="278"/>
      <c r="J10" s="278"/>
    </row>
    <row r="11" customFormat="false" ht="15" hidden="false" customHeight="false" outlineLevel="0" collapsed="false">
      <c r="A11" s="43"/>
      <c r="B11" s="43"/>
      <c r="C11" s="44"/>
      <c r="D11" s="45"/>
      <c r="E11" s="45"/>
      <c r="F11" s="277"/>
      <c r="G11" s="278"/>
      <c r="H11" s="279"/>
      <c r="I11" s="278"/>
      <c r="J11" s="278"/>
    </row>
    <row r="12" customFormat="false" ht="15" hidden="false" customHeight="false" outlineLevel="0" collapsed="false">
      <c r="A12" s="43"/>
      <c r="B12" s="43"/>
      <c r="C12" s="44"/>
      <c r="D12" s="45"/>
      <c r="E12" s="45"/>
      <c r="F12" s="277"/>
      <c r="G12" s="278"/>
      <c r="H12" s="279"/>
      <c r="I12" s="278"/>
      <c r="J12" s="278"/>
    </row>
    <row r="13" customFormat="false" ht="15" hidden="false" customHeight="false" outlineLevel="0" collapsed="false">
      <c r="A13" s="43"/>
      <c r="B13" s="43"/>
      <c r="C13" s="44"/>
      <c r="D13" s="45"/>
      <c r="E13" s="45"/>
      <c r="F13" s="277"/>
      <c r="G13" s="278"/>
      <c r="H13" s="279"/>
      <c r="I13" s="278"/>
      <c r="J13" s="278"/>
    </row>
    <row r="14" customFormat="false" ht="15" hidden="false" customHeight="false" outlineLevel="0" collapsed="false">
      <c r="A14" s="43"/>
      <c r="B14" s="43"/>
      <c r="C14" s="44"/>
      <c r="D14" s="45"/>
      <c r="E14" s="45"/>
      <c r="F14" s="277"/>
      <c r="G14" s="278"/>
      <c r="H14" s="279"/>
      <c r="I14" s="278"/>
      <c r="J14" s="278"/>
    </row>
    <row r="15" customFormat="false" ht="15" hidden="false" customHeight="false" outlineLevel="0" collapsed="false">
      <c r="A15" s="43"/>
      <c r="B15" s="43"/>
      <c r="C15" s="44"/>
      <c r="D15" s="45"/>
      <c r="E15" s="45"/>
      <c r="F15" s="277"/>
      <c r="G15" s="278"/>
      <c r="H15" s="279"/>
      <c r="I15" s="278"/>
      <c r="J15" s="278"/>
    </row>
    <row r="16" customFormat="false" ht="15" hidden="false" customHeight="false" outlineLevel="0" collapsed="false">
      <c r="A16" s="43"/>
      <c r="B16" s="43"/>
      <c r="C16" s="44"/>
      <c r="D16" s="45"/>
      <c r="E16" s="45"/>
      <c r="F16" s="277"/>
      <c r="G16" s="278"/>
      <c r="H16" s="279"/>
      <c r="I16" s="278"/>
      <c r="J16" s="278"/>
    </row>
    <row r="17" customFormat="false" ht="15" hidden="false" customHeight="false" outlineLevel="0" collapsed="false">
      <c r="A17" s="43"/>
      <c r="B17" s="43"/>
      <c r="C17" s="44"/>
      <c r="D17" s="45"/>
      <c r="E17" s="45"/>
      <c r="F17" s="277"/>
      <c r="G17" s="278"/>
      <c r="H17" s="279"/>
      <c r="I17" s="278"/>
      <c r="J17" s="278"/>
    </row>
    <row r="18" customFormat="false" ht="15" hidden="false" customHeight="false" outlineLevel="0" collapsed="false">
      <c r="A18" s="43"/>
      <c r="B18" s="43"/>
      <c r="C18" s="44"/>
      <c r="D18" s="45"/>
      <c r="E18" s="45"/>
      <c r="F18" s="277"/>
      <c r="G18" s="278"/>
      <c r="H18" s="279"/>
      <c r="I18" s="278"/>
      <c r="J18" s="278"/>
    </row>
    <row r="19" customFormat="false" ht="15" hidden="false" customHeight="false" outlineLevel="0" collapsed="false">
      <c r="A19" s="43"/>
      <c r="B19" s="43"/>
      <c r="C19" s="44"/>
      <c r="D19" s="45"/>
      <c r="E19" s="45"/>
      <c r="F19" s="277"/>
      <c r="G19" s="278"/>
      <c r="H19" s="279"/>
      <c r="I19" s="278"/>
      <c r="J19" s="278"/>
    </row>
    <row r="20" customFormat="false" ht="15" hidden="false" customHeight="false" outlineLevel="0" collapsed="false">
      <c r="A20" s="43"/>
      <c r="B20" s="43"/>
      <c r="C20" s="44"/>
      <c r="D20" s="45"/>
      <c r="E20" s="45"/>
      <c r="F20" s="277"/>
      <c r="G20" s="278"/>
      <c r="H20" s="279"/>
      <c r="I20" s="278"/>
      <c r="J20" s="278"/>
    </row>
    <row r="21" customFormat="false" ht="15" hidden="false" customHeight="false" outlineLevel="0" collapsed="false">
      <c r="A21" s="43"/>
      <c r="B21" s="43"/>
      <c r="C21" s="44"/>
      <c r="D21" s="45"/>
      <c r="E21" s="45"/>
      <c r="F21" s="277"/>
      <c r="G21" s="278"/>
      <c r="H21" s="279"/>
      <c r="I21" s="278"/>
      <c r="J21" s="278"/>
    </row>
    <row r="22" customFormat="false" ht="15" hidden="false" customHeight="false" outlineLevel="0" collapsed="false">
      <c r="A22" s="43"/>
      <c r="B22" s="43"/>
      <c r="C22" s="44"/>
      <c r="D22" s="45"/>
      <c r="E22" s="45"/>
      <c r="F22" s="277"/>
      <c r="G22" s="278"/>
      <c r="H22" s="279"/>
      <c r="I22" s="278"/>
      <c r="J22" s="278"/>
    </row>
    <row r="23" customFormat="false" ht="15" hidden="false" customHeight="false" outlineLevel="0" collapsed="false">
      <c r="A23" s="43"/>
      <c r="B23" s="43"/>
      <c r="C23" s="44"/>
      <c r="D23" s="45"/>
      <c r="E23" s="45"/>
      <c r="F23" s="277"/>
      <c r="G23" s="278"/>
      <c r="H23" s="279"/>
      <c r="I23" s="278"/>
      <c r="J23" s="278"/>
    </row>
    <row r="24" customFormat="false" ht="15" hidden="false" customHeight="false" outlineLevel="0" collapsed="false">
      <c r="A24" s="43"/>
      <c r="B24" s="43"/>
      <c r="C24" s="44"/>
      <c r="D24" s="45"/>
      <c r="E24" s="45"/>
      <c r="F24" s="277"/>
      <c r="G24" s="278"/>
      <c r="H24" s="279"/>
      <c r="I24" s="278"/>
      <c r="J24" s="278"/>
    </row>
    <row r="25" customFormat="false" ht="15" hidden="false" customHeight="false" outlineLevel="0" collapsed="false">
      <c r="A25" s="43"/>
      <c r="B25" s="43"/>
      <c r="C25" s="44"/>
      <c r="D25" s="45"/>
      <c r="E25" s="45"/>
      <c r="F25" s="277"/>
      <c r="G25" s="278"/>
      <c r="H25" s="279"/>
      <c r="I25" s="278"/>
      <c r="J25" s="278"/>
    </row>
    <row r="26" customFormat="false" ht="15" hidden="false" customHeight="false" outlineLevel="0" collapsed="false">
      <c r="A26" s="43"/>
      <c r="B26" s="43"/>
      <c r="C26" s="44"/>
      <c r="D26" s="45"/>
      <c r="E26" s="45"/>
      <c r="F26" s="277"/>
      <c r="G26" s="278"/>
      <c r="H26" s="279"/>
      <c r="I26" s="278"/>
      <c r="J26" s="278"/>
    </row>
    <row r="27" customFormat="false" ht="15" hidden="false" customHeight="false" outlineLevel="0" collapsed="false">
      <c r="A27" s="43"/>
      <c r="B27" s="43"/>
      <c r="C27" s="44"/>
      <c r="D27" s="45"/>
      <c r="E27" s="45"/>
      <c r="F27" s="277"/>
      <c r="G27" s="278"/>
      <c r="H27" s="279"/>
      <c r="I27" s="278"/>
      <c r="J27" s="278"/>
    </row>
    <row r="28" customFormat="false" ht="15" hidden="false" customHeight="false" outlineLevel="0" collapsed="false">
      <c r="A28" s="43"/>
      <c r="B28" s="43"/>
      <c r="C28" s="44"/>
      <c r="D28" s="45"/>
      <c r="E28" s="45"/>
      <c r="F28" s="277"/>
      <c r="G28" s="278"/>
      <c r="H28" s="279"/>
      <c r="I28" s="278"/>
      <c r="J28" s="278"/>
    </row>
    <row r="29" customFormat="false" ht="15" hidden="false" customHeight="false" outlineLevel="0" collapsed="false">
      <c r="A29" s="43"/>
      <c r="B29" s="43"/>
      <c r="C29" s="44"/>
      <c r="D29" s="45"/>
      <c r="E29" s="45"/>
      <c r="F29" s="277"/>
      <c r="G29" s="278"/>
      <c r="H29" s="279"/>
      <c r="I29" s="278"/>
      <c r="J29" s="278"/>
    </row>
    <row r="30" customFormat="false" ht="15" hidden="false" customHeight="false" outlineLevel="0" collapsed="false">
      <c r="A30" s="43"/>
      <c r="B30" s="43"/>
      <c r="C30" s="44"/>
      <c r="D30" s="45"/>
      <c r="E30" s="45"/>
      <c r="F30" s="277"/>
      <c r="G30" s="278"/>
      <c r="H30" s="279"/>
      <c r="I30" s="278"/>
      <c r="J30" s="278"/>
    </row>
    <row r="31" customFormat="false" ht="15" hidden="false" customHeight="false" outlineLevel="0" collapsed="false">
      <c r="A31" s="43"/>
      <c r="B31" s="43"/>
      <c r="C31" s="44"/>
      <c r="D31" s="45"/>
      <c r="E31" s="45"/>
      <c r="F31" s="277"/>
      <c r="G31" s="278"/>
      <c r="H31" s="279"/>
      <c r="I31" s="278"/>
      <c r="J31" s="278"/>
    </row>
    <row r="32" customFormat="false" ht="15" hidden="false" customHeight="false" outlineLevel="0" collapsed="false">
      <c r="A32" s="43"/>
      <c r="B32" s="43"/>
      <c r="C32" s="44"/>
      <c r="D32" s="45"/>
      <c r="E32" s="45"/>
      <c r="F32" s="277"/>
      <c r="G32" s="278"/>
      <c r="H32" s="279"/>
      <c r="I32" s="278"/>
      <c r="J32" s="278"/>
    </row>
    <row r="33" customFormat="false" ht="15" hidden="false" customHeight="false" outlineLevel="0" collapsed="false">
      <c r="A33" s="43"/>
      <c r="B33" s="43"/>
      <c r="C33" s="44"/>
      <c r="D33" s="45"/>
      <c r="E33" s="45"/>
      <c r="F33" s="277"/>
      <c r="G33" s="278"/>
      <c r="H33" s="279"/>
      <c r="I33" s="278"/>
      <c r="J33" s="278"/>
    </row>
    <row r="34" customFormat="false" ht="15" hidden="false" customHeight="false" outlineLevel="0" collapsed="false">
      <c r="A34" s="43"/>
      <c r="B34" s="43"/>
      <c r="C34" s="44"/>
      <c r="D34" s="45"/>
      <c r="E34" s="45"/>
      <c r="F34" s="277"/>
      <c r="G34" s="278"/>
      <c r="H34" s="279"/>
      <c r="I34" s="278"/>
      <c r="J34" s="278"/>
    </row>
    <row r="35" customFormat="false" ht="15" hidden="false" customHeight="false" outlineLevel="0" collapsed="false">
      <c r="A35" s="43"/>
      <c r="B35" s="43"/>
      <c r="C35" s="44"/>
      <c r="D35" s="45"/>
      <c r="E35" s="45"/>
      <c r="F35" s="277"/>
      <c r="G35" s="278"/>
      <c r="H35" s="279"/>
      <c r="I35" s="278"/>
      <c r="J35" s="278"/>
    </row>
    <row r="36" customFormat="false" ht="15" hidden="false" customHeight="false" outlineLevel="0" collapsed="false">
      <c r="A36" s="43"/>
      <c r="B36" s="43"/>
      <c r="C36" s="44"/>
      <c r="D36" s="45"/>
      <c r="E36" s="45"/>
      <c r="F36" s="277"/>
      <c r="G36" s="278"/>
      <c r="H36" s="279"/>
      <c r="I36" s="278"/>
      <c r="J36" s="278"/>
    </row>
    <row r="37" customFormat="false" ht="15" hidden="false" customHeight="false" outlineLevel="0" collapsed="false">
      <c r="A37" s="43"/>
      <c r="B37" s="43"/>
      <c r="C37" s="44"/>
      <c r="D37" s="45"/>
      <c r="E37" s="45"/>
      <c r="F37" s="277"/>
      <c r="G37" s="278"/>
      <c r="H37" s="279"/>
      <c r="I37" s="278"/>
      <c r="J37" s="278"/>
    </row>
    <row r="38" customFormat="false" ht="15" hidden="false" customHeight="false" outlineLevel="0" collapsed="false">
      <c r="A38" s="43"/>
      <c r="B38" s="43"/>
      <c r="C38" s="44"/>
      <c r="D38" s="45"/>
      <c r="E38" s="45"/>
      <c r="F38" s="277"/>
      <c r="G38" s="278"/>
      <c r="H38" s="279"/>
      <c r="I38" s="278"/>
      <c r="J38" s="278"/>
    </row>
    <row r="39" customFormat="false" ht="15" hidden="false" customHeight="false" outlineLevel="0" collapsed="false">
      <c r="A39" s="43"/>
      <c r="B39" s="43"/>
      <c r="C39" s="44"/>
      <c r="D39" s="45"/>
      <c r="E39" s="45"/>
      <c r="F39" s="277"/>
      <c r="G39" s="278"/>
      <c r="H39" s="279"/>
      <c r="I39" s="278"/>
      <c r="J39" s="278"/>
    </row>
    <row r="40" customFormat="false" ht="15" hidden="false" customHeight="false" outlineLevel="0" collapsed="false">
      <c r="A40" s="43"/>
      <c r="B40" s="43"/>
      <c r="C40" s="44"/>
      <c r="D40" s="45"/>
      <c r="E40" s="45"/>
      <c r="F40" s="277"/>
      <c r="G40" s="278"/>
      <c r="H40" s="279"/>
      <c r="I40" s="278"/>
      <c r="J40" s="278"/>
    </row>
    <row r="41" customFormat="false" ht="15" hidden="false" customHeight="false" outlineLevel="0" collapsed="false">
      <c r="A41" s="43"/>
      <c r="B41" s="43"/>
      <c r="C41" s="44"/>
      <c r="D41" s="45"/>
      <c r="E41" s="45"/>
      <c r="F41" s="277"/>
      <c r="G41" s="278"/>
      <c r="H41" s="279"/>
      <c r="I41" s="278"/>
      <c r="J41" s="278"/>
    </row>
    <row r="42" customFormat="false" ht="15" hidden="false" customHeight="false" outlineLevel="0" collapsed="false">
      <c r="A42" s="43"/>
      <c r="B42" s="43"/>
      <c r="C42" s="44"/>
      <c r="D42" s="45"/>
      <c r="E42" s="45"/>
      <c r="F42" s="277"/>
      <c r="G42" s="278"/>
      <c r="H42" s="279"/>
      <c r="I42" s="278"/>
      <c r="J42" s="278"/>
    </row>
    <row r="43" customFormat="false" ht="15" hidden="false" customHeight="false" outlineLevel="0" collapsed="false">
      <c r="A43" s="43"/>
      <c r="B43" s="43"/>
      <c r="C43" s="44"/>
      <c r="D43" s="45"/>
      <c r="E43" s="45"/>
      <c r="F43" s="277"/>
      <c r="G43" s="278"/>
      <c r="H43" s="279"/>
      <c r="I43" s="278"/>
      <c r="J43" s="278"/>
    </row>
    <row r="44" customFormat="false" ht="15" hidden="false" customHeight="false" outlineLevel="0" collapsed="false">
      <c r="A44" s="43"/>
      <c r="B44" s="43"/>
      <c r="C44" s="44"/>
      <c r="D44" s="45"/>
      <c r="E44" s="45"/>
      <c r="F44" s="277"/>
      <c r="G44" s="278"/>
      <c r="H44" s="279"/>
      <c r="I44" s="278"/>
      <c r="J44" s="278"/>
    </row>
    <row r="45" customFormat="false" ht="15" hidden="false" customHeight="false" outlineLevel="0" collapsed="false">
      <c r="A45" s="43"/>
      <c r="B45" s="43"/>
      <c r="C45" s="44"/>
      <c r="D45" s="45"/>
      <c r="E45" s="45"/>
      <c r="F45" s="277"/>
      <c r="G45" s="278"/>
      <c r="H45" s="279"/>
      <c r="I45" s="278"/>
      <c r="J45" s="278"/>
    </row>
    <row r="46" customFormat="false" ht="15" hidden="false" customHeight="false" outlineLevel="0" collapsed="false">
      <c r="A46" s="43"/>
      <c r="B46" s="43"/>
      <c r="C46" s="43"/>
      <c r="D46" s="45"/>
      <c r="E46" s="45"/>
      <c r="F46" s="277"/>
      <c r="G46" s="280"/>
      <c r="H46" s="280"/>
      <c r="I46" s="280"/>
      <c r="J46" s="280"/>
    </row>
    <row r="47" customFormat="false" ht="15" hidden="false" customHeight="false" outlineLevel="0" collapsed="false">
      <c r="A47" s="72"/>
      <c r="B47" s="72"/>
      <c r="C47" s="72"/>
      <c r="D47" s="72"/>
      <c r="E47" s="72"/>
      <c r="F47" s="72"/>
      <c r="G47" s="281"/>
      <c r="H47" s="281"/>
      <c r="I47" s="281"/>
      <c r="J47" s="282" t="n">
        <f aca="false">SUM(J6:J45)</f>
        <v>0</v>
      </c>
    </row>
    <row r="48" customFormat="false" ht="15" hidden="false" customHeight="false" outlineLevel="0" collapsed="false">
      <c r="J48" s="283" t="n">
        <f aca="false">J47/01_SINTETICO!I954</f>
        <v>0</v>
      </c>
    </row>
    <row r="49" customFormat="false" ht="15" hidden="false" customHeight="false" outlineLevel="0" collapsed="false">
      <c r="B49" s="10" t="s">
        <v>3651</v>
      </c>
    </row>
    <row r="50" customFormat="false" ht="15" hidden="false" customHeight="false" outlineLevel="0" collapsed="false">
      <c r="B50" s="0" t="s">
        <v>3652</v>
      </c>
    </row>
    <row r="51" customFormat="false" ht="15" hidden="false" customHeight="false" outlineLevel="0" collapsed="false">
      <c r="B51" s="0" t="s">
        <v>3653</v>
      </c>
    </row>
    <row r="52" customFormat="false" ht="15" hidden="false" customHeight="false" outlineLevel="0" collapsed="false">
      <c r="B52" s="0" t="s">
        <v>3654</v>
      </c>
    </row>
    <row r="53" customFormat="false" ht="15" hidden="false" customHeight="false" outlineLevel="0" collapsed="false">
      <c r="B53" s="0" t="s">
        <v>3655</v>
      </c>
    </row>
    <row r="54" customFormat="false" ht="15" hidden="false" customHeight="false" outlineLevel="0" collapsed="false">
      <c r="B54" s="0" t="s">
        <v>3656</v>
      </c>
    </row>
    <row r="55" customFormat="false" ht="15" hidden="false" customHeight="false" outlineLevel="0" collapsed="false">
      <c r="B55" s="0" t="s">
        <v>3657</v>
      </c>
    </row>
    <row r="56" customFormat="false" ht="15" hidden="false" customHeight="false" outlineLevel="0" collapsed="false">
      <c r="B56" s="0" t="s">
        <v>3658</v>
      </c>
    </row>
  </sheetData>
  <mergeCells count="7">
    <mergeCell ref="A3:A4"/>
    <mergeCell ref="B3:B4"/>
    <mergeCell ref="C3:C4"/>
    <mergeCell ref="D3:D4"/>
    <mergeCell ref="E3:E4"/>
    <mergeCell ref="F3:F4"/>
    <mergeCell ref="G3:J4"/>
  </mergeCells>
  <conditionalFormatting sqref="A6:J46">
    <cfRule type="expression" priority="2" aboveAverage="0" equalAverage="0" bottom="0" percent="0" rank="0" text="" dxfId="0">
      <formula>IF(AND($A6&lt;&gt;"",$B6=""),1,0)</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3</TotalTime>
  <Application>LibreOffice/6.0.7.3$Windows_X86_64 LibreOffice_project/dc89aa7a9eabfd848af146d5086077aeed2ae4a5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2015-10-01T18:13:15Z</dcterms:created>
  <dc:creator>Reinaldo de Sa Moreira e Silva</dc:creator>
  <dc:description/>
  <dc:language>pt-BR</dc:language>
  <cp:lastModifiedBy>Reinaldo de Sa Moreira e Silva</cp:lastModifiedBy>
  <cp:lastPrinted>2025-06-18T14:06:55Z</cp:lastPrinted>
  <dcterms:modified xsi:type="dcterms:W3CDTF">2025-06-18T14:07:27Z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